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Matias Eduardo Baldi\OneDrive\Escritorio\Cursos\Procesamiento de datos excel\"/>
    </mc:Choice>
  </mc:AlternateContent>
  <xr:revisionPtr revIDLastSave="0" documentId="13_ncr:1_{8E20349B-2B91-40BB-B20E-327C19A005F4}" xr6:coauthVersionLast="47" xr6:coauthVersionMax="47" xr10:uidLastSave="{00000000-0000-0000-0000-000000000000}"/>
  <bookViews>
    <workbookView showSheetTabs="0" xWindow="-108" yWindow="-108" windowWidth="23256" windowHeight="12456" xr2:uid="{00000000-000D-0000-FFFF-FFFF00000000}"/>
  </bookViews>
  <sheets>
    <sheet name="MENÚ" sheetId="21" r:id="rId1"/>
    <sheet name="Dashboard" sheetId="19" r:id="rId2"/>
    <sheet name="Set Datos" sheetId="2" r:id="rId3"/>
    <sheet name="Dinamicas" sheetId="17" r:id="rId4"/>
    <sheet name="CSV 1" sheetId="1" r:id="rId5"/>
    <sheet name="CSV 2" sheetId="6" r:id="rId6"/>
    <sheet name="Readme" sheetId="20" r:id="rId7"/>
    <sheet name="Summary" sheetId="9" state="hidden" r:id="rId8"/>
    <sheet name="Preguntas y Respuestas" sheetId="3" state="hidden" r:id="rId9"/>
    <sheet name="Bibliografia" sheetId="4" r:id="rId10"/>
  </sheets>
  <definedNames>
    <definedName name="_xlnm._FilterDatabase" localSheetId="7" hidden="1">Summary!#REF!</definedName>
    <definedName name="_xlcn.WorksheetConnection_FórmulasBALDI.xlsxTabla4" hidden="1">Tabla4[]</definedName>
    <definedName name="_xlcn.WorksheetConnection_PFBaldiMatías.xlsxTabla1" hidden="1">Tabla1[]</definedName>
    <definedName name="_xlcn.WorksheetConnection_TrabajofinalCODERHOUSE.xlsxTabla2" hidden="1">Tabla2[]</definedName>
    <definedName name="SegmentaciónDeDatos_Decade">#N/A</definedName>
    <definedName name="SegmentaciónDeDatos_Tipo_de_accidente">#N/A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a2" name="Tabla2" connection="WorksheetConnection_Trabajo final CODERHOUSE.xlsx!Tabla2"/>
          <x15:modelTable id="Tabla4" name="Tabla4" connection="WorksheetConnection_Fórmulas BALDI.xlsx!Tabla4"/>
          <x15:modelTable id="Tabla1" name="Tabla1" connection="WorksheetConnection_PF Baldi Matías.xlsx!Tabla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E3" i="2" l="1" a="1"/>
  <c r="CE3" i="2" s="1"/>
  <c r="CJ3" i="2"/>
  <c r="CE4" i="2" a="1"/>
  <c r="CE4" i="2" s="1"/>
  <c r="CJ4" i="2"/>
  <c r="CE5" i="2" a="1"/>
  <c r="CE5" i="2" s="1"/>
  <c r="CJ5" i="2"/>
  <c r="CE6" i="2" a="1"/>
  <c r="CE6" i="2" s="1"/>
  <c r="CJ6" i="2"/>
  <c r="CE7" i="2" a="1"/>
  <c r="CE7" i="2" s="1"/>
  <c r="CJ7" i="2"/>
  <c r="CE8" i="2" a="1"/>
  <c r="CE8" i="2" s="1"/>
  <c r="CJ8" i="2"/>
  <c r="CE9" i="2" a="1"/>
  <c r="CE9" i="2" s="1"/>
  <c r="CJ9" i="2"/>
  <c r="CE10" i="2" a="1"/>
  <c r="CE10" i="2" s="1"/>
  <c r="CJ10" i="2"/>
  <c r="CE11" i="2" a="1"/>
  <c r="CE11" i="2" s="1"/>
  <c r="CJ11" i="2"/>
  <c r="CE12" i="2" a="1"/>
  <c r="CE12" i="2" s="1"/>
  <c r="CJ12" i="2"/>
  <c r="CE13" i="2" a="1"/>
  <c r="CE13" i="2" s="1"/>
  <c r="CJ13" i="2"/>
  <c r="CE14" i="2" a="1"/>
  <c r="CE14" i="2" s="1"/>
  <c r="CJ14" i="2"/>
  <c r="CE15" i="2" a="1"/>
  <c r="CE15" i="2" s="1"/>
  <c r="CJ15" i="2"/>
  <c r="CE16" i="2" a="1"/>
  <c r="CE16" i="2" s="1"/>
  <c r="CJ16" i="2"/>
  <c r="CE17" i="2" a="1"/>
  <c r="CE17" i="2" s="1"/>
  <c r="CJ17" i="2"/>
  <c r="CE18" i="2" a="1"/>
  <c r="CE18" i="2" s="1"/>
  <c r="CJ18" i="2"/>
  <c r="CE19" i="2" a="1"/>
  <c r="CE19" i="2" s="1"/>
  <c r="CJ19" i="2"/>
  <c r="CE20" i="2" a="1"/>
  <c r="CE20" i="2" s="1"/>
  <c r="CJ20" i="2"/>
  <c r="CE21" i="2" a="1"/>
  <c r="CE21" i="2" s="1"/>
  <c r="CJ21" i="2"/>
  <c r="CE22" i="2" a="1"/>
  <c r="CE22" i="2" s="1"/>
  <c r="CJ22" i="2"/>
  <c r="CE23" i="2" a="1"/>
  <c r="CE23" i="2" s="1"/>
  <c r="CJ23" i="2"/>
  <c r="CE24" i="2" a="1"/>
  <c r="CE24" i="2" s="1"/>
  <c r="CJ24" i="2"/>
  <c r="CE25" i="2" a="1"/>
  <c r="CE25" i="2" s="1"/>
  <c r="CJ25" i="2"/>
  <c r="CE26" i="2" a="1"/>
  <c r="CE26" i="2" s="1"/>
  <c r="CJ26" i="2"/>
  <c r="CE27" i="2" a="1"/>
  <c r="CE27" i="2" s="1"/>
  <c r="CJ27" i="2"/>
  <c r="CE28" i="2" a="1"/>
  <c r="CE28" i="2" s="1"/>
  <c r="CJ28" i="2"/>
  <c r="CE29" i="2" a="1"/>
  <c r="CE29" i="2" s="1"/>
  <c r="CJ29" i="2"/>
  <c r="CE30" i="2" a="1"/>
  <c r="CE30" i="2" s="1"/>
  <c r="CJ30" i="2"/>
  <c r="CE31" i="2" a="1"/>
  <c r="CE31" i="2" s="1"/>
  <c r="CJ31" i="2"/>
  <c r="CE32" i="2" a="1"/>
  <c r="CE32" i="2" s="1"/>
  <c r="CJ32" i="2"/>
  <c r="CE33" i="2" a="1"/>
  <c r="CE33" i="2" s="1"/>
  <c r="CJ33" i="2"/>
  <c r="CE34" i="2" a="1"/>
  <c r="CE34" i="2" s="1"/>
  <c r="CJ34" i="2"/>
  <c r="CE35" i="2" a="1"/>
  <c r="CE35" i="2" s="1"/>
  <c r="CJ35" i="2"/>
  <c r="CE36" i="2" a="1"/>
  <c r="CE36" i="2" s="1"/>
  <c r="CJ36" i="2"/>
  <c r="CE37" i="2" a="1"/>
  <c r="CE37" i="2" s="1"/>
  <c r="CJ37" i="2"/>
  <c r="CE38" i="2" a="1"/>
  <c r="CE38" i="2" s="1"/>
  <c r="CJ38" i="2"/>
  <c r="CE39" i="2" a="1"/>
  <c r="CE39" i="2" s="1"/>
  <c r="CJ39" i="2"/>
  <c r="CE40" i="2" a="1"/>
  <c r="CE40" i="2" s="1"/>
  <c r="CJ40" i="2"/>
  <c r="CE41" i="2" a="1"/>
  <c r="CE41" i="2" s="1"/>
  <c r="CJ41" i="2"/>
  <c r="CE42" i="2" a="1"/>
  <c r="CE42" i="2" s="1"/>
  <c r="CJ42" i="2"/>
  <c r="CE43" i="2" a="1"/>
  <c r="CE43" i="2" s="1"/>
  <c r="CJ43" i="2"/>
  <c r="CE44" i="2" a="1"/>
  <c r="CE44" i="2" s="1"/>
  <c r="CJ44" i="2"/>
  <c r="CE45" i="2" a="1"/>
  <c r="CE45" i="2" s="1"/>
  <c r="CJ45" i="2"/>
  <c r="CE46" i="2" a="1"/>
  <c r="CE46" i="2" s="1"/>
  <c r="CJ46" i="2"/>
  <c r="CE47" i="2" a="1"/>
  <c r="CE47" i="2" s="1"/>
  <c r="CJ47" i="2"/>
  <c r="CE48" i="2" a="1"/>
  <c r="CE48" i="2" s="1"/>
  <c r="CJ48" i="2"/>
  <c r="CE49" i="2" a="1"/>
  <c r="CE49" i="2" s="1"/>
  <c r="CJ49" i="2"/>
  <c r="CE50" i="2" a="1"/>
  <c r="CE50" i="2" s="1"/>
  <c r="CJ50" i="2"/>
  <c r="CE51" i="2" a="1"/>
  <c r="CE51" i="2" s="1"/>
  <c r="CJ51" i="2"/>
  <c r="CE52" i="2" a="1"/>
  <c r="CE52" i="2" s="1"/>
  <c r="CJ52" i="2"/>
  <c r="AD269" i="2"/>
  <c r="AE269" i="2"/>
  <c r="AF269" i="2"/>
  <c r="AG269" i="2"/>
  <c r="AH269" i="2"/>
  <c r="AI269" i="2"/>
  <c r="AJ269" i="2"/>
  <c r="AK269" i="2"/>
  <c r="AL269" i="2"/>
  <c r="AM269" i="2"/>
  <c r="AN269" i="2"/>
  <c r="AO269" i="2"/>
  <c r="AP269" i="2"/>
  <c r="AQ269" i="2"/>
  <c r="AR269" i="2"/>
  <c r="AS269" i="2"/>
  <c r="AT269" i="2"/>
  <c r="AU269" i="2"/>
  <c r="AV269" i="2"/>
  <c r="AW269" i="2"/>
  <c r="AX269" i="2"/>
  <c r="AY269"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BY269" i="2"/>
  <c r="BZ269" i="2"/>
  <c r="CA269" i="2"/>
  <c r="W3" i="2"/>
  <c r="X3" i="2" s="1" a="1"/>
  <c r="X3" i="2" s="1"/>
  <c r="W4" i="2"/>
  <c r="X4" i="2" s="1" a="1"/>
  <c r="X4" i="2" s="1"/>
  <c r="W5" i="2"/>
  <c r="X5" i="2" s="1" a="1"/>
  <c r="X5" i="2" s="1"/>
  <c r="W6" i="2"/>
  <c r="X6" i="2" s="1" a="1"/>
  <c r="X6" i="2" s="1"/>
  <c r="W7" i="2"/>
  <c r="X7" i="2" s="1" a="1"/>
  <c r="X7" i="2" s="1"/>
  <c r="W8" i="2"/>
  <c r="X8" i="2" s="1" a="1"/>
  <c r="X8" i="2" s="1"/>
  <c r="W9" i="2"/>
  <c r="X9" i="2" s="1" a="1"/>
  <c r="X9" i="2" s="1"/>
  <c r="W10" i="2"/>
  <c r="X10" i="2" s="1" a="1"/>
  <c r="X10" i="2" s="1"/>
  <c r="W11" i="2"/>
  <c r="X11" i="2" s="1" a="1"/>
  <c r="X11" i="2" s="1"/>
  <c r="W12" i="2"/>
  <c r="X12" i="2" s="1" a="1"/>
  <c r="X12" i="2" s="1"/>
  <c r="W13" i="2"/>
  <c r="X13" i="2" s="1" a="1"/>
  <c r="X13" i="2" s="1"/>
  <c r="W14" i="2"/>
  <c r="X14" i="2" s="1" a="1"/>
  <c r="X14" i="2" s="1"/>
  <c r="W15" i="2"/>
  <c r="X15" i="2" s="1" a="1"/>
  <c r="X15" i="2" s="1"/>
  <c r="W16" i="2"/>
  <c r="X16" i="2" s="1" a="1"/>
  <c r="X16" i="2" s="1"/>
  <c r="W17" i="2"/>
  <c r="X17" i="2" s="1" a="1"/>
  <c r="X17" i="2" s="1"/>
  <c r="W18" i="2"/>
  <c r="X18" i="2" s="1" a="1"/>
  <c r="X18" i="2" s="1"/>
  <c r="W19" i="2"/>
  <c r="X19" i="2" s="1" a="1"/>
  <c r="X19" i="2" s="1"/>
  <c r="W20" i="2"/>
  <c r="X20" i="2" s="1" a="1"/>
  <c r="X20" i="2" s="1"/>
  <c r="W21" i="2"/>
  <c r="X21" i="2" s="1" a="1"/>
  <c r="X21" i="2" s="1"/>
  <c r="W22" i="2"/>
  <c r="X22" i="2" s="1" a="1"/>
  <c r="X22" i="2" s="1"/>
  <c r="W23" i="2"/>
  <c r="X23" i="2" s="1" a="1"/>
  <c r="X23" i="2" s="1"/>
  <c r="W24" i="2"/>
  <c r="X24" i="2" s="1" a="1"/>
  <c r="X24" i="2" s="1"/>
  <c r="W25" i="2"/>
  <c r="X25" i="2" s="1" a="1"/>
  <c r="X25" i="2" s="1"/>
  <c r="W26" i="2"/>
  <c r="X26" i="2" s="1" a="1"/>
  <c r="X26" i="2" s="1"/>
  <c r="W27" i="2"/>
  <c r="X27" i="2" s="1" a="1"/>
  <c r="X27" i="2" s="1"/>
  <c r="W28" i="2"/>
  <c r="X28" i="2" s="1" a="1"/>
  <c r="X28" i="2" s="1"/>
  <c r="W29" i="2"/>
  <c r="X29" i="2" s="1" a="1"/>
  <c r="X29" i="2" s="1"/>
  <c r="W30" i="2"/>
  <c r="X30" i="2" s="1" a="1"/>
  <c r="X30" i="2" s="1"/>
  <c r="W31" i="2"/>
  <c r="X31" i="2" s="1" a="1"/>
  <c r="X31" i="2" s="1"/>
  <c r="W32" i="2"/>
  <c r="X32" i="2" s="1" a="1"/>
  <c r="X32" i="2" s="1"/>
  <c r="W33" i="2"/>
  <c r="X33" i="2" s="1" a="1"/>
  <c r="X33" i="2" s="1"/>
  <c r="W34" i="2"/>
  <c r="X34" i="2" s="1" a="1"/>
  <c r="X34" i="2" s="1"/>
  <c r="W35" i="2"/>
  <c r="X35" i="2" s="1" a="1"/>
  <c r="X35" i="2" s="1"/>
  <c r="W36" i="2"/>
  <c r="X36" i="2" s="1" a="1"/>
  <c r="X36" i="2" s="1"/>
  <c r="W37" i="2"/>
  <c r="X37" i="2" s="1" a="1"/>
  <c r="X37" i="2" s="1"/>
  <c r="W38" i="2"/>
  <c r="X38" i="2" s="1" a="1"/>
  <c r="X38" i="2" s="1"/>
  <c r="W39" i="2"/>
  <c r="X39" i="2" s="1" a="1"/>
  <c r="X39" i="2" s="1"/>
  <c r="W40" i="2"/>
  <c r="X40" i="2" s="1" a="1"/>
  <c r="X40" i="2" s="1"/>
  <c r="W41" i="2"/>
  <c r="X41" i="2" s="1" a="1"/>
  <c r="X41" i="2" s="1"/>
  <c r="W42" i="2"/>
  <c r="X42" i="2" s="1" a="1"/>
  <c r="X42" i="2" s="1"/>
  <c r="W43" i="2"/>
  <c r="X43" i="2" s="1" a="1"/>
  <c r="X43" i="2" s="1"/>
  <c r="W44" i="2"/>
  <c r="X44" i="2" s="1" a="1"/>
  <c r="X44" i="2" s="1"/>
  <c r="W45" i="2"/>
  <c r="X45" i="2" s="1" a="1"/>
  <c r="X45" i="2" s="1"/>
  <c r="W46" i="2"/>
  <c r="X46" i="2" s="1" a="1"/>
  <c r="X46" i="2" s="1"/>
  <c r="W47" i="2"/>
  <c r="X47" i="2" s="1" a="1"/>
  <c r="X47" i="2" s="1"/>
  <c r="W48" i="2"/>
  <c r="X48" i="2" s="1" a="1"/>
  <c r="X48" i="2" s="1"/>
  <c r="W49" i="2"/>
  <c r="X49" i="2" s="1" a="1"/>
  <c r="X49" i="2" s="1"/>
  <c r="W50" i="2"/>
  <c r="X50" i="2" s="1" a="1"/>
  <c r="X50" i="2" s="1"/>
  <c r="W51" i="2"/>
  <c r="X51" i="2" s="1" a="1"/>
  <c r="X51" i="2" s="1"/>
  <c r="W52" i="2"/>
  <c r="X52" i="2" s="1" a="1"/>
  <c r="X52" i="2" s="1"/>
  <c r="W53" i="2"/>
  <c r="X53" i="2" s="1" a="1"/>
  <c r="X53" i="2" s="1"/>
  <c r="W54" i="2"/>
  <c r="X54" i="2" s="1" a="1"/>
  <c r="X54" i="2" s="1"/>
  <c r="W55" i="2"/>
  <c r="X55" i="2" s="1" a="1"/>
  <c r="X55" i="2" s="1"/>
  <c r="W56" i="2"/>
  <c r="X56" i="2" s="1" a="1"/>
  <c r="X56" i="2" s="1"/>
  <c r="W57" i="2"/>
  <c r="X57" i="2" s="1" a="1"/>
  <c r="X57" i="2" s="1"/>
  <c r="W58" i="2"/>
  <c r="X58" i="2" s="1" a="1"/>
  <c r="X58" i="2" s="1"/>
  <c r="W59" i="2"/>
  <c r="X59" i="2" s="1" a="1"/>
  <c r="X59" i="2" s="1"/>
  <c r="W60" i="2"/>
  <c r="X60" i="2" s="1" a="1"/>
  <c r="X60" i="2" s="1"/>
  <c r="W61" i="2"/>
  <c r="X61" i="2" s="1" a="1"/>
  <c r="X61" i="2" s="1"/>
  <c r="W62" i="2"/>
  <c r="X62" i="2" s="1" a="1"/>
  <c r="X62" i="2" s="1"/>
  <c r="W63" i="2"/>
  <c r="X63" i="2" s="1" a="1"/>
  <c r="X63" i="2" s="1"/>
  <c r="W64" i="2"/>
  <c r="X64" i="2" s="1" a="1"/>
  <c r="X64" i="2" s="1"/>
  <c r="W65" i="2"/>
  <c r="X65" i="2" s="1" a="1"/>
  <c r="X65" i="2" s="1"/>
  <c r="W66" i="2"/>
  <c r="X66" i="2" s="1" a="1"/>
  <c r="X66" i="2" s="1"/>
  <c r="W67" i="2"/>
  <c r="X67" i="2" s="1" a="1"/>
  <c r="X67" i="2" s="1"/>
  <c r="W68" i="2"/>
  <c r="X68" i="2" s="1" a="1"/>
  <c r="X68" i="2" s="1"/>
  <c r="W69" i="2"/>
  <c r="X69" i="2" s="1" a="1"/>
  <c r="X69" i="2" s="1"/>
  <c r="W70" i="2"/>
  <c r="X70" i="2" s="1" a="1"/>
  <c r="X70" i="2" s="1"/>
  <c r="W71" i="2"/>
  <c r="X71" i="2" s="1" a="1"/>
  <c r="X71" i="2" s="1"/>
  <c r="W72" i="2"/>
  <c r="X72" i="2" s="1" a="1"/>
  <c r="X72" i="2" s="1"/>
  <c r="W73" i="2"/>
  <c r="X73" i="2" s="1" a="1"/>
  <c r="X73" i="2" s="1"/>
  <c r="W74" i="2"/>
  <c r="X74" i="2" s="1" a="1"/>
  <c r="X74" i="2" s="1"/>
  <c r="W75" i="2"/>
  <c r="X75" i="2" s="1" a="1"/>
  <c r="X75" i="2" s="1"/>
  <c r="W76" i="2"/>
  <c r="X76" i="2" s="1" a="1"/>
  <c r="X76" i="2" s="1"/>
  <c r="W77" i="2"/>
  <c r="X77" i="2" s="1" a="1"/>
  <c r="X77" i="2" s="1"/>
  <c r="W78" i="2"/>
  <c r="X78" i="2" s="1" a="1"/>
  <c r="X78" i="2" s="1"/>
  <c r="W79" i="2"/>
  <c r="X79" i="2" s="1" a="1"/>
  <c r="X79" i="2" s="1"/>
  <c r="W80" i="2"/>
  <c r="X80" i="2" s="1" a="1"/>
  <c r="X80" i="2" s="1"/>
  <c r="W81" i="2"/>
  <c r="X81" i="2" s="1" a="1"/>
  <c r="X81" i="2" s="1"/>
  <c r="W82" i="2"/>
  <c r="X82" i="2" s="1" a="1"/>
  <c r="X82" i="2" s="1"/>
  <c r="W83" i="2"/>
  <c r="X83" i="2" s="1" a="1"/>
  <c r="X83" i="2" s="1"/>
  <c r="W84" i="2"/>
  <c r="X84" i="2" s="1" a="1"/>
  <c r="X84" i="2" s="1"/>
  <c r="W85" i="2"/>
  <c r="X85" i="2" s="1" a="1"/>
  <c r="X85" i="2" s="1"/>
  <c r="W86" i="2"/>
  <c r="X86" i="2" s="1" a="1"/>
  <c r="X86" i="2" s="1"/>
  <c r="W87" i="2"/>
  <c r="X87" i="2" s="1" a="1"/>
  <c r="X87" i="2" s="1"/>
  <c r="W88" i="2"/>
  <c r="X88" i="2" s="1" a="1"/>
  <c r="X88" i="2" s="1"/>
  <c r="W89" i="2"/>
  <c r="X89" i="2" s="1" a="1"/>
  <c r="X89" i="2" s="1"/>
  <c r="W90" i="2"/>
  <c r="X90" i="2" s="1" a="1"/>
  <c r="X90" i="2" s="1"/>
  <c r="W91" i="2"/>
  <c r="X91" i="2" s="1" a="1"/>
  <c r="X91" i="2" s="1"/>
  <c r="W92" i="2"/>
  <c r="X92" i="2" s="1" a="1"/>
  <c r="X92" i="2" s="1"/>
  <c r="W93" i="2"/>
  <c r="X93" i="2" s="1" a="1"/>
  <c r="X93" i="2" s="1"/>
  <c r="W94" i="2"/>
  <c r="X94" i="2" s="1" a="1"/>
  <c r="X94" i="2" s="1"/>
  <c r="W95" i="2"/>
  <c r="X95" i="2" s="1" a="1"/>
  <c r="X95" i="2" s="1"/>
  <c r="W96" i="2"/>
  <c r="X96" i="2" s="1" a="1"/>
  <c r="X96" i="2" s="1"/>
  <c r="W97" i="2"/>
  <c r="X97" i="2" s="1" a="1"/>
  <c r="X97" i="2" s="1"/>
  <c r="W98" i="2"/>
  <c r="X98" i="2" s="1" a="1"/>
  <c r="X98" i="2" s="1"/>
  <c r="W99" i="2"/>
  <c r="X99" i="2" s="1" a="1"/>
  <c r="X99" i="2" s="1"/>
  <c r="W100" i="2"/>
  <c r="X100" i="2" s="1" a="1"/>
  <c r="X100" i="2" s="1"/>
  <c r="W101" i="2"/>
  <c r="X101" i="2" s="1" a="1"/>
  <c r="X101" i="2" s="1"/>
  <c r="W102" i="2"/>
  <c r="X102" i="2" s="1" a="1"/>
  <c r="X102" i="2" s="1"/>
  <c r="W103" i="2"/>
  <c r="X103" i="2" s="1" a="1"/>
  <c r="X103" i="2" s="1"/>
  <c r="W104" i="2"/>
  <c r="X104" i="2" s="1" a="1"/>
  <c r="X104" i="2" s="1"/>
  <c r="W105" i="2"/>
  <c r="X105" i="2" s="1" a="1"/>
  <c r="X105" i="2" s="1"/>
  <c r="W106" i="2"/>
  <c r="X106" i="2" s="1" a="1"/>
  <c r="X106" i="2" s="1"/>
  <c r="W107" i="2"/>
  <c r="X107" i="2" s="1" a="1"/>
  <c r="X107" i="2" s="1"/>
  <c r="W108" i="2"/>
  <c r="X108" i="2" s="1" a="1"/>
  <c r="X108" i="2" s="1"/>
  <c r="W109" i="2"/>
  <c r="X109" i="2" s="1" a="1"/>
  <c r="X109" i="2" s="1"/>
  <c r="W110" i="2"/>
  <c r="X110" i="2" s="1" a="1"/>
  <c r="X110" i="2" s="1"/>
  <c r="W111" i="2"/>
  <c r="X111" i="2" s="1" a="1"/>
  <c r="X111" i="2" s="1"/>
  <c r="W112" i="2"/>
  <c r="X112" i="2" s="1" a="1"/>
  <c r="X112" i="2" s="1"/>
  <c r="W113" i="2"/>
  <c r="X113" i="2" s="1" a="1"/>
  <c r="X113" i="2" s="1"/>
  <c r="W114" i="2"/>
  <c r="X114" i="2" s="1" a="1"/>
  <c r="X114" i="2" s="1"/>
  <c r="W115" i="2"/>
  <c r="X115" i="2" s="1" a="1"/>
  <c r="X115" i="2" s="1"/>
  <c r="W116" i="2"/>
  <c r="X116" i="2" s="1" a="1"/>
  <c r="X116" i="2" s="1"/>
  <c r="W117" i="2"/>
  <c r="X117" i="2" s="1" a="1"/>
  <c r="X117" i="2" s="1"/>
  <c r="W118" i="2"/>
  <c r="X118" i="2" s="1" a="1"/>
  <c r="X118" i="2" s="1"/>
  <c r="W119" i="2"/>
  <c r="X119" i="2" s="1" a="1"/>
  <c r="X119" i="2" s="1"/>
  <c r="W120" i="2"/>
  <c r="X120" i="2" s="1" a="1"/>
  <c r="X120" i="2" s="1"/>
  <c r="W121" i="2"/>
  <c r="X121" i="2" s="1" a="1"/>
  <c r="X121" i="2" s="1"/>
  <c r="W122" i="2"/>
  <c r="X122" i="2" s="1" a="1"/>
  <c r="X122" i="2" s="1"/>
  <c r="W123" i="2"/>
  <c r="X123" i="2" s="1" a="1"/>
  <c r="X123" i="2" s="1"/>
  <c r="W124" i="2"/>
  <c r="X124" i="2" s="1" a="1"/>
  <c r="X124" i="2" s="1"/>
  <c r="W125" i="2"/>
  <c r="X125" i="2" s="1" a="1"/>
  <c r="X125" i="2" s="1"/>
  <c r="W126" i="2"/>
  <c r="X126" i="2" s="1" a="1"/>
  <c r="X126" i="2" s="1"/>
  <c r="W127" i="2"/>
  <c r="X127" i="2" s="1" a="1"/>
  <c r="X127" i="2" s="1"/>
  <c r="W128" i="2"/>
  <c r="X128" i="2" s="1" a="1"/>
  <c r="X128" i="2" s="1"/>
  <c r="W129" i="2"/>
  <c r="X129" i="2" s="1" a="1"/>
  <c r="X129" i="2" s="1"/>
  <c r="W130" i="2"/>
  <c r="X130" i="2" s="1" a="1"/>
  <c r="X130" i="2" s="1"/>
  <c r="W131" i="2"/>
  <c r="X131" i="2" s="1" a="1"/>
  <c r="X131" i="2" s="1"/>
  <c r="W132" i="2"/>
  <c r="X132" i="2" s="1" a="1"/>
  <c r="X132" i="2" s="1"/>
  <c r="W133" i="2"/>
  <c r="X133" i="2" s="1" a="1"/>
  <c r="X133" i="2" s="1"/>
  <c r="W134" i="2"/>
  <c r="X134" i="2" s="1" a="1"/>
  <c r="X134" i="2" s="1"/>
  <c r="W135" i="2"/>
  <c r="X135" i="2" s="1" a="1"/>
  <c r="X135" i="2" s="1"/>
  <c r="W136" i="2"/>
  <c r="X136" i="2" s="1" a="1"/>
  <c r="X136" i="2" s="1"/>
  <c r="W137" i="2"/>
  <c r="X137" i="2" s="1" a="1"/>
  <c r="X137" i="2" s="1"/>
  <c r="W138" i="2"/>
  <c r="X138" i="2" s="1" a="1"/>
  <c r="X138" i="2" s="1"/>
  <c r="W139" i="2"/>
  <c r="X139" i="2" s="1" a="1"/>
  <c r="X139" i="2" s="1"/>
  <c r="W140" i="2"/>
  <c r="X140" i="2" s="1" a="1"/>
  <c r="X140" i="2" s="1"/>
  <c r="W141" i="2"/>
  <c r="X141" i="2" s="1" a="1"/>
  <c r="X141" i="2" s="1"/>
  <c r="W142" i="2"/>
  <c r="X142" i="2" s="1" a="1"/>
  <c r="X142" i="2" s="1"/>
  <c r="W143" i="2"/>
  <c r="X143" i="2" s="1" a="1"/>
  <c r="X143" i="2" s="1"/>
  <c r="W144" i="2"/>
  <c r="X144" i="2" s="1" a="1"/>
  <c r="X144" i="2" s="1"/>
  <c r="W145" i="2"/>
  <c r="X145" i="2" s="1" a="1"/>
  <c r="X145" i="2" s="1"/>
  <c r="W146" i="2"/>
  <c r="X146" i="2" s="1" a="1"/>
  <c r="X146" i="2" s="1"/>
  <c r="W147" i="2"/>
  <c r="X147" i="2" s="1" a="1"/>
  <c r="X147" i="2" s="1"/>
  <c r="W148" i="2"/>
  <c r="X148" i="2" s="1" a="1"/>
  <c r="X148" i="2" s="1"/>
  <c r="W149" i="2"/>
  <c r="X149" i="2" s="1" a="1"/>
  <c r="X149" i="2" s="1"/>
  <c r="W150" i="2"/>
  <c r="X150" i="2" s="1" a="1"/>
  <c r="X150" i="2" s="1"/>
  <c r="W151" i="2"/>
  <c r="X151" i="2" s="1" a="1"/>
  <c r="X151" i="2" s="1"/>
  <c r="W152" i="2"/>
  <c r="X152" i="2" s="1" a="1"/>
  <c r="X152" i="2" s="1"/>
  <c r="W153" i="2"/>
  <c r="X153" i="2" s="1" a="1"/>
  <c r="X153" i="2" s="1"/>
  <c r="W154" i="2"/>
  <c r="X154" i="2" s="1" a="1"/>
  <c r="X154" i="2" s="1"/>
  <c r="W155" i="2"/>
  <c r="X155" i="2" s="1" a="1"/>
  <c r="X155" i="2" s="1"/>
  <c r="W156" i="2"/>
  <c r="X156" i="2" s="1" a="1"/>
  <c r="X156" i="2" s="1"/>
  <c r="W157" i="2"/>
  <c r="X157" i="2" s="1" a="1"/>
  <c r="X157" i="2" s="1"/>
  <c r="W158" i="2"/>
  <c r="X158" i="2" s="1" a="1"/>
  <c r="X158" i="2" s="1"/>
  <c r="W159" i="2"/>
  <c r="X159" i="2" s="1" a="1"/>
  <c r="X159" i="2" s="1"/>
  <c r="W160" i="2"/>
  <c r="X160" i="2" s="1" a="1"/>
  <c r="X160" i="2" s="1"/>
  <c r="W161" i="2"/>
  <c r="X161" i="2" s="1" a="1"/>
  <c r="X161" i="2" s="1"/>
  <c r="W162" i="2"/>
  <c r="X162" i="2" s="1" a="1"/>
  <c r="X162" i="2" s="1"/>
  <c r="W163" i="2"/>
  <c r="X163" i="2" s="1" a="1"/>
  <c r="X163" i="2" s="1"/>
  <c r="W164" i="2"/>
  <c r="X164" i="2" s="1" a="1"/>
  <c r="X164" i="2" s="1"/>
  <c r="W165" i="2"/>
  <c r="X165" i="2" s="1" a="1"/>
  <c r="X165" i="2" s="1"/>
  <c r="W166" i="2"/>
  <c r="X166" i="2" s="1" a="1"/>
  <c r="X166" i="2" s="1"/>
  <c r="W167" i="2"/>
  <c r="X167" i="2" s="1" a="1"/>
  <c r="X167" i="2" s="1"/>
  <c r="W168" i="2"/>
  <c r="X168" i="2" s="1" a="1"/>
  <c r="X168" i="2" s="1"/>
  <c r="W169" i="2"/>
  <c r="X169" i="2" s="1" a="1"/>
  <c r="X169" i="2" s="1"/>
  <c r="W170" i="2"/>
  <c r="X170" i="2" s="1" a="1"/>
  <c r="X170" i="2" s="1"/>
  <c r="W171" i="2"/>
  <c r="X171" i="2" s="1" a="1"/>
  <c r="X171" i="2" s="1"/>
  <c r="W172" i="2"/>
  <c r="X172" i="2" s="1" a="1"/>
  <c r="X172" i="2" s="1"/>
  <c r="W173" i="2"/>
  <c r="X173" i="2" s="1" a="1"/>
  <c r="X173" i="2" s="1"/>
  <c r="W174" i="2"/>
  <c r="X174" i="2" s="1" a="1"/>
  <c r="X174" i="2" s="1"/>
  <c r="W175" i="2"/>
  <c r="X175" i="2" s="1" a="1"/>
  <c r="X175" i="2" s="1"/>
  <c r="W176" i="2"/>
  <c r="X176" i="2" s="1" a="1"/>
  <c r="X176" i="2" s="1"/>
  <c r="W177" i="2"/>
  <c r="X177" i="2" s="1" a="1"/>
  <c r="X177" i="2" s="1"/>
  <c r="W178" i="2"/>
  <c r="X178" i="2" s="1" a="1"/>
  <c r="X178" i="2" s="1"/>
  <c r="W179" i="2"/>
  <c r="X179" i="2" s="1" a="1"/>
  <c r="X179" i="2" s="1"/>
  <c r="W180" i="2"/>
  <c r="X180" i="2" s="1" a="1"/>
  <c r="X180" i="2" s="1"/>
  <c r="W181" i="2"/>
  <c r="X181" i="2" s="1" a="1"/>
  <c r="X181" i="2" s="1"/>
  <c r="W182" i="2"/>
  <c r="X182" i="2" s="1" a="1"/>
  <c r="X182" i="2" s="1"/>
  <c r="W183" i="2"/>
  <c r="X183" i="2" s="1" a="1"/>
  <c r="X183" i="2" s="1"/>
  <c r="W184" i="2"/>
  <c r="X184" i="2" s="1" a="1"/>
  <c r="X184" i="2" s="1"/>
  <c r="W185" i="2"/>
  <c r="X185" i="2" s="1" a="1"/>
  <c r="X185" i="2" s="1"/>
  <c r="W186" i="2"/>
  <c r="X186" i="2" s="1" a="1"/>
  <c r="X186" i="2" s="1"/>
  <c r="W187" i="2"/>
  <c r="X187" i="2" s="1" a="1"/>
  <c r="X187" i="2" s="1"/>
  <c r="W188" i="2"/>
  <c r="X188" i="2" s="1" a="1"/>
  <c r="X188" i="2" s="1"/>
  <c r="W189" i="2"/>
  <c r="X189" i="2" s="1" a="1"/>
  <c r="X189" i="2" s="1"/>
  <c r="W190" i="2"/>
  <c r="X190" i="2" s="1" a="1"/>
  <c r="X190" i="2" s="1"/>
  <c r="W191" i="2"/>
  <c r="X191" i="2" s="1" a="1"/>
  <c r="X191" i="2" s="1"/>
  <c r="W192" i="2"/>
  <c r="X192" i="2" s="1" a="1"/>
  <c r="X192" i="2" s="1"/>
  <c r="W193" i="2"/>
  <c r="X193" i="2" s="1" a="1"/>
  <c r="X193" i="2" s="1"/>
  <c r="W194" i="2"/>
  <c r="X194" i="2" s="1" a="1"/>
  <c r="X194" i="2" s="1"/>
  <c r="W195" i="2"/>
  <c r="X195" i="2" s="1" a="1"/>
  <c r="X195" i="2" s="1"/>
  <c r="W196" i="2"/>
  <c r="X196" i="2" s="1" a="1"/>
  <c r="X196" i="2" s="1"/>
  <c r="W197" i="2"/>
  <c r="X197" i="2" s="1" a="1"/>
  <c r="X197" i="2" s="1"/>
  <c r="W198" i="2"/>
  <c r="X198" i="2" s="1" a="1"/>
  <c r="X198" i="2" s="1"/>
  <c r="W199" i="2"/>
  <c r="X199" i="2" s="1" a="1"/>
  <c r="X199" i="2" s="1"/>
  <c r="W200" i="2"/>
  <c r="X200" i="2" s="1" a="1"/>
  <c r="X200" i="2" s="1"/>
  <c r="W201" i="2"/>
  <c r="X201" i="2" s="1" a="1"/>
  <c r="X201" i="2" s="1"/>
  <c r="W202" i="2"/>
  <c r="X202" i="2" s="1" a="1"/>
  <c r="X202" i="2" s="1"/>
  <c r="W203" i="2"/>
  <c r="X203" i="2" s="1" a="1"/>
  <c r="X203" i="2" s="1"/>
  <c r="W204" i="2"/>
  <c r="X204" i="2" s="1" a="1"/>
  <c r="X204" i="2" s="1"/>
  <c r="W205" i="2"/>
  <c r="X205" i="2" s="1" a="1"/>
  <c r="X205" i="2" s="1"/>
  <c r="W206" i="2"/>
  <c r="X206" i="2" s="1" a="1"/>
  <c r="X206" i="2" s="1"/>
  <c r="W207" i="2"/>
  <c r="X207" i="2" s="1" a="1"/>
  <c r="X207" i="2" s="1"/>
  <c r="W208" i="2"/>
  <c r="X208" i="2" s="1" a="1"/>
  <c r="X208" i="2" s="1"/>
  <c r="W209" i="2"/>
  <c r="X209" i="2" s="1" a="1"/>
  <c r="X209" i="2" s="1"/>
  <c r="W210" i="2"/>
  <c r="X210" i="2" s="1" a="1"/>
  <c r="X210" i="2" s="1"/>
  <c r="W211" i="2"/>
  <c r="X211" i="2" s="1" a="1"/>
  <c r="X211" i="2" s="1"/>
  <c r="W212" i="2"/>
  <c r="X212" i="2" s="1" a="1"/>
  <c r="X212" i="2" s="1"/>
  <c r="W213" i="2"/>
  <c r="X213" i="2" s="1" a="1"/>
  <c r="X213" i="2" s="1"/>
  <c r="W214" i="2"/>
  <c r="X214" i="2" s="1" a="1"/>
  <c r="X214" i="2" s="1"/>
  <c r="W215" i="2"/>
  <c r="X215" i="2" s="1" a="1"/>
  <c r="X215" i="2" s="1"/>
  <c r="W216" i="2"/>
  <c r="X216" i="2" s="1" a="1"/>
  <c r="X216" i="2" s="1"/>
  <c r="W217" i="2"/>
  <c r="X217" i="2" s="1" a="1"/>
  <c r="X217" i="2" s="1"/>
  <c r="W218" i="2"/>
  <c r="X218" i="2" s="1" a="1"/>
  <c r="X218" i="2" s="1"/>
  <c r="W219" i="2"/>
  <c r="X219" i="2" s="1" a="1"/>
  <c r="X219" i="2" s="1"/>
  <c r="W220" i="2"/>
  <c r="X220" i="2" s="1" a="1"/>
  <c r="X220" i="2" s="1"/>
  <c r="W221" i="2"/>
  <c r="X221" i="2" s="1" a="1"/>
  <c r="X221" i="2" s="1"/>
  <c r="W222" i="2"/>
  <c r="X222" i="2" s="1" a="1"/>
  <c r="X222" i="2" s="1"/>
  <c r="W223" i="2"/>
  <c r="X223" i="2" s="1" a="1"/>
  <c r="X223" i="2" s="1"/>
  <c r="W224" i="2"/>
  <c r="X224" i="2" s="1" a="1"/>
  <c r="X224" i="2" s="1"/>
  <c r="W225" i="2"/>
  <c r="X225" i="2" s="1" a="1"/>
  <c r="X225" i="2" s="1"/>
  <c r="W226" i="2"/>
  <c r="X226" i="2" s="1" a="1"/>
  <c r="X226" i="2" s="1"/>
  <c r="W227" i="2"/>
  <c r="X227" i="2" s="1" a="1"/>
  <c r="X227" i="2" s="1"/>
  <c r="W228" i="2"/>
  <c r="X228" i="2" s="1" a="1"/>
  <c r="X228" i="2" s="1"/>
  <c r="W229" i="2"/>
  <c r="X229" i="2" s="1" a="1"/>
  <c r="X229" i="2" s="1"/>
  <c r="W230" i="2"/>
  <c r="X230" i="2" s="1" a="1"/>
  <c r="X230" i="2" s="1"/>
  <c r="W231" i="2"/>
  <c r="X231" i="2" s="1" a="1"/>
  <c r="X231" i="2" s="1"/>
  <c r="W232" i="2"/>
  <c r="X232" i="2" s="1" a="1"/>
  <c r="X232" i="2" s="1"/>
  <c r="W233" i="2"/>
  <c r="X233" i="2" s="1" a="1"/>
  <c r="X233" i="2" s="1"/>
  <c r="W234" i="2"/>
  <c r="X234" i="2" s="1" a="1"/>
  <c r="X234" i="2" s="1"/>
  <c r="W235" i="2"/>
  <c r="X235" i="2" s="1" a="1"/>
  <c r="X235" i="2" s="1"/>
  <c r="W236" i="2"/>
  <c r="X236" i="2" s="1" a="1"/>
  <c r="X236" i="2" s="1"/>
  <c r="W237" i="2"/>
  <c r="X237" i="2" s="1" a="1"/>
  <c r="X237" i="2" s="1"/>
  <c r="W238" i="2"/>
  <c r="X238" i="2" s="1" a="1"/>
  <c r="X238" i="2" s="1"/>
  <c r="W239" i="2"/>
  <c r="X239" i="2" s="1" a="1"/>
  <c r="X239" i="2" s="1"/>
  <c r="W240" i="2"/>
  <c r="X240" i="2" s="1" a="1"/>
  <c r="X240" i="2" s="1"/>
  <c r="W241" i="2"/>
  <c r="X241" i="2" s="1" a="1"/>
  <c r="X241" i="2" s="1"/>
  <c r="W242" i="2"/>
  <c r="X242" i="2" s="1" a="1"/>
  <c r="X242" i="2" s="1"/>
  <c r="W243" i="2"/>
  <c r="X243" i="2" s="1" a="1"/>
  <c r="X243" i="2" s="1"/>
  <c r="W244" i="2"/>
  <c r="X244" i="2" s="1" a="1"/>
  <c r="X244" i="2" s="1"/>
  <c r="W245" i="2"/>
  <c r="X245" i="2" s="1" a="1"/>
  <c r="X245" i="2" s="1"/>
  <c r="W246" i="2"/>
  <c r="X246" i="2" s="1" a="1"/>
  <c r="X246" i="2" s="1"/>
  <c r="W247" i="2"/>
  <c r="X247" i="2" s="1" a="1"/>
  <c r="X247" i="2" s="1"/>
  <c r="W248" i="2"/>
  <c r="X248" i="2" s="1" a="1"/>
  <c r="X248" i="2" s="1"/>
  <c r="W249" i="2"/>
  <c r="X249" i="2" s="1" a="1"/>
  <c r="X249" i="2" s="1"/>
  <c r="W250" i="2"/>
  <c r="X250" i="2" s="1" a="1"/>
  <c r="X250" i="2" s="1"/>
  <c r="W251" i="2"/>
  <c r="X251" i="2" s="1" a="1"/>
  <c r="X251" i="2" s="1"/>
  <c r="W252" i="2"/>
  <c r="X252" i="2" s="1" a="1"/>
  <c r="X252" i="2" s="1"/>
  <c r="W253" i="2"/>
  <c r="X253" i="2" s="1" a="1"/>
  <c r="X253" i="2" s="1"/>
  <c r="W254" i="2"/>
  <c r="X254" i="2" s="1" a="1"/>
  <c r="X254" i="2" s="1"/>
  <c r="W255" i="2"/>
  <c r="X255" i="2" s="1" a="1"/>
  <c r="X255" i="2" s="1"/>
  <c r="W256" i="2"/>
  <c r="X256" i="2" s="1" a="1"/>
  <c r="X256" i="2" s="1"/>
  <c r="W257" i="2"/>
  <c r="X257" i="2" s="1" a="1"/>
  <c r="X257" i="2" s="1"/>
  <c r="W258" i="2"/>
  <c r="X258" i="2" s="1" a="1"/>
  <c r="X258" i="2" s="1"/>
  <c r="W259" i="2"/>
  <c r="X259" i="2" s="1" a="1"/>
  <c r="X259" i="2" s="1"/>
  <c r="W260" i="2"/>
  <c r="X260" i="2" s="1" a="1"/>
  <c r="X260" i="2" s="1"/>
  <c r="W261" i="2"/>
  <c r="X261" i="2" s="1" a="1"/>
  <c r="X261" i="2" s="1"/>
  <c r="W262" i="2"/>
  <c r="X262" i="2" s="1" a="1"/>
  <c r="X262" i="2" s="1"/>
  <c r="W263" i="2"/>
  <c r="X263" i="2" s="1" a="1"/>
  <c r="X263" i="2" s="1"/>
  <c r="W264" i="2"/>
  <c r="X264" i="2" s="1" a="1"/>
  <c r="X264" i="2" s="1"/>
  <c r="W265" i="2"/>
  <c r="X265" i="2" s="1" a="1"/>
  <c r="X265" i="2" s="1"/>
  <c r="W266" i="2"/>
  <c r="X266" i="2" s="1" a="1"/>
  <c r="X266" i="2" s="1"/>
  <c r="W267" i="2"/>
  <c r="X267" i="2" s="1" a="1"/>
  <c r="X267" i="2" s="1"/>
  <c r="W268" i="2"/>
  <c r="X268" i="2" s="1" a="1"/>
  <c r="X268" i="2" s="1"/>
  <c r="W269" i="2"/>
  <c r="X269" i="2" s="1" a="1"/>
  <c r="X269" i="2" s="1"/>
  <c r="W270" i="2"/>
  <c r="X270" i="2" s="1" a="1"/>
  <c r="X270" i="2" s="1"/>
  <c r="W271" i="2"/>
  <c r="X271" i="2" s="1" a="1"/>
  <c r="X271" i="2" s="1"/>
  <c r="W272" i="2"/>
  <c r="X272" i="2" s="1" a="1"/>
  <c r="X272" i="2" s="1"/>
  <c r="W273" i="2"/>
  <c r="X273" i="2" s="1" a="1"/>
  <c r="X273" i="2" s="1"/>
  <c r="W274" i="2"/>
  <c r="X274" i="2" s="1" a="1"/>
  <c r="X274" i="2" s="1"/>
  <c r="W275" i="2"/>
  <c r="X275" i="2" s="1" a="1"/>
  <c r="X275" i="2" s="1"/>
  <c r="W276" i="2"/>
  <c r="X276" i="2" s="1" a="1"/>
  <c r="X276" i="2" s="1"/>
  <c r="W277" i="2"/>
  <c r="X277" i="2" s="1" a="1"/>
  <c r="X277" i="2" s="1"/>
  <c r="W278" i="2"/>
  <c r="X278" i="2" s="1" a="1"/>
  <c r="X278" i="2" s="1"/>
  <c r="W279" i="2"/>
  <c r="X279" i="2" s="1" a="1"/>
  <c r="X279" i="2" s="1"/>
  <c r="W280" i="2"/>
  <c r="X280" i="2" s="1" a="1"/>
  <c r="X280" i="2" s="1"/>
  <c r="W281" i="2"/>
  <c r="X281" i="2" s="1" a="1"/>
  <c r="X281" i="2" s="1"/>
  <c r="W282" i="2"/>
  <c r="X282" i="2" s="1" a="1"/>
  <c r="X282" i="2" s="1"/>
  <c r="W283" i="2"/>
  <c r="X283" i="2" s="1" a="1"/>
  <c r="X283" i="2" s="1"/>
  <c r="W284" i="2"/>
  <c r="X284" i="2" s="1" a="1"/>
  <c r="X284" i="2" s="1"/>
  <c r="W285" i="2"/>
  <c r="X285" i="2" s="1" a="1"/>
  <c r="X285" i="2" s="1"/>
  <c r="W286" i="2"/>
  <c r="X286" i="2" s="1" a="1"/>
  <c r="X286" i="2" s="1"/>
  <c r="W287" i="2"/>
  <c r="X287" i="2" s="1" a="1"/>
  <c r="X287" i="2" s="1"/>
  <c r="W288" i="2"/>
  <c r="X288" i="2" s="1" a="1"/>
  <c r="X288" i="2" s="1"/>
  <c r="W289" i="2"/>
  <c r="X289" i="2" s="1" a="1"/>
  <c r="X289" i="2" s="1"/>
  <c r="W290" i="2"/>
  <c r="X290" i="2" s="1" a="1"/>
  <c r="X290" i="2" s="1"/>
  <c r="W291" i="2"/>
  <c r="X291" i="2" s="1" a="1"/>
  <c r="X291" i="2" s="1"/>
  <c r="W292" i="2"/>
  <c r="X292" i="2" s="1" a="1"/>
  <c r="X292" i="2" s="1"/>
  <c r="W293" i="2"/>
  <c r="X293" i="2" s="1" a="1"/>
  <c r="X293" i="2" s="1"/>
  <c r="W294" i="2"/>
  <c r="X294" i="2" s="1" a="1"/>
  <c r="X294" i="2" s="1"/>
  <c r="W295" i="2"/>
  <c r="X295" i="2" s="1" a="1"/>
  <c r="X295" i="2" s="1"/>
  <c r="W296" i="2"/>
  <c r="X296" i="2" s="1" a="1"/>
  <c r="X296" i="2" s="1"/>
  <c r="W297" i="2"/>
  <c r="X297" i="2" s="1" a="1"/>
  <c r="X297" i="2" s="1"/>
  <c r="W298" i="2"/>
  <c r="X298" i="2" s="1" a="1"/>
  <c r="X298" i="2" s="1"/>
  <c r="W299" i="2"/>
  <c r="X299" i="2" s="1" a="1"/>
  <c r="X299" i="2" s="1"/>
  <c r="W300" i="2"/>
  <c r="X300" i="2" s="1" a="1"/>
  <c r="X300" i="2" s="1"/>
  <c r="W301" i="2"/>
  <c r="X301" i="2" s="1" a="1"/>
  <c r="X301" i="2" s="1"/>
  <c r="W302" i="2"/>
  <c r="X302" i="2" s="1" a="1"/>
  <c r="X302" i="2" s="1"/>
  <c r="W303" i="2"/>
  <c r="X303" i="2" s="1" a="1"/>
  <c r="X303" i="2" s="1"/>
  <c r="W304" i="2"/>
  <c r="X304" i="2" s="1" a="1"/>
  <c r="X304" i="2" s="1"/>
  <c r="W305" i="2"/>
  <c r="X305" i="2" s="1" a="1"/>
  <c r="X305" i="2" s="1"/>
  <c r="W306" i="2"/>
  <c r="X306" i="2" s="1" a="1"/>
  <c r="X306" i="2" s="1"/>
  <c r="W307" i="2"/>
  <c r="X307" i="2" s="1" a="1"/>
  <c r="X307" i="2" s="1"/>
  <c r="W308" i="2"/>
  <c r="X308" i="2" s="1" a="1"/>
  <c r="X308" i="2" s="1"/>
  <c r="W309" i="2"/>
  <c r="X309" i="2" s="1" a="1"/>
  <c r="X309" i="2" s="1"/>
  <c r="W310" i="2"/>
  <c r="X310" i="2" s="1" a="1"/>
  <c r="X310" i="2" s="1"/>
  <c r="W311" i="2"/>
  <c r="X311" i="2" s="1" a="1"/>
  <c r="X311" i="2" s="1"/>
  <c r="W312" i="2"/>
  <c r="X312" i="2" s="1" a="1"/>
  <c r="X312" i="2" s="1"/>
  <c r="W313" i="2"/>
  <c r="X313" i="2" s="1" a="1"/>
  <c r="X313" i="2" s="1"/>
  <c r="W314" i="2"/>
  <c r="X314" i="2" s="1" a="1"/>
  <c r="X314" i="2" s="1"/>
  <c r="W315" i="2"/>
  <c r="X315" i="2" s="1" a="1"/>
  <c r="X315" i="2" s="1"/>
  <c r="W316" i="2"/>
  <c r="X316" i="2" s="1" a="1"/>
  <c r="X316" i="2" s="1"/>
  <c r="W317" i="2"/>
  <c r="X317" i="2" s="1" a="1"/>
  <c r="X317" i="2" s="1"/>
  <c r="W318" i="2"/>
  <c r="X318" i="2" s="1" a="1"/>
  <c r="X318" i="2" s="1"/>
  <c r="W319" i="2"/>
  <c r="X319" i="2" s="1" a="1"/>
  <c r="X319" i="2" s="1"/>
  <c r="W320" i="2"/>
  <c r="X320" i="2" s="1" a="1"/>
  <c r="X320" i="2" s="1"/>
  <c r="W321" i="2"/>
  <c r="X321" i="2" s="1" a="1"/>
  <c r="X321" i="2" s="1"/>
  <c r="W322" i="2"/>
  <c r="X322" i="2" s="1" a="1"/>
  <c r="X322" i="2" s="1"/>
  <c r="W323" i="2"/>
  <c r="X323" i="2" s="1" a="1"/>
  <c r="X323" i="2" s="1"/>
  <c r="W324" i="2"/>
  <c r="X324" i="2" s="1" a="1"/>
  <c r="X324" i="2" s="1"/>
  <c r="W325" i="2"/>
  <c r="X325" i="2" s="1" a="1"/>
  <c r="X325" i="2" s="1"/>
  <c r="W326" i="2"/>
  <c r="X326" i="2" s="1" a="1"/>
  <c r="X326" i="2" s="1"/>
  <c r="W327" i="2"/>
  <c r="X327" i="2" s="1" a="1"/>
  <c r="X327" i="2" s="1"/>
  <c r="W328" i="2"/>
  <c r="X328" i="2" s="1" a="1"/>
  <c r="X328" i="2" s="1"/>
  <c r="W329" i="2"/>
  <c r="X329" i="2" s="1" a="1"/>
  <c r="X329" i="2" s="1"/>
  <c r="W330" i="2"/>
  <c r="X330" i="2" s="1" a="1"/>
  <c r="X330" i="2" s="1"/>
  <c r="W331" i="2"/>
  <c r="X331" i="2" s="1" a="1"/>
  <c r="X331" i="2" s="1"/>
  <c r="W332" i="2"/>
  <c r="X332" i="2" s="1" a="1"/>
  <c r="X332" i="2" s="1"/>
  <c r="W333" i="2"/>
  <c r="X333" i="2" s="1" a="1"/>
  <c r="X333" i="2" s="1"/>
  <c r="W334" i="2"/>
  <c r="X334" i="2" s="1" a="1"/>
  <c r="X334" i="2" s="1"/>
  <c r="W335" i="2"/>
  <c r="X335" i="2" s="1" a="1"/>
  <c r="X335" i="2" s="1"/>
  <c r="W336" i="2"/>
  <c r="X336" i="2" s="1" a="1"/>
  <c r="X336" i="2" s="1"/>
  <c r="W337" i="2"/>
  <c r="X337" i="2" s="1" a="1"/>
  <c r="X337" i="2" s="1"/>
  <c r="W338" i="2"/>
  <c r="X338" i="2" s="1" a="1"/>
  <c r="X338" i="2" s="1"/>
  <c r="W339" i="2"/>
  <c r="X339" i="2" s="1" a="1"/>
  <c r="X339" i="2" s="1"/>
  <c r="W340" i="2"/>
  <c r="X340" i="2" s="1" a="1"/>
  <c r="X340" i="2" s="1"/>
  <c r="W341" i="2"/>
  <c r="X341" i="2" s="1" a="1"/>
  <c r="X341" i="2" s="1"/>
  <c r="W342" i="2"/>
  <c r="X342" i="2" s="1" a="1"/>
  <c r="X342" i="2" s="1"/>
  <c r="W343" i="2"/>
  <c r="X343" i="2" s="1" a="1"/>
  <c r="X343" i="2" s="1"/>
  <c r="W344" i="2"/>
  <c r="X344" i="2" s="1" a="1"/>
  <c r="X344" i="2" s="1"/>
  <c r="W345" i="2"/>
  <c r="X345" i="2" s="1" a="1"/>
  <c r="X345" i="2" s="1"/>
  <c r="W346" i="2"/>
  <c r="X346" i="2" s="1" a="1"/>
  <c r="X346" i="2" s="1"/>
  <c r="W347" i="2"/>
  <c r="X347" i="2" s="1" a="1"/>
  <c r="X347" i="2" s="1"/>
  <c r="W348" i="2"/>
  <c r="X348" i="2" s="1" a="1"/>
  <c r="X348" i="2" s="1"/>
  <c r="W349" i="2"/>
  <c r="X349" i="2" s="1" a="1"/>
  <c r="X349" i="2" s="1"/>
  <c r="W350" i="2"/>
  <c r="X350" i="2" s="1" a="1"/>
  <c r="X350" i="2" s="1"/>
  <c r="W351" i="2"/>
  <c r="X351" i="2" s="1" a="1"/>
  <c r="X351" i="2" s="1"/>
  <c r="W352" i="2"/>
  <c r="X352" i="2" s="1" a="1"/>
  <c r="X352" i="2" s="1"/>
  <c r="W353" i="2"/>
  <c r="X353" i="2" s="1" a="1"/>
  <c r="X353" i="2" s="1"/>
  <c r="W354" i="2"/>
  <c r="X354" i="2" s="1" a="1"/>
  <c r="X354" i="2" s="1"/>
  <c r="W355" i="2"/>
  <c r="X355" i="2" s="1" a="1"/>
  <c r="X355" i="2" s="1"/>
  <c r="W356" i="2"/>
  <c r="X356" i="2" s="1" a="1"/>
  <c r="X356" i="2" s="1"/>
  <c r="W357" i="2"/>
  <c r="X357" i="2" s="1" a="1"/>
  <c r="X357" i="2" s="1"/>
  <c r="W358" i="2"/>
  <c r="X358" i="2" s="1" a="1"/>
  <c r="X358" i="2" s="1"/>
  <c r="W359" i="2"/>
  <c r="X359" i="2" s="1" a="1"/>
  <c r="X359" i="2" s="1"/>
  <c r="W360" i="2"/>
  <c r="X360" i="2" s="1" a="1"/>
  <c r="X360" i="2" s="1"/>
  <c r="W361" i="2"/>
  <c r="X361" i="2" s="1" a="1"/>
  <c r="X361" i="2" s="1"/>
  <c r="W362" i="2"/>
  <c r="X362" i="2" s="1" a="1"/>
  <c r="X362" i="2" s="1"/>
  <c r="W363" i="2"/>
  <c r="X363" i="2" s="1" a="1"/>
  <c r="X363" i="2" s="1"/>
  <c r="W364" i="2"/>
  <c r="X364" i="2" s="1" a="1"/>
  <c r="X364" i="2" s="1"/>
  <c r="W365" i="2"/>
  <c r="X365" i="2" s="1" a="1"/>
  <c r="X365" i="2" s="1"/>
  <c r="W366" i="2"/>
  <c r="X366" i="2" s="1" a="1"/>
  <c r="X366" i="2" s="1"/>
  <c r="W367" i="2"/>
  <c r="X367" i="2" s="1" a="1"/>
  <c r="X367" i="2" s="1"/>
  <c r="W368" i="2"/>
  <c r="X368" i="2" s="1" a="1"/>
  <c r="X368" i="2" s="1"/>
  <c r="W369" i="2"/>
  <c r="X369" i="2" s="1" a="1"/>
  <c r="X369" i="2" s="1"/>
  <c r="W370" i="2"/>
  <c r="X370" i="2" s="1" a="1"/>
  <c r="X370" i="2" s="1"/>
  <c r="W371" i="2"/>
  <c r="X371" i="2" s="1" a="1"/>
  <c r="X371" i="2" s="1"/>
  <c r="W372" i="2"/>
  <c r="X372" i="2" s="1" a="1"/>
  <c r="X372" i="2" s="1"/>
  <c r="W373" i="2"/>
  <c r="X373" i="2" s="1" a="1"/>
  <c r="X373" i="2" s="1"/>
  <c r="W374" i="2"/>
  <c r="X374" i="2" s="1" a="1"/>
  <c r="X374" i="2" s="1"/>
  <c r="W375" i="2"/>
  <c r="X375" i="2" s="1" a="1"/>
  <c r="X375" i="2" s="1"/>
  <c r="W376" i="2"/>
  <c r="X376" i="2" s="1" a="1"/>
  <c r="X376" i="2" s="1"/>
  <c r="W377" i="2"/>
  <c r="X377" i="2" s="1" a="1"/>
  <c r="X377" i="2" s="1"/>
  <c r="W378" i="2"/>
  <c r="X378" i="2" s="1" a="1"/>
  <c r="X378" i="2" s="1"/>
  <c r="W379" i="2"/>
  <c r="X379" i="2" s="1" a="1"/>
  <c r="X379" i="2" s="1"/>
  <c r="W380" i="2"/>
  <c r="X380" i="2" s="1" a="1"/>
  <c r="X380" i="2" s="1"/>
  <c r="W381" i="2"/>
  <c r="X381" i="2" s="1" a="1"/>
  <c r="X381" i="2" s="1"/>
  <c r="W382" i="2"/>
  <c r="X382" i="2" s="1" a="1"/>
  <c r="X382" i="2" s="1"/>
  <c r="W383" i="2"/>
  <c r="X383" i="2" s="1" a="1"/>
  <c r="X383" i="2" s="1"/>
  <c r="W384" i="2"/>
  <c r="X384" i="2" s="1" a="1"/>
  <c r="X384" i="2" s="1"/>
  <c r="W385" i="2"/>
  <c r="X385" i="2" s="1" a="1"/>
  <c r="X385" i="2" s="1"/>
  <c r="W386" i="2"/>
  <c r="X386" i="2" s="1" a="1"/>
  <c r="X386" i="2" s="1"/>
  <c r="W387" i="2"/>
  <c r="X387" i="2" s="1" a="1"/>
  <c r="X387" i="2" s="1"/>
  <c r="W388" i="2"/>
  <c r="X388" i="2" s="1" a="1"/>
  <c r="X388" i="2" s="1"/>
  <c r="W389" i="2"/>
  <c r="X389" i="2" s="1" a="1"/>
  <c r="X389" i="2" s="1"/>
  <c r="W390" i="2"/>
  <c r="X390" i="2" s="1" a="1"/>
  <c r="X390" i="2" s="1"/>
  <c r="W391" i="2"/>
  <c r="X391" i="2" s="1" a="1"/>
  <c r="X391" i="2" s="1"/>
  <c r="W392" i="2"/>
  <c r="X392" i="2" s="1" a="1"/>
  <c r="X392" i="2" s="1"/>
  <c r="W393" i="2"/>
  <c r="X393" i="2" s="1" a="1"/>
  <c r="X393" i="2" s="1"/>
  <c r="W394" i="2"/>
  <c r="X394" i="2" s="1" a="1"/>
  <c r="X394" i="2" s="1"/>
  <c r="W395" i="2"/>
  <c r="X395" i="2" s="1" a="1"/>
  <c r="X395" i="2" s="1"/>
  <c r="W396" i="2"/>
  <c r="X396" i="2" s="1" a="1"/>
  <c r="X396" i="2" s="1"/>
  <c r="W397" i="2"/>
  <c r="X397" i="2" s="1" a="1"/>
  <c r="X397" i="2" s="1"/>
  <c r="W398" i="2"/>
  <c r="X398" i="2" s="1" a="1"/>
  <c r="X398" i="2" s="1"/>
  <c r="W399" i="2"/>
  <c r="X399" i="2" s="1" a="1"/>
  <c r="X399" i="2" s="1"/>
  <c r="W400" i="2"/>
  <c r="X400" i="2" s="1" a="1"/>
  <c r="X400" i="2" s="1"/>
  <c r="W401" i="2"/>
  <c r="X401" i="2" s="1" a="1"/>
  <c r="X401" i="2" s="1"/>
  <c r="W402" i="2"/>
  <c r="X402" i="2" s="1" a="1"/>
  <c r="X402" i="2" s="1"/>
  <c r="W403" i="2"/>
  <c r="X403" i="2" s="1" a="1"/>
  <c r="X403" i="2" s="1"/>
  <c r="W404" i="2"/>
  <c r="X404" i="2" s="1" a="1"/>
  <c r="X404" i="2" s="1"/>
  <c r="W405" i="2"/>
  <c r="X405" i="2" s="1" a="1"/>
  <c r="X405" i="2" s="1"/>
  <c r="W406" i="2"/>
  <c r="X406" i="2" s="1" a="1"/>
  <c r="X406" i="2" s="1"/>
  <c r="W407" i="2"/>
  <c r="X407" i="2" s="1" a="1"/>
  <c r="X407" i="2" s="1"/>
  <c r="W408" i="2"/>
  <c r="X408" i="2" s="1" a="1"/>
  <c r="X408" i="2" s="1"/>
  <c r="W409" i="2"/>
  <c r="X409" i="2" s="1" a="1"/>
  <c r="X409" i="2" s="1"/>
  <c r="W410" i="2"/>
  <c r="X410" i="2" s="1" a="1"/>
  <c r="X410" i="2" s="1"/>
  <c r="W411" i="2"/>
  <c r="X411" i="2" s="1" a="1"/>
  <c r="X411" i="2" s="1"/>
  <c r="W412" i="2"/>
  <c r="X412" i="2" s="1" a="1"/>
  <c r="X412" i="2" s="1"/>
  <c r="W413" i="2"/>
  <c r="X413" i="2" s="1" a="1"/>
  <c r="X413" i="2" s="1"/>
  <c r="W414" i="2"/>
  <c r="X414" i="2" s="1" a="1"/>
  <c r="X414" i="2" s="1"/>
  <c r="W415" i="2"/>
  <c r="X415" i="2" s="1" a="1"/>
  <c r="X415" i="2" s="1"/>
  <c r="W416" i="2"/>
  <c r="X416" i="2" s="1" a="1"/>
  <c r="X416" i="2" s="1"/>
  <c r="W417" i="2"/>
  <c r="X417" i="2" s="1" a="1"/>
  <c r="X417" i="2" s="1"/>
  <c r="W418" i="2"/>
  <c r="X418" i="2" s="1" a="1"/>
  <c r="X418" i="2" s="1"/>
  <c r="W419" i="2"/>
  <c r="X419" i="2" s="1" a="1"/>
  <c r="X419" i="2" s="1"/>
  <c r="W420" i="2"/>
  <c r="X420" i="2" s="1" a="1"/>
  <c r="X420" i="2" s="1"/>
  <c r="W421" i="2"/>
  <c r="X421" i="2" s="1" a="1"/>
  <c r="X421" i="2" s="1"/>
  <c r="W422" i="2"/>
  <c r="X422" i="2" s="1" a="1"/>
  <c r="X422" i="2" s="1"/>
  <c r="W423" i="2"/>
  <c r="X423" i="2" s="1" a="1"/>
  <c r="X423" i="2" s="1"/>
  <c r="W424" i="2"/>
  <c r="X424" i="2" s="1" a="1"/>
  <c r="X424" i="2" s="1"/>
  <c r="W425" i="2"/>
  <c r="X425" i="2" s="1" a="1"/>
  <c r="X425" i="2" s="1"/>
  <c r="W426" i="2"/>
  <c r="X426" i="2" s="1" a="1"/>
  <c r="X426" i="2" s="1"/>
  <c r="W427" i="2"/>
  <c r="X427" i="2" s="1" a="1"/>
  <c r="X427" i="2" s="1"/>
  <c r="W428" i="2"/>
  <c r="X428" i="2" s="1" a="1"/>
  <c r="X428" i="2" s="1"/>
  <c r="W429" i="2"/>
  <c r="X429" i="2" s="1" a="1"/>
  <c r="X429" i="2" s="1"/>
  <c r="W430" i="2"/>
  <c r="X430" i="2" s="1" a="1"/>
  <c r="X430" i="2" s="1"/>
  <c r="W431" i="2"/>
  <c r="X431" i="2" s="1" a="1"/>
  <c r="X431" i="2" s="1"/>
  <c r="W432" i="2"/>
  <c r="X432" i="2" s="1" a="1"/>
  <c r="X432" i="2" s="1"/>
  <c r="W433" i="2"/>
  <c r="X433" i="2" s="1" a="1"/>
  <c r="X433" i="2" s="1"/>
  <c r="W434" i="2"/>
  <c r="X434" i="2" s="1" a="1"/>
  <c r="X434" i="2" s="1"/>
  <c r="W435" i="2"/>
  <c r="X435" i="2" s="1" a="1"/>
  <c r="X435" i="2" s="1"/>
  <c r="W436" i="2"/>
  <c r="X436" i="2" s="1" a="1"/>
  <c r="X436" i="2" s="1"/>
  <c r="W437" i="2"/>
  <c r="X437" i="2" s="1" a="1"/>
  <c r="X437" i="2" s="1"/>
  <c r="W438" i="2"/>
  <c r="X438" i="2" s="1" a="1"/>
  <c r="X438" i="2" s="1"/>
  <c r="W439" i="2"/>
  <c r="X439" i="2" s="1" a="1"/>
  <c r="X439" i="2" s="1"/>
  <c r="W440" i="2"/>
  <c r="X440" i="2" s="1" a="1"/>
  <c r="X440" i="2" s="1"/>
  <c r="W441" i="2"/>
  <c r="X441" i="2" s="1" a="1"/>
  <c r="X441" i="2" s="1"/>
  <c r="W442" i="2"/>
  <c r="X442" i="2" s="1" a="1"/>
  <c r="X442" i="2" s="1"/>
  <c r="W443" i="2"/>
  <c r="X443" i="2" s="1" a="1"/>
  <c r="X443" i="2" s="1"/>
  <c r="W444" i="2"/>
  <c r="X444" i="2" s="1" a="1"/>
  <c r="X444" i="2" s="1"/>
  <c r="W445" i="2"/>
  <c r="X445" i="2" s="1" a="1"/>
  <c r="X445" i="2" s="1"/>
  <c r="W446" i="2"/>
  <c r="X446" i="2" s="1" a="1"/>
  <c r="X446" i="2" s="1"/>
  <c r="W447" i="2"/>
  <c r="X447" i="2" s="1" a="1"/>
  <c r="X447" i="2" s="1"/>
  <c r="W448" i="2"/>
  <c r="X448" i="2" s="1" a="1"/>
  <c r="X448" i="2" s="1"/>
  <c r="W449" i="2"/>
  <c r="X449" i="2" s="1" a="1"/>
  <c r="X449" i="2" s="1"/>
  <c r="W450" i="2"/>
  <c r="X450" i="2" s="1" a="1"/>
  <c r="X450" i="2" s="1"/>
  <c r="W451" i="2"/>
  <c r="X451" i="2" s="1" a="1"/>
  <c r="X451" i="2" s="1"/>
  <c r="W452" i="2"/>
  <c r="X452" i="2" s="1" a="1"/>
  <c r="X452" i="2" s="1"/>
  <c r="W453" i="2"/>
  <c r="X453" i="2" s="1" a="1"/>
  <c r="X453" i="2" s="1"/>
  <c r="W454" i="2"/>
  <c r="X454" i="2" s="1" a="1"/>
  <c r="X454" i="2" s="1"/>
  <c r="W455" i="2"/>
  <c r="X455" i="2" s="1" a="1"/>
  <c r="X455" i="2" s="1"/>
  <c r="W456" i="2"/>
  <c r="X456" i="2" s="1" a="1"/>
  <c r="X456" i="2" s="1"/>
  <c r="W457" i="2"/>
  <c r="X457" i="2" s="1" a="1"/>
  <c r="X457" i="2" s="1"/>
  <c r="W458" i="2"/>
  <c r="X458" i="2" s="1" a="1"/>
  <c r="X458" i="2" s="1"/>
  <c r="W459" i="2"/>
  <c r="X459" i="2" s="1" a="1"/>
  <c r="X459" i="2" s="1"/>
  <c r="W460" i="2"/>
  <c r="X460" i="2" s="1" a="1"/>
  <c r="X460" i="2" s="1"/>
  <c r="W461" i="2"/>
  <c r="X461" i="2" s="1" a="1"/>
  <c r="X461" i="2" s="1"/>
  <c r="W462" i="2"/>
  <c r="X462" i="2" s="1" a="1"/>
  <c r="X462" i="2" s="1"/>
  <c r="W463" i="2"/>
  <c r="X463" i="2" s="1" a="1"/>
  <c r="X463" i="2" s="1"/>
  <c r="W464" i="2"/>
  <c r="X464" i="2" s="1" a="1"/>
  <c r="X464" i="2" s="1"/>
  <c r="W465" i="2"/>
  <c r="X465" i="2" s="1" a="1"/>
  <c r="X465" i="2" s="1"/>
  <c r="W466" i="2"/>
  <c r="X466" i="2" s="1" a="1"/>
  <c r="X466" i="2" s="1"/>
  <c r="W467" i="2"/>
  <c r="X467" i="2" s="1" a="1"/>
  <c r="X467" i="2" s="1"/>
  <c r="W468" i="2"/>
  <c r="X468" i="2" s="1" a="1"/>
  <c r="X468" i="2" s="1"/>
  <c r="W469" i="2"/>
  <c r="X469" i="2" s="1" a="1"/>
  <c r="X469" i="2" s="1"/>
  <c r="W470" i="2"/>
  <c r="X470" i="2" s="1" a="1"/>
  <c r="X470" i="2" s="1"/>
  <c r="W471" i="2"/>
  <c r="X471" i="2" s="1" a="1"/>
  <c r="X471" i="2" s="1"/>
  <c r="W472" i="2"/>
  <c r="X472" i="2" s="1" a="1"/>
  <c r="X472" i="2" s="1"/>
  <c r="W473" i="2"/>
  <c r="X473" i="2" s="1" a="1"/>
  <c r="X473" i="2" s="1"/>
  <c r="W474" i="2"/>
  <c r="X474" i="2" s="1" a="1"/>
  <c r="X474" i="2" s="1"/>
  <c r="W475" i="2"/>
  <c r="X475" i="2" s="1" a="1"/>
  <c r="X475" i="2" s="1"/>
  <c r="W476" i="2"/>
  <c r="X476" i="2" s="1" a="1"/>
  <c r="X476" i="2" s="1"/>
  <c r="W477" i="2"/>
  <c r="X477" i="2" s="1" a="1"/>
  <c r="X477" i="2" s="1"/>
  <c r="W478" i="2"/>
  <c r="X478" i="2" s="1" a="1"/>
  <c r="X478" i="2" s="1"/>
  <c r="W479" i="2"/>
  <c r="X479" i="2" s="1" a="1"/>
  <c r="X479" i="2" s="1"/>
  <c r="W480" i="2"/>
  <c r="X480" i="2" s="1" a="1"/>
  <c r="X480" i="2" s="1"/>
  <c r="W481" i="2"/>
  <c r="X481" i="2" s="1" a="1"/>
  <c r="X481" i="2" s="1"/>
  <c r="W482" i="2"/>
  <c r="X482" i="2" s="1" a="1"/>
  <c r="X482" i="2" s="1"/>
  <c r="W483" i="2"/>
  <c r="X483" i="2" s="1" a="1"/>
  <c r="X483" i="2" s="1"/>
  <c r="W484" i="2"/>
  <c r="X484" i="2" s="1" a="1"/>
  <c r="X484" i="2" s="1"/>
  <c r="W485" i="2"/>
  <c r="X485" i="2" s="1" a="1"/>
  <c r="X485" i="2" s="1"/>
  <c r="W486" i="2"/>
  <c r="X486" i="2" s="1" a="1"/>
  <c r="X486" i="2" s="1"/>
  <c r="W487" i="2"/>
  <c r="X487" i="2" s="1" a="1"/>
  <c r="X487" i="2" s="1"/>
  <c r="W488" i="2"/>
  <c r="X488" i="2" s="1" a="1"/>
  <c r="X488" i="2" s="1"/>
  <c r="W489" i="2"/>
  <c r="X489" i="2" s="1" a="1"/>
  <c r="X489" i="2" s="1"/>
  <c r="W490" i="2"/>
  <c r="X490" i="2" s="1" a="1"/>
  <c r="X490" i="2" s="1"/>
  <c r="W491" i="2"/>
  <c r="X491" i="2" s="1" a="1"/>
  <c r="X491" i="2" s="1"/>
  <c r="W492" i="2"/>
  <c r="X492" i="2" s="1" a="1"/>
  <c r="X492" i="2" s="1"/>
  <c r="W493" i="2"/>
  <c r="X493" i="2" s="1" a="1"/>
  <c r="X493" i="2" s="1"/>
  <c r="W494" i="2"/>
  <c r="X494" i="2" s="1" a="1"/>
  <c r="X494" i="2" s="1"/>
  <c r="W495" i="2"/>
  <c r="X495" i="2" s="1" a="1"/>
  <c r="X495" i="2" s="1"/>
  <c r="W496" i="2"/>
  <c r="X496" i="2" s="1" a="1"/>
  <c r="X496" i="2" s="1"/>
  <c r="W497" i="2"/>
  <c r="X497" i="2" s="1" a="1"/>
  <c r="X497" i="2" s="1"/>
  <c r="W498" i="2"/>
  <c r="X498" i="2" s="1" a="1"/>
  <c r="X498" i="2" s="1"/>
  <c r="W499" i="2"/>
  <c r="X499" i="2" s="1" a="1"/>
  <c r="X499" i="2" s="1"/>
  <c r="W500" i="2"/>
  <c r="X500" i="2" s="1" a="1"/>
  <c r="X500" i="2" s="1"/>
  <c r="W501" i="2"/>
  <c r="X501" i="2" s="1" a="1"/>
  <c r="X501" i="2" s="1"/>
  <c r="W502" i="2"/>
  <c r="X502" i="2" s="1" a="1"/>
  <c r="X502" i="2" s="1"/>
  <c r="W503" i="2"/>
  <c r="X503" i="2" s="1" a="1"/>
  <c r="X503" i="2" s="1"/>
  <c r="W504" i="2"/>
  <c r="X504" i="2" s="1" a="1"/>
  <c r="X504" i="2" s="1"/>
  <c r="W505" i="2"/>
  <c r="X505" i="2" s="1" a="1"/>
  <c r="X505" i="2" s="1"/>
  <c r="W506" i="2"/>
  <c r="X506" i="2" s="1" a="1"/>
  <c r="X506" i="2" s="1"/>
  <c r="W507" i="2"/>
  <c r="X507" i="2" s="1" a="1"/>
  <c r="X507" i="2" s="1"/>
  <c r="W508" i="2"/>
  <c r="X508" i="2" s="1" a="1"/>
  <c r="X508" i="2" s="1"/>
  <c r="W509" i="2"/>
  <c r="X509" i="2" s="1" a="1"/>
  <c r="X509" i="2" s="1"/>
  <c r="W510" i="2"/>
  <c r="X510" i="2" s="1" a="1"/>
  <c r="X510" i="2" s="1"/>
  <c r="W511" i="2"/>
  <c r="X511" i="2" s="1" a="1"/>
  <c r="X511" i="2" s="1"/>
  <c r="W512" i="2"/>
  <c r="X512" i="2" s="1" a="1"/>
  <c r="X512" i="2" s="1"/>
  <c r="W513" i="2"/>
  <c r="X513" i="2" s="1" a="1"/>
  <c r="X513" i="2" s="1"/>
  <c r="W514" i="2"/>
  <c r="X514" i="2" s="1" a="1"/>
  <c r="X514" i="2" s="1"/>
  <c r="W515" i="2"/>
  <c r="X515" i="2" s="1" a="1"/>
  <c r="X515" i="2" s="1"/>
  <c r="W516" i="2"/>
  <c r="X516" i="2" s="1" a="1"/>
  <c r="X516" i="2" s="1"/>
  <c r="W517" i="2"/>
  <c r="X517" i="2" s="1" a="1"/>
  <c r="X517" i="2" s="1"/>
  <c r="W518" i="2"/>
  <c r="X518" i="2" s="1" a="1"/>
  <c r="X518" i="2" s="1"/>
  <c r="W519" i="2"/>
  <c r="X519" i="2" s="1" a="1"/>
  <c r="X519" i="2" s="1"/>
  <c r="W520" i="2"/>
  <c r="X520" i="2" s="1" a="1"/>
  <c r="X520" i="2" s="1"/>
  <c r="W521" i="2"/>
  <c r="X521" i="2" s="1" a="1"/>
  <c r="X521" i="2" s="1"/>
  <c r="W522" i="2"/>
  <c r="X522" i="2" s="1" a="1"/>
  <c r="X522" i="2" s="1"/>
  <c r="W523" i="2"/>
  <c r="X523" i="2" s="1" a="1"/>
  <c r="X523" i="2" s="1"/>
  <c r="W524" i="2"/>
  <c r="X524" i="2" s="1" a="1"/>
  <c r="X524" i="2" s="1"/>
  <c r="W525" i="2"/>
  <c r="X525" i="2" s="1" a="1"/>
  <c r="X525" i="2" s="1"/>
  <c r="W526" i="2"/>
  <c r="X526" i="2" s="1" a="1"/>
  <c r="X526" i="2" s="1"/>
  <c r="W527" i="2"/>
  <c r="X527" i="2" s="1" a="1"/>
  <c r="X527" i="2" s="1"/>
  <c r="W528" i="2"/>
  <c r="X528" i="2" s="1" a="1"/>
  <c r="X528" i="2" s="1"/>
  <c r="W529" i="2"/>
  <c r="X529" i="2" s="1" a="1"/>
  <c r="X529" i="2" s="1"/>
  <c r="W530" i="2"/>
  <c r="X530" i="2" s="1" a="1"/>
  <c r="X530" i="2" s="1"/>
  <c r="W531" i="2"/>
  <c r="X531" i="2" s="1" a="1"/>
  <c r="X531" i="2" s="1"/>
  <c r="W532" i="2"/>
  <c r="X532" i="2" s="1" a="1"/>
  <c r="X532" i="2" s="1"/>
  <c r="W533" i="2"/>
  <c r="X533" i="2" s="1" a="1"/>
  <c r="X533" i="2" s="1"/>
  <c r="W534" i="2"/>
  <c r="X534" i="2" s="1" a="1"/>
  <c r="X534" i="2" s="1"/>
  <c r="W535" i="2"/>
  <c r="X535" i="2" s="1" a="1"/>
  <c r="X535" i="2" s="1"/>
  <c r="W536" i="2"/>
  <c r="X536" i="2" s="1" a="1"/>
  <c r="X536" i="2" s="1"/>
  <c r="W537" i="2"/>
  <c r="X537" i="2" s="1" a="1"/>
  <c r="X537" i="2" s="1"/>
  <c r="W538" i="2"/>
  <c r="X538" i="2" s="1" a="1"/>
  <c r="X538" i="2" s="1"/>
  <c r="W539" i="2"/>
  <c r="X539" i="2" s="1" a="1"/>
  <c r="X539" i="2" s="1"/>
  <c r="W540" i="2"/>
  <c r="X540" i="2" s="1" a="1"/>
  <c r="X540" i="2" s="1"/>
  <c r="W541" i="2"/>
  <c r="X541" i="2" s="1" a="1"/>
  <c r="X541" i="2" s="1"/>
  <c r="W542" i="2"/>
  <c r="X542" i="2" s="1" a="1"/>
  <c r="X542" i="2" s="1"/>
  <c r="W543" i="2"/>
  <c r="X543" i="2" s="1" a="1"/>
  <c r="X543" i="2" s="1"/>
  <c r="W544" i="2"/>
  <c r="X544" i="2" s="1" a="1"/>
  <c r="X544" i="2" s="1"/>
  <c r="W545" i="2"/>
  <c r="X545" i="2" s="1" a="1"/>
  <c r="X545" i="2" s="1"/>
  <c r="W546" i="2"/>
  <c r="X546" i="2" s="1" a="1"/>
  <c r="X546" i="2" s="1"/>
  <c r="W547" i="2"/>
  <c r="X547" i="2" s="1" a="1"/>
  <c r="X547" i="2" s="1"/>
  <c r="W548" i="2"/>
  <c r="X548" i="2" s="1" a="1"/>
  <c r="X548" i="2" s="1"/>
  <c r="W549" i="2"/>
  <c r="X549" i="2" s="1" a="1"/>
  <c r="X549" i="2" s="1"/>
  <c r="W550" i="2"/>
  <c r="X550" i="2" s="1" a="1"/>
  <c r="X550" i="2" s="1"/>
  <c r="W551" i="2"/>
  <c r="X551" i="2" s="1" a="1"/>
  <c r="X551" i="2" s="1"/>
  <c r="W552" i="2"/>
  <c r="X552" i="2" s="1" a="1"/>
  <c r="X552" i="2" s="1"/>
  <c r="W553" i="2"/>
  <c r="X553" i="2" s="1" a="1"/>
  <c r="X553" i="2" s="1"/>
  <c r="W554" i="2"/>
  <c r="X554" i="2" s="1" a="1"/>
  <c r="X554" i="2" s="1"/>
  <c r="W555" i="2"/>
  <c r="X555" i="2" s="1" a="1"/>
  <c r="X555" i="2" s="1"/>
  <c r="W556" i="2"/>
  <c r="X556" i="2" s="1" a="1"/>
  <c r="X556" i="2" s="1"/>
  <c r="W557" i="2"/>
  <c r="X557" i="2" s="1" a="1"/>
  <c r="X557" i="2" s="1"/>
  <c r="W558" i="2"/>
  <c r="X558" i="2" s="1" a="1"/>
  <c r="X558" i="2" s="1"/>
  <c r="W559" i="2"/>
  <c r="X559" i="2" s="1" a="1"/>
  <c r="X559" i="2" s="1"/>
  <c r="W560" i="2"/>
  <c r="X560" i="2" s="1" a="1"/>
  <c r="X560" i="2" s="1"/>
  <c r="W561" i="2"/>
  <c r="X561" i="2" s="1" a="1"/>
  <c r="X561" i="2" s="1"/>
  <c r="W562" i="2"/>
  <c r="X562" i="2" s="1" a="1"/>
  <c r="X562" i="2" s="1"/>
  <c r="W563" i="2"/>
  <c r="X563" i="2" s="1" a="1"/>
  <c r="X563" i="2" s="1"/>
  <c r="W564" i="2"/>
  <c r="X564" i="2" s="1" a="1"/>
  <c r="X564" i="2" s="1"/>
  <c r="W565" i="2"/>
  <c r="X565" i="2" s="1" a="1"/>
  <c r="X565" i="2" s="1"/>
  <c r="W566" i="2"/>
  <c r="X566" i="2" s="1" a="1"/>
  <c r="X566" i="2" s="1"/>
  <c r="W567" i="2"/>
  <c r="X567" i="2" s="1" a="1"/>
  <c r="X567" i="2" s="1"/>
  <c r="W568" i="2"/>
  <c r="X568" i="2" s="1" a="1"/>
  <c r="X568" i="2" s="1"/>
  <c r="W569" i="2"/>
  <c r="X569" i="2" s="1" a="1"/>
  <c r="X569" i="2" s="1"/>
  <c r="W570" i="2"/>
  <c r="X570" i="2" s="1" a="1"/>
  <c r="X570" i="2" s="1"/>
  <c r="W571" i="2"/>
  <c r="X571" i="2" s="1" a="1"/>
  <c r="X571" i="2" s="1"/>
  <c r="W572" i="2"/>
  <c r="X572" i="2" s="1" a="1"/>
  <c r="X572" i="2" s="1"/>
  <c r="W573" i="2"/>
  <c r="X573" i="2" s="1" a="1"/>
  <c r="X573" i="2" s="1"/>
  <c r="W574" i="2"/>
  <c r="X574" i="2" s="1" a="1"/>
  <c r="X574" i="2" s="1"/>
  <c r="W575" i="2"/>
  <c r="X575" i="2" s="1" a="1"/>
  <c r="X575" i="2" s="1"/>
  <c r="W576" i="2"/>
  <c r="X576" i="2" s="1" a="1"/>
  <c r="X576" i="2" s="1"/>
  <c r="W577" i="2"/>
  <c r="X577" i="2" s="1" a="1"/>
  <c r="X577" i="2" s="1"/>
  <c r="W578" i="2"/>
  <c r="X578" i="2" s="1" a="1"/>
  <c r="X578" i="2" s="1"/>
  <c r="W579" i="2"/>
  <c r="X579" i="2" s="1" a="1"/>
  <c r="X579" i="2" s="1"/>
  <c r="W580" i="2"/>
  <c r="X580" i="2" s="1" a="1"/>
  <c r="X580" i="2" s="1"/>
  <c r="W581" i="2"/>
  <c r="X581" i="2" s="1" a="1"/>
  <c r="X581" i="2" s="1"/>
  <c r="W582" i="2"/>
  <c r="X582" i="2" s="1" a="1"/>
  <c r="X582" i="2" s="1"/>
  <c r="W583" i="2"/>
  <c r="X583" i="2" s="1" a="1"/>
  <c r="X583" i="2" s="1"/>
  <c r="W584" i="2"/>
  <c r="X584" i="2" s="1" a="1"/>
  <c r="X584" i="2" s="1"/>
  <c r="W585" i="2"/>
  <c r="X585" i="2" s="1" a="1"/>
  <c r="X585" i="2" s="1"/>
  <c r="W586" i="2"/>
  <c r="X586" i="2" s="1" a="1"/>
  <c r="X586" i="2" s="1"/>
  <c r="W587" i="2"/>
  <c r="X587" i="2" s="1" a="1"/>
  <c r="X587" i="2" s="1"/>
  <c r="W588" i="2"/>
  <c r="X588" i="2" s="1" a="1"/>
  <c r="X588" i="2" s="1"/>
  <c r="W589" i="2"/>
  <c r="X589" i="2" s="1" a="1"/>
  <c r="X589" i="2" s="1"/>
  <c r="W590" i="2"/>
  <c r="X590" i="2" s="1" a="1"/>
  <c r="X590" i="2" s="1"/>
  <c r="W591" i="2"/>
  <c r="X591" i="2" s="1" a="1"/>
  <c r="X591" i="2" s="1"/>
  <c r="W592" i="2"/>
  <c r="X592" i="2" s="1" a="1"/>
  <c r="X592" i="2" s="1"/>
  <c r="W593" i="2"/>
  <c r="X593" i="2" s="1" a="1"/>
  <c r="X593" i="2" s="1"/>
  <c r="W594" i="2"/>
  <c r="X594" i="2" s="1" a="1"/>
  <c r="X594" i="2" s="1"/>
  <c r="W595" i="2"/>
  <c r="X595" i="2" s="1" a="1"/>
  <c r="X595" i="2" s="1"/>
  <c r="W596" i="2"/>
  <c r="X596" i="2" s="1" a="1"/>
  <c r="X596" i="2" s="1"/>
  <c r="W597" i="2"/>
  <c r="X597" i="2" s="1" a="1"/>
  <c r="X597" i="2" s="1"/>
  <c r="W598" i="2"/>
  <c r="X598" i="2" s="1" a="1"/>
  <c r="X598" i="2" s="1"/>
  <c r="W599" i="2"/>
  <c r="X599" i="2" s="1" a="1"/>
  <c r="X599" i="2" s="1"/>
  <c r="W600" i="2"/>
  <c r="X600" i="2" s="1" a="1"/>
  <c r="X600" i="2" s="1"/>
  <c r="W601" i="2"/>
  <c r="X601" i="2" s="1" a="1"/>
  <c r="X601" i="2" s="1"/>
  <c r="W602" i="2"/>
  <c r="X602" i="2" s="1" a="1"/>
  <c r="X602" i="2" s="1"/>
  <c r="W603" i="2"/>
  <c r="X603" i="2" s="1" a="1"/>
  <c r="X603" i="2" s="1"/>
  <c r="W604" i="2"/>
  <c r="X604" i="2" s="1" a="1"/>
  <c r="X604" i="2" s="1"/>
  <c r="W605" i="2"/>
  <c r="X605" i="2" s="1" a="1"/>
  <c r="X605" i="2" s="1"/>
  <c r="W606" i="2"/>
  <c r="X606" i="2" s="1" a="1"/>
  <c r="X606" i="2" s="1"/>
  <c r="W607" i="2"/>
  <c r="X607" i="2" s="1" a="1"/>
  <c r="X607" i="2" s="1"/>
  <c r="W608" i="2"/>
  <c r="X608" i="2" s="1" a="1"/>
  <c r="X608" i="2" s="1"/>
  <c r="W609" i="2"/>
  <c r="X609" i="2" s="1" a="1"/>
  <c r="X609" i="2" s="1"/>
  <c r="W610" i="2"/>
  <c r="X610" i="2" s="1" a="1"/>
  <c r="X610" i="2" s="1"/>
  <c r="W611" i="2"/>
  <c r="X611" i="2" s="1" a="1"/>
  <c r="X611" i="2" s="1"/>
  <c r="W612" i="2"/>
  <c r="X612" i="2" s="1" a="1"/>
  <c r="X612" i="2" s="1"/>
  <c r="W613" i="2"/>
  <c r="X613" i="2" s="1" a="1"/>
  <c r="X613" i="2" s="1"/>
  <c r="W614" i="2"/>
  <c r="X614" i="2" s="1" a="1"/>
  <c r="X614" i="2" s="1"/>
  <c r="W615" i="2"/>
  <c r="X615" i="2" s="1" a="1"/>
  <c r="X615" i="2" s="1"/>
  <c r="W616" i="2"/>
  <c r="X616" i="2" s="1" a="1"/>
  <c r="X616" i="2" s="1"/>
  <c r="W617" i="2"/>
  <c r="X617" i="2" s="1" a="1"/>
  <c r="X617" i="2" s="1"/>
  <c r="W618" i="2"/>
  <c r="X618" i="2" s="1" a="1"/>
  <c r="X618" i="2" s="1"/>
  <c r="W619" i="2"/>
  <c r="X619" i="2" s="1" a="1"/>
  <c r="X619" i="2" s="1"/>
  <c r="W620" i="2"/>
  <c r="X620" i="2" s="1" a="1"/>
  <c r="X620" i="2" s="1"/>
  <c r="W621" i="2"/>
  <c r="X621" i="2" s="1" a="1"/>
  <c r="X621" i="2" s="1"/>
  <c r="W622" i="2"/>
  <c r="X622" i="2" s="1" a="1"/>
  <c r="X622" i="2" s="1"/>
  <c r="W623" i="2"/>
  <c r="X623" i="2" s="1" a="1"/>
  <c r="X623" i="2" s="1"/>
  <c r="W624" i="2"/>
  <c r="X624" i="2" s="1" a="1"/>
  <c r="X624" i="2" s="1"/>
  <c r="W625" i="2"/>
  <c r="X625" i="2" s="1" a="1"/>
  <c r="X625" i="2" s="1"/>
  <c r="W626" i="2"/>
  <c r="X626" i="2" s="1" a="1"/>
  <c r="X626" i="2" s="1"/>
  <c r="W627" i="2"/>
  <c r="X627" i="2" s="1" a="1"/>
  <c r="X627" i="2" s="1"/>
  <c r="W628" i="2"/>
  <c r="X628" i="2" s="1" a="1"/>
  <c r="X628" i="2" s="1"/>
  <c r="W629" i="2"/>
  <c r="X629" i="2" s="1" a="1"/>
  <c r="X629" i="2" s="1"/>
  <c r="W630" i="2"/>
  <c r="X630" i="2" s="1" a="1"/>
  <c r="X630" i="2" s="1"/>
  <c r="W631" i="2"/>
  <c r="X631" i="2" s="1" a="1"/>
  <c r="X631" i="2" s="1"/>
  <c r="W632" i="2"/>
  <c r="X632" i="2" s="1" a="1"/>
  <c r="X632" i="2" s="1"/>
  <c r="W633" i="2"/>
  <c r="X633" i="2" s="1" a="1"/>
  <c r="X633" i="2" s="1"/>
  <c r="W634" i="2"/>
  <c r="X634" i="2" s="1" a="1"/>
  <c r="X634" i="2" s="1"/>
  <c r="W635" i="2"/>
  <c r="X635" i="2" s="1" a="1"/>
  <c r="X635" i="2" s="1"/>
  <c r="W636" i="2"/>
  <c r="X636" i="2" s="1" a="1"/>
  <c r="X636" i="2" s="1"/>
  <c r="W637" i="2"/>
  <c r="X637" i="2" s="1" a="1"/>
  <c r="X637" i="2" s="1"/>
  <c r="W638" i="2"/>
  <c r="X638" i="2" s="1" a="1"/>
  <c r="X638" i="2" s="1"/>
  <c r="W639" i="2"/>
  <c r="X639" i="2" s="1" a="1"/>
  <c r="X639" i="2" s="1"/>
  <c r="W640" i="2"/>
  <c r="X640" i="2" s="1" a="1"/>
  <c r="X640" i="2" s="1"/>
  <c r="W641" i="2"/>
  <c r="X641" i="2" s="1" a="1"/>
  <c r="X641" i="2" s="1"/>
  <c r="W642" i="2"/>
  <c r="X642" i="2" s="1" a="1"/>
  <c r="X642" i="2" s="1"/>
  <c r="W643" i="2"/>
  <c r="X643" i="2" s="1" a="1"/>
  <c r="X643" i="2" s="1"/>
  <c r="W644" i="2"/>
  <c r="X644" i="2" s="1" a="1"/>
  <c r="X644" i="2" s="1"/>
  <c r="W645" i="2"/>
  <c r="X645" i="2" s="1" a="1"/>
  <c r="X645" i="2" s="1"/>
  <c r="W646" i="2"/>
  <c r="X646" i="2" s="1" a="1"/>
  <c r="X646" i="2" s="1"/>
  <c r="W647" i="2"/>
  <c r="X647" i="2" s="1" a="1"/>
  <c r="X647" i="2" s="1"/>
  <c r="W648" i="2"/>
  <c r="X648" i="2" s="1" a="1"/>
  <c r="X648" i="2" s="1"/>
  <c r="W649" i="2"/>
  <c r="X649" i="2" s="1" a="1"/>
  <c r="X649" i="2" s="1"/>
  <c r="W650" i="2"/>
  <c r="X650" i="2" s="1" a="1"/>
  <c r="X650" i="2" s="1"/>
  <c r="W651" i="2"/>
  <c r="X651" i="2" s="1" a="1"/>
  <c r="X651" i="2" s="1"/>
  <c r="W652" i="2"/>
  <c r="X652" i="2" s="1" a="1"/>
  <c r="X652" i="2" s="1"/>
  <c r="W653" i="2"/>
  <c r="X653" i="2" s="1" a="1"/>
  <c r="X653" i="2" s="1"/>
  <c r="W654" i="2"/>
  <c r="X654" i="2" s="1" a="1"/>
  <c r="X654" i="2" s="1"/>
  <c r="W655" i="2"/>
  <c r="X655" i="2" s="1" a="1"/>
  <c r="X655" i="2" s="1"/>
  <c r="W656" i="2"/>
  <c r="X656" i="2" s="1" a="1"/>
  <c r="X656" i="2" s="1"/>
  <c r="W657" i="2"/>
  <c r="X657" i="2" s="1" a="1"/>
  <c r="X657" i="2" s="1"/>
  <c r="W658" i="2"/>
  <c r="X658" i="2" s="1" a="1"/>
  <c r="X658" i="2" s="1"/>
  <c r="W659" i="2"/>
  <c r="X659" i="2" s="1" a="1"/>
  <c r="X659" i="2" s="1"/>
  <c r="W660" i="2"/>
  <c r="X660" i="2" s="1" a="1"/>
  <c r="X660" i="2" s="1"/>
  <c r="W661" i="2"/>
  <c r="X661" i="2" s="1" a="1"/>
  <c r="X661" i="2" s="1"/>
  <c r="W662" i="2"/>
  <c r="X662" i="2" s="1" a="1"/>
  <c r="X662" i="2" s="1"/>
  <c r="W663" i="2"/>
  <c r="X663" i="2" s="1" a="1"/>
  <c r="X663" i="2" s="1"/>
  <c r="W664" i="2"/>
  <c r="X664" i="2" s="1" a="1"/>
  <c r="X664" i="2" s="1"/>
  <c r="W665" i="2"/>
  <c r="X665" i="2" s="1" a="1"/>
  <c r="X665" i="2" s="1"/>
  <c r="W666" i="2"/>
  <c r="X666" i="2" s="1" a="1"/>
  <c r="X666" i="2" s="1"/>
  <c r="W667" i="2"/>
  <c r="X667" i="2" s="1" a="1"/>
  <c r="X667" i="2" s="1"/>
  <c r="W668" i="2"/>
  <c r="X668" i="2" s="1" a="1"/>
  <c r="X668" i="2" s="1"/>
  <c r="W669" i="2"/>
  <c r="X669" i="2" s="1" a="1"/>
  <c r="X669" i="2" s="1"/>
  <c r="W670" i="2"/>
  <c r="X670" i="2" s="1" a="1"/>
  <c r="X670" i="2" s="1"/>
  <c r="W671" i="2"/>
  <c r="X671" i="2" s="1" a="1"/>
  <c r="X671" i="2" s="1"/>
  <c r="W672" i="2"/>
  <c r="X672" i="2" s="1" a="1"/>
  <c r="X672" i="2" s="1"/>
  <c r="W673" i="2"/>
  <c r="X673" i="2" s="1" a="1"/>
  <c r="X673" i="2" s="1"/>
  <c r="W674" i="2"/>
  <c r="X674" i="2" s="1" a="1"/>
  <c r="X674" i="2" s="1"/>
  <c r="W675" i="2"/>
  <c r="X675" i="2" s="1" a="1"/>
  <c r="X675" i="2" s="1"/>
  <c r="W676" i="2"/>
  <c r="X676" i="2" s="1" a="1"/>
  <c r="X676" i="2" s="1"/>
  <c r="W677" i="2"/>
  <c r="X677" i="2" s="1" a="1"/>
  <c r="X677" i="2" s="1"/>
  <c r="W678" i="2"/>
  <c r="X678" i="2" s="1" a="1"/>
  <c r="X678" i="2" s="1"/>
  <c r="W679" i="2"/>
  <c r="X679" i="2" s="1" a="1"/>
  <c r="X679" i="2" s="1"/>
  <c r="W680" i="2"/>
  <c r="X680" i="2" s="1" a="1"/>
  <c r="X680" i="2" s="1"/>
  <c r="W681" i="2"/>
  <c r="X681" i="2" s="1" a="1"/>
  <c r="X681" i="2" s="1"/>
  <c r="W682" i="2"/>
  <c r="X682" i="2" s="1" a="1"/>
  <c r="X682" i="2" s="1"/>
  <c r="W683" i="2"/>
  <c r="X683" i="2" s="1" a="1"/>
  <c r="X683" i="2" s="1"/>
  <c r="W684" i="2"/>
  <c r="X684" i="2" s="1" a="1"/>
  <c r="X684" i="2" s="1"/>
  <c r="W685" i="2"/>
  <c r="X685" i="2" s="1" a="1"/>
  <c r="X685" i="2" s="1"/>
  <c r="W686" i="2"/>
  <c r="X686" i="2" s="1" a="1"/>
  <c r="X686" i="2" s="1"/>
  <c r="W687" i="2"/>
  <c r="X687" i="2" s="1" a="1"/>
  <c r="X687" i="2" s="1"/>
  <c r="W688" i="2"/>
  <c r="X688" i="2" s="1" a="1"/>
  <c r="X688" i="2" s="1"/>
  <c r="W689" i="2"/>
  <c r="X689" i="2" s="1" a="1"/>
  <c r="X689" i="2" s="1"/>
  <c r="W690" i="2"/>
  <c r="X690" i="2" s="1" a="1"/>
  <c r="X690" i="2" s="1"/>
  <c r="W691" i="2"/>
  <c r="X691" i="2" s="1" a="1"/>
  <c r="X691" i="2" s="1"/>
  <c r="W692" i="2"/>
  <c r="X692" i="2" s="1" a="1"/>
  <c r="X692" i="2" s="1"/>
  <c r="W693" i="2"/>
  <c r="X693" i="2" s="1" a="1"/>
  <c r="X693" i="2" s="1"/>
  <c r="W694" i="2"/>
  <c r="X694" i="2" s="1" a="1"/>
  <c r="X694" i="2" s="1"/>
  <c r="W695" i="2"/>
  <c r="X695" i="2" s="1" a="1"/>
  <c r="X695" i="2" s="1"/>
  <c r="W696" i="2"/>
  <c r="X696" i="2" s="1" a="1"/>
  <c r="X696" i="2" s="1"/>
  <c r="W697" i="2"/>
  <c r="X697" i="2" s="1" a="1"/>
  <c r="X697" i="2" s="1"/>
  <c r="W698" i="2"/>
  <c r="X698" i="2" s="1" a="1"/>
  <c r="X698" i="2" s="1"/>
  <c r="W699" i="2"/>
  <c r="X699" i="2" s="1" a="1"/>
  <c r="X699" i="2" s="1"/>
  <c r="W700" i="2"/>
  <c r="X700" i="2" s="1" a="1"/>
  <c r="X700" i="2" s="1"/>
  <c r="W701" i="2"/>
  <c r="X701" i="2" s="1" a="1"/>
  <c r="X701" i="2" s="1"/>
  <c r="W702" i="2"/>
  <c r="X702" i="2" s="1" a="1"/>
  <c r="X702" i="2" s="1"/>
  <c r="W703" i="2"/>
  <c r="X703" i="2" s="1" a="1"/>
  <c r="X703" i="2" s="1"/>
  <c r="W704" i="2"/>
  <c r="X704" i="2" s="1" a="1"/>
  <c r="X704" i="2" s="1"/>
  <c r="W705" i="2"/>
  <c r="X705" i="2" s="1" a="1"/>
  <c r="X705" i="2" s="1"/>
  <c r="W706" i="2"/>
  <c r="X706" i="2" s="1" a="1"/>
  <c r="X706" i="2" s="1"/>
  <c r="W707" i="2"/>
  <c r="X707" i="2" s="1" a="1"/>
  <c r="X707" i="2" s="1"/>
  <c r="W708" i="2"/>
  <c r="X708" i="2" s="1" a="1"/>
  <c r="X708" i="2" s="1"/>
  <c r="W709" i="2"/>
  <c r="X709" i="2" s="1" a="1"/>
  <c r="X709" i="2" s="1"/>
  <c r="W710" i="2"/>
  <c r="X710" i="2" s="1" a="1"/>
  <c r="X710" i="2" s="1"/>
  <c r="W711" i="2"/>
  <c r="X711" i="2" s="1" a="1"/>
  <c r="X711" i="2" s="1"/>
  <c r="W712" i="2"/>
  <c r="X712" i="2" s="1" a="1"/>
  <c r="X712" i="2" s="1"/>
  <c r="W713" i="2"/>
  <c r="X713" i="2" s="1" a="1"/>
  <c r="X713" i="2" s="1"/>
  <c r="W714" i="2"/>
  <c r="X714" i="2" s="1" a="1"/>
  <c r="X714" i="2" s="1"/>
  <c r="W715" i="2"/>
  <c r="X715" i="2" s="1" a="1"/>
  <c r="X715" i="2" s="1"/>
  <c r="W716" i="2"/>
  <c r="X716" i="2" s="1" a="1"/>
  <c r="X716" i="2" s="1"/>
  <c r="W717" i="2"/>
  <c r="X717" i="2" s="1" a="1"/>
  <c r="X717" i="2" s="1"/>
  <c r="W718" i="2"/>
  <c r="X718" i="2" s="1" a="1"/>
  <c r="X718" i="2" s="1"/>
  <c r="W719" i="2"/>
  <c r="X719" i="2" s="1" a="1"/>
  <c r="X719" i="2" s="1"/>
  <c r="W720" i="2"/>
  <c r="X720" i="2" s="1" a="1"/>
  <c r="X720" i="2" s="1"/>
  <c r="W721" i="2"/>
  <c r="X721" i="2" s="1" a="1"/>
  <c r="X721" i="2" s="1"/>
  <c r="W722" i="2"/>
  <c r="X722" i="2" s="1" a="1"/>
  <c r="X722" i="2" s="1"/>
  <c r="W723" i="2"/>
  <c r="X723" i="2" s="1" a="1"/>
  <c r="X723" i="2" s="1"/>
  <c r="W724" i="2"/>
  <c r="X724" i="2" s="1" a="1"/>
  <c r="X724" i="2" s="1"/>
  <c r="W725" i="2"/>
  <c r="X725" i="2" s="1" a="1"/>
  <c r="X725" i="2" s="1"/>
  <c r="W726" i="2"/>
  <c r="X726" i="2" s="1" a="1"/>
  <c r="X726" i="2" s="1"/>
  <c r="W727" i="2"/>
  <c r="X727" i="2" s="1" a="1"/>
  <c r="X727" i="2" s="1"/>
  <c r="W728" i="2"/>
  <c r="X728" i="2" s="1" a="1"/>
  <c r="X728" i="2" s="1"/>
  <c r="W729" i="2"/>
  <c r="X729" i="2" s="1" a="1"/>
  <c r="X729" i="2" s="1"/>
  <c r="W730" i="2"/>
  <c r="X730" i="2" s="1" a="1"/>
  <c r="X730" i="2" s="1"/>
  <c r="W731" i="2"/>
  <c r="X731" i="2" s="1" a="1"/>
  <c r="X731" i="2" s="1"/>
  <c r="W732" i="2"/>
  <c r="X732" i="2" s="1" a="1"/>
  <c r="X732" i="2" s="1"/>
  <c r="W733" i="2"/>
  <c r="X733" i="2" s="1" a="1"/>
  <c r="X733" i="2" s="1"/>
  <c r="W734" i="2"/>
  <c r="X734" i="2" s="1" a="1"/>
  <c r="X734" i="2" s="1"/>
  <c r="W735" i="2"/>
  <c r="X735" i="2" s="1" a="1"/>
  <c r="X735" i="2" s="1"/>
  <c r="W736" i="2"/>
  <c r="X736" i="2" s="1" a="1"/>
  <c r="X736" i="2" s="1"/>
  <c r="W737" i="2"/>
  <c r="X737" i="2" s="1" a="1"/>
  <c r="X737" i="2" s="1"/>
  <c r="W738" i="2"/>
  <c r="X738" i="2" s="1" a="1"/>
  <c r="X738" i="2" s="1"/>
  <c r="W739" i="2"/>
  <c r="X739" i="2" s="1" a="1"/>
  <c r="X739" i="2" s="1"/>
  <c r="W740" i="2"/>
  <c r="X740" i="2" s="1" a="1"/>
  <c r="X740" i="2" s="1"/>
  <c r="W741" i="2"/>
  <c r="X741" i="2" s="1" a="1"/>
  <c r="X741" i="2" s="1"/>
  <c r="W742" i="2"/>
  <c r="X742" i="2" s="1" a="1"/>
  <c r="X742" i="2" s="1"/>
  <c r="W743" i="2"/>
  <c r="X743" i="2" s="1" a="1"/>
  <c r="X743" i="2" s="1"/>
  <c r="W744" i="2"/>
  <c r="X744" i="2" s="1" a="1"/>
  <c r="X744" i="2" s="1"/>
  <c r="W745" i="2"/>
  <c r="X745" i="2" s="1" a="1"/>
  <c r="X745" i="2" s="1"/>
  <c r="W746" i="2"/>
  <c r="X746" i="2" s="1" a="1"/>
  <c r="X746" i="2" s="1"/>
  <c r="W747" i="2"/>
  <c r="X747" i="2" s="1" a="1"/>
  <c r="X747" i="2" s="1"/>
  <c r="W748" i="2"/>
  <c r="X748" i="2" s="1" a="1"/>
  <c r="X748" i="2" s="1"/>
  <c r="W749" i="2"/>
  <c r="X749" i="2" s="1" a="1"/>
  <c r="X749" i="2" s="1"/>
  <c r="W750" i="2"/>
  <c r="X750" i="2" s="1" a="1"/>
  <c r="X750" i="2" s="1"/>
  <c r="W751" i="2"/>
  <c r="X751" i="2" s="1" a="1"/>
  <c r="X751" i="2" s="1"/>
  <c r="W752" i="2"/>
  <c r="X752" i="2" s="1" a="1"/>
  <c r="X752" i="2" s="1"/>
  <c r="W753" i="2"/>
  <c r="X753" i="2" s="1" a="1"/>
  <c r="X753" i="2" s="1"/>
  <c r="W754" i="2"/>
  <c r="X754" i="2" s="1" a="1"/>
  <c r="X754" i="2" s="1"/>
  <c r="W755" i="2"/>
  <c r="X755" i="2" s="1" a="1"/>
  <c r="X755" i="2" s="1"/>
  <c r="W756" i="2"/>
  <c r="X756" i="2" s="1" a="1"/>
  <c r="X756" i="2" s="1"/>
  <c r="W757" i="2"/>
  <c r="X757" i="2" s="1" a="1"/>
  <c r="X757" i="2" s="1"/>
  <c r="W758" i="2"/>
  <c r="X758" i="2" s="1" a="1"/>
  <c r="X758" i="2" s="1"/>
  <c r="W759" i="2"/>
  <c r="X759" i="2" s="1" a="1"/>
  <c r="X759" i="2" s="1"/>
  <c r="W760" i="2"/>
  <c r="X760" i="2" s="1" a="1"/>
  <c r="X760" i="2" s="1"/>
  <c r="W761" i="2"/>
  <c r="X761" i="2" s="1" a="1"/>
  <c r="X761" i="2" s="1"/>
  <c r="W762" i="2"/>
  <c r="X762" i="2" s="1" a="1"/>
  <c r="X762" i="2" s="1"/>
  <c r="W763" i="2"/>
  <c r="X763" i="2" s="1" a="1"/>
  <c r="X763" i="2" s="1"/>
  <c r="W764" i="2"/>
  <c r="X764" i="2" s="1" a="1"/>
  <c r="X764" i="2" s="1"/>
  <c r="W765" i="2"/>
  <c r="X765" i="2" s="1" a="1"/>
  <c r="X765" i="2" s="1"/>
  <c r="W766" i="2"/>
  <c r="X766" i="2" s="1" a="1"/>
  <c r="X766" i="2" s="1"/>
  <c r="W767" i="2"/>
  <c r="X767" i="2" s="1" a="1"/>
  <c r="X767" i="2" s="1"/>
  <c r="W768" i="2"/>
  <c r="X768" i="2" s="1" a="1"/>
  <c r="X768" i="2" s="1"/>
  <c r="W769" i="2"/>
  <c r="X769" i="2" s="1" a="1"/>
  <c r="X769" i="2" s="1"/>
  <c r="W770" i="2"/>
  <c r="X770" i="2" s="1" a="1"/>
  <c r="X770" i="2" s="1"/>
  <c r="W771" i="2"/>
  <c r="X771" i="2" s="1" a="1"/>
  <c r="X771" i="2" s="1"/>
  <c r="W772" i="2"/>
  <c r="X772" i="2" s="1" a="1"/>
  <c r="X772" i="2" s="1"/>
  <c r="W773" i="2"/>
  <c r="X773" i="2" s="1" a="1"/>
  <c r="X773" i="2" s="1"/>
  <c r="W774" i="2"/>
  <c r="X774" i="2" s="1" a="1"/>
  <c r="X774" i="2" s="1"/>
  <c r="W775" i="2"/>
  <c r="X775" i="2" s="1" a="1"/>
  <c r="X775" i="2" s="1"/>
  <c r="W776" i="2"/>
  <c r="X776" i="2" s="1" a="1"/>
  <c r="X776" i="2" s="1"/>
  <c r="W777" i="2"/>
  <c r="X777" i="2" s="1" a="1"/>
  <c r="X777" i="2" s="1"/>
  <c r="W778" i="2"/>
  <c r="X778" i="2" s="1" a="1"/>
  <c r="X778" i="2" s="1"/>
  <c r="W779" i="2"/>
  <c r="X779" i="2" s="1" a="1"/>
  <c r="X779" i="2" s="1"/>
  <c r="W780" i="2"/>
  <c r="X780" i="2" s="1" a="1"/>
  <c r="X780" i="2" s="1"/>
  <c r="W781" i="2"/>
  <c r="X781" i="2" s="1" a="1"/>
  <c r="X781" i="2" s="1"/>
  <c r="W782" i="2"/>
  <c r="X782" i="2" s="1" a="1"/>
  <c r="X782" i="2" s="1"/>
  <c r="W783" i="2"/>
  <c r="X783" i="2" s="1" a="1"/>
  <c r="X783" i="2" s="1"/>
  <c r="W784" i="2"/>
  <c r="X784" i="2" s="1" a="1"/>
  <c r="X784" i="2" s="1"/>
  <c r="W785" i="2"/>
  <c r="X785" i="2" s="1" a="1"/>
  <c r="X785" i="2" s="1"/>
  <c r="W786" i="2"/>
  <c r="X786" i="2" s="1" a="1"/>
  <c r="X786" i="2" s="1"/>
  <c r="W787" i="2"/>
  <c r="X787" i="2" s="1" a="1"/>
  <c r="X787" i="2" s="1"/>
  <c r="W788" i="2"/>
  <c r="X788" i="2" s="1" a="1"/>
  <c r="X788" i="2" s="1"/>
  <c r="W789" i="2"/>
  <c r="X789" i="2" s="1" a="1"/>
  <c r="X789" i="2" s="1"/>
  <c r="W790" i="2"/>
  <c r="X790" i="2" s="1" a="1"/>
  <c r="X790" i="2" s="1"/>
  <c r="W791" i="2"/>
  <c r="X791" i="2" s="1" a="1"/>
  <c r="X791" i="2" s="1"/>
  <c r="W792" i="2"/>
  <c r="X792" i="2" s="1" a="1"/>
  <c r="X792" i="2" s="1"/>
  <c r="W793" i="2"/>
  <c r="X793" i="2" s="1" a="1"/>
  <c r="X793" i="2" s="1"/>
  <c r="W794" i="2"/>
  <c r="X794" i="2" s="1" a="1"/>
  <c r="X794" i="2" s="1"/>
  <c r="W795" i="2"/>
  <c r="X795" i="2" s="1" a="1"/>
  <c r="X795" i="2" s="1"/>
  <c r="W796" i="2"/>
  <c r="X796" i="2" s="1" a="1"/>
  <c r="X796" i="2" s="1"/>
  <c r="W797" i="2"/>
  <c r="X797" i="2" s="1" a="1"/>
  <c r="X797" i="2" s="1"/>
  <c r="W798" i="2"/>
  <c r="X798" i="2" s="1" a="1"/>
  <c r="X798" i="2" s="1"/>
  <c r="W799" i="2"/>
  <c r="X799" i="2" s="1" a="1"/>
  <c r="X799" i="2" s="1"/>
  <c r="W800" i="2"/>
  <c r="X800" i="2" s="1" a="1"/>
  <c r="X800" i="2" s="1"/>
  <c r="W801" i="2"/>
  <c r="X801" i="2" s="1" a="1"/>
  <c r="X801" i="2" s="1"/>
  <c r="W802" i="2"/>
  <c r="X802" i="2" s="1" a="1"/>
  <c r="X802" i="2" s="1"/>
  <c r="W803" i="2"/>
  <c r="X803" i="2" s="1" a="1"/>
  <c r="X803" i="2" s="1"/>
  <c r="W804" i="2"/>
  <c r="X804" i="2" s="1" a="1"/>
  <c r="X804" i="2" s="1"/>
  <c r="W805" i="2"/>
  <c r="X805" i="2" s="1" a="1"/>
  <c r="X805" i="2" s="1"/>
  <c r="W806" i="2"/>
  <c r="X806" i="2" s="1" a="1"/>
  <c r="X806" i="2" s="1"/>
  <c r="W807" i="2"/>
  <c r="X807" i="2" s="1" a="1"/>
  <c r="X807" i="2" s="1"/>
  <c r="W808" i="2"/>
  <c r="X808" i="2" s="1" a="1"/>
  <c r="X808" i="2" s="1"/>
  <c r="W809" i="2"/>
  <c r="X809" i="2" s="1" a="1"/>
  <c r="X809" i="2" s="1"/>
  <c r="W810" i="2"/>
  <c r="X810" i="2" s="1" a="1"/>
  <c r="X810" i="2" s="1"/>
  <c r="W811" i="2"/>
  <c r="X811" i="2" s="1" a="1"/>
  <c r="X811" i="2" s="1"/>
  <c r="W812" i="2"/>
  <c r="X812" i="2" s="1" a="1"/>
  <c r="X812" i="2" s="1"/>
  <c r="W813" i="2"/>
  <c r="X813" i="2" s="1" a="1"/>
  <c r="X813" i="2" s="1"/>
  <c r="W814" i="2"/>
  <c r="X814" i="2" s="1" a="1"/>
  <c r="X814" i="2" s="1"/>
  <c r="W815" i="2"/>
  <c r="X815" i="2" s="1" a="1"/>
  <c r="X815" i="2" s="1"/>
  <c r="W816" i="2"/>
  <c r="X816" i="2" s="1" a="1"/>
  <c r="X816" i="2" s="1"/>
  <c r="W817" i="2"/>
  <c r="X817" i="2" s="1" a="1"/>
  <c r="X817" i="2" s="1"/>
  <c r="W818" i="2"/>
  <c r="X818" i="2" s="1" a="1"/>
  <c r="X818" i="2" s="1"/>
  <c r="W819" i="2"/>
  <c r="X819" i="2" s="1" a="1"/>
  <c r="X819" i="2" s="1"/>
  <c r="W820" i="2"/>
  <c r="X820" i="2" s="1" a="1"/>
  <c r="X820" i="2" s="1"/>
  <c r="W821" i="2"/>
  <c r="X821" i="2" s="1" a="1"/>
  <c r="X821" i="2" s="1"/>
  <c r="W822" i="2"/>
  <c r="X822" i="2" s="1" a="1"/>
  <c r="X822" i="2" s="1"/>
  <c r="W823" i="2"/>
  <c r="X823" i="2" s="1" a="1"/>
  <c r="X823" i="2" s="1"/>
  <c r="W824" i="2"/>
  <c r="X824" i="2" s="1" a="1"/>
  <c r="X824" i="2" s="1"/>
  <c r="W825" i="2"/>
  <c r="X825" i="2" s="1" a="1"/>
  <c r="X825" i="2" s="1"/>
  <c r="W826" i="2"/>
  <c r="X826" i="2" s="1" a="1"/>
  <c r="X826" i="2" s="1"/>
  <c r="W827" i="2"/>
  <c r="X827" i="2" s="1" a="1"/>
  <c r="X827" i="2" s="1"/>
  <c r="W828" i="2"/>
  <c r="X828" i="2" s="1" a="1"/>
  <c r="X828" i="2" s="1"/>
  <c r="W829" i="2"/>
  <c r="X829" i="2" s="1" a="1"/>
  <c r="X829" i="2" s="1"/>
  <c r="W830" i="2"/>
  <c r="X830" i="2" s="1" a="1"/>
  <c r="X830" i="2" s="1"/>
  <c r="W831" i="2"/>
  <c r="X831" i="2" s="1" a="1"/>
  <c r="X831" i="2" s="1"/>
  <c r="W832" i="2"/>
  <c r="X832" i="2" s="1" a="1"/>
  <c r="X832" i="2" s="1"/>
  <c r="W833" i="2"/>
  <c r="X833" i="2" s="1" a="1"/>
  <c r="X833" i="2" s="1"/>
  <c r="W834" i="2"/>
  <c r="X834" i="2" s="1" a="1"/>
  <c r="X834" i="2" s="1"/>
  <c r="W835" i="2"/>
  <c r="X835" i="2" s="1" a="1"/>
  <c r="X835" i="2" s="1"/>
  <c r="W836" i="2"/>
  <c r="X836" i="2" s="1" a="1"/>
  <c r="X836" i="2" s="1"/>
  <c r="W837" i="2"/>
  <c r="X837" i="2" s="1" a="1"/>
  <c r="X837" i="2" s="1"/>
  <c r="W838" i="2"/>
  <c r="X838" i="2" s="1" a="1"/>
  <c r="X838" i="2" s="1"/>
  <c r="W839" i="2"/>
  <c r="X839" i="2" s="1" a="1"/>
  <c r="X839" i="2" s="1"/>
  <c r="W840" i="2"/>
  <c r="X840" i="2" s="1" a="1"/>
  <c r="X840" i="2" s="1"/>
  <c r="W841" i="2"/>
  <c r="X841" i="2" s="1" a="1"/>
  <c r="X841" i="2" s="1"/>
  <c r="W842" i="2"/>
  <c r="X842" i="2" s="1" a="1"/>
  <c r="X842" i="2" s="1"/>
  <c r="W843" i="2"/>
  <c r="X843" i="2" s="1" a="1"/>
  <c r="X843" i="2" s="1"/>
  <c r="W844" i="2"/>
  <c r="X844" i="2" s="1" a="1"/>
  <c r="X844" i="2" s="1"/>
  <c r="W845" i="2"/>
  <c r="X845" i="2" s="1" a="1"/>
  <c r="X845" i="2" s="1"/>
  <c r="W846" i="2"/>
  <c r="X846" i="2" s="1" a="1"/>
  <c r="X846" i="2" s="1"/>
  <c r="W847" i="2"/>
  <c r="X847" i="2" s="1" a="1"/>
  <c r="X847" i="2" s="1"/>
  <c r="W848" i="2"/>
  <c r="X848" i="2" s="1" a="1"/>
  <c r="X848" i="2" s="1"/>
  <c r="W849" i="2"/>
  <c r="X849" i="2" s="1" a="1"/>
  <c r="X849" i="2" s="1"/>
  <c r="W850" i="2"/>
  <c r="X850" i="2" s="1" a="1"/>
  <c r="X850" i="2" s="1"/>
  <c r="W851" i="2"/>
  <c r="X851" i="2" s="1" a="1"/>
  <c r="X851" i="2" s="1"/>
  <c r="W852" i="2"/>
  <c r="X852" i="2" s="1" a="1"/>
  <c r="X852" i="2" s="1"/>
  <c r="W853" i="2"/>
  <c r="X853" i="2" s="1" a="1"/>
  <c r="X853" i="2" s="1"/>
  <c r="W854" i="2"/>
  <c r="X854" i="2" s="1" a="1"/>
  <c r="X854" i="2" s="1"/>
  <c r="W855" i="2"/>
  <c r="X855" i="2" s="1" a="1"/>
  <c r="X855" i="2" s="1"/>
  <c r="W856" i="2"/>
  <c r="X856" i="2" s="1" a="1"/>
  <c r="X856" i="2" s="1"/>
  <c r="W857" i="2"/>
  <c r="X857" i="2" s="1" a="1"/>
  <c r="X857" i="2" s="1"/>
  <c r="W858" i="2"/>
  <c r="X858" i="2" s="1" a="1"/>
  <c r="X858" i="2" s="1"/>
  <c r="W859" i="2"/>
  <c r="X859" i="2" s="1" a="1"/>
  <c r="X859" i="2" s="1"/>
  <c r="W860" i="2"/>
  <c r="X860" i="2" s="1" a="1"/>
  <c r="X860" i="2" s="1"/>
  <c r="W861" i="2"/>
  <c r="X861" i="2" s="1" a="1"/>
  <c r="X861" i="2" s="1"/>
  <c r="W862" i="2"/>
  <c r="X862" i="2" s="1" a="1"/>
  <c r="X862" i="2" s="1"/>
  <c r="W863" i="2"/>
  <c r="X863" i="2" s="1" a="1"/>
  <c r="X863" i="2" s="1"/>
  <c r="W864" i="2"/>
  <c r="X864" i="2" s="1" a="1"/>
  <c r="X864" i="2" s="1"/>
  <c r="W865" i="2"/>
  <c r="X865" i="2" s="1" a="1"/>
  <c r="X865" i="2" s="1"/>
  <c r="W866" i="2"/>
  <c r="X866" i="2" s="1" a="1"/>
  <c r="X866" i="2" s="1"/>
  <c r="W867" i="2"/>
  <c r="X867" i="2" s="1" a="1"/>
  <c r="X867" i="2" s="1"/>
  <c r="W868" i="2"/>
  <c r="X868" i="2" s="1" a="1"/>
  <c r="X868" i="2" s="1"/>
  <c r="W869" i="2"/>
  <c r="X869" i="2" s="1" a="1"/>
  <c r="X869" i="2" s="1"/>
  <c r="W870" i="2"/>
  <c r="X870" i="2" s="1" a="1"/>
  <c r="X870" i="2" s="1"/>
  <c r="W871" i="2"/>
  <c r="X871" i="2" s="1" a="1"/>
  <c r="X871" i="2" s="1"/>
  <c r="W872" i="2"/>
  <c r="X872" i="2" s="1" a="1"/>
  <c r="X872" i="2" s="1"/>
  <c r="W873" i="2"/>
  <c r="X873" i="2" s="1" a="1"/>
  <c r="X873" i="2" s="1"/>
  <c r="W874" i="2"/>
  <c r="X874" i="2" s="1" a="1"/>
  <c r="X874" i="2" s="1"/>
  <c r="W875" i="2"/>
  <c r="X875" i="2" s="1" a="1"/>
  <c r="X875" i="2" s="1"/>
  <c r="W876" i="2"/>
  <c r="X876" i="2" s="1" a="1"/>
  <c r="X876" i="2" s="1"/>
  <c r="W877" i="2"/>
  <c r="X877" i="2" s="1" a="1"/>
  <c r="X877" i="2" s="1"/>
  <c r="W878" i="2"/>
  <c r="X878" i="2" s="1" a="1"/>
  <c r="X878" i="2" s="1"/>
  <c r="W879" i="2"/>
  <c r="X879" i="2" s="1" a="1"/>
  <c r="X879" i="2" s="1"/>
  <c r="W880" i="2"/>
  <c r="X880" i="2" s="1" a="1"/>
  <c r="X880" i="2" s="1"/>
  <c r="W881" i="2"/>
  <c r="X881" i="2" s="1" a="1"/>
  <c r="X881" i="2" s="1"/>
  <c r="W882" i="2"/>
  <c r="X882" i="2" s="1" a="1"/>
  <c r="X882" i="2" s="1"/>
  <c r="W883" i="2"/>
  <c r="X883" i="2" s="1" a="1"/>
  <c r="X883" i="2" s="1"/>
  <c r="W884" i="2"/>
  <c r="X884" i="2" s="1" a="1"/>
  <c r="X884" i="2" s="1"/>
  <c r="W885" i="2"/>
  <c r="X885" i="2" s="1" a="1"/>
  <c r="X885" i="2" s="1"/>
  <c r="W886" i="2"/>
  <c r="X886" i="2" s="1" a="1"/>
  <c r="X886" i="2" s="1"/>
  <c r="W887" i="2"/>
  <c r="X887" i="2" s="1" a="1"/>
  <c r="X887" i="2" s="1"/>
  <c r="W888" i="2"/>
  <c r="X888" i="2" s="1" a="1"/>
  <c r="X888" i="2" s="1"/>
  <c r="W889" i="2"/>
  <c r="X889" i="2" s="1" a="1"/>
  <c r="X889" i="2" s="1"/>
  <c r="W890" i="2"/>
  <c r="X890" i="2" s="1" a="1"/>
  <c r="X890" i="2" s="1"/>
  <c r="W891" i="2"/>
  <c r="X891" i="2" s="1" a="1"/>
  <c r="X891" i="2" s="1"/>
  <c r="W892" i="2"/>
  <c r="X892" i="2" s="1" a="1"/>
  <c r="X892" i="2" s="1"/>
  <c r="W893" i="2"/>
  <c r="X893" i="2" s="1" a="1"/>
  <c r="X893" i="2" s="1"/>
  <c r="W894" i="2"/>
  <c r="X894" i="2" s="1" a="1"/>
  <c r="X894" i="2" s="1"/>
  <c r="W895" i="2"/>
  <c r="X895" i="2" s="1" a="1"/>
  <c r="X895" i="2" s="1"/>
  <c r="W896" i="2"/>
  <c r="X896" i="2" s="1" a="1"/>
  <c r="X896" i="2" s="1"/>
  <c r="W897" i="2"/>
  <c r="X897" i="2" s="1" a="1"/>
  <c r="X897" i="2" s="1"/>
  <c r="W898" i="2"/>
  <c r="X898" i="2" s="1" a="1"/>
  <c r="X898" i="2" s="1"/>
  <c r="W899" i="2"/>
  <c r="X899" i="2" s="1" a="1"/>
  <c r="X899" i="2" s="1"/>
  <c r="W900" i="2"/>
  <c r="X900" i="2" s="1" a="1"/>
  <c r="X900" i="2" s="1"/>
  <c r="W901" i="2"/>
  <c r="X901" i="2" s="1" a="1"/>
  <c r="X901" i="2" s="1"/>
  <c r="W902" i="2"/>
  <c r="X902" i="2" s="1" a="1"/>
  <c r="X902" i="2" s="1"/>
  <c r="W903" i="2"/>
  <c r="X903" i="2" s="1" a="1"/>
  <c r="X903" i="2" s="1"/>
  <c r="W904" i="2"/>
  <c r="X904" i="2" s="1" a="1"/>
  <c r="X904" i="2" s="1"/>
  <c r="W905" i="2"/>
  <c r="X905" i="2" s="1" a="1"/>
  <c r="X905" i="2" s="1"/>
  <c r="W906" i="2"/>
  <c r="X906" i="2" s="1" a="1"/>
  <c r="X906" i="2" s="1"/>
  <c r="W907" i="2"/>
  <c r="X907" i="2" s="1" a="1"/>
  <c r="X907" i="2" s="1"/>
  <c r="W908" i="2"/>
  <c r="X908" i="2" s="1" a="1"/>
  <c r="X908" i="2" s="1"/>
  <c r="W909" i="2"/>
  <c r="X909" i="2" s="1" a="1"/>
  <c r="X909" i="2" s="1"/>
  <c r="W910" i="2"/>
  <c r="X910" i="2" s="1" a="1"/>
  <c r="X910" i="2" s="1"/>
  <c r="W911" i="2"/>
  <c r="X911" i="2" s="1" a="1"/>
  <c r="X911" i="2" s="1"/>
  <c r="W912" i="2"/>
  <c r="X912" i="2" s="1" a="1"/>
  <c r="X912" i="2" s="1"/>
  <c r="W913" i="2"/>
  <c r="X913" i="2" s="1" a="1"/>
  <c r="X913" i="2" s="1"/>
  <c r="W914" i="2"/>
  <c r="X914" i="2" s="1" a="1"/>
  <c r="X914" i="2" s="1"/>
  <c r="W915" i="2"/>
  <c r="X915" i="2" s="1" a="1"/>
  <c r="X915" i="2" s="1"/>
  <c r="W916" i="2"/>
  <c r="X916" i="2" s="1" a="1"/>
  <c r="X916" i="2" s="1"/>
  <c r="W917" i="2"/>
  <c r="X917" i="2" s="1" a="1"/>
  <c r="X917" i="2" s="1"/>
  <c r="W918" i="2"/>
  <c r="X918" i="2" s="1" a="1"/>
  <c r="X918" i="2" s="1"/>
  <c r="W919" i="2"/>
  <c r="X919" i="2" s="1" a="1"/>
  <c r="X919" i="2" s="1"/>
  <c r="W920" i="2"/>
  <c r="X920" i="2" s="1" a="1"/>
  <c r="X920" i="2" s="1"/>
  <c r="W921" i="2"/>
  <c r="X921" i="2" s="1" a="1"/>
  <c r="X921" i="2" s="1"/>
  <c r="W922" i="2"/>
  <c r="X922" i="2" s="1" a="1"/>
  <c r="X922" i="2" s="1"/>
  <c r="W923" i="2"/>
  <c r="X923" i="2" s="1" a="1"/>
  <c r="X923" i="2" s="1"/>
  <c r="W924" i="2"/>
  <c r="X924" i="2" s="1" a="1"/>
  <c r="X924" i="2" s="1"/>
  <c r="W925" i="2"/>
  <c r="X925" i="2" s="1" a="1"/>
  <c r="X925" i="2" s="1"/>
  <c r="W926" i="2"/>
  <c r="X926" i="2" s="1" a="1"/>
  <c r="X926" i="2" s="1"/>
  <c r="W927" i="2"/>
  <c r="X927" i="2" s="1" a="1"/>
  <c r="X927" i="2" s="1"/>
  <c r="W928" i="2"/>
  <c r="X928" i="2" s="1" a="1"/>
  <c r="X928" i="2" s="1"/>
  <c r="W929" i="2"/>
  <c r="X929" i="2" s="1" a="1"/>
  <c r="X929" i="2" s="1"/>
  <c r="W930" i="2"/>
  <c r="X930" i="2" s="1" a="1"/>
  <c r="X930" i="2" s="1"/>
  <c r="W931" i="2"/>
  <c r="X931" i="2" s="1" a="1"/>
  <c r="X931" i="2" s="1"/>
  <c r="W932" i="2"/>
  <c r="X932" i="2" s="1" a="1"/>
  <c r="X932" i="2" s="1"/>
  <c r="W933" i="2"/>
  <c r="X933" i="2" s="1" a="1"/>
  <c r="X933" i="2" s="1"/>
  <c r="W934" i="2"/>
  <c r="X934" i="2" s="1" a="1"/>
  <c r="X934" i="2" s="1"/>
  <c r="W935" i="2"/>
  <c r="X935" i="2" s="1" a="1"/>
  <c r="X935" i="2" s="1"/>
  <c r="W936" i="2"/>
  <c r="X936" i="2" s="1" a="1"/>
  <c r="X936" i="2" s="1"/>
  <c r="W937" i="2"/>
  <c r="X937" i="2" s="1" a="1"/>
  <c r="X937" i="2" s="1"/>
  <c r="W938" i="2"/>
  <c r="X938" i="2" s="1" a="1"/>
  <c r="X938" i="2" s="1"/>
  <c r="W939" i="2"/>
  <c r="X939" i="2" s="1" a="1"/>
  <c r="X939" i="2" s="1"/>
  <c r="W940" i="2"/>
  <c r="X940" i="2" s="1" a="1"/>
  <c r="X940" i="2" s="1"/>
  <c r="W941" i="2"/>
  <c r="X941" i="2" s="1" a="1"/>
  <c r="X941" i="2" s="1"/>
  <c r="W942" i="2"/>
  <c r="X942" i="2" s="1" a="1"/>
  <c r="X942" i="2" s="1"/>
  <c r="W943" i="2"/>
  <c r="X943" i="2" s="1" a="1"/>
  <c r="X943" i="2" s="1"/>
  <c r="W944" i="2"/>
  <c r="X944" i="2" s="1" a="1"/>
  <c r="X944" i="2" s="1"/>
  <c r="W945" i="2"/>
  <c r="X945" i="2" s="1" a="1"/>
  <c r="X945" i="2" s="1"/>
  <c r="W946" i="2"/>
  <c r="X946" i="2" s="1" a="1"/>
  <c r="X946" i="2" s="1"/>
  <c r="W947" i="2"/>
  <c r="X947" i="2" s="1" a="1"/>
  <c r="X947" i="2" s="1"/>
  <c r="W948" i="2"/>
  <c r="X948" i="2" s="1" a="1"/>
  <c r="X948" i="2" s="1"/>
  <c r="W949" i="2"/>
  <c r="X949" i="2" s="1" a="1"/>
  <c r="X949" i="2" s="1"/>
  <c r="W950" i="2"/>
  <c r="X950" i="2" s="1" a="1"/>
  <c r="X950" i="2" s="1"/>
  <c r="W951" i="2"/>
  <c r="X951" i="2" s="1" a="1"/>
  <c r="X951" i="2" s="1"/>
  <c r="W952" i="2"/>
  <c r="X952" i="2" s="1" a="1"/>
  <c r="X952" i="2" s="1"/>
  <c r="W953" i="2"/>
  <c r="X953" i="2" s="1" a="1"/>
  <c r="X953" i="2" s="1"/>
  <c r="W954" i="2"/>
  <c r="X954" i="2" s="1" a="1"/>
  <c r="X954" i="2" s="1"/>
  <c r="W955" i="2"/>
  <c r="X955" i="2" s="1" a="1"/>
  <c r="X955" i="2" s="1"/>
  <c r="W956" i="2"/>
  <c r="X956" i="2" s="1" a="1"/>
  <c r="X956" i="2" s="1"/>
  <c r="W957" i="2"/>
  <c r="X957" i="2" s="1" a="1"/>
  <c r="X957" i="2" s="1"/>
  <c r="W958" i="2"/>
  <c r="X958" i="2" s="1" a="1"/>
  <c r="X958" i="2" s="1"/>
  <c r="W959" i="2"/>
  <c r="X959" i="2" s="1" a="1"/>
  <c r="X959" i="2" s="1"/>
  <c r="W960" i="2"/>
  <c r="X960" i="2" s="1" a="1"/>
  <c r="X960" i="2" s="1"/>
  <c r="W961" i="2"/>
  <c r="X961" i="2" s="1" a="1"/>
  <c r="X961" i="2" s="1"/>
  <c r="W962" i="2"/>
  <c r="X962" i="2" s="1" a="1"/>
  <c r="X962" i="2" s="1"/>
  <c r="W963" i="2"/>
  <c r="X963" i="2" s="1" a="1"/>
  <c r="X963" i="2" s="1"/>
  <c r="W964" i="2"/>
  <c r="X964" i="2" s="1" a="1"/>
  <c r="X964" i="2" s="1"/>
  <c r="W965" i="2"/>
  <c r="X965" i="2" s="1" a="1"/>
  <c r="X965" i="2" s="1"/>
  <c r="W966" i="2"/>
  <c r="X966" i="2" s="1" a="1"/>
  <c r="X966" i="2" s="1"/>
  <c r="W967" i="2"/>
  <c r="X967" i="2" s="1" a="1"/>
  <c r="X967" i="2" s="1"/>
  <c r="W968" i="2"/>
  <c r="X968" i="2" s="1" a="1"/>
  <c r="X968" i="2" s="1"/>
  <c r="W969" i="2"/>
  <c r="X969" i="2" s="1" a="1"/>
  <c r="X969" i="2" s="1"/>
  <c r="W970" i="2"/>
  <c r="X970" i="2" s="1" a="1"/>
  <c r="X970" i="2" s="1"/>
  <c r="W971" i="2"/>
  <c r="X971" i="2" s="1" a="1"/>
  <c r="X971" i="2" s="1"/>
  <c r="W972" i="2"/>
  <c r="X972" i="2" s="1" a="1"/>
  <c r="X972" i="2" s="1"/>
  <c r="W973" i="2"/>
  <c r="X973" i="2" s="1" a="1"/>
  <c r="X973" i="2" s="1"/>
  <c r="W974" i="2"/>
  <c r="X974" i="2" s="1" a="1"/>
  <c r="X974" i="2" s="1"/>
  <c r="W975" i="2"/>
  <c r="X975" i="2" s="1" a="1"/>
  <c r="X975" i="2" s="1"/>
  <c r="W976" i="2"/>
  <c r="X976" i="2" s="1" a="1"/>
  <c r="X976" i="2" s="1"/>
  <c r="W977" i="2"/>
  <c r="X977" i="2" s="1" a="1"/>
  <c r="X977" i="2" s="1"/>
  <c r="W978" i="2"/>
  <c r="X978" i="2" s="1" a="1"/>
  <c r="X978" i="2" s="1"/>
  <c r="W979" i="2"/>
  <c r="X979" i="2" s="1" a="1"/>
  <c r="X979" i="2" s="1"/>
  <c r="W980" i="2"/>
  <c r="X980" i="2" s="1" a="1"/>
  <c r="X980" i="2" s="1"/>
  <c r="W981" i="2"/>
  <c r="X981" i="2" s="1" a="1"/>
  <c r="X981" i="2" s="1"/>
  <c r="W982" i="2"/>
  <c r="X982" i="2" s="1" a="1"/>
  <c r="X982" i="2" s="1"/>
  <c r="W983" i="2"/>
  <c r="X983" i="2" s="1" a="1"/>
  <c r="X983" i="2" s="1"/>
  <c r="W984" i="2"/>
  <c r="X984" i="2" s="1" a="1"/>
  <c r="X984" i="2" s="1"/>
  <c r="W985" i="2"/>
  <c r="X985" i="2" s="1" a="1"/>
  <c r="X985" i="2" s="1"/>
  <c r="W986" i="2"/>
  <c r="X986" i="2" s="1" a="1"/>
  <c r="X986" i="2" s="1"/>
  <c r="W987" i="2"/>
  <c r="X987" i="2" s="1" a="1"/>
  <c r="X987" i="2" s="1"/>
  <c r="W988" i="2"/>
  <c r="X988" i="2" s="1" a="1"/>
  <c r="X988" i="2" s="1"/>
  <c r="W989" i="2"/>
  <c r="X989" i="2" s="1" a="1"/>
  <c r="X989" i="2" s="1"/>
  <c r="W990" i="2"/>
  <c r="X990" i="2" s="1" a="1"/>
  <c r="X990" i="2" s="1"/>
  <c r="W991" i="2"/>
  <c r="X991" i="2" s="1" a="1"/>
  <c r="X991" i="2" s="1"/>
  <c r="W992" i="2"/>
  <c r="X992" i="2" s="1" a="1"/>
  <c r="X992" i="2" s="1"/>
  <c r="W993" i="2"/>
  <c r="X993" i="2" s="1" a="1"/>
  <c r="X993" i="2" s="1"/>
  <c r="W994" i="2"/>
  <c r="X994" i="2" s="1" a="1"/>
  <c r="X994" i="2" s="1"/>
  <c r="W995" i="2"/>
  <c r="X995" i="2" s="1" a="1"/>
  <c r="X995" i="2" s="1"/>
  <c r="W996" i="2"/>
  <c r="X996" i="2" s="1" a="1"/>
  <c r="X996" i="2" s="1"/>
  <c r="W997" i="2"/>
  <c r="X997" i="2" s="1" a="1"/>
  <c r="X997" i="2" s="1"/>
  <c r="W998" i="2"/>
  <c r="X998" i="2" s="1" a="1"/>
  <c r="X998" i="2" s="1"/>
  <c r="W999" i="2"/>
  <c r="X999" i="2" s="1" a="1"/>
  <c r="X999" i="2" s="1"/>
  <c r="W1000" i="2"/>
  <c r="X1000" i="2" s="1" a="1"/>
  <c r="X1000" i="2" s="1"/>
  <c r="W1001" i="2"/>
  <c r="X1001" i="2" s="1" a="1"/>
  <c r="X1001" i="2" s="1"/>
  <c r="W1002" i="2"/>
  <c r="X1002" i="2" s="1" a="1"/>
  <c r="X1002" i="2" s="1"/>
  <c r="W1003" i="2"/>
  <c r="X1003" i="2" s="1" a="1"/>
  <c r="X1003" i="2" s="1"/>
  <c r="W1004" i="2"/>
  <c r="X1004" i="2" s="1" a="1"/>
  <c r="X1004" i="2" s="1"/>
  <c r="W1005" i="2"/>
  <c r="X1005" i="2" s="1" a="1"/>
  <c r="X1005" i="2" s="1"/>
  <c r="W1006" i="2"/>
  <c r="X1006" i="2" s="1" a="1"/>
  <c r="X1006" i="2" s="1"/>
  <c r="W1007" i="2"/>
  <c r="X1007" i="2" s="1" a="1"/>
  <c r="X1007" i="2" s="1"/>
  <c r="W1008" i="2"/>
  <c r="X1008" i="2" s="1" a="1"/>
  <c r="X1008" i="2" s="1"/>
  <c r="W1009" i="2"/>
  <c r="X1009" i="2" s="1" a="1"/>
  <c r="X1009" i="2" s="1"/>
  <c r="W1010" i="2"/>
  <c r="X1010" i="2" s="1" a="1"/>
  <c r="X1010" i="2" s="1"/>
  <c r="W1011" i="2"/>
  <c r="X1011" i="2" s="1" a="1"/>
  <c r="X1011" i="2" s="1"/>
  <c r="W1012" i="2"/>
  <c r="X1012" i="2" s="1" a="1"/>
  <c r="X1012" i="2" s="1"/>
  <c r="W1013" i="2"/>
  <c r="X1013" i="2" s="1" a="1"/>
  <c r="X1013" i="2" s="1"/>
  <c r="W1014" i="2"/>
  <c r="X1014" i="2" s="1" a="1"/>
  <c r="X1014" i="2" s="1"/>
  <c r="W1015" i="2"/>
  <c r="X1015" i="2" s="1" a="1"/>
  <c r="X1015" i="2" s="1"/>
  <c r="W1016" i="2"/>
  <c r="X1016" i="2" s="1" a="1"/>
  <c r="X1016" i="2" s="1"/>
  <c r="W1017" i="2"/>
  <c r="X1017" i="2" s="1" a="1"/>
  <c r="X1017" i="2" s="1"/>
  <c r="W1018" i="2"/>
  <c r="X1018" i="2" s="1" a="1"/>
  <c r="X1018" i="2" s="1"/>
  <c r="W1019" i="2"/>
  <c r="X1019" i="2" s="1" a="1"/>
  <c r="X1019" i="2" s="1"/>
  <c r="W1020" i="2"/>
  <c r="X1020" i="2" s="1" a="1"/>
  <c r="X1020" i="2" s="1"/>
  <c r="W1021" i="2"/>
  <c r="X1021" i="2" s="1" a="1"/>
  <c r="X1021" i="2" s="1"/>
  <c r="W1022" i="2"/>
  <c r="X1022" i="2" s="1" a="1"/>
  <c r="X1022" i="2" s="1"/>
  <c r="W1023" i="2"/>
  <c r="X1023" i="2" s="1" a="1"/>
  <c r="X1023" i="2" s="1"/>
  <c r="W1024" i="2"/>
  <c r="X1024" i="2" s="1" a="1"/>
  <c r="X1024" i="2" s="1"/>
  <c r="W1025" i="2"/>
  <c r="X1025" i="2" s="1" a="1"/>
  <c r="X1025" i="2" s="1"/>
  <c r="W1026" i="2"/>
  <c r="X1026" i="2" s="1" a="1"/>
  <c r="X1026" i="2" s="1"/>
  <c r="W1027" i="2"/>
  <c r="X1027" i="2" s="1" a="1"/>
  <c r="X1027" i="2" s="1"/>
  <c r="W1028" i="2"/>
  <c r="X1028" i="2" s="1" a="1"/>
  <c r="X1028" i="2" s="1"/>
  <c r="W1029" i="2"/>
  <c r="X1029" i="2" s="1" a="1"/>
  <c r="X1029" i="2" s="1"/>
  <c r="W1030" i="2"/>
  <c r="X1030" i="2" s="1" a="1"/>
  <c r="X1030" i="2" s="1"/>
  <c r="W1031" i="2"/>
  <c r="X1031" i="2" s="1" a="1"/>
  <c r="X1031" i="2" s="1"/>
  <c r="W1032" i="2"/>
  <c r="X1032" i="2" s="1" a="1"/>
  <c r="X1032" i="2" s="1"/>
  <c r="W1033" i="2"/>
  <c r="X1033" i="2" s="1" a="1"/>
  <c r="X1033" i="2" s="1"/>
  <c r="W1034" i="2"/>
  <c r="X1034" i="2" s="1" a="1"/>
  <c r="X1034" i="2" s="1"/>
  <c r="W1035" i="2"/>
  <c r="X1035" i="2" s="1" a="1"/>
  <c r="X1035" i="2" s="1"/>
  <c r="W1036" i="2"/>
  <c r="X1036" i="2" s="1" a="1"/>
  <c r="X1036" i="2" s="1"/>
  <c r="W1037" i="2"/>
  <c r="X1037" i="2" s="1" a="1"/>
  <c r="X1037" i="2" s="1"/>
  <c r="W1038" i="2"/>
  <c r="X1038" i="2" s="1" a="1"/>
  <c r="X1038" i="2" s="1"/>
  <c r="W1039" i="2"/>
  <c r="X1039" i="2" s="1" a="1"/>
  <c r="X1039" i="2" s="1"/>
  <c r="W1040" i="2"/>
  <c r="X1040" i="2" s="1" a="1"/>
  <c r="X1040" i="2" s="1"/>
  <c r="W1041" i="2"/>
  <c r="X1041" i="2" s="1" a="1"/>
  <c r="X1041" i="2" s="1"/>
  <c r="W1042" i="2"/>
  <c r="X1042" i="2" s="1" a="1"/>
  <c r="X1042" i="2" s="1"/>
  <c r="W1043" i="2"/>
  <c r="X1043" i="2" s="1" a="1"/>
  <c r="X1043" i="2" s="1"/>
  <c r="W1044" i="2"/>
  <c r="X1044" i="2" s="1" a="1"/>
  <c r="X1044" i="2" s="1"/>
  <c r="W1045" i="2"/>
  <c r="X1045" i="2" s="1" a="1"/>
  <c r="X1045" i="2" s="1"/>
  <c r="W1046" i="2"/>
  <c r="X1046" i="2" s="1" a="1"/>
  <c r="X1046" i="2" s="1"/>
  <c r="W1047" i="2"/>
  <c r="X1047" i="2" s="1" a="1"/>
  <c r="X1047" i="2" s="1"/>
  <c r="W1048" i="2"/>
  <c r="X1048" i="2" s="1" a="1"/>
  <c r="X1048" i="2" s="1"/>
  <c r="W1049" i="2"/>
  <c r="X1049" i="2" s="1" a="1"/>
  <c r="X1049" i="2" s="1"/>
  <c r="W1050" i="2"/>
  <c r="X1050" i="2" s="1" a="1"/>
  <c r="X1050" i="2" s="1"/>
  <c r="W1051" i="2"/>
  <c r="X1051" i="2" s="1" a="1"/>
  <c r="X1051" i="2" s="1"/>
  <c r="W1052" i="2"/>
  <c r="X1052" i="2" s="1" a="1"/>
  <c r="X1052" i="2" s="1"/>
  <c r="W1053" i="2"/>
  <c r="X1053" i="2" s="1" a="1"/>
  <c r="X1053" i="2" s="1"/>
  <c r="W1054" i="2"/>
  <c r="X1054" i="2" s="1" a="1"/>
  <c r="X1054" i="2" s="1"/>
  <c r="W1055" i="2"/>
  <c r="X1055" i="2" s="1" a="1"/>
  <c r="X1055" i="2" s="1"/>
  <c r="W1056" i="2"/>
  <c r="X1056" i="2" s="1" a="1"/>
  <c r="X1056" i="2" s="1"/>
  <c r="W1057" i="2"/>
  <c r="X1057" i="2" s="1" a="1"/>
  <c r="X1057" i="2" s="1"/>
  <c r="W1058" i="2"/>
  <c r="X1058" i="2" s="1" a="1"/>
  <c r="X1058" i="2" s="1"/>
  <c r="W1059" i="2"/>
  <c r="X1059" i="2" s="1" a="1"/>
  <c r="X1059" i="2" s="1"/>
  <c r="W1060" i="2"/>
  <c r="X1060" i="2" s="1" a="1"/>
  <c r="X1060" i="2" s="1"/>
  <c r="W1061" i="2"/>
  <c r="X1061" i="2" s="1" a="1"/>
  <c r="X1061" i="2" s="1"/>
  <c r="W1062" i="2"/>
  <c r="X1062" i="2" s="1" a="1"/>
  <c r="X1062" i="2" s="1"/>
  <c r="W1063" i="2"/>
  <c r="X1063" i="2" s="1" a="1"/>
  <c r="X1063" i="2" s="1"/>
  <c r="W1064" i="2"/>
  <c r="X1064" i="2" s="1" a="1"/>
  <c r="X1064" i="2" s="1"/>
  <c r="W1065" i="2"/>
  <c r="X1065" i="2" s="1" a="1"/>
  <c r="X1065" i="2" s="1"/>
  <c r="W1066" i="2"/>
  <c r="X1066" i="2" s="1" a="1"/>
  <c r="X1066" i="2" s="1"/>
  <c r="W1067" i="2"/>
  <c r="X1067" i="2" s="1" a="1"/>
  <c r="X1067" i="2" s="1"/>
  <c r="W1068" i="2"/>
  <c r="X1068" i="2" s="1" a="1"/>
  <c r="X1068" i="2" s="1"/>
  <c r="W1069" i="2"/>
  <c r="X1069" i="2" s="1" a="1"/>
  <c r="X1069" i="2" s="1"/>
  <c r="W1070" i="2"/>
  <c r="X1070" i="2" s="1" a="1"/>
  <c r="X1070" i="2" s="1"/>
  <c r="W1071" i="2"/>
  <c r="X1071" i="2" s="1" a="1"/>
  <c r="X1071" i="2" s="1"/>
  <c r="W1072" i="2"/>
  <c r="X1072" i="2" s="1" a="1"/>
  <c r="X1072" i="2" s="1"/>
  <c r="W1073" i="2"/>
  <c r="X1073" i="2" s="1" a="1"/>
  <c r="X1073" i="2" s="1"/>
  <c r="W1074" i="2"/>
  <c r="X1074" i="2" s="1" a="1"/>
  <c r="X1074" i="2" s="1"/>
  <c r="W1075" i="2"/>
  <c r="X1075" i="2" s="1" a="1"/>
  <c r="X1075" i="2" s="1"/>
  <c r="W1076" i="2"/>
  <c r="X1076" i="2" s="1" a="1"/>
  <c r="X1076" i="2" s="1"/>
  <c r="W1077" i="2"/>
  <c r="X1077" i="2" s="1" a="1"/>
  <c r="X1077" i="2" s="1"/>
  <c r="W1078" i="2"/>
  <c r="X1078" i="2" s="1" a="1"/>
  <c r="X1078" i="2" s="1"/>
  <c r="W1079" i="2"/>
  <c r="X1079" i="2" s="1" a="1"/>
  <c r="X1079" i="2" s="1"/>
  <c r="W1080" i="2"/>
  <c r="X1080" i="2" s="1" a="1"/>
  <c r="X1080" i="2" s="1"/>
  <c r="W1081" i="2"/>
  <c r="X1081" i="2" s="1" a="1"/>
  <c r="X1081" i="2" s="1"/>
  <c r="W1082" i="2"/>
  <c r="X1082" i="2" s="1" a="1"/>
  <c r="X1082" i="2" s="1"/>
  <c r="W1083" i="2"/>
  <c r="X1083" i="2" s="1" a="1"/>
  <c r="X1083" i="2" s="1"/>
  <c r="W1084" i="2"/>
  <c r="X1084" i="2" s="1" a="1"/>
  <c r="X1084" i="2" s="1"/>
  <c r="W1085" i="2"/>
  <c r="X1085" i="2" s="1" a="1"/>
  <c r="X1085" i="2" s="1"/>
  <c r="W1086" i="2"/>
  <c r="X1086" i="2" s="1" a="1"/>
  <c r="X1086" i="2" s="1"/>
  <c r="W1087" i="2"/>
  <c r="X1087" i="2" s="1" a="1"/>
  <c r="X1087" i="2" s="1"/>
  <c r="W1088" i="2"/>
  <c r="X1088" i="2" s="1" a="1"/>
  <c r="X1088" i="2" s="1"/>
  <c r="W1089" i="2"/>
  <c r="X1089" i="2" s="1" a="1"/>
  <c r="X1089" i="2" s="1"/>
  <c r="W1090" i="2"/>
  <c r="X1090" i="2" s="1" a="1"/>
  <c r="X1090" i="2" s="1"/>
  <c r="W1091" i="2"/>
  <c r="X1091" i="2" s="1" a="1"/>
  <c r="X1091" i="2" s="1"/>
  <c r="W1092" i="2"/>
  <c r="X1092" i="2" s="1" a="1"/>
  <c r="X1092" i="2" s="1"/>
  <c r="W1093" i="2"/>
  <c r="X1093" i="2" s="1" a="1"/>
  <c r="X1093" i="2" s="1"/>
  <c r="W1094" i="2"/>
  <c r="X1094" i="2" s="1" a="1"/>
  <c r="X1094" i="2" s="1"/>
  <c r="W1095" i="2"/>
  <c r="X1095" i="2" s="1" a="1"/>
  <c r="X1095" i="2" s="1"/>
  <c r="W1096" i="2"/>
  <c r="X1096" i="2" s="1" a="1"/>
  <c r="X1096" i="2" s="1"/>
  <c r="W1097" i="2"/>
  <c r="X1097" i="2" s="1" a="1"/>
  <c r="X1097" i="2" s="1"/>
  <c r="W1098" i="2"/>
  <c r="X1098" i="2" s="1" a="1"/>
  <c r="X1098" i="2" s="1"/>
  <c r="W1099" i="2"/>
  <c r="X1099" i="2" s="1" a="1"/>
  <c r="X1099" i="2" s="1"/>
  <c r="W1100" i="2"/>
  <c r="X1100" i="2" s="1" a="1"/>
  <c r="X1100" i="2" s="1"/>
  <c r="W1101" i="2"/>
  <c r="X1101" i="2" s="1" a="1"/>
  <c r="X1101" i="2" s="1"/>
  <c r="W1102" i="2"/>
  <c r="X1102" i="2" s="1" a="1"/>
  <c r="X1102" i="2" s="1"/>
  <c r="W1103" i="2"/>
  <c r="X1103" i="2" s="1" a="1"/>
  <c r="X1103" i="2" s="1"/>
  <c r="W1104" i="2"/>
  <c r="X1104" i="2" s="1" a="1"/>
  <c r="X1104" i="2" s="1"/>
  <c r="W1105" i="2"/>
  <c r="X1105" i="2" s="1" a="1"/>
  <c r="X1105" i="2" s="1"/>
  <c r="W1106" i="2"/>
  <c r="X1106" i="2" s="1" a="1"/>
  <c r="X1106" i="2" s="1"/>
  <c r="W1107" i="2"/>
  <c r="X1107" i="2" s="1" a="1"/>
  <c r="X1107" i="2" s="1"/>
  <c r="W1108" i="2"/>
  <c r="X1108" i="2" s="1" a="1"/>
  <c r="X1108" i="2" s="1"/>
  <c r="W1109" i="2"/>
  <c r="X1109" i="2" s="1" a="1"/>
  <c r="X1109" i="2" s="1"/>
  <c r="W1110" i="2"/>
  <c r="X1110" i="2" s="1" a="1"/>
  <c r="X1110" i="2" s="1"/>
  <c r="W1111" i="2"/>
  <c r="X1111" i="2" s="1" a="1"/>
  <c r="X1111" i="2" s="1"/>
  <c r="W1112" i="2"/>
  <c r="X1112" i="2" s="1" a="1"/>
  <c r="X1112" i="2" s="1"/>
  <c r="W1113" i="2"/>
  <c r="X1113" i="2" s="1" a="1"/>
  <c r="X1113" i="2" s="1"/>
  <c r="W1114" i="2"/>
  <c r="X1114" i="2" s="1" a="1"/>
  <c r="X1114" i="2" s="1"/>
  <c r="W1115" i="2"/>
  <c r="X1115" i="2" s="1" a="1"/>
  <c r="X1115" i="2" s="1"/>
  <c r="W1116" i="2"/>
  <c r="X1116" i="2" s="1" a="1"/>
  <c r="X1116" i="2" s="1"/>
  <c r="W1117" i="2"/>
  <c r="X1117" i="2" s="1" a="1"/>
  <c r="X1117" i="2" s="1"/>
  <c r="W1118" i="2"/>
  <c r="X1118" i="2" s="1" a="1"/>
  <c r="X1118" i="2" s="1"/>
  <c r="W1119" i="2"/>
  <c r="X1119" i="2" s="1" a="1"/>
  <c r="X1119" i="2" s="1"/>
  <c r="W1120" i="2"/>
  <c r="X1120" i="2" s="1" a="1"/>
  <c r="X1120" i="2" s="1"/>
  <c r="W1121" i="2"/>
  <c r="X1121" i="2" s="1" a="1"/>
  <c r="X1121" i="2" s="1"/>
  <c r="W1122" i="2"/>
  <c r="X1122" i="2" s="1" a="1"/>
  <c r="X1122" i="2" s="1"/>
  <c r="W1123" i="2"/>
  <c r="X1123" i="2" s="1" a="1"/>
  <c r="X1123" i="2" s="1"/>
  <c r="W1124" i="2"/>
  <c r="X1124" i="2" s="1" a="1"/>
  <c r="X1124" i="2" s="1"/>
  <c r="W1125" i="2"/>
  <c r="X1125" i="2" s="1" a="1"/>
  <c r="X1125" i="2" s="1"/>
  <c r="W1126" i="2"/>
  <c r="X1126" i="2" s="1" a="1"/>
  <c r="X1126" i="2" s="1"/>
  <c r="W1127" i="2"/>
  <c r="X1127" i="2" s="1" a="1"/>
  <c r="X1127" i="2" s="1"/>
  <c r="W1128" i="2"/>
  <c r="X1128" i="2" s="1" a="1"/>
  <c r="X1128" i="2" s="1"/>
  <c r="W1129" i="2"/>
  <c r="X1129" i="2" s="1" a="1"/>
  <c r="X1129" i="2" s="1"/>
  <c r="W1130" i="2"/>
  <c r="X1130" i="2" s="1" a="1"/>
  <c r="X1130" i="2" s="1"/>
  <c r="W1131" i="2"/>
  <c r="X1131" i="2" s="1" a="1"/>
  <c r="X1131" i="2" s="1"/>
  <c r="W1132" i="2"/>
  <c r="X1132" i="2" s="1" a="1"/>
  <c r="X1132" i="2" s="1"/>
  <c r="W1133" i="2"/>
  <c r="X1133" i="2" s="1" a="1"/>
  <c r="X1133" i="2" s="1"/>
  <c r="W1134" i="2"/>
  <c r="X1134" i="2" s="1" a="1"/>
  <c r="X1134" i="2" s="1"/>
  <c r="W1135" i="2"/>
  <c r="X1135" i="2" s="1" a="1"/>
  <c r="X1135" i="2" s="1"/>
  <c r="W1136" i="2"/>
  <c r="X1136" i="2" s="1" a="1"/>
  <c r="X1136" i="2" s="1"/>
  <c r="W1137" i="2"/>
  <c r="X1137" i="2" s="1" a="1"/>
  <c r="X1137" i="2" s="1"/>
  <c r="W1138" i="2"/>
  <c r="X1138" i="2" s="1" a="1"/>
  <c r="X1138" i="2" s="1"/>
  <c r="W1139" i="2"/>
  <c r="X1139" i="2" s="1" a="1"/>
  <c r="X1139" i="2" s="1"/>
  <c r="W1140" i="2"/>
  <c r="X1140" i="2" s="1" a="1"/>
  <c r="X1140" i="2" s="1"/>
  <c r="W1141" i="2"/>
  <c r="X1141" i="2" s="1" a="1"/>
  <c r="X1141" i="2" s="1"/>
  <c r="W1142" i="2"/>
  <c r="X1142" i="2" s="1" a="1"/>
  <c r="X1142" i="2" s="1"/>
  <c r="W1143" i="2"/>
  <c r="X1143" i="2" s="1" a="1"/>
  <c r="X1143" i="2" s="1"/>
  <c r="W1144" i="2"/>
  <c r="X1144" i="2" s="1" a="1"/>
  <c r="X1144" i="2" s="1"/>
  <c r="W1145" i="2"/>
  <c r="X1145" i="2" s="1" a="1"/>
  <c r="X1145" i="2" s="1"/>
  <c r="W1146" i="2"/>
  <c r="X1146" i="2" s="1" a="1"/>
  <c r="X1146" i="2" s="1"/>
  <c r="W1147" i="2"/>
  <c r="X1147" i="2" s="1" a="1"/>
  <c r="X1147" i="2" s="1"/>
  <c r="W1148" i="2"/>
  <c r="X1148" i="2" s="1" a="1"/>
  <c r="X1148" i="2" s="1"/>
  <c r="W1149" i="2"/>
  <c r="X1149" i="2" s="1" a="1"/>
  <c r="X1149" i="2" s="1"/>
  <c r="W1150" i="2"/>
  <c r="X1150" i="2" s="1" a="1"/>
  <c r="X1150" i="2" s="1"/>
  <c r="W1151" i="2"/>
  <c r="X1151" i="2" s="1" a="1"/>
  <c r="X1151" i="2" s="1"/>
  <c r="W1152" i="2"/>
  <c r="X1152" i="2" s="1" a="1"/>
  <c r="X1152" i="2" s="1"/>
  <c r="W1153" i="2"/>
  <c r="X1153" i="2" s="1" a="1"/>
  <c r="X1153" i="2" s="1"/>
  <c r="W1154" i="2"/>
  <c r="X1154" i="2" s="1" a="1"/>
  <c r="X1154" i="2" s="1"/>
  <c r="W1155" i="2"/>
  <c r="X1155" i="2" s="1" a="1"/>
  <c r="X1155" i="2" s="1"/>
  <c r="W1156" i="2"/>
  <c r="X1156" i="2" s="1" a="1"/>
  <c r="X1156" i="2" s="1"/>
  <c r="W1157" i="2"/>
  <c r="X1157" i="2" s="1" a="1"/>
  <c r="X1157" i="2" s="1"/>
  <c r="W1158" i="2"/>
  <c r="X1158" i="2" s="1" a="1"/>
  <c r="X1158" i="2" s="1"/>
  <c r="W1159" i="2"/>
  <c r="X1159" i="2" s="1" a="1"/>
  <c r="X1159" i="2" s="1"/>
  <c r="W1160" i="2"/>
  <c r="X1160" i="2" s="1" a="1"/>
  <c r="X1160" i="2" s="1"/>
  <c r="W1161" i="2"/>
  <c r="X1161" i="2" s="1" a="1"/>
  <c r="X1161" i="2" s="1"/>
  <c r="W1162" i="2"/>
  <c r="X1162" i="2" s="1" a="1"/>
  <c r="X1162" i="2" s="1"/>
  <c r="W1163" i="2"/>
  <c r="X1163" i="2" s="1" a="1"/>
  <c r="X1163" i="2" s="1"/>
  <c r="W1164" i="2"/>
  <c r="X1164" i="2" s="1" a="1"/>
  <c r="X1164" i="2" s="1"/>
  <c r="W1165" i="2"/>
  <c r="X1165" i="2" s="1" a="1"/>
  <c r="X1165" i="2" s="1"/>
  <c r="W1166" i="2"/>
  <c r="X1166" i="2" s="1" a="1"/>
  <c r="X1166" i="2" s="1"/>
  <c r="W1167" i="2"/>
  <c r="X1167" i="2" s="1" a="1"/>
  <c r="X1167" i="2" s="1"/>
  <c r="W1168" i="2"/>
  <c r="X1168" i="2" s="1" a="1"/>
  <c r="X1168" i="2" s="1"/>
  <c r="W1169" i="2"/>
  <c r="X1169" i="2" s="1" a="1"/>
  <c r="X1169" i="2" s="1"/>
  <c r="W1170" i="2"/>
  <c r="X1170" i="2" s="1" a="1"/>
  <c r="X1170" i="2" s="1"/>
  <c r="W1171" i="2"/>
  <c r="X1171" i="2" s="1" a="1"/>
  <c r="X1171" i="2" s="1"/>
  <c r="W1172" i="2"/>
  <c r="X1172" i="2" s="1" a="1"/>
  <c r="X1172" i="2" s="1"/>
  <c r="W1173" i="2"/>
  <c r="X1173" i="2" s="1" a="1"/>
  <c r="X1173" i="2" s="1"/>
  <c r="W1174" i="2"/>
  <c r="X1174" i="2" s="1" a="1"/>
  <c r="X1174" i="2" s="1"/>
  <c r="W1175" i="2"/>
  <c r="X1175" i="2" s="1" a="1"/>
  <c r="X1175" i="2" s="1"/>
  <c r="W1176" i="2"/>
  <c r="X1176" i="2" s="1" a="1"/>
  <c r="X1176" i="2" s="1"/>
  <c r="W1177" i="2"/>
  <c r="X1177" i="2" s="1" a="1"/>
  <c r="X1177" i="2" s="1"/>
  <c r="W1178" i="2"/>
  <c r="X1178" i="2" s="1" a="1"/>
  <c r="X1178" i="2" s="1"/>
  <c r="W1179" i="2"/>
  <c r="X1179" i="2" s="1" a="1"/>
  <c r="X1179" i="2" s="1"/>
  <c r="W1180" i="2"/>
  <c r="X1180" i="2" s="1" a="1"/>
  <c r="X1180" i="2" s="1"/>
  <c r="W1181" i="2"/>
  <c r="X1181" i="2" s="1" a="1"/>
  <c r="X1181" i="2" s="1"/>
  <c r="W1182" i="2"/>
  <c r="X1182" i="2" s="1" a="1"/>
  <c r="X1182" i="2" s="1"/>
  <c r="W1183" i="2"/>
  <c r="X1183" i="2" s="1" a="1"/>
  <c r="X1183" i="2" s="1"/>
  <c r="W1184" i="2"/>
  <c r="X1184" i="2" s="1" a="1"/>
  <c r="X1184" i="2" s="1"/>
  <c r="W1185" i="2"/>
  <c r="X1185" i="2" s="1" a="1"/>
  <c r="X1185" i="2" s="1"/>
  <c r="W1186" i="2"/>
  <c r="X1186" i="2" s="1" a="1"/>
  <c r="X1186" i="2" s="1"/>
  <c r="W1187" i="2"/>
  <c r="X1187" i="2" s="1" a="1"/>
  <c r="X1187" i="2" s="1"/>
  <c r="W1188" i="2"/>
  <c r="X1188" i="2" s="1" a="1"/>
  <c r="X1188" i="2" s="1"/>
  <c r="W1189" i="2"/>
  <c r="X1189" i="2" s="1" a="1"/>
  <c r="X1189" i="2" s="1"/>
  <c r="W1190" i="2"/>
  <c r="X1190" i="2" s="1" a="1"/>
  <c r="X1190" i="2" s="1"/>
  <c r="W1191" i="2"/>
  <c r="X1191" i="2" s="1" a="1"/>
  <c r="X1191" i="2" s="1"/>
  <c r="W1192" i="2"/>
  <c r="X1192" i="2" s="1" a="1"/>
  <c r="X1192" i="2" s="1"/>
  <c r="W1193" i="2"/>
  <c r="X1193" i="2" s="1" a="1"/>
  <c r="X1193" i="2" s="1"/>
  <c r="W1194" i="2"/>
  <c r="X1194" i="2" s="1" a="1"/>
  <c r="X1194" i="2" s="1"/>
  <c r="W1195" i="2"/>
  <c r="X1195" i="2" s="1" a="1"/>
  <c r="X1195" i="2" s="1"/>
  <c r="W1196" i="2"/>
  <c r="X1196" i="2" s="1" a="1"/>
  <c r="X1196" i="2" s="1"/>
  <c r="W1197" i="2"/>
  <c r="X1197" i="2" s="1" a="1"/>
  <c r="X1197" i="2" s="1"/>
  <c r="W1198" i="2"/>
  <c r="X1198" i="2" s="1" a="1"/>
  <c r="X1198" i="2" s="1"/>
  <c r="W1199" i="2"/>
  <c r="X1199" i="2" s="1" a="1"/>
  <c r="X1199" i="2" s="1"/>
  <c r="W1200" i="2"/>
  <c r="X1200" i="2" s="1" a="1"/>
  <c r="X1200" i="2" s="1"/>
  <c r="W1201" i="2"/>
  <c r="X1201" i="2" s="1" a="1"/>
  <c r="X1201" i="2" s="1"/>
  <c r="W1202" i="2"/>
  <c r="X1202" i="2" s="1" a="1"/>
  <c r="X1202" i="2" s="1"/>
  <c r="W1203" i="2"/>
  <c r="X1203" i="2" s="1" a="1"/>
  <c r="X1203" i="2" s="1"/>
  <c r="W1204" i="2"/>
  <c r="X1204" i="2" s="1" a="1"/>
  <c r="X1204" i="2" s="1"/>
  <c r="W1205" i="2"/>
  <c r="X1205" i="2" s="1" a="1"/>
  <c r="X1205" i="2" s="1"/>
  <c r="W1206" i="2"/>
  <c r="X1206" i="2" s="1" a="1"/>
  <c r="X1206" i="2" s="1"/>
  <c r="W1207" i="2"/>
  <c r="X1207" i="2" s="1" a="1"/>
  <c r="X1207" i="2" s="1"/>
  <c r="W1208" i="2"/>
  <c r="X1208" i="2" s="1" a="1"/>
  <c r="X1208" i="2" s="1"/>
  <c r="W1209" i="2"/>
  <c r="X1209" i="2" s="1" a="1"/>
  <c r="X1209" i="2" s="1"/>
  <c r="W1210" i="2"/>
  <c r="X1210" i="2" s="1" a="1"/>
  <c r="X1210" i="2" s="1"/>
  <c r="W1211" i="2"/>
  <c r="X1211" i="2" s="1" a="1"/>
  <c r="X1211" i="2" s="1"/>
  <c r="W1212" i="2"/>
  <c r="X1212" i="2" s="1" a="1"/>
  <c r="X1212" i="2" s="1"/>
  <c r="W1213" i="2"/>
  <c r="X1213" i="2" s="1" a="1"/>
  <c r="X1213" i="2" s="1"/>
  <c r="W1214" i="2"/>
  <c r="X1214" i="2" s="1" a="1"/>
  <c r="X1214" i="2" s="1"/>
  <c r="W1215" i="2"/>
  <c r="X1215" i="2" s="1" a="1"/>
  <c r="X1215" i="2" s="1"/>
  <c r="W1216" i="2"/>
  <c r="X1216" i="2" s="1" a="1"/>
  <c r="X1216" i="2" s="1"/>
  <c r="W1217" i="2"/>
  <c r="X1217" i="2" s="1" a="1"/>
  <c r="X1217" i="2" s="1"/>
  <c r="W1218" i="2"/>
  <c r="X1218" i="2" s="1" a="1"/>
  <c r="X1218" i="2" s="1"/>
  <c r="W1219" i="2"/>
  <c r="X1219" i="2" s="1" a="1"/>
  <c r="X1219" i="2" s="1"/>
  <c r="W1220" i="2"/>
  <c r="X1220" i="2" s="1" a="1"/>
  <c r="X1220" i="2" s="1"/>
  <c r="W1221" i="2"/>
  <c r="X1221" i="2" s="1" a="1"/>
  <c r="X1221" i="2" s="1"/>
  <c r="W1222" i="2"/>
  <c r="X1222" i="2" s="1" a="1"/>
  <c r="X1222" i="2" s="1"/>
  <c r="W1223" i="2"/>
  <c r="X1223" i="2" s="1" a="1"/>
  <c r="X1223" i="2" s="1"/>
  <c r="W1224" i="2"/>
  <c r="X1224" i="2" s="1" a="1"/>
  <c r="X1224" i="2" s="1"/>
  <c r="W1225" i="2"/>
  <c r="X1225" i="2" s="1" a="1"/>
  <c r="X1225" i="2" s="1"/>
  <c r="W1226" i="2"/>
  <c r="X1226" i="2" s="1" a="1"/>
  <c r="X1226" i="2" s="1"/>
  <c r="W1227" i="2"/>
  <c r="X1227" i="2" s="1" a="1"/>
  <c r="X1227" i="2" s="1"/>
  <c r="W1228" i="2"/>
  <c r="X1228" i="2" s="1" a="1"/>
  <c r="X1228" i="2" s="1"/>
  <c r="W1229" i="2"/>
  <c r="X1229" i="2" s="1" a="1"/>
  <c r="X1229" i="2" s="1"/>
  <c r="W1230" i="2"/>
  <c r="X1230" i="2" s="1" a="1"/>
  <c r="X1230" i="2" s="1"/>
  <c r="W1231" i="2"/>
  <c r="X1231" i="2" s="1" a="1"/>
  <c r="X1231" i="2" s="1"/>
  <c r="W1232" i="2"/>
  <c r="X1232" i="2" s="1" a="1"/>
  <c r="X1232" i="2" s="1"/>
  <c r="W1233" i="2"/>
  <c r="X1233" i="2" s="1" a="1"/>
  <c r="X1233" i="2" s="1"/>
  <c r="W1234" i="2"/>
  <c r="X1234" i="2" s="1" a="1"/>
  <c r="X1234" i="2" s="1"/>
  <c r="W1235" i="2"/>
  <c r="X1235" i="2" s="1" a="1"/>
  <c r="X1235" i="2" s="1"/>
  <c r="W1236" i="2"/>
  <c r="X1236" i="2" s="1" a="1"/>
  <c r="X1236" i="2" s="1"/>
  <c r="W1237" i="2"/>
  <c r="X1237" i="2" s="1" a="1"/>
  <c r="X1237" i="2" s="1"/>
  <c r="W1238" i="2"/>
  <c r="X1238" i="2" s="1" a="1"/>
  <c r="X1238" i="2" s="1"/>
  <c r="W1239" i="2"/>
  <c r="X1239" i="2" s="1" a="1"/>
  <c r="X1239" i="2" s="1"/>
  <c r="W1240" i="2"/>
  <c r="X1240" i="2" s="1" a="1"/>
  <c r="X1240" i="2" s="1"/>
  <c r="W1241" i="2"/>
  <c r="X1241" i="2" s="1" a="1"/>
  <c r="X1241" i="2" s="1"/>
  <c r="W1242" i="2"/>
  <c r="X1242" i="2" s="1" a="1"/>
  <c r="X1242" i="2" s="1"/>
  <c r="W1243" i="2"/>
  <c r="X1243" i="2" s="1" a="1"/>
  <c r="X1243" i="2" s="1"/>
  <c r="W1244" i="2"/>
  <c r="X1244" i="2" s="1" a="1"/>
  <c r="X1244" i="2" s="1"/>
  <c r="W1245" i="2"/>
  <c r="X1245" i="2" s="1" a="1"/>
  <c r="X1245" i="2" s="1"/>
  <c r="W1246" i="2"/>
  <c r="X1246" i="2" s="1" a="1"/>
  <c r="X1246" i="2" s="1"/>
  <c r="W1247" i="2"/>
  <c r="X1247" i="2" s="1" a="1"/>
  <c r="X1247" i="2" s="1"/>
  <c r="W1248" i="2"/>
  <c r="X1248" i="2" s="1" a="1"/>
  <c r="X1248" i="2" s="1"/>
  <c r="W1249" i="2"/>
  <c r="X1249" i="2" s="1" a="1"/>
  <c r="X1249" i="2" s="1"/>
  <c r="W1250" i="2"/>
  <c r="X1250" i="2" s="1" a="1"/>
  <c r="X1250" i="2" s="1"/>
  <c r="W1251" i="2"/>
  <c r="X1251" i="2" s="1" a="1"/>
  <c r="X1251" i="2" s="1"/>
  <c r="W1252" i="2"/>
  <c r="X1252" i="2" s="1" a="1"/>
  <c r="X1252" i="2" s="1"/>
  <c r="W1253" i="2"/>
  <c r="X1253" i="2" s="1" a="1"/>
  <c r="X1253" i="2" s="1"/>
  <c r="W1254" i="2"/>
  <c r="X1254" i="2" s="1" a="1"/>
  <c r="X1254" i="2" s="1"/>
  <c r="W1255" i="2"/>
  <c r="X1255" i="2" s="1" a="1"/>
  <c r="X1255" i="2" s="1"/>
  <c r="W1256" i="2"/>
  <c r="X1256" i="2" s="1" a="1"/>
  <c r="X1256" i="2" s="1"/>
  <c r="W1257" i="2"/>
  <c r="X1257" i="2" s="1" a="1"/>
  <c r="X1257" i="2" s="1"/>
  <c r="W1258" i="2"/>
  <c r="X1258" i="2" s="1" a="1"/>
  <c r="X1258" i="2" s="1"/>
  <c r="W1259" i="2"/>
  <c r="X1259" i="2" s="1" a="1"/>
  <c r="X1259" i="2" s="1"/>
  <c r="W1260" i="2"/>
  <c r="X1260" i="2" s="1" a="1"/>
  <c r="X1260" i="2" s="1"/>
  <c r="W1261" i="2"/>
  <c r="X1261" i="2" s="1" a="1"/>
  <c r="X1261" i="2" s="1"/>
  <c r="W1262" i="2"/>
  <c r="X1262" i="2" s="1" a="1"/>
  <c r="X1262" i="2" s="1"/>
  <c r="W1263" i="2"/>
  <c r="X1263" i="2" s="1" a="1"/>
  <c r="X1263" i="2" s="1"/>
  <c r="W1264" i="2"/>
  <c r="X1264" i="2" s="1" a="1"/>
  <c r="X1264" i="2" s="1"/>
  <c r="W1265" i="2"/>
  <c r="X1265" i="2" s="1" a="1"/>
  <c r="X1265" i="2" s="1"/>
  <c r="W1266" i="2"/>
  <c r="X1266" i="2" s="1" a="1"/>
  <c r="X1266" i="2" s="1"/>
  <c r="W1267" i="2"/>
  <c r="X1267" i="2" s="1" a="1"/>
  <c r="X1267" i="2" s="1"/>
  <c r="W1268" i="2"/>
  <c r="X1268" i="2" s="1" a="1"/>
  <c r="X1268" i="2" s="1"/>
  <c r="W1269" i="2"/>
  <c r="X1269" i="2" s="1" a="1"/>
  <c r="X1269" i="2" s="1"/>
  <c r="W1270" i="2"/>
  <c r="X1270" i="2" s="1" a="1"/>
  <c r="X1270" i="2" s="1"/>
  <c r="W1271" i="2"/>
  <c r="X1271" i="2" s="1" a="1"/>
  <c r="X1271" i="2" s="1"/>
  <c r="W1272" i="2"/>
  <c r="X1272" i="2" s="1" a="1"/>
  <c r="X1272" i="2" s="1"/>
  <c r="W1273" i="2"/>
  <c r="X1273" i="2" s="1" a="1"/>
  <c r="X1273" i="2" s="1"/>
  <c r="W1274" i="2"/>
  <c r="X1274" i="2" s="1" a="1"/>
  <c r="X1274" i="2" s="1"/>
  <c r="W1275" i="2"/>
  <c r="X1275" i="2" s="1" a="1"/>
  <c r="X1275" i="2" s="1"/>
  <c r="W1276" i="2"/>
  <c r="X1276" i="2" s="1" a="1"/>
  <c r="X1276" i="2" s="1"/>
  <c r="W1277" i="2"/>
  <c r="X1277" i="2" s="1" a="1"/>
  <c r="X1277" i="2" s="1"/>
  <c r="W1278" i="2"/>
  <c r="X1278" i="2" s="1" a="1"/>
  <c r="X1278" i="2" s="1"/>
  <c r="W1279" i="2"/>
  <c r="X1279" i="2" s="1" a="1"/>
  <c r="X1279" i="2" s="1"/>
  <c r="W1280" i="2"/>
  <c r="X1280" i="2" s="1" a="1"/>
  <c r="X1280" i="2" s="1"/>
  <c r="W1281" i="2"/>
  <c r="X1281" i="2" s="1" a="1"/>
  <c r="X1281" i="2" s="1"/>
  <c r="W1282" i="2"/>
  <c r="X1282" i="2" s="1" a="1"/>
  <c r="X1282" i="2" s="1"/>
  <c r="W1283" i="2"/>
  <c r="X1283" i="2" s="1" a="1"/>
  <c r="X1283" i="2" s="1"/>
  <c r="W1284" i="2"/>
  <c r="X1284" i="2" s="1" a="1"/>
  <c r="X1284" i="2" s="1"/>
  <c r="W1285" i="2"/>
  <c r="X1285" i="2" s="1" a="1"/>
  <c r="X1285" i="2" s="1"/>
  <c r="W1286" i="2"/>
  <c r="X1286" i="2" s="1" a="1"/>
  <c r="X1286" i="2" s="1"/>
  <c r="W1287" i="2"/>
  <c r="X1287" i="2" s="1" a="1"/>
  <c r="X1287" i="2" s="1"/>
  <c r="W1288" i="2"/>
  <c r="X1288" i="2" s="1" a="1"/>
  <c r="X1288" i="2" s="1"/>
  <c r="W1289" i="2"/>
  <c r="X1289" i="2" s="1" a="1"/>
  <c r="X1289" i="2" s="1"/>
  <c r="W1290" i="2"/>
  <c r="X1290" i="2" s="1" a="1"/>
  <c r="X1290" i="2" s="1"/>
  <c r="W1291" i="2"/>
  <c r="X1291" i="2" s="1" a="1"/>
  <c r="X1291" i="2" s="1"/>
  <c r="W1292" i="2"/>
  <c r="X1292" i="2" s="1" a="1"/>
  <c r="X1292" i="2" s="1"/>
  <c r="W1293" i="2"/>
  <c r="X1293" i="2" s="1" a="1"/>
  <c r="X1293" i="2" s="1"/>
  <c r="W1294" i="2"/>
  <c r="X1294" i="2" s="1" a="1"/>
  <c r="X1294" i="2" s="1"/>
  <c r="W1295" i="2"/>
  <c r="X1295" i="2" s="1" a="1"/>
  <c r="X1295" i="2" s="1"/>
  <c r="W1296" i="2"/>
  <c r="X1296" i="2" s="1" a="1"/>
  <c r="X1296" i="2" s="1"/>
  <c r="W1297" i="2"/>
  <c r="X1297" i="2" s="1" a="1"/>
  <c r="X1297" i="2" s="1"/>
  <c r="W1298" i="2"/>
  <c r="X1298" i="2" s="1" a="1"/>
  <c r="X1298" i="2" s="1"/>
  <c r="W1299" i="2"/>
  <c r="X1299" i="2" s="1" a="1"/>
  <c r="X1299" i="2" s="1"/>
  <c r="W1300" i="2"/>
  <c r="X1300" i="2" s="1" a="1"/>
  <c r="X1300" i="2" s="1"/>
  <c r="W1301" i="2"/>
  <c r="X1301" i="2" s="1" a="1"/>
  <c r="X1301" i="2" s="1"/>
  <c r="W1302" i="2"/>
  <c r="X1302" i="2" s="1" a="1"/>
  <c r="X1302" i="2" s="1"/>
  <c r="W1303" i="2"/>
  <c r="X1303" i="2" s="1" a="1"/>
  <c r="X1303" i="2" s="1"/>
  <c r="W1304" i="2"/>
  <c r="X1304" i="2" s="1" a="1"/>
  <c r="X1304" i="2" s="1"/>
  <c r="W1305" i="2"/>
  <c r="X1305" i="2" s="1" a="1"/>
  <c r="X1305" i="2" s="1"/>
  <c r="W1306" i="2"/>
  <c r="X1306" i="2" s="1" a="1"/>
  <c r="X1306" i="2" s="1"/>
  <c r="W1307" i="2"/>
  <c r="X1307" i="2" s="1" a="1"/>
  <c r="X1307" i="2" s="1"/>
  <c r="W1308" i="2"/>
  <c r="X1308" i="2" s="1" a="1"/>
  <c r="X1308" i="2" s="1"/>
  <c r="W1309" i="2"/>
  <c r="X1309" i="2" s="1" a="1"/>
  <c r="X1309" i="2" s="1"/>
  <c r="W1310" i="2"/>
  <c r="X1310" i="2" s="1" a="1"/>
  <c r="X1310" i="2" s="1"/>
  <c r="W1311" i="2"/>
  <c r="X1311" i="2" s="1" a="1"/>
  <c r="X1311" i="2" s="1"/>
  <c r="W1312" i="2"/>
  <c r="X1312" i="2" s="1" a="1"/>
  <c r="X1312" i="2" s="1"/>
  <c r="W1313" i="2"/>
  <c r="X1313" i="2" s="1" a="1"/>
  <c r="X1313" i="2" s="1"/>
  <c r="W1314" i="2"/>
  <c r="X1314" i="2" s="1" a="1"/>
  <c r="X1314" i="2" s="1"/>
  <c r="W1315" i="2"/>
  <c r="X1315" i="2" s="1" a="1"/>
  <c r="X1315" i="2" s="1"/>
  <c r="W1316" i="2"/>
  <c r="X1316" i="2" s="1" a="1"/>
  <c r="X1316" i="2" s="1"/>
  <c r="W1317" i="2"/>
  <c r="X1317" i="2" s="1" a="1"/>
  <c r="X1317" i="2" s="1"/>
  <c r="W1318" i="2"/>
  <c r="X1318" i="2" s="1" a="1"/>
  <c r="X1318" i="2" s="1"/>
  <c r="W1319" i="2"/>
  <c r="X1319" i="2" s="1" a="1"/>
  <c r="X1319" i="2" s="1"/>
  <c r="W1320" i="2"/>
  <c r="X1320" i="2" s="1" a="1"/>
  <c r="X1320" i="2" s="1"/>
  <c r="W1321" i="2"/>
  <c r="X1321" i="2" s="1" a="1"/>
  <c r="X1321" i="2" s="1"/>
  <c r="W1322" i="2"/>
  <c r="X1322" i="2" s="1" a="1"/>
  <c r="X1322" i="2" s="1"/>
  <c r="W1323" i="2"/>
  <c r="X1323" i="2" s="1" a="1"/>
  <c r="X1323" i="2" s="1"/>
  <c r="W1324" i="2"/>
  <c r="X1324" i="2" s="1" a="1"/>
  <c r="X1324" i="2" s="1"/>
  <c r="W1325" i="2"/>
  <c r="X1325" i="2" s="1" a="1"/>
  <c r="X1325" i="2" s="1"/>
  <c r="W1326" i="2"/>
  <c r="X1326" i="2" s="1" a="1"/>
  <c r="X1326" i="2" s="1"/>
  <c r="W1327" i="2"/>
  <c r="X1327" i="2" s="1" a="1"/>
  <c r="X1327" i="2" s="1"/>
  <c r="W1328" i="2"/>
  <c r="X1328" i="2" s="1" a="1"/>
  <c r="X1328" i="2" s="1"/>
  <c r="W1329" i="2"/>
  <c r="X1329" i="2" s="1" a="1"/>
  <c r="X1329" i="2" s="1"/>
  <c r="W1330" i="2"/>
  <c r="X1330" i="2" s="1" a="1"/>
  <c r="X1330" i="2" s="1"/>
  <c r="W1331" i="2"/>
  <c r="X1331" i="2" s="1" a="1"/>
  <c r="X1331" i="2" s="1"/>
  <c r="W1332" i="2"/>
  <c r="X1332" i="2" s="1" a="1"/>
  <c r="X1332" i="2" s="1"/>
  <c r="W1333" i="2"/>
  <c r="X1333" i="2" s="1" a="1"/>
  <c r="X1333" i="2" s="1"/>
  <c r="W1334" i="2"/>
  <c r="X1334" i="2" s="1" a="1"/>
  <c r="X1334" i="2" s="1"/>
  <c r="W1335" i="2"/>
  <c r="X1335" i="2" s="1" a="1"/>
  <c r="X1335" i="2" s="1"/>
  <c r="W1336" i="2"/>
  <c r="X1336" i="2" s="1" a="1"/>
  <c r="X1336" i="2" s="1"/>
  <c r="W1337" i="2"/>
  <c r="X1337" i="2" s="1" a="1"/>
  <c r="X1337" i="2" s="1"/>
  <c r="W1338" i="2"/>
  <c r="X1338" i="2" s="1" a="1"/>
  <c r="X1338" i="2" s="1"/>
  <c r="W1339" i="2"/>
  <c r="X1339" i="2" s="1" a="1"/>
  <c r="X1339" i="2" s="1"/>
  <c r="W1340" i="2"/>
  <c r="X1340" i="2" s="1" a="1"/>
  <c r="X1340" i="2" s="1"/>
  <c r="W1341" i="2"/>
  <c r="X1341" i="2" s="1" a="1"/>
  <c r="X1341" i="2" s="1"/>
  <c r="W1342" i="2"/>
  <c r="X1342" i="2" s="1" a="1"/>
  <c r="X1342" i="2" s="1"/>
  <c r="W1343" i="2"/>
  <c r="X1343" i="2" s="1" a="1"/>
  <c r="X1343" i="2" s="1"/>
  <c r="W1344" i="2"/>
  <c r="X1344" i="2" s="1" a="1"/>
  <c r="X1344" i="2" s="1"/>
  <c r="W1345" i="2"/>
  <c r="X1345" i="2" s="1" a="1"/>
  <c r="X1345" i="2" s="1"/>
  <c r="W1346" i="2"/>
  <c r="X1346" i="2" s="1" a="1"/>
  <c r="X1346" i="2" s="1"/>
  <c r="W1347" i="2"/>
  <c r="X1347" i="2" s="1" a="1"/>
  <c r="X1347" i="2" s="1"/>
  <c r="W1348" i="2"/>
  <c r="X1348" i="2" s="1" a="1"/>
  <c r="X1348" i="2" s="1"/>
  <c r="W1349" i="2"/>
  <c r="X1349" i="2" s="1" a="1"/>
  <c r="X1349" i="2" s="1"/>
  <c r="W1350" i="2"/>
  <c r="X1350" i="2" s="1" a="1"/>
  <c r="X1350" i="2" s="1"/>
  <c r="W1351" i="2"/>
  <c r="X1351" i="2" s="1" a="1"/>
  <c r="X1351" i="2" s="1"/>
  <c r="W1352" i="2"/>
  <c r="X1352" i="2" s="1" a="1"/>
  <c r="X1352" i="2" s="1"/>
  <c r="W1353" i="2"/>
  <c r="X1353" i="2" s="1" a="1"/>
  <c r="X1353" i="2" s="1"/>
  <c r="W1354" i="2"/>
  <c r="X1354" i="2" s="1" a="1"/>
  <c r="X1354" i="2" s="1"/>
  <c r="W1355" i="2"/>
  <c r="X1355" i="2" s="1" a="1"/>
  <c r="X1355" i="2" s="1"/>
  <c r="W1356" i="2"/>
  <c r="X1356" i="2" s="1" a="1"/>
  <c r="X1356" i="2" s="1"/>
  <c r="W1357" i="2"/>
  <c r="X1357" i="2" s="1" a="1"/>
  <c r="X1357" i="2" s="1"/>
  <c r="W1358" i="2"/>
  <c r="X1358" i="2" s="1" a="1"/>
  <c r="X1358" i="2" s="1"/>
  <c r="W1359" i="2"/>
  <c r="X1359" i="2" s="1" a="1"/>
  <c r="X1359" i="2" s="1"/>
  <c r="W1360" i="2"/>
  <c r="X1360" i="2" s="1" a="1"/>
  <c r="X1360" i="2" s="1"/>
  <c r="W1361" i="2"/>
  <c r="X1361" i="2" s="1" a="1"/>
  <c r="X1361" i="2" s="1"/>
  <c r="W1362" i="2"/>
  <c r="X1362" i="2" s="1" a="1"/>
  <c r="X1362" i="2" s="1"/>
  <c r="W1363" i="2"/>
  <c r="X1363" i="2" s="1" a="1"/>
  <c r="X1363" i="2" s="1"/>
  <c r="W1364" i="2"/>
  <c r="X1364" i="2" s="1" a="1"/>
  <c r="X1364" i="2" s="1"/>
  <c r="W1365" i="2"/>
  <c r="X1365" i="2" s="1" a="1"/>
  <c r="X1365" i="2" s="1"/>
  <c r="W1366" i="2"/>
  <c r="X1366" i="2" s="1" a="1"/>
  <c r="X1366" i="2" s="1"/>
  <c r="W1367" i="2"/>
  <c r="X1367" i="2" s="1" a="1"/>
  <c r="X1367" i="2" s="1"/>
  <c r="W1368" i="2"/>
  <c r="X1368" i="2" s="1" a="1"/>
  <c r="X1368" i="2" s="1"/>
  <c r="W1369" i="2"/>
  <c r="X1369" i="2" s="1" a="1"/>
  <c r="X1369" i="2" s="1"/>
  <c r="W1370" i="2"/>
  <c r="X1370" i="2" s="1" a="1"/>
  <c r="X1370" i="2" s="1"/>
  <c r="W1371" i="2"/>
  <c r="X1371" i="2" s="1" a="1"/>
  <c r="X1371" i="2" s="1"/>
  <c r="W1372" i="2"/>
  <c r="X1372" i="2" s="1" a="1"/>
  <c r="X1372" i="2" s="1"/>
  <c r="W1373" i="2"/>
  <c r="X1373" i="2" s="1" a="1"/>
  <c r="X1373" i="2" s="1"/>
  <c r="W1374" i="2"/>
  <c r="X1374" i="2" s="1" a="1"/>
  <c r="X1374" i="2" s="1"/>
  <c r="W1375" i="2"/>
  <c r="X1375" i="2" s="1" a="1"/>
  <c r="X1375" i="2" s="1"/>
  <c r="W1376" i="2"/>
  <c r="X1376" i="2" s="1" a="1"/>
  <c r="X1376" i="2" s="1"/>
  <c r="W1377" i="2"/>
  <c r="X1377" i="2" s="1" a="1"/>
  <c r="X1377" i="2" s="1"/>
  <c r="W1378" i="2"/>
  <c r="X1378" i="2" s="1" a="1"/>
  <c r="X1378" i="2" s="1"/>
  <c r="W1379" i="2"/>
  <c r="X1379" i="2" s="1" a="1"/>
  <c r="X1379" i="2" s="1"/>
  <c r="W1380" i="2"/>
  <c r="X1380" i="2" s="1" a="1"/>
  <c r="X1380" i="2" s="1"/>
  <c r="W1381" i="2"/>
  <c r="X1381" i="2" s="1" a="1"/>
  <c r="X1381" i="2" s="1"/>
  <c r="W1382" i="2"/>
  <c r="X1382" i="2" s="1" a="1"/>
  <c r="X1382" i="2" s="1"/>
  <c r="W1383" i="2"/>
  <c r="X1383" i="2" s="1" a="1"/>
  <c r="X1383" i="2" s="1"/>
  <c r="W1384" i="2"/>
  <c r="X1384" i="2" s="1" a="1"/>
  <c r="X1384" i="2" s="1"/>
  <c r="W1385" i="2"/>
  <c r="X1385" i="2" s="1" a="1"/>
  <c r="X1385" i="2" s="1"/>
  <c r="W1386" i="2"/>
  <c r="X1386" i="2" s="1" a="1"/>
  <c r="X1386" i="2" s="1"/>
  <c r="W1387" i="2"/>
  <c r="X1387" i="2" s="1" a="1"/>
  <c r="X1387" i="2" s="1"/>
  <c r="W1388" i="2"/>
  <c r="X1388" i="2" s="1" a="1"/>
  <c r="X1388" i="2" s="1"/>
  <c r="W1389" i="2"/>
  <c r="X1389" i="2" s="1" a="1"/>
  <c r="X1389" i="2" s="1"/>
  <c r="W1390" i="2"/>
  <c r="X1390" i="2" s="1" a="1"/>
  <c r="X1390" i="2" s="1"/>
  <c r="W1391" i="2"/>
  <c r="X1391" i="2" s="1" a="1"/>
  <c r="X1391" i="2" s="1"/>
  <c r="W1392" i="2"/>
  <c r="X1392" i="2" s="1" a="1"/>
  <c r="X1392" i="2" s="1"/>
  <c r="W1393" i="2"/>
  <c r="X1393" i="2" s="1" a="1"/>
  <c r="X1393" i="2" s="1"/>
  <c r="W1394" i="2"/>
  <c r="X1394" i="2" s="1" a="1"/>
  <c r="X1394" i="2" s="1"/>
  <c r="W1395" i="2"/>
  <c r="X1395" i="2" s="1" a="1"/>
  <c r="X1395" i="2" s="1"/>
  <c r="W1396" i="2"/>
  <c r="X1396" i="2" s="1" a="1"/>
  <c r="X1396" i="2" s="1"/>
  <c r="W1397" i="2"/>
  <c r="X1397" i="2" s="1" a="1"/>
  <c r="X1397" i="2" s="1"/>
  <c r="W1398" i="2"/>
  <c r="X1398" i="2" s="1" a="1"/>
  <c r="X1398" i="2" s="1"/>
  <c r="W1399" i="2"/>
  <c r="X1399" i="2" s="1" a="1"/>
  <c r="X1399" i="2" s="1"/>
  <c r="W1400" i="2"/>
  <c r="X1400" i="2" s="1" a="1"/>
  <c r="X1400" i="2" s="1"/>
  <c r="W1401" i="2"/>
  <c r="X1401" i="2" s="1" a="1"/>
  <c r="X1401" i="2" s="1"/>
  <c r="W1402" i="2"/>
  <c r="X1402" i="2" s="1" a="1"/>
  <c r="X1402" i="2" s="1"/>
  <c r="W1403" i="2"/>
  <c r="X1403" i="2" s="1" a="1"/>
  <c r="X1403" i="2" s="1"/>
  <c r="W1404" i="2"/>
  <c r="X1404" i="2" s="1" a="1"/>
  <c r="X1404" i="2" s="1"/>
  <c r="W1405" i="2"/>
  <c r="X1405" i="2" s="1" a="1"/>
  <c r="X1405" i="2" s="1"/>
  <c r="W1406" i="2"/>
  <c r="X1406" i="2" s="1" a="1"/>
  <c r="X1406" i="2" s="1"/>
  <c r="W1407" i="2"/>
  <c r="X1407" i="2" s="1" a="1"/>
  <c r="X1407" i="2" s="1"/>
  <c r="W1408" i="2"/>
  <c r="X1408" i="2" s="1" a="1"/>
  <c r="X1408" i="2" s="1"/>
  <c r="W1409" i="2"/>
  <c r="X1409" i="2" s="1" a="1"/>
  <c r="X1409" i="2" s="1"/>
  <c r="W1410" i="2"/>
  <c r="X1410" i="2" s="1" a="1"/>
  <c r="X1410" i="2" s="1"/>
  <c r="W1411" i="2"/>
  <c r="X1411" i="2" s="1" a="1"/>
  <c r="X1411" i="2" s="1"/>
  <c r="W1412" i="2"/>
  <c r="X1412" i="2" s="1" a="1"/>
  <c r="X1412" i="2" s="1"/>
  <c r="W1413" i="2"/>
  <c r="X1413" i="2" s="1" a="1"/>
  <c r="X1413" i="2" s="1"/>
  <c r="W1414" i="2"/>
  <c r="X1414" i="2" s="1" a="1"/>
  <c r="X1414" i="2" s="1"/>
  <c r="W1415" i="2"/>
  <c r="X1415" i="2" s="1" a="1"/>
  <c r="X1415" i="2" s="1"/>
  <c r="W1416" i="2"/>
  <c r="X1416" i="2" s="1" a="1"/>
  <c r="X1416" i="2" s="1"/>
  <c r="W1417" i="2"/>
  <c r="X1417" i="2" s="1" a="1"/>
  <c r="X1417" i="2" s="1"/>
  <c r="W1418" i="2"/>
  <c r="X1418" i="2" s="1" a="1"/>
  <c r="X1418" i="2" s="1"/>
  <c r="W1419" i="2"/>
  <c r="X1419" i="2" s="1" a="1"/>
  <c r="X1419" i="2" s="1"/>
  <c r="W1420" i="2"/>
  <c r="X1420" i="2" s="1" a="1"/>
  <c r="X1420" i="2" s="1"/>
  <c r="W1421" i="2"/>
  <c r="X1421" i="2" s="1" a="1"/>
  <c r="X1421" i="2" s="1"/>
  <c r="W1422" i="2"/>
  <c r="X1422" i="2" s="1" a="1"/>
  <c r="X1422" i="2" s="1"/>
  <c r="W1423" i="2"/>
  <c r="X1423" i="2" s="1" a="1"/>
  <c r="X1423" i="2" s="1"/>
  <c r="W1424" i="2"/>
  <c r="X1424" i="2" s="1" a="1"/>
  <c r="X1424" i="2" s="1"/>
  <c r="W1425" i="2"/>
  <c r="X1425" i="2" s="1" a="1"/>
  <c r="X1425" i="2" s="1"/>
  <c r="W1426" i="2"/>
  <c r="X1426" i="2" s="1" a="1"/>
  <c r="X1426" i="2" s="1"/>
  <c r="W1427" i="2"/>
  <c r="X1427" i="2" s="1" a="1"/>
  <c r="X1427" i="2" s="1"/>
  <c r="W1428" i="2"/>
  <c r="X1428" i="2" s="1" a="1"/>
  <c r="X1428" i="2" s="1"/>
  <c r="W1429" i="2"/>
  <c r="X1429" i="2" s="1" a="1"/>
  <c r="X1429" i="2" s="1"/>
  <c r="W1430" i="2"/>
  <c r="X1430" i="2" s="1" a="1"/>
  <c r="X1430" i="2" s="1"/>
  <c r="W1431" i="2"/>
  <c r="X1431" i="2" s="1" a="1"/>
  <c r="X1431" i="2" s="1"/>
  <c r="W1432" i="2"/>
  <c r="X1432" i="2" s="1" a="1"/>
  <c r="X1432" i="2" s="1"/>
  <c r="W1433" i="2"/>
  <c r="X1433" i="2" s="1" a="1"/>
  <c r="X1433" i="2" s="1"/>
  <c r="W1434" i="2"/>
  <c r="X1434" i="2" s="1" a="1"/>
  <c r="X1434" i="2" s="1"/>
  <c r="W1435" i="2"/>
  <c r="X1435" i="2" s="1" a="1"/>
  <c r="X1435" i="2" s="1"/>
  <c r="W1436" i="2"/>
  <c r="X1436" i="2" s="1" a="1"/>
  <c r="X1436" i="2" s="1"/>
  <c r="W1437" i="2"/>
  <c r="X1437" i="2" s="1" a="1"/>
  <c r="X1437" i="2" s="1"/>
  <c r="W1438" i="2"/>
  <c r="X1438" i="2" s="1" a="1"/>
  <c r="X1438" i="2" s="1"/>
  <c r="W1439" i="2"/>
  <c r="X1439" i="2" s="1" a="1"/>
  <c r="X1439" i="2" s="1"/>
  <c r="W1440" i="2"/>
  <c r="X1440" i="2" s="1" a="1"/>
  <c r="X1440" i="2" s="1"/>
  <c r="W1441" i="2"/>
  <c r="X1441" i="2" s="1" a="1"/>
  <c r="X1441" i="2" s="1"/>
  <c r="W1442" i="2"/>
  <c r="X1442" i="2" s="1" a="1"/>
  <c r="X1442" i="2" s="1"/>
  <c r="W1443" i="2"/>
  <c r="X1443" i="2" s="1" a="1"/>
  <c r="X1443" i="2" s="1"/>
  <c r="W1444" i="2"/>
  <c r="X1444" i="2" s="1" a="1"/>
  <c r="X1444" i="2" s="1"/>
  <c r="W1445" i="2"/>
  <c r="X1445" i="2" s="1" a="1"/>
  <c r="X1445" i="2" s="1"/>
  <c r="W1446" i="2"/>
  <c r="X1446" i="2" s="1" a="1"/>
  <c r="X1446" i="2" s="1"/>
  <c r="W1447" i="2"/>
  <c r="X1447" i="2" s="1" a="1"/>
  <c r="X1447" i="2" s="1"/>
  <c r="W1448" i="2"/>
  <c r="X1448" i="2" s="1" a="1"/>
  <c r="X1448" i="2" s="1"/>
  <c r="W1449" i="2"/>
  <c r="X1449" i="2" s="1" a="1"/>
  <c r="X1449" i="2" s="1"/>
  <c r="W1450" i="2"/>
  <c r="X1450" i="2" s="1" a="1"/>
  <c r="X1450" i="2" s="1"/>
  <c r="W1451" i="2"/>
  <c r="X1451" i="2" s="1" a="1"/>
  <c r="X1451" i="2" s="1"/>
  <c r="W1452" i="2"/>
  <c r="X1452" i="2" s="1" a="1"/>
  <c r="X1452" i="2" s="1"/>
  <c r="W1453" i="2"/>
  <c r="X1453" i="2" s="1" a="1"/>
  <c r="X1453" i="2" s="1"/>
  <c r="W1454" i="2"/>
  <c r="X1454" i="2" s="1" a="1"/>
  <c r="X1454" i="2" s="1"/>
  <c r="W1455" i="2"/>
  <c r="X1455" i="2" s="1" a="1"/>
  <c r="X1455" i="2" s="1"/>
  <c r="W1456" i="2"/>
  <c r="X1456" i="2" s="1" a="1"/>
  <c r="X1456" i="2" s="1"/>
  <c r="W1457" i="2"/>
  <c r="X1457" i="2" s="1" a="1"/>
  <c r="X1457" i="2" s="1"/>
  <c r="W1458" i="2"/>
  <c r="X1458" i="2" s="1" a="1"/>
  <c r="X1458" i="2" s="1"/>
  <c r="W1459" i="2"/>
  <c r="X1459" i="2" s="1" a="1"/>
  <c r="X1459" i="2" s="1"/>
  <c r="W1460" i="2"/>
  <c r="X1460" i="2" s="1" a="1"/>
  <c r="X1460" i="2" s="1"/>
  <c r="W1461" i="2"/>
  <c r="X1461" i="2" s="1" a="1"/>
  <c r="X1461" i="2" s="1"/>
  <c r="W1462" i="2"/>
  <c r="X1462" i="2" s="1" a="1"/>
  <c r="X1462" i="2" s="1"/>
  <c r="W1463" i="2"/>
  <c r="X1463" i="2" s="1" a="1"/>
  <c r="X1463" i="2" s="1"/>
  <c r="W1464" i="2"/>
  <c r="X1464" i="2" s="1" a="1"/>
  <c r="X1464" i="2" s="1"/>
  <c r="W1465" i="2"/>
  <c r="X1465" i="2" s="1" a="1"/>
  <c r="X1465" i="2" s="1"/>
  <c r="W1466" i="2"/>
  <c r="X1466" i="2" s="1" a="1"/>
  <c r="X1466" i="2" s="1"/>
  <c r="W1467" i="2"/>
  <c r="X1467" i="2" s="1" a="1"/>
  <c r="X1467" i="2" s="1"/>
  <c r="W1468" i="2"/>
  <c r="X1468" i="2" s="1" a="1"/>
  <c r="X1468" i="2" s="1"/>
  <c r="W1469" i="2"/>
  <c r="X1469" i="2" s="1" a="1"/>
  <c r="X1469" i="2" s="1"/>
  <c r="W1470" i="2"/>
  <c r="X1470" i="2" s="1" a="1"/>
  <c r="X1470" i="2" s="1"/>
  <c r="W1471" i="2"/>
  <c r="X1471" i="2" s="1" a="1"/>
  <c r="X1471" i="2" s="1"/>
  <c r="W1472" i="2"/>
  <c r="X1472" i="2" s="1" a="1"/>
  <c r="X1472" i="2" s="1"/>
  <c r="W1473" i="2"/>
  <c r="X1473" i="2" s="1" a="1"/>
  <c r="X1473" i="2" s="1"/>
  <c r="W1474" i="2"/>
  <c r="X1474" i="2" s="1" a="1"/>
  <c r="X1474" i="2" s="1"/>
  <c r="W1475" i="2"/>
  <c r="X1475" i="2" s="1" a="1"/>
  <c r="X1475" i="2" s="1"/>
  <c r="W1476" i="2"/>
  <c r="X1476" i="2" s="1" a="1"/>
  <c r="X1476" i="2" s="1"/>
  <c r="W1477" i="2"/>
  <c r="X1477" i="2" s="1" a="1"/>
  <c r="X1477" i="2" s="1"/>
  <c r="W1478" i="2"/>
  <c r="X1478" i="2" s="1" a="1"/>
  <c r="X1478" i="2" s="1"/>
  <c r="W1479" i="2"/>
  <c r="X1479" i="2" s="1" a="1"/>
  <c r="X1479" i="2" s="1"/>
  <c r="W1480" i="2"/>
  <c r="X1480" i="2" s="1" a="1"/>
  <c r="X1480" i="2" s="1"/>
  <c r="W1481" i="2"/>
  <c r="X1481" i="2" s="1" a="1"/>
  <c r="X1481" i="2" s="1"/>
  <c r="W1482" i="2"/>
  <c r="X1482" i="2" s="1" a="1"/>
  <c r="X1482" i="2" s="1"/>
  <c r="W1483" i="2"/>
  <c r="X1483" i="2" s="1" a="1"/>
  <c r="X1483" i="2" s="1"/>
  <c r="W1484" i="2"/>
  <c r="X1484" i="2" s="1" a="1"/>
  <c r="X1484" i="2" s="1"/>
  <c r="W1485" i="2"/>
  <c r="X1485" i="2" s="1" a="1"/>
  <c r="X1485" i="2" s="1"/>
  <c r="W1486" i="2"/>
  <c r="X1486" i="2" s="1" a="1"/>
  <c r="X1486" i="2" s="1"/>
  <c r="W1487" i="2"/>
  <c r="X1487" i="2" s="1" a="1"/>
  <c r="X1487" i="2" s="1"/>
  <c r="W1488" i="2"/>
  <c r="X1488" i="2" s="1" a="1"/>
  <c r="X1488" i="2" s="1"/>
  <c r="W1489" i="2"/>
  <c r="X1489" i="2" s="1" a="1"/>
  <c r="X1489" i="2" s="1"/>
  <c r="W1490" i="2"/>
  <c r="X1490" i="2" s="1" a="1"/>
  <c r="X1490" i="2" s="1"/>
  <c r="W1491" i="2"/>
  <c r="X1491" i="2" s="1" a="1"/>
  <c r="X1491" i="2" s="1"/>
  <c r="W1492" i="2"/>
  <c r="X1492" i="2" s="1" a="1"/>
  <c r="X1492" i="2" s="1"/>
  <c r="W1493" i="2"/>
  <c r="X1493" i="2" s="1" a="1"/>
  <c r="X1493" i="2" s="1"/>
  <c r="W1494" i="2"/>
  <c r="X1494" i="2" s="1" a="1"/>
  <c r="X1494" i="2" s="1"/>
  <c r="W1495" i="2"/>
  <c r="X1495" i="2" s="1" a="1"/>
  <c r="X1495" i="2" s="1"/>
  <c r="W1496" i="2"/>
  <c r="X1496" i="2" s="1" a="1"/>
  <c r="X1496" i="2" s="1"/>
  <c r="W1497" i="2"/>
  <c r="X1497" i="2" s="1" a="1"/>
  <c r="X1497" i="2" s="1"/>
  <c r="W1498" i="2"/>
  <c r="X1498" i="2" s="1" a="1"/>
  <c r="X1498" i="2" s="1"/>
  <c r="W1499" i="2"/>
  <c r="X1499" i="2" s="1" a="1"/>
  <c r="X1499" i="2" s="1"/>
  <c r="W1500" i="2"/>
  <c r="X1500" i="2" s="1" a="1"/>
  <c r="X1500" i="2" s="1"/>
  <c r="W1501" i="2"/>
  <c r="X1501" i="2" s="1" a="1"/>
  <c r="X1501" i="2" s="1"/>
  <c r="W1502" i="2"/>
  <c r="X1502" i="2" s="1" a="1"/>
  <c r="X1502" i="2" s="1"/>
  <c r="W1503" i="2"/>
  <c r="X1503" i="2" s="1" a="1"/>
  <c r="X1503" i="2" s="1"/>
  <c r="W1504" i="2"/>
  <c r="X1504" i="2" s="1" a="1"/>
  <c r="X1504" i="2" s="1"/>
  <c r="W1505" i="2"/>
  <c r="X1505" i="2" s="1" a="1"/>
  <c r="X1505" i="2" s="1"/>
  <c r="W1506" i="2"/>
  <c r="X1506" i="2" s="1" a="1"/>
  <c r="X1506" i="2" s="1"/>
  <c r="W1507" i="2"/>
  <c r="X1507" i="2" s="1" a="1"/>
  <c r="X1507" i="2" s="1"/>
  <c r="W1508" i="2"/>
  <c r="X1508" i="2" s="1" a="1"/>
  <c r="X1508" i="2" s="1"/>
  <c r="W1509" i="2"/>
  <c r="X1509" i="2" s="1" a="1"/>
  <c r="X1509" i="2" s="1"/>
  <c r="W1510" i="2"/>
  <c r="X1510" i="2" s="1" a="1"/>
  <c r="X1510" i="2" s="1"/>
  <c r="W1511" i="2"/>
  <c r="X1511" i="2" s="1" a="1"/>
  <c r="X1511" i="2" s="1"/>
  <c r="W1512" i="2"/>
  <c r="X1512" i="2" s="1" a="1"/>
  <c r="X1512" i="2" s="1"/>
  <c r="W1513" i="2"/>
  <c r="X1513" i="2" s="1" a="1"/>
  <c r="X1513" i="2" s="1"/>
  <c r="W1514" i="2"/>
  <c r="X1514" i="2" s="1" a="1"/>
  <c r="X1514" i="2" s="1"/>
  <c r="W1515" i="2"/>
  <c r="X1515" i="2" s="1" a="1"/>
  <c r="X1515" i="2" s="1"/>
  <c r="W1516" i="2"/>
  <c r="X1516" i="2" s="1" a="1"/>
  <c r="X1516" i="2" s="1"/>
  <c r="W1517" i="2"/>
  <c r="X1517" i="2" s="1" a="1"/>
  <c r="X1517" i="2" s="1"/>
  <c r="W1518" i="2"/>
  <c r="X1518" i="2" s="1" a="1"/>
  <c r="X1518" i="2" s="1"/>
  <c r="W1519" i="2"/>
  <c r="X1519" i="2" s="1" a="1"/>
  <c r="X1519" i="2" s="1"/>
  <c r="W1520" i="2"/>
  <c r="X1520" i="2" s="1" a="1"/>
  <c r="X1520" i="2" s="1"/>
  <c r="W1521" i="2"/>
  <c r="X1521" i="2" s="1" a="1"/>
  <c r="X1521" i="2" s="1"/>
  <c r="W1522" i="2"/>
  <c r="X1522" i="2" s="1" a="1"/>
  <c r="X1522" i="2" s="1"/>
  <c r="W1523" i="2"/>
  <c r="X1523" i="2" s="1" a="1"/>
  <c r="X1523" i="2" s="1"/>
  <c r="W1524" i="2"/>
  <c r="X1524" i="2" s="1" a="1"/>
  <c r="X1524" i="2" s="1"/>
  <c r="W1525" i="2"/>
  <c r="X1525" i="2" s="1" a="1"/>
  <c r="X1525" i="2" s="1"/>
  <c r="W1526" i="2"/>
  <c r="X1526" i="2" s="1" a="1"/>
  <c r="X1526" i="2" s="1"/>
  <c r="W1527" i="2"/>
  <c r="X1527" i="2" s="1" a="1"/>
  <c r="X1527" i="2" s="1"/>
  <c r="W1528" i="2"/>
  <c r="X1528" i="2" s="1" a="1"/>
  <c r="X1528" i="2" s="1"/>
  <c r="W1529" i="2"/>
  <c r="X1529" i="2" s="1" a="1"/>
  <c r="X1529" i="2" s="1"/>
  <c r="W1530" i="2"/>
  <c r="X1530" i="2" s="1" a="1"/>
  <c r="X1530" i="2" s="1"/>
  <c r="W1531" i="2"/>
  <c r="X1531" i="2" s="1" a="1"/>
  <c r="X1531" i="2" s="1"/>
  <c r="W1532" i="2"/>
  <c r="X1532" i="2" s="1" a="1"/>
  <c r="X1532" i="2" s="1"/>
  <c r="W1533" i="2"/>
  <c r="X1533" i="2" s="1" a="1"/>
  <c r="X1533" i="2" s="1"/>
  <c r="W1534" i="2"/>
  <c r="X1534" i="2" s="1" a="1"/>
  <c r="X1534" i="2" s="1"/>
  <c r="W1535" i="2"/>
  <c r="X1535" i="2" s="1" a="1"/>
  <c r="X1535" i="2" s="1"/>
  <c r="W1536" i="2"/>
  <c r="X1536" i="2" s="1" a="1"/>
  <c r="X1536" i="2" s="1"/>
  <c r="W1537" i="2"/>
  <c r="X1537" i="2" s="1" a="1"/>
  <c r="X1537" i="2" s="1"/>
  <c r="W1538" i="2"/>
  <c r="X1538" i="2" s="1" a="1"/>
  <c r="X1538" i="2" s="1"/>
  <c r="W1539" i="2"/>
  <c r="X1539" i="2" s="1" a="1"/>
  <c r="X1539" i="2" s="1"/>
  <c r="W1540" i="2"/>
  <c r="X1540" i="2" s="1" a="1"/>
  <c r="X1540" i="2" s="1"/>
  <c r="W1541" i="2"/>
  <c r="X1541" i="2" s="1" a="1"/>
  <c r="X1541" i="2" s="1"/>
  <c r="W1542" i="2"/>
  <c r="X1542" i="2" s="1" a="1"/>
  <c r="X1542" i="2" s="1"/>
  <c r="W1543" i="2"/>
  <c r="X1543" i="2" s="1" a="1"/>
  <c r="X1543" i="2" s="1"/>
  <c r="W1544" i="2"/>
  <c r="X1544" i="2" s="1" a="1"/>
  <c r="X1544" i="2" s="1"/>
  <c r="W1545" i="2"/>
  <c r="X1545" i="2" s="1" a="1"/>
  <c r="X1545" i="2" s="1"/>
  <c r="W1546" i="2"/>
  <c r="X1546" i="2" s="1" a="1"/>
  <c r="X1546" i="2" s="1"/>
  <c r="W1547" i="2"/>
  <c r="X1547" i="2" s="1" a="1"/>
  <c r="X1547" i="2" s="1"/>
  <c r="W1548" i="2"/>
  <c r="X1548" i="2" s="1" a="1"/>
  <c r="X1548" i="2" s="1"/>
  <c r="W1549" i="2"/>
  <c r="X1549" i="2" s="1" a="1"/>
  <c r="X1549" i="2" s="1"/>
  <c r="W1550" i="2"/>
  <c r="X1550" i="2" s="1" a="1"/>
  <c r="X1550" i="2" s="1"/>
  <c r="W1551" i="2"/>
  <c r="X1551" i="2" s="1" a="1"/>
  <c r="X1551" i="2" s="1"/>
  <c r="W1552" i="2"/>
  <c r="X1552" i="2" s="1" a="1"/>
  <c r="X1552" i="2" s="1"/>
  <c r="W1553" i="2"/>
  <c r="X1553" i="2" s="1" a="1"/>
  <c r="X1553" i="2" s="1"/>
  <c r="W1554" i="2"/>
  <c r="X1554" i="2" s="1" a="1"/>
  <c r="X1554" i="2" s="1"/>
  <c r="W1555" i="2"/>
  <c r="X1555" i="2" s="1" a="1"/>
  <c r="X1555" i="2" s="1"/>
  <c r="W1556" i="2"/>
  <c r="X1556" i="2" s="1" a="1"/>
  <c r="X1556" i="2" s="1"/>
  <c r="W1557" i="2"/>
  <c r="X1557" i="2" s="1" a="1"/>
  <c r="X1557" i="2" s="1"/>
  <c r="W1558" i="2"/>
  <c r="X1558" i="2" s="1" a="1"/>
  <c r="X1558" i="2" s="1"/>
  <c r="W1559" i="2"/>
  <c r="X1559" i="2" s="1" a="1"/>
  <c r="X1559" i="2" s="1"/>
  <c r="W1560" i="2"/>
  <c r="X1560" i="2" s="1" a="1"/>
  <c r="X1560" i="2" s="1"/>
  <c r="W1561" i="2"/>
  <c r="X1561" i="2" s="1" a="1"/>
  <c r="X1561" i="2" s="1"/>
  <c r="W1562" i="2"/>
  <c r="X1562" i="2" s="1" a="1"/>
  <c r="X1562" i="2" s="1"/>
  <c r="W1563" i="2"/>
  <c r="X1563" i="2" s="1" a="1"/>
  <c r="X1563" i="2" s="1"/>
  <c r="W1564" i="2"/>
  <c r="X1564" i="2" s="1" a="1"/>
  <c r="X1564" i="2" s="1"/>
  <c r="W1565" i="2"/>
  <c r="X1565" i="2" s="1" a="1"/>
  <c r="X1565" i="2" s="1"/>
  <c r="W1566" i="2"/>
  <c r="X1566" i="2" s="1" a="1"/>
  <c r="X1566" i="2" s="1"/>
  <c r="W1567" i="2"/>
  <c r="X1567" i="2" s="1" a="1"/>
  <c r="X1567" i="2" s="1"/>
  <c r="W1568" i="2"/>
  <c r="X1568" i="2" s="1" a="1"/>
  <c r="X1568" i="2" s="1"/>
  <c r="W1569" i="2"/>
  <c r="X1569" i="2" s="1" a="1"/>
  <c r="X1569" i="2" s="1"/>
  <c r="W1570" i="2"/>
  <c r="X1570" i="2" s="1" a="1"/>
  <c r="X1570" i="2" s="1"/>
  <c r="W1571" i="2"/>
  <c r="X1571" i="2" s="1" a="1"/>
  <c r="X1571" i="2" s="1"/>
  <c r="W1572" i="2"/>
  <c r="X1572" i="2" s="1" a="1"/>
  <c r="X1572" i="2" s="1"/>
  <c r="W1573" i="2"/>
  <c r="X1573" i="2" s="1" a="1"/>
  <c r="X1573" i="2" s="1"/>
  <c r="W1574" i="2"/>
  <c r="X1574" i="2" s="1" a="1"/>
  <c r="X1574" i="2" s="1"/>
  <c r="W1575" i="2"/>
  <c r="X1575" i="2" s="1" a="1"/>
  <c r="X1575" i="2" s="1"/>
  <c r="W1576" i="2"/>
  <c r="X1576" i="2" s="1" a="1"/>
  <c r="X1576" i="2" s="1"/>
  <c r="W1577" i="2"/>
  <c r="X1577" i="2" s="1" a="1"/>
  <c r="X1577" i="2" s="1"/>
  <c r="W1578" i="2"/>
  <c r="X1578" i="2" s="1" a="1"/>
  <c r="X1578" i="2" s="1"/>
  <c r="W1579" i="2"/>
  <c r="X1579" i="2" s="1" a="1"/>
  <c r="X1579" i="2" s="1"/>
  <c r="W1580" i="2"/>
  <c r="X1580" i="2" s="1" a="1"/>
  <c r="X1580" i="2" s="1"/>
  <c r="W1581" i="2"/>
  <c r="X1581" i="2" s="1" a="1"/>
  <c r="X1581" i="2" s="1"/>
  <c r="W1582" i="2"/>
  <c r="X1582" i="2" s="1" a="1"/>
  <c r="X1582" i="2" s="1"/>
  <c r="W1583" i="2"/>
  <c r="X1583" i="2" s="1" a="1"/>
  <c r="X1583" i="2" s="1"/>
  <c r="W1584" i="2"/>
  <c r="X1584" i="2" s="1" a="1"/>
  <c r="X1584" i="2" s="1"/>
  <c r="W1585" i="2"/>
  <c r="X1585" i="2" s="1" a="1"/>
  <c r="X1585" i="2" s="1"/>
  <c r="W1586" i="2"/>
  <c r="X1586" i="2" s="1" a="1"/>
  <c r="X1586" i="2" s="1"/>
  <c r="W1587" i="2"/>
  <c r="X1587" i="2" s="1" a="1"/>
  <c r="X1587" i="2" s="1"/>
  <c r="W1588" i="2"/>
  <c r="X1588" i="2" s="1" a="1"/>
  <c r="X1588" i="2" s="1"/>
  <c r="W1589" i="2"/>
  <c r="X1589" i="2" s="1" a="1"/>
  <c r="X1589" i="2" s="1"/>
  <c r="W1590" i="2"/>
  <c r="X1590" i="2" s="1" a="1"/>
  <c r="X1590" i="2" s="1"/>
  <c r="W1591" i="2"/>
  <c r="X1591" i="2" s="1" a="1"/>
  <c r="X1591" i="2" s="1"/>
  <c r="W1592" i="2"/>
  <c r="X1592" i="2" s="1" a="1"/>
  <c r="X1592" i="2" s="1"/>
  <c r="W1593" i="2"/>
  <c r="X1593" i="2" s="1" a="1"/>
  <c r="X1593" i="2" s="1"/>
  <c r="W1594" i="2"/>
  <c r="X1594" i="2" s="1" a="1"/>
  <c r="X1594" i="2" s="1"/>
  <c r="W1595" i="2"/>
  <c r="X1595" i="2" s="1" a="1"/>
  <c r="X1595" i="2" s="1"/>
  <c r="W1596" i="2"/>
  <c r="X1596" i="2" s="1" a="1"/>
  <c r="X1596" i="2" s="1"/>
  <c r="W1597" i="2"/>
  <c r="X1597" i="2" s="1" a="1"/>
  <c r="X1597" i="2" s="1"/>
  <c r="W1598" i="2"/>
  <c r="X1598" i="2" s="1" a="1"/>
  <c r="X1598" i="2" s="1"/>
  <c r="W1599" i="2"/>
  <c r="X1599" i="2" s="1" a="1"/>
  <c r="X1599" i="2" s="1"/>
  <c r="W1600" i="2"/>
  <c r="X1600" i="2" s="1" a="1"/>
  <c r="X1600" i="2" s="1"/>
  <c r="W1601" i="2"/>
  <c r="X1601" i="2" s="1" a="1"/>
  <c r="X1601" i="2" s="1"/>
  <c r="W1602" i="2"/>
  <c r="X1602" i="2" s="1" a="1"/>
  <c r="X1602" i="2" s="1"/>
  <c r="W1603" i="2"/>
  <c r="X1603" i="2" s="1" a="1"/>
  <c r="X1603" i="2" s="1"/>
  <c r="W1604" i="2"/>
  <c r="X1604" i="2" s="1" a="1"/>
  <c r="X1604" i="2" s="1"/>
  <c r="W1605" i="2"/>
  <c r="X1605" i="2" s="1" a="1"/>
  <c r="X1605" i="2" s="1"/>
  <c r="W1606" i="2"/>
  <c r="X1606" i="2" s="1" a="1"/>
  <c r="X1606" i="2" s="1"/>
  <c r="W1607" i="2"/>
  <c r="X1607" i="2" s="1" a="1"/>
  <c r="X1607" i="2" s="1"/>
  <c r="W1608" i="2"/>
  <c r="X1608" i="2" s="1" a="1"/>
  <c r="X1608" i="2" s="1"/>
  <c r="W1609" i="2"/>
  <c r="X1609" i="2" s="1" a="1"/>
  <c r="X1609" i="2" s="1"/>
  <c r="W1610" i="2"/>
  <c r="X1610" i="2" s="1" a="1"/>
  <c r="X1610" i="2" s="1"/>
  <c r="W1611" i="2"/>
  <c r="X1611" i="2" s="1" a="1"/>
  <c r="X1611" i="2" s="1"/>
  <c r="W1612" i="2"/>
  <c r="X1612" i="2" s="1" a="1"/>
  <c r="X1612" i="2" s="1"/>
  <c r="W1613" i="2"/>
  <c r="X1613" i="2" s="1" a="1"/>
  <c r="X1613" i="2" s="1"/>
  <c r="W1614" i="2"/>
  <c r="X1614" i="2" s="1" a="1"/>
  <c r="X1614" i="2" s="1"/>
  <c r="W1615" i="2"/>
  <c r="X1615" i="2" s="1" a="1"/>
  <c r="X1615" i="2" s="1"/>
  <c r="W1616" i="2"/>
  <c r="X1616" i="2" s="1" a="1"/>
  <c r="X1616" i="2" s="1"/>
  <c r="W1617" i="2"/>
  <c r="X1617" i="2" s="1" a="1"/>
  <c r="X1617" i="2" s="1"/>
  <c r="W1618" i="2"/>
  <c r="X1618" i="2" s="1" a="1"/>
  <c r="X1618" i="2" s="1"/>
  <c r="W1619" i="2"/>
  <c r="X1619" i="2" s="1" a="1"/>
  <c r="X1619" i="2" s="1"/>
  <c r="W1620" i="2"/>
  <c r="X1620" i="2" s="1" a="1"/>
  <c r="X1620" i="2" s="1"/>
  <c r="W1621" i="2"/>
  <c r="X1621" i="2" s="1" a="1"/>
  <c r="X1621" i="2" s="1"/>
  <c r="W1622" i="2"/>
  <c r="X1622" i="2" s="1" a="1"/>
  <c r="X1622" i="2" s="1"/>
  <c r="W1623" i="2"/>
  <c r="X1623" i="2" s="1" a="1"/>
  <c r="X1623" i="2" s="1"/>
  <c r="W1624" i="2"/>
  <c r="X1624" i="2" s="1" a="1"/>
  <c r="X1624" i="2" s="1"/>
  <c r="W1625" i="2"/>
  <c r="X1625" i="2" s="1" a="1"/>
  <c r="X1625" i="2" s="1"/>
  <c r="W1626" i="2"/>
  <c r="X1626" i="2" s="1" a="1"/>
  <c r="X1626" i="2" s="1"/>
  <c r="W1627" i="2"/>
  <c r="X1627" i="2" s="1" a="1"/>
  <c r="X1627" i="2" s="1"/>
  <c r="W1628" i="2"/>
  <c r="X1628" i="2" s="1" a="1"/>
  <c r="X1628" i="2" s="1"/>
  <c r="W1629" i="2"/>
  <c r="X1629" i="2" s="1" a="1"/>
  <c r="X1629" i="2" s="1"/>
  <c r="W1630" i="2"/>
  <c r="X1630" i="2" s="1" a="1"/>
  <c r="X1630" i="2" s="1"/>
  <c r="W1631" i="2"/>
  <c r="X1631" i="2" s="1" a="1"/>
  <c r="X1631" i="2" s="1"/>
  <c r="W1632" i="2"/>
  <c r="X1632" i="2" s="1" a="1"/>
  <c r="X1632" i="2" s="1"/>
  <c r="W1633" i="2"/>
  <c r="X1633" i="2" s="1" a="1"/>
  <c r="X1633" i="2" s="1"/>
  <c r="W1634" i="2"/>
  <c r="X1634" i="2" s="1" a="1"/>
  <c r="X1634" i="2" s="1"/>
  <c r="W1635" i="2"/>
  <c r="X1635" i="2" s="1" a="1"/>
  <c r="X1635" i="2" s="1"/>
  <c r="W1636" i="2"/>
  <c r="X1636" i="2" s="1" a="1"/>
  <c r="X1636" i="2" s="1"/>
  <c r="W1637" i="2"/>
  <c r="X1637" i="2" s="1" a="1"/>
  <c r="X1637" i="2" s="1"/>
  <c r="W1638" i="2"/>
  <c r="X1638" i="2" s="1" a="1"/>
  <c r="X1638" i="2" s="1"/>
  <c r="W1639" i="2"/>
  <c r="X1639" i="2" s="1" a="1"/>
  <c r="X1639" i="2" s="1"/>
  <c r="W1640" i="2"/>
  <c r="X1640" i="2" s="1" a="1"/>
  <c r="X1640" i="2" s="1"/>
  <c r="W1641" i="2"/>
  <c r="X1641" i="2" s="1" a="1"/>
  <c r="X1641" i="2" s="1"/>
  <c r="W1642" i="2"/>
  <c r="X1642" i="2" s="1" a="1"/>
  <c r="X1642" i="2" s="1"/>
  <c r="W1643" i="2"/>
  <c r="X1643" i="2" s="1" a="1"/>
  <c r="X1643" i="2" s="1"/>
  <c r="W1644" i="2"/>
  <c r="X1644" i="2" s="1" a="1"/>
  <c r="X1644" i="2" s="1"/>
  <c r="W1645" i="2"/>
  <c r="X1645" i="2" s="1" a="1"/>
  <c r="X1645" i="2" s="1"/>
  <c r="W1646" i="2"/>
  <c r="X1646" i="2" s="1" a="1"/>
  <c r="X1646" i="2" s="1"/>
  <c r="W1647" i="2"/>
  <c r="X1647" i="2" s="1" a="1"/>
  <c r="X1647" i="2" s="1"/>
  <c r="W1648" i="2"/>
  <c r="X1648" i="2" s="1" a="1"/>
  <c r="X1648" i="2" s="1"/>
  <c r="W1649" i="2"/>
  <c r="X1649" i="2" s="1" a="1"/>
  <c r="X1649" i="2" s="1"/>
  <c r="W1650" i="2"/>
  <c r="X1650" i="2" s="1" a="1"/>
  <c r="X1650" i="2" s="1"/>
  <c r="W1651" i="2"/>
  <c r="X1651" i="2" s="1" a="1"/>
  <c r="X1651" i="2" s="1"/>
  <c r="W1652" i="2"/>
  <c r="X1652" i="2" s="1" a="1"/>
  <c r="X1652" i="2" s="1"/>
  <c r="W1653" i="2"/>
  <c r="X1653" i="2" s="1" a="1"/>
  <c r="X1653" i="2" s="1"/>
  <c r="W1654" i="2"/>
  <c r="X1654" i="2" s="1" a="1"/>
  <c r="X1654" i="2" s="1"/>
  <c r="W1655" i="2"/>
  <c r="X1655" i="2" s="1" a="1"/>
  <c r="X1655" i="2" s="1"/>
  <c r="W1656" i="2"/>
  <c r="X1656" i="2" s="1" a="1"/>
  <c r="X1656" i="2" s="1"/>
  <c r="W1657" i="2"/>
  <c r="X1657" i="2" s="1" a="1"/>
  <c r="X1657" i="2" s="1"/>
  <c r="W1658" i="2"/>
  <c r="X1658" i="2" s="1" a="1"/>
  <c r="X1658" i="2" s="1"/>
  <c r="W1659" i="2"/>
  <c r="X1659" i="2" s="1" a="1"/>
  <c r="X1659" i="2" s="1"/>
  <c r="W1660" i="2"/>
  <c r="X1660" i="2" s="1" a="1"/>
  <c r="X1660" i="2" s="1"/>
  <c r="W1661" i="2"/>
  <c r="X1661" i="2" s="1" a="1"/>
  <c r="X1661" i="2" s="1"/>
  <c r="W1662" i="2"/>
  <c r="X1662" i="2" s="1" a="1"/>
  <c r="X1662" i="2" s="1"/>
  <c r="W1663" i="2"/>
  <c r="X1663" i="2" s="1" a="1"/>
  <c r="X1663" i="2" s="1"/>
  <c r="W1664" i="2"/>
  <c r="X1664" i="2" s="1" a="1"/>
  <c r="X1664" i="2" s="1"/>
  <c r="W1665" i="2"/>
  <c r="X1665" i="2" s="1" a="1"/>
  <c r="X1665" i="2" s="1"/>
  <c r="W1666" i="2"/>
  <c r="X1666" i="2" s="1" a="1"/>
  <c r="X1666" i="2" s="1"/>
  <c r="W1667" i="2"/>
  <c r="X1667" i="2" s="1" a="1"/>
  <c r="X1667" i="2" s="1"/>
  <c r="W1668" i="2"/>
  <c r="X1668" i="2" s="1" a="1"/>
  <c r="X1668" i="2" s="1"/>
  <c r="W1669" i="2"/>
  <c r="X1669" i="2" s="1" a="1"/>
  <c r="X1669" i="2" s="1"/>
  <c r="W1670" i="2"/>
  <c r="X1670" i="2" s="1" a="1"/>
  <c r="X1670" i="2" s="1"/>
  <c r="W1671" i="2"/>
  <c r="X1671" i="2" s="1" a="1"/>
  <c r="X1671" i="2" s="1"/>
  <c r="W1672" i="2"/>
  <c r="X1672" i="2" s="1" a="1"/>
  <c r="X1672" i="2" s="1"/>
  <c r="W1673" i="2"/>
  <c r="X1673" i="2" s="1" a="1"/>
  <c r="X1673" i="2" s="1"/>
  <c r="W1674" i="2"/>
  <c r="X1674" i="2" s="1" a="1"/>
  <c r="X1674" i="2" s="1"/>
  <c r="W1675" i="2"/>
  <c r="X1675" i="2" s="1" a="1"/>
  <c r="X1675" i="2" s="1"/>
  <c r="W1676" i="2"/>
  <c r="X1676" i="2" s="1" a="1"/>
  <c r="X1676" i="2" s="1"/>
  <c r="W1677" i="2"/>
  <c r="X1677" i="2" s="1" a="1"/>
  <c r="X1677" i="2" s="1"/>
  <c r="W1678" i="2"/>
  <c r="X1678" i="2" s="1" a="1"/>
  <c r="X1678" i="2" s="1"/>
  <c r="W1679" i="2"/>
  <c r="X1679" i="2" s="1" a="1"/>
  <c r="X1679" i="2" s="1"/>
  <c r="W1680" i="2"/>
  <c r="X1680" i="2" s="1" a="1"/>
  <c r="X1680" i="2" s="1"/>
  <c r="W1681" i="2"/>
  <c r="X1681" i="2" s="1" a="1"/>
  <c r="X1681" i="2" s="1"/>
  <c r="W1682" i="2"/>
  <c r="X1682" i="2" s="1" a="1"/>
  <c r="X1682" i="2" s="1"/>
  <c r="W1683" i="2"/>
  <c r="X1683" i="2" s="1" a="1"/>
  <c r="X1683" i="2" s="1"/>
  <c r="W1684" i="2"/>
  <c r="X1684" i="2" s="1" a="1"/>
  <c r="X1684" i="2" s="1"/>
  <c r="W1685" i="2"/>
  <c r="X1685" i="2" s="1" a="1"/>
  <c r="X1685" i="2" s="1"/>
  <c r="W1686" i="2"/>
  <c r="X1686" i="2" s="1" a="1"/>
  <c r="X1686" i="2" s="1"/>
  <c r="W1687" i="2"/>
  <c r="X1687" i="2" s="1" a="1"/>
  <c r="X1687" i="2" s="1"/>
  <c r="W1688" i="2"/>
  <c r="X1688" i="2" s="1" a="1"/>
  <c r="X1688" i="2" s="1"/>
  <c r="W1689" i="2"/>
  <c r="X1689" i="2" s="1" a="1"/>
  <c r="X1689" i="2" s="1"/>
  <c r="W1690" i="2"/>
  <c r="X1690" i="2" s="1" a="1"/>
  <c r="X1690" i="2" s="1"/>
  <c r="W1691" i="2"/>
  <c r="X1691" i="2" s="1" a="1"/>
  <c r="X1691" i="2" s="1"/>
  <c r="W1692" i="2"/>
  <c r="X1692" i="2" s="1" a="1"/>
  <c r="X1692" i="2" s="1"/>
  <c r="W1693" i="2"/>
  <c r="X1693" i="2" s="1" a="1"/>
  <c r="X1693" i="2" s="1"/>
  <c r="W1694" i="2"/>
  <c r="X1694" i="2" s="1" a="1"/>
  <c r="X1694" i="2" s="1"/>
  <c r="W1695" i="2"/>
  <c r="X1695" i="2" s="1" a="1"/>
  <c r="X1695" i="2" s="1"/>
  <c r="W1696" i="2"/>
  <c r="X1696" i="2" s="1" a="1"/>
  <c r="X1696" i="2" s="1"/>
  <c r="W1697" i="2"/>
  <c r="X1697" i="2" s="1" a="1"/>
  <c r="X1697" i="2" s="1"/>
  <c r="W1698" i="2"/>
  <c r="X1698" i="2" s="1" a="1"/>
  <c r="X1698" i="2" s="1"/>
  <c r="W1699" i="2"/>
  <c r="X1699" i="2" s="1" a="1"/>
  <c r="X1699" i="2" s="1"/>
  <c r="W1700" i="2"/>
  <c r="X1700" i="2" s="1" a="1"/>
  <c r="X1700" i="2" s="1"/>
  <c r="W1701" i="2"/>
  <c r="X1701" i="2" s="1" a="1"/>
  <c r="X1701" i="2" s="1"/>
  <c r="W1702" i="2"/>
  <c r="X1702" i="2" s="1" a="1"/>
  <c r="X1702" i="2" s="1"/>
  <c r="W1703" i="2"/>
  <c r="X1703" i="2" s="1" a="1"/>
  <c r="X1703" i="2" s="1"/>
  <c r="W1704" i="2"/>
  <c r="X1704" i="2" s="1" a="1"/>
  <c r="X1704" i="2" s="1"/>
  <c r="W1705" i="2"/>
  <c r="X1705" i="2" s="1" a="1"/>
  <c r="X1705" i="2" s="1"/>
  <c r="W1706" i="2"/>
  <c r="X1706" i="2" s="1" a="1"/>
  <c r="X1706" i="2" s="1"/>
  <c r="W1707" i="2"/>
  <c r="X1707" i="2" s="1" a="1"/>
  <c r="X1707" i="2" s="1"/>
  <c r="W1708" i="2"/>
  <c r="X1708" i="2" s="1" a="1"/>
  <c r="X1708" i="2" s="1"/>
  <c r="W1709" i="2"/>
  <c r="X1709" i="2" s="1" a="1"/>
  <c r="X1709" i="2" s="1"/>
  <c r="W1710" i="2"/>
  <c r="X1710" i="2" s="1" a="1"/>
  <c r="X1710" i="2" s="1"/>
  <c r="W1711" i="2"/>
  <c r="X1711" i="2" s="1" a="1"/>
  <c r="X1711" i="2" s="1"/>
  <c r="W1712" i="2"/>
  <c r="X1712" i="2" s="1" a="1"/>
  <c r="X1712" i="2" s="1"/>
  <c r="W1713" i="2"/>
  <c r="X1713" i="2" s="1" a="1"/>
  <c r="X1713" i="2" s="1"/>
  <c r="W1714" i="2"/>
  <c r="X1714" i="2" s="1" a="1"/>
  <c r="X1714" i="2" s="1"/>
  <c r="W1715" i="2"/>
  <c r="X1715" i="2" s="1" a="1"/>
  <c r="X1715" i="2" s="1"/>
  <c r="W1716" i="2"/>
  <c r="X1716" i="2" s="1" a="1"/>
  <c r="X1716" i="2" s="1"/>
  <c r="W1717" i="2"/>
  <c r="X1717" i="2" s="1" a="1"/>
  <c r="X1717" i="2" s="1"/>
  <c r="W1718" i="2"/>
  <c r="X1718" i="2" s="1" a="1"/>
  <c r="X1718" i="2" s="1"/>
  <c r="W1719" i="2"/>
  <c r="X1719" i="2" s="1" a="1"/>
  <c r="X1719" i="2" s="1"/>
  <c r="W1720" i="2"/>
  <c r="X1720" i="2" s="1" a="1"/>
  <c r="X1720" i="2" s="1"/>
  <c r="W1721" i="2"/>
  <c r="X1721" i="2" s="1" a="1"/>
  <c r="X1721" i="2" s="1"/>
  <c r="W1722" i="2"/>
  <c r="X1722" i="2" s="1" a="1"/>
  <c r="X1722" i="2" s="1"/>
  <c r="W1723" i="2"/>
  <c r="X1723" i="2" s="1" a="1"/>
  <c r="X1723" i="2" s="1"/>
  <c r="W1724" i="2"/>
  <c r="X1724" i="2" s="1" a="1"/>
  <c r="X1724" i="2" s="1"/>
  <c r="W1725" i="2"/>
  <c r="X1725" i="2" s="1" a="1"/>
  <c r="X1725" i="2" s="1"/>
  <c r="W1726" i="2"/>
  <c r="X1726" i="2" s="1" a="1"/>
  <c r="X1726" i="2" s="1"/>
  <c r="W1727" i="2"/>
  <c r="X1727" i="2" s="1" a="1"/>
  <c r="X1727" i="2" s="1"/>
  <c r="W1728" i="2"/>
  <c r="X1728" i="2" s="1" a="1"/>
  <c r="X1728" i="2" s="1"/>
  <c r="W1729" i="2"/>
  <c r="X1729" i="2" s="1" a="1"/>
  <c r="X1729" i="2" s="1"/>
  <c r="W1730" i="2"/>
  <c r="X1730" i="2" s="1" a="1"/>
  <c r="X1730" i="2" s="1"/>
  <c r="W1731" i="2"/>
  <c r="X1731" i="2" s="1" a="1"/>
  <c r="X1731" i="2" s="1"/>
  <c r="W1732" i="2"/>
  <c r="X1732" i="2" s="1" a="1"/>
  <c r="X1732" i="2" s="1"/>
  <c r="W1733" i="2"/>
  <c r="X1733" i="2" s="1" a="1"/>
  <c r="X1733" i="2" s="1"/>
  <c r="W1734" i="2"/>
  <c r="X1734" i="2" s="1" a="1"/>
  <c r="X1734" i="2" s="1"/>
  <c r="W1735" i="2"/>
  <c r="X1735" i="2" s="1" a="1"/>
  <c r="X1735" i="2" s="1"/>
  <c r="W1736" i="2"/>
  <c r="X1736" i="2" s="1" a="1"/>
  <c r="X1736" i="2" s="1"/>
  <c r="W1737" i="2"/>
  <c r="X1737" i="2" s="1" a="1"/>
  <c r="X1737" i="2" s="1"/>
  <c r="W1738" i="2"/>
  <c r="X1738" i="2" s="1" a="1"/>
  <c r="X1738" i="2" s="1"/>
  <c r="W1739" i="2"/>
  <c r="X1739" i="2" s="1" a="1"/>
  <c r="X1739" i="2" s="1"/>
  <c r="W1740" i="2"/>
  <c r="X1740" i="2" s="1" a="1"/>
  <c r="X1740" i="2" s="1"/>
  <c r="W1741" i="2"/>
  <c r="X1741" i="2" s="1" a="1"/>
  <c r="X1741" i="2" s="1"/>
  <c r="W1742" i="2"/>
  <c r="X1742" i="2" s="1" a="1"/>
  <c r="X1742" i="2" s="1"/>
  <c r="W1743" i="2"/>
  <c r="X1743" i="2" s="1" a="1"/>
  <c r="X1743" i="2" s="1"/>
  <c r="W1744" i="2"/>
  <c r="X1744" i="2" s="1" a="1"/>
  <c r="X1744" i="2" s="1"/>
  <c r="W1745" i="2"/>
  <c r="X1745" i="2" s="1" a="1"/>
  <c r="X1745" i="2" s="1"/>
  <c r="W1746" i="2"/>
  <c r="X1746" i="2" s="1" a="1"/>
  <c r="X1746" i="2" s="1"/>
  <c r="W1747" i="2"/>
  <c r="X1747" i="2" s="1" a="1"/>
  <c r="X1747" i="2" s="1"/>
  <c r="W1748" i="2"/>
  <c r="X1748" i="2" s="1" a="1"/>
  <c r="X1748" i="2" s="1"/>
  <c r="W1749" i="2"/>
  <c r="X1749" i="2" s="1" a="1"/>
  <c r="X1749" i="2" s="1"/>
  <c r="W1750" i="2"/>
  <c r="X1750" i="2" s="1" a="1"/>
  <c r="X1750" i="2" s="1"/>
  <c r="W1751" i="2"/>
  <c r="X1751" i="2" s="1" a="1"/>
  <c r="X1751" i="2" s="1"/>
  <c r="W1752" i="2"/>
  <c r="X1752" i="2" s="1" a="1"/>
  <c r="X1752" i="2" s="1"/>
  <c r="W1753" i="2"/>
  <c r="X1753" i="2" s="1" a="1"/>
  <c r="X1753" i="2" s="1"/>
  <c r="W1754" i="2"/>
  <c r="X1754" i="2" s="1" a="1"/>
  <c r="X1754" i="2" s="1"/>
  <c r="W1755" i="2"/>
  <c r="X1755" i="2" s="1" a="1"/>
  <c r="X1755" i="2" s="1"/>
  <c r="W1756" i="2"/>
  <c r="X1756" i="2" s="1" a="1"/>
  <c r="X1756" i="2" s="1"/>
  <c r="W1757" i="2"/>
  <c r="X1757" i="2" s="1" a="1"/>
  <c r="X1757" i="2" s="1"/>
  <c r="W1758" i="2"/>
  <c r="X1758" i="2" s="1" a="1"/>
  <c r="X1758" i="2" s="1"/>
  <c r="W1759" i="2"/>
  <c r="X1759" i="2" s="1" a="1"/>
  <c r="X1759" i="2" s="1"/>
  <c r="W1760" i="2"/>
  <c r="X1760" i="2" s="1" a="1"/>
  <c r="X1760" i="2" s="1"/>
  <c r="W1761" i="2"/>
  <c r="X1761" i="2" s="1" a="1"/>
  <c r="X1761" i="2" s="1"/>
  <c r="W1762" i="2"/>
  <c r="X1762" i="2" s="1" a="1"/>
  <c r="X1762" i="2" s="1"/>
  <c r="W1763" i="2"/>
  <c r="X1763" i="2" s="1" a="1"/>
  <c r="X1763" i="2" s="1"/>
  <c r="W1764" i="2"/>
  <c r="X1764" i="2" s="1" a="1"/>
  <c r="X1764" i="2" s="1"/>
  <c r="W1765" i="2"/>
  <c r="X1765" i="2" s="1" a="1"/>
  <c r="X1765" i="2" s="1"/>
  <c r="W1766" i="2"/>
  <c r="X1766" i="2" s="1" a="1"/>
  <c r="X1766" i="2" s="1"/>
  <c r="W1767" i="2"/>
  <c r="X1767" i="2" s="1" a="1"/>
  <c r="X1767" i="2" s="1"/>
  <c r="W1768" i="2"/>
  <c r="X1768" i="2" s="1" a="1"/>
  <c r="X1768" i="2" s="1"/>
  <c r="W1769" i="2"/>
  <c r="X1769" i="2" s="1" a="1"/>
  <c r="X1769" i="2" s="1"/>
  <c r="W1770" i="2"/>
  <c r="X1770" i="2" s="1" a="1"/>
  <c r="X1770" i="2" s="1"/>
  <c r="W1771" i="2"/>
  <c r="X1771" i="2" s="1" a="1"/>
  <c r="X1771" i="2" s="1"/>
  <c r="W1772" i="2"/>
  <c r="X1772" i="2" s="1" a="1"/>
  <c r="X1772" i="2" s="1"/>
  <c r="W1773" i="2"/>
  <c r="X1773" i="2" s="1" a="1"/>
  <c r="X1773" i="2" s="1"/>
  <c r="W1774" i="2"/>
  <c r="X1774" i="2" s="1" a="1"/>
  <c r="X1774" i="2" s="1"/>
  <c r="W1775" i="2"/>
  <c r="X1775" i="2" s="1" a="1"/>
  <c r="X1775" i="2" s="1"/>
  <c r="W1776" i="2"/>
  <c r="X1776" i="2" s="1" a="1"/>
  <c r="X1776" i="2" s="1"/>
  <c r="W1777" i="2"/>
  <c r="X1777" i="2" s="1" a="1"/>
  <c r="X1777" i="2" s="1"/>
  <c r="W1778" i="2"/>
  <c r="X1778" i="2" s="1" a="1"/>
  <c r="X1778" i="2" s="1"/>
  <c r="W1779" i="2"/>
  <c r="X1779" i="2" s="1" a="1"/>
  <c r="X1779" i="2" s="1"/>
  <c r="W1780" i="2"/>
  <c r="X1780" i="2" s="1" a="1"/>
  <c r="X1780" i="2" s="1"/>
  <c r="W1781" i="2"/>
  <c r="X1781" i="2" s="1" a="1"/>
  <c r="X1781" i="2" s="1"/>
  <c r="W1782" i="2"/>
  <c r="X1782" i="2" s="1" a="1"/>
  <c r="X1782" i="2" s="1"/>
  <c r="W1783" i="2"/>
  <c r="X1783" i="2" s="1" a="1"/>
  <c r="X1783" i="2" s="1"/>
  <c r="W1784" i="2"/>
  <c r="X1784" i="2" s="1" a="1"/>
  <c r="X1784" i="2" s="1"/>
  <c r="W1785" i="2"/>
  <c r="X1785" i="2" s="1" a="1"/>
  <c r="X1785" i="2" s="1"/>
  <c r="W1786" i="2"/>
  <c r="X1786" i="2" s="1" a="1"/>
  <c r="X1786" i="2" s="1"/>
  <c r="W1787" i="2"/>
  <c r="X1787" i="2" s="1" a="1"/>
  <c r="X1787" i="2" s="1"/>
  <c r="W1788" i="2"/>
  <c r="X1788" i="2" s="1" a="1"/>
  <c r="X1788" i="2" s="1"/>
  <c r="W1789" i="2"/>
  <c r="X1789" i="2" s="1" a="1"/>
  <c r="X1789" i="2" s="1"/>
  <c r="W1790" i="2"/>
  <c r="X1790" i="2" s="1" a="1"/>
  <c r="X1790" i="2" s="1"/>
  <c r="W1791" i="2"/>
  <c r="X1791" i="2" s="1" a="1"/>
  <c r="X1791" i="2" s="1"/>
  <c r="W1792" i="2"/>
  <c r="X1792" i="2" s="1" a="1"/>
  <c r="X1792" i="2" s="1"/>
  <c r="W1793" i="2"/>
  <c r="X1793" i="2" s="1" a="1"/>
  <c r="X1793" i="2" s="1"/>
  <c r="W1794" i="2"/>
  <c r="X1794" i="2" s="1" a="1"/>
  <c r="X1794" i="2" s="1"/>
  <c r="W1795" i="2"/>
  <c r="X1795" i="2" s="1" a="1"/>
  <c r="X1795" i="2" s="1"/>
  <c r="W1796" i="2"/>
  <c r="X1796" i="2" s="1" a="1"/>
  <c r="X1796" i="2" s="1"/>
  <c r="W1797" i="2"/>
  <c r="X1797" i="2" s="1" a="1"/>
  <c r="X1797" i="2" s="1"/>
  <c r="W1798" i="2"/>
  <c r="X1798" i="2" s="1" a="1"/>
  <c r="X1798" i="2" s="1"/>
  <c r="W1799" i="2"/>
  <c r="X1799" i="2" s="1" a="1"/>
  <c r="X1799" i="2" s="1"/>
  <c r="W1800" i="2"/>
  <c r="X1800" i="2" s="1" a="1"/>
  <c r="X1800" i="2" s="1"/>
  <c r="W1801" i="2"/>
  <c r="X1801" i="2" s="1" a="1"/>
  <c r="X1801" i="2" s="1"/>
  <c r="W1802" i="2"/>
  <c r="X1802" i="2" s="1" a="1"/>
  <c r="X1802" i="2" s="1"/>
  <c r="W1803" i="2"/>
  <c r="X1803" i="2" s="1" a="1"/>
  <c r="X1803" i="2" s="1"/>
  <c r="W1804" i="2"/>
  <c r="X1804" i="2" s="1" a="1"/>
  <c r="X1804" i="2" s="1"/>
  <c r="W1805" i="2"/>
  <c r="X1805" i="2" s="1" a="1"/>
  <c r="X1805" i="2" s="1"/>
  <c r="W1806" i="2"/>
  <c r="X1806" i="2" s="1" a="1"/>
  <c r="X1806" i="2" s="1"/>
  <c r="W1807" i="2"/>
  <c r="X1807" i="2" s="1" a="1"/>
  <c r="X1807" i="2" s="1"/>
  <c r="W1808" i="2"/>
  <c r="X1808" i="2" s="1" a="1"/>
  <c r="X1808" i="2" s="1"/>
  <c r="W1809" i="2"/>
  <c r="X1809" i="2" s="1" a="1"/>
  <c r="X1809" i="2" s="1"/>
  <c r="W1810" i="2"/>
  <c r="X1810" i="2" s="1" a="1"/>
  <c r="X1810" i="2" s="1"/>
  <c r="W1811" i="2"/>
  <c r="X1811" i="2" s="1" a="1"/>
  <c r="X1811" i="2" s="1"/>
  <c r="W1812" i="2"/>
  <c r="X1812" i="2" s="1" a="1"/>
  <c r="X1812" i="2" s="1"/>
  <c r="W1813" i="2"/>
  <c r="X1813" i="2" s="1" a="1"/>
  <c r="X1813" i="2" s="1"/>
  <c r="W1814" i="2"/>
  <c r="X1814" i="2" s="1" a="1"/>
  <c r="X1814" i="2" s="1"/>
  <c r="W1815" i="2"/>
  <c r="X1815" i="2" s="1" a="1"/>
  <c r="X1815" i="2" s="1"/>
  <c r="W1816" i="2"/>
  <c r="X1816" i="2" s="1" a="1"/>
  <c r="X1816" i="2" s="1"/>
  <c r="W1817" i="2"/>
  <c r="X1817" i="2" s="1" a="1"/>
  <c r="X1817" i="2" s="1"/>
  <c r="W1818" i="2"/>
  <c r="X1818" i="2" s="1" a="1"/>
  <c r="X1818" i="2" s="1"/>
  <c r="W1819" i="2"/>
  <c r="X1819" i="2" s="1" a="1"/>
  <c r="X1819" i="2" s="1"/>
  <c r="W1820" i="2"/>
  <c r="X1820" i="2" s="1" a="1"/>
  <c r="X1820" i="2" s="1"/>
  <c r="W1821" i="2"/>
  <c r="X1821" i="2" s="1" a="1"/>
  <c r="X1821" i="2" s="1"/>
  <c r="W1822" i="2"/>
  <c r="X1822" i="2" s="1" a="1"/>
  <c r="X1822" i="2" s="1"/>
  <c r="W1823" i="2"/>
  <c r="X1823" i="2" s="1" a="1"/>
  <c r="X1823" i="2" s="1"/>
  <c r="W1824" i="2"/>
  <c r="X1824" i="2" s="1" a="1"/>
  <c r="X1824" i="2" s="1"/>
  <c r="W1825" i="2"/>
  <c r="X1825" i="2" s="1" a="1"/>
  <c r="X1825" i="2" s="1"/>
  <c r="W1826" i="2"/>
  <c r="X1826" i="2" s="1" a="1"/>
  <c r="X1826" i="2" s="1"/>
  <c r="W1827" i="2"/>
  <c r="X1827" i="2" s="1" a="1"/>
  <c r="X1827" i="2" s="1"/>
  <c r="W1828" i="2"/>
  <c r="X1828" i="2" s="1" a="1"/>
  <c r="X1828" i="2" s="1"/>
  <c r="W1829" i="2"/>
  <c r="X1829" i="2" s="1" a="1"/>
  <c r="X1829" i="2" s="1"/>
  <c r="W1830" i="2"/>
  <c r="X1830" i="2" s="1" a="1"/>
  <c r="X1830" i="2" s="1"/>
  <c r="W1831" i="2"/>
  <c r="X1831" i="2" s="1" a="1"/>
  <c r="X1831" i="2" s="1"/>
  <c r="W1832" i="2"/>
  <c r="X1832" i="2" s="1" a="1"/>
  <c r="X1832" i="2" s="1"/>
  <c r="W1833" i="2"/>
  <c r="X1833" i="2" s="1" a="1"/>
  <c r="X1833" i="2" s="1"/>
  <c r="W1834" i="2"/>
  <c r="X1834" i="2" s="1" a="1"/>
  <c r="X1834" i="2" s="1"/>
  <c r="W1835" i="2"/>
  <c r="X1835" i="2" s="1" a="1"/>
  <c r="X1835" i="2" s="1"/>
  <c r="W1836" i="2"/>
  <c r="X1836" i="2" s="1" a="1"/>
  <c r="X1836" i="2" s="1"/>
  <c r="W1837" i="2"/>
  <c r="X1837" i="2" s="1" a="1"/>
  <c r="X1837" i="2" s="1"/>
  <c r="W1838" i="2"/>
  <c r="X1838" i="2" s="1" a="1"/>
  <c r="X1838" i="2" s="1"/>
  <c r="W1839" i="2"/>
  <c r="X1839" i="2" s="1" a="1"/>
  <c r="X1839" i="2" s="1"/>
  <c r="W1840" i="2"/>
  <c r="X1840" i="2" s="1" a="1"/>
  <c r="X1840" i="2" s="1"/>
  <c r="W1841" i="2"/>
  <c r="X1841" i="2" s="1" a="1"/>
  <c r="X1841" i="2" s="1"/>
  <c r="W1842" i="2"/>
  <c r="X1842" i="2" s="1" a="1"/>
  <c r="X1842" i="2" s="1"/>
  <c r="W1843" i="2"/>
  <c r="X1843" i="2" s="1" a="1"/>
  <c r="X1843" i="2" s="1"/>
  <c r="W1844" i="2"/>
  <c r="X1844" i="2" s="1" a="1"/>
  <c r="X1844" i="2" s="1"/>
  <c r="W1845" i="2"/>
  <c r="X1845" i="2" s="1" a="1"/>
  <c r="X1845" i="2" s="1"/>
  <c r="W1846" i="2"/>
  <c r="X1846" i="2" s="1" a="1"/>
  <c r="X1846" i="2" s="1"/>
  <c r="W1847" i="2"/>
  <c r="X1847" i="2" s="1" a="1"/>
  <c r="X1847" i="2" s="1"/>
  <c r="W1848" i="2"/>
  <c r="X1848" i="2" s="1" a="1"/>
  <c r="X1848" i="2" s="1"/>
  <c r="W1849" i="2"/>
  <c r="X1849" i="2" s="1" a="1"/>
  <c r="X1849" i="2" s="1"/>
  <c r="W1850" i="2"/>
  <c r="X1850" i="2" s="1" a="1"/>
  <c r="X1850" i="2" s="1"/>
  <c r="W1851" i="2"/>
  <c r="X1851" i="2" s="1" a="1"/>
  <c r="X1851" i="2" s="1"/>
  <c r="W1852" i="2"/>
  <c r="X1852" i="2" s="1" a="1"/>
  <c r="X1852" i="2" s="1"/>
  <c r="W1853" i="2"/>
  <c r="X1853" i="2" s="1" a="1"/>
  <c r="X1853" i="2" s="1"/>
  <c r="W1854" i="2"/>
  <c r="X1854" i="2" s="1" a="1"/>
  <c r="X1854" i="2" s="1"/>
  <c r="W1855" i="2"/>
  <c r="X1855" i="2" s="1" a="1"/>
  <c r="X1855" i="2" s="1"/>
  <c r="W1856" i="2"/>
  <c r="X1856" i="2" s="1" a="1"/>
  <c r="X1856" i="2" s="1"/>
  <c r="W1857" i="2"/>
  <c r="X1857" i="2" s="1" a="1"/>
  <c r="X1857" i="2" s="1"/>
  <c r="W1858" i="2"/>
  <c r="X1858" i="2" s="1" a="1"/>
  <c r="X1858" i="2" s="1"/>
  <c r="W1859" i="2"/>
  <c r="X1859" i="2" s="1" a="1"/>
  <c r="X1859" i="2" s="1"/>
  <c r="W1860" i="2"/>
  <c r="X1860" i="2" s="1" a="1"/>
  <c r="X1860" i="2" s="1"/>
  <c r="W1861" i="2"/>
  <c r="X1861" i="2" s="1" a="1"/>
  <c r="X1861" i="2" s="1"/>
  <c r="W1862" i="2"/>
  <c r="X1862" i="2" s="1" a="1"/>
  <c r="X1862" i="2" s="1"/>
  <c r="W1863" i="2"/>
  <c r="X1863" i="2" s="1" a="1"/>
  <c r="X1863" i="2" s="1"/>
  <c r="W1864" i="2"/>
  <c r="X1864" i="2" s="1" a="1"/>
  <c r="X1864" i="2" s="1"/>
  <c r="W1865" i="2"/>
  <c r="X1865" i="2" s="1" a="1"/>
  <c r="X1865" i="2" s="1"/>
  <c r="W1866" i="2"/>
  <c r="X1866" i="2" s="1" a="1"/>
  <c r="X1866" i="2" s="1"/>
  <c r="W1867" i="2"/>
  <c r="X1867" i="2" s="1" a="1"/>
  <c r="X1867" i="2" s="1"/>
  <c r="W1868" i="2"/>
  <c r="X1868" i="2" s="1" a="1"/>
  <c r="X1868" i="2" s="1"/>
  <c r="W1869" i="2"/>
  <c r="X1869" i="2" s="1" a="1"/>
  <c r="X1869" i="2" s="1"/>
  <c r="W1870" i="2"/>
  <c r="X1870" i="2" s="1" a="1"/>
  <c r="X1870" i="2" s="1"/>
  <c r="W1871" i="2"/>
  <c r="X1871" i="2" s="1" a="1"/>
  <c r="X1871" i="2" s="1"/>
  <c r="W1872" i="2"/>
  <c r="X1872" i="2" s="1" a="1"/>
  <c r="X1872" i="2" s="1"/>
  <c r="W1873" i="2"/>
  <c r="X1873" i="2" s="1" a="1"/>
  <c r="X1873" i="2" s="1"/>
  <c r="W1874" i="2"/>
  <c r="X1874" i="2" s="1" a="1"/>
  <c r="X1874" i="2" s="1"/>
  <c r="W1875" i="2"/>
  <c r="X1875" i="2" s="1" a="1"/>
  <c r="X1875" i="2" s="1"/>
  <c r="W1876" i="2"/>
  <c r="X1876" i="2" s="1" a="1"/>
  <c r="X1876" i="2" s="1"/>
  <c r="W1877" i="2"/>
  <c r="X1877" i="2" s="1" a="1"/>
  <c r="X1877" i="2" s="1"/>
  <c r="W1878" i="2"/>
  <c r="X1878" i="2" s="1" a="1"/>
  <c r="X1878" i="2" s="1"/>
  <c r="W1879" i="2"/>
  <c r="X1879" i="2" s="1" a="1"/>
  <c r="X1879" i="2" s="1"/>
  <c r="W1880" i="2"/>
  <c r="X1880" i="2" s="1" a="1"/>
  <c r="X1880" i="2" s="1"/>
  <c r="W1881" i="2"/>
  <c r="X1881" i="2" s="1" a="1"/>
  <c r="X1881" i="2" s="1"/>
  <c r="W1882" i="2"/>
  <c r="X1882" i="2" s="1" a="1"/>
  <c r="X1882" i="2" s="1"/>
  <c r="W1883" i="2"/>
  <c r="X1883" i="2" s="1" a="1"/>
  <c r="X1883" i="2" s="1"/>
  <c r="W1884" i="2"/>
  <c r="X1884" i="2" s="1" a="1"/>
  <c r="X1884" i="2" s="1"/>
  <c r="W1885" i="2"/>
  <c r="X1885" i="2" s="1" a="1"/>
  <c r="X1885" i="2" s="1"/>
  <c r="W1886" i="2"/>
  <c r="X1886" i="2" s="1" a="1"/>
  <c r="X1886" i="2" s="1"/>
  <c r="W1887" i="2"/>
  <c r="X1887" i="2" s="1" a="1"/>
  <c r="X1887" i="2" s="1"/>
  <c r="W1888" i="2"/>
  <c r="X1888" i="2" s="1" a="1"/>
  <c r="X1888" i="2" s="1"/>
  <c r="W1889" i="2"/>
  <c r="X1889" i="2" s="1" a="1"/>
  <c r="X1889" i="2" s="1"/>
  <c r="W1890" i="2"/>
  <c r="X1890" i="2" s="1" a="1"/>
  <c r="X1890" i="2" s="1"/>
  <c r="W1891" i="2"/>
  <c r="X1891" i="2" s="1" a="1"/>
  <c r="X1891" i="2" s="1"/>
  <c r="W1892" i="2"/>
  <c r="X1892" i="2" s="1" a="1"/>
  <c r="X1892" i="2" s="1"/>
  <c r="W1893" i="2"/>
  <c r="X1893" i="2" s="1" a="1"/>
  <c r="X1893" i="2" s="1"/>
  <c r="W1894" i="2"/>
  <c r="X1894" i="2" s="1" a="1"/>
  <c r="X1894" i="2" s="1"/>
  <c r="W1895" i="2"/>
  <c r="X1895" i="2" s="1" a="1"/>
  <c r="X1895" i="2" s="1"/>
  <c r="W1896" i="2"/>
  <c r="X1896" i="2" s="1" a="1"/>
  <c r="X1896" i="2" s="1"/>
  <c r="W1897" i="2"/>
  <c r="X1897" i="2" s="1" a="1"/>
  <c r="X1897" i="2" s="1"/>
  <c r="W1898" i="2"/>
  <c r="X1898" i="2" s="1" a="1"/>
  <c r="X1898" i="2" s="1"/>
  <c r="W1899" i="2"/>
  <c r="X1899" i="2" s="1" a="1"/>
  <c r="X1899" i="2" s="1"/>
  <c r="W1900" i="2"/>
  <c r="X1900" i="2" s="1" a="1"/>
  <c r="X1900" i="2" s="1"/>
  <c r="W1901" i="2"/>
  <c r="X1901" i="2" s="1" a="1"/>
  <c r="X1901" i="2" s="1"/>
  <c r="W1902" i="2"/>
  <c r="X1902" i="2" s="1" a="1"/>
  <c r="X1902" i="2" s="1"/>
  <c r="W1903" i="2"/>
  <c r="X1903" i="2" s="1" a="1"/>
  <c r="X1903" i="2" s="1"/>
  <c r="W1904" i="2"/>
  <c r="X1904" i="2" s="1" a="1"/>
  <c r="X1904" i="2" s="1"/>
  <c r="W1905" i="2"/>
  <c r="X1905" i="2" s="1" a="1"/>
  <c r="X1905" i="2" s="1"/>
  <c r="W1906" i="2"/>
  <c r="X1906" i="2" s="1" a="1"/>
  <c r="X1906" i="2" s="1"/>
  <c r="W1907" i="2"/>
  <c r="X1907" i="2" s="1" a="1"/>
  <c r="X1907" i="2" s="1"/>
  <c r="W1908" i="2"/>
  <c r="X1908" i="2" s="1" a="1"/>
  <c r="X1908" i="2" s="1"/>
  <c r="W1909" i="2"/>
  <c r="X1909" i="2" s="1" a="1"/>
  <c r="X1909" i="2" s="1"/>
  <c r="W1910" i="2"/>
  <c r="X1910" i="2" s="1" a="1"/>
  <c r="X1910" i="2" s="1"/>
  <c r="W1911" i="2"/>
  <c r="X1911" i="2" s="1" a="1"/>
  <c r="X1911" i="2" s="1"/>
  <c r="W1912" i="2"/>
  <c r="X1912" i="2" s="1" a="1"/>
  <c r="X1912" i="2" s="1"/>
  <c r="W1913" i="2"/>
  <c r="X1913" i="2" s="1" a="1"/>
  <c r="X1913" i="2" s="1"/>
  <c r="W1914" i="2"/>
  <c r="X1914" i="2" s="1" a="1"/>
  <c r="X1914" i="2" s="1"/>
  <c r="W1915" i="2"/>
  <c r="X1915" i="2" s="1" a="1"/>
  <c r="X1915" i="2" s="1"/>
  <c r="W1916" i="2"/>
  <c r="X1916" i="2" s="1" a="1"/>
  <c r="X1916" i="2" s="1"/>
  <c r="W1917" i="2"/>
  <c r="X1917" i="2" s="1" a="1"/>
  <c r="X1917" i="2" s="1"/>
  <c r="W1918" i="2"/>
  <c r="X1918" i="2" s="1" a="1"/>
  <c r="X1918" i="2" s="1"/>
  <c r="W1919" i="2"/>
  <c r="X1919" i="2" s="1" a="1"/>
  <c r="X1919" i="2" s="1"/>
  <c r="W1920" i="2"/>
  <c r="X1920" i="2" s="1" a="1"/>
  <c r="X1920" i="2" s="1"/>
  <c r="W1921" i="2"/>
  <c r="X1921" i="2" s="1" a="1"/>
  <c r="X1921" i="2" s="1"/>
  <c r="W1922" i="2"/>
  <c r="X1922" i="2" s="1" a="1"/>
  <c r="X1922" i="2" s="1"/>
  <c r="W1923" i="2"/>
  <c r="X1923" i="2" s="1" a="1"/>
  <c r="X1923" i="2" s="1"/>
  <c r="W1924" i="2"/>
  <c r="X1924" i="2" s="1" a="1"/>
  <c r="X1924" i="2" s="1"/>
  <c r="W1925" i="2"/>
  <c r="X1925" i="2" s="1" a="1"/>
  <c r="X1925" i="2" s="1"/>
  <c r="W1926" i="2"/>
  <c r="X1926" i="2" s="1" a="1"/>
  <c r="X1926" i="2" s="1"/>
  <c r="W1927" i="2"/>
  <c r="X1927" i="2" s="1" a="1"/>
  <c r="X1927" i="2" s="1"/>
  <c r="W1928" i="2"/>
  <c r="X1928" i="2" s="1" a="1"/>
  <c r="X1928" i="2" s="1"/>
  <c r="W1929" i="2"/>
  <c r="X1929" i="2" s="1" a="1"/>
  <c r="X1929" i="2" s="1"/>
  <c r="W1930" i="2"/>
  <c r="X1930" i="2" s="1" a="1"/>
  <c r="X1930" i="2" s="1"/>
  <c r="W1931" i="2"/>
  <c r="X1931" i="2" s="1" a="1"/>
  <c r="X1931" i="2" s="1"/>
  <c r="W1932" i="2"/>
  <c r="X1932" i="2" s="1" a="1"/>
  <c r="X1932" i="2" s="1"/>
  <c r="W1933" i="2"/>
  <c r="X1933" i="2" s="1" a="1"/>
  <c r="X1933" i="2" s="1"/>
  <c r="W1934" i="2"/>
  <c r="X1934" i="2" s="1" a="1"/>
  <c r="X1934" i="2" s="1"/>
  <c r="W1935" i="2"/>
  <c r="X1935" i="2" s="1" a="1"/>
  <c r="X1935" i="2" s="1"/>
  <c r="W1936" i="2"/>
  <c r="X1936" i="2" s="1" a="1"/>
  <c r="X1936" i="2" s="1"/>
  <c r="W1937" i="2"/>
  <c r="X1937" i="2" s="1" a="1"/>
  <c r="X1937" i="2" s="1"/>
  <c r="W1938" i="2"/>
  <c r="X1938" i="2" s="1" a="1"/>
  <c r="X1938" i="2" s="1"/>
  <c r="W1939" i="2"/>
  <c r="X1939" i="2" s="1" a="1"/>
  <c r="X1939" i="2" s="1"/>
  <c r="W1940" i="2"/>
  <c r="X1940" i="2" s="1" a="1"/>
  <c r="X1940" i="2" s="1"/>
  <c r="W1941" i="2"/>
  <c r="X1941" i="2" s="1" a="1"/>
  <c r="X1941" i="2" s="1"/>
  <c r="W1942" i="2"/>
  <c r="X1942" i="2" s="1" a="1"/>
  <c r="X1942" i="2" s="1"/>
  <c r="W1943" i="2"/>
  <c r="X1943" i="2" s="1" a="1"/>
  <c r="X1943" i="2" s="1"/>
  <c r="W1944" i="2"/>
  <c r="X1944" i="2" s="1" a="1"/>
  <c r="X1944" i="2" s="1"/>
  <c r="W1945" i="2"/>
  <c r="X1945" i="2" s="1" a="1"/>
  <c r="X1945" i="2" s="1"/>
  <c r="W1946" i="2"/>
  <c r="X1946" i="2" s="1" a="1"/>
  <c r="X1946" i="2" s="1"/>
  <c r="W1947" i="2"/>
  <c r="X1947" i="2" s="1" a="1"/>
  <c r="X1947" i="2" s="1"/>
  <c r="W1948" i="2"/>
  <c r="X1948" i="2" s="1" a="1"/>
  <c r="X1948" i="2" s="1"/>
  <c r="W1949" i="2"/>
  <c r="X1949" i="2" s="1" a="1"/>
  <c r="X1949" i="2" s="1"/>
  <c r="W1950" i="2"/>
  <c r="X1950" i="2" s="1" a="1"/>
  <c r="X1950" i="2" s="1"/>
  <c r="W1951" i="2"/>
  <c r="X1951" i="2" s="1" a="1"/>
  <c r="X1951" i="2" s="1"/>
  <c r="W1952" i="2"/>
  <c r="X1952" i="2" s="1" a="1"/>
  <c r="X1952" i="2" s="1"/>
  <c r="W1953" i="2"/>
  <c r="X1953" i="2" s="1" a="1"/>
  <c r="X1953" i="2" s="1"/>
  <c r="W1954" i="2"/>
  <c r="X1954" i="2" s="1" a="1"/>
  <c r="X1954" i="2" s="1"/>
  <c r="W1955" i="2"/>
  <c r="X1955" i="2" s="1" a="1"/>
  <c r="X1955" i="2" s="1"/>
  <c r="W1956" i="2"/>
  <c r="X1956" i="2" s="1" a="1"/>
  <c r="X1956" i="2" s="1"/>
  <c r="W1957" i="2"/>
  <c r="X1957" i="2" s="1" a="1"/>
  <c r="X1957" i="2" s="1"/>
  <c r="W1958" i="2"/>
  <c r="X1958" i="2" s="1" a="1"/>
  <c r="X1958" i="2" s="1"/>
  <c r="W1959" i="2"/>
  <c r="X1959" i="2" s="1" a="1"/>
  <c r="X1959" i="2" s="1"/>
  <c r="W1960" i="2"/>
  <c r="X1960" i="2" s="1" a="1"/>
  <c r="X1960" i="2" s="1"/>
  <c r="W1961" i="2"/>
  <c r="X1961" i="2" s="1" a="1"/>
  <c r="X1961" i="2" s="1"/>
  <c r="W1962" i="2"/>
  <c r="X1962" i="2" s="1" a="1"/>
  <c r="X1962" i="2" s="1"/>
  <c r="W1963" i="2"/>
  <c r="X1963" i="2" s="1" a="1"/>
  <c r="X1963" i="2" s="1"/>
  <c r="W1964" i="2"/>
  <c r="X1964" i="2" s="1" a="1"/>
  <c r="X1964" i="2" s="1"/>
  <c r="W1965" i="2"/>
  <c r="X1965" i="2" s="1" a="1"/>
  <c r="X1965" i="2" s="1"/>
  <c r="W1966" i="2"/>
  <c r="X1966" i="2" s="1" a="1"/>
  <c r="X1966" i="2" s="1"/>
  <c r="W1967" i="2"/>
  <c r="X1967" i="2" s="1" a="1"/>
  <c r="X1967" i="2" s="1"/>
  <c r="W1968" i="2"/>
  <c r="X1968" i="2" s="1" a="1"/>
  <c r="X1968" i="2" s="1"/>
  <c r="W1969" i="2"/>
  <c r="X1969" i="2" s="1" a="1"/>
  <c r="X1969" i="2" s="1"/>
  <c r="W1970" i="2"/>
  <c r="X1970" i="2" s="1" a="1"/>
  <c r="X1970" i="2" s="1"/>
  <c r="W1971" i="2"/>
  <c r="X1971" i="2" s="1" a="1"/>
  <c r="X1971" i="2" s="1"/>
  <c r="W1972" i="2"/>
  <c r="X1972" i="2" s="1" a="1"/>
  <c r="X1972" i="2" s="1"/>
  <c r="W1973" i="2"/>
  <c r="X1973" i="2" s="1" a="1"/>
  <c r="X1973" i="2" s="1"/>
  <c r="W1974" i="2"/>
  <c r="X1974" i="2" s="1" a="1"/>
  <c r="X1974" i="2" s="1"/>
  <c r="W1975" i="2"/>
  <c r="X1975" i="2" s="1" a="1"/>
  <c r="X1975" i="2" s="1"/>
  <c r="W1976" i="2"/>
  <c r="X1976" i="2" s="1" a="1"/>
  <c r="X1976" i="2" s="1"/>
  <c r="W1977" i="2"/>
  <c r="X1977" i="2" s="1" a="1"/>
  <c r="X1977" i="2" s="1"/>
  <c r="W1978" i="2"/>
  <c r="X1978" i="2" s="1" a="1"/>
  <c r="X1978" i="2" s="1"/>
  <c r="W1979" i="2"/>
  <c r="X1979" i="2" s="1" a="1"/>
  <c r="X1979" i="2" s="1"/>
  <c r="W1980" i="2"/>
  <c r="X1980" i="2" s="1" a="1"/>
  <c r="X1980" i="2" s="1"/>
  <c r="W1981" i="2"/>
  <c r="X1981" i="2" s="1" a="1"/>
  <c r="X1981" i="2" s="1"/>
  <c r="W1982" i="2"/>
  <c r="X1982" i="2" s="1" a="1"/>
  <c r="X1982" i="2" s="1"/>
  <c r="W1983" i="2"/>
  <c r="X1983" i="2" s="1" a="1"/>
  <c r="X1983" i="2" s="1"/>
  <c r="W1984" i="2"/>
  <c r="X1984" i="2" s="1" a="1"/>
  <c r="X1984" i="2" s="1"/>
  <c r="W1985" i="2"/>
  <c r="X1985" i="2" s="1" a="1"/>
  <c r="X1985" i="2" s="1"/>
  <c r="W1986" i="2"/>
  <c r="X1986" i="2" s="1" a="1"/>
  <c r="X1986" i="2" s="1"/>
  <c r="W1987" i="2"/>
  <c r="X1987" i="2" s="1" a="1"/>
  <c r="X1987" i="2" s="1"/>
  <c r="W1988" i="2"/>
  <c r="X1988" i="2" s="1" a="1"/>
  <c r="X1988" i="2" s="1"/>
  <c r="W1989" i="2"/>
  <c r="X1989" i="2" s="1" a="1"/>
  <c r="X1989" i="2" s="1"/>
  <c r="W1990" i="2"/>
  <c r="X1990" i="2" s="1" a="1"/>
  <c r="X1990" i="2" s="1"/>
  <c r="W1991" i="2"/>
  <c r="X1991" i="2" s="1" a="1"/>
  <c r="X1991" i="2" s="1"/>
  <c r="W1992" i="2"/>
  <c r="X1992" i="2" s="1" a="1"/>
  <c r="X1992" i="2" s="1"/>
  <c r="W1993" i="2"/>
  <c r="X1993" i="2" s="1" a="1"/>
  <c r="X1993" i="2" s="1"/>
  <c r="W1994" i="2"/>
  <c r="X1994" i="2" s="1" a="1"/>
  <c r="X1994" i="2" s="1"/>
  <c r="W1995" i="2"/>
  <c r="X1995" i="2" s="1" a="1"/>
  <c r="X1995" i="2" s="1"/>
  <c r="W1996" i="2"/>
  <c r="X1996" i="2" s="1" a="1"/>
  <c r="X1996" i="2" s="1"/>
  <c r="W1997" i="2"/>
  <c r="X1997" i="2" s="1" a="1"/>
  <c r="X1997" i="2" s="1"/>
  <c r="W1998" i="2"/>
  <c r="X1998" i="2" s="1" a="1"/>
  <c r="X1998" i="2" s="1"/>
  <c r="W1999" i="2"/>
  <c r="X1999" i="2" s="1" a="1"/>
  <c r="X1999" i="2" s="1"/>
  <c r="W2000" i="2"/>
  <c r="X2000" i="2" s="1" a="1"/>
  <c r="X2000" i="2" s="1"/>
  <c r="W2001" i="2"/>
  <c r="X2001" i="2" s="1" a="1"/>
  <c r="X2001" i="2" s="1"/>
  <c r="W2002" i="2"/>
  <c r="X2002" i="2" s="1" a="1"/>
  <c r="X2002" i="2" s="1"/>
  <c r="W2003" i="2"/>
  <c r="X2003" i="2" s="1" a="1"/>
  <c r="X2003" i="2" s="1"/>
  <c r="W2004" i="2"/>
  <c r="X2004" i="2" s="1" a="1"/>
  <c r="X2004" i="2" s="1"/>
  <c r="W2005" i="2"/>
  <c r="X2005" i="2" s="1" a="1"/>
  <c r="X2005" i="2" s="1"/>
  <c r="W2006" i="2"/>
  <c r="X2006" i="2" s="1" a="1"/>
  <c r="X2006" i="2" s="1"/>
  <c r="W2007" i="2"/>
  <c r="X2007" i="2" s="1" a="1"/>
  <c r="X2007" i="2" s="1"/>
  <c r="W2008" i="2"/>
  <c r="X2008" i="2" s="1" a="1"/>
  <c r="X2008" i="2" s="1"/>
  <c r="W2009" i="2"/>
  <c r="X2009" i="2" s="1" a="1"/>
  <c r="X2009" i="2" s="1"/>
  <c r="W2010" i="2"/>
  <c r="X2010" i="2" s="1" a="1"/>
  <c r="X2010" i="2" s="1"/>
  <c r="W2011" i="2"/>
  <c r="X2011" i="2" s="1" a="1"/>
  <c r="X2011" i="2" s="1"/>
  <c r="W2012" i="2"/>
  <c r="X2012" i="2" s="1" a="1"/>
  <c r="X2012" i="2" s="1"/>
  <c r="W2013" i="2"/>
  <c r="X2013" i="2" s="1" a="1"/>
  <c r="X2013" i="2" s="1"/>
  <c r="W2014" i="2"/>
  <c r="X2014" i="2" s="1" a="1"/>
  <c r="X2014" i="2" s="1"/>
  <c r="W2015" i="2"/>
  <c r="X2015" i="2" s="1" a="1"/>
  <c r="X2015" i="2" s="1"/>
  <c r="W2016" i="2"/>
  <c r="X2016" i="2" s="1" a="1"/>
  <c r="X2016" i="2" s="1"/>
  <c r="W2017" i="2"/>
  <c r="X2017" i="2" s="1" a="1"/>
  <c r="X2017" i="2" s="1"/>
  <c r="W2018" i="2"/>
  <c r="X2018" i="2" s="1" a="1"/>
  <c r="X2018" i="2" s="1"/>
  <c r="W2019" i="2"/>
  <c r="X2019" i="2" s="1" a="1"/>
  <c r="X2019" i="2" s="1"/>
  <c r="W2020" i="2"/>
  <c r="X2020" i="2" s="1" a="1"/>
  <c r="X2020" i="2" s="1"/>
  <c r="W2021" i="2"/>
  <c r="X2021" i="2" s="1" a="1"/>
  <c r="X2021" i="2" s="1"/>
  <c r="W2022" i="2"/>
  <c r="X2022" i="2" s="1" a="1"/>
  <c r="X2022" i="2" s="1"/>
  <c r="W2023" i="2"/>
  <c r="X2023" i="2" s="1" a="1"/>
  <c r="X2023" i="2" s="1"/>
  <c r="W2024" i="2"/>
  <c r="X2024" i="2" s="1" a="1"/>
  <c r="X2024" i="2" s="1"/>
  <c r="W2025" i="2"/>
  <c r="X2025" i="2" s="1" a="1"/>
  <c r="X2025" i="2" s="1"/>
  <c r="W2026" i="2"/>
  <c r="X2026" i="2" s="1" a="1"/>
  <c r="X2026" i="2" s="1"/>
  <c r="W2027" i="2"/>
  <c r="X2027" i="2" s="1" a="1"/>
  <c r="X2027" i="2" s="1"/>
  <c r="W2028" i="2"/>
  <c r="X2028" i="2" s="1" a="1"/>
  <c r="X2028" i="2" s="1"/>
  <c r="W2029" i="2"/>
  <c r="X2029" i="2" s="1" a="1"/>
  <c r="X2029" i="2" s="1"/>
  <c r="W2030" i="2"/>
  <c r="X2030" i="2" s="1" a="1"/>
  <c r="X2030" i="2" s="1"/>
  <c r="W2031" i="2"/>
  <c r="X2031" i="2" s="1" a="1"/>
  <c r="X2031" i="2" s="1"/>
  <c r="W2032" i="2"/>
  <c r="X2032" i="2" s="1" a="1"/>
  <c r="X2032" i="2" s="1"/>
  <c r="W2033" i="2"/>
  <c r="X2033" i="2" s="1" a="1"/>
  <c r="X2033" i="2" s="1"/>
  <c r="W2034" i="2"/>
  <c r="X2034" i="2" s="1" a="1"/>
  <c r="X2034" i="2" s="1"/>
  <c r="W2035" i="2"/>
  <c r="X2035" i="2" s="1" a="1"/>
  <c r="X2035" i="2" s="1"/>
  <c r="W2036" i="2"/>
  <c r="X2036" i="2" s="1" a="1"/>
  <c r="X2036" i="2" s="1"/>
  <c r="W2037" i="2"/>
  <c r="X2037" i="2" s="1" a="1"/>
  <c r="X2037" i="2" s="1"/>
  <c r="W2038" i="2"/>
  <c r="X2038" i="2" s="1" a="1"/>
  <c r="X2038" i="2" s="1"/>
  <c r="W2039" i="2"/>
  <c r="X2039" i="2" s="1" a="1"/>
  <c r="X2039" i="2" s="1"/>
  <c r="W2040" i="2"/>
  <c r="X2040" i="2" s="1" a="1"/>
  <c r="X2040" i="2" s="1"/>
  <c r="W2041" i="2"/>
  <c r="X2041" i="2" s="1" a="1"/>
  <c r="X2041" i="2" s="1"/>
  <c r="W2042" i="2"/>
  <c r="X2042" i="2" s="1" a="1"/>
  <c r="X2042" i="2" s="1"/>
  <c r="W2043" i="2"/>
  <c r="X2043" i="2" s="1" a="1"/>
  <c r="X2043" i="2" s="1"/>
  <c r="W2044" i="2"/>
  <c r="X2044" i="2" s="1" a="1"/>
  <c r="X2044" i="2" s="1"/>
  <c r="W2045" i="2"/>
  <c r="X2045" i="2" s="1" a="1"/>
  <c r="X2045" i="2" s="1"/>
  <c r="W2046" i="2"/>
  <c r="X2046" i="2" s="1" a="1"/>
  <c r="X2046" i="2" s="1"/>
  <c r="W2047" i="2"/>
  <c r="X2047" i="2" s="1" a="1"/>
  <c r="X2047" i="2" s="1"/>
  <c r="W2048" i="2"/>
  <c r="X2048" i="2" s="1" a="1"/>
  <c r="X2048" i="2" s="1"/>
  <c r="W2049" i="2"/>
  <c r="X2049" i="2" s="1" a="1"/>
  <c r="X2049" i="2" s="1"/>
  <c r="W2050" i="2"/>
  <c r="X2050" i="2" s="1" a="1"/>
  <c r="X2050" i="2" s="1"/>
  <c r="W2051" i="2"/>
  <c r="X2051" i="2" s="1" a="1"/>
  <c r="X2051" i="2" s="1"/>
  <c r="W2052" i="2"/>
  <c r="X2052" i="2" s="1" a="1"/>
  <c r="X2052" i="2" s="1"/>
  <c r="W2053" i="2"/>
  <c r="X2053" i="2" s="1" a="1"/>
  <c r="X2053" i="2" s="1"/>
  <c r="W2054" i="2"/>
  <c r="X2054" i="2" s="1" a="1"/>
  <c r="X2054" i="2" s="1"/>
  <c r="W2055" i="2"/>
  <c r="X2055" i="2" s="1" a="1"/>
  <c r="X2055" i="2" s="1"/>
  <c r="W2056" i="2"/>
  <c r="X2056" i="2" s="1" a="1"/>
  <c r="X2056" i="2" s="1"/>
  <c r="W2057" i="2"/>
  <c r="X2057" i="2" s="1" a="1"/>
  <c r="X2057" i="2" s="1"/>
  <c r="W2058" i="2"/>
  <c r="X2058" i="2" s="1" a="1"/>
  <c r="X2058" i="2" s="1"/>
  <c r="W2059" i="2"/>
  <c r="X2059" i="2" s="1" a="1"/>
  <c r="X2059" i="2" s="1"/>
  <c r="W2060" i="2"/>
  <c r="X2060" i="2" s="1" a="1"/>
  <c r="X2060" i="2" s="1"/>
  <c r="W2061" i="2"/>
  <c r="X2061" i="2" s="1" a="1"/>
  <c r="X2061" i="2" s="1"/>
  <c r="W2062" i="2"/>
  <c r="X2062" i="2" s="1" a="1"/>
  <c r="X2062" i="2" s="1"/>
  <c r="W2063" i="2"/>
  <c r="X2063" i="2" s="1" a="1"/>
  <c r="X2063" i="2" s="1"/>
  <c r="W2064" i="2"/>
  <c r="X2064" i="2" s="1" a="1"/>
  <c r="X2064" i="2" s="1"/>
  <c r="W2065" i="2"/>
  <c r="X2065" i="2" s="1" a="1"/>
  <c r="X2065" i="2" s="1"/>
  <c r="W2066" i="2"/>
  <c r="X2066" i="2" s="1" a="1"/>
  <c r="X2066" i="2" s="1"/>
  <c r="W2067" i="2"/>
  <c r="X2067" i="2" s="1" a="1"/>
  <c r="X2067" i="2" s="1"/>
  <c r="W2068" i="2"/>
  <c r="X2068" i="2" s="1" a="1"/>
  <c r="X2068" i="2" s="1"/>
  <c r="W2069" i="2"/>
  <c r="X2069" i="2" s="1" a="1"/>
  <c r="X2069" i="2" s="1"/>
  <c r="W2070" i="2"/>
  <c r="X2070" i="2" s="1" a="1"/>
  <c r="X2070" i="2" s="1"/>
  <c r="W2071" i="2"/>
  <c r="X2071" i="2" s="1" a="1"/>
  <c r="X2071" i="2" s="1"/>
  <c r="W2072" i="2"/>
  <c r="X2072" i="2" s="1" a="1"/>
  <c r="X2072" i="2" s="1"/>
  <c r="W2073" i="2"/>
  <c r="X2073" i="2" s="1" a="1"/>
  <c r="X2073" i="2" s="1"/>
  <c r="W2074" i="2"/>
  <c r="X2074" i="2" s="1" a="1"/>
  <c r="X2074" i="2" s="1"/>
  <c r="W2075" i="2"/>
  <c r="X2075" i="2" s="1" a="1"/>
  <c r="X2075" i="2" s="1"/>
  <c r="W2076" i="2"/>
  <c r="X2076" i="2" s="1" a="1"/>
  <c r="X2076" i="2" s="1"/>
  <c r="W2077" i="2"/>
  <c r="X2077" i="2" s="1" a="1"/>
  <c r="X2077" i="2" s="1"/>
  <c r="W2078" i="2"/>
  <c r="X2078" i="2" s="1" a="1"/>
  <c r="X2078" i="2" s="1"/>
  <c r="W2079" i="2"/>
  <c r="X2079" i="2" s="1" a="1"/>
  <c r="X2079" i="2" s="1"/>
  <c r="W2080" i="2"/>
  <c r="X2080" i="2" s="1" a="1"/>
  <c r="X2080" i="2" s="1"/>
  <c r="W2081" i="2"/>
  <c r="X2081" i="2" s="1" a="1"/>
  <c r="X2081" i="2" s="1"/>
  <c r="W2082" i="2"/>
  <c r="X2082" i="2" s="1" a="1"/>
  <c r="X2082" i="2" s="1"/>
  <c r="W2083" i="2"/>
  <c r="X2083" i="2" s="1" a="1"/>
  <c r="X2083" i="2" s="1"/>
  <c r="W2084" i="2"/>
  <c r="X2084" i="2" s="1" a="1"/>
  <c r="X2084" i="2" s="1"/>
  <c r="W2085" i="2"/>
  <c r="X2085" i="2" s="1" a="1"/>
  <c r="X2085" i="2" s="1"/>
  <c r="W2086" i="2"/>
  <c r="X2086" i="2" s="1" a="1"/>
  <c r="X2086" i="2" s="1"/>
  <c r="W2087" i="2"/>
  <c r="X2087" i="2" s="1" a="1"/>
  <c r="X2087" i="2" s="1"/>
  <c r="W2088" i="2"/>
  <c r="X2088" i="2" s="1" a="1"/>
  <c r="X2088" i="2" s="1"/>
  <c r="W2089" i="2"/>
  <c r="X2089" i="2" s="1" a="1"/>
  <c r="X2089" i="2" s="1"/>
  <c r="W2090" i="2"/>
  <c r="X2090" i="2" s="1" a="1"/>
  <c r="X2090" i="2" s="1"/>
  <c r="W2091" i="2"/>
  <c r="X2091" i="2" s="1" a="1"/>
  <c r="X2091" i="2" s="1"/>
  <c r="W2092" i="2"/>
  <c r="X2092" i="2" s="1" a="1"/>
  <c r="X2092" i="2" s="1"/>
  <c r="W2093" i="2"/>
  <c r="X2093" i="2" s="1" a="1"/>
  <c r="X2093" i="2" s="1"/>
  <c r="W2094" i="2"/>
  <c r="X2094" i="2" s="1" a="1"/>
  <c r="X2094" i="2" s="1"/>
  <c r="W2095" i="2"/>
  <c r="X2095" i="2" s="1" a="1"/>
  <c r="X2095" i="2" s="1"/>
  <c r="W2096" i="2"/>
  <c r="X2096" i="2" s="1" a="1"/>
  <c r="X2096" i="2" s="1"/>
  <c r="W2097" i="2"/>
  <c r="X2097" i="2" s="1" a="1"/>
  <c r="X2097" i="2" s="1"/>
  <c r="W2098" i="2"/>
  <c r="X2098" i="2" s="1" a="1"/>
  <c r="X2098" i="2" s="1"/>
  <c r="W2099" i="2"/>
  <c r="X2099" i="2" s="1" a="1"/>
  <c r="X2099" i="2" s="1"/>
  <c r="W2100" i="2"/>
  <c r="X2100" i="2" s="1" a="1"/>
  <c r="X2100" i="2" s="1"/>
  <c r="W2101" i="2"/>
  <c r="X2101" i="2" s="1" a="1"/>
  <c r="X2101" i="2" s="1"/>
  <c r="W2102" i="2"/>
  <c r="X2102" i="2" s="1" a="1"/>
  <c r="X2102" i="2" s="1"/>
  <c r="W2103" i="2"/>
  <c r="X2103" i="2" s="1" a="1"/>
  <c r="X2103" i="2" s="1"/>
  <c r="W2104" i="2"/>
  <c r="X2104" i="2" s="1" a="1"/>
  <c r="X2104" i="2" s="1"/>
  <c r="W2105" i="2"/>
  <c r="X2105" i="2" s="1" a="1"/>
  <c r="X2105" i="2" s="1"/>
  <c r="W2106" i="2"/>
  <c r="X2106" i="2" s="1" a="1"/>
  <c r="X2106" i="2" s="1"/>
  <c r="W2107" i="2"/>
  <c r="X2107" i="2" s="1" a="1"/>
  <c r="X2107" i="2" s="1"/>
  <c r="W2108" i="2"/>
  <c r="X2108" i="2" s="1" a="1"/>
  <c r="X2108" i="2" s="1"/>
  <c r="W2109" i="2"/>
  <c r="X2109" i="2" s="1" a="1"/>
  <c r="X2109" i="2" s="1"/>
  <c r="W2110" i="2"/>
  <c r="X2110" i="2" s="1" a="1"/>
  <c r="X2110" i="2" s="1"/>
  <c r="W2111" i="2"/>
  <c r="X2111" i="2" s="1" a="1"/>
  <c r="X2111" i="2" s="1"/>
  <c r="W2112" i="2"/>
  <c r="X2112" i="2" s="1" a="1"/>
  <c r="X2112" i="2" s="1"/>
  <c r="W2113" i="2"/>
  <c r="X2113" i="2" s="1" a="1"/>
  <c r="X2113" i="2" s="1"/>
  <c r="W2114" i="2"/>
  <c r="X2114" i="2" s="1" a="1"/>
  <c r="X2114" i="2" s="1"/>
  <c r="W2115" i="2"/>
  <c r="X2115" i="2" s="1" a="1"/>
  <c r="X2115" i="2" s="1"/>
  <c r="W2116" i="2"/>
  <c r="X2116" i="2" s="1" a="1"/>
  <c r="X2116" i="2" s="1"/>
  <c r="W2117" i="2"/>
  <c r="X2117" i="2" s="1" a="1"/>
  <c r="X2117" i="2" s="1"/>
  <c r="W2118" i="2"/>
  <c r="X2118" i="2" s="1" a="1"/>
  <c r="X2118" i="2" s="1"/>
  <c r="W2119" i="2"/>
  <c r="X2119" i="2" s="1" a="1"/>
  <c r="X2119" i="2" s="1"/>
  <c r="W2120" i="2"/>
  <c r="X2120" i="2" s="1" a="1"/>
  <c r="X2120" i="2" s="1"/>
  <c r="W2121" i="2"/>
  <c r="X2121" i="2" s="1" a="1"/>
  <c r="X2121" i="2" s="1"/>
  <c r="W2122" i="2"/>
  <c r="X2122" i="2" s="1" a="1"/>
  <c r="X2122" i="2" s="1"/>
  <c r="W2123" i="2"/>
  <c r="X2123" i="2" s="1" a="1"/>
  <c r="X2123" i="2" s="1"/>
  <c r="W2124" i="2"/>
  <c r="X2124" i="2" s="1" a="1"/>
  <c r="X2124" i="2" s="1"/>
  <c r="W2125" i="2"/>
  <c r="X2125" i="2" s="1" a="1"/>
  <c r="X2125" i="2" s="1"/>
  <c r="W2126" i="2"/>
  <c r="X2126" i="2" s="1" a="1"/>
  <c r="X2126" i="2" s="1"/>
  <c r="W2127" i="2"/>
  <c r="X2127" i="2" s="1" a="1"/>
  <c r="X2127" i="2" s="1"/>
  <c r="W2128" i="2"/>
  <c r="X2128" i="2" s="1" a="1"/>
  <c r="X2128" i="2" s="1"/>
  <c r="W2129" i="2"/>
  <c r="X2129" i="2" s="1" a="1"/>
  <c r="X2129" i="2" s="1"/>
  <c r="W2130" i="2"/>
  <c r="X2130" i="2" s="1" a="1"/>
  <c r="X2130" i="2" s="1"/>
  <c r="W2131" i="2"/>
  <c r="X2131" i="2" s="1" a="1"/>
  <c r="X2131" i="2" s="1"/>
  <c r="W2132" i="2"/>
  <c r="X2132" i="2" s="1" a="1"/>
  <c r="X2132" i="2" s="1"/>
  <c r="W2133" i="2"/>
  <c r="X2133" i="2" s="1" a="1"/>
  <c r="X2133" i="2" s="1"/>
  <c r="W2134" i="2"/>
  <c r="X2134" i="2" s="1" a="1"/>
  <c r="X2134" i="2" s="1"/>
  <c r="W2135" i="2"/>
  <c r="X2135" i="2" s="1" a="1"/>
  <c r="X2135" i="2" s="1"/>
  <c r="W2136" i="2"/>
  <c r="X2136" i="2" s="1" a="1"/>
  <c r="X2136" i="2" s="1"/>
  <c r="W2137" i="2"/>
  <c r="X2137" i="2" s="1" a="1"/>
  <c r="X2137" i="2" s="1"/>
  <c r="W2138" i="2"/>
  <c r="X2138" i="2" s="1" a="1"/>
  <c r="X2138" i="2" s="1"/>
  <c r="W2139" i="2"/>
  <c r="X2139" i="2" s="1" a="1"/>
  <c r="X2139" i="2" s="1"/>
  <c r="W2140" i="2"/>
  <c r="X2140" i="2" s="1" a="1"/>
  <c r="X2140" i="2" s="1"/>
  <c r="W2141" i="2"/>
  <c r="X2141" i="2" s="1" a="1"/>
  <c r="X2141" i="2" s="1"/>
  <c r="W2142" i="2"/>
  <c r="X2142" i="2" s="1" a="1"/>
  <c r="X2142" i="2" s="1"/>
  <c r="W2143" i="2"/>
  <c r="X2143" i="2" s="1" a="1"/>
  <c r="X2143" i="2" s="1"/>
  <c r="W2144" i="2"/>
  <c r="X2144" i="2" s="1" a="1"/>
  <c r="X2144" i="2" s="1"/>
  <c r="W2145" i="2"/>
  <c r="X2145" i="2" s="1" a="1"/>
  <c r="X2145" i="2" s="1"/>
  <c r="W2146" i="2"/>
  <c r="X2146" i="2" s="1" a="1"/>
  <c r="X2146" i="2" s="1"/>
  <c r="W2147" i="2"/>
  <c r="X2147" i="2" s="1" a="1"/>
  <c r="X2147" i="2" s="1"/>
  <c r="W2148" i="2"/>
  <c r="X2148" i="2" s="1" a="1"/>
  <c r="X2148" i="2" s="1"/>
  <c r="W2149" i="2"/>
  <c r="X2149" i="2" s="1" a="1"/>
  <c r="X2149" i="2" s="1"/>
  <c r="W2150" i="2"/>
  <c r="X2150" i="2" s="1" a="1"/>
  <c r="X2150" i="2" s="1"/>
  <c r="W2151" i="2"/>
  <c r="X2151" i="2" s="1" a="1"/>
  <c r="X2151" i="2" s="1"/>
  <c r="W2152" i="2"/>
  <c r="X2152" i="2" s="1" a="1"/>
  <c r="X2152" i="2" s="1"/>
  <c r="W2153" i="2"/>
  <c r="X2153" i="2" s="1" a="1"/>
  <c r="X2153" i="2" s="1"/>
  <c r="W2154" i="2"/>
  <c r="X2154" i="2" s="1" a="1"/>
  <c r="X2154" i="2" s="1"/>
  <c r="W2155" i="2"/>
  <c r="X2155" i="2" s="1" a="1"/>
  <c r="X2155" i="2" s="1"/>
  <c r="W2156" i="2"/>
  <c r="X2156" i="2" s="1" a="1"/>
  <c r="X2156" i="2" s="1"/>
  <c r="W2157" i="2"/>
  <c r="X2157" i="2" s="1" a="1"/>
  <c r="X2157" i="2" s="1"/>
  <c r="W2158" i="2"/>
  <c r="X2158" i="2" s="1" a="1"/>
  <c r="X2158" i="2" s="1"/>
  <c r="W2159" i="2"/>
  <c r="X2159" i="2" s="1" a="1"/>
  <c r="X2159" i="2" s="1"/>
  <c r="W2160" i="2"/>
  <c r="X2160" i="2" s="1" a="1"/>
  <c r="X2160" i="2" s="1"/>
  <c r="W2161" i="2"/>
  <c r="X2161" i="2" s="1" a="1"/>
  <c r="X2161" i="2" s="1"/>
  <c r="W2162" i="2"/>
  <c r="X2162" i="2" s="1" a="1"/>
  <c r="X2162" i="2" s="1"/>
  <c r="W2163" i="2"/>
  <c r="X2163" i="2" s="1" a="1"/>
  <c r="X2163" i="2" s="1"/>
  <c r="W2164" i="2"/>
  <c r="X2164" i="2" s="1" a="1"/>
  <c r="X2164" i="2" s="1"/>
  <c r="W2165" i="2"/>
  <c r="X2165" i="2" s="1" a="1"/>
  <c r="X2165" i="2" s="1"/>
  <c r="W2166" i="2"/>
  <c r="X2166" i="2" s="1" a="1"/>
  <c r="X2166" i="2" s="1"/>
  <c r="W2167" i="2"/>
  <c r="X2167" i="2" s="1" a="1"/>
  <c r="X2167" i="2" s="1"/>
  <c r="W2168" i="2"/>
  <c r="X2168" i="2" s="1" a="1"/>
  <c r="X2168" i="2" s="1"/>
  <c r="W2169" i="2"/>
  <c r="X2169" i="2" s="1" a="1"/>
  <c r="X2169" i="2" s="1"/>
  <c r="W2170" i="2"/>
  <c r="X2170" i="2" s="1" a="1"/>
  <c r="X2170" i="2" s="1"/>
  <c r="W2171" i="2"/>
  <c r="X2171" i="2" s="1" a="1"/>
  <c r="X2171" i="2" s="1"/>
  <c r="W2172" i="2"/>
  <c r="X2172" i="2" s="1" a="1"/>
  <c r="X2172" i="2" s="1"/>
  <c r="W2173" i="2"/>
  <c r="X2173" i="2" s="1" a="1"/>
  <c r="X2173" i="2" s="1"/>
  <c r="W2174" i="2"/>
  <c r="X2174" i="2" s="1" a="1"/>
  <c r="X2174" i="2" s="1"/>
  <c r="W2175" i="2"/>
  <c r="X2175" i="2" s="1" a="1"/>
  <c r="X2175" i="2" s="1"/>
  <c r="W2176" i="2"/>
  <c r="X2176" i="2" s="1" a="1"/>
  <c r="X2176" i="2" s="1"/>
  <c r="W2177" i="2"/>
  <c r="X2177" i="2" s="1" a="1"/>
  <c r="X2177" i="2" s="1"/>
  <c r="W2178" i="2"/>
  <c r="X2178" i="2" s="1" a="1"/>
  <c r="X2178" i="2" s="1"/>
  <c r="W2179" i="2"/>
  <c r="X2179" i="2" s="1" a="1"/>
  <c r="X2179" i="2" s="1"/>
  <c r="W2180" i="2"/>
  <c r="X2180" i="2" s="1" a="1"/>
  <c r="X2180" i="2" s="1"/>
  <c r="W2181" i="2"/>
  <c r="X2181" i="2" s="1" a="1"/>
  <c r="X2181" i="2" s="1"/>
  <c r="W2182" i="2"/>
  <c r="X2182" i="2" s="1" a="1"/>
  <c r="X2182" i="2" s="1"/>
  <c r="W2183" i="2"/>
  <c r="X2183" i="2" s="1" a="1"/>
  <c r="X2183" i="2" s="1"/>
  <c r="W2184" i="2"/>
  <c r="X2184" i="2" s="1" a="1"/>
  <c r="X2184" i="2" s="1"/>
  <c r="W2185" i="2"/>
  <c r="X2185" i="2" s="1" a="1"/>
  <c r="X2185" i="2" s="1"/>
  <c r="W2186" i="2"/>
  <c r="X2186" i="2" s="1" a="1"/>
  <c r="X2186" i="2" s="1"/>
  <c r="W2187" i="2"/>
  <c r="X2187" i="2" s="1" a="1"/>
  <c r="X2187" i="2" s="1"/>
  <c r="W2188" i="2"/>
  <c r="X2188" i="2" s="1" a="1"/>
  <c r="X2188" i="2" s="1"/>
  <c r="W2189" i="2"/>
  <c r="X2189" i="2" s="1" a="1"/>
  <c r="X2189" i="2" s="1"/>
  <c r="W2190" i="2"/>
  <c r="X2190" i="2" s="1" a="1"/>
  <c r="X2190" i="2" s="1"/>
  <c r="W2191" i="2"/>
  <c r="X2191" i="2" s="1" a="1"/>
  <c r="X2191" i="2" s="1"/>
  <c r="W2192" i="2"/>
  <c r="X2192" i="2" s="1" a="1"/>
  <c r="X2192" i="2" s="1"/>
  <c r="W2193" i="2"/>
  <c r="X2193" i="2" s="1" a="1"/>
  <c r="X2193" i="2" s="1"/>
  <c r="W2194" i="2"/>
  <c r="X2194" i="2" s="1" a="1"/>
  <c r="X2194" i="2" s="1"/>
  <c r="W2195" i="2"/>
  <c r="X2195" i="2" s="1" a="1"/>
  <c r="X2195" i="2" s="1"/>
  <c r="W2196" i="2"/>
  <c r="X2196" i="2" s="1" a="1"/>
  <c r="X2196" i="2" s="1"/>
  <c r="W2197" i="2"/>
  <c r="X2197" i="2" s="1" a="1"/>
  <c r="X2197" i="2" s="1"/>
  <c r="W2198" i="2"/>
  <c r="X2198" i="2" s="1" a="1"/>
  <c r="X2198" i="2" s="1"/>
  <c r="W2199" i="2"/>
  <c r="X2199" i="2" s="1" a="1"/>
  <c r="X2199" i="2" s="1"/>
  <c r="W2200" i="2"/>
  <c r="X2200" i="2" s="1" a="1"/>
  <c r="X2200" i="2" s="1"/>
  <c r="W2201" i="2"/>
  <c r="X2201" i="2" s="1" a="1"/>
  <c r="X2201" i="2" s="1"/>
  <c r="W2202" i="2"/>
  <c r="X2202" i="2" s="1" a="1"/>
  <c r="X2202" i="2" s="1"/>
  <c r="W2203" i="2"/>
  <c r="X2203" i="2" s="1" a="1"/>
  <c r="X2203" i="2" s="1"/>
  <c r="W2204" i="2"/>
  <c r="X2204" i="2" s="1" a="1"/>
  <c r="X2204" i="2" s="1"/>
  <c r="W2205" i="2"/>
  <c r="X2205" i="2" s="1" a="1"/>
  <c r="X2205" i="2" s="1"/>
  <c r="W2206" i="2"/>
  <c r="X2206" i="2" s="1" a="1"/>
  <c r="X2206" i="2" s="1"/>
  <c r="W2207" i="2"/>
  <c r="X2207" i="2" s="1" a="1"/>
  <c r="X2207" i="2" s="1"/>
  <c r="W2208" i="2"/>
  <c r="X2208" i="2" s="1" a="1"/>
  <c r="X2208" i="2" s="1"/>
  <c r="W2209" i="2"/>
  <c r="X2209" i="2" s="1" a="1"/>
  <c r="X2209" i="2" s="1"/>
  <c r="W2210" i="2"/>
  <c r="X2210" i="2" s="1" a="1"/>
  <c r="X2210" i="2" s="1"/>
  <c r="W2211" i="2"/>
  <c r="X2211" i="2" s="1" a="1"/>
  <c r="X2211" i="2" s="1"/>
  <c r="W2212" i="2"/>
  <c r="X2212" i="2" s="1" a="1"/>
  <c r="X2212" i="2" s="1"/>
  <c r="W2213" i="2"/>
  <c r="X2213" i="2" s="1" a="1"/>
  <c r="X2213" i="2" s="1"/>
  <c r="W2214" i="2"/>
  <c r="X2214" i="2" s="1" a="1"/>
  <c r="X2214" i="2" s="1"/>
  <c r="W2215" i="2"/>
  <c r="X2215" i="2" s="1" a="1"/>
  <c r="X2215" i="2" s="1"/>
  <c r="W2216" i="2"/>
  <c r="X2216" i="2" s="1" a="1"/>
  <c r="X2216" i="2" s="1"/>
  <c r="W2217" i="2"/>
  <c r="X2217" i="2" s="1" a="1"/>
  <c r="X2217" i="2" s="1"/>
  <c r="W2218" i="2"/>
  <c r="X2218" i="2" s="1" a="1"/>
  <c r="X2218" i="2" s="1"/>
  <c r="W2219" i="2"/>
  <c r="X2219" i="2" s="1" a="1"/>
  <c r="X2219" i="2" s="1"/>
  <c r="W2220" i="2"/>
  <c r="X2220" i="2" s="1" a="1"/>
  <c r="X2220" i="2" s="1"/>
  <c r="W2221" i="2"/>
  <c r="X2221" i="2" s="1" a="1"/>
  <c r="X2221" i="2" s="1"/>
  <c r="W2222" i="2"/>
  <c r="X2222" i="2" s="1" a="1"/>
  <c r="X2222" i="2" s="1"/>
  <c r="W2223" i="2"/>
  <c r="X2223" i="2" s="1" a="1"/>
  <c r="X2223" i="2" s="1"/>
  <c r="W2224" i="2"/>
  <c r="X2224" i="2" s="1" a="1"/>
  <c r="X2224" i="2" s="1"/>
  <c r="W2225" i="2"/>
  <c r="X2225" i="2" s="1" a="1"/>
  <c r="X2225" i="2" s="1"/>
  <c r="W2226" i="2"/>
  <c r="X2226" i="2" s="1" a="1"/>
  <c r="X2226" i="2" s="1"/>
  <c r="W2227" i="2"/>
  <c r="X2227" i="2" s="1" a="1"/>
  <c r="X2227" i="2" s="1"/>
  <c r="W2228" i="2"/>
  <c r="X2228" i="2" s="1" a="1"/>
  <c r="X2228" i="2" s="1"/>
  <c r="W2229" i="2"/>
  <c r="X2229" i="2" s="1" a="1"/>
  <c r="X2229" i="2" s="1"/>
  <c r="W2230" i="2"/>
  <c r="X2230" i="2" s="1" a="1"/>
  <c r="X2230" i="2" s="1"/>
  <c r="W2231" i="2"/>
  <c r="X2231" i="2" s="1" a="1"/>
  <c r="X2231" i="2" s="1"/>
  <c r="W2232" i="2"/>
  <c r="X2232" i="2" s="1" a="1"/>
  <c r="X2232" i="2" s="1"/>
  <c r="W2233" i="2"/>
  <c r="X2233" i="2" s="1" a="1"/>
  <c r="X2233" i="2" s="1"/>
  <c r="W2234" i="2"/>
  <c r="X2234" i="2" s="1" a="1"/>
  <c r="X2234" i="2" s="1"/>
  <c r="W2235" i="2"/>
  <c r="X2235" i="2" s="1" a="1"/>
  <c r="X2235" i="2" s="1"/>
  <c r="W2236" i="2"/>
  <c r="X2236" i="2" s="1" a="1"/>
  <c r="X2236" i="2" s="1"/>
  <c r="W2237" i="2"/>
  <c r="X2237" i="2" s="1" a="1"/>
  <c r="X2237" i="2" s="1"/>
  <c r="W2238" i="2"/>
  <c r="X2238" i="2" s="1" a="1"/>
  <c r="X2238" i="2" s="1"/>
  <c r="W2239" i="2"/>
  <c r="X2239" i="2" s="1" a="1"/>
  <c r="X2239" i="2" s="1"/>
  <c r="W2240" i="2"/>
  <c r="X2240" i="2" s="1" a="1"/>
  <c r="X2240" i="2" s="1"/>
  <c r="W2241" i="2"/>
  <c r="X2241" i="2" s="1" a="1"/>
  <c r="X2241" i="2" s="1"/>
  <c r="W2242" i="2"/>
  <c r="X2242" i="2" s="1" a="1"/>
  <c r="X2242" i="2" s="1"/>
  <c r="W2243" i="2"/>
  <c r="X2243" i="2" s="1" a="1"/>
  <c r="X2243" i="2" s="1"/>
  <c r="W2244" i="2"/>
  <c r="X2244" i="2" s="1" a="1"/>
  <c r="X2244" i="2" s="1"/>
  <c r="W2245" i="2"/>
  <c r="X2245" i="2" s="1" a="1"/>
  <c r="X2245" i="2" s="1"/>
  <c r="W2246" i="2"/>
  <c r="X2246" i="2" s="1" a="1"/>
  <c r="X2246" i="2" s="1"/>
  <c r="W2247" i="2"/>
  <c r="X2247" i="2" s="1" a="1"/>
  <c r="X2247" i="2" s="1"/>
  <c r="W2248" i="2"/>
  <c r="X2248" i="2" s="1" a="1"/>
  <c r="X2248" i="2" s="1"/>
  <c r="W2249" i="2"/>
  <c r="X2249" i="2" s="1" a="1"/>
  <c r="X2249" i="2" s="1"/>
  <c r="W2250" i="2"/>
  <c r="X2250" i="2" s="1" a="1"/>
  <c r="X2250" i="2" s="1"/>
  <c r="W2251" i="2"/>
  <c r="X2251" i="2" s="1" a="1"/>
  <c r="X2251" i="2" s="1"/>
  <c r="W2252" i="2"/>
  <c r="X2252" i="2" s="1" a="1"/>
  <c r="X2252" i="2" s="1"/>
  <c r="W2253" i="2"/>
  <c r="X2253" i="2" s="1" a="1"/>
  <c r="X2253" i="2" s="1"/>
  <c r="W2254" i="2"/>
  <c r="X2254" i="2" s="1" a="1"/>
  <c r="X2254" i="2" s="1"/>
  <c r="W2255" i="2"/>
  <c r="X2255" i="2" s="1" a="1"/>
  <c r="X2255" i="2" s="1"/>
  <c r="W2256" i="2"/>
  <c r="X2256" i="2" s="1" a="1"/>
  <c r="X2256" i="2" s="1"/>
  <c r="W2257" i="2"/>
  <c r="X2257" i="2" s="1" a="1"/>
  <c r="X2257" i="2" s="1"/>
  <c r="W2258" i="2"/>
  <c r="X2258" i="2" s="1" a="1"/>
  <c r="X2258" i="2" s="1"/>
  <c r="W2259" i="2"/>
  <c r="X2259" i="2" s="1" a="1"/>
  <c r="X2259" i="2" s="1"/>
  <c r="W2260" i="2"/>
  <c r="X2260" i="2" s="1" a="1"/>
  <c r="X2260" i="2" s="1"/>
  <c r="W2261" i="2"/>
  <c r="X2261" i="2" s="1" a="1"/>
  <c r="X2261" i="2" s="1"/>
  <c r="W2262" i="2"/>
  <c r="X2262" i="2" s="1" a="1"/>
  <c r="X2262" i="2" s="1"/>
  <c r="W2263" i="2"/>
  <c r="X2263" i="2" s="1" a="1"/>
  <c r="X2263" i="2" s="1"/>
  <c r="W2264" i="2"/>
  <c r="X2264" i="2" s="1" a="1"/>
  <c r="X2264" i="2" s="1"/>
  <c r="W2265" i="2"/>
  <c r="X2265" i="2" s="1" a="1"/>
  <c r="X2265" i="2" s="1"/>
  <c r="W2266" i="2"/>
  <c r="X2266" i="2" s="1" a="1"/>
  <c r="X2266" i="2" s="1"/>
  <c r="W2267" i="2"/>
  <c r="X2267" i="2" s="1" a="1"/>
  <c r="X2267" i="2" s="1"/>
  <c r="W2268" i="2"/>
  <c r="X2268" i="2" s="1" a="1"/>
  <c r="X2268" i="2" s="1"/>
  <c r="W2269" i="2"/>
  <c r="X2269" i="2" s="1" a="1"/>
  <c r="X2269" i="2" s="1"/>
  <c r="W2270" i="2"/>
  <c r="X2270" i="2" s="1" a="1"/>
  <c r="X2270" i="2" s="1"/>
  <c r="W2271" i="2"/>
  <c r="X2271" i="2" s="1" a="1"/>
  <c r="X2271" i="2" s="1"/>
  <c r="W2272" i="2"/>
  <c r="X2272" i="2" s="1" a="1"/>
  <c r="X2272" i="2" s="1"/>
  <c r="W2273" i="2"/>
  <c r="X2273" i="2" s="1" a="1"/>
  <c r="X2273" i="2" s="1"/>
  <c r="W2274" i="2"/>
  <c r="X2274" i="2" s="1" a="1"/>
  <c r="X2274" i="2" s="1"/>
  <c r="W2275" i="2"/>
  <c r="X2275" i="2" s="1" a="1"/>
  <c r="X2275" i="2" s="1"/>
  <c r="W2276" i="2"/>
  <c r="X2276" i="2" s="1" a="1"/>
  <c r="X2276" i="2" s="1"/>
  <c r="W2277" i="2"/>
  <c r="X2277" i="2" s="1" a="1"/>
  <c r="X2277" i="2" s="1"/>
  <c r="W2278" i="2"/>
  <c r="X2278" i="2" s="1" a="1"/>
  <c r="X2278" i="2" s="1"/>
  <c r="W2279" i="2"/>
  <c r="X2279" i="2" s="1" a="1"/>
  <c r="X2279" i="2" s="1"/>
  <c r="W2280" i="2"/>
  <c r="X2280" i="2" s="1" a="1"/>
  <c r="X2280" i="2" s="1"/>
  <c r="W2281" i="2"/>
  <c r="X2281" i="2" s="1" a="1"/>
  <c r="X2281" i="2" s="1"/>
  <c r="W2282" i="2"/>
  <c r="X2282" i="2" s="1" a="1"/>
  <c r="X2282" i="2" s="1"/>
  <c r="W2283" i="2"/>
  <c r="X2283" i="2" s="1" a="1"/>
  <c r="X2283" i="2" s="1"/>
  <c r="W2284" i="2"/>
  <c r="X2284" i="2" s="1" a="1"/>
  <c r="X2284" i="2" s="1"/>
  <c r="W2285" i="2"/>
  <c r="X2285" i="2" s="1" a="1"/>
  <c r="X2285" i="2" s="1"/>
  <c r="W2286" i="2"/>
  <c r="X2286" i="2" s="1" a="1"/>
  <c r="X2286" i="2" s="1"/>
  <c r="W2287" i="2"/>
  <c r="X2287" i="2" s="1" a="1"/>
  <c r="X2287" i="2" s="1"/>
  <c r="W2288" i="2"/>
  <c r="X2288" i="2" s="1" a="1"/>
  <c r="X2288" i="2" s="1"/>
  <c r="W2289" i="2"/>
  <c r="X2289" i="2" s="1" a="1"/>
  <c r="X2289" i="2" s="1"/>
  <c r="W2290" i="2"/>
  <c r="X2290" i="2" s="1" a="1"/>
  <c r="X2290" i="2" s="1"/>
  <c r="W2291" i="2"/>
  <c r="X2291" i="2" s="1" a="1"/>
  <c r="X2291" i="2" s="1"/>
  <c r="W2292" i="2"/>
  <c r="X2292" i="2" s="1" a="1"/>
  <c r="X2292" i="2" s="1"/>
  <c r="W2293" i="2"/>
  <c r="X2293" i="2" s="1" a="1"/>
  <c r="X2293" i="2" s="1"/>
  <c r="W2294" i="2"/>
  <c r="X2294" i="2" s="1" a="1"/>
  <c r="X2294" i="2" s="1"/>
  <c r="W2295" i="2"/>
  <c r="X2295" i="2" s="1" a="1"/>
  <c r="X2295" i="2" s="1"/>
  <c r="W2296" i="2"/>
  <c r="X2296" i="2" s="1" a="1"/>
  <c r="X2296" i="2" s="1"/>
  <c r="W2297" i="2"/>
  <c r="X2297" i="2" s="1" a="1"/>
  <c r="X2297" i="2" s="1"/>
  <c r="W2298" i="2"/>
  <c r="X2298" i="2" s="1" a="1"/>
  <c r="X2298" i="2" s="1"/>
  <c r="W2299" i="2"/>
  <c r="X2299" i="2" s="1" a="1"/>
  <c r="X2299" i="2" s="1"/>
  <c r="W2300" i="2"/>
  <c r="X2300" i="2" s="1" a="1"/>
  <c r="X2300" i="2" s="1"/>
  <c r="W2301" i="2"/>
  <c r="X2301" i="2" s="1" a="1"/>
  <c r="X2301" i="2" s="1"/>
  <c r="W2302" i="2"/>
  <c r="X2302" i="2" s="1" a="1"/>
  <c r="X2302" i="2" s="1"/>
  <c r="W2303" i="2"/>
  <c r="X2303" i="2" s="1" a="1"/>
  <c r="X2303" i="2" s="1"/>
  <c r="W2304" i="2"/>
  <c r="X2304" i="2" s="1" a="1"/>
  <c r="X2304" i="2" s="1"/>
  <c r="W2305" i="2"/>
  <c r="X2305" i="2" s="1" a="1"/>
  <c r="X2305" i="2" s="1"/>
  <c r="W2306" i="2"/>
  <c r="X2306" i="2" s="1" a="1"/>
  <c r="X2306" i="2" s="1"/>
  <c r="W2307" i="2"/>
  <c r="X2307" i="2" s="1" a="1"/>
  <c r="X2307" i="2" s="1"/>
  <c r="W2308" i="2"/>
  <c r="X2308" i="2" s="1" a="1"/>
  <c r="X2308" i="2" s="1"/>
  <c r="W2309" i="2"/>
  <c r="X2309" i="2" s="1" a="1"/>
  <c r="X2309" i="2" s="1"/>
  <c r="W2310" i="2"/>
  <c r="X2310" i="2" s="1" a="1"/>
  <c r="X2310" i="2" s="1"/>
  <c r="W2311" i="2"/>
  <c r="X2311" i="2" s="1" a="1"/>
  <c r="X2311" i="2" s="1"/>
  <c r="W2312" i="2"/>
  <c r="X2312" i="2" s="1" a="1"/>
  <c r="X2312" i="2" s="1"/>
  <c r="W2313" i="2"/>
  <c r="X2313" i="2" s="1" a="1"/>
  <c r="X2313" i="2" s="1"/>
  <c r="W2314" i="2"/>
  <c r="X2314" i="2" s="1" a="1"/>
  <c r="X2314" i="2" s="1"/>
  <c r="W2315" i="2"/>
  <c r="X2315" i="2" s="1" a="1"/>
  <c r="X2315" i="2" s="1"/>
  <c r="W2316" i="2"/>
  <c r="X2316" i="2" s="1" a="1"/>
  <c r="X2316" i="2" s="1"/>
  <c r="W2317" i="2"/>
  <c r="X2317" i="2" s="1" a="1"/>
  <c r="X2317" i="2" s="1"/>
  <c r="W2318" i="2"/>
  <c r="X2318" i="2" s="1" a="1"/>
  <c r="X2318" i="2" s="1"/>
  <c r="W2319" i="2"/>
  <c r="X2319" i="2" s="1" a="1"/>
  <c r="X2319" i="2" s="1"/>
  <c r="W2320" i="2"/>
  <c r="X2320" i="2" s="1" a="1"/>
  <c r="X2320" i="2" s="1"/>
  <c r="W2321" i="2"/>
  <c r="X2321" i="2" s="1" a="1"/>
  <c r="X2321" i="2" s="1"/>
  <c r="W2322" i="2"/>
  <c r="X2322" i="2" s="1" a="1"/>
  <c r="X2322" i="2" s="1"/>
  <c r="W2323" i="2"/>
  <c r="X2323" i="2" s="1" a="1"/>
  <c r="X2323" i="2" s="1"/>
  <c r="W2324" i="2"/>
  <c r="X2324" i="2" s="1" a="1"/>
  <c r="X2324" i="2" s="1"/>
  <c r="W2325" i="2"/>
  <c r="X2325" i="2" s="1" a="1"/>
  <c r="X2325" i="2" s="1"/>
  <c r="W2326" i="2"/>
  <c r="X2326" i="2" s="1" a="1"/>
  <c r="X2326" i="2" s="1"/>
  <c r="W2327" i="2"/>
  <c r="X2327" i="2" s="1" a="1"/>
  <c r="X2327" i="2" s="1"/>
  <c r="W2328" i="2"/>
  <c r="X2328" i="2" s="1" a="1"/>
  <c r="X2328" i="2" s="1"/>
  <c r="W2329" i="2"/>
  <c r="X2329" i="2" s="1" a="1"/>
  <c r="X2329" i="2" s="1"/>
  <c r="W2330" i="2"/>
  <c r="X2330" i="2" s="1" a="1"/>
  <c r="X2330" i="2" s="1"/>
  <c r="W2331" i="2"/>
  <c r="X2331" i="2" s="1" a="1"/>
  <c r="X2331" i="2" s="1"/>
  <c r="W2332" i="2"/>
  <c r="X2332" i="2" s="1" a="1"/>
  <c r="X2332" i="2" s="1"/>
  <c r="W2333" i="2"/>
  <c r="X2333" i="2" s="1" a="1"/>
  <c r="X2333" i="2" s="1"/>
  <c r="W2334" i="2"/>
  <c r="X2334" i="2" s="1" a="1"/>
  <c r="X2334" i="2" s="1"/>
  <c r="W2335" i="2"/>
  <c r="X2335" i="2" s="1" a="1"/>
  <c r="X2335" i="2" s="1"/>
  <c r="W2336" i="2"/>
  <c r="X2336" i="2" s="1" a="1"/>
  <c r="X2336" i="2" s="1"/>
  <c r="W2337" i="2"/>
  <c r="X2337" i="2" s="1" a="1"/>
  <c r="X2337" i="2" s="1"/>
  <c r="W2338" i="2"/>
  <c r="X2338" i="2" s="1" a="1"/>
  <c r="X2338" i="2" s="1"/>
  <c r="W2339" i="2"/>
  <c r="X2339" i="2" s="1" a="1"/>
  <c r="X2339" i="2" s="1"/>
  <c r="W2340" i="2"/>
  <c r="X2340" i="2" s="1" a="1"/>
  <c r="X2340" i="2" s="1"/>
  <c r="W2341" i="2"/>
  <c r="X2341" i="2" s="1" a="1"/>
  <c r="X2341" i="2" s="1"/>
  <c r="W2342" i="2"/>
  <c r="X2342" i="2" s="1" a="1"/>
  <c r="X2342" i="2" s="1"/>
  <c r="W2343" i="2"/>
  <c r="X2343" i="2" s="1" a="1"/>
  <c r="X2343" i="2" s="1"/>
  <c r="W2344" i="2"/>
  <c r="X2344" i="2" s="1" a="1"/>
  <c r="X2344" i="2" s="1"/>
  <c r="W2345" i="2"/>
  <c r="X2345" i="2" s="1" a="1"/>
  <c r="X2345" i="2" s="1"/>
  <c r="W2346" i="2"/>
  <c r="X2346" i="2" s="1" a="1"/>
  <c r="X2346" i="2" s="1"/>
  <c r="W2347" i="2"/>
  <c r="X2347" i="2" s="1" a="1"/>
  <c r="X2347" i="2" s="1"/>
  <c r="W2348" i="2"/>
  <c r="X2348" i="2" s="1" a="1"/>
  <c r="X2348" i="2" s="1"/>
  <c r="W2349" i="2"/>
  <c r="X2349" i="2" s="1" a="1"/>
  <c r="X2349" i="2" s="1"/>
  <c r="W2350" i="2"/>
  <c r="X2350" i="2" s="1" a="1"/>
  <c r="X2350" i="2" s="1"/>
  <c r="W2351" i="2"/>
  <c r="X2351" i="2" s="1" a="1"/>
  <c r="X2351" i="2" s="1"/>
  <c r="W2352" i="2"/>
  <c r="X2352" i="2" s="1" a="1"/>
  <c r="X2352" i="2" s="1"/>
  <c r="W2353" i="2"/>
  <c r="X2353" i="2" s="1" a="1"/>
  <c r="X2353" i="2" s="1"/>
  <c r="W2354" i="2"/>
  <c r="X2354" i="2" s="1" a="1"/>
  <c r="X2354" i="2" s="1"/>
  <c r="W2355" i="2"/>
  <c r="X2355" i="2" s="1" a="1"/>
  <c r="X2355" i="2" s="1"/>
  <c r="W2356" i="2"/>
  <c r="X2356" i="2" s="1" a="1"/>
  <c r="X2356" i="2" s="1"/>
  <c r="W2357" i="2"/>
  <c r="X2357" i="2" s="1" a="1"/>
  <c r="X2357" i="2" s="1"/>
  <c r="W2358" i="2"/>
  <c r="X2358" i="2" s="1" a="1"/>
  <c r="X2358" i="2" s="1"/>
  <c r="W2359" i="2"/>
  <c r="X2359" i="2" s="1" a="1"/>
  <c r="X2359" i="2" s="1"/>
  <c r="W2360" i="2"/>
  <c r="X2360" i="2" s="1" a="1"/>
  <c r="X2360" i="2" s="1"/>
  <c r="W2361" i="2"/>
  <c r="X2361" i="2" s="1" a="1"/>
  <c r="X2361" i="2" s="1"/>
  <c r="W2362" i="2"/>
  <c r="X2362" i="2" s="1" a="1"/>
  <c r="X2362" i="2" s="1"/>
  <c r="W2363" i="2"/>
  <c r="X2363" i="2" s="1" a="1"/>
  <c r="X2363" i="2" s="1"/>
  <c r="W2364" i="2"/>
  <c r="X2364" i="2" s="1" a="1"/>
  <c r="X2364" i="2" s="1"/>
  <c r="W2365" i="2"/>
  <c r="X2365" i="2" s="1" a="1"/>
  <c r="X2365" i="2" s="1"/>
  <c r="W2366" i="2"/>
  <c r="X2366" i="2" s="1" a="1"/>
  <c r="X2366" i="2" s="1"/>
  <c r="W2367" i="2"/>
  <c r="X2367" i="2" s="1" a="1"/>
  <c r="X2367" i="2" s="1"/>
  <c r="W2368" i="2"/>
  <c r="X2368" i="2" s="1" a="1"/>
  <c r="X2368" i="2" s="1"/>
  <c r="W2369" i="2"/>
  <c r="X2369" i="2" s="1" a="1"/>
  <c r="X2369" i="2" s="1"/>
  <c r="W2370" i="2"/>
  <c r="X2370" i="2" s="1" a="1"/>
  <c r="X2370" i="2" s="1"/>
  <c r="W2371" i="2"/>
  <c r="X2371" i="2" s="1" a="1"/>
  <c r="X2371" i="2" s="1"/>
  <c r="W2372" i="2"/>
  <c r="X2372" i="2" s="1" a="1"/>
  <c r="X2372" i="2" s="1"/>
  <c r="W2373" i="2"/>
  <c r="X2373" i="2" s="1" a="1"/>
  <c r="X2373" i="2" s="1"/>
  <c r="W2374" i="2"/>
  <c r="X2374" i="2" s="1" a="1"/>
  <c r="X2374" i="2" s="1"/>
  <c r="W2375" i="2"/>
  <c r="X2375" i="2" s="1" a="1"/>
  <c r="X2375" i="2" s="1"/>
  <c r="W2376" i="2"/>
  <c r="X2376" i="2" s="1" a="1"/>
  <c r="X2376" i="2" s="1"/>
  <c r="W2377" i="2"/>
  <c r="X2377" i="2" s="1" a="1"/>
  <c r="X2377" i="2" s="1"/>
  <c r="W2378" i="2"/>
  <c r="X2378" i="2" s="1" a="1"/>
  <c r="X2378" i="2" s="1"/>
  <c r="W2379" i="2"/>
  <c r="X2379" i="2" s="1" a="1"/>
  <c r="X2379" i="2" s="1"/>
  <c r="W2380" i="2"/>
  <c r="X2380" i="2" s="1" a="1"/>
  <c r="X2380" i="2" s="1"/>
  <c r="W2381" i="2"/>
  <c r="X2381" i="2" s="1" a="1"/>
  <c r="X2381" i="2" s="1"/>
  <c r="W2382" i="2"/>
  <c r="X2382" i="2" s="1" a="1"/>
  <c r="X2382" i="2" s="1"/>
  <c r="W2383" i="2"/>
  <c r="X2383" i="2" s="1" a="1"/>
  <c r="X2383" i="2" s="1"/>
  <c r="W2384" i="2"/>
  <c r="X2384" i="2" s="1" a="1"/>
  <c r="X2384" i="2" s="1"/>
  <c r="W2385" i="2"/>
  <c r="X2385" i="2" s="1" a="1"/>
  <c r="X2385" i="2" s="1"/>
  <c r="W2386" i="2"/>
  <c r="X2386" i="2" s="1" a="1"/>
  <c r="X2386" i="2" s="1"/>
  <c r="W2387" i="2"/>
  <c r="X2387" i="2" s="1" a="1"/>
  <c r="X2387" i="2" s="1"/>
  <c r="W2388" i="2"/>
  <c r="X2388" i="2" s="1" a="1"/>
  <c r="X2388" i="2" s="1"/>
  <c r="W2389" i="2"/>
  <c r="X2389" i="2" s="1" a="1"/>
  <c r="X2389" i="2" s="1"/>
  <c r="W2390" i="2"/>
  <c r="X2390" i="2" s="1" a="1"/>
  <c r="X2390" i="2" s="1"/>
  <c r="W2391" i="2"/>
  <c r="X2391" i="2" s="1" a="1"/>
  <c r="X2391" i="2" s="1"/>
  <c r="W2392" i="2"/>
  <c r="X2392" i="2" s="1" a="1"/>
  <c r="X2392" i="2" s="1"/>
  <c r="W2393" i="2"/>
  <c r="X2393" i="2" s="1" a="1"/>
  <c r="X2393" i="2" s="1"/>
  <c r="W2394" i="2"/>
  <c r="X2394" i="2" s="1" a="1"/>
  <c r="X2394" i="2" s="1"/>
  <c r="W2395" i="2"/>
  <c r="X2395" i="2" s="1" a="1"/>
  <c r="X2395" i="2" s="1"/>
  <c r="W2396" i="2"/>
  <c r="X2396" i="2" s="1" a="1"/>
  <c r="X2396" i="2" s="1"/>
  <c r="W2397" i="2"/>
  <c r="X2397" i="2" s="1" a="1"/>
  <c r="X2397" i="2" s="1"/>
  <c r="W2398" i="2"/>
  <c r="X2398" i="2" s="1" a="1"/>
  <c r="X2398" i="2" s="1"/>
  <c r="W2399" i="2"/>
  <c r="X2399" i="2" s="1" a="1"/>
  <c r="X2399" i="2" s="1"/>
  <c r="W2400" i="2"/>
  <c r="X2400" i="2" s="1" a="1"/>
  <c r="X2400" i="2" s="1"/>
  <c r="W2401" i="2"/>
  <c r="X2401" i="2" s="1" a="1"/>
  <c r="X2401" i="2" s="1"/>
  <c r="W2402" i="2"/>
  <c r="X2402" i="2" s="1" a="1"/>
  <c r="X2402" i="2" s="1"/>
  <c r="W2403" i="2"/>
  <c r="X2403" i="2" s="1" a="1"/>
  <c r="X2403" i="2" s="1"/>
  <c r="W2404" i="2"/>
  <c r="X2404" i="2" s="1" a="1"/>
  <c r="X2404" i="2" s="1"/>
  <c r="W2405" i="2"/>
  <c r="X2405" i="2" s="1" a="1"/>
  <c r="X2405" i="2" s="1"/>
  <c r="W2406" i="2"/>
  <c r="X2406" i="2" s="1" a="1"/>
  <c r="X2406" i="2" s="1"/>
  <c r="W2407" i="2"/>
  <c r="X2407" i="2" s="1" a="1"/>
  <c r="X2407" i="2" s="1"/>
  <c r="W2408" i="2"/>
  <c r="X2408" i="2" s="1" a="1"/>
  <c r="X2408" i="2" s="1"/>
  <c r="W2409" i="2"/>
  <c r="X2409" i="2" s="1" a="1"/>
  <c r="X2409" i="2" s="1"/>
  <c r="W2410" i="2"/>
  <c r="X2410" i="2" s="1" a="1"/>
  <c r="X2410" i="2" s="1"/>
  <c r="W2411" i="2"/>
  <c r="X2411" i="2" s="1" a="1"/>
  <c r="X2411" i="2" s="1"/>
  <c r="W2412" i="2"/>
  <c r="X2412" i="2" s="1" a="1"/>
  <c r="X2412" i="2" s="1"/>
  <c r="W2413" i="2"/>
  <c r="X2413" i="2" s="1" a="1"/>
  <c r="X2413" i="2" s="1"/>
  <c r="W2414" i="2"/>
  <c r="X2414" i="2" s="1" a="1"/>
  <c r="X2414" i="2" s="1"/>
  <c r="W2415" i="2"/>
  <c r="X2415" i="2" s="1" a="1"/>
  <c r="X2415" i="2" s="1"/>
  <c r="W2416" i="2"/>
  <c r="X2416" i="2" s="1" a="1"/>
  <c r="X2416" i="2" s="1"/>
  <c r="W2417" i="2"/>
  <c r="X2417" i="2" s="1" a="1"/>
  <c r="X2417" i="2" s="1"/>
  <c r="W2418" i="2"/>
  <c r="X2418" i="2" s="1" a="1"/>
  <c r="X2418" i="2" s="1"/>
  <c r="W2419" i="2"/>
  <c r="X2419" i="2" s="1" a="1"/>
  <c r="X2419" i="2" s="1"/>
  <c r="W2420" i="2"/>
  <c r="X2420" i="2" s="1" a="1"/>
  <c r="X2420" i="2" s="1"/>
  <c r="W2421" i="2"/>
  <c r="X2421" i="2" s="1" a="1"/>
  <c r="X2421" i="2" s="1"/>
  <c r="W2422" i="2"/>
  <c r="X2422" i="2" s="1" a="1"/>
  <c r="X2422" i="2" s="1"/>
  <c r="W2423" i="2"/>
  <c r="X2423" i="2" s="1" a="1"/>
  <c r="X2423" i="2" s="1"/>
  <c r="W2424" i="2"/>
  <c r="X2424" i="2" s="1" a="1"/>
  <c r="X2424" i="2" s="1"/>
  <c r="W2425" i="2"/>
  <c r="X2425" i="2" s="1" a="1"/>
  <c r="X2425" i="2" s="1"/>
  <c r="W2426" i="2"/>
  <c r="X2426" i="2" s="1" a="1"/>
  <c r="X2426" i="2" s="1"/>
  <c r="W2427" i="2"/>
  <c r="X2427" i="2" s="1" a="1"/>
  <c r="X2427" i="2" s="1"/>
  <c r="W2428" i="2"/>
  <c r="X2428" i="2" s="1" a="1"/>
  <c r="X2428" i="2" s="1"/>
  <c r="W2429" i="2"/>
  <c r="X2429" i="2" s="1" a="1"/>
  <c r="X2429" i="2" s="1"/>
  <c r="W2430" i="2"/>
  <c r="X2430" i="2" s="1" a="1"/>
  <c r="X2430" i="2" s="1"/>
  <c r="W2431" i="2"/>
  <c r="X2431" i="2" s="1" a="1"/>
  <c r="X2431" i="2" s="1"/>
  <c r="W2432" i="2"/>
  <c r="X2432" i="2" s="1" a="1"/>
  <c r="X2432" i="2" s="1"/>
  <c r="W2433" i="2"/>
  <c r="X2433" i="2" s="1" a="1"/>
  <c r="X2433" i="2" s="1"/>
  <c r="W2434" i="2"/>
  <c r="X2434" i="2" s="1" a="1"/>
  <c r="X2434" i="2" s="1"/>
  <c r="W2435" i="2"/>
  <c r="X2435" i="2" s="1" a="1"/>
  <c r="X2435" i="2" s="1"/>
  <c r="W2436" i="2"/>
  <c r="X2436" i="2" s="1" a="1"/>
  <c r="X2436" i="2" s="1"/>
  <c r="W2437" i="2"/>
  <c r="X2437" i="2" s="1" a="1"/>
  <c r="X2437" i="2" s="1"/>
  <c r="W2438" i="2"/>
  <c r="X2438" i="2" s="1" a="1"/>
  <c r="X2438" i="2" s="1"/>
  <c r="W2439" i="2"/>
  <c r="X2439" i="2" s="1" a="1"/>
  <c r="X2439" i="2" s="1"/>
  <c r="W2440" i="2"/>
  <c r="X2440" i="2" s="1" a="1"/>
  <c r="X2440" i="2" s="1"/>
  <c r="W2441" i="2"/>
  <c r="X2441" i="2" s="1" a="1"/>
  <c r="X2441" i="2" s="1"/>
  <c r="W2442" i="2"/>
  <c r="X2442" i="2" s="1" a="1"/>
  <c r="X2442" i="2" s="1"/>
  <c r="W2443" i="2"/>
  <c r="X2443" i="2" s="1" a="1"/>
  <c r="X2443" i="2" s="1"/>
  <c r="W2444" i="2"/>
  <c r="X2444" i="2" s="1" a="1"/>
  <c r="X2444" i="2" s="1"/>
  <c r="W2445" i="2"/>
  <c r="X2445" i="2" s="1" a="1"/>
  <c r="X2445" i="2" s="1"/>
  <c r="W2446" i="2"/>
  <c r="X2446" i="2" s="1" a="1"/>
  <c r="X2446" i="2" s="1"/>
  <c r="W2447" i="2"/>
  <c r="X2447" i="2" s="1" a="1"/>
  <c r="X2447" i="2" s="1"/>
  <c r="W2448" i="2"/>
  <c r="X2448" i="2" s="1" a="1"/>
  <c r="X2448" i="2" s="1"/>
  <c r="W2449" i="2"/>
  <c r="X2449" i="2" s="1" a="1"/>
  <c r="X2449" i="2" s="1"/>
  <c r="W2450" i="2"/>
  <c r="X2450" i="2" s="1" a="1"/>
  <c r="X2450" i="2" s="1"/>
  <c r="W2451" i="2"/>
  <c r="X2451" i="2" s="1" a="1"/>
  <c r="X2451" i="2" s="1"/>
  <c r="W2452" i="2"/>
  <c r="X2452" i="2" s="1" a="1"/>
  <c r="X2452" i="2" s="1"/>
  <c r="W2453" i="2"/>
  <c r="X2453" i="2" s="1" a="1"/>
  <c r="X2453" i="2" s="1"/>
  <c r="W2454" i="2"/>
  <c r="X2454" i="2" s="1" a="1"/>
  <c r="X2454" i="2" s="1"/>
  <c r="W2455" i="2"/>
  <c r="X2455" i="2" s="1" a="1"/>
  <c r="X2455" i="2" s="1"/>
  <c r="W2456" i="2"/>
  <c r="X2456" i="2" s="1" a="1"/>
  <c r="X2456" i="2" s="1"/>
  <c r="W2457" i="2"/>
  <c r="X2457" i="2" s="1" a="1"/>
  <c r="X2457" i="2" s="1"/>
  <c r="W2458" i="2"/>
  <c r="X2458" i="2" s="1" a="1"/>
  <c r="X2458" i="2" s="1"/>
  <c r="W2459" i="2"/>
  <c r="X2459" i="2" s="1" a="1"/>
  <c r="X2459" i="2" s="1"/>
  <c r="W2460" i="2"/>
  <c r="X2460" i="2" s="1" a="1"/>
  <c r="X2460" i="2" s="1"/>
  <c r="W2461" i="2"/>
  <c r="X2461" i="2" s="1" a="1"/>
  <c r="X2461" i="2" s="1"/>
  <c r="W2462" i="2"/>
  <c r="X2462" i="2" s="1" a="1"/>
  <c r="X2462" i="2" s="1"/>
  <c r="W2463" i="2"/>
  <c r="X2463" i="2" s="1" a="1"/>
  <c r="X2463" i="2" s="1"/>
  <c r="W2464" i="2"/>
  <c r="X2464" i="2" s="1" a="1"/>
  <c r="X2464" i="2" s="1"/>
  <c r="W2465" i="2"/>
  <c r="X2465" i="2" s="1" a="1"/>
  <c r="X2465" i="2" s="1"/>
  <c r="W2466" i="2"/>
  <c r="X2466" i="2" s="1" a="1"/>
  <c r="X2466" i="2" s="1"/>
  <c r="W2467" i="2"/>
  <c r="X2467" i="2" s="1" a="1"/>
  <c r="X2467" i="2" s="1"/>
  <c r="W2468" i="2"/>
  <c r="X2468" i="2" s="1" a="1"/>
  <c r="X2468" i="2" s="1"/>
  <c r="W2469" i="2"/>
  <c r="X2469" i="2" s="1" a="1"/>
  <c r="X2469" i="2" s="1"/>
  <c r="W2470" i="2"/>
  <c r="X2470" i="2" s="1" a="1"/>
  <c r="X2470" i="2" s="1"/>
  <c r="W2471" i="2"/>
  <c r="X2471" i="2" s="1" a="1"/>
  <c r="X2471" i="2" s="1"/>
  <c r="W2472" i="2"/>
  <c r="X2472" i="2" s="1" a="1"/>
  <c r="X2472" i="2" s="1"/>
  <c r="W2473" i="2"/>
  <c r="X2473" i="2" s="1" a="1"/>
  <c r="X2473" i="2" s="1"/>
  <c r="W2474" i="2"/>
  <c r="X2474" i="2" s="1" a="1"/>
  <c r="X2474" i="2" s="1"/>
  <c r="W2475" i="2"/>
  <c r="X2475" i="2" s="1" a="1"/>
  <c r="X2475" i="2" s="1"/>
  <c r="W2476" i="2"/>
  <c r="X2476" i="2" s="1" a="1"/>
  <c r="X2476" i="2" s="1"/>
  <c r="W2477" i="2"/>
  <c r="X2477" i="2" s="1" a="1"/>
  <c r="X2477" i="2" s="1"/>
  <c r="W2478" i="2"/>
  <c r="X2478" i="2" s="1" a="1"/>
  <c r="X2478" i="2" s="1"/>
  <c r="W2479" i="2"/>
  <c r="X2479" i="2" s="1" a="1"/>
  <c r="X2479" i="2" s="1"/>
  <c r="W2480" i="2"/>
  <c r="X2480" i="2" s="1" a="1"/>
  <c r="X2480" i="2" s="1"/>
  <c r="W2481" i="2"/>
  <c r="X2481" i="2" s="1" a="1"/>
  <c r="X2481" i="2" s="1"/>
  <c r="W2482" i="2"/>
  <c r="X2482" i="2" s="1" a="1"/>
  <c r="X2482" i="2" s="1"/>
  <c r="W2483" i="2"/>
  <c r="X2483" i="2" s="1" a="1"/>
  <c r="X2483" i="2" s="1"/>
  <c r="W2484" i="2"/>
  <c r="X2484" i="2" s="1" a="1"/>
  <c r="X2484" i="2" s="1"/>
  <c r="W2485" i="2"/>
  <c r="X2485" i="2" s="1" a="1"/>
  <c r="X2485" i="2" s="1"/>
  <c r="W2486" i="2"/>
  <c r="X2486" i="2" s="1" a="1"/>
  <c r="X2486" i="2" s="1"/>
  <c r="W2487" i="2"/>
  <c r="X2487" i="2" s="1" a="1"/>
  <c r="X2487" i="2" s="1"/>
  <c r="W2488" i="2"/>
  <c r="X2488" i="2" s="1" a="1"/>
  <c r="X2488" i="2" s="1"/>
  <c r="W2489" i="2"/>
  <c r="X2489" i="2" s="1" a="1"/>
  <c r="X2489" i="2" s="1"/>
  <c r="W2490" i="2"/>
  <c r="X2490" i="2" s="1" a="1"/>
  <c r="X2490" i="2" s="1"/>
  <c r="W2491" i="2"/>
  <c r="X2491" i="2" s="1" a="1"/>
  <c r="X2491" i="2" s="1"/>
  <c r="W2492" i="2"/>
  <c r="X2492" i="2" s="1" a="1"/>
  <c r="X2492" i="2" s="1"/>
  <c r="W2493" i="2"/>
  <c r="X2493" i="2" s="1" a="1"/>
  <c r="X2493" i="2" s="1"/>
  <c r="W2494" i="2"/>
  <c r="X2494" i="2" s="1" a="1"/>
  <c r="X2494" i="2" s="1"/>
  <c r="W2495" i="2"/>
  <c r="X2495" i="2" s="1" a="1"/>
  <c r="X2495" i="2" s="1"/>
  <c r="W2496" i="2"/>
  <c r="X2496" i="2" s="1" a="1"/>
  <c r="X2496" i="2" s="1"/>
  <c r="W2497" i="2"/>
  <c r="X2497" i="2" s="1" a="1"/>
  <c r="X2497" i="2" s="1"/>
  <c r="W2498" i="2"/>
  <c r="X2498" i="2" s="1" a="1"/>
  <c r="X2498" i="2" s="1"/>
  <c r="W2499" i="2"/>
  <c r="X2499" i="2" s="1" a="1"/>
  <c r="X2499" i="2" s="1"/>
  <c r="W2500" i="2"/>
  <c r="X2500" i="2" s="1" a="1"/>
  <c r="X2500" i="2" s="1"/>
  <c r="W2501" i="2"/>
  <c r="X2501" i="2" s="1" a="1"/>
  <c r="X2501" i="2" s="1"/>
  <c r="W2502" i="2"/>
  <c r="X2502" i="2" s="1" a="1"/>
  <c r="X2502" i="2" s="1"/>
  <c r="W2503" i="2"/>
  <c r="X2503" i="2" s="1" a="1"/>
  <c r="X2503" i="2" s="1"/>
  <c r="W2504" i="2"/>
  <c r="X2504" i="2" s="1" a="1"/>
  <c r="X2504" i="2" s="1"/>
  <c r="W2505" i="2"/>
  <c r="X2505" i="2" s="1" a="1"/>
  <c r="X2505" i="2" s="1"/>
  <c r="W2506" i="2"/>
  <c r="X2506" i="2" s="1" a="1"/>
  <c r="X2506" i="2" s="1"/>
  <c r="W2507" i="2"/>
  <c r="X2507" i="2" s="1" a="1"/>
  <c r="X2507" i="2" s="1"/>
  <c r="W2508" i="2"/>
  <c r="X2508" i="2" s="1" a="1"/>
  <c r="X2508" i="2" s="1"/>
  <c r="W2509" i="2"/>
  <c r="X2509" i="2" s="1" a="1"/>
  <c r="X2509" i="2" s="1"/>
  <c r="W2510" i="2"/>
  <c r="X2510" i="2" s="1" a="1"/>
  <c r="X2510" i="2" s="1"/>
  <c r="W2511" i="2"/>
  <c r="X2511" i="2" s="1" a="1"/>
  <c r="X2511" i="2" s="1"/>
  <c r="W2512" i="2"/>
  <c r="X2512" i="2" s="1" a="1"/>
  <c r="X2512" i="2" s="1"/>
  <c r="W2513" i="2"/>
  <c r="X2513" i="2" s="1" a="1"/>
  <c r="X2513" i="2" s="1"/>
  <c r="W2514" i="2"/>
  <c r="X2514" i="2" s="1" a="1"/>
  <c r="X2514" i="2" s="1"/>
  <c r="W2515" i="2"/>
  <c r="X2515" i="2" s="1" a="1"/>
  <c r="X2515" i="2" s="1"/>
  <c r="W2516" i="2"/>
  <c r="X2516" i="2" s="1" a="1"/>
  <c r="X2516" i="2" s="1"/>
  <c r="W2517" i="2"/>
  <c r="X2517" i="2" s="1" a="1"/>
  <c r="X2517" i="2" s="1"/>
  <c r="W2518" i="2"/>
  <c r="X2518" i="2" s="1" a="1"/>
  <c r="X2518" i="2" s="1"/>
  <c r="W2519" i="2"/>
  <c r="X2519" i="2" s="1" a="1"/>
  <c r="X2519" i="2" s="1"/>
  <c r="W2520" i="2"/>
  <c r="X2520" i="2" s="1" a="1"/>
  <c r="X2520" i="2" s="1"/>
  <c r="W2521" i="2"/>
  <c r="X2521" i="2" s="1" a="1"/>
  <c r="X2521" i="2" s="1"/>
  <c r="W2522" i="2"/>
  <c r="X2522" i="2" s="1" a="1"/>
  <c r="X2522" i="2" s="1"/>
  <c r="W2523" i="2"/>
  <c r="X2523" i="2" s="1" a="1"/>
  <c r="X2523" i="2" s="1"/>
  <c r="W2524" i="2"/>
  <c r="X2524" i="2" s="1" a="1"/>
  <c r="X2524" i="2" s="1"/>
  <c r="W2525" i="2"/>
  <c r="X2525" i="2" s="1" a="1"/>
  <c r="X2525" i="2" s="1"/>
  <c r="W2526" i="2"/>
  <c r="X2526" i="2" s="1" a="1"/>
  <c r="X2526" i="2" s="1"/>
  <c r="W2527" i="2"/>
  <c r="X2527" i="2" s="1" a="1"/>
  <c r="X2527" i="2" s="1"/>
  <c r="W2528" i="2"/>
  <c r="X2528" i="2" s="1" a="1"/>
  <c r="X2528" i="2" s="1"/>
  <c r="W2529" i="2"/>
  <c r="X2529" i="2" s="1" a="1"/>
  <c r="X2529" i="2" s="1"/>
  <c r="W2530" i="2"/>
  <c r="X2530" i="2" s="1" a="1"/>
  <c r="X2530" i="2" s="1"/>
  <c r="W2531" i="2"/>
  <c r="X2531" i="2" s="1" a="1"/>
  <c r="X2531" i="2" s="1"/>
  <c r="W2532" i="2"/>
  <c r="X2532" i="2" s="1" a="1"/>
  <c r="X2532" i="2" s="1"/>
  <c r="W2533" i="2"/>
  <c r="X2533" i="2" s="1" a="1"/>
  <c r="X2533" i="2" s="1"/>
  <c r="W2534" i="2"/>
  <c r="X2534" i="2" s="1" a="1"/>
  <c r="X2534" i="2" s="1"/>
  <c r="W2535" i="2"/>
  <c r="X2535" i="2" s="1" a="1"/>
  <c r="X2535" i="2" s="1"/>
  <c r="W2536" i="2"/>
  <c r="X2536" i="2" s="1" a="1"/>
  <c r="X2536" i="2" s="1"/>
  <c r="W2537" i="2"/>
  <c r="X2537" i="2" s="1" a="1"/>
  <c r="X2537" i="2" s="1"/>
  <c r="W2538" i="2"/>
  <c r="X2538" i="2" s="1" a="1"/>
  <c r="X2538" i="2" s="1"/>
  <c r="W2539" i="2"/>
  <c r="X2539" i="2" s="1" a="1"/>
  <c r="X2539" i="2" s="1"/>
  <c r="W2540" i="2"/>
  <c r="X2540" i="2" s="1" a="1"/>
  <c r="X2540" i="2" s="1"/>
  <c r="W2541" i="2"/>
  <c r="X2541" i="2" s="1" a="1"/>
  <c r="X2541" i="2" s="1"/>
  <c r="W2542" i="2"/>
  <c r="X2542" i="2" s="1" a="1"/>
  <c r="X2542" i="2" s="1"/>
  <c r="W2543" i="2"/>
  <c r="X2543" i="2" s="1" a="1"/>
  <c r="X2543" i="2" s="1"/>
  <c r="W2544" i="2"/>
  <c r="X2544" i="2" s="1" a="1"/>
  <c r="X2544" i="2" s="1"/>
  <c r="W2545" i="2"/>
  <c r="X2545" i="2" s="1" a="1"/>
  <c r="X2545" i="2" s="1"/>
  <c r="W2546" i="2"/>
  <c r="X2546" i="2" s="1" a="1"/>
  <c r="X2546" i="2" s="1"/>
  <c r="W2547" i="2"/>
  <c r="X2547" i="2" s="1" a="1"/>
  <c r="X2547" i="2" s="1"/>
  <c r="W2548" i="2"/>
  <c r="X2548" i="2" s="1" a="1"/>
  <c r="X2548" i="2" s="1"/>
  <c r="W2549" i="2"/>
  <c r="X2549" i="2" s="1" a="1"/>
  <c r="X2549" i="2" s="1"/>
  <c r="W2550" i="2"/>
  <c r="X2550" i="2" s="1" a="1"/>
  <c r="X2550" i="2" s="1"/>
  <c r="W2551" i="2"/>
  <c r="X2551" i="2" s="1" a="1"/>
  <c r="X2551" i="2" s="1"/>
  <c r="W2552" i="2"/>
  <c r="X2552" i="2" s="1" a="1"/>
  <c r="X2552" i="2" s="1"/>
  <c r="W2553" i="2"/>
  <c r="X2553" i="2" s="1" a="1"/>
  <c r="X2553" i="2" s="1"/>
  <c r="W2554" i="2"/>
  <c r="X2554" i="2" s="1" a="1"/>
  <c r="X2554" i="2" s="1"/>
  <c r="W2555" i="2"/>
  <c r="X2555" i="2" s="1" a="1"/>
  <c r="X2555" i="2" s="1"/>
  <c r="W2556" i="2"/>
  <c r="X2556" i="2" s="1" a="1"/>
  <c r="X2556" i="2" s="1"/>
  <c r="W2557" i="2"/>
  <c r="X2557" i="2" s="1" a="1"/>
  <c r="X2557" i="2" s="1"/>
  <c r="W2558" i="2"/>
  <c r="X2558" i="2" s="1" a="1"/>
  <c r="X2558" i="2" s="1"/>
  <c r="W2559" i="2"/>
  <c r="X2559" i="2" s="1" a="1"/>
  <c r="X2559" i="2" s="1"/>
  <c r="W2560" i="2"/>
  <c r="X2560" i="2" s="1" a="1"/>
  <c r="X2560" i="2" s="1"/>
  <c r="W2561" i="2"/>
  <c r="X2561" i="2" s="1" a="1"/>
  <c r="X2561" i="2" s="1"/>
  <c r="W2562" i="2"/>
  <c r="X2562" i="2" s="1" a="1"/>
  <c r="X2562" i="2" s="1"/>
  <c r="W2563" i="2"/>
  <c r="X2563" i="2" s="1" a="1"/>
  <c r="X2563" i="2" s="1"/>
  <c r="W2564" i="2"/>
  <c r="X2564" i="2" s="1" a="1"/>
  <c r="X2564" i="2" s="1"/>
  <c r="W2565" i="2"/>
  <c r="X2565" i="2" s="1" a="1"/>
  <c r="X2565" i="2" s="1"/>
  <c r="W2566" i="2"/>
  <c r="X2566" i="2" s="1" a="1"/>
  <c r="X2566" i="2" s="1"/>
  <c r="W2567" i="2"/>
  <c r="X2567" i="2" s="1" a="1"/>
  <c r="X2567" i="2" s="1"/>
  <c r="W2568" i="2"/>
  <c r="X2568" i="2" s="1" a="1"/>
  <c r="X2568" i="2" s="1"/>
  <c r="W2569" i="2"/>
  <c r="X2569" i="2" s="1" a="1"/>
  <c r="X2569" i="2" s="1"/>
  <c r="W2570" i="2"/>
  <c r="X2570" i="2" s="1" a="1"/>
  <c r="X2570" i="2" s="1"/>
  <c r="W2571" i="2"/>
  <c r="X2571" i="2" s="1" a="1"/>
  <c r="X2571" i="2" s="1"/>
  <c r="W2572" i="2"/>
  <c r="X2572" i="2" s="1" a="1"/>
  <c r="X2572" i="2" s="1"/>
  <c r="W2573" i="2"/>
  <c r="X2573" i="2" s="1" a="1"/>
  <c r="X2573" i="2" s="1"/>
  <c r="W2574" i="2"/>
  <c r="X2574" i="2" s="1" a="1"/>
  <c r="X2574" i="2" s="1"/>
  <c r="W2575" i="2"/>
  <c r="X2575" i="2" s="1" a="1"/>
  <c r="X2575" i="2" s="1"/>
  <c r="W2576" i="2"/>
  <c r="X2576" i="2" s="1" a="1"/>
  <c r="X2576" i="2" s="1"/>
  <c r="W2577" i="2"/>
  <c r="X2577" i="2" s="1" a="1"/>
  <c r="X2577" i="2" s="1"/>
  <c r="W2578" i="2"/>
  <c r="X2578" i="2" s="1" a="1"/>
  <c r="X2578" i="2" s="1"/>
  <c r="W2579" i="2"/>
  <c r="X2579" i="2" s="1" a="1"/>
  <c r="X2579" i="2" s="1"/>
  <c r="W2580" i="2"/>
  <c r="X2580" i="2" s="1" a="1"/>
  <c r="X2580" i="2" s="1"/>
  <c r="W2581" i="2"/>
  <c r="X2581" i="2" s="1" a="1"/>
  <c r="X2581" i="2" s="1"/>
  <c r="W2582" i="2"/>
  <c r="X2582" i="2" s="1" a="1"/>
  <c r="X2582" i="2" s="1"/>
  <c r="W2583" i="2"/>
  <c r="X2583" i="2" s="1" a="1"/>
  <c r="X2583" i="2" s="1"/>
  <c r="W2584" i="2"/>
  <c r="X2584" i="2" s="1" a="1"/>
  <c r="X2584" i="2" s="1"/>
  <c r="W2585" i="2"/>
  <c r="X2585" i="2" s="1" a="1"/>
  <c r="X2585" i="2" s="1"/>
  <c r="W2586" i="2"/>
  <c r="X2586" i="2" s="1" a="1"/>
  <c r="X2586" i="2" s="1"/>
  <c r="W2587" i="2"/>
  <c r="X2587" i="2" s="1" a="1"/>
  <c r="X2587" i="2" s="1"/>
  <c r="W2588" i="2"/>
  <c r="X2588" i="2" s="1" a="1"/>
  <c r="X2588" i="2" s="1"/>
  <c r="W2589" i="2"/>
  <c r="X2589" i="2" s="1" a="1"/>
  <c r="X2589" i="2" s="1"/>
  <c r="W2590" i="2"/>
  <c r="X2590" i="2" s="1" a="1"/>
  <c r="X2590" i="2" s="1"/>
  <c r="W2591" i="2"/>
  <c r="X2591" i="2" s="1" a="1"/>
  <c r="X2591" i="2" s="1"/>
  <c r="W2592" i="2"/>
  <c r="X2592" i="2" s="1" a="1"/>
  <c r="X2592" i="2" s="1"/>
  <c r="W2593" i="2"/>
  <c r="X2593" i="2" s="1" a="1"/>
  <c r="X2593" i="2" s="1"/>
  <c r="W2594" i="2"/>
  <c r="X2594" i="2" s="1" a="1"/>
  <c r="X2594" i="2" s="1"/>
  <c r="W2595" i="2"/>
  <c r="X2595" i="2" s="1" a="1"/>
  <c r="X2595" i="2" s="1"/>
  <c r="W2596" i="2"/>
  <c r="X2596" i="2" s="1" a="1"/>
  <c r="X2596" i="2" s="1"/>
  <c r="W2597" i="2"/>
  <c r="X2597" i="2" s="1" a="1"/>
  <c r="X2597" i="2" s="1"/>
  <c r="W2598" i="2"/>
  <c r="X2598" i="2" s="1" a="1"/>
  <c r="X2598" i="2" s="1"/>
  <c r="W2599" i="2"/>
  <c r="X2599" i="2" s="1" a="1"/>
  <c r="X2599" i="2" s="1"/>
  <c r="W2600" i="2"/>
  <c r="X2600" i="2" s="1" a="1"/>
  <c r="X2600" i="2" s="1"/>
  <c r="W2601" i="2"/>
  <c r="X2601" i="2" s="1" a="1"/>
  <c r="X2601" i="2" s="1"/>
  <c r="W2602" i="2"/>
  <c r="X2602" i="2" s="1" a="1"/>
  <c r="X2602" i="2" s="1"/>
  <c r="W2603" i="2"/>
  <c r="X2603" i="2" s="1" a="1"/>
  <c r="X2603" i="2" s="1"/>
  <c r="W2604" i="2"/>
  <c r="X2604" i="2" s="1" a="1"/>
  <c r="X2604" i="2" s="1"/>
  <c r="W2605" i="2"/>
  <c r="X2605" i="2" s="1" a="1"/>
  <c r="X2605" i="2" s="1"/>
  <c r="W2606" i="2"/>
  <c r="X2606" i="2" s="1" a="1"/>
  <c r="X2606" i="2" s="1"/>
  <c r="W2607" i="2"/>
  <c r="X2607" i="2" s="1" a="1"/>
  <c r="X2607" i="2" s="1"/>
  <c r="W2608" i="2"/>
  <c r="X2608" i="2" s="1" a="1"/>
  <c r="X2608" i="2" s="1"/>
  <c r="W2609" i="2"/>
  <c r="X2609" i="2" s="1" a="1"/>
  <c r="X2609" i="2" s="1"/>
  <c r="W2610" i="2"/>
  <c r="X2610" i="2" s="1" a="1"/>
  <c r="X2610" i="2" s="1"/>
  <c r="W2611" i="2"/>
  <c r="X2611" i="2" s="1" a="1"/>
  <c r="X2611" i="2" s="1"/>
  <c r="W2612" i="2"/>
  <c r="X2612" i="2" s="1" a="1"/>
  <c r="X2612" i="2" s="1"/>
  <c r="W2613" i="2"/>
  <c r="X2613" i="2" s="1" a="1"/>
  <c r="X2613" i="2" s="1"/>
  <c r="W2614" i="2"/>
  <c r="X2614" i="2" s="1" a="1"/>
  <c r="X2614" i="2" s="1"/>
  <c r="W2615" i="2"/>
  <c r="X2615" i="2" s="1" a="1"/>
  <c r="X2615" i="2" s="1"/>
  <c r="W2616" i="2"/>
  <c r="X2616" i="2" s="1" a="1"/>
  <c r="X2616" i="2" s="1"/>
  <c r="W2617" i="2"/>
  <c r="X2617" i="2" s="1" a="1"/>
  <c r="X2617" i="2" s="1"/>
  <c r="W2618" i="2"/>
  <c r="X2618" i="2" s="1" a="1"/>
  <c r="X2618" i="2" s="1"/>
  <c r="W2619" i="2"/>
  <c r="X2619" i="2" s="1" a="1"/>
  <c r="X2619" i="2" s="1"/>
  <c r="W2620" i="2"/>
  <c r="X2620" i="2" s="1" a="1"/>
  <c r="X2620" i="2" s="1"/>
  <c r="W2621" i="2"/>
  <c r="X2621" i="2" s="1" a="1"/>
  <c r="X2621" i="2" s="1"/>
  <c r="W2622" i="2"/>
  <c r="X2622" i="2" s="1" a="1"/>
  <c r="X2622" i="2" s="1"/>
  <c r="W2623" i="2"/>
  <c r="X2623" i="2" s="1" a="1"/>
  <c r="X2623" i="2" s="1"/>
  <c r="W2624" i="2"/>
  <c r="X2624" i="2" s="1" a="1"/>
  <c r="X2624" i="2" s="1"/>
  <c r="W2625" i="2"/>
  <c r="X2625" i="2" s="1" a="1"/>
  <c r="X2625" i="2" s="1"/>
  <c r="W2626" i="2"/>
  <c r="X2626" i="2" s="1" a="1"/>
  <c r="X2626" i="2" s="1"/>
  <c r="W2627" i="2"/>
  <c r="X2627" i="2" s="1" a="1"/>
  <c r="X2627" i="2" s="1"/>
  <c r="W2628" i="2"/>
  <c r="X2628" i="2" s="1" a="1"/>
  <c r="X2628" i="2" s="1"/>
  <c r="W2629" i="2"/>
  <c r="X2629" i="2" s="1" a="1"/>
  <c r="X2629" i="2" s="1"/>
  <c r="W2630" i="2"/>
  <c r="X2630" i="2" s="1" a="1"/>
  <c r="X2630" i="2" s="1"/>
  <c r="W2631" i="2"/>
  <c r="X2631" i="2" s="1" a="1"/>
  <c r="X2631" i="2" s="1"/>
  <c r="W2632" i="2"/>
  <c r="X2632" i="2" s="1" a="1"/>
  <c r="X2632" i="2" s="1"/>
  <c r="W2633" i="2"/>
  <c r="X2633" i="2" s="1" a="1"/>
  <c r="X2633" i="2" s="1"/>
  <c r="W2634" i="2"/>
  <c r="X2634" i="2" s="1" a="1"/>
  <c r="X2634" i="2" s="1"/>
  <c r="W2635" i="2"/>
  <c r="X2635" i="2" s="1" a="1"/>
  <c r="X2635" i="2" s="1"/>
  <c r="W2636" i="2"/>
  <c r="X2636" i="2" s="1" a="1"/>
  <c r="X2636" i="2" s="1"/>
  <c r="W2637" i="2"/>
  <c r="X2637" i="2" s="1" a="1"/>
  <c r="X2637" i="2" s="1"/>
  <c r="W2638" i="2"/>
  <c r="X2638" i="2" s="1" a="1"/>
  <c r="X2638" i="2" s="1"/>
  <c r="W2639" i="2"/>
  <c r="X2639" i="2" s="1" a="1"/>
  <c r="X2639" i="2" s="1"/>
  <c r="W2640" i="2"/>
  <c r="X2640" i="2" s="1" a="1"/>
  <c r="X2640" i="2" s="1"/>
  <c r="W2641" i="2"/>
  <c r="X2641" i="2" s="1" a="1"/>
  <c r="X2641" i="2" s="1"/>
  <c r="W2642" i="2"/>
  <c r="X2642" i="2" s="1" a="1"/>
  <c r="X2642" i="2" s="1"/>
  <c r="W2643" i="2"/>
  <c r="X2643" i="2" s="1" a="1"/>
  <c r="X2643" i="2" s="1"/>
  <c r="W2644" i="2"/>
  <c r="X2644" i="2" s="1" a="1"/>
  <c r="X2644" i="2" s="1"/>
  <c r="W2645" i="2"/>
  <c r="X2645" i="2" s="1" a="1"/>
  <c r="X2645" i="2" s="1"/>
  <c r="W2646" i="2"/>
  <c r="X2646" i="2" s="1" a="1"/>
  <c r="X2646" i="2" s="1"/>
  <c r="W2647" i="2"/>
  <c r="X2647" i="2" s="1" a="1"/>
  <c r="X2647" i="2" s="1"/>
  <c r="W2648" i="2"/>
  <c r="X2648" i="2" s="1" a="1"/>
  <c r="X2648" i="2" s="1"/>
  <c r="W2649" i="2"/>
  <c r="X2649" i="2" s="1" a="1"/>
  <c r="X2649" i="2" s="1"/>
  <c r="W2650" i="2"/>
  <c r="X2650" i="2" s="1" a="1"/>
  <c r="X2650" i="2" s="1"/>
  <c r="W2651" i="2"/>
  <c r="X2651" i="2" s="1" a="1"/>
  <c r="X2651" i="2" s="1"/>
  <c r="W2652" i="2"/>
  <c r="X2652" i="2" s="1" a="1"/>
  <c r="X2652" i="2" s="1"/>
  <c r="W2653" i="2"/>
  <c r="X2653" i="2" s="1" a="1"/>
  <c r="X2653" i="2" s="1"/>
  <c r="W2654" i="2"/>
  <c r="X2654" i="2" s="1" a="1"/>
  <c r="X2654" i="2" s="1"/>
  <c r="W2655" i="2"/>
  <c r="X2655" i="2" s="1" a="1"/>
  <c r="X2655" i="2" s="1"/>
  <c r="W2656" i="2"/>
  <c r="X2656" i="2" s="1" a="1"/>
  <c r="X2656" i="2" s="1"/>
  <c r="W2657" i="2"/>
  <c r="X2657" i="2" s="1" a="1"/>
  <c r="X2657" i="2" s="1"/>
  <c r="W2658" i="2"/>
  <c r="X2658" i="2" s="1" a="1"/>
  <c r="X2658" i="2" s="1"/>
  <c r="W2659" i="2"/>
  <c r="X2659" i="2" s="1" a="1"/>
  <c r="X2659" i="2" s="1"/>
  <c r="W2660" i="2"/>
  <c r="X2660" i="2" s="1" a="1"/>
  <c r="X2660" i="2" s="1"/>
  <c r="W2661" i="2"/>
  <c r="X2661" i="2" s="1" a="1"/>
  <c r="X2661" i="2" s="1"/>
  <c r="W2662" i="2"/>
  <c r="X2662" i="2" s="1" a="1"/>
  <c r="X2662" i="2" s="1"/>
  <c r="W2663" i="2"/>
  <c r="X2663" i="2" s="1" a="1"/>
  <c r="X2663" i="2" s="1"/>
  <c r="W2664" i="2"/>
  <c r="X2664" i="2" s="1" a="1"/>
  <c r="X2664" i="2" s="1"/>
  <c r="W2665" i="2"/>
  <c r="X2665" i="2" s="1" a="1"/>
  <c r="X2665" i="2" s="1"/>
  <c r="W2666" i="2"/>
  <c r="X2666" i="2" s="1" a="1"/>
  <c r="X2666" i="2" s="1"/>
  <c r="W2667" i="2"/>
  <c r="X2667" i="2" s="1" a="1"/>
  <c r="X2667" i="2" s="1"/>
  <c r="W2668" i="2"/>
  <c r="X2668" i="2" s="1" a="1"/>
  <c r="X2668" i="2" s="1"/>
  <c r="W2669" i="2"/>
  <c r="X2669" i="2" s="1" a="1"/>
  <c r="X2669" i="2" s="1"/>
  <c r="W2670" i="2"/>
  <c r="X2670" i="2" s="1" a="1"/>
  <c r="X2670" i="2" s="1"/>
  <c r="W2671" i="2"/>
  <c r="X2671" i="2" s="1" a="1"/>
  <c r="X2671" i="2" s="1"/>
  <c r="W2672" i="2"/>
  <c r="X2672" i="2" s="1" a="1"/>
  <c r="X2672" i="2" s="1"/>
  <c r="W2673" i="2"/>
  <c r="X2673" i="2" s="1" a="1"/>
  <c r="X2673" i="2" s="1"/>
  <c r="W2674" i="2"/>
  <c r="X2674" i="2" s="1" a="1"/>
  <c r="X2674" i="2" s="1"/>
  <c r="W2675" i="2"/>
  <c r="X2675" i="2" s="1" a="1"/>
  <c r="X2675" i="2" s="1"/>
  <c r="W2676" i="2"/>
  <c r="X2676" i="2" s="1" a="1"/>
  <c r="X2676" i="2" s="1"/>
  <c r="W2677" i="2"/>
  <c r="X2677" i="2" s="1" a="1"/>
  <c r="X2677" i="2" s="1"/>
  <c r="W2678" i="2"/>
  <c r="X2678" i="2" s="1" a="1"/>
  <c r="X2678" i="2" s="1"/>
  <c r="W2679" i="2"/>
  <c r="X2679" i="2" s="1" a="1"/>
  <c r="X2679" i="2" s="1"/>
  <c r="W2680" i="2"/>
  <c r="X2680" i="2" s="1" a="1"/>
  <c r="X2680" i="2" s="1"/>
  <c r="W2681" i="2"/>
  <c r="X2681" i="2" s="1" a="1"/>
  <c r="X2681" i="2" s="1"/>
  <c r="W2682" i="2"/>
  <c r="X2682" i="2" s="1" a="1"/>
  <c r="X2682" i="2" s="1"/>
  <c r="W2683" i="2"/>
  <c r="X2683" i="2" s="1" a="1"/>
  <c r="X2683" i="2" s="1"/>
  <c r="W2684" i="2"/>
  <c r="X2684" i="2" s="1" a="1"/>
  <c r="X2684" i="2" s="1"/>
  <c r="W2685" i="2"/>
  <c r="X2685" i="2" s="1" a="1"/>
  <c r="X2685" i="2" s="1"/>
  <c r="W2686" i="2"/>
  <c r="X2686" i="2" s="1" a="1"/>
  <c r="X2686" i="2" s="1"/>
  <c r="W2687" i="2"/>
  <c r="X2687" i="2" s="1" a="1"/>
  <c r="X2687" i="2" s="1"/>
  <c r="W2688" i="2"/>
  <c r="X2688" i="2" s="1" a="1"/>
  <c r="X2688" i="2" s="1"/>
  <c r="W2689" i="2"/>
  <c r="X2689" i="2" s="1" a="1"/>
  <c r="X2689" i="2" s="1"/>
  <c r="W2690" i="2"/>
  <c r="X2690" i="2" s="1" a="1"/>
  <c r="X2690" i="2" s="1"/>
  <c r="W2691" i="2"/>
  <c r="X2691" i="2" s="1" a="1"/>
  <c r="X2691" i="2" s="1"/>
  <c r="W2692" i="2"/>
  <c r="X2692" i="2" s="1" a="1"/>
  <c r="X2692" i="2" s="1"/>
  <c r="W2693" i="2"/>
  <c r="X2693" i="2" s="1" a="1"/>
  <c r="X2693" i="2" s="1"/>
  <c r="W2694" i="2"/>
  <c r="X2694" i="2" s="1" a="1"/>
  <c r="X2694" i="2" s="1"/>
  <c r="W2695" i="2"/>
  <c r="X2695" i="2" s="1" a="1"/>
  <c r="X2695" i="2" s="1"/>
  <c r="W2696" i="2"/>
  <c r="X2696" i="2" s="1" a="1"/>
  <c r="X2696" i="2" s="1"/>
  <c r="W2697" i="2"/>
  <c r="X2697" i="2" s="1" a="1"/>
  <c r="X2697" i="2" s="1"/>
  <c r="W2698" i="2"/>
  <c r="X2698" i="2" s="1" a="1"/>
  <c r="X2698" i="2" s="1"/>
  <c r="W2699" i="2"/>
  <c r="X2699" i="2" s="1" a="1"/>
  <c r="X2699" i="2" s="1"/>
  <c r="W2700" i="2"/>
  <c r="X2700" i="2" s="1" a="1"/>
  <c r="X2700" i="2" s="1"/>
  <c r="W2701" i="2"/>
  <c r="X2701" i="2" s="1" a="1"/>
  <c r="X2701" i="2" s="1"/>
  <c r="W2702" i="2"/>
  <c r="X2702" i="2" s="1" a="1"/>
  <c r="X2702" i="2" s="1"/>
  <c r="W2703" i="2"/>
  <c r="X2703" i="2" s="1" a="1"/>
  <c r="X2703" i="2" s="1"/>
  <c r="W2704" i="2"/>
  <c r="X2704" i="2" s="1" a="1"/>
  <c r="X2704" i="2" s="1"/>
  <c r="W2705" i="2"/>
  <c r="X2705" i="2" s="1" a="1"/>
  <c r="X2705" i="2" s="1"/>
  <c r="W2706" i="2"/>
  <c r="X2706" i="2" s="1" a="1"/>
  <c r="X2706" i="2" s="1"/>
  <c r="W2707" i="2"/>
  <c r="X2707" i="2" s="1" a="1"/>
  <c r="X2707" i="2" s="1"/>
  <c r="W2708" i="2"/>
  <c r="X2708" i="2" s="1" a="1"/>
  <c r="X2708" i="2" s="1"/>
  <c r="W2709" i="2"/>
  <c r="X2709" i="2" s="1" a="1"/>
  <c r="X2709" i="2" s="1"/>
  <c r="W2710" i="2"/>
  <c r="X2710" i="2" s="1" a="1"/>
  <c r="X2710" i="2" s="1"/>
  <c r="W2711" i="2"/>
  <c r="X2711" i="2" s="1" a="1"/>
  <c r="X2711" i="2" s="1"/>
  <c r="W2712" i="2"/>
  <c r="X2712" i="2" s="1" a="1"/>
  <c r="X2712" i="2" s="1"/>
  <c r="W2713" i="2"/>
  <c r="X2713" i="2" s="1" a="1"/>
  <c r="X2713" i="2" s="1"/>
  <c r="W2714" i="2"/>
  <c r="X2714" i="2" s="1" a="1"/>
  <c r="X2714" i="2" s="1"/>
  <c r="W2715" i="2"/>
  <c r="X2715" i="2" s="1" a="1"/>
  <c r="X2715" i="2" s="1"/>
  <c r="W2716" i="2"/>
  <c r="X2716" i="2" s="1" a="1"/>
  <c r="X2716" i="2" s="1"/>
  <c r="W2717" i="2"/>
  <c r="X2717" i="2" s="1" a="1"/>
  <c r="X2717" i="2" s="1"/>
  <c r="W2718" i="2"/>
  <c r="X2718" i="2" s="1" a="1"/>
  <c r="X2718" i="2" s="1"/>
  <c r="W2719" i="2"/>
  <c r="X2719" i="2" s="1" a="1"/>
  <c r="X2719" i="2" s="1"/>
  <c r="W2720" i="2"/>
  <c r="X2720" i="2" s="1" a="1"/>
  <c r="X2720" i="2" s="1"/>
  <c r="W2721" i="2"/>
  <c r="X2721" i="2" s="1" a="1"/>
  <c r="X2721" i="2" s="1"/>
  <c r="W2722" i="2"/>
  <c r="X2722" i="2" s="1" a="1"/>
  <c r="X2722" i="2" s="1"/>
  <c r="W2723" i="2"/>
  <c r="X2723" i="2" s="1" a="1"/>
  <c r="X2723" i="2" s="1"/>
  <c r="W2724" i="2"/>
  <c r="X2724" i="2" s="1" a="1"/>
  <c r="X2724" i="2" s="1"/>
  <c r="W2725" i="2"/>
  <c r="X2725" i="2" s="1" a="1"/>
  <c r="X2725" i="2" s="1"/>
  <c r="W2726" i="2"/>
  <c r="X2726" i="2" s="1" a="1"/>
  <c r="X2726" i="2" s="1"/>
  <c r="W2727" i="2"/>
  <c r="X2727" i="2" s="1" a="1"/>
  <c r="X2727" i="2" s="1"/>
  <c r="W2728" i="2"/>
  <c r="X2728" i="2" s="1" a="1"/>
  <c r="X2728" i="2" s="1"/>
  <c r="W2729" i="2"/>
  <c r="X2729" i="2" s="1" a="1"/>
  <c r="X2729" i="2" s="1"/>
  <c r="W2730" i="2"/>
  <c r="X2730" i="2" s="1" a="1"/>
  <c r="X2730" i="2" s="1"/>
  <c r="W2731" i="2"/>
  <c r="X2731" i="2" s="1" a="1"/>
  <c r="X2731" i="2" s="1"/>
  <c r="W2732" i="2"/>
  <c r="X2732" i="2" s="1" a="1"/>
  <c r="X2732" i="2" s="1"/>
  <c r="W2733" i="2"/>
  <c r="X2733" i="2" s="1" a="1"/>
  <c r="X2733" i="2" s="1"/>
  <c r="W2734" i="2"/>
  <c r="X2734" i="2" s="1" a="1"/>
  <c r="X2734" i="2" s="1"/>
  <c r="W2735" i="2"/>
  <c r="X2735" i="2" s="1" a="1"/>
  <c r="X2735" i="2" s="1"/>
  <c r="W2736" i="2"/>
  <c r="X2736" i="2" s="1" a="1"/>
  <c r="X2736" i="2" s="1"/>
  <c r="W2737" i="2"/>
  <c r="X2737" i="2" s="1" a="1"/>
  <c r="X2737" i="2" s="1"/>
  <c r="W2738" i="2"/>
  <c r="X2738" i="2" s="1" a="1"/>
  <c r="X2738" i="2" s="1"/>
  <c r="W2739" i="2"/>
  <c r="X2739" i="2" s="1" a="1"/>
  <c r="X2739" i="2" s="1"/>
  <c r="W2740" i="2"/>
  <c r="X2740" i="2" s="1" a="1"/>
  <c r="X2740" i="2" s="1"/>
  <c r="W2741" i="2"/>
  <c r="X2741" i="2" s="1" a="1"/>
  <c r="X2741" i="2" s="1"/>
  <c r="W2742" i="2"/>
  <c r="X2742" i="2" s="1" a="1"/>
  <c r="X2742" i="2" s="1"/>
  <c r="W2743" i="2"/>
  <c r="X2743" i="2" s="1" a="1"/>
  <c r="X2743" i="2" s="1"/>
  <c r="W2744" i="2"/>
  <c r="X2744" i="2" s="1" a="1"/>
  <c r="X2744" i="2" s="1"/>
  <c r="W2745" i="2"/>
  <c r="X2745" i="2" s="1" a="1"/>
  <c r="X2745" i="2" s="1"/>
  <c r="W2746" i="2"/>
  <c r="X2746" i="2" s="1" a="1"/>
  <c r="X2746" i="2" s="1"/>
  <c r="W2747" i="2"/>
  <c r="X2747" i="2" s="1" a="1"/>
  <c r="X2747" i="2" s="1"/>
  <c r="W2748" i="2"/>
  <c r="X2748" i="2" s="1" a="1"/>
  <c r="X2748" i="2" s="1"/>
  <c r="W2749" i="2"/>
  <c r="X2749" i="2" s="1" a="1"/>
  <c r="X2749" i="2" s="1"/>
  <c r="W2750" i="2"/>
  <c r="X2750" i="2" s="1" a="1"/>
  <c r="X2750" i="2" s="1"/>
  <c r="W2751" i="2"/>
  <c r="X2751" i="2" s="1" a="1"/>
  <c r="X2751" i="2" s="1"/>
  <c r="W2752" i="2"/>
  <c r="X2752" i="2" s="1" a="1"/>
  <c r="X2752" i="2" s="1"/>
  <c r="W2753" i="2"/>
  <c r="X2753" i="2" s="1" a="1"/>
  <c r="X2753" i="2" s="1"/>
  <c r="W2754" i="2"/>
  <c r="X2754" i="2" s="1" a="1"/>
  <c r="X2754" i="2" s="1"/>
  <c r="W2755" i="2"/>
  <c r="X2755" i="2" s="1" a="1"/>
  <c r="X2755" i="2" s="1"/>
  <c r="W2756" i="2"/>
  <c r="X2756" i="2" s="1" a="1"/>
  <c r="X2756" i="2" s="1"/>
  <c r="W2757" i="2"/>
  <c r="X2757" i="2" s="1" a="1"/>
  <c r="X2757" i="2" s="1"/>
  <c r="W2758" i="2"/>
  <c r="X2758" i="2" s="1" a="1"/>
  <c r="X2758" i="2" s="1"/>
  <c r="W2759" i="2"/>
  <c r="X2759" i="2" s="1" a="1"/>
  <c r="X2759" i="2" s="1"/>
  <c r="W2760" i="2"/>
  <c r="X2760" i="2" s="1" a="1"/>
  <c r="X2760" i="2" s="1"/>
  <c r="W2761" i="2"/>
  <c r="X2761" i="2" s="1" a="1"/>
  <c r="X2761" i="2" s="1"/>
  <c r="W2762" i="2"/>
  <c r="X2762" i="2" s="1" a="1"/>
  <c r="X2762" i="2" s="1"/>
  <c r="W2763" i="2"/>
  <c r="X2763" i="2" s="1" a="1"/>
  <c r="X2763" i="2" s="1"/>
  <c r="W2764" i="2"/>
  <c r="X2764" i="2" s="1" a="1"/>
  <c r="X2764" i="2" s="1"/>
  <c r="W2765" i="2"/>
  <c r="X2765" i="2" s="1" a="1"/>
  <c r="X2765" i="2" s="1"/>
  <c r="W2766" i="2"/>
  <c r="X2766" i="2" s="1" a="1"/>
  <c r="X2766" i="2" s="1"/>
  <c r="W2767" i="2"/>
  <c r="X2767" i="2" s="1" a="1"/>
  <c r="X2767" i="2" s="1"/>
  <c r="W2768" i="2"/>
  <c r="X2768" i="2" s="1" a="1"/>
  <c r="X2768" i="2" s="1"/>
  <c r="W2769" i="2"/>
  <c r="X2769" i="2" s="1" a="1"/>
  <c r="X2769" i="2" s="1"/>
  <c r="W2770" i="2"/>
  <c r="X2770" i="2" s="1" a="1"/>
  <c r="X2770" i="2" s="1"/>
  <c r="W2771" i="2"/>
  <c r="X2771" i="2" s="1" a="1"/>
  <c r="X2771" i="2" s="1"/>
  <c r="W2772" i="2"/>
  <c r="X2772" i="2" s="1" a="1"/>
  <c r="X2772" i="2" s="1"/>
  <c r="W2773" i="2"/>
  <c r="X2773" i="2" s="1" a="1"/>
  <c r="X2773" i="2" s="1"/>
  <c r="W2774" i="2"/>
  <c r="X2774" i="2" s="1" a="1"/>
  <c r="X2774" i="2" s="1"/>
  <c r="W2775" i="2"/>
  <c r="X2775" i="2" s="1" a="1"/>
  <c r="X2775" i="2" s="1"/>
  <c r="W2776" i="2"/>
  <c r="X2776" i="2" s="1" a="1"/>
  <c r="X2776" i="2" s="1"/>
  <c r="W2777" i="2"/>
  <c r="X2777" i="2" s="1" a="1"/>
  <c r="X2777" i="2" s="1"/>
  <c r="W2778" i="2"/>
  <c r="X2778" i="2" s="1" a="1"/>
  <c r="X2778" i="2" s="1"/>
  <c r="W2779" i="2"/>
  <c r="X2779" i="2" s="1" a="1"/>
  <c r="X2779" i="2" s="1"/>
  <c r="W2780" i="2"/>
  <c r="X2780" i="2" s="1" a="1"/>
  <c r="X2780" i="2" s="1"/>
  <c r="W2781" i="2"/>
  <c r="X2781" i="2" s="1" a="1"/>
  <c r="X2781" i="2" s="1"/>
  <c r="W2782" i="2"/>
  <c r="X2782" i="2" s="1" a="1"/>
  <c r="X2782" i="2" s="1"/>
  <c r="W2783" i="2"/>
  <c r="X2783" i="2" s="1" a="1"/>
  <c r="X2783" i="2" s="1"/>
  <c r="W2784" i="2"/>
  <c r="X2784" i="2" s="1" a="1"/>
  <c r="X2784" i="2" s="1"/>
  <c r="W2785" i="2"/>
  <c r="X2785" i="2" s="1" a="1"/>
  <c r="X2785" i="2" s="1"/>
  <c r="W2786" i="2"/>
  <c r="X2786" i="2" s="1" a="1"/>
  <c r="X2786" i="2" s="1"/>
  <c r="W2787" i="2"/>
  <c r="X2787" i="2" s="1" a="1"/>
  <c r="X2787" i="2" s="1"/>
  <c r="W2788" i="2"/>
  <c r="X2788" i="2" s="1" a="1"/>
  <c r="X2788" i="2" s="1"/>
  <c r="W2789" i="2"/>
  <c r="X2789" i="2" s="1" a="1"/>
  <c r="X2789" i="2" s="1"/>
  <c r="W2790" i="2"/>
  <c r="X2790" i="2" s="1" a="1"/>
  <c r="X2790" i="2" s="1"/>
  <c r="W2791" i="2"/>
  <c r="X2791" i="2" s="1" a="1"/>
  <c r="X2791" i="2" s="1"/>
  <c r="W2792" i="2"/>
  <c r="X2792" i="2" s="1" a="1"/>
  <c r="X2792" i="2" s="1"/>
  <c r="W2793" i="2"/>
  <c r="X2793" i="2" s="1" a="1"/>
  <c r="X2793" i="2" s="1"/>
  <c r="W2794" i="2"/>
  <c r="X2794" i="2" s="1" a="1"/>
  <c r="X2794" i="2" s="1"/>
  <c r="W2795" i="2"/>
  <c r="X2795" i="2" s="1" a="1"/>
  <c r="X2795" i="2" s="1"/>
  <c r="W2796" i="2"/>
  <c r="X2796" i="2" s="1" a="1"/>
  <c r="X2796" i="2" s="1"/>
  <c r="W2797" i="2"/>
  <c r="X2797" i="2" s="1" a="1"/>
  <c r="X2797" i="2" s="1"/>
  <c r="W2798" i="2"/>
  <c r="X2798" i="2" s="1" a="1"/>
  <c r="X2798" i="2" s="1"/>
  <c r="W2799" i="2"/>
  <c r="X2799" i="2" s="1" a="1"/>
  <c r="X2799" i="2" s="1"/>
  <c r="W2800" i="2"/>
  <c r="X2800" i="2" s="1" a="1"/>
  <c r="X2800" i="2" s="1"/>
  <c r="W2801" i="2"/>
  <c r="X2801" i="2" s="1" a="1"/>
  <c r="X2801" i="2" s="1"/>
  <c r="W2802" i="2"/>
  <c r="X2802" i="2" s="1" a="1"/>
  <c r="X2802" i="2" s="1"/>
  <c r="W2803" i="2"/>
  <c r="X2803" i="2" s="1" a="1"/>
  <c r="X2803" i="2" s="1"/>
  <c r="W2804" i="2"/>
  <c r="X2804" i="2" s="1" a="1"/>
  <c r="X2804" i="2" s="1"/>
  <c r="W2805" i="2"/>
  <c r="X2805" i="2" s="1" a="1"/>
  <c r="X2805" i="2" s="1"/>
  <c r="W2806" i="2"/>
  <c r="X2806" i="2" s="1" a="1"/>
  <c r="X2806" i="2" s="1"/>
  <c r="W2807" i="2"/>
  <c r="X2807" i="2" s="1" a="1"/>
  <c r="X2807" i="2" s="1"/>
  <c r="W2808" i="2"/>
  <c r="X2808" i="2" s="1" a="1"/>
  <c r="X2808" i="2" s="1"/>
  <c r="W2809" i="2"/>
  <c r="X2809" i="2" s="1" a="1"/>
  <c r="X2809" i="2" s="1"/>
  <c r="W2810" i="2"/>
  <c r="X2810" i="2" s="1" a="1"/>
  <c r="X2810" i="2" s="1"/>
  <c r="W2811" i="2"/>
  <c r="X2811" i="2" s="1" a="1"/>
  <c r="X2811" i="2" s="1"/>
  <c r="W2812" i="2"/>
  <c r="X2812" i="2" s="1" a="1"/>
  <c r="X2812" i="2" s="1"/>
  <c r="W2813" i="2"/>
  <c r="X2813" i="2" s="1" a="1"/>
  <c r="X2813" i="2" s="1"/>
  <c r="W2814" i="2"/>
  <c r="X2814" i="2" s="1" a="1"/>
  <c r="X2814" i="2" s="1"/>
  <c r="W2815" i="2"/>
  <c r="X2815" i="2" s="1" a="1"/>
  <c r="X2815" i="2" s="1"/>
  <c r="W2816" i="2"/>
  <c r="X2816" i="2" s="1" a="1"/>
  <c r="X2816" i="2" s="1"/>
  <c r="W2817" i="2"/>
  <c r="X2817" i="2" s="1" a="1"/>
  <c r="X2817" i="2" s="1"/>
  <c r="W2818" i="2"/>
  <c r="X2818" i="2" s="1" a="1"/>
  <c r="X2818" i="2" s="1"/>
  <c r="W2819" i="2"/>
  <c r="X2819" i="2" s="1" a="1"/>
  <c r="X2819" i="2" s="1"/>
  <c r="W2820" i="2"/>
  <c r="X2820" i="2" s="1" a="1"/>
  <c r="X2820" i="2" s="1"/>
  <c r="W2821" i="2"/>
  <c r="X2821" i="2" s="1" a="1"/>
  <c r="X2821" i="2" s="1"/>
  <c r="W2822" i="2"/>
  <c r="X2822" i="2" s="1" a="1"/>
  <c r="X2822" i="2" s="1"/>
  <c r="W2823" i="2"/>
  <c r="X2823" i="2" s="1" a="1"/>
  <c r="X2823" i="2" s="1"/>
  <c r="W2824" i="2"/>
  <c r="X2824" i="2" s="1" a="1"/>
  <c r="X2824" i="2" s="1"/>
  <c r="W2825" i="2"/>
  <c r="X2825" i="2" s="1" a="1"/>
  <c r="X2825" i="2" s="1"/>
  <c r="W2826" i="2"/>
  <c r="X2826" i="2" s="1" a="1"/>
  <c r="X2826" i="2" s="1"/>
  <c r="W2827" i="2"/>
  <c r="X2827" i="2" s="1" a="1"/>
  <c r="X2827" i="2" s="1"/>
  <c r="W2828" i="2"/>
  <c r="X2828" i="2" s="1" a="1"/>
  <c r="X2828" i="2" s="1"/>
  <c r="W2829" i="2"/>
  <c r="X2829" i="2" s="1" a="1"/>
  <c r="X2829" i="2" s="1"/>
  <c r="W2830" i="2"/>
  <c r="X2830" i="2" s="1" a="1"/>
  <c r="X2830" i="2" s="1"/>
  <c r="W2831" i="2"/>
  <c r="X2831" i="2" s="1" a="1"/>
  <c r="X2831" i="2" s="1"/>
  <c r="W2832" i="2"/>
  <c r="X2832" i="2" s="1" a="1"/>
  <c r="X2832" i="2" s="1"/>
  <c r="W2833" i="2"/>
  <c r="X2833" i="2" s="1" a="1"/>
  <c r="X2833" i="2" s="1"/>
  <c r="W2834" i="2"/>
  <c r="X2834" i="2" s="1" a="1"/>
  <c r="X2834" i="2" s="1"/>
  <c r="W2835" i="2"/>
  <c r="X2835" i="2" s="1" a="1"/>
  <c r="X2835" i="2" s="1"/>
  <c r="W2836" i="2"/>
  <c r="X2836" i="2" s="1" a="1"/>
  <c r="X2836" i="2" s="1"/>
  <c r="W2837" i="2"/>
  <c r="X2837" i="2" s="1" a="1"/>
  <c r="X2837" i="2" s="1"/>
  <c r="W2838" i="2"/>
  <c r="X2838" i="2" s="1" a="1"/>
  <c r="X2838" i="2" s="1"/>
  <c r="W2839" i="2"/>
  <c r="X2839" i="2" s="1" a="1"/>
  <c r="X2839" i="2" s="1"/>
  <c r="W2840" i="2"/>
  <c r="X2840" i="2" s="1" a="1"/>
  <c r="X2840" i="2" s="1"/>
  <c r="W2841" i="2"/>
  <c r="X2841" i="2" s="1" a="1"/>
  <c r="X2841" i="2" s="1"/>
  <c r="W2842" i="2"/>
  <c r="X2842" i="2" s="1" a="1"/>
  <c r="X2842" i="2" s="1"/>
  <c r="W2843" i="2"/>
  <c r="X2843" i="2" s="1" a="1"/>
  <c r="X2843" i="2" s="1"/>
  <c r="W2844" i="2"/>
  <c r="X2844" i="2" s="1" a="1"/>
  <c r="X2844" i="2" s="1"/>
  <c r="W2845" i="2"/>
  <c r="X2845" i="2" s="1" a="1"/>
  <c r="X2845" i="2" s="1"/>
  <c r="W2846" i="2"/>
  <c r="X2846" i="2" s="1" a="1"/>
  <c r="X2846" i="2" s="1"/>
  <c r="W2847" i="2"/>
  <c r="X2847" i="2" s="1" a="1"/>
  <c r="X2847" i="2" s="1"/>
  <c r="W2848" i="2"/>
  <c r="X2848" i="2" s="1" a="1"/>
  <c r="X2848" i="2" s="1"/>
  <c r="W2849" i="2"/>
  <c r="X2849" i="2" s="1" a="1"/>
  <c r="X2849" i="2" s="1"/>
  <c r="W2850" i="2"/>
  <c r="X2850" i="2" s="1" a="1"/>
  <c r="X2850" i="2" s="1"/>
  <c r="W2851" i="2"/>
  <c r="X2851" i="2" s="1" a="1"/>
  <c r="X2851" i="2" s="1"/>
  <c r="W2852" i="2"/>
  <c r="X2852" i="2" s="1" a="1"/>
  <c r="X2852" i="2" s="1"/>
  <c r="W2853" i="2"/>
  <c r="X2853" i="2" s="1" a="1"/>
  <c r="X2853" i="2" s="1"/>
  <c r="W2854" i="2"/>
  <c r="X2854" i="2" s="1" a="1"/>
  <c r="X2854" i="2" s="1"/>
  <c r="W2855" i="2"/>
  <c r="X2855" i="2" s="1" a="1"/>
  <c r="X2855" i="2" s="1"/>
  <c r="W2856" i="2"/>
  <c r="X2856" i="2" s="1" a="1"/>
  <c r="X2856" i="2" s="1"/>
  <c r="W2857" i="2"/>
  <c r="X2857" i="2" s="1" a="1"/>
  <c r="X2857" i="2" s="1"/>
  <c r="W2858" i="2"/>
  <c r="X2858" i="2" s="1" a="1"/>
  <c r="X2858" i="2" s="1"/>
  <c r="W2859" i="2"/>
  <c r="X2859" i="2" s="1" a="1"/>
  <c r="X2859" i="2" s="1"/>
  <c r="W2860" i="2"/>
  <c r="X2860" i="2" s="1" a="1"/>
  <c r="X2860" i="2" s="1"/>
  <c r="W2861" i="2"/>
  <c r="X2861" i="2" s="1" a="1"/>
  <c r="X2861" i="2" s="1"/>
  <c r="W2862" i="2"/>
  <c r="X2862" i="2" s="1" a="1"/>
  <c r="X2862" i="2" s="1"/>
  <c r="W2863" i="2"/>
  <c r="X2863" i="2" s="1" a="1"/>
  <c r="X2863" i="2" s="1"/>
  <c r="W2864" i="2"/>
  <c r="X2864" i="2" s="1" a="1"/>
  <c r="X2864" i="2" s="1"/>
  <c r="W2865" i="2"/>
  <c r="X2865" i="2" s="1" a="1"/>
  <c r="X2865" i="2" s="1"/>
  <c r="W2866" i="2"/>
  <c r="X2866" i="2" s="1" a="1"/>
  <c r="X2866" i="2" s="1"/>
  <c r="W2867" i="2"/>
  <c r="X2867" i="2" s="1" a="1"/>
  <c r="X2867" i="2" s="1"/>
  <c r="W2868" i="2"/>
  <c r="X2868" i="2" s="1" a="1"/>
  <c r="X2868" i="2" s="1"/>
  <c r="W2869" i="2"/>
  <c r="X2869" i="2" s="1" a="1"/>
  <c r="X2869" i="2" s="1"/>
  <c r="W2870" i="2"/>
  <c r="X2870" i="2" s="1" a="1"/>
  <c r="X2870" i="2" s="1"/>
  <c r="W2871" i="2"/>
  <c r="X2871" i="2" s="1" a="1"/>
  <c r="X2871" i="2" s="1"/>
  <c r="W2872" i="2"/>
  <c r="X2872" i="2" s="1" a="1"/>
  <c r="X2872" i="2" s="1"/>
  <c r="W2873" i="2"/>
  <c r="X2873" i="2" s="1" a="1"/>
  <c r="X2873" i="2" s="1"/>
  <c r="W2874" i="2"/>
  <c r="X2874" i="2" s="1" a="1"/>
  <c r="X2874" i="2" s="1"/>
  <c r="W2875" i="2"/>
  <c r="X2875" i="2" s="1" a="1"/>
  <c r="X2875" i="2" s="1"/>
  <c r="W2876" i="2"/>
  <c r="X2876" i="2" s="1" a="1"/>
  <c r="X2876" i="2" s="1"/>
  <c r="W2877" i="2"/>
  <c r="X2877" i="2" s="1" a="1"/>
  <c r="X2877" i="2" s="1"/>
  <c r="W2878" i="2"/>
  <c r="X2878" i="2" s="1" a="1"/>
  <c r="X2878" i="2" s="1"/>
  <c r="W2879" i="2"/>
  <c r="X2879" i="2" s="1" a="1"/>
  <c r="X2879" i="2" s="1"/>
  <c r="W2880" i="2"/>
  <c r="X2880" i="2" s="1" a="1"/>
  <c r="X2880" i="2" s="1"/>
  <c r="W2881" i="2"/>
  <c r="X2881" i="2" s="1" a="1"/>
  <c r="X2881" i="2" s="1"/>
  <c r="W2882" i="2"/>
  <c r="X2882" i="2" s="1" a="1"/>
  <c r="X2882" i="2" s="1"/>
  <c r="W2883" i="2"/>
  <c r="X2883" i="2" s="1" a="1"/>
  <c r="X2883" i="2" s="1"/>
  <c r="W2884" i="2"/>
  <c r="X2884" i="2" s="1" a="1"/>
  <c r="X2884" i="2" s="1"/>
  <c r="W2885" i="2"/>
  <c r="X2885" i="2" s="1" a="1"/>
  <c r="X2885" i="2" s="1"/>
  <c r="W2886" i="2"/>
  <c r="X2886" i="2" s="1" a="1"/>
  <c r="X2886" i="2" s="1"/>
  <c r="W2887" i="2"/>
  <c r="X2887" i="2" s="1" a="1"/>
  <c r="X2887" i="2" s="1"/>
  <c r="W2888" i="2"/>
  <c r="X2888" i="2" s="1" a="1"/>
  <c r="X2888" i="2" s="1"/>
  <c r="W2889" i="2"/>
  <c r="X2889" i="2" s="1" a="1"/>
  <c r="X2889" i="2" s="1"/>
  <c r="W2890" i="2"/>
  <c r="X2890" i="2" s="1" a="1"/>
  <c r="X2890" i="2" s="1"/>
  <c r="W2891" i="2"/>
  <c r="X2891" i="2" s="1" a="1"/>
  <c r="X2891" i="2" s="1"/>
  <c r="W2892" i="2"/>
  <c r="X2892" i="2" s="1" a="1"/>
  <c r="X2892" i="2" s="1"/>
  <c r="W2893" i="2"/>
  <c r="X2893" i="2" s="1" a="1"/>
  <c r="X2893" i="2" s="1"/>
  <c r="W2894" i="2"/>
  <c r="X2894" i="2" s="1" a="1"/>
  <c r="X2894" i="2" s="1"/>
  <c r="W2895" i="2"/>
  <c r="X2895" i="2" s="1" a="1"/>
  <c r="X2895" i="2" s="1"/>
  <c r="W2896" i="2"/>
  <c r="X2896" i="2" s="1" a="1"/>
  <c r="X2896" i="2" s="1"/>
  <c r="W2897" i="2"/>
  <c r="X2897" i="2" s="1" a="1"/>
  <c r="X2897" i="2" s="1"/>
  <c r="W2898" i="2"/>
  <c r="X2898" i="2" s="1" a="1"/>
  <c r="X2898" i="2" s="1"/>
  <c r="W2899" i="2"/>
  <c r="X2899" i="2" s="1" a="1"/>
  <c r="X2899" i="2" s="1"/>
  <c r="W2900" i="2"/>
  <c r="X2900" i="2" s="1" a="1"/>
  <c r="X2900" i="2" s="1"/>
  <c r="W2901" i="2"/>
  <c r="X2901" i="2" s="1" a="1"/>
  <c r="X2901" i="2" s="1"/>
  <c r="W2902" i="2"/>
  <c r="X2902" i="2" s="1" a="1"/>
  <c r="X2902" i="2" s="1"/>
  <c r="W2903" i="2"/>
  <c r="X2903" i="2" s="1" a="1"/>
  <c r="X2903" i="2" s="1"/>
  <c r="W2904" i="2"/>
  <c r="X2904" i="2" s="1" a="1"/>
  <c r="X2904" i="2" s="1"/>
  <c r="W2905" i="2"/>
  <c r="X2905" i="2" s="1" a="1"/>
  <c r="X2905" i="2" s="1"/>
  <c r="W2906" i="2"/>
  <c r="X2906" i="2" s="1" a="1"/>
  <c r="X2906" i="2" s="1"/>
  <c r="W2907" i="2"/>
  <c r="X2907" i="2" s="1" a="1"/>
  <c r="X2907" i="2" s="1"/>
  <c r="W2908" i="2"/>
  <c r="X2908" i="2" s="1" a="1"/>
  <c r="X2908" i="2" s="1"/>
  <c r="W2909" i="2"/>
  <c r="X2909" i="2" s="1" a="1"/>
  <c r="X2909" i="2" s="1"/>
  <c r="W2910" i="2"/>
  <c r="X2910" i="2" s="1" a="1"/>
  <c r="X2910" i="2" s="1"/>
  <c r="W2911" i="2"/>
  <c r="X2911" i="2" s="1" a="1"/>
  <c r="X2911" i="2" s="1"/>
  <c r="W2912" i="2"/>
  <c r="X2912" i="2" s="1" a="1"/>
  <c r="X2912" i="2" s="1"/>
  <c r="W2913" i="2"/>
  <c r="X2913" i="2" s="1" a="1"/>
  <c r="X2913" i="2" s="1"/>
  <c r="W2914" i="2"/>
  <c r="X2914" i="2" s="1" a="1"/>
  <c r="X2914" i="2" s="1"/>
  <c r="W2915" i="2"/>
  <c r="X2915" i="2" s="1" a="1"/>
  <c r="X2915" i="2" s="1"/>
  <c r="W2916" i="2"/>
  <c r="X2916" i="2" s="1" a="1"/>
  <c r="X2916" i="2" s="1"/>
  <c r="W2917" i="2"/>
  <c r="X2917" i="2" s="1" a="1"/>
  <c r="X2917" i="2" s="1"/>
  <c r="W2918" i="2"/>
  <c r="X2918" i="2" s="1" a="1"/>
  <c r="X2918" i="2" s="1"/>
  <c r="W2919" i="2"/>
  <c r="X2919" i="2" s="1" a="1"/>
  <c r="X2919" i="2" s="1"/>
  <c r="W2920" i="2"/>
  <c r="X2920" i="2" s="1" a="1"/>
  <c r="X2920" i="2" s="1"/>
  <c r="W2921" i="2"/>
  <c r="X2921" i="2" s="1" a="1"/>
  <c r="X2921" i="2" s="1"/>
  <c r="W2922" i="2"/>
  <c r="X2922" i="2" s="1" a="1"/>
  <c r="X2922" i="2" s="1"/>
  <c r="W2923" i="2"/>
  <c r="X2923" i="2" s="1" a="1"/>
  <c r="X2923" i="2" s="1"/>
  <c r="W2924" i="2"/>
  <c r="X2924" i="2" s="1" a="1"/>
  <c r="X2924" i="2" s="1"/>
  <c r="W2925" i="2"/>
  <c r="X2925" i="2" s="1" a="1"/>
  <c r="X2925" i="2" s="1"/>
  <c r="W2926" i="2"/>
  <c r="X2926" i="2" s="1" a="1"/>
  <c r="X2926" i="2" s="1"/>
  <c r="W2927" i="2"/>
  <c r="X2927" i="2" s="1" a="1"/>
  <c r="X2927" i="2" s="1"/>
  <c r="W2928" i="2"/>
  <c r="X2928" i="2" s="1" a="1"/>
  <c r="X2928" i="2" s="1"/>
  <c r="W2929" i="2"/>
  <c r="X2929" i="2" s="1" a="1"/>
  <c r="X2929" i="2" s="1"/>
  <c r="W2930" i="2"/>
  <c r="X2930" i="2" s="1" a="1"/>
  <c r="X2930" i="2" s="1"/>
  <c r="W2931" i="2"/>
  <c r="X2931" i="2" s="1" a="1"/>
  <c r="X2931" i="2" s="1"/>
  <c r="W2932" i="2"/>
  <c r="X2932" i="2" s="1" a="1"/>
  <c r="X2932" i="2" s="1"/>
  <c r="W2933" i="2"/>
  <c r="X2933" i="2" s="1" a="1"/>
  <c r="X2933" i="2" s="1"/>
  <c r="W2934" i="2"/>
  <c r="X2934" i="2" s="1" a="1"/>
  <c r="X2934" i="2" s="1"/>
  <c r="W2935" i="2"/>
  <c r="X2935" i="2" s="1" a="1"/>
  <c r="X2935" i="2" s="1"/>
  <c r="W2936" i="2"/>
  <c r="X2936" i="2" s="1" a="1"/>
  <c r="X2936" i="2" s="1"/>
  <c r="W2937" i="2"/>
  <c r="X2937" i="2" s="1" a="1"/>
  <c r="X2937" i="2" s="1"/>
  <c r="W2938" i="2"/>
  <c r="X2938" i="2" s="1" a="1"/>
  <c r="X2938" i="2" s="1"/>
  <c r="W2939" i="2"/>
  <c r="X2939" i="2" s="1" a="1"/>
  <c r="X2939" i="2" s="1"/>
  <c r="W2940" i="2"/>
  <c r="X2940" i="2" s="1" a="1"/>
  <c r="X2940" i="2" s="1"/>
  <c r="W2941" i="2"/>
  <c r="X2941" i="2" s="1" a="1"/>
  <c r="X2941" i="2" s="1"/>
  <c r="W2942" i="2"/>
  <c r="X2942" i="2" s="1" a="1"/>
  <c r="X2942" i="2" s="1"/>
  <c r="W2943" i="2"/>
  <c r="X2943" i="2" s="1" a="1"/>
  <c r="X2943" i="2" s="1"/>
  <c r="W2944" i="2"/>
  <c r="X2944" i="2" s="1" a="1"/>
  <c r="X2944" i="2" s="1"/>
  <c r="W2945" i="2"/>
  <c r="X2945" i="2" s="1" a="1"/>
  <c r="X2945" i="2" s="1"/>
  <c r="W2946" i="2"/>
  <c r="X2946" i="2" s="1" a="1"/>
  <c r="X2946" i="2" s="1"/>
  <c r="W2947" i="2"/>
  <c r="X2947" i="2" s="1" a="1"/>
  <c r="X2947" i="2" s="1"/>
  <c r="W2948" i="2"/>
  <c r="X2948" i="2" s="1" a="1"/>
  <c r="X2948" i="2" s="1"/>
  <c r="W2949" i="2"/>
  <c r="X2949" i="2" s="1" a="1"/>
  <c r="X2949" i="2" s="1"/>
  <c r="W2950" i="2"/>
  <c r="X2950" i="2" s="1" a="1"/>
  <c r="X2950" i="2" s="1"/>
  <c r="W2951" i="2"/>
  <c r="X2951" i="2" s="1" a="1"/>
  <c r="X2951" i="2" s="1"/>
  <c r="W2952" i="2"/>
  <c r="X2952" i="2" s="1" a="1"/>
  <c r="X2952" i="2" s="1"/>
  <c r="W2953" i="2"/>
  <c r="X2953" i="2" s="1" a="1"/>
  <c r="X2953" i="2" s="1"/>
  <c r="W2954" i="2"/>
  <c r="X2954" i="2" s="1" a="1"/>
  <c r="X2954" i="2" s="1"/>
  <c r="W2955" i="2"/>
  <c r="X2955" i="2" s="1" a="1"/>
  <c r="X2955" i="2" s="1"/>
  <c r="W2956" i="2"/>
  <c r="X2956" i="2" s="1" a="1"/>
  <c r="X2956" i="2" s="1"/>
  <c r="W2957" i="2"/>
  <c r="X2957" i="2" s="1" a="1"/>
  <c r="X2957" i="2" s="1"/>
  <c r="W2958" i="2"/>
  <c r="X2958" i="2" s="1" a="1"/>
  <c r="X2958" i="2" s="1"/>
  <c r="W2959" i="2"/>
  <c r="X2959" i="2" s="1" a="1"/>
  <c r="X2959" i="2" s="1"/>
  <c r="W2960" i="2"/>
  <c r="X2960" i="2" s="1" a="1"/>
  <c r="X2960" i="2" s="1"/>
  <c r="W2961" i="2"/>
  <c r="X2961" i="2" s="1" a="1"/>
  <c r="X2961" i="2" s="1"/>
  <c r="W2962" i="2"/>
  <c r="X2962" i="2" s="1" a="1"/>
  <c r="X2962" i="2" s="1"/>
  <c r="W2963" i="2"/>
  <c r="X2963" i="2" s="1" a="1"/>
  <c r="X2963" i="2" s="1"/>
  <c r="W2964" i="2"/>
  <c r="X2964" i="2" s="1" a="1"/>
  <c r="X2964" i="2" s="1"/>
  <c r="W2965" i="2"/>
  <c r="X2965" i="2" s="1" a="1"/>
  <c r="X2965" i="2" s="1"/>
  <c r="W2966" i="2"/>
  <c r="X2966" i="2" s="1" a="1"/>
  <c r="X2966" i="2" s="1"/>
  <c r="W2967" i="2"/>
  <c r="X2967" i="2" s="1" a="1"/>
  <c r="X2967" i="2" s="1"/>
  <c r="W2968" i="2"/>
  <c r="X2968" i="2" s="1" a="1"/>
  <c r="X2968" i="2" s="1"/>
  <c r="W2969" i="2"/>
  <c r="X2969" i="2" s="1" a="1"/>
  <c r="X2969" i="2" s="1"/>
  <c r="W2970" i="2"/>
  <c r="X2970" i="2" s="1" a="1"/>
  <c r="X2970" i="2" s="1"/>
  <c r="W2971" i="2"/>
  <c r="X2971" i="2" s="1" a="1"/>
  <c r="X2971" i="2" s="1"/>
  <c r="W2972" i="2"/>
  <c r="X2972" i="2" s="1" a="1"/>
  <c r="X2972" i="2" s="1"/>
  <c r="W2973" i="2"/>
  <c r="X2973" i="2" s="1" a="1"/>
  <c r="X2973" i="2" s="1"/>
  <c r="W2974" i="2"/>
  <c r="X2974" i="2" s="1" a="1"/>
  <c r="X2974" i="2" s="1"/>
  <c r="W2975" i="2"/>
  <c r="X2975" i="2" s="1" a="1"/>
  <c r="X2975" i="2" s="1"/>
  <c r="W2976" i="2"/>
  <c r="X2976" i="2" s="1" a="1"/>
  <c r="X2976" i="2" s="1"/>
  <c r="W2977" i="2"/>
  <c r="X2977" i="2" s="1" a="1"/>
  <c r="X2977" i="2" s="1"/>
  <c r="W2978" i="2"/>
  <c r="X2978" i="2" s="1" a="1"/>
  <c r="X2978" i="2" s="1"/>
  <c r="W2979" i="2"/>
  <c r="X2979" i="2" s="1" a="1"/>
  <c r="X2979" i="2" s="1"/>
  <c r="W2980" i="2"/>
  <c r="X2980" i="2" s="1" a="1"/>
  <c r="X2980" i="2" s="1"/>
  <c r="W2981" i="2"/>
  <c r="X2981" i="2" s="1" a="1"/>
  <c r="X2981" i="2" s="1"/>
  <c r="W2982" i="2"/>
  <c r="X2982" i="2" s="1" a="1"/>
  <c r="X2982" i="2" s="1"/>
  <c r="W2983" i="2"/>
  <c r="X2983" i="2" s="1" a="1"/>
  <c r="X2983" i="2" s="1"/>
  <c r="W2984" i="2"/>
  <c r="X2984" i="2" s="1" a="1"/>
  <c r="X2984" i="2" s="1"/>
  <c r="W2985" i="2"/>
  <c r="X2985" i="2" s="1" a="1"/>
  <c r="X2985" i="2" s="1"/>
  <c r="W2986" i="2"/>
  <c r="X2986" i="2" s="1" a="1"/>
  <c r="X2986" i="2" s="1"/>
  <c r="W2987" i="2"/>
  <c r="X2987" i="2" s="1" a="1"/>
  <c r="X2987" i="2" s="1"/>
  <c r="W2988" i="2"/>
  <c r="X2988" i="2" s="1" a="1"/>
  <c r="X2988" i="2" s="1"/>
  <c r="W2989" i="2"/>
  <c r="X2989" i="2" s="1" a="1"/>
  <c r="X2989" i="2" s="1"/>
  <c r="W2990" i="2"/>
  <c r="X2990" i="2" s="1" a="1"/>
  <c r="X2990" i="2" s="1"/>
  <c r="W2991" i="2"/>
  <c r="X2991" i="2" s="1" a="1"/>
  <c r="X2991" i="2" s="1"/>
  <c r="W2992" i="2"/>
  <c r="X2992" i="2" s="1" a="1"/>
  <c r="X2992" i="2" s="1"/>
  <c r="W2993" i="2"/>
  <c r="X2993" i="2" s="1" a="1"/>
  <c r="X2993" i="2" s="1"/>
  <c r="W2994" i="2"/>
  <c r="X2994" i="2" s="1" a="1"/>
  <c r="X2994" i="2" s="1"/>
  <c r="W2995" i="2"/>
  <c r="X2995" i="2" s="1" a="1"/>
  <c r="X2995" i="2" s="1"/>
  <c r="W2996" i="2"/>
  <c r="X2996" i="2" s="1" a="1"/>
  <c r="X2996" i="2" s="1"/>
  <c r="W2997" i="2"/>
  <c r="X2997" i="2" s="1" a="1"/>
  <c r="X2997" i="2" s="1"/>
  <c r="W2998" i="2"/>
  <c r="X2998" i="2" s="1" a="1"/>
  <c r="X2998" i="2" s="1"/>
  <c r="W2999" i="2"/>
  <c r="X2999" i="2" s="1" a="1"/>
  <c r="X2999" i="2" s="1"/>
  <c r="W3000" i="2"/>
  <c r="X3000" i="2" s="1" a="1"/>
  <c r="X3000" i="2" s="1"/>
  <c r="W3001" i="2"/>
  <c r="X3001" i="2" s="1" a="1"/>
  <c r="X3001" i="2" s="1"/>
  <c r="W3002" i="2"/>
  <c r="X3002" i="2" s="1" a="1"/>
  <c r="X3002" i="2" s="1"/>
  <c r="W3003" i="2"/>
  <c r="X3003" i="2" s="1" a="1"/>
  <c r="X3003" i="2" s="1"/>
  <c r="W3004" i="2"/>
  <c r="X3004" i="2" s="1" a="1"/>
  <c r="X3004" i="2" s="1"/>
  <c r="W3005" i="2"/>
  <c r="X3005" i="2" s="1" a="1"/>
  <c r="X3005" i="2" s="1"/>
  <c r="W3006" i="2"/>
  <c r="X3006" i="2" s="1" a="1"/>
  <c r="X3006" i="2" s="1"/>
  <c r="W3007" i="2"/>
  <c r="X3007" i="2" s="1" a="1"/>
  <c r="X3007" i="2" s="1"/>
  <c r="W3008" i="2"/>
  <c r="X3008" i="2" s="1" a="1"/>
  <c r="X3008" i="2" s="1"/>
  <c r="W3009" i="2"/>
  <c r="X3009" i="2" s="1" a="1"/>
  <c r="X3009" i="2" s="1"/>
  <c r="W3010" i="2"/>
  <c r="X3010" i="2" s="1" a="1"/>
  <c r="X3010" i="2" s="1"/>
  <c r="W3011" i="2"/>
  <c r="X3011" i="2" s="1" a="1"/>
  <c r="X3011" i="2" s="1"/>
  <c r="W3012" i="2"/>
  <c r="X3012" i="2" s="1" a="1"/>
  <c r="X3012" i="2" s="1"/>
  <c r="W3013" i="2"/>
  <c r="X3013" i="2" s="1" a="1"/>
  <c r="X3013" i="2" s="1"/>
  <c r="W3014" i="2"/>
  <c r="X3014" i="2" s="1" a="1"/>
  <c r="X3014" i="2" s="1"/>
  <c r="W3015" i="2"/>
  <c r="X3015" i="2" s="1" a="1"/>
  <c r="X3015" i="2" s="1"/>
  <c r="W3016" i="2"/>
  <c r="X3016" i="2" s="1" a="1"/>
  <c r="X3016" i="2" s="1"/>
  <c r="W3017" i="2"/>
  <c r="X3017" i="2" s="1" a="1"/>
  <c r="X3017" i="2" s="1"/>
  <c r="W3018" i="2"/>
  <c r="X3018" i="2" s="1" a="1"/>
  <c r="X3018" i="2" s="1"/>
  <c r="W3019" i="2"/>
  <c r="X3019" i="2" s="1" a="1"/>
  <c r="X3019" i="2" s="1"/>
  <c r="W3020" i="2"/>
  <c r="X3020" i="2" s="1" a="1"/>
  <c r="X3020" i="2" s="1"/>
  <c r="W3021" i="2"/>
  <c r="X3021" i="2" s="1" a="1"/>
  <c r="X3021" i="2" s="1"/>
  <c r="W3022" i="2"/>
  <c r="X3022" i="2" s="1" a="1"/>
  <c r="X3022" i="2" s="1"/>
  <c r="W3023" i="2"/>
  <c r="X3023" i="2" s="1" a="1"/>
  <c r="X3023" i="2" s="1"/>
  <c r="W3024" i="2"/>
  <c r="X3024" i="2" s="1" a="1"/>
  <c r="X3024" i="2" s="1"/>
  <c r="W3025" i="2"/>
  <c r="X3025" i="2" s="1" a="1"/>
  <c r="X3025" i="2" s="1"/>
  <c r="W3026" i="2"/>
  <c r="X3026" i="2" s="1" a="1"/>
  <c r="X3026" i="2" s="1"/>
  <c r="W3027" i="2"/>
  <c r="X3027" i="2" s="1" a="1"/>
  <c r="X3027" i="2" s="1"/>
  <c r="W3028" i="2"/>
  <c r="X3028" i="2" s="1" a="1"/>
  <c r="X3028" i="2" s="1"/>
  <c r="W3029" i="2"/>
  <c r="X3029" i="2" s="1" a="1"/>
  <c r="X3029" i="2" s="1"/>
  <c r="W3030" i="2"/>
  <c r="X3030" i="2" s="1" a="1"/>
  <c r="X3030" i="2" s="1"/>
  <c r="W3031" i="2"/>
  <c r="X3031" i="2" s="1" a="1"/>
  <c r="X3031" i="2" s="1"/>
  <c r="W3032" i="2"/>
  <c r="X3032" i="2" s="1" a="1"/>
  <c r="X3032" i="2" s="1"/>
  <c r="W3033" i="2"/>
  <c r="X3033" i="2" s="1" a="1"/>
  <c r="X3033" i="2" s="1"/>
  <c r="W3034" i="2"/>
  <c r="X3034" i="2" s="1" a="1"/>
  <c r="X3034" i="2" s="1"/>
  <c r="W3035" i="2"/>
  <c r="X3035" i="2" s="1" a="1"/>
  <c r="X3035" i="2" s="1"/>
  <c r="W3036" i="2"/>
  <c r="X3036" i="2" s="1" a="1"/>
  <c r="X3036" i="2" s="1"/>
  <c r="W3037" i="2"/>
  <c r="X3037" i="2" s="1" a="1"/>
  <c r="X3037" i="2" s="1"/>
  <c r="W3038" i="2"/>
  <c r="X3038" i="2" s="1" a="1"/>
  <c r="X3038" i="2" s="1"/>
  <c r="W3039" i="2"/>
  <c r="X3039" i="2" s="1" a="1"/>
  <c r="X3039" i="2" s="1"/>
  <c r="W3040" i="2"/>
  <c r="X3040" i="2" s="1" a="1"/>
  <c r="X3040" i="2" s="1"/>
  <c r="W3041" i="2"/>
  <c r="X3041" i="2" s="1" a="1"/>
  <c r="X3041" i="2" s="1"/>
  <c r="W3042" i="2"/>
  <c r="X3042" i="2" s="1" a="1"/>
  <c r="X3042" i="2" s="1"/>
  <c r="W3043" i="2"/>
  <c r="X3043" i="2" s="1" a="1"/>
  <c r="X3043" i="2" s="1"/>
  <c r="W3044" i="2"/>
  <c r="X3044" i="2" s="1" a="1"/>
  <c r="X3044" i="2" s="1"/>
  <c r="W3045" i="2"/>
  <c r="X3045" i="2" s="1" a="1"/>
  <c r="X3045" i="2" s="1"/>
  <c r="W3046" i="2"/>
  <c r="X3046" i="2" s="1" a="1"/>
  <c r="X3046" i="2" s="1"/>
  <c r="W3047" i="2"/>
  <c r="X3047" i="2" s="1" a="1"/>
  <c r="X3047" i="2" s="1"/>
  <c r="W3048" i="2"/>
  <c r="X3048" i="2" s="1" a="1"/>
  <c r="X3048" i="2" s="1"/>
  <c r="W3049" i="2"/>
  <c r="X3049" i="2" s="1" a="1"/>
  <c r="X3049" i="2" s="1"/>
  <c r="W3050" i="2"/>
  <c r="X3050" i="2" s="1" a="1"/>
  <c r="X3050" i="2" s="1"/>
  <c r="W3051" i="2"/>
  <c r="X3051" i="2" s="1" a="1"/>
  <c r="X3051" i="2" s="1"/>
  <c r="W3052" i="2"/>
  <c r="X3052" i="2" s="1" a="1"/>
  <c r="X3052" i="2" s="1"/>
  <c r="W3053" i="2"/>
  <c r="X3053" i="2" s="1" a="1"/>
  <c r="X3053" i="2" s="1"/>
  <c r="W3054" i="2"/>
  <c r="X3054" i="2" s="1" a="1"/>
  <c r="X3054" i="2" s="1"/>
  <c r="W3055" i="2"/>
  <c r="X3055" i="2" s="1" a="1"/>
  <c r="X3055" i="2" s="1"/>
  <c r="W3056" i="2"/>
  <c r="X3056" i="2" s="1" a="1"/>
  <c r="X3056" i="2" s="1"/>
  <c r="W3057" i="2"/>
  <c r="X3057" i="2" s="1" a="1"/>
  <c r="X3057" i="2" s="1"/>
  <c r="W3058" i="2"/>
  <c r="X3058" i="2" s="1" a="1"/>
  <c r="X3058" i="2" s="1"/>
  <c r="W3059" i="2"/>
  <c r="X3059" i="2" s="1" a="1"/>
  <c r="X3059" i="2" s="1"/>
  <c r="W3060" i="2"/>
  <c r="X3060" i="2" s="1" a="1"/>
  <c r="X3060" i="2" s="1"/>
  <c r="W3061" i="2"/>
  <c r="X3061" i="2" s="1" a="1"/>
  <c r="X3061" i="2" s="1"/>
  <c r="W3062" i="2"/>
  <c r="X3062" i="2" s="1" a="1"/>
  <c r="X3062" i="2" s="1"/>
  <c r="W3063" i="2"/>
  <c r="X3063" i="2" s="1" a="1"/>
  <c r="X3063" i="2" s="1"/>
  <c r="W3064" i="2"/>
  <c r="X3064" i="2" s="1" a="1"/>
  <c r="X3064" i="2" s="1"/>
  <c r="W3065" i="2"/>
  <c r="X3065" i="2" s="1" a="1"/>
  <c r="X3065" i="2" s="1"/>
  <c r="W3066" i="2"/>
  <c r="X3066" i="2" s="1" a="1"/>
  <c r="X3066" i="2" s="1"/>
  <c r="W3067" i="2"/>
  <c r="X3067" i="2" s="1" a="1"/>
  <c r="X3067" i="2" s="1"/>
  <c r="W3068" i="2"/>
  <c r="X3068" i="2" s="1" a="1"/>
  <c r="X3068" i="2" s="1"/>
  <c r="W3069" i="2"/>
  <c r="X3069" i="2" s="1" a="1"/>
  <c r="X3069" i="2" s="1"/>
  <c r="W3070" i="2"/>
  <c r="X3070" i="2" s="1" a="1"/>
  <c r="X3070" i="2" s="1"/>
  <c r="W3071" i="2"/>
  <c r="X3071" i="2" s="1" a="1"/>
  <c r="X3071" i="2" s="1"/>
  <c r="W3072" i="2"/>
  <c r="X3072" i="2" s="1" a="1"/>
  <c r="X3072" i="2" s="1"/>
  <c r="W3073" i="2"/>
  <c r="X3073" i="2" s="1" a="1"/>
  <c r="X3073" i="2" s="1"/>
  <c r="W3074" i="2"/>
  <c r="X3074" i="2" s="1" a="1"/>
  <c r="X3074" i="2" s="1"/>
  <c r="W3075" i="2"/>
  <c r="X3075" i="2" s="1" a="1"/>
  <c r="X3075" i="2" s="1"/>
  <c r="W3076" i="2"/>
  <c r="X3076" i="2" s="1" a="1"/>
  <c r="X3076" i="2" s="1"/>
  <c r="W3077" i="2"/>
  <c r="X3077" i="2" s="1" a="1"/>
  <c r="X3077" i="2" s="1"/>
  <c r="W3078" i="2"/>
  <c r="X3078" i="2" s="1" a="1"/>
  <c r="X3078" i="2" s="1"/>
  <c r="W3079" i="2"/>
  <c r="X3079" i="2" s="1" a="1"/>
  <c r="X3079" i="2" s="1"/>
  <c r="W3080" i="2"/>
  <c r="X3080" i="2" s="1" a="1"/>
  <c r="X3080" i="2" s="1"/>
  <c r="W3081" i="2"/>
  <c r="X3081" i="2" s="1" a="1"/>
  <c r="X3081" i="2" s="1"/>
  <c r="W3082" i="2"/>
  <c r="X3082" i="2" s="1" a="1"/>
  <c r="X3082" i="2" s="1"/>
  <c r="W3083" i="2"/>
  <c r="X3083" i="2" s="1" a="1"/>
  <c r="X3083" i="2" s="1"/>
  <c r="W3084" i="2"/>
  <c r="X3084" i="2" s="1" a="1"/>
  <c r="X3084" i="2" s="1"/>
  <c r="W3085" i="2"/>
  <c r="X3085" i="2" s="1" a="1"/>
  <c r="X3085" i="2" s="1"/>
  <c r="W3086" i="2"/>
  <c r="X3086" i="2" s="1" a="1"/>
  <c r="X3086" i="2" s="1"/>
  <c r="W3087" i="2"/>
  <c r="X3087" i="2" s="1" a="1"/>
  <c r="X3087" i="2" s="1"/>
  <c r="W3088" i="2"/>
  <c r="X3088" i="2" s="1" a="1"/>
  <c r="X3088" i="2" s="1"/>
  <c r="W3089" i="2"/>
  <c r="X3089" i="2" s="1" a="1"/>
  <c r="X3089" i="2" s="1"/>
  <c r="W3090" i="2"/>
  <c r="X3090" i="2" s="1" a="1"/>
  <c r="X3090" i="2" s="1"/>
  <c r="W3091" i="2"/>
  <c r="X3091" i="2" s="1" a="1"/>
  <c r="X3091" i="2" s="1"/>
  <c r="W3092" i="2"/>
  <c r="X3092" i="2" s="1" a="1"/>
  <c r="X3092" i="2" s="1"/>
  <c r="W3093" i="2"/>
  <c r="X3093" i="2" s="1" a="1"/>
  <c r="X3093" i="2" s="1"/>
  <c r="W3094" i="2"/>
  <c r="X3094" i="2" s="1" a="1"/>
  <c r="X3094" i="2" s="1"/>
  <c r="W3095" i="2"/>
  <c r="X3095" i="2" s="1" a="1"/>
  <c r="X3095" i="2" s="1"/>
  <c r="W3096" i="2"/>
  <c r="X3096" i="2" s="1" a="1"/>
  <c r="X3096" i="2" s="1"/>
  <c r="W3097" i="2"/>
  <c r="X3097" i="2" s="1" a="1"/>
  <c r="X3097" i="2" s="1"/>
  <c r="W3098" i="2"/>
  <c r="X3098" i="2" s="1" a="1"/>
  <c r="X3098" i="2" s="1"/>
  <c r="W3099" i="2"/>
  <c r="X3099" i="2" s="1" a="1"/>
  <c r="X3099" i="2" s="1"/>
  <c r="W3100" i="2"/>
  <c r="X3100" i="2" s="1" a="1"/>
  <c r="X3100" i="2" s="1"/>
  <c r="W3101" i="2"/>
  <c r="X3101" i="2" s="1" a="1"/>
  <c r="X3101" i="2" s="1"/>
  <c r="W3102" i="2"/>
  <c r="X3102" i="2" s="1" a="1"/>
  <c r="X3102" i="2" s="1"/>
  <c r="W3103" i="2"/>
  <c r="X3103" i="2" s="1" a="1"/>
  <c r="X3103" i="2" s="1"/>
  <c r="W3104" i="2"/>
  <c r="X3104" i="2" s="1" a="1"/>
  <c r="X3104" i="2" s="1"/>
  <c r="W3105" i="2"/>
  <c r="X3105" i="2" s="1" a="1"/>
  <c r="X3105" i="2" s="1"/>
  <c r="W3106" i="2"/>
  <c r="X3106" i="2" s="1" a="1"/>
  <c r="X3106" i="2" s="1"/>
  <c r="W3107" i="2"/>
  <c r="X3107" i="2" s="1" a="1"/>
  <c r="X3107" i="2" s="1"/>
  <c r="W3108" i="2"/>
  <c r="X3108" i="2" s="1" a="1"/>
  <c r="X3108" i="2" s="1"/>
  <c r="W3109" i="2"/>
  <c r="X3109" i="2" s="1" a="1"/>
  <c r="X3109" i="2" s="1"/>
  <c r="W3110" i="2"/>
  <c r="X3110" i="2" s="1" a="1"/>
  <c r="X3110" i="2" s="1"/>
  <c r="W3111" i="2"/>
  <c r="X3111" i="2" s="1" a="1"/>
  <c r="X3111" i="2" s="1"/>
  <c r="W3112" i="2"/>
  <c r="X3112" i="2" s="1" a="1"/>
  <c r="X3112" i="2" s="1"/>
  <c r="W3113" i="2"/>
  <c r="X3113" i="2" s="1" a="1"/>
  <c r="X3113" i="2" s="1"/>
  <c r="W3114" i="2"/>
  <c r="X3114" i="2" s="1" a="1"/>
  <c r="X3114" i="2" s="1"/>
  <c r="W3115" i="2"/>
  <c r="X3115" i="2" s="1" a="1"/>
  <c r="X3115" i="2" s="1"/>
  <c r="W3116" i="2"/>
  <c r="X3116" i="2" s="1" a="1"/>
  <c r="X3116" i="2" s="1"/>
  <c r="W3117" i="2"/>
  <c r="X3117" i="2" s="1" a="1"/>
  <c r="X3117" i="2" s="1"/>
  <c r="W3118" i="2"/>
  <c r="X3118" i="2" s="1" a="1"/>
  <c r="X3118" i="2" s="1"/>
  <c r="W3119" i="2"/>
  <c r="X3119" i="2" s="1" a="1"/>
  <c r="X3119" i="2" s="1"/>
  <c r="W3120" i="2"/>
  <c r="X3120" i="2" s="1" a="1"/>
  <c r="X3120" i="2" s="1"/>
  <c r="W3121" i="2"/>
  <c r="X3121" i="2" s="1" a="1"/>
  <c r="X3121" i="2" s="1"/>
  <c r="W3122" i="2"/>
  <c r="X3122" i="2" s="1" a="1"/>
  <c r="X3122" i="2" s="1"/>
  <c r="W3123" i="2"/>
  <c r="X3123" i="2" s="1" a="1"/>
  <c r="X3123" i="2" s="1"/>
  <c r="W3124" i="2"/>
  <c r="X3124" i="2" s="1" a="1"/>
  <c r="X3124" i="2" s="1"/>
  <c r="W3125" i="2"/>
  <c r="X3125" i="2" s="1" a="1"/>
  <c r="X3125" i="2" s="1"/>
  <c r="W3126" i="2"/>
  <c r="X3126" i="2" s="1" a="1"/>
  <c r="X3126" i="2" s="1"/>
  <c r="W3127" i="2"/>
  <c r="X3127" i="2" s="1" a="1"/>
  <c r="X3127" i="2" s="1"/>
  <c r="W3128" i="2"/>
  <c r="X3128" i="2" s="1" a="1"/>
  <c r="X3128" i="2" s="1"/>
  <c r="W3129" i="2"/>
  <c r="X3129" i="2" s="1" a="1"/>
  <c r="X3129" i="2" s="1"/>
  <c r="W3130" i="2"/>
  <c r="X3130" i="2" s="1" a="1"/>
  <c r="X3130" i="2" s="1"/>
  <c r="W3131" i="2"/>
  <c r="X3131" i="2" s="1" a="1"/>
  <c r="X3131" i="2" s="1"/>
  <c r="W3132" i="2"/>
  <c r="X3132" i="2" s="1" a="1"/>
  <c r="X3132" i="2" s="1"/>
  <c r="W3133" i="2"/>
  <c r="X3133" i="2" s="1" a="1"/>
  <c r="X3133" i="2" s="1"/>
  <c r="W3134" i="2"/>
  <c r="X3134" i="2" s="1" a="1"/>
  <c r="X3134" i="2" s="1"/>
  <c r="W3135" i="2"/>
  <c r="X3135" i="2" s="1" a="1"/>
  <c r="X3135" i="2" s="1"/>
  <c r="W3136" i="2"/>
  <c r="X3136" i="2" s="1" a="1"/>
  <c r="X3136" i="2" s="1"/>
  <c r="W3137" i="2"/>
  <c r="X3137" i="2" s="1" a="1"/>
  <c r="X3137" i="2" s="1"/>
  <c r="W3138" i="2"/>
  <c r="X3138" i="2" s="1" a="1"/>
  <c r="X3138" i="2" s="1"/>
  <c r="W3139" i="2"/>
  <c r="X3139" i="2" s="1" a="1"/>
  <c r="X3139" i="2" s="1"/>
  <c r="W3140" i="2"/>
  <c r="X3140" i="2" s="1" a="1"/>
  <c r="X3140" i="2" s="1"/>
  <c r="W3141" i="2"/>
  <c r="X3141" i="2" s="1" a="1"/>
  <c r="X3141" i="2" s="1"/>
  <c r="W3142" i="2"/>
  <c r="X3142" i="2" s="1" a="1"/>
  <c r="X3142" i="2" s="1"/>
  <c r="W3143" i="2"/>
  <c r="X3143" i="2" s="1" a="1"/>
  <c r="X3143" i="2" s="1"/>
  <c r="W3144" i="2"/>
  <c r="X3144" i="2" s="1" a="1"/>
  <c r="X3144" i="2" s="1"/>
  <c r="W3145" i="2"/>
  <c r="X3145" i="2" s="1" a="1"/>
  <c r="X3145" i="2" s="1"/>
  <c r="W3146" i="2"/>
  <c r="X3146" i="2" s="1" a="1"/>
  <c r="X3146" i="2" s="1"/>
  <c r="W3147" i="2"/>
  <c r="X3147" i="2" s="1" a="1"/>
  <c r="X3147" i="2" s="1"/>
  <c r="W3148" i="2"/>
  <c r="X3148" i="2" s="1" a="1"/>
  <c r="X3148" i="2" s="1"/>
  <c r="W3149" i="2"/>
  <c r="X3149" i="2" s="1" a="1"/>
  <c r="X3149" i="2" s="1"/>
  <c r="W3150" i="2"/>
  <c r="X3150" i="2" s="1" a="1"/>
  <c r="X3150" i="2" s="1"/>
  <c r="W3151" i="2"/>
  <c r="X3151" i="2" s="1" a="1"/>
  <c r="X3151" i="2" s="1"/>
  <c r="W3152" i="2"/>
  <c r="X3152" i="2" s="1" a="1"/>
  <c r="X3152" i="2" s="1"/>
  <c r="W3153" i="2"/>
  <c r="X3153" i="2" s="1" a="1"/>
  <c r="X3153" i="2" s="1"/>
  <c r="W3154" i="2"/>
  <c r="X3154" i="2" s="1" a="1"/>
  <c r="X3154" i="2" s="1"/>
  <c r="W3155" i="2"/>
  <c r="X3155" i="2" s="1" a="1"/>
  <c r="X3155" i="2" s="1"/>
  <c r="W3156" i="2"/>
  <c r="X3156" i="2" s="1" a="1"/>
  <c r="X3156" i="2" s="1"/>
  <c r="W3157" i="2"/>
  <c r="X3157" i="2" s="1" a="1"/>
  <c r="X3157" i="2" s="1"/>
  <c r="W3158" i="2"/>
  <c r="X3158" i="2" s="1" a="1"/>
  <c r="X3158" i="2" s="1"/>
  <c r="W3159" i="2"/>
  <c r="X3159" i="2" s="1" a="1"/>
  <c r="X3159" i="2" s="1"/>
  <c r="W3160" i="2"/>
  <c r="X3160" i="2" s="1" a="1"/>
  <c r="X3160" i="2" s="1"/>
  <c r="W3161" i="2"/>
  <c r="X3161" i="2" s="1" a="1"/>
  <c r="X3161" i="2" s="1"/>
  <c r="W3162" i="2"/>
  <c r="X3162" i="2" s="1" a="1"/>
  <c r="X3162" i="2" s="1"/>
  <c r="W3163" i="2"/>
  <c r="X3163" i="2" s="1" a="1"/>
  <c r="X3163" i="2" s="1"/>
  <c r="W3164" i="2"/>
  <c r="X3164" i="2" s="1" a="1"/>
  <c r="X3164" i="2" s="1"/>
  <c r="W3165" i="2"/>
  <c r="X3165" i="2" s="1" a="1"/>
  <c r="X3165" i="2" s="1"/>
  <c r="W3166" i="2"/>
  <c r="X3166" i="2" s="1" a="1"/>
  <c r="X3166" i="2" s="1"/>
  <c r="W3167" i="2"/>
  <c r="X3167" i="2" s="1" a="1"/>
  <c r="X3167" i="2" s="1"/>
  <c r="W3168" i="2"/>
  <c r="X3168" i="2" s="1" a="1"/>
  <c r="X3168" i="2" s="1"/>
  <c r="W3169" i="2"/>
  <c r="X3169" i="2" s="1" a="1"/>
  <c r="X3169" i="2" s="1"/>
  <c r="W3170" i="2"/>
  <c r="X3170" i="2" s="1" a="1"/>
  <c r="X3170" i="2" s="1"/>
  <c r="W3171" i="2"/>
  <c r="X3171" i="2" s="1" a="1"/>
  <c r="X3171" i="2" s="1"/>
  <c r="W3172" i="2"/>
  <c r="X3172" i="2" s="1" a="1"/>
  <c r="X3172" i="2" s="1"/>
  <c r="W3173" i="2"/>
  <c r="X3173" i="2" s="1" a="1"/>
  <c r="X3173" i="2" s="1"/>
  <c r="W3174" i="2"/>
  <c r="X3174" i="2" s="1" a="1"/>
  <c r="X3174" i="2" s="1"/>
  <c r="W3175" i="2"/>
  <c r="X3175" i="2" s="1" a="1"/>
  <c r="X3175" i="2" s="1"/>
  <c r="W3176" i="2"/>
  <c r="X3176" i="2" s="1" a="1"/>
  <c r="X3176" i="2" s="1"/>
  <c r="W3177" i="2"/>
  <c r="X3177" i="2" s="1" a="1"/>
  <c r="X3177" i="2" s="1"/>
  <c r="W3178" i="2"/>
  <c r="X3178" i="2" s="1" a="1"/>
  <c r="X3178" i="2" s="1"/>
  <c r="W3179" i="2"/>
  <c r="X3179" i="2" s="1" a="1"/>
  <c r="X3179" i="2" s="1"/>
  <c r="W3180" i="2"/>
  <c r="X3180" i="2" s="1" a="1"/>
  <c r="X3180" i="2" s="1"/>
  <c r="W3181" i="2"/>
  <c r="X3181" i="2" s="1" a="1"/>
  <c r="X3181" i="2" s="1"/>
  <c r="W3182" i="2"/>
  <c r="X3182" i="2" s="1" a="1"/>
  <c r="X3182" i="2" s="1"/>
  <c r="W3183" i="2"/>
  <c r="X3183" i="2" s="1" a="1"/>
  <c r="X3183" i="2" s="1"/>
  <c r="W3184" i="2"/>
  <c r="X3184" i="2" s="1" a="1"/>
  <c r="X3184" i="2" s="1"/>
  <c r="W3185" i="2"/>
  <c r="X3185" i="2" s="1" a="1"/>
  <c r="X3185" i="2" s="1"/>
  <c r="W3186" i="2"/>
  <c r="X3186" i="2" s="1" a="1"/>
  <c r="X3186" i="2" s="1"/>
  <c r="W3187" i="2"/>
  <c r="X3187" i="2" s="1" a="1"/>
  <c r="X3187" i="2" s="1"/>
  <c r="W3188" i="2"/>
  <c r="X3188" i="2" s="1" a="1"/>
  <c r="X3188" i="2" s="1"/>
  <c r="W3189" i="2"/>
  <c r="X3189" i="2" s="1" a="1"/>
  <c r="X3189" i="2" s="1"/>
  <c r="W3190" i="2"/>
  <c r="X3190" i="2" s="1" a="1"/>
  <c r="X3190" i="2" s="1"/>
  <c r="W3191" i="2"/>
  <c r="X3191" i="2" s="1" a="1"/>
  <c r="X3191" i="2" s="1"/>
  <c r="W3192" i="2"/>
  <c r="X3192" i="2" s="1" a="1"/>
  <c r="X3192" i="2" s="1"/>
  <c r="W3193" i="2"/>
  <c r="X3193" i="2" s="1" a="1"/>
  <c r="X3193" i="2" s="1"/>
  <c r="W3194" i="2"/>
  <c r="X3194" i="2" s="1" a="1"/>
  <c r="X3194" i="2" s="1"/>
  <c r="W3195" i="2"/>
  <c r="X3195" i="2" s="1" a="1"/>
  <c r="X3195" i="2" s="1"/>
  <c r="W3196" i="2"/>
  <c r="X3196" i="2" s="1" a="1"/>
  <c r="X3196" i="2" s="1"/>
  <c r="W3197" i="2"/>
  <c r="X3197" i="2" s="1" a="1"/>
  <c r="X3197" i="2" s="1"/>
  <c r="W3198" i="2"/>
  <c r="X3198" i="2" s="1" a="1"/>
  <c r="X3198" i="2" s="1"/>
  <c r="W3199" i="2"/>
  <c r="X3199" i="2" s="1" a="1"/>
  <c r="X3199" i="2" s="1"/>
  <c r="W3200" i="2"/>
  <c r="X3200" i="2" s="1" a="1"/>
  <c r="X3200" i="2" s="1"/>
  <c r="W3201" i="2"/>
  <c r="X3201" i="2" s="1" a="1"/>
  <c r="X3201" i="2" s="1"/>
  <c r="W3202" i="2"/>
  <c r="X3202" i="2" s="1" a="1"/>
  <c r="X3202" i="2" s="1"/>
  <c r="W3203" i="2"/>
  <c r="X3203" i="2" s="1" a="1"/>
  <c r="X3203" i="2" s="1"/>
  <c r="W3204" i="2"/>
  <c r="X3204" i="2" s="1" a="1"/>
  <c r="X3204" i="2" s="1"/>
  <c r="W3205" i="2"/>
  <c r="X3205" i="2" s="1" a="1"/>
  <c r="X3205" i="2" s="1"/>
  <c r="W3206" i="2"/>
  <c r="X3206" i="2" s="1" a="1"/>
  <c r="X3206" i="2" s="1"/>
  <c r="W3207" i="2"/>
  <c r="X3207" i="2" s="1" a="1"/>
  <c r="X3207" i="2" s="1"/>
  <c r="W3208" i="2"/>
  <c r="X3208" i="2" s="1" a="1"/>
  <c r="X3208" i="2" s="1"/>
  <c r="W3209" i="2"/>
  <c r="X3209" i="2" s="1" a="1"/>
  <c r="X3209" i="2" s="1"/>
  <c r="W3210" i="2"/>
  <c r="X3210" i="2" s="1" a="1"/>
  <c r="X3210" i="2" s="1"/>
  <c r="W3211" i="2"/>
  <c r="X3211" i="2" s="1" a="1"/>
  <c r="X3211" i="2" s="1"/>
  <c r="W3212" i="2"/>
  <c r="X3212" i="2" s="1" a="1"/>
  <c r="X3212" i="2" s="1"/>
  <c r="W3213" i="2"/>
  <c r="X3213" i="2" s="1" a="1"/>
  <c r="X3213" i="2" s="1"/>
  <c r="W3214" i="2"/>
  <c r="X3214" i="2" s="1" a="1"/>
  <c r="X3214" i="2" s="1"/>
  <c r="W3215" i="2"/>
  <c r="X3215" i="2" s="1" a="1"/>
  <c r="X3215" i="2" s="1"/>
  <c r="W3216" i="2"/>
  <c r="X3216" i="2" s="1" a="1"/>
  <c r="X3216" i="2" s="1"/>
  <c r="W3217" i="2"/>
  <c r="X3217" i="2" s="1" a="1"/>
  <c r="X3217" i="2" s="1"/>
  <c r="W3218" i="2"/>
  <c r="X3218" i="2" s="1" a="1"/>
  <c r="X3218" i="2" s="1"/>
  <c r="W3219" i="2"/>
  <c r="X3219" i="2" s="1" a="1"/>
  <c r="X3219" i="2" s="1"/>
  <c r="W3220" i="2"/>
  <c r="X3220" i="2" s="1" a="1"/>
  <c r="X3220" i="2" s="1"/>
  <c r="W3221" i="2"/>
  <c r="X3221" i="2" s="1" a="1"/>
  <c r="X3221" i="2" s="1"/>
  <c r="W3222" i="2"/>
  <c r="X3222" i="2" s="1" a="1"/>
  <c r="X3222" i="2" s="1"/>
  <c r="W3223" i="2"/>
  <c r="X3223" i="2" s="1" a="1"/>
  <c r="X3223" i="2" s="1"/>
  <c r="W3224" i="2"/>
  <c r="X3224" i="2" s="1" a="1"/>
  <c r="X3224" i="2" s="1"/>
  <c r="W3225" i="2"/>
  <c r="X3225" i="2" s="1" a="1"/>
  <c r="X3225" i="2" s="1"/>
  <c r="W3226" i="2"/>
  <c r="X3226" i="2" s="1" a="1"/>
  <c r="X3226" i="2" s="1"/>
  <c r="W3227" i="2"/>
  <c r="X3227" i="2" s="1" a="1"/>
  <c r="X3227" i="2" s="1"/>
  <c r="W3228" i="2"/>
  <c r="X3228" i="2" s="1" a="1"/>
  <c r="X3228" i="2" s="1"/>
  <c r="W3229" i="2"/>
  <c r="X3229" i="2" s="1" a="1"/>
  <c r="X3229" i="2" s="1"/>
  <c r="W3230" i="2"/>
  <c r="X3230" i="2" s="1" a="1"/>
  <c r="X3230" i="2" s="1"/>
  <c r="W3231" i="2"/>
  <c r="X3231" i="2" s="1" a="1"/>
  <c r="X3231" i="2" s="1"/>
  <c r="W3232" i="2"/>
  <c r="X3232" i="2" s="1" a="1"/>
  <c r="X3232" i="2" s="1"/>
  <c r="W3233" i="2"/>
  <c r="X3233" i="2" s="1" a="1"/>
  <c r="X3233" i="2" s="1"/>
  <c r="W3234" i="2"/>
  <c r="X3234" i="2" s="1" a="1"/>
  <c r="X3234" i="2" s="1"/>
  <c r="W3235" i="2"/>
  <c r="X3235" i="2" s="1" a="1"/>
  <c r="X3235" i="2" s="1"/>
  <c r="W3236" i="2"/>
  <c r="X3236" i="2" s="1" a="1"/>
  <c r="X3236" i="2" s="1"/>
  <c r="W3237" i="2"/>
  <c r="X3237" i="2" s="1" a="1"/>
  <c r="X3237" i="2" s="1"/>
  <c r="W3238" i="2"/>
  <c r="X3238" i="2" s="1" a="1"/>
  <c r="X3238" i="2" s="1"/>
  <c r="W3239" i="2"/>
  <c r="X3239" i="2" s="1" a="1"/>
  <c r="X3239" i="2" s="1"/>
  <c r="W3240" i="2"/>
  <c r="X3240" i="2" s="1" a="1"/>
  <c r="X3240" i="2" s="1"/>
  <c r="W3241" i="2"/>
  <c r="X3241" i="2" s="1" a="1"/>
  <c r="X3241" i="2" s="1"/>
  <c r="W3242" i="2"/>
  <c r="X3242" i="2" s="1" a="1"/>
  <c r="X3242" i="2" s="1"/>
  <c r="W3243" i="2"/>
  <c r="X3243" i="2" s="1" a="1"/>
  <c r="X3243" i="2" s="1"/>
  <c r="W3244" i="2"/>
  <c r="X3244" i="2" s="1" a="1"/>
  <c r="X3244" i="2" s="1"/>
  <c r="W3245" i="2"/>
  <c r="X3245" i="2" s="1" a="1"/>
  <c r="X3245" i="2" s="1"/>
  <c r="W3246" i="2"/>
  <c r="X3246" i="2" s="1" a="1"/>
  <c r="X3246" i="2" s="1"/>
  <c r="W3247" i="2"/>
  <c r="X3247" i="2" s="1" a="1"/>
  <c r="X3247" i="2" s="1"/>
  <c r="W3248" i="2"/>
  <c r="X3248" i="2" s="1" a="1"/>
  <c r="X3248" i="2" s="1"/>
  <c r="W3249" i="2"/>
  <c r="X3249" i="2" s="1" a="1"/>
  <c r="X3249" i="2" s="1"/>
  <c r="W3250" i="2"/>
  <c r="X3250" i="2" s="1" a="1"/>
  <c r="X3250" i="2" s="1"/>
  <c r="W3251" i="2"/>
  <c r="X3251" i="2" s="1" a="1"/>
  <c r="X3251" i="2" s="1"/>
  <c r="W3252" i="2"/>
  <c r="X3252" i="2" s="1" a="1"/>
  <c r="X3252" i="2" s="1"/>
  <c r="W3253" i="2"/>
  <c r="X3253" i="2" s="1" a="1"/>
  <c r="X3253" i="2" s="1"/>
  <c r="W3254" i="2"/>
  <c r="X3254" i="2" s="1" a="1"/>
  <c r="X3254" i="2" s="1"/>
  <c r="W3255" i="2"/>
  <c r="X3255" i="2" s="1" a="1"/>
  <c r="X3255" i="2" s="1"/>
  <c r="W3256" i="2"/>
  <c r="X3256" i="2" s="1" a="1"/>
  <c r="X3256" i="2" s="1"/>
  <c r="W3257" i="2"/>
  <c r="X3257" i="2" s="1" a="1"/>
  <c r="X3257" i="2" s="1"/>
  <c r="W3258" i="2"/>
  <c r="X3258" i="2" s="1" a="1"/>
  <c r="X3258" i="2" s="1"/>
  <c r="W3259" i="2"/>
  <c r="X3259" i="2" s="1" a="1"/>
  <c r="X3259" i="2" s="1"/>
  <c r="W3260" i="2"/>
  <c r="X3260" i="2" s="1" a="1"/>
  <c r="X3260" i="2" s="1"/>
  <c r="W3261" i="2"/>
  <c r="X3261" i="2" s="1" a="1"/>
  <c r="X3261" i="2" s="1"/>
  <c r="W3262" i="2"/>
  <c r="X3262" i="2" s="1" a="1"/>
  <c r="X3262" i="2" s="1"/>
  <c r="W3263" i="2"/>
  <c r="X3263" i="2" s="1" a="1"/>
  <c r="X3263" i="2" s="1"/>
  <c r="W3264" i="2"/>
  <c r="X3264" i="2" s="1" a="1"/>
  <c r="X3264" i="2" s="1"/>
  <c r="W3265" i="2"/>
  <c r="X3265" i="2" s="1" a="1"/>
  <c r="X3265" i="2" s="1"/>
  <c r="W3266" i="2"/>
  <c r="X3266" i="2" s="1" a="1"/>
  <c r="X3266" i="2" s="1"/>
  <c r="W3267" i="2"/>
  <c r="X3267" i="2" s="1" a="1"/>
  <c r="X3267" i="2" s="1"/>
  <c r="W3268" i="2"/>
  <c r="X3268" i="2" s="1" a="1"/>
  <c r="X3268" i="2" s="1"/>
  <c r="W3269" i="2"/>
  <c r="X3269" i="2" s="1" a="1"/>
  <c r="X3269" i="2" s="1"/>
  <c r="W3270" i="2"/>
  <c r="X3270" i="2" s="1" a="1"/>
  <c r="X3270" i="2" s="1"/>
  <c r="W3271" i="2"/>
  <c r="X3271" i="2" s="1" a="1"/>
  <c r="X3271" i="2" s="1"/>
  <c r="W3272" i="2"/>
  <c r="X3272" i="2" s="1" a="1"/>
  <c r="X3272" i="2" s="1"/>
  <c r="W3273" i="2"/>
  <c r="X3273" i="2" s="1" a="1"/>
  <c r="X3273" i="2" s="1"/>
  <c r="W3274" i="2"/>
  <c r="X3274" i="2" s="1" a="1"/>
  <c r="X3274" i="2" s="1"/>
  <c r="W3275" i="2"/>
  <c r="X3275" i="2" s="1" a="1"/>
  <c r="X3275" i="2" s="1"/>
  <c r="W3276" i="2"/>
  <c r="X3276" i="2" s="1" a="1"/>
  <c r="X3276" i="2" s="1"/>
  <c r="W3277" i="2"/>
  <c r="X3277" i="2" s="1" a="1"/>
  <c r="X3277" i="2" s="1"/>
  <c r="W3278" i="2"/>
  <c r="X3278" i="2" s="1" a="1"/>
  <c r="X3278" i="2" s="1"/>
  <c r="W3279" i="2"/>
  <c r="X3279" i="2" s="1" a="1"/>
  <c r="X3279" i="2" s="1"/>
  <c r="W3280" i="2"/>
  <c r="X3280" i="2" s="1" a="1"/>
  <c r="X3280" i="2" s="1"/>
  <c r="W3281" i="2"/>
  <c r="X3281" i="2" s="1" a="1"/>
  <c r="X3281" i="2" s="1"/>
  <c r="W3282" i="2"/>
  <c r="X3282" i="2" s="1" a="1"/>
  <c r="X3282" i="2" s="1"/>
  <c r="W3283" i="2"/>
  <c r="X3283" i="2" s="1" a="1"/>
  <c r="X3283" i="2" s="1"/>
  <c r="W3284" i="2"/>
  <c r="X3284" i="2" s="1" a="1"/>
  <c r="X3284" i="2" s="1"/>
  <c r="W3285" i="2"/>
  <c r="X3285" i="2" s="1" a="1"/>
  <c r="X3285" i="2" s="1"/>
  <c r="W3286" i="2"/>
  <c r="X3286" i="2" s="1" a="1"/>
  <c r="X3286" i="2" s="1"/>
  <c r="W3287" i="2"/>
  <c r="X3287" i="2" s="1" a="1"/>
  <c r="X3287" i="2" s="1"/>
  <c r="W3288" i="2"/>
  <c r="X3288" i="2" s="1" a="1"/>
  <c r="X3288" i="2" s="1"/>
  <c r="W3289" i="2"/>
  <c r="X3289" i="2" s="1" a="1"/>
  <c r="X3289" i="2" s="1"/>
  <c r="W3290" i="2"/>
  <c r="X3290" i="2" s="1" a="1"/>
  <c r="X3290" i="2" s="1"/>
  <c r="W3291" i="2"/>
  <c r="X3291" i="2" s="1" a="1"/>
  <c r="X3291" i="2" s="1"/>
  <c r="W3292" i="2"/>
  <c r="X3292" i="2" s="1" a="1"/>
  <c r="X3292" i="2" s="1"/>
  <c r="W3293" i="2"/>
  <c r="X3293" i="2" s="1" a="1"/>
  <c r="X3293" i="2" s="1"/>
  <c r="W3294" i="2"/>
  <c r="X3294" i="2" s="1" a="1"/>
  <c r="X3294" i="2" s="1"/>
  <c r="W3295" i="2"/>
  <c r="X3295" i="2" s="1" a="1"/>
  <c r="X3295" i="2" s="1"/>
  <c r="W3296" i="2"/>
  <c r="X3296" i="2" s="1" a="1"/>
  <c r="X3296" i="2" s="1"/>
  <c r="W3297" i="2"/>
  <c r="X3297" i="2" s="1" a="1"/>
  <c r="X3297" i="2" s="1"/>
  <c r="W3298" i="2"/>
  <c r="X3298" i="2" s="1" a="1"/>
  <c r="X3298" i="2" s="1"/>
  <c r="W3299" i="2"/>
  <c r="X3299" i="2" s="1" a="1"/>
  <c r="X3299" i="2" s="1"/>
  <c r="W3300" i="2"/>
  <c r="X3300" i="2" s="1" a="1"/>
  <c r="X3300" i="2" s="1"/>
  <c r="W3301" i="2"/>
  <c r="X3301" i="2" s="1" a="1"/>
  <c r="X3301" i="2" s="1"/>
  <c r="W3302" i="2"/>
  <c r="X3302" i="2" s="1" a="1"/>
  <c r="X3302" i="2" s="1"/>
  <c r="W3303" i="2"/>
  <c r="X3303" i="2" s="1" a="1"/>
  <c r="X3303" i="2" s="1"/>
  <c r="W3304" i="2"/>
  <c r="X3304" i="2" s="1" a="1"/>
  <c r="X3304" i="2" s="1"/>
  <c r="W3305" i="2"/>
  <c r="X3305" i="2" s="1" a="1"/>
  <c r="X3305" i="2" s="1"/>
  <c r="W3306" i="2"/>
  <c r="X3306" i="2" s="1" a="1"/>
  <c r="X3306" i="2" s="1"/>
  <c r="W3307" i="2"/>
  <c r="X3307" i="2" s="1" a="1"/>
  <c r="X3307" i="2" s="1"/>
  <c r="W3308" i="2"/>
  <c r="X3308" i="2" s="1" a="1"/>
  <c r="X3308" i="2" s="1"/>
  <c r="W3309" i="2"/>
  <c r="X3309" i="2" s="1" a="1"/>
  <c r="X3309" i="2" s="1"/>
  <c r="W3310" i="2"/>
  <c r="X3310" i="2" s="1" a="1"/>
  <c r="X3310" i="2" s="1"/>
  <c r="W3311" i="2"/>
  <c r="X3311" i="2" s="1" a="1"/>
  <c r="X3311" i="2" s="1"/>
  <c r="W3312" i="2"/>
  <c r="X3312" i="2" s="1" a="1"/>
  <c r="X3312" i="2" s="1"/>
  <c r="W3313" i="2"/>
  <c r="X3313" i="2" s="1" a="1"/>
  <c r="X3313" i="2" s="1"/>
  <c r="W3314" i="2"/>
  <c r="X3314" i="2" s="1" a="1"/>
  <c r="X3314" i="2" s="1"/>
  <c r="W3315" i="2"/>
  <c r="X3315" i="2" s="1" a="1"/>
  <c r="X3315" i="2" s="1"/>
  <c r="W3316" i="2"/>
  <c r="X3316" i="2" s="1" a="1"/>
  <c r="X3316" i="2" s="1"/>
  <c r="W3317" i="2"/>
  <c r="X3317" i="2" s="1" a="1"/>
  <c r="X3317" i="2" s="1"/>
  <c r="W3318" i="2"/>
  <c r="X3318" i="2" s="1" a="1"/>
  <c r="X3318" i="2" s="1"/>
  <c r="W3319" i="2"/>
  <c r="X3319" i="2" s="1" a="1"/>
  <c r="X3319" i="2" s="1"/>
  <c r="W3320" i="2"/>
  <c r="X3320" i="2" s="1" a="1"/>
  <c r="X3320" i="2" s="1"/>
  <c r="W3321" i="2"/>
  <c r="X3321" i="2" s="1" a="1"/>
  <c r="X3321" i="2" s="1"/>
  <c r="W3322" i="2"/>
  <c r="X3322" i="2" s="1" a="1"/>
  <c r="X3322" i="2" s="1"/>
  <c r="W3323" i="2"/>
  <c r="X3323" i="2" s="1" a="1"/>
  <c r="X3323" i="2" s="1"/>
  <c r="W3324" i="2"/>
  <c r="X3324" i="2" s="1" a="1"/>
  <c r="X3324" i="2" s="1"/>
  <c r="W3325" i="2"/>
  <c r="X3325" i="2" s="1" a="1"/>
  <c r="X3325" i="2" s="1"/>
  <c r="W3326" i="2"/>
  <c r="X3326" i="2" s="1" a="1"/>
  <c r="X3326" i="2" s="1"/>
  <c r="W3327" i="2"/>
  <c r="X3327" i="2" s="1" a="1"/>
  <c r="X3327" i="2" s="1"/>
  <c r="W3328" i="2"/>
  <c r="X3328" i="2" s="1" a="1"/>
  <c r="X3328" i="2" s="1"/>
  <c r="W3329" i="2"/>
  <c r="X3329" i="2" s="1" a="1"/>
  <c r="X3329" i="2" s="1"/>
  <c r="W3330" i="2"/>
  <c r="X3330" i="2" s="1" a="1"/>
  <c r="X3330" i="2" s="1"/>
  <c r="W3331" i="2"/>
  <c r="X3331" i="2" s="1" a="1"/>
  <c r="X3331" i="2" s="1"/>
  <c r="W3332" i="2"/>
  <c r="X3332" i="2" s="1" a="1"/>
  <c r="X3332" i="2" s="1"/>
  <c r="W3333" i="2"/>
  <c r="X3333" i="2" s="1" a="1"/>
  <c r="X3333" i="2" s="1"/>
  <c r="W3334" i="2"/>
  <c r="X3334" i="2" s="1" a="1"/>
  <c r="X3334" i="2" s="1"/>
  <c r="W3335" i="2"/>
  <c r="X3335" i="2" s="1" a="1"/>
  <c r="X3335" i="2" s="1"/>
  <c r="W3336" i="2"/>
  <c r="X3336" i="2" s="1" a="1"/>
  <c r="X3336" i="2" s="1"/>
  <c r="W3337" i="2"/>
  <c r="X3337" i="2" s="1" a="1"/>
  <c r="X3337" i="2" s="1"/>
  <c r="W3338" i="2"/>
  <c r="X3338" i="2" s="1" a="1"/>
  <c r="X3338" i="2" s="1"/>
  <c r="W3339" i="2"/>
  <c r="X3339" i="2" s="1" a="1"/>
  <c r="X3339" i="2" s="1"/>
  <c r="W3340" i="2"/>
  <c r="X3340" i="2" s="1" a="1"/>
  <c r="X3340" i="2" s="1"/>
  <c r="W3341" i="2"/>
  <c r="X3341" i="2" s="1" a="1"/>
  <c r="X3341" i="2" s="1"/>
  <c r="W3342" i="2"/>
  <c r="X3342" i="2" s="1" a="1"/>
  <c r="X3342" i="2" s="1"/>
  <c r="W3343" i="2"/>
  <c r="X3343" i="2" s="1" a="1"/>
  <c r="X3343" i="2" s="1"/>
  <c r="W3344" i="2"/>
  <c r="X3344" i="2" s="1" a="1"/>
  <c r="X3344" i="2" s="1"/>
  <c r="W3345" i="2"/>
  <c r="X3345" i="2" s="1" a="1"/>
  <c r="X3345" i="2" s="1"/>
  <c r="W3346" i="2"/>
  <c r="X3346" i="2" s="1" a="1"/>
  <c r="X3346" i="2" s="1"/>
  <c r="W3347" i="2"/>
  <c r="X3347" i="2" s="1" a="1"/>
  <c r="X3347" i="2" s="1"/>
  <c r="W3348" i="2"/>
  <c r="X3348" i="2" s="1" a="1"/>
  <c r="X3348" i="2" s="1"/>
  <c r="W3349" i="2"/>
  <c r="X3349" i="2" s="1" a="1"/>
  <c r="X3349" i="2" s="1"/>
  <c r="W3350" i="2"/>
  <c r="X3350" i="2" s="1" a="1"/>
  <c r="X3350" i="2" s="1"/>
  <c r="W3351" i="2"/>
  <c r="X3351" i="2" s="1" a="1"/>
  <c r="X3351" i="2" s="1"/>
  <c r="W3352" i="2"/>
  <c r="X3352" i="2" s="1" a="1"/>
  <c r="X3352" i="2" s="1"/>
  <c r="W3353" i="2"/>
  <c r="X3353" i="2" s="1" a="1"/>
  <c r="X3353" i="2" s="1"/>
  <c r="W3354" i="2"/>
  <c r="X3354" i="2" s="1" a="1"/>
  <c r="X3354" i="2" s="1"/>
  <c r="W3355" i="2"/>
  <c r="X3355" i="2" s="1" a="1"/>
  <c r="X3355" i="2" s="1"/>
  <c r="W3356" i="2"/>
  <c r="X3356" i="2" s="1" a="1"/>
  <c r="X3356" i="2" s="1"/>
  <c r="W3357" i="2"/>
  <c r="X3357" i="2" s="1" a="1"/>
  <c r="X3357" i="2" s="1"/>
  <c r="W3358" i="2"/>
  <c r="X3358" i="2" s="1" a="1"/>
  <c r="X3358" i="2" s="1"/>
  <c r="W3359" i="2"/>
  <c r="X3359" i="2" s="1" a="1"/>
  <c r="X3359" i="2" s="1"/>
  <c r="W3360" i="2"/>
  <c r="X3360" i="2" s="1" a="1"/>
  <c r="X3360" i="2" s="1"/>
  <c r="W3361" i="2"/>
  <c r="X3361" i="2" s="1" a="1"/>
  <c r="X3361" i="2" s="1"/>
  <c r="W3362" i="2"/>
  <c r="X3362" i="2" s="1" a="1"/>
  <c r="X3362" i="2" s="1"/>
  <c r="W3363" i="2"/>
  <c r="X3363" i="2" s="1" a="1"/>
  <c r="X3363" i="2" s="1"/>
  <c r="W3364" i="2"/>
  <c r="X3364" i="2" s="1" a="1"/>
  <c r="X3364" i="2" s="1"/>
  <c r="W3365" i="2"/>
  <c r="X3365" i="2" s="1" a="1"/>
  <c r="X3365" i="2" s="1"/>
  <c r="W3366" i="2"/>
  <c r="X3366" i="2" s="1" a="1"/>
  <c r="X3366" i="2" s="1"/>
  <c r="W3367" i="2"/>
  <c r="X3367" i="2" s="1" a="1"/>
  <c r="X3367" i="2" s="1"/>
  <c r="W3368" i="2"/>
  <c r="X3368" i="2" s="1" a="1"/>
  <c r="X3368" i="2" s="1"/>
  <c r="W3369" i="2"/>
  <c r="X3369" i="2" s="1" a="1"/>
  <c r="X3369" i="2" s="1"/>
  <c r="W3370" i="2"/>
  <c r="X3370" i="2" s="1" a="1"/>
  <c r="X3370" i="2" s="1"/>
  <c r="W3371" i="2"/>
  <c r="X3371" i="2" s="1" a="1"/>
  <c r="X3371" i="2" s="1"/>
  <c r="W3372" i="2"/>
  <c r="X3372" i="2" s="1" a="1"/>
  <c r="X3372" i="2" s="1"/>
  <c r="W3373" i="2"/>
  <c r="X3373" i="2" s="1" a="1"/>
  <c r="X3373" i="2" s="1"/>
  <c r="W3374" i="2"/>
  <c r="X3374" i="2" s="1" a="1"/>
  <c r="X3374" i="2" s="1"/>
  <c r="W3375" i="2"/>
  <c r="X3375" i="2" s="1" a="1"/>
  <c r="X3375" i="2" s="1"/>
  <c r="W3376" i="2"/>
  <c r="X3376" i="2" s="1" a="1"/>
  <c r="X3376" i="2" s="1"/>
  <c r="W3377" i="2"/>
  <c r="X3377" i="2" s="1" a="1"/>
  <c r="X3377" i="2" s="1"/>
  <c r="W3378" i="2"/>
  <c r="X3378" i="2" s="1" a="1"/>
  <c r="X3378" i="2" s="1"/>
  <c r="W3379" i="2"/>
  <c r="X3379" i="2" s="1" a="1"/>
  <c r="X3379" i="2" s="1"/>
  <c r="W3380" i="2"/>
  <c r="X3380" i="2" s="1" a="1"/>
  <c r="X3380" i="2" s="1"/>
  <c r="W3381" i="2"/>
  <c r="X3381" i="2" s="1" a="1"/>
  <c r="X3381" i="2" s="1"/>
  <c r="W3382" i="2"/>
  <c r="X3382" i="2" s="1" a="1"/>
  <c r="X3382" i="2" s="1"/>
  <c r="W3383" i="2"/>
  <c r="X3383" i="2" s="1" a="1"/>
  <c r="X3383" i="2" s="1"/>
  <c r="W3384" i="2"/>
  <c r="X3384" i="2" s="1" a="1"/>
  <c r="X3384" i="2" s="1"/>
  <c r="W3385" i="2"/>
  <c r="X3385" i="2" s="1" a="1"/>
  <c r="X3385" i="2" s="1"/>
  <c r="W3386" i="2"/>
  <c r="X3386" i="2" s="1" a="1"/>
  <c r="X3386" i="2" s="1"/>
  <c r="W3387" i="2"/>
  <c r="X3387" i="2" s="1" a="1"/>
  <c r="X3387" i="2" s="1"/>
  <c r="W3388" i="2"/>
  <c r="X3388" i="2" s="1" a="1"/>
  <c r="X3388" i="2" s="1"/>
  <c r="W3389" i="2"/>
  <c r="X3389" i="2" s="1" a="1"/>
  <c r="X3389" i="2" s="1"/>
  <c r="W3390" i="2"/>
  <c r="X3390" i="2" s="1" a="1"/>
  <c r="X3390" i="2" s="1"/>
  <c r="W3391" i="2"/>
  <c r="X3391" i="2" s="1" a="1"/>
  <c r="X3391" i="2" s="1"/>
  <c r="W3392" i="2"/>
  <c r="X3392" i="2" s="1" a="1"/>
  <c r="X3392" i="2" s="1"/>
  <c r="W3393" i="2"/>
  <c r="X3393" i="2" s="1" a="1"/>
  <c r="X3393" i="2" s="1"/>
  <c r="W3394" i="2"/>
  <c r="X3394" i="2" s="1" a="1"/>
  <c r="X3394" i="2" s="1"/>
  <c r="W3395" i="2"/>
  <c r="X3395" i="2" s="1" a="1"/>
  <c r="X3395" i="2" s="1"/>
  <c r="W3396" i="2"/>
  <c r="X3396" i="2" s="1" a="1"/>
  <c r="X3396" i="2" s="1"/>
  <c r="W3397" i="2"/>
  <c r="X3397" i="2" s="1" a="1"/>
  <c r="X3397" i="2" s="1"/>
  <c r="W3398" i="2"/>
  <c r="X3398" i="2" s="1" a="1"/>
  <c r="X3398" i="2" s="1"/>
  <c r="W3399" i="2"/>
  <c r="X3399" i="2" s="1" a="1"/>
  <c r="X3399" i="2" s="1"/>
  <c r="W3400" i="2"/>
  <c r="X3400" i="2" s="1" a="1"/>
  <c r="X3400" i="2" s="1"/>
  <c r="W3401" i="2"/>
  <c r="X3401" i="2" s="1" a="1"/>
  <c r="X3401" i="2" s="1"/>
  <c r="W3402" i="2"/>
  <c r="X3402" i="2" s="1" a="1"/>
  <c r="X3402" i="2" s="1"/>
  <c r="W3403" i="2"/>
  <c r="X3403" i="2" s="1" a="1"/>
  <c r="X3403" i="2" s="1"/>
  <c r="W3404" i="2"/>
  <c r="X3404" i="2" s="1" a="1"/>
  <c r="X3404" i="2" s="1"/>
  <c r="W3405" i="2"/>
  <c r="X3405" i="2" s="1" a="1"/>
  <c r="X3405" i="2" s="1"/>
  <c r="W3406" i="2"/>
  <c r="X3406" i="2" s="1" a="1"/>
  <c r="X3406" i="2" s="1"/>
  <c r="W3407" i="2"/>
  <c r="X3407" i="2" s="1" a="1"/>
  <c r="X3407" i="2" s="1"/>
  <c r="W3408" i="2"/>
  <c r="X3408" i="2" s="1" a="1"/>
  <c r="X3408" i="2" s="1"/>
  <c r="W3409" i="2"/>
  <c r="X3409" i="2" s="1" a="1"/>
  <c r="X3409" i="2" s="1"/>
  <c r="W3410" i="2"/>
  <c r="X3410" i="2" s="1" a="1"/>
  <c r="X3410" i="2" s="1"/>
  <c r="W3411" i="2"/>
  <c r="X3411" i="2" s="1" a="1"/>
  <c r="X3411" i="2" s="1"/>
  <c r="W3412" i="2"/>
  <c r="X3412" i="2" s="1" a="1"/>
  <c r="X3412" i="2" s="1"/>
  <c r="W3413" i="2"/>
  <c r="X3413" i="2" s="1" a="1"/>
  <c r="X3413" i="2" s="1"/>
  <c r="W3414" i="2"/>
  <c r="X3414" i="2" s="1" a="1"/>
  <c r="X3414" i="2" s="1"/>
  <c r="W3415" i="2"/>
  <c r="X3415" i="2" s="1" a="1"/>
  <c r="X3415" i="2" s="1"/>
  <c r="W3416" i="2"/>
  <c r="X3416" i="2" s="1" a="1"/>
  <c r="X3416" i="2" s="1"/>
  <c r="W3417" i="2"/>
  <c r="X3417" i="2" s="1" a="1"/>
  <c r="X3417" i="2" s="1"/>
  <c r="W3418" i="2"/>
  <c r="X3418" i="2" s="1" a="1"/>
  <c r="X3418" i="2" s="1"/>
  <c r="W3419" i="2"/>
  <c r="X3419" i="2" s="1" a="1"/>
  <c r="X3419" i="2" s="1"/>
  <c r="W3420" i="2"/>
  <c r="X3420" i="2" s="1" a="1"/>
  <c r="X3420" i="2" s="1"/>
  <c r="W3421" i="2"/>
  <c r="X3421" i="2" s="1" a="1"/>
  <c r="X3421" i="2" s="1"/>
  <c r="W3422" i="2"/>
  <c r="X3422" i="2" s="1" a="1"/>
  <c r="X3422" i="2" s="1"/>
  <c r="W3423" i="2"/>
  <c r="X3423" i="2" s="1" a="1"/>
  <c r="X3423" i="2" s="1"/>
  <c r="W3424" i="2"/>
  <c r="X3424" i="2" s="1" a="1"/>
  <c r="X3424" i="2" s="1"/>
  <c r="W3425" i="2"/>
  <c r="X3425" i="2" s="1" a="1"/>
  <c r="X3425" i="2" s="1"/>
  <c r="W3426" i="2"/>
  <c r="X3426" i="2" s="1" a="1"/>
  <c r="X3426" i="2" s="1"/>
  <c r="W3427" i="2"/>
  <c r="X3427" i="2" s="1" a="1"/>
  <c r="X3427" i="2" s="1"/>
  <c r="W3428" i="2"/>
  <c r="X3428" i="2" s="1" a="1"/>
  <c r="X3428" i="2" s="1"/>
  <c r="W3429" i="2"/>
  <c r="X3429" i="2" s="1" a="1"/>
  <c r="X3429" i="2" s="1"/>
  <c r="W3430" i="2"/>
  <c r="X3430" i="2" s="1" a="1"/>
  <c r="X3430" i="2" s="1"/>
  <c r="W3431" i="2"/>
  <c r="X3431" i="2" s="1" a="1"/>
  <c r="X3431" i="2" s="1"/>
  <c r="W3432" i="2"/>
  <c r="X3432" i="2" s="1" a="1"/>
  <c r="X3432" i="2" s="1"/>
  <c r="W3433" i="2"/>
  <c r="X3433" i="2" s="1" a="1"/>
  <c r="X3433" i="2" s="1"/>
  <c r="W3434" i="2"/>
  <c r="X3434" i="2" s="1" a="1"/>
  <c r="X3434" i="2" s="1"/>
  <c r="W3435" i="2"/>
  <c r="X3435" i="2" s="1" a="1"/>
  <c r="X3435" i="2" s="1"/>
  <c r="W3436" i="2"/>
  <c r="X3436" i="2" s="1" a="1"/>
  <c r="X3436" i="2" s="1"/>
  <c r="W3437" i="2"/>
  <c r="X3437" i="2" s="1" a="1"/>
  <c r="X3437" i="2" s="1"/>
  <c r="W3438" i="2"/>
  <c r="X3438" i="2" s="1" a="1"/>
  <c r="X3438" i="2" s="1"/>
  <c r="W3439" i="2"/>
  <c r="X3439" i="2" s="1" a="1"/>
  <c r="X3439" i="2" s="1"/>
  <c r="W3440" i="2"/>
  <c r="X3440" i="2" s="1" a="1"/>
  <c r="X3440" i="2" s="1"/>
  <c r="W3441" i="2"/>
  <c r="X3441" i="2" s="1" a="1"/>
  <c r="X3441" i="2" s="1"/>
  <c r="W3442" i="2"/>
  <c r="X3442" i="2" s="1" a="1"/>
  <c r="X3442" i="2" s="1"/>
  <c r="W3443" i="2"/>
  <c r="X3443" i="2" s="1" a="1"/>
  <c r="X3443" i="2" s="1"/>
  <c r="W3444" i="2"/>
  <c r="X3444" i="2" s="1" a="1"/>
  <c r="X3444" i="2" s="1"/>
  <c r="W3445" i="2"/>
  <c r="X3445" i="2" s="1" a="1"/>
  <c r="X3445" i="2" s="1"/>
  <c r="W3446" i="2"/>
  <c r="X3446" i="2" s="1" a="1"/>
  <c r="X3446" i="2" s="1"/>
  <c r="W3447" i="2"/>
  <c r="X3447" i="2" s="1" a="1"/>
  <c r="X3447" i="2" s="1"/>
  <c r="W3448" i="2"/>
  <c r="X3448" i="2" s="1" a="1"/>
  <c r="X3448" i="2" s="1"/>
  <c r="W3449" i="2"/>
  <c r="X3449" i="2" s="1" a="1"/>
  <c r="X3449" i="2" s="1"/>
  <c r="W3450" i="2"/>
  <c r="X3450" i="2" s="1" a="1"/>
  <c r="X3450" i="2" s="1"/>
  <c r="W3451" i="2"/>
  <c r="X3451" i="2" s="1" a="1"/>
  <c r="X3451" i="2" s="1"/>
  <c r="W3452" i="2"/>
  <c r="X3452" i="2" s="1" a="1"/>
  <c r="X3452" i="2" s="1"/>
  <c r="W3453" i="2"/>
  <c r="X3453" i="2" s="1" a="1"/>
  <c r="X3453" i="2" s="1"/>
  <c r="W3454" i="2"/>
  <c r="X3454" i="2" s="1" a="1"/>
  <c r="X3454" i="2" s="1"/>
  <c r="W3455" i="2"/>
  <c r="X3455" i="2" s="1" a="1"/>
  <c r="X3455" i="2" s="1"/>
  <c r="W3456" i="2"/>
  <c r="X3456" i="2" s="1" a="1"/>
  <c r="X3456" i="2" s="1"/>
  <c r="W3457" i="2"/>
  <c r="X3457" i="2" s="1" a="1"/>
  <c r="X3457" i="2" s="1"/>
  <c r="W3458" i="2"/>
  <c r="X3458" i="2" s="1" a="1"/>
  <c r="X3458" i="2" s="1"/>
  <c r="W3459" i="2"/>
  <c r="X3459" i="2" s="1" a="1"/>
  <c r="X3459" i="2" s="1"/>
  <c r="W3460" i="2"/>
  <c r="X3460" i="2" s="1" a="1"/>
  <c r="X3460" i="2" s="1"/>
  <c r="W3461" i="2"/>
  <c r="X3461" i="2" s="1" a="1"/>
  <c r="X3461" i="2" s="1"/>
  <c r="W3462" i="2"/>
  <c r="X3462" i="2" s="1" a="1"/>
  <c r="X3462" i="2" s="1"/>
  <c r="W3463" i="2"/>
  <c r="X3463" i="2" s="1" a="1"/>
  <c r="X3463" i="2" s="1"/>
  <c r="W3464" i="2"/>
  <c r="X3464" i="2" s="1" a="1"/>
  <c r="X3464" i="2" s="1"/>
  <c r="W3465" i="2"/>
  <c r="X3465" i="2" s="1" a="1"/>
  <c r="X3465" i="2" s="1"/>
  <c r="W3466" i="2"/>
  <c r="X3466" i="2" s="1" a="1"/>
  <c r="X3466" i="2" s="1"/>
  <c r="W3467" i="2"/>
  <c r="X3467" i="2" s="1" a="1"/>
  <c r="X3467" i="2" s="1"/>
  <c r="W3468" i="2"/>
  <c r="X3468" i="2" s="1" a="1"/>
  <c r="X3468" i="2" s="1"/>
  <c r="W3469" i="2"/>
  <c r="X3469" i="2" s="1" a="1"/>
  <c r="X3469" i="2" s="1"/>
  <c r="W3470" i="2"/>
  <c r="X3470" i="2" s="1" a="1"/>
  <c r="X3470" i="2" s="1"/>
  <c r="W3471" i="2"/>
  <c r="X3471" i="2" s="1" a="1"/>
  <c r="X3471" i="2" s="1"/>
  <c r="W3472" i="2"/>
  <c r="X3472" i="2" s="1" a="1"/>
  <c r="X3472" i="2" s="1"/>
  <c r="W3473" i="2"/>
  <c r="X3473" i="2" s="1" a="1"/>
  <c r="X3473" i="2" s="1"/>
  <c r="W3474" i="2"/>
  <c r="X3474" i="2" s="1" a="1"/>
  <c r="X3474" i="2" s="1"/>
  <c r="W3475" i="2"/>
  <c r="X3475" i="2" s="1" a="1"/>
  <c r="X3475" i="2" s="1"/>
  <c r="W3476" i="2"/>
  <c r="X3476" i="2" s="1" a="1"/>
  <c r="X3476" i="2" s="1"/>
  <c r="W3477" i="2"/>
  <c r="X3477" i="2" s="1" a="1"/>
  <c r="X3477" i="2" s="1"/>
  <c r="W3478" i="2"/>
  <c r="X3478" i="2" s="1" a="1"/>
  <c r="X3478" i="2" s="1"/>
  <c r="W3479" i="2"/>
  <c r="X3479" i="2" s="1" a="1"/>
  <c r="X3479" i="2" s="1"/>
  <c r="W3480" i="2"/>
  <c r="X3480" i="2" s="1" a="1"/>
  <c r="X3480" i="2" s="1"/>
  <c r="W3481" i="2"/>
  <c r="X3481" i="2" s="1" a="1"/>
  <c r="X3481" i="2" s="1"/>
  <c r="W3482" i="2"/>
  <c r="X3482" i="2" s="1" a="1"/>
  <c r="X3482" i="2" s="1"/>
  <c r="W3483" i="2"/>
  <c r="X3483" i="2" s="1" a="1"/>
  <c r="X3483" i="2" s="1"/>
  <c r="W3484" i="2"/>
  <c r="X3484" i="2" s="1" a="1"/>
  <c r="X3484" i="2" s="1"/>
  <c r="W3485" i="2"/>
  <c r="X3485" i="2" s="1" a="1"/>
  <c r="X3485" i="2" s="1"/>
  <c r="W3486" i="2"/>
  <c r="X3486" i="2" s="1" a="1"/>
  <c r="X3486" i="2" s="1"/>
  <c r="W3487" i="2"/>
  <c r="X3487" i="2" s="1" a="1"/>
  <c r="X3487" i="2" s="1"/>
  <c r="W3488" i="2"/>
  <c r="X3488" i="2" s="1" a="1"/>
  <c r="X3488" i="2" s="1"/>
  <c r="W3489" i="2"/>
  <c r="X3489" i="2" s="1" a="1"/>
  <c r="X3489" i="2" s="1"/>
  <c r="W3490" i="2"/>
  <c r="X3490" i="2" s="1" a="1"/>
  <c r="X3490" i="2" s="1"/>
  <c r="W3491" i="2"/>
  <c r="X3491" i="2" s="1" a="1"/>
  <c r="X3491" i="2" s="1"/>
  <c r="W3492" i="2"/>
  <c r="X3492" i="2" s="1" a="1"/>
  <c r="X3492" i="2" s="1"/>
  <c r="W3493" i="2"/>
  <c r="X3493" i="2" s="1" a="1"/>
  <c r="X3493" i="2" s="1"/>
  <c r="W3494" i="2"/>
  <c r="X3494" i="2" s="1" a="1"/>
  <c r="X3494" i="2" s="1"/>
  <c r="W3495" i="2"/>
  <c r="X3495" i="2" s="1" a="1"/>
  <c r="X3495" i="2" s="1"/>
  <c r="W3496" i="2"/>
  <c r="X3496" i="2" s="1" a="1"/>
  <c r="X3496" i="2" s="1"/>
  <c r="W3497" i="2"/>
  <c r="X3497" i="2" s="1" a="1"/>
  <c r="X3497" i="2" s="1"/>
  <c r="W3498" i="2"/>
  <c r="X3498" i="2" s="1" a="1"/>
  <c r="X3498" i="2" s="1"/>
  <c r="W3499" i="2"/>
  <c r="X3499" i="2" s="1" a="1"/>
  <c r="X3499" i="2" s="1"/>
  <c r="W3500" i="2"/>
  <c r="X3500" i="2" s="1" a="1"/>
  <c r="X3500" i="2" s="1"/>
  <c r="W3501" i="2"/>
  <c r="X3501" i="2" s="1" a="1"/>
  <c r="X3501" i="2" s="1"/>
  <c r="W3502" i="2"/>
  <c r="X3502" i="2" s="1" a="1"/>
  <c r="X3502" i="2" s="1"/>
  <c r="W3503" i="2"/>
  <c r="X3503" i="2" s="1" a="1"/>
  <c r="X3503" i="2" s="1"/>
  <c r="W3504" i="2"/>
  <c r="X3504" i="2" s="1" a="1"/>
  <c r="X3504" i="2" s="1"/>
  <c r="W3505" i="2"/>
  <c r="X3505" i="2" s="1" a="1"/>
  <c r="X3505" i="2" s="1"/>
  <c r="W3506" i="2"/>
  <c r="X3506" i="2" s="1" a="1"/>
  <c r="X3506" i="2" s="1"/>
  <c r="W3507" i="2"/>
  <c r="X3507" i="2" s="1" a="1"/>
  <c r="X3507" i="2" s="1"/>
  <c r="W3508" i="2"/>
  <c r="X3508" i="2" s="1" a="1"/>
  <c r="X3508" i="2" s="1"/>
  <c r="W3509" i="2"/>
  <c r="X3509" i="2" s="1" a="1"/>
  <c r="X3509" i="2" s="1"/>
  <c r="W3510" i="2"/>
  <c r="X3510" i="2" s="1" a="1"/>
  <c r="X3510" i="2" s="1"/>
  <c r="W3511" i="2"/>
  <c r="X3511" i="2" s="1" a="1"/>
  <c r="X3511" i="2" s="1"/>
  <c r="W3512" i="2"/>
  <c r="X3512" i="2" s="1" a="1"/>
  <c r="X3512" i="2" s="1"/>
  <c r="W3513" i="2"/>
  <c r="X3513" i="2" s="1" a="1"/>
  <c r="X3513" i="2" s="1"/>
  <c r="W3514" i="2"/>
  <c r="X3514" i="2" s="1" a="1"/>
  <c r="X3514" i="2" s="1"/>
  <c r="W3515" i="2"/>
  <c r="X3515" i="2" s="1" a="1"/>
  <c r="X3515" i="2" s="1"/>
  <c r="W3516" i="2"/>
  <c r="X3516" i="2" s="1" a="1"/>
  <c r="X3516" i="2" s="1"/>
  <c r="W3517" i="2"/>
  <c r="X3517" i="2" s="1" a="1"/>
  <c r="X3517" i="2" s="1"/>
  <c r="W3518" i="2"/>
  <c r="X3518" i="2" s="1" a="1"/>
  <c r="X3518" i="2" s="1"/>
  <c r="W3519" i="2"/>
  <c r="X3519" i="2" s="1" a="1"/>
  <c r="X3519" i="2" s="1"/>
  <c r="W3520" i="2"/>
  <c r="X3520" i="2" s="1" a="1"/>
  <c r="X3520" i="2" s="1"/>
  <c r="W3521" i="2"/>
  <c r="X3521" i="2" s="1" a="1"/>
  <c r="X3521" i="2" s="1"/>
  <c r="W3522" i="2"/>
  <c r="X3522" i="2" s="1" a="1"/>
  <c r="X3522" i="2" s="1"/>
  <c r="W3523" i="2"/>
  <c r="X3523" i="2" s="1" a="1"/>
  <c r="X3523" i="2" s="1"/>
  <c r="W3524" i="2"/>
  <c r="X3524" i="2" s="1" a="1"/>
  <c r="X3524" i="2" s="1"/>
  <c r="W3525" i="2"/>
  <c r="X3525" i="2" s="1" a="1"/>
  <c r="X3525" i="2" s="1"/>
  <c r="W3526" i="2"/>
  <c r="X3526" i="2" s="1" a="1"/>
  <c r="X3526" i="2" s="1"/>
  <c r="W3527" i="2"/>
  <c r="X3527" i="2" s="1" a="1"/>
  <c r="X3527" i="2" s="1"/>
  <c r="W3528" i="2"/>
  <c r="X3528" i="2" s="1" a="1"/>
  <c r="X3528" i="2" s="1"/>
  <c r="W3529" i="2"/>
  <c r="X3529" i="2" s="1" a="1"/>
  <c r="X3529" i="2" s="1"/>
  <c r="W3530" i="2"/>
  <c r="X3530" i="2" s="1" a="1"/>
  <c r="X3530" i="2" s="1"/>
  <c r="W3531" i="2"/>
  <c r="X3531" i="2" s="1" a="1"/>
  <c r="X3531" i="2" s="1"/>
  <c r="W3532" i="2"/>
  <c r="X3532" i="2" s="1" a="1"/>
  <c r="X3532" i="2" s="1"/>
  <c r="W3533" i="2"/>
  <c r="X3533" i="2" s="1" a="1"/>
  <c r="X3533" i="2" s="1"/>
  <c r="W3534" i="2"/>
  <c r="X3534" i="2" s="1" a="1"/>
  <c r="X3534" i="2" s="1"/>
  <c r="W3535" i="2"/>
  <c r="X3535" i="2" s="1" a="1"/>
  <c r="X3535" i="2" s="1"/>
  <c r="W3536" i="2"/>
  <c r="X3536" i="2" s="1" a="1"/>
  <c r="X3536" i="2" s="1"/>
  <c r="W3537" i="2"/>
  <c r="X3537" i="2" s="1" a="1"/>
  <c r="X3537" i="2" s="1"/>
  <c r="W3538" i="2"/>
  <c r="X3538" i="2" s="1" a="1"/>
  <c r="X3538" i="2" s="1"/>
  <c r="W3539" i="2"/>
  <c r="X3539" i="2" s="1" a="1"/>
  <c r="X3539" i="2" s="1"/>
  <c r="W3540" i="2"/>
  <c r="X3540" i="2" s="1" a="1"/>
  <c r="X3540" i="2" s="1"/>
  <c r="W3541" i="2"/>
  <c r="X3541" i="2" s="1" a="1"/>
  <c r="X3541" i="2" s="1"/>
  <c r="W3542" i="2"/>
  <c r="X3542" i="2" s="1" a="1"/>
  <c r="X3542" i="2" s="1"/>
  <c r="W3543" i="2"/>
  <c r="X3543" i="2" s="1" a="1"/>
  <c r="X3543" i="2" s="1"/>
  <c r="W3544" i="2"/>
  <c r="X3544" i="2" s="1" a="1"/>
  <c r="X3544" i="2" s="1"/>
  <c r="W3545" i="2"/>
  <c r="X3545" i="2" s="1" a="1"/>
  <c r="X3545" i="2" s="1"/>
  <c r="W3546" i="2"/>
  <c r="X3546" i="2" s="1" a="1"/>
  <c r="X3546" i="2" s="1"/>
  <c r="W3547" i="2"/>
  <c r="X3547" i="2" s="1" a="1"/>
  <c r="X3547" i="2" s="1"/>
  <c r="W3548" i="2"/>
  <c r="X3548" i="2" s="1" a="1"/>
  <c r="X3548" i="2" s="1"/>
  <c r="W3549" i="2"/>
  <c r="X3549" i="2" s="1" a="1"/>
  <c r="X3549" i="2" s="1"/>
  <c r="W3550" i="2"/>
  <c r="X3550" i="2" s="1" a="1"/>
  <c r="X3550" i="2" s="1"/>
  <c r="W3551" i="2"/>
  <c r="X3551" i="2" s="1" a="1"/>
  <c r="X3551" i="2" s="1"/>
  <c r="W3552" i="2"/>
  <c r="X3552" i="2" s="1" a="1"/>
  <c r="X3552" i="2" s="1"/>
  <c r="W3553" i="2"/>
  <c r="X3553" i="2" s="1" a="1"/>
  <c r="X3553" i="2" s="1"/>
  <c r="W3554" i="2"/>
  <c r="X3554" i="2" s="1" a="1"/>
  <c r="X3554" i="2" s="1"/>
  <c r="W3555" i="2"/>
  <c r="X3555" i="2" s="1" a="1"/>
  <c r="X3555" i="2" s="1"/>
  <c r="W3556" i="2"/>
  <c r="X3556" i="2" s="1" a="1"/>
  <c r="X3556" i="2" s="1"/>
  <c r="W3557" i="2"/>
  <c r="X3557" i="2" s="1" a="1"/>
  <c r="X3557" i="2" s="1"/>
  <c r="W3558" i="2"/>
  <c r="X3558" i="2" s="1" a="1"/>
  <c r="X3558" i="2" s="1"/>
  <c r="W3559" i="2"/>
  <c r="X3559" i="2" s="1" a="1"/>
  <c r="X3559" i="2" s="1"/>
  <c r="W3560" i="2"/>
  <c r="X3560" i="2" s="1" a="1"/>
  <c r="X3560" i="2" s="1"/>
  <c r="W3561" i="2"/>
  <c r="X3561" i="2" s="1" a="1"/>
  <c r="X3561" i="2" s="1"/>
  <c r="W3562" i="2"/>
  <c r="X3562" i="2" s="1" a="1"/>
  <c r="X3562" i="2" s="1"/>
  <c r="W3563" i="2"/>
  <c r="X3563" i="2" s="1" a="1"/>
  <c r="X3563" i="2" s="1"/>
  <c r="W3564" i="2"/>
  <c r="X3564" i="2" s="1" a="1"/>
  <c r="X3564" i="2" s="1"/>
  <c r="W3565" i="2"/>
  <c r="X3565" i="2" s="1" a="1"/>
  <c r="X3565" i="2" s="1"/>
  <c r="W3566" i="2"/>
  <c r="X3566" i="2" s="1" a="1"/>
  <c r="X3566" i="2" s="1"/>
  <c r="W3567" i="2"/>
  <c r="X3567" i="2" s="1" a="1"/>
  <c r="X3567" i="2" s="1"/>
  <c r="W3568" i="2"/>
  <c r="X3568" i="2" s="1" a="1"/>
  <c r="X3568" i="2" s="1"/>
  <c r="W3569" i="2"/>
  <c r="X3569" i="2" s="1" a="1"/>
  <c r="X3569" i="2" s="1"/>
  <c r="W3570" i="2"/>
  <c r="X3570" i="2" s="1" a="1"/>
  <c r="X3570" i="2" s="1"/>
  <c r="W3571" i="2"/>
  <c r="X3571" i="2" s="1" a="1"/>
  <c r="X3571" i="2" s="1"/>
  <c r="W3572" i="2"/>
  <c r="X3572" i="2" s="1" a="1"/>
  <c r="X3572" i="2" s="1"/>
  <c r="W3573" i="2"/>
  <c r="X3573" i="2" s="1" a="1"/>
  <c r="X3573" i="2" s="1"/>
  <c r="W3574" i="2"/>
  <c r="X3574" i="2" s="1" a="1"/>
  <c r="X3574" i="2" s="1"/>
  <c r="W3575" i="2"/>
  <c r="X3575" i="2" s="1" a="1"/>
  <c r="X3575" i="2" s="1"/>
  <c r="W3576" i="2"/>
  <c r="X3576" i="2" s="1" a="1"/>
  <c r="X3576" i="2" s="1"/>
  <c r="W3577" i="2"/>
  <c r="X3577" i="2" s="1" a="1"/>
  <c r="X3577" i="2" s="1"/>
  <c r="W3578" i="2"/>
  <c r="X3578" i="2" s="1" a="1"/>
  <c r="X3578" i="2" s="1"/>
  <c r="W3579" i="2"/>
  <c r="X3579" i="2" s="1" a="1"/>
  <c r="X3579" i="2" s="1"/>
  <c r="W3580" i="2"/>
  <c r="X3580" i="2" s="1" a="1"/>
  <c r="X3580" i="2" s="1"/>
  <c r="W3581" i="2"/>
  <c r="X3581" i="2" s="1" a="1"/>
  <c r="X3581" i="2" s="1"/>
  <c r="W3582" i="2"/>
  <c r="X3582" i="2" s="1" a="1"/>
  <c r="X3582" i="2" s="1"/>
  <c r="W3583" i="2"/>
  <c r="X3583" i="2" s="1" a="1"/>
  <c r="X3583" i="2" s="1"/>
  <c r="W3584" i="2"/>
  <c r="X3584" i="2" s="1" a="1"/>
  <c r="X3584" i="2" s="1"/>
  <c r="W3585" i="2"/>
  <c r="X3585" i="2" s="1" a="1"/>
  <c r="X3585" i="2" s="1"/>
  <c r="W3586" i="2"/>
  <c r="X3586" i="2" s="1" a="1"/>
  <c r="X3586" i="2" s="1"/>
  <c r="W3587" i="2"/>
  <c r="X3587" i="2" s="1" a="1"/>
  <c r="X3587" i="2" s="1"/>
  <c r="W3588" i="2"/>
  <c r="X3588" i="2" s="1" a="1"/>
  <c r="X3588" i="2" s="1"/>
  <c r="W3589" i="2"/>
  <c r="X3589" i="2" s="1" a="1"/>
  <c r="X3589" i="2" s="1"/>
  <c r="W3590" i="2"/>
  <c r="X3590" i="2" s="1" a="1"/>
  <c r="X3590" i="2" s="1"/>
  <c r="W3591" i="2"/>
  <c r="X3591" i="2" s="1" a="1"/>
  <c r="X3591" i="2" s="1"/>
  <c r="W3592" i="2"/>
  <c r="X3592" i="2" s="1" a="1"/>
  <c r="X3592" i="2" s="1"/>
  <c r="W3593" i="2"/>
  <c r="X3593" i="2" s="1" a="1"/>
  <c r="X3593" i="2" s="1"/>
  <c r="W3594" i="2"/>
  <c r="X3594" i="2" s="1" a="1"/>
  <c r="X3594" i="2" s="1"/>
  <c r="W3595" i="2"/>
  <c r="X3595" i="2" s="1" a="1"/>
  <c r="X3595" i="2" s="1"/>
  <c r="W3596" i="2"/>
  <c r="X3596" i="2" s="1" a="1"/>
  <c r="X3596" i="2" s="1"/>
  <c r="W3597" i="2"/>
  <c r="X3597" i="2" s="1" a="1"/>
  <c r="X3597" i="2" s="1"/>
  <c r="W3598" i="2"/>
  <c r="X3598" i="2" s="1" a="1"/>
  <c r="X3598" i="2" s="1"/>
  <c r="W3599" i="2"/>
  <c r="X3599" i="2" s="1" a="1"/>
  <c r="X3599" i="2" s="1"/>
  <c r="W3600" i="2"/>
  <c r="X3600" i="2" s="1" a="1"/>
  <c r="X3600" i="2" s="1"/>
  <c r="W3601" i="2"/>
  <c r="X3601" i="2" s="1" a="1"/>
  <c r="X3601" i="2" s="1"/>
  <c r="W3602" i="2"/>
  <c r="X3602" i="2" s="1" a="1"/>
  <c r="X3602" i="2" s="1"/>
  <c r="W3603" i="2"/>
  <c r="X3603" i="2" s="1" a="1"/>
  <c r="X3603" i="2" s="1"/>
  <c r="W3604" i="2"/>
  <c r="X3604" i="2" s="1" a="1"/>
  <c r="X3604" i="2" s="1"/>
  <c r="W3605" i="2"/>
  <c r="X3605" i="2" s="1" a="1"/>
  <c r="X3605" i="2" s="1"/>
  <c r="W3606" i="2"/>
  <c r="X3606" i="2" s="1" a="1"/>
  <c r="X3606" i="2" s="1"/>
  <c r="W3607" i="2"/>
  <c r="X3607" i="2" s="1" a="1"/>
  <c r="X3607" i="2" s="1"/>
  <c r="W3608" i="2"/>
  <c r="X3608" i="2" s="1" a="1"/>
  <c r="X3608" i="2" s="1"/>
  <c r="W3609" i="2"/>
  <c r="X3609" i="2" s="1" a="1"/>
  <c r="X3609" i="2" s="1"/>
  <c r="W3610" i="2"/>
  <c r="X3610" i="2" s="1" a="1"/>
  <c r="X3610" i="2" s="1"/>
  <c r="W3611" i="2"/>
  <c r="X3611" i="2" s="1" a="1"/>
  <c r="X3611" i="2" s="1"/>
  <c r="W3612" i="2"/>
  <c r="X3612" i="2" s="1" a="1"/>
  <c r="X3612" i="2" s="1"/>
  <c r="W3613" i="2"/>
  <c r="X3613" i="2" s="1" a="1"/>
  <c r="X3613" i="2" s="1"/>
  <c r="W3614" i="2"/>
  <c r="X3614" i="2" s="1" a="1"/>
  <c r="X3614" i="2" s="1"/>
  <c r="W3615" i="2"/>
  <c r="X3615" i="2" s="1" a="1"/>
  <c r="X3615" i="2" s="1"/>
  <c r="W3616" i="2"/>
  <c r="X3616" i="2" s="1" a="1"/>
  <c r="X3616" i="2" s="1"/>
  <c r="W3617" i="2"/>
  <c r="X3617" i="2" s="1" a="1"/>
  <c r="X3617" i="2" s="1"/>
  <c r="W3618" i="2"/>
  <c r="X3618" i="2" s="1" a="1"/>
  <c r="X3618" i="2" s="1"/>
  <c r="W3619" i="2"/>
  <c r="X3619" i="2" s="1" a="1"/>
  <c r="X3619" i="2" s="1"/>
  <c r="W3620" i="2"/>
  <c r="X3620" i="2" s="1" a="1"/>
  <c r="X3620" i="2" s="1"/>
  <c r="W3621" i="2"/>
  <c r="X3621" i="2" s="1" a="1"/>
  <c r="X3621" i="2" s="1"/>
  <c r="W3622" i="2"/>
  <c r="X3622" i="2" s="1" a="1"/>
  <c r="X3622" i="2" s="1"/>
  <c r="W3623" i="2"/>
  <c r="X3623" i="2" s="1" a="1"/>
  <c r="X3623" i="2" s="1"/>
  <c r="W3624" i="2"/>
  <c r="X3624" i="2" s="1" a="1"/>
  <c r="X3624" i="2" s="1"/>
  <c r="W3625" i="2"/>
  <c r="X3625" i="2" s="1" a="1"/>
  <c r="X3625" i="2" s="1"/>
  <c r="W3626" i="2"/>
  <c r="X3626" i="2" s="1" a="1"/>
  <c r="X3626" i="2" s="1"/>
  <c r="W3627" i="2"/>
  <c r="X3627" i="2" s="1" a="1"/>
  <c r="X3627" i="2" s="1"/>
  <c r="W3628" i="2"/>
  <c r="X3628" i="2" s="1" a="1"/>
  <c r="X3628" i="2" s="1"/>
  <c r="W3629" i="2"/>
  <c r="X3629" i="2" s="1" a="1"/>
  <c r="X3629" i="2" s="1"/>
  <c r="W3630" i="2"/>
  <c r="X3630" i="2" s="1" a="1"/>
  <c r="X3630" i="2" s="1"/>
  <c r="W3631" i="2"/>
  <c r="X3631" i="2" s="1" a="1"/>
  <c r="X3631" i="2" s="1"/>
  <c r="W3632" i="2"/>
  <c r="X3632" i="2" s="1" a="1"/>
  <c r="X3632" i="2" s="1"/>
  <c r="W3633" i="2"/>
  <c r="X3633" i="2" s="1" a="1"/>
  <c r="X3633" i="2" s="1"/>
  <c r="W3634" i="2"/>
  <c r="X3634" i="2" s="1" a="1"/>
  <c r="X3634" i="2" s="1"/>
  <c r="W3635" i="2"/>
  <c r="X3635" i="2" s="1" a="1"/>
  <c r="X3635" i="2" s="1"/>
  <c r="W3636" i="2"/>
  <c r="X3636" i="2" s="1" a="1"/>
  <c r="X3636" i="2" s="1"/>
  <c r="W3637" i="2"/>
  <c r="X3637" i="2" s="1" a="1"/>
  <c r="X3637" i="2" s="1"/>
  <c r="W3638" i="2"/>
  <c r="X3638" i="2" s="1" a="1"/>
  <c r="X3638" i="2" s="1"/>
  <c r="W3639" i="2"/>
  <c r="X3639" i="2" s="1" a="1"/>
  <c r="X3639" i="2" s="1"/>
  <c r="W3640" i="2"/>
  <c r="X3640" i="2" s="1" a="1"/>
  <c r="X3640" i="2" s="1"/>
  <c r="W3641" i="2"/>
  <c r="X3641" i="2" s="1" a="1"/>
  <c r="X3641" i="2" s="1"/>
  <c r="W3642" i="2"/>
  <c r="X3642" i="2" s="1" a="1"/>
  <c r="X3642" i="2" s="1"/>
  <c r="W3643" i="2"/>
  <c r="X3643" i="2" s="1" a="1"/>
  <c r="X3643" i="2" s="1"/>
  <c r="W3644" i="2"/>
  <c r="X3644" i="2" s="1" a="1"/>
  <c r="X3644" i="2" s="1"/>
  <c r="W3645" i="2"/>
  <c r="X3645" i="2" s="1" a="1"/>
  <c r="X3645" i="2" s="1"/>
  <c r="W3646" i="2"/>
  <c r="X3646" i="2" s="1" a="1"/>
  <c r="X3646" i="2" s="1"/>
  <c r="W3647" i="2"/>
  <c r="X3647" i="2" s="1" a="1"/>
  <c r="X3647" i="2" s="1"/>
  <c r="W3648" i="2"/>
  <c r="X3648" i="2" s="1" a="1"/>
  <c r="X3648" i="2" s="1"/>
  <c r="W3649" i="2"/>
  <c r="X3649" i="2" s="1" a="1"/>
  <c r="X3649" i="2" s="1"/>
  <c r="W3650" i="2"/>
  <c r="X3650" i="2" s="1" a="1"/>
  <c r="X3650" i="2" s="1"/>
  <c r="W3651" i="2"/>
  <c r="X3651" i="2" s="1" a="1"/>
  <c r="X3651" i="2" s="1"/>
  <c r="W3652" i="2"/>
  <c r="X3652" i="2" s="1" a="1"/>
  <c r="X3652" i="2" s="1"/>
  <c r="W3653" i="2"/>
  <c r="X3653" i="2" s="1" a="1"/>
  <c r="X3653" i="2" s="1"/>
  <c r="W3654" i="2"/>
  <c r="X3654" i="2" s="1" a="1"/>
  <c r="X3654" i="2" s="1"/>
  <c r="W3655" i="2"/>
  <c r="X3655" i="2" s="1" a="1"/>
  <c r="X3655" i="2" s="1"/>
  <c r="W3656" i="2"/>
  <c r="X3656" i="2" s="1" a="1"/>
  <c r="X3656" i="2" s="1"/>
  <c r="W3657" i="2"/>
  <c r="X3657" i="2" s="1" a="1"/>
  <c r="X3657" i="2" s="1"/>
  <c r="W3658" i="2"/>
  <c r="X3658" i="2" s="1" a="1"/>
  <c r="X3658" i="2" s="1"/>
  <c r="W3659" i="2"/>
  <c r="X3659" i="2" s="1" a="1"/>
  <c r="X3659" i="2" s="1"/>
  <c r="W3660" i="2"/>
  <c r="X3660" i="2" s="1" a="1"/>
  <c r="X3660" i="2" s="1"/>
  <c r="W3661" i="2"/>
  <c r="X3661" i="2" s="1" a="1"/>
  <c r="X3661" i="2" s="1"/>
  <c r="W3662" i="2"/>
  <c r="X3662" i="2" s="1" a="1"/>
  <c r="X3662" i="2" s="1"/>
  <c r="W3663" i="2"/>
  <c r="X3663" i="2" s="1" a="1"/>
  <c r="X3663" i="2" s="1"/>
  <c r="W3664" i="2"/>
  <c r="X3664" i="2" s="1" a="1"/>
  <c r="X3664" i="2" s="1"/>
  <c r="W3665" i="2"/>
  <c r="X3665" i="2" s="1" a="1"/>
  <c r="X3665" i="2" s="1"/>
  <c r="W3666" i="2"/>
  <c r="X3666" i="2" s="1" a="1"/>
  <c r="X3666" i="2" s="1"/>
  <c r="W3667" i="2"/>
  <c r="X3667" i="2" s="1" a="1"/>
  <c r="X3667" i="2" s="1"/>
  <c r="W3668" i="2"/>
  <c r="X3668" i="2" s="1" a="1"/>
  <c r="X3668" i="2" s="1"/>
  <c r="W3669" i="2"/>
  <c r="X3669" i="2" s="1" a="1"/>
  <c r="X3669" i="2" s="1"/>
  <c r="W3670" i="2"/>
  <c r="X3670" i="2" s="1" a="1"/>
  <c r="X3670" i="2" s="1"/>
  <c r="W3671" i="2"/>
  <c r="X3671" i="2" s="1" a="1"/>
  <c r="X3671" i="2" s="1"/>
  <c r="W3672" i="2"/>
  <c r="X3672" i="2" s="1" a="1"/>
  <c r="X3672" i="2" s="1"/>
  <c r="W3673" i="2"/>
  <c r="X3673" i="2" s="1" a="1"/>
  <c r="X3673" i="2" s="1"/>
  <c r="W3674" i="2"/>
  <c r="X3674" i="2" s="1" a="1"/>
  <c r="X3674" i="2" s="1"/>
  <c r="W3675" i="2"/>
  <c r="X3675" i="2" s="1" a="1"/>
  <c r="X3675" i="2" s="1"/>
  <c r="W3676" i="2"/>
  <c r="X3676" i="2" s="1" a="1"/>
  <c r="X3676" i="2" s="1"/>
  <c r="W3677" i="2"/>
  <c r="X3677" i="2" s="1" a="1"/>
  <c r="X3677" i="2" s="1"/>
  <c r="W3678" i="2"/>
  <c r="X3678" i="2" s="1" a="1"/>
  <c r="X3678" i="2" s="1"/>
  <c r="W3679" i="2"/>
  <c r="X3679" i="2" s="1" a="1"/>
  <c r="X3679" i="2" s="1"/>
  <c r="W3680" i="2"/>
  <c r="X3680" i="2" s="1" a="1"/>
  <c r="X3680" i="2" s="1"/>
  <c r="W3681" i="2"/>
  <c r="X3681" i="2" s="1" a="1"/>
  <c r="X3681" i="2" s="1"/>
  <c r="W3682" i="2"/>
  <c r="X3682" i="2" s="1" a="1"/>
  <c r="X3682" i="2" s="1"/>
  <c r="W3683" i="2"/>
  <c r="X3683" i="2" s="1" a="1"/>
  <c r="X3683" i="2" s="1"/>
  <c r="W3684" i="2"/>
  <c r="X3684" i="2" s="1" a="1"/>
  <c r="X3684" i="2" s="1"/>
  <c r="W3685" i="2"/>
  <c r="X3685" i="2" s="1" a="1"/>
  <c r="X3685" i="2" s="1"/>
  <c r="W3686" i="2"/>
  <c r="X3686" i="2" s="1" a="1"/>
  <c r="X3686" i="2" s="1"/>
  <c r="W3687" i="2"/>
  <c r="X3687" i="2" s="1" a="1"/>
  <c r="X3687" i="2" s="1"/>
  <c r="W3688" i="2"/>
  <c r="X3688" i="2" s="1" a="1"/>
  <c r="X3688" i="2" s="1"/>
  <c r="W3689" i="2"/>
  <c r="X3689" i="2" s="1" a="1"/>
  <c r="X3689" i="2" s="1"/>
  <c r="W3690" i="2"/>
  <c r="X3690" i="2" s="1" a="1"/>
  <c r="X3690" i="2" s="1"/>
  <c r="W3691" i="2"/>
  <c r="X3691" i="2" s="1" a="1"/>
  <c r="X3691" i="2" s="1"/>
  <c r="W3692" i="2"/>
  <c r="X3692" i="2" s="1" a="1"/>
  <c r="X3692" i="2" s="1"/>
  <c r="W3693" i="2"/>
  <c r="X3693" i="2" s="1" a="1"/>
  <c r="X3693" i="2" s="1"/>
  <c r="W3694" i="2"/>
  <c r="X3694" i="2" s="1" a="1"/>
  <c r="X3694" i="2" s="1"/>
  <c r="W3695" i="2"/>
  <c r="X3695" i="2" s="1" a="1"/>
  <c r="X3695" i="2" s="1"/>
  <c r="W3696" i="2"/>
  <c r="X3696" i="2" s="1" a="1"/>
  <c r="X3696" i="2" s="1"/>
  <c r="W3697" i="2"/>
  <c r="X3697" i="2" s="1" a="1"/>
  <c r="X3697" i="2" s="1"/>
  <c r="W3698" i="2"/>
  <c r="X3698" i="2" s="1" a="1"/>
  <c r="X3698" i="2" s="1"/>
  <c r="W3699" i="2"/>
  <c r="X3699" i="2" s="1" a="1"/>
  <c r="X3699" i="2" s="1"/>
  <c r="W3700" i="2"/>
  <c r="X3700" i="2" s="1" a="1"/>
  <c r="X3700" i="2" s="1"/>
  <c r="W3701" i="2"/>
  <c r="X3701" i="2" s="1" a="1"/>
  <c r="X3701" i="2" s="1"/>
  <c r="W3702" i="2"/>
  <c r="X3702" i="2" s="1" a="1"/>
  <c r="X3702" i="2" s="1"/>
  <c r="W3703" i="2"/>
  <c r="X3703" i="2" s="1" a="1"/>
  <c r="X3703" i="2" s="1"/>
  <c r="W3704" i="2"/>
  <c r="X3704" i="2" s="1" a="1"/>
  <c r="X3704" i="2" s="1"/>
  <c r="W3705" i="2"/>
  <c r="X3705" i="2" s="1" a="1"/>
  <c r="X3705" i="2" s="1"/>
  <c r="W3706" i="2"/>
  <c r="X3706" i="2" s="1" a="1"/>
  <c r="X3706" i="2" s="1"/>
  <c r="W3707" i="2"/>
  <c r="X3707" i="2" s="1" a="1"/>
  <c r="X3707" i="2" s="1"/>
  <c r="W3708" i="2"/>
  <c r="X3708" i="2" s="1" a="1"/>
  <c r="X3708" i="2" s="1"/>
  <c r="W3709" i="2"/>
  <c r="X3709" i="2" s="1" a="1"/>
  <c r="X3709" i="2" s="1"/>
  <c r="W3710" i="2"/>
  <c r="X3710" i="2" s="1" a="1"/>
  <c r="X3710" i="2" s="1"/>
  <c r="W3711" i="2"/>
  <c r="X3711" i="2" s="1" a="1"/>
  <c r="X3711" i="2" s="1"/>
  <c r="W3712" i="2"/>
  <c r="X3712" i="2" s="1" a="1"/>
  <c r="X3712" i="2" s="1"/>
  <c r="W3713" i="2"/>
  <c r="X3713" i="2" s="1" a="1"/>
  <c r="X3713" i="2" s="1"/>
  <c r="W3714" i="2"/>
  <c r="X3714" i="2" s="1" a="1"/>
  <c r="X3714" i="2" s="1"/>
  <c r="W3715" i="2"/>
  <c r="X3715" i="2" s="1" a="1"/>
  <c r="X3715" i="2" s="1"/>
  <c r="W3716" i="2"/>
  <c r="X3716" i="2" s="1" a="1"/>
  <c r="X3716" i="2" s="1"/>
  <c r="W3717" i="2"/>
  <c r="X3717" i="2" s="1" a="1"/>
  <c r="X3717" i="2" s="1"/>
  <c r="W3718" i="2"/>
  <c r="X3718" i="2" s="1" a="1"/>
  <c r="X3718" i="2" s="1"/>
  <c r="W3719" i="2"/>
  <c r="X3719" i="2" s="1" a="1"/>
  <c r="X3719" i="2" s="1"/>
  <c r="W3720" i="2"/>
  <c r="X3720" i="2" s="1" a="1"/>
  <c r="X3720" i="2" s="1"/>
  <c r="W3721" i="2"/>
  <c r="X3721" i="2" s="1" a="1"/>
  <c r="X3721" i="2" s="1"/>
  <c r="W3722" i="2"/>
  <c r="X3722" i="2" s="1" a="1"/>
  <c r="X3722" i="2" s="1"/>
  <c r="W3723" i="2"/>
  <c r="X3723" i="2" s="1" a="1"/>
  <c r="X3723" i="2" s="1"/>
  <c r="W3724" i="2"/>
  <c r="X3724" i="2" s="1" a="1"/>
  <c r="X3724" i="2" s="1"/>
  <c r="W3725" i="2"/>
  <c r="X3725" i="2" s="1" a="1"/>
  <c r="X3725" i="2" s="1"/>
  <c r="W3726" i="2"/>
  <c r="X3726" i="2" s="1" a="1"/>
  <c r="X3726" i="2" s="1"/>
  <c r="W3727" i="2"/>
  <c r="X3727" i="2" s="1" a="1"/>
  <c r="X3727" i="2" s="1"/>
  <c r="W3728" i="2"/>
  <c r="X3728" i="2" s="1" a="1"/>
  <c r="X3728" i="2" s="1"/>
  <c r="W3729" i="2"/>
  <c r="X3729" i="2" s="1" a="1"/>
  <c r="X3729" i="2" s="1"/>
  <c r="W3730" i="2"/>
  <c r="X3730" i="2" s="1" a="1"/>
  <c r="X3730" i="2" s="1"/>
  <c r="W3731" i="2"/>
  <c r="X3731" i="2" s="1" a="1"/>
  <c r="X3731" i="2" s="1"/>
  <c r="W3732" i="2"/>
  <c r="X3732" i="2" s="1" a="1"/>
  <c r="X3732" i="2" s="1"/>
  <c r="W3733" i="2"/>
  <c r="X3733" i="2" s="1" a="1"/>
  <c r="X3733" i="2" s="1"/>
  <c r="W3734" i="2"/>
  <c r="X3734" i="2" s="1" a="1"/>
  <c r="X3734" i="2" s="1"/>
  <c r="W3735" i="2"/>
  <c r="X3735" i="2" s="1" a="1"/>
  <c r="X3735" i="2" s="1"/>
  <c r="W3736" i="2"/>
  <c r="X3736" i="2" s="1" a="1"/>
  <c r="X3736" i="2" s="1"/>
  <c r="W3737" i="2"/>
  <c r="X3737" i="2" s="1" a="1"/>
  <c r="X3737" i="2" s="1"/>
  <c r="W3738" i="2"/>
  <c r="X3738" i="2" s="1" a="1"/>
  <c r="X3738" i="2" s="1"/>
  <c r="W3739" i="2"/>
  <c r="X3739" i="2" s="1" a="1"/>
  <c r="X3739" i="2" s="1"/>
  <c r="W3740" i="2"/>
  <c r="X3740" i="2" s="1" a="1"/>
  <c r="X3740" i="2" s="1"/>
  <c r="W3741" i="2"/>
  <c r="X3741" i="2" s="1" a="1"/>
  <c r="X3741" i="2" s="1"/>
  <c r="W3742" i="2"/>
  <c r="X3742" i="2" s="1" a="1"/>
  <c r="X3742" i="2" s="1"/>
  <c r="W3743" i="2"/>
  <c r="X3743" i="2" s="1" a="1"/>
  <c r="X3743" i="2" s="1"/>
  <c r="W3744" i="2"/>
  <c r="X3744" i="2" s="1" a="1"/>
  <c r="X3744" i="2" s="1"/>
  <c r="W3745" i="2"/>
  <c r="X3745" i="2" s="1" a="1"/>
  <c r="X3745" i="2" s="1"/>
  <c r="W3746" i="2"/>
  <c r="X3746" i="2" s="1" a="1"/>
  <c r="X3746" i="2" s="1"/>
  <c r="W3747" i="2"/>
  <c r="X3747" i="2" s="1" a="1"/>
  <c r="X3747" i="2" s="1"/>
  <c r="W3748" i="2"/>
  <c r="X3748" i="2" s="1" a="1"/>
  <c r="X3748" i="2" s="1"/>
  <c r="W3749" i="2"/>
  <c r="X3749" i="2" s="1" a="1"/>
  <c r="X3749" i="2" s="1"/>
  <c r="W3750" i="2"/>
  <c r="X3750" i="2" s="1" a="1"/>
  <c r="X3750" i="2" s="1"/>
  <c r="W3751" i="2"/>
  <c r="X3751" i="2" s="1" a="1"/>
  <c r="X3751" i="2" s="1"/>
  <c r="W3752" i="2"/>
  <c r="X3752" i="2" s="1" a="1"/>
  <c r="X3752" i="2" s="1"/>
  <c r="W3753" i="2"/>
  <c r="X3753" i="2" s="1" a="1"/>
  <c r="X3753" i="2" s="1"/>
  <c r="W3754" i="2"/>
  <c r="X3754" i="2" s="1" a="1"/>
  <c r="X3754" i="2" s="1"/>
  <c r="W3755" i="2"/>
  <c r="X3755" i="2" s="1" a="1"/>
  <c r="X3755" i="2" s="1"/>
  <c r="W3756" i="2"/>
  <c r="X3756" i="2" s="1" a="1"/>
  <c r="X3756" i="2" s="1"/>
  <c r="W3757" i="2"/>
  <c r="X3757" i="2" s="1" a="1"/>
  <c r="X3757" i="2" s="1"/>
  <c r="W3758" i="2"/>
  <c r="X3758" i="2" s="1" a="1"/>
  <c r="X3758" i="2" s="1"/>
  <c r="W3759" i="2"/>
  <c r="X3759" i="2" s="1" a="1"/>
  <c r="X3759" i="2" s="1"/>
  <c r="W3760" i="2"/>
  <c r="X3760" i="2" s="1" a="1"/>
  <c r="X3760" i="2" s="1"/>
  <c r="W3761" i="2"/>
  <c r="X3761" i="2" s="1" a="1"/>
  <c r="X3761" i="2" s="1"/>
  <c r="W3762" i="2"/>
  <c r="X3762" i="2" s="1" a="1"/>
  <c r="X3762" i="2" s="1"/>
  <c r="W3763" i="2"/>
  <c r="X3763" i="2" s="1" a="1"/>
  <c r="X3763" i="2" s="1"/>
  <c r="W3764" i="2"/>
  <c r="X3764" i="2" s="1" a="1"/>
  <c r="X3764" i="2" s="1"/>
  <c r="W3765" i="2"/>
  <c r="X3765" i="2" s="1" a="1"/>
  <c r="X3765" i="2" s="1"/>
  <c r="W3766" i="2"/>
  <c r="X3766" i="2" s="1" a="1"/>
  <c r="X3766" i="2" s="1"/>
  <c r="W3767" i="2"/>
  <c r="X3767" i="2" s="1" a="1"/>
  <c r="X3767" i="2" s="1"/>
  <c r="W3768" i="2"/>
  <c r="X3768" i="2" s="1" a="1"/>
  <c r="X3768" i="2" s="1"/>
  <c r="W3769" i="2"/>
  <c r="X3769" i="2" s="1" a="1"/>
  <c r="X3769" i="2" s="1"/>
  <c r="W3770" i="2"/>
  <c r="X3770" i="2" s="1" a="1"/>
  <c r="X3770" i="2" s="1"/>
  <c r="W3771" i="2"/>
  <c r="X3771" i="2" s="1" a="1"/>
  <c r="X3771" i="2" s="1"/>
  <c r="W3772" i="2"/>
  <c r="X3772" i="2" s="1" a="1"/>
  <c r="X3772" i="2" s="1"/>
  <c r="W3773" i="2"/>
  <c r="X3773" i="2" s="1" a="1"/>
  <c r="X3773" i="2" s="1"/>
  <c r="W3774" i="2"/>
  <c r="X3774" i="2" s="1" a="1"/>
  <c r="X3774" i="2" s="1"/>
  <c r="W3775" i="2"/>
  <c r="X3775" i="2" s="1" a="1"/>
  <c r="X3775" i="2" s="1"/>
  <c r="W3776" i="2"/>
  <c r="X3776" i="2" s="1" a="1"/>
  <c r="X3776" i="2" s="1"/>
  <c r="W3777" i="2"/>
  <c r="X3777" i="2" s="1" a="1"/>
  <c r="X3777" i="2" s="1"/>
  <c r="W3778" i="2"/>
  <c r="X3778" i="2" s="1" a="1"/>
  <c r="X3778" i="2" s="1"/>
  <c r="W3779" i="2"/>
  <c r="X3779" i="2" s="1" a="1"/>
  <c r="X3779" i="2" s="1"/>
  <c r="W3780" i="2"/>
  <c r="X3780" i="2" s="1" a="1"/>
  <c r="X3780" i="2" s="1"/>
  <c r="W3781" i="2"/>
  <c r="X3781" i="2" s="1" a="1"/>
  <c r="X3781" i="2" s="1"/>
  <c r="W3782" i="2"/>
  <c r="X3782" i="2" s="1" a="1"/>
  <c r="X3782" i="2" s="1"/>
  <c r="W3783" i="2"/>
  <c r="X3783" i="2" s="1" a="1"/>
  <c r="X3783" i="2" s="1"/>
  <c r="W3784" i="2"/>
  <c r="X3784" i="2" s="1" a="1"/>
  <c r="X3784" i="2" s="1"/>
  <c r="W3785" i="2"/>
  <c r="X3785" i="2" s="1" a="1"/>
  <c r="X3785" i="2" s="1"/>
  <c r="W3786" i="2"/>
  <c r="X3786" i="2" s="1" a="1"/>
  <c r="X3786" i="2" s="1"/>
  <c r="W3787" i="2"/>
  <c r="X3787" i="2" s="1" a="1"/>
  <c r="X3787" i="2" s="1"/>
  <c r="W3788" i="2"/>
  <c r="X3788" i="2" s="1" a="1"/>
  <c r="X3788" i="2" s="1"/>
  <c r="W3789" i="2"/>
  <c r="X3789" i="2" s="1" a="1"/>
  <c r="X3789" i="2" s="1"/>
  <c r="W3790" i="2"/>
  <c r="X3790" i="2" s="1" a="1"/>
  <c r="X3790" i="2" s="1"/>
  <c r="W3791" i="2"/>
  <c r="X3791" i="2" s="1" a="1"/>
  <c r="X3791" i="2" s="1"/>
  <c r="W3792" i="2"/>
  <c r="X3792" i="2" s="1" a="1"/>
  <c r="X3792" i="2" s="1"/>
  <c r="W3793" i="2"/>
  <c r="X3793" i="2" s="1" a="1"/>
  <c r="X3793" i="2" s="1"/>
  <c r="W3794" i="2"/>
  <c r="X3794" i="2" s="1" a="1"/>
  <c r="X3794" i="2" s="1"/>
  <c r="W3795" i="2"/>
  <c r="X3795" i="2" s="1" a="1"/>
  <c r="X3795" i="2" s="1"/>
  <c r="W3796" i="2"/>
  <c r="X3796" i="2" s="1" a="1"/>
  <c r="X3796" i="2" s="1"/>
  <c r="W3797" i="2"/>
  <c r="X3797" i="2" s="1" a="1"/>
  <c r="X3797" i="2" s="1"/>
  <c r="W3798" i="2"/>
  <c r="X3798" i="2" s="1" a="1"/>
  <c r="X3798" i="2" s="1"/>
  <c r="W3799" i="2"/>
  <c r="X3799" i="2" s="1" a="1"/>
  <c r="X3799" i="2" s="1"/>
  <c r="W3800" i="2"/>
  <c r="X3800" i="2" s="1" a="1"/>
  <c r="X3800" i="2" s="1"/>
  <c r="W3801" i="2"/>
  <c r="X3801" i="2" s="1" a="1"/>
  <c r="X3801" i="2" s="1"/>
  <c r="W3802" i="2"/>
  <c r="X3802" i="2" s="1" a="1"/>
  <c r="X3802" i="2" s="1"/>
  <c r="W3803" i="2"/>
  <c r="X3803" i="2" s="1" a="1"/>
  <c r="X3803" i="2" s="1"/>
  <c r="W3804" i="2"/>
  <c r="X3804" i="2" s="1" a="1"/>
  <c r="X3804" i="2" s="1"/>
  <c r="W3805" i="2"/>
  <c r="X3805" i="2" s="1" a="1"/>
  <c r="X3805" i="2" s="1"/>
  <c r="W3806" i="2"/>
  <c r="X3806" i="2" s="1" a="1"/>
  <c r="X3806" i="2" s="1"/>
  <c r="W3807" i="2"/>
  <c r="X3807" i="2" s="1" a="1"/>
  <c r="X3807" i="2" s="1"/>
  <c r="W3808" i="2"/>
  <c r="X3808" i="2" s="1" a="1"/>
  <c r="X3808" i="2" s="1"/>
  <c r="W3809" i="2"/>
  <c r="X3809" i="2" s="1" a="1"/>
  <c r="X3809" i="2" s="1"/>
  <c r="W3810" i="2"/>
  <c r="X3810" i="2" s="1" a="1"/>
  <c r="X3810" i="2" s="1"/>
  <c r="W3811" i="2"/>
  <c r="X3811" i="2" s="1" a="1"/>
  <c r="X3811" i="2" s="1"/>
  <c r="W3812" i="2"/>
  <c r="X3812" i="2" s="1" a="1"/>
  <c r="X3812" i="2" s="1"/>
  <c r="W3813" i="2"/>
  <c r="X3813" i="2" s="1" a="1"/>
  <c r="X3813" i="2" s="1"/>
  <c r="W3814" i="2"/>
  <c r="X3814" i="2" s="1" a="1"/>
  <c r="X3814" i="2" s="1"/>
  <c r="W3815" i="2"/>
  <c r="X3815" i="2" s="1" a="1"/>
  <c r="X3815" i="2" s="1"/>
  <c r="W3816" i="2"/>
  <c r="X3816" i="2" s="1" a="1"/>
  <c r="X3816" i="2" s="1"/>
  <c r="W3817" i="2"/>
  <c r="X3817" i="2" s="1" a="1"/>
  <c r="X3817" i="2" s="1"/>
  <c r="W3818" i="2"/>
  <c r="X3818" i="2" s="1" a="1"/>
  <c r="X3818" i="2" s="1"/>
  <c r="W3819" i="2"/>
  <c r="X3819" i="2" s="1" a="1"/>
  <c r="X3819" i="2" s="1"/>
  <c r="W3820" i="2"/>
  <c r="X3820" i="2" s="1" a="1"/>
  <c r="X3820" i="2" s="1"/>
  <c r="W3821" i="2"/>
  <c r="X3821" i="2" s="1" a="1"/>
  <c r="X3821" i="2" s="1"/>
  <c r="W3822" i="2"/>
  <c r="X3822" i="2" s="1" a="1"/>
  <c r="X3822" i="2" s="1"/>
  <c r="W3823" i="2"/>
  <c r="X3823" i="2" s="1" a="1"/>
  <c r="X3823" i="2" s="1"/>
  <c r="W3824" i="2"/>
  <c r="X3824" i="2" s="1" a="1"/>
  <c r="X3824" i="2" s="1"/>
  <c r="W3825" i="2"/>
  <c r="X3825" i="2" s="1" a="1"/>
  <c r="X3825" i="2" s="1"/>
  <c r="W3826" i="2"/>
  <c r="X3826" i="2" s="1" a="1"/>
  <c r="X3826" i="2" s="1"/>
  <c r="W3827" i="2"/>
  <c r="X3827" i="2" s="1" a="1"/>
  <c r="X3827" i="2" s="1"/>
  <c r="W3828" i="2"/>
  <c r="X3828" i="2" s="1" a="1"/>
  <c r="X3828" i="2" s="1"/>
  <c r="W3829" i="2"/>
  <c r="X3829" i="2" s="1" a="1"/>
  <c r="X3829" i="2" s="1"/>
  <c r="W3830" i="2"/>
  <c r="X3830" i="2" s="1" a="1"/>
  <c r="X3830" i="2" s="1"/>
  <c r="W3831" i="2"/>
  <c r="X3831" i="2" s="1" a="1"/>
  <c r="X3831" i="2" s="1"/>
  <c r="W3832" i="2"/>
  <c r="X3832" i="2" s="1" a="1"/>
  <c r="X3832" i="2" s="1"/>
  <c r="W3833" i="2"/>
  <c r="X3833" i="2" s="1" a="1"/>
  <c r="X3833" i="2" s="1"/>
  <c r="W3834" i="2"/>
  <c r="X3834" i="2" s="1" a="1"/>
  <c r="X3834" i="2" s="1"/>
  <c r="W3835" i="2"/>
  <c r="X3835" i="2" s="1" a="1"/>
  <c r="X3835" i="2" s="1"/>
  <c r="W3836" i="2"/>
  <c r="X3836" i="2" s="1" a="1"/>
  <c r="X3836" i="2" s="1"/>
  <c r="W3837" i="2"/>
  <c r="X3837" i="2" s="1" a="1"/>
  <c r="X3837" i="2" s="1"/>
  <c r="W3838" i="2"/>
  <c r="X3838" i="2" s="1" a="1"/>
  <c r="X3838" i="2" s="1"/>
  <c r="W3839" i="2"/>
  <c r="X3839" i="2" s="1" a="1"/>
  <c r="X3839" i="2" s="1"/>
  <c r="W3840" i="2"/>
  <c r="X3840" i="2" s="1" a="1"/>
  <c r="X3840" i="2" s="1"/>
  <c r="W3841" i="2"/>
  <c r="X3841" i="2" s="1" a="1"/>
  <c r="X3841" i="2" s="1"/>
  <c r="W3842" i="2"/>
  <c r="X3842" i="2" s="1" a="1"/>
  <c r="X3842" i="2" s="1"/>
  <c r="W3843" i="2"/>
  <c r="X3843" i="2" s="1" a="1"/>
  <c r="X3843" i="2" s="1"/>
  <c r="W3844" i="2"/>
  <c r="X3844" i="2" s="1" a="1"/>
  <c r="X3844" i="2" s="1"/>
  <c r="W3845" i="2"/>
  <c r="X3845" i="2" s="1" a="1"/>
  <c r="X3845" i="2" s="1"/>
  <c r="W3846" i="2"/>
  <c r="X3846" i="2" s="1" a="1"/>
  <c r="X3846" i="2" s="1"/>
  <c r="W3847" i="2"/>
  <c r="X3847" i="2" s="1" a="1"/>
  <c r="X3847" i="2" s="1"/>
  <c r="W3848" i="2"/>
  <c r="X3848" i="2" s="1" a="1"/>
  <c r="X3848" i="2" s="1"/>
  <c r="W3849" i="2"/>
  <c r="X3849" i="2" s="1" a="1"/>
  <c r="X3849" i="2" s="1"/>
  <c r="W3850" i="2"/>
  <c r="X3850" i="2" s="1" a="1"/>
  <c r="X3850" i="2" s="1"/>
  <c r="W3851" i="2"/>
  <c r="X3851" i="2" s="1" a="1"/>
  <c r="X3851" i="2" s="1"/>
  <c r="W3852" i="2"/>
  <c r="X3852" i="2" s="1" a="1"/>
  <c r="X3852" i="2" s="1"/>
  <c r="W3853" i="2"/>
  <c r="X3853" i="2" s="1" a="1"/>
  <c r="X3853" i="2" s="1"/>
  <c r="W3854" i="2"/>
  <c r="X3854" i="2" s="1" a="1"/>
  <c r="X3854" i="2" s="1"/>
  <c r="W3855" i="2"/>
  <c r="X3855" i="2" s="1" a="1"/>
  <c r="X3855" i="2" s="1"/>
  <c r="W3856" i="2"/>
  <c r="X3856" i="2" s="1" a="1"/>
  <c r="X3856" i="2" s="1"/>
  <c r="W3857" i="2"/>
  <c r="X3857" i="2" s="1" a="1"/>
  <c r="X3857" i="2" s="1"/>
  <c r="W3858" i="2"/>
  <c r="X3858" i="2" s="1" a="1"/>
  <c r="X3858" i="2" s="1"/>
  <c r="W3859" i="2"/>
  <c r="X3859" i="2" s="1" a="1"/>
  <c r="X3859" i="2" s="1"/>
  <c r="W3860" i="2"/>
  <c r="X3860" i="2" s="1" a="1"/>
  <c r="X3860" i="2" s="1"/>
  <c r="W3861" i="2"/>
  <c r="X3861" i="2" s="1" a="1"/>
  <c r="X3861" i="2" s="1"/>
  <c r="W3862" i="2"/>
  <c r="X3862" i="2" s="1" a="1"/>
  <c r="X3862" i="2" s="1"/>
  <c r="W3863" i="2"/>
  <c r="X3863" i="2" s="1" a="1"/>
  <c r="X3863" i="2" s="1"/>
  <c r="W3864" i="2"/>
  <c r="X3864" i="2" s="1" a="1"/>
  <c r="X3864" i="2" s="1"/>
  <c r="W3865" i="2"/>
  <c r="X3865" i="2" s="1" a="1"/>
  <c r="X3865" i="2" s="1"/>
  <c r="W3866" i="2"/>
  <c r="X3866" i="2" s="1" a="1"/>
  <c r="X3866" i="2" s="1"/>
  <c r="W3867" i="2"/>
  <c r="X3867" i="2" s="1" a="1"/>
  <c r="X3867" i="2" s="1"/>
  <c r="W3868" i="2"/>
  <c r="X3868" i="2" s="1" a="1"/>
  <c r="X3868" i="2" s="1"/>
  <c r="W3869" i="2"/>
  <c r="X3869" i="2" s="1" a="1"/>
  <c r="X3869" i="2" s="1"/>
  <c r="W3870" i="2"/>
  <c r="X3870" i="2" s="1" a="1"/>
  <c r="X3870" i="2" s="1"/>
  <c r="W3871" i="2"/>
  <c r="X3871" i="2" s="1" a="1"/>
  <c r="X3871" i="2" s="1"/>
  <c r="W3872" i="2"/>
  <c r="X3872" i="2" s="1" a="1"/>
  <c r="X3872" i="2" s="1"/>
  <c r="W3873" i="2"/>
  <c r="X3873" i="2" s="1" a="1"/>
  <c r="X3873" i="2" s="1"/>
  <c r="W3874" i="2"/>
  <c r="X3874" i="2" s="1" a="1"/>
  <c r="X3874" i="2" s="1"/>
  <c r="W3875" i="2"/>
  <c r="X3875" i="2" s="1" a="1"/>
  <c r="X3875" i="2" s="1"/>
  <c r="W3876" i="2"/>
  <c r="X3876" i="2" s="1" a="1"/>
  <c r="X3876" i="2" s="1"/>
  <c r="W3877" i="2"/>
  <c r="X3877" i="2" s="1" a="1"/>
  <c r="X3877" i="2" s="1"/>
  <c r="W3878" i="2"/>
  <c r="X3878" i="2" s="1" a="1"/>
  <c r="X3878" i="2" s="1"/>
  <c r="W3879" i="2"/>
  <c r="X3879" i="2" s="1" a="1"/>
  <c r="X3879" i="2" s="1"/>
  <c r="W3880" i="2"/>
  <c r="X3880" i="2" s="1" a="1"/>
  <c r="X3880" i="2" s="1"/>
  <c r="W3881" i="2"/>
  <c r="X3881" i="2" s="1" a="1"/>
  <c r="X3881" i="2" s="1"/>
  <c r="W3882" i="2"/>
  <c r="X3882" i="2" s="1" a="1"/>
  <c r="X3882" i="2" s="1"/>
  <c r="W3883" i="2"/>
  <c r="X3883" i="2" s="1" a="1"/>
  <c r="X3883" i="2" s="1"/>
  <c r="W3884" i="2"/>
  <c r="X3884" i="2" s="1" a="1"/>
  <c r="X3884" i="2" s="1"/>
  <c r="W3885" i="2"/>
  <c r="X3885" i="2" s="1" a="1"/>
  <c r="X3885" i="2" s="1"/>
  <c r="W3886" i="2"/>
  <c r="X3886" i="2" s="1" a="1"/>
  <c r="X3886" i="2" s="1"/>
  <c r="W3887" i="2"/>
  <c r="X3887" i="2" s="1" a="1"/>
  <c r="X3887" i="2" s="1"/>
  <c r="W3888" i="2"/>
  <c r="X3888" i="2" s="1" a="1"/>
  <c r="X3888" i="2" s="1"/>
  <c r="W3889" i="2"/>
  <c r="X3889" i="2" s="1" a="1"/>
  <c r="X3889" i="2" s="1"/>
  <c r="W3890" i="2"/>
  <c r="X3890" i="2" s="1" a="1"/>
  <c r="X3890" i="2" s="1"/>
  <c r="W3891" i="2"/>
  <c r="X3891" i="2" s="1" a="1"/>
  <c r="X3891" i="2" s="1"/>
  <c r="W3892" i="2"/>
  <c r="X3892" i="2" s="1" a="1"/>
  <c r="X3892" i="2" s="1"/>
  <c r="W3893" i="2"/>
  <c r="X3893" i="2" s="1" a="1"/>
  <c r="X3893" i="2" s="1"/>
  <c r="W3894" i="2"/>
  <c r="X3894" i="2" s="1" a="1"/>
  <c r="X3894" i="2" s="1"/>
  <c r="W3895" i="2"/>
  <c r="X3895" i="2" s="1" a="1"/>
  <c r="X3895" i="2" s="1"/>
  <c r="W3896" i="2"/>
  <c r="X3896" i="2" s="1" a="1"/>
  <c r="X3896" i="2" s="1"/>
  <c r="W3897" i="2"/>
  <c r="X3897" i="2" s="1" a="1"/>
  <c r="X3897" i="2" s="1"/>
  <c r="W3898" i="2"/>
  <c r="X3898" i="2" s="1" a="1"/>
  <c r="X3898" i="2" s="1"/>
  <c r="W3899" i="2"/>
  <c r="X3899" i="2" s="1" a="1"/>
  <c r="X3899" i="2" s="1"/>
  <c r="W3900" i="2"/>
  <c r="X3900" i="2" s="1" a="1"/>
  <c r="X3900" i="2" s="1"/>
  <c r="W3901" i="2"/>
  <c r="X3901" i="2" s="1" a="1"/>
  <c r="X3901" i="2" s="1"/>
  <c r="W3902" i="2"/>
  <c r="X3902" i="2" s="1" a="1"/>
  <c r="X3902" i="2" s="1"/>
  <c r="W3903" i="2"/>
  <c r="X3903" i="2" s="1" a="1"/>
  <c r="X3903" i="2" s="1"/>
  <c r="W3904" i="2"/>
  <c r="X3904" i="2" s="1" a="1"/>
  <c r="X3904" i="2" s="1"/>
  <c r="W3905" i="2"/>
  <c r="X3905" i="2" s="1" a="1"/>
  <c r="X3905" i="2" s="1"/>
  <c r="W3906" i="2"/>
  <c r="X3906" i="2" s="1" a="1"/>
  <c r="X3906" i="2" s="1"/>
  <c r="W3907" i="2"/>
  <c r="X3907" i="2" s="1" a="1"/>
  <c r="X3907" i="2" s="1"/>
  <c r="W3908" i="2"/>
  <c r="X3908" i="2" s="1" a="1"/>
  <c r="X3908" i="2" s="1"/>
  <c r="W3909" i="2"/>
  <c r="X3909" i="2" s="1" a="1"/>
  <c r="X3909" i="2" s="1"/>
  <c r="W3910" i="2"/>
  <c r="X3910" i="2" s="1" a="1"/>
  <c r="X3910" i="2" s="1"/>
  <c r="W3911" i="2"/>
  <c r="X3911" i="2" s="1" a="1"/>
  <c r="X3911" i="2" s="1"/>
  <c r="W3912" i="2"/>
  <c r="X3912" i="2" s="1" a="1"/>
  <c r="X3912" i="2" s="1"/>
  <c r="W3913" i="2"/>
  <c r="X3913" i="2" s="1" a="1"/>
  <c r="X3913" i="2" s="1"/>
  <c r="W3914" i="2"/>
  <c r="X3914" i="2" s="1" a="1"/>
  <c r="X3914" i="2" s="1"/>
  <c r="W3915" i="2"/>
  <c r="X3915" i="2" s="1" a="1"/>
  <c r="X3915" i="2" s="1"/>
  <c r="W3916" i="2"/>
  <c r="X3916" i="2" s="1" a="1"/>
  <c r="X3916" i="2" s="1"/>
  <c r="W3917" i="2"/>
  <c r="X3917" i="2" s="1" a="1"/>
  <c r="X3917" i="2" s="1"/>
  <c r="W3918" i="2"/>
  <c r="X3918" i="2" s="1" a="1"/>
  <c r="X3918" i="2" s="1"/>
  <c r="W3919" i="2"/>
  <c r="X3919" i="2" s="1" a="1"/>
  <c r="X3919" i="2" s="1"/>
  <c r="W3920" i="2"/>
  <c r="X3920" i="2" s="1" a="1"/>
  <c r="X3920" i="2" s="1"/>
  <c r="W3921" i="2"/>
  <c r="X3921" i="2" s="1" a="1"/>
  <c r="X3921" i="2" s="1"/>
  <c r="W3922" i="2"/>
  <c r="X3922" i="2" s="1" a="1"/>
  <c r="X3922" i="2" s="1"/>
  <c r="W3923" i="2"/>
  <c r="X3923" i="2" s="1" a="1"/>
  <c r="X3923" i="2" s="1"/>
  <c r="W3924" i="2"/>
  <c r="X3924" i="2" s="1" a="1"/>
  <c r="X3924" i="2" s="1"/>
  <c r="W3925" i="2"/>
  <c r="X3925" i="2" s="1" a="1"/>
  <c r="X3925" i="2" s="1"/>
  <c r="W3926" i="2"/>
  <c r="X3926" i="2" s="1" a="1"/>
  <c r="X3926" i="2" s="1"/>
  <c r="W3927" i="2"/>
  <c r="X3927" i="2" s="1" a="1"/>
  <c r="X3927" i="2" s="1"/>
  <c r="W3928" i="2"/>
  <c r="X3928" i="2" s="1" a="1"/>
  <c r="X3928" i="2" s="1"/>
  <c r="W3929" i="2"/>
  <c r="X3929" i="2" s="1" a="1"/>
  <c r="X3929" i="2" s="1"/>
  <c r="W3930" i="2"/>
  <c r="X3930" i="2" s="1" a="1"/>
  <c r="X3930" i="2" s="1"/>
  <c r="W3931" i="2"/>
  <c r="X3931" i="2" s="1" a="1"/>
  <c r="X3931" i="2" s="1"/>
  <c r="W3932" i="2"/>
  <c r="X3932" i="2" s="1" a="1"/>
  <c r="X3932" i="2" s="1"/>
  <c r="W3933" i="2"/>
  <c r="X3933" i="2" s="1" a="1"/>
  <c r="X3933" i="2" s="1"/>
  <c r="W3934" i="2"/>
  <c r="X3934" i="2" s="1" a="1"/>
  <c r="X3934" i="2" s="1"/>
  <c r="W3935" i="2"/>
  <c r="X3935" i="2" s="1" a="1"/>
  <c r="X3935" i="2" s="1"/>
  <c r="W3936" i="2"/>
  <c r="X3936" i="2" s="1" a="1"/>
  <c r="X3936" i="2" s="1"/>
  <c r="W3937" i="2"/>
  <c r="X3937" i="2" s="1" a="1"/>
  <c r="X3937" i="2" s="1"/>
  <c r="W3938" i="2"/>
  <c r="X3938" i="2" s="1" a="1"/>
  <c r="X3938" i="2" s="1"/>
  <c r="W3939" i="2"/>
  <c r="X3939" i="2" s="1" a="1"/>
  <c r="X3939" i="2" s="1"/>
  <c r="W3940" i="2"/>
  <c r="X3940" i="2" s="1" a="1"/>
  <c r="X3940" i="2" s="1"/>
  <c r="W3941" i="2"/>
  <c r="X3941" i="2" s="1" a="1"/>
  <c r="X3941" i="2" s="1"/>
  <c r="W3942" i="2"/>
  <c r="X3942" i="2" s="1" a="1"/>
  <c r="X3942" i="2" s="1"/>
  <c r="W3943" i="2"/>
  <c r="X3943" i="2" s="1" a="1"/>
  <c r="X3943" i="2" s="1"/>
  <c r="W3944" i="2"/>
  <c r="X3944" i="2" s="1" a="1"/>
  <c r="X3944" i="2" s="1"/>
  <c r="W3945" i="2"/>
  <c r="X3945" i="2" s="1" a="1"/>
  <c r="X3945" i="2" s="1"/>
  <c r="W3946" i="2"/>
  <c r="X3946" i="2" s="1" a="1"/>
  <c r="X3946" i="2" s="1"/>
  <c r="W3947" i="2"/>
  <c r="X3947" i="2" s="1" a="1"/>
  <c r="X3947" i="2" s="1"/>
  <c r="W3948" i="2"/>
  <c r="X3948" i="2" s="1" a="1"/>
  <c r="X3948" i="2" s="1"/>
  <c r="W3949" i="2"/>
  <c r="X3949" i="2" s="1" a="1"/>
  <c r="X3949" i="2" s="1"/>
  <c r="W3950" i="2"/>
  <c r="X3950" i="2" s="1" a="1"/>
  <c r="X3950" i="2" s="1"/>
  <c r="W3951" i="2"/>
  <c r="X3951" i="2" s="1" a="1"/>
  <c r="X3951" i="2" s="1"/>
  <c r="W3952" i="2"/>
  <c r="X3952" i="2" s="1" a="1"/>
  <c r="X3952" i="2" s="1"/>
  <c r="W3953" i="2"/>
  <c r="X3953" i="2" s="1" a="1"/>
  <c r="X3953" i="2" s="1"/>
  <c r="W3954" i="2"/>
  <c r="X3954" i="2" s="1" a="1"/>
  <c r="X3954" i="2" s="1"/>
  <c r="W3955" i="2"/>
  <c r="X3955" i="2" s="1" a="1"/>
  <c r="X3955" i="2" s="1"/>
  <c r="W3956" i="2"/>
  <c r="X3956" i="2" s="1" a="1"/>
  <c r="X3956" i="2" s="1"/>
  <c r="W3957" i="2"/>
  <c r="X3957" i="2" s="1" a="1"/>
  <c r="X3957" i="2" s="1"/>
  <c r="W3958" i="2"/>
  <c r="X3958" i="2" s="1" a="1"/>
  <c r="X3958" i="2" s="1"/>
  <c r="W3959" i="2"/>
  <c r="X3959" i="2" s="1" a="1"/>
  <c r="X3959" i="2" s="1"/>
  <c r="W3960" i="2"/>
  <c r="X3960" i="2" s="1" a="1"/>
  <c r="X3960" i="2" s="1"/>
  <c r="W3961" i="2"/>
  <c r="X3961" i="2" s="1" a="1"/>
  <c r="X3961" i="2" s="1"/>
  <c r="W3962" i="2"/>
  <c r="X3962" i="2" s="1" a="1"/>
  <c r="X3962" i="2" s="1"/>
  <c r="W3963" i="2"/>
  <c r="X3963" i="2" s="1" a="1"/>
  <c r="X3963" i="2" s="1"/>
  <c r="W3964" i="2"/>
  <c r="X3964" i="2" s="1" a="1"/>
  <c r="X3964" i="2" s="1"/>
  <c r="W3965" i="2"/>
  <c r="X3965" i="2" s="1" a="1"/>
  <c r="X3965" i="2" s="1"/>
  <c r="W3966" i="2"/>
  <c r="X3966" i="2" s="1" a="1"/>
  <c r="X3966" i="2" s="1"/>
  <c r="W3967" i="2"/>
  <c r="X3967" i="2" s="1" a="1"/>
  <c r="X3967" i="2" s="1"/>
  <c r="W3968" i="2"/>
  <c r="X3968" i="2" s="1" a="1"/>
  <c r="X3968" i="2" s="1"/>
  <c r="W3969" i="2"/>
  <c r="X3969" i="2" s="1" a="1"/>
  <c r="X3969" i="2" s="1"/>
  <c r="W3970" i="2"/>
  <c r="X3970" i="2" s="1" a="1"/>
  <c r="X3970" i="2" s="1"/>
  <c r="W3971" i="2"/>
  <c r="X3971" i="2" s="1" a="1"/>
  <c r="X3971" i="2" s="1"/>
  <c r="W3972" i="2"/>
  <c r="X3972" i="2" s="1" a="1"/>
  <c r="X3972" i="2" s="1"/>
  <c r="W3973" i="2"/>
  <c r="X3973" i="2" s="1" a="1"/>
  <c r="X3973" i="2" s="1"/>
  <c r="W3974" i="2"/>
  <c r="X3974" i="2" s="1" a="1"/>
  <c r="X3974" i="2" s="1"/>
  <c r="W3975" i="2"/>
  <c r="X3975" i="2" s="1" a="1"/>
  <c r="X3975" i="2" s="1"/>
  <c r="W3976" i="2"/>
  <c r="X3976" i="2" s="1" a="1"/>
  <c r="X3976" i="2" s="1"/>
  <c r="W3977" i="2"/>
  <c r="X3977" i="2" s="1" a="1"/>
  <c r="X3977" i="2" s="1"/>
  <c r="W3978" i="2"/>
  <c r="X3978" i="2" s="1" a="1"/>
  <c r="X3978" i="2" s="1"/>
  <c r="W3979" i="2"/>
  <c r="X3979" i="2" s="1" a="1"/>
  <c r="X3979" i="2" s="1"/>
  <c r="W3980" i="2"/>
  <c r="X3980" i="2" s="1" a="1"/>
  <c r="X3980" i="2" s="1"/>
  <c r="W3981" i="2"/>
  <c r="X3981" i="2" s="1" a="1"/>
  <c r="X3981" i="2" s="1"/>
  <c r="W3982" i="2"/>
  <c r="X3982" i="2" s="1" a="1"/>
  <c r="X3982" i="2" s="1"/>
  <c r="W3983" i="2"/>
  <c r="X3983" i="2" s="1" a="1"/>
  <c r="X3983" i="2" s="1"/>
  <c r="W3984" i="2"/>
  <c r="X3984" i="2" s="1" a="1"/>
  <c r="X3984" i="2" s="1"/>
  <c r="W3985" i="2"/>
  <c r="X3985" i="2" s="1" a="1"/>
  <c r="X3985" i="2" s="1"/>
  <c r="W3986" i="2"/>
  <c r="X3986" i="2" s="1" a="1"/>
  <c r="X3986" i="2" s="1"/>
  <c r="W3987" i="2"/>
  <c r="X3987" i="2" s="1" a="1"/>
  <c r="X3987" i="2" s="1"/>
  <c r="W3988" i="2"/>
  <c r="X3988" i="2" s="1" a="1"/>
  <c r="X3988" i="2" s="1"/>
  <c r="W3989" i="2"/>
  <c r="X3989" i="2" s="1" a="1"/>
  <c r="X3989" i="2" s="1"/>
  <c r="W3990" i="2"/>
  <c r="X3990" i="2" s="1" a="1"/>
  <c r="X3990" i="2" s="1"/>
  <c r="W3991" i="2"/>
  <c r="X3991" i="2" s="1" a="1"/>
  <c r="X3991" i="2" s="1"/>
  <c r="W3992" i="2"/>
  <c r="X3992" i="2" s="1" a="1"/>
  <c r="X3992" i="2" s="1"/>
  <c r="W3993" i="2"/>
  <c r="X3993" i="2" s="1" a="1"/>
  <c r="X3993" i="2" s="1"/>
  <c r="W3994" i="2"/>
  <c r="X3994" i="2" s="1" a="1"/>
  <c r="X3994" i="2" s="1"/>
  <c r="W3995" i="2"/>
  <c r="X3995" i="2" s="1" a="1"/>
  <c r="X3995" i="2" s="1"/>
  <c r="W3996" i="2"/>
  <c r="X3996" i="2" s="1" a="1"/>
  <c r="X3996" i="2" s="1"/>
  <c r="W3997" i="2"/>
  <c r="X3997" i="2" s="1" a="1"/>
  <c r="X3997" i="2" s="1"/>
  <c r="W3998" i="2"/>
  <c r="X3998" i="2" s="1" a="1"/>
  <c r="X3998" i="2" s="1"/>
  <c r="W3999" i="2"/>
  <c r="X3999" i="2" s="1" a="1"/>
  <c r="X3999" i="2" s="1"/>
  <c r="W4000" i="2"/>
  <c r="X4000" i="2" s="1" a="1"/>
  <c r="X4000" i="2" s="1"/>
  <c r="W4001" i="2"/>
  <c r="X4001" i="2" s="1" a="1"/>
  <c r="X4001" i="2" s="1"/>
  <c r="W4002" i="2"/>
  <c r="X4002" i="2" s="1" a="1"/>
  <c r="X4002" i="2" s="1"/>
  <c r="W4003" i="2"/>
  <c r="X4003" i="2" s="1" a="1"/>
  <c r="X4003" i="2" s="1"/>
  <c r="W4004" i="2"/>
  <c r="X4004" i="2" s="1" a="1"/>
  <c r="X4004" i="2" s="1"/>
  <c r="W4005" i="2"/>
  <c r="X4005" i="2" s="1" a="1"/>
  <c r="X4005" i="2" s="1"/>
  <c r="W4006" i="2"/>
  <c r="X4006" i="2" s="1" a="1"/>
  <c r="X4006" i="2" s="1"/>
  <c r="W4007" i="2"/>
  <c r="X4007" i="2" s="1" a="1"/>
  <c r="X4007" i="2" s="1"/>
  <c r="W4008" i="2"/>
  <c r="X4008" i="2" s="1" a="1"/>
  <c r="X4008" i="2" s="1"/>
  <c r="W4009" i="2"/>
  <c r="X4009" i="2" s="1" a="1"/>
  <c r="X4009" i="2" s="1"/>
  <c r="W4010" i="2"/>
  <c r="X4010" i="2" s="1" a="1"/>
  <c r="X4010" i="2" s="1"/>
  <c r="W4011" i="2"/>
  <c r="X4011" i="2" s="1" a="1"/>
  <c r="X4011" i="2" s="1"/>
  <c r="W4012" i="2"/>
  <c r="X4012" i="2" s="1" a="1"/>
  <c r="X4012" i="2" s="1"/>
  <c r="W4013" i="2"/>
  <c r="X4013" i="2" s="1" a="1"/>
  <c r="X4013" i="2" s="1"/>
  <c r="W4014" i="2"/>
  <c r="X4014" i="2" s="1" a="1"/>
  <c r="X4014" i="2" s="1"/>
  <c r="W4015" i="2"/>
  <c r="X4015" i="2" s="1" a="1"/>
  <c r="X4015" i="2" s="1"/>
  <c r="W4016" i="2"/>
  <c r="X4016" i="2" s="1" a="1"/>
  <c r="X4016" i="2" s="1"/>
  <c r="W4017" i="2"/>
  <c r="X4017" i="2" s="1" a="1"/>
  <c r="X4017" i="2" s="1"/>
  <c r="W4018" i="2"/>
  <c r="X4018" i="2" s="1" a="1"/>
  <c r="X4018" i="2" s="1"/>
  <c r="W4019" i="2"/>
  <c r="X4019" i="2" s="1" a="1"/>
  <c r="X4019" i="2" s="1"/>
  <c r="W4020" i="2"/>
  <c r="X4020" i="2" s="1" a="1"/>
  <c r="X4020" i="2" s="1"/>
  <c r="W4021" i="2"/>
  <c r="X4021" i="2" s="1" a="1"/>
  <c r="X4021" i="2" s="1"/>
  <c r="W4022" i="2"/>
  <c r="X4022" i="2" s="1" a="1"/>
  <c r="X4022" i="2" s="1"/>
  <c r="W4023" i="2"/>
  <c r="X4023" i="2" s="1" a="1"/>
  <c r="X4023" i="2" s="1"/>
  <c r="W4024" i="2"/>
  <c r="X4024" i="2" s="1" a="1"/>
  <c r="X4024" i="2" s="1"/>
  <c r="W4025" i="2"/>
  <c r="X4025" i="2" s="1" a="1"/>
  <c r="X4025" i="2" s="1"/>
  <c r="W4026" i="2"/>
  <c r="X4026" i="2" s="1" a="1"/>
  <c r="X4026" i="2" s="1"/>
  <c r="W4027" i="2"/>
  <c r="X4027" i="2" s="1" a="1"/>
  <c r="X4027" i="2" s="1"/>
  <c r="W4028" i="2"/>
  <c r="X4028" i="2" s="1" a="1"/>
  <c r="X4028" i="2" s="1"/>
  <c r="W4029" i="2"/>
  <c r="X4029" i="2" s="1" a="1"/>
  <c r="X4029" i="2" s="1"/>
  <c r="W4030" i="2"/>
  <c r="X4030" i="2" s="1" a="1"/>
  <c r="X4030" i="2" s="1"/>
  <c r="W4031" i="2"/>
  <c r="X4031" i="2" s="1" a="1"/>
  <c r="X4031" i="2" s="1"/>
  <c r="W4032" i="2"/>
  <c r="X4032" i="2" s="1" a="1"/>
  <c r="X4032" i="2" s="1"/>
  <c r="W4033" i="2"/>
  <c r="X4033" i="2" s="1" a="1"/>
  <c r="X4033" i="2" s="1"/>
  <c r="W4034" i="2"/>
  <c r="X4034" i="2" s="1" a="1"/>
  <c r="X4034" i="2" s="1"/>
  <c r="W4035" i="2"/>
  <c r="X4035" i="2" s="1" a="1"/>
  <c r="X4035" i="2" s="1"/>
  <c r="W4036" i="2"/>
  <c r="X4036" i="2" s="1" a="1"/>
  <c r="X4036" i="2" s="1"/>
  <c r="W4037" i="2"/>
  <c r="X4037" i="2" s="1" a="1"/>
  <c r="X4037" i="2" s="1"/>
  <c r="W4038" i="2"/>
  <c r="X4038" i="2" s="1" a="1"/>
  <c r="X4038" i="2" s="1"/>
  <c r="W4039" i="2"/>
  <c r="X4039" i="2" s="1" a="1"/>
  <c r="X4039" i="2" s="1"/>
  <c r="W4040" i="2"/>
  <c r="X4040" i="2" s="1" a="1"/>
  <c r="X4040" i="2" s="1"/>
  <c r="W4041" i="2"/>
  <c r="X4041" i="2" s="1" a="1"/>
  <c r="X4041" i="2" s="1"/>
  <c r="W4042" i="2"/>
  <c r="X4042" i="2" s="1" a="1"/>
  <c r="X4042" i="2" s="1"/>
  <c r="W4043" i="2"/>
  <c r="X4043" i="2" s="1" a="1"/>
  <c r="X4043" i="2" s="1"/>
  <c r="W4044" i="2"/>
  <c r="X4044" i="2" s="1" a="1"/>
  <c r="X4044" i="2" s="1"/>
  <c r="W4045" i="2"/>
  <c r="X4045" i="2" s="1" a="1"/>
  <c r="X4045" i="2" s="1"/>
  <c r="W4046" i="2"/>
  <c r="X4046" i="2" s="1" a="1"/>
  <c r="X4046" i="2" s="1"/>
  <c r="W4047" i="2"/>
  <c r="X4047" i="2" s="1" a="1"/>
  <c r="X4047" i="2" s="1"/>
  <c r="W4048" i="2"/>
  <c r="X4048" i="2" s="1" a="1"/>
  <c r="X4048" i="2" s="1"/>
  <c r="W4049" i="2"/>
  <c r="X4049" i="2" s="1" a="1"/>
  <c r="X4049" i="2" s="1"/>
  <c r="W4050" i="2"/>
  <c r="X4050" i="2" s="1" a="1"/>
  <c r="X4050" i="2" s="1"/>
  <c r="W4051" i="2"/>
  <c r="X4051" i="2" s="1" a="1"/>
  <c r="X4051" i="2" s="1"/>
  <c r="W4052" i="2"/>
  <c r="X4052" i="2" s="1" a="1"/>
  <c r="X4052" i="2" s="1"/>
  <c r="W4053" i="2"/>
  <c r="X4053" i="2" s="1" a="1"/>
  <c r="X4053" i="2" s="1"/>
  <c r="W4054" i="2"/>
  <c r="X4054" i="2" s="1" a="1"/>
  <c r="X4054" i="2" s="1"/>
  <c r="W4055" i="2"/>
  <c r="X4055" i="2" s="1" a="1"/>
  <c r="X4055" i="2" s="1"/>
  <c r="W4056" i="2"/>
  <c r="X4056" i="2" s="1" a="1"/>
  <c r="X4056" i="2" s="1"/>
  <c r="W4057" i="2"/>
  <c r="X4057" i="2" s="1" a="1"/>
  <c r="X4057" i="2" s="1"/>
  <c r="W4058" i="2"/>
  <c r="X4058" i="2" s="1" a="1"/>
  <c r="X4058" i="2" s="1"/>
  <c r="W4059" i="2"/>
  <c r="X4059" i="2" s="1" a="1"/>
  <c r="X4059" i="2" s="1"/>
  <c r="W4060" i="2"/>
  <c r="X4060" i="2" s="1" a="1"/>
  <c r="X4060" i="2" s="1"/>
  <c r="W4061" i="2"/>
  <c r="X4061" i="2" s="1" a="1"/>
  <c r="X4061" i="2" s="1"/>
  <c r="W4062" i="2"/>
  <c r="X4062" i="2" s="1" a="1"/>
  <c r="X4062" i="2" s="1"/>
  <c r="W4063" i="2"/>
  <c r="X4063" i="2" s="1" a="1"/>
  <c r="X4063" i="2" s="1"/>
  <c r="W4064" i="2"/>
  <c r="X4064" i="2" s="1" a="1"/>
  <c r="X4064" i="2" s="1"/>
  <c r="W4065" i="2"/>
  <c r="X4065" i="2" s="1" a="1"/>
  <c r="X4065" i="2" s="1"/>
  <c r="W4066" i="2"/>
  <c r="X4066" i="2" s="1" a="1"/>
  <c r="X4066" i="2" s="1"/>
  <c r="W4067" i="2"/>
  <c r="X4067" i="2" s="1" a="1"/>
  <c r="X4067" i="2" s="1"/>
  <c r="W4068" i="2"/>
  <c r="X4068" i="2" s="1" a="1"/>
  <c r="X4068" i="2" s="1"/>
  <c r="W4069" i="2"/>
  <c r="X4069" i="2" s="1" a="1"/>
  <c r="X4069" i="2" s="1"/>
  <c r="W4070" i="2"/>
  <c r="X4070" i="2" s="1" a="1"/>
  <c r="X4070" i="2" s="1"/>
  <c r="W4071" i="2"/>
  <c r="X4071" i="2" s="1" a="1"/>
  <c r="X4071" i="2" s="1"/>
  <c r="W4072" i="2"/>
  <c r="X4072" i="2" s="1" a="1"/>
  <c r="X4072" i="2" s="1"/>
  <c r="W4073" i="2"/>
  <c r="X4073" i="2" s="1" a="1"/>
  <c r="X4073" i="2" s="1"/>
  <c r="W4074" i="2"/>
  <c r="X4074" i="2" s="1" a="1"/>
  <c r="X4074" i="2" s="1"/>
  <c r="W4075" i="2"/>
  <c r="X4075" i="2" s="1" a="1"/>
  <c r="X4075" i="2" s="1"/>
  <c r="W4076" i="2"/>
  <c r="X4076" i="2" s="1" a="1"/>
  <c r="X4076" i="2" s="1"/>
  <c r="W4077" i="2"/>
  <c r="X4077" i="2" s="1" a="1"/>
  <c r="X4077" i="2" s="1"/>
  <c r="W4078" i="2"/>
  <c r="X4078" i="2" s="1" a="1"/>
  <c r="X4078" i="2" s="1"/>
  <c r="W4079" i="2"/>
  <c r="X4079" i="2" s="1" a="1"/>
  <c r="X4079" i="2" s="1"/>
  <c r="W4080" i="2"/>
  <c r="X4080" i="2" s="1" a="1"/>
  <c r="X4080" i="2" s="1"/>
  <c r="W4081" i="2"/>
  <c r="X4081" i="2" s="1" a="1"/>
  <c r="X4081" i="2" s="1"/>
  <c r="W4082" i="2"/>
  <c r="X4082" i="2" s="1" a="1"/>
  <c r="X4082" i="2" s="1"/>
  <c r="W4083" i="2"/>
  <c r="X4083" i="2" s="1" a="1"/>
  <c r="X4083" i="2" s="1"/>
  <c r="W4084" i="2"/>
  <c r="X4084" i="2" s="1" a="1"/>
  <c r="X4084" i="2" s="1"/>
  <c r="W4085" i="2"/>
  <c r="X4085" i="2" s="1" a="1"/>
  <c r="X4085" i="2" s="1"/>
  <c r="W4086" i="2"/>
  <c r="X4086" i="2" s="1" a="1"/>
  <c r="X4086" i="2" s="1"/>
  <c r="W4087" i="2"/>
  <c r="X4087" i="2" s="1" a="1"/>
  <c r="X4087" i="2" s="1"/>
  <c r="W4088" i="2"/>
  <c r="X4088" i="2" s="1" a="1"/>
  <c r="X4088" i="2" s="1"/>
  <c r="W4089" i="2"/>
  <c r="X4089" i="2" s="1" a="1"/>
  <c r="X4089" i="2" s="1"/>
  <c r="W4090" i="2"/>
  <c r="X4090" i="2" s="1" a="1"/>
  <c r="X4090" i="2" s="1"/>
  <c r="W4091" i="2"/>
  <c r="X4091" i="2" s="1" a="1"/>
  <c r="X4091" i="2" s="1"/>
  <c r="W4092" i="2"/>
  <c r="X4092" i="2" s="1" a="1"/>
  <c r="X4092" i="2" s="1"/>
  <c r="W4093" i="2"/>
  <c r="X4093" i="2" s="1" a="1"/>
  <c r="X4093" i="2" s="1"/>
  <c r="W4094" i="2"/>
  <c r="X4094" i="2" s="1" a="1"/>
  <c r="X4094" i="2" s="1"/>
  <c r="W4095" i="2"/>
  <c r="X4095" i="2" s="1" a="1"/>
  <c r="X4095" i="2" s="1"/>
  <c r="W4096" i="2"/>
  <c r="X4096" i="2" s="1" a="1"/>
  <c r="X4096" i="2" s="1"/>
  <c r="W4097" i="2"/>
  <c r="X4097" i="2" s="1" a="1"/>
  <c r="X4097" i="2" s="1"/>
  <c r="W4098" i="2"/>
  <c r="X4098" i="2" s="1" a="1"/>
  <c r="X4098" i="2" s="1"/>
  <c r="W4099" i="2"/>
  <c r="X4099" i="2" s="1" a="1"/>
  <c r="X4099" i="2" s="1"/>
  <c r="W4100" i="2"/>
  <c r="X4100" i="2" s="1" a="1"/>
  <c r="X4100" i="2" s="1"/>
  <c r="W4101" i="2"/>
  <c r="X4101" i="2" s="1" a="1"/>
  <c r="X4101" i="2" s="1"/>
  <c r="W4102" i="2"/>
  <c r="X4102" i="2" s="1" a="1"/>
  <c r="X4102" i="2" s="1"/>
  <c r="W4103" i="2"/>
  <c r="X4103" i="2" s="1" a="1"/>
  <c r="X4103" i="2" s="1"/>
  <c r="W4104" i="2"/>
  <c r="X4104" i="2" s="1" a="1"/>
  <c r="X4104" i="2" s="1"/>
  <c r="W4105" i="2"/>
  <c r="X4105" i="2" s="1" a="1"/>
  <c r="X4105" i="2" s="1"/>
  <c r="W4106" i="2"/>
  <c r="X4106" i="2" s="1" a="1"/>
  <c r="X4106" i="2" s="1"/>
  <c r="W4107" i="2"/>
  <c r="X4107" i="2" s="1" a="1"/>
  <c r="X4107" i="2" s="1"/>
  <c r="W4108" i="2"/>
  <c r="X4108" i="2" s="1" a="1"/>
  <c r="X4108" i="2" s="1"/>
  <c r="W4109" i="2"/>
  <c r="X4109" i="2" s="1" a="1"/>
  <c r="X4109" i="2" s="1"/>
  <c r="W4110" i="2"/>
  <c r="X4110" i="2" s="1" a="1"/>
  <c r="X4110" i="2" s="1"/>
  <c r="W4111" i="2"/>
  <c r="X4111" i="2" s="1" a="1"/>
  <c r="X4111" i="2" s="1"/>
  <c r="W4112" i="2"/>
  <c r="X4112" i="2" s="1" a="1"/>
  <c r="X4112" i="2" s="1"/>
  <c r="W4113" i="2"/>
  <c r="X4113" i="2" s="1" a="1"/>
  <c r="X4113" i="2" s="1"/>
  <c r="W4114" i="2"/>
  <c r="X4114" i="2" s="1" a="1"/>
  <c r="X4114" i="2" s="1"/>
  <c r="W4115" i="2"/>
  <c r="X4115" i="2" s="1" a="1"/>
  <c r="X4115" i="2" s="1"/>
  <c r="W4116" i="2"/>
  <c r="X4116" i="2" s="1" a="1"/>
  <c r="X4116" i="2" s="1"/>
  <c r="W4117" i="2"/>
  <c r="X4117" i="2" s="1" a="1"/>
  <c r="X4117" i="2" s="1"/>
  <c r="W4118" i="2"/>
  <c r="X4118" i="2" s="1" a="1"/>
  <c r="X4118" i="2" s="1"/>
  <c r="W4119" i="2"/>
  <c r="X4119" i="2" s="1" a="1"/>
  <c r="X4119" i="2" s="1"/>
  <c r="W4120" i="2"/>
  <c r="X4120" i="2" s="1" a="1"/>
  <c r="X4120" i="2" s="1"/>
  <c r="W4121" i="2"/>
  <c r="X4121" i="2" s="1" a="1"/>
  <c r="X4121" i="2" s="1"/>
  <c r="W4122" i="2"/>
  <c r="X4122" i="2" s="1" a="1"/>
  <c r="X4122" i="2" s="1"/>
  <c r="W4123" i="2"/>
  <c r="X4123" i="2" s="1" a="1"/>
  <c r="X4123" i="2" s="1"/>
  <c r="W4124" i="2"/>
  <c r="X4124" i="2" s="1" a="1"/>
  <c r="X4124" i="2" s="1"/>
  <c r="W4125" i="2"/>
  <c r="X4125" i="2" s="1" a="1"/>
  <c r="X4125" i="2" s="1"/>
  <c r="W4126" i="2"/>
  <c r="X4126" i="2" s="1" a="1"/>
  <c r="X4126" i="2" s="1"/>
  <c r="W4127" i="2"/>
  <c r="X4127" i="2" s="1" a="1"/>
  <c r="X4127" i="2" s="1"/>
  <c r="W4128" i="2"/>
  <c r="X4128" i="2" s="1" a="1"/>
  <c r="X4128" i="2" s="1"/>
  <c r="W4129" i="2"/>
  <c r="X4129" i="2" s="1" a="1"/>
  <c r="X4129" i="2" s="1"/>
  <c r="W4130" i="2"/>
  <c r="X4130" i="2" s="1" a="1"/>
  <c r="X4130" i="2" s="1"/>
  <c r="W4131" i="2"/>
  <c r="X4131" i="2" s="1" a="1"/>
  <c r="X4131" i="2" s="1"/>
  <c r="W4132" i="2"/>
  <c r="X4132" i="2" s="1" a="1"/>
  <c r="X4132" i="2" s="1"/>
  <c r="W4133" i="2"/>
  <c r="X4133" i="2" s="1" a="1"/>
  <c r="X4133" i="2" s="1"/>
  <c r="W4134" i="2"/>
  <c r="X4134" i="2" s="1" a="1"/>
  <c r="X4134" i="2" s="1"/>
  <c r="W4135" i="2"/>
  <c r="X4135" i="2" s="1" a="1"/>
  <c r="X4135" i="2" s="1"/>
  <c r="W4136" i="2"/>
  <c r="X4136" i="2" s="1" a="1"/>
  <c r="X4136" i="2" s="1"/>
  <c r="W4137" i="2"/>
  <c r="X4137" i="2" s="1" a="1"/>
  <c r="X4137" i="2" s="1"/>
  <c r="W4138" i="2"/>
  <c r="X4138" i="2" s="1" a="1"/>
  <c r="X4138" i="2" s="1"/>
  <c r="W4139" i="2"/>
  <c r="X4139" i="2" s="1" a="1"/>
  <c r="X4139" i="2" s="1"/>
  <c r="W4140" i="2"/>
  <c r="X4140" i="2" s="1" a="1"/>
  <c r="X4140" i="2" s="1"/>
  <c r="W4141" i="2"/>
  <c r="X4141" i="2" s="1" a="1"/>
  <c r="X4141" i="2" s="1"/>
  <c r="W4142" i="2"/>
  <c r="X4142" i="2" s="1" a="1"/>
  <c r="X4142" i="2" s="1"/>
  <c r="W4143" i="2"/>
  <c r="X4143" i="2" s="1" a="1"/>
  <c r="X4143" i="2" s="1"/>
  <c r="W4144" i="2"/>
  <c r="X4144" i="2" s="1" a="1"/>
  <c r="X4144" i="2" s="1"/>
  <c r="W4145" i="2"/>
  <c r="X4145" i="2" s="1" a="1"/>
  <c r="X4145" i="2" s="1"/>
  <c r="W4146" i="2"/>
  <c r="X4146" i="2" s="1" a="1"/>
  <c r="X4146" i="2" s="1"/>
  <c r="W4147" i="2"/>
  <c r="X4147" i="2" s="1" a="1"/>
  <c r="X4147" i="2" s="1"/>
  <c r="W4148" i="2"/>
  <c r="X4148" i="2" s="1" a="1"/>
  <c r="X4148" i="2" s="1"/>
  <c r="W4149" i="2"/>
  <c r="X4149" i="2" s="1" a="1"/>
  <c r="X4149" i="2" s="1"/>
  <c r="W4150" i="2"/>
  <c r="X4150" i="2" s="1" a="1"/>
  <c r="X4150" i="2" s="1"/>
  <c r="W4151" i="2"/>
  <c r="X4151" i="2" s="1" a="1"/>
  <c r="X4151" i="2" s="1"/>
  <c r="W4152" i="2"/>
  <c r="X4152" i="2" s="1" a="1"/>
  <c r="X4152" i="2" s="1"/>
  <c r="W4153" i="2"/>
  <c r="X4153" i="2" s="1" a="1"/>
  <c r="X4153" i="2" s="1"/>
  <c r="W4154" i="2"/>
  <c r="X4154" i="2" s="1" a="1"/>
  <c r="X4154" i="2" s="1"/>
  <c r="W4155" i="2"/>
  <c r="X4155" i="2" s="1" a="1"/>
  <c r="X4155" i="2" s="1"/>
  <c r="W4156" i="2"/>
  <c r="X4156" i="2" s="1" a="1"/>
  <c r="X4156" i="2" s="1"/>
  <c r="W4157" i="2"/>
  <c r="X4157" i="2" s="1" a="1"/>
  <c r="X4157" i="2" s="1"/>
  <c r="W4158" i="2"/>
  <c r="X4158" i="2" s="1" a="1"/>
  <c r="X4158" i="2" s="1"/>
  <c r="W4159" i="2"/>
  <c r="X4159" i="2" s="1" a="1"/>
  <c r="X4159" i="2" s="1"/>
  <c r="W4160" i="2"/>
  <c r="X4160" i="2" s="1" a="1"/>
  <c r="X4160" i="2" s="1"/>
  <c r="W4161" i="2"/>
  <c r="X4161" i="2" s="1" a="1"/>
  <c r="X4161" i="2" s="1"/>
  <c r="W4162" i="2"/>
  <c r="X4162" i="2" s="1" a="1"/>
  <c r="X4162" i="2" s="1"/>
  <c r="W4163" i="2"/>
  <c r="X4163" i="2" s="1" a="1"/>
  <c r="X4163" i="2" s="1"/>
  <c r="W4164" i="2"/>
  <c r="X4164" i="2" s="1" a="1"/>
  <c r="X4164" i="2" s="1"/>
  <c r="W4165" i="2"/>
  <c r="X4165" i="2" s="1" a="1"/>
  <c r="X4165" i="2" s="1"/>
  <c r="W4166" i="2"/>
  <c r="X4166" i="2" s="1" a="1"/>
  <c r="X4166" i="2" s="1"/>
  <c r="W4167" i="2"/>
  <c r="X4167" i="2" s="1" a="1"/>
  <c r="X4167" i="2" s="1"/>
  <c r="W4168" i="2"/>
  <c r="X4168" i="2" s="1" a="1"/>
  <c r="X4168" i="2" s="1"/>
  <c r="W4169" i="2"/>
  <c r="X4169" i="2" s="1" a="1"/>
  <c r="X4169" i="2" s="1"/>
  <c r="W4170" i="2"/>
  <c r="X4170" i="2" s="1" a="1"/>
  <c r="X4170" i="2" s="1"/>
  <c r="W4171" i="2"/>
  <c r="X4171" i="2" s="1" a="1"/>
  <c r="X4171" i="2" s="1"/>
  <c r="W4172" i="2"/>
  <c r="X4172" i="2" s="1" a="1"/>
  <c r="X4172" i="2" s="1"/>
  <c r="W4173" i="2"/>
  <c r="X4173" i="2" s="1" a="1"/>
  <c r="X4173" i="2" s="1"/>
  <c r="W4174" i="2"/>
  <c r="X4174" i="2" s="1" a="1"/>
  <c r="X4174" i="2" s="1"/>
  <c r="W4175" i="2"/>
  <c r="X4175" i="2" s="1" a="1"/>
  <c r="X4175" i="2" s="1"/>
  <c r="W4176" i="2"/>
  <c r="X4176" i="2" s="1" a="1"/>
  <c r="X4176" i="2" s="1"/>
  <c r="W4177" i="2"/>
  <c r="X4177" i="2" s="1" a="1"/>
  <c r="X4177" i="2" s="1"/>
  <c r="W4178" i="2"/>
  <c r="X4178" i="2" s="1" a="1"/>
  <c r="X4178" i="2" s="1"/>
  <c r="W4179" i="2"/>
  <c r="X4179" i="2" s="1" a="1"/>
  <c r="X4179" i="2" s="1"/>
  <c r="W4180" i="2"/>
  <c r="X4180" i="2" s="1" a="1"/>
  <c r="X4180" i="2" s="1"/>
  <c r="W4181" i="2"/>
  <c r="X4181" i="2" s="1" a="1"/>
  <c r="X4181" i="2" s="1"/>
  <c r="W4182" i="2"/>
  <c r="X4182" i="2" s="1" a="1"/>
  <c r="X4182" i="2" s="1"/>
  <c r="W4183" i="2"/>
  <c r="X4183" i="2" s="1" a="1"/>
  <c r="X4183" i="2" s="1"/>
  <c r="W4184" i="2"/>
  <c r="X4184" i="2" s="1" a="1"/>
  <c r="X4184" i="2" s="1"/>
  <c r="W4185" i="2"/>
  <c r="X4185" i="2" s="1" a="1"/>
  <c r="X4185" i="2" s="1"/>
  <c r="W4186" i="2"/>
  <c r="X4186" i="2" s="1" a="1"/>
  <c r="X4186" i="2" s="1"/>
  <c r="W4187" i="2"/>
  <c r="X4187" i="2" s="1" a="1"/>
  <c r="X4187" i="2" s="1"/>
  <c r="W4188" i="2"/>
  <c r="X4188" i="2" s="1" a="1"/>
  <c r="X4188" i="2" s="1"/>
  <c r="W4189" i="2"/>
  <c r="X4189" i="2" s="1" a="1"/>
  <c r="X4189" i="2" s="1"/>
  <c r="W4190" i="2"/>
  <c r="X4190" i="2" s="1" a="1"/>
  <c r="X4190" i="2" s="1"/>
  <c r="W4191" i="2"/>
  <c r="X4191" i="2" s="1" a="1"/>
  <c r="X4191" i="2" s="1"/>
  <c r="W4192" i="2"/>
  <c r="X4192" i="2" s="1" a="1"/>
  <c r="X4192" i="2" s="1"/>
  <c r="W4193" i="2"/>
  <c r="X4193" i="2" s="1" a="1"/>
  <c r="X4193" i="2" s="1"/>
  <c r="W4194" i="2"/>
  <c r="X4194" i="2" s="1" a="1"/>
  <c r="X4194" i="2" s="1"/>
  <c r="W4195" i="2"/>
  <c r="X4195" i="2" s="1" a="1"/>
  <c r="X4195" i="2" s="1"/>
  <c r="W4196" i="2"/>
  <c r="X4196" i="2" s="1" a="1"/>
  <c r="X4196" i="2" s="1"/>
  <c r="W4197" i="2"/>
  <c r="X4197" i="2" s="1" a="1"/>
  <c r="X4197" i="2" s="1"/>
  <c r="W4198" i="2"/>
  <c r="X4198" i="2" s="1" a="1"/>
  <c r="X4198" i="2" s="1"/>
  <c r="W4199" i="2"/>
  <c r="X4199" i="2" s="1" a="1"/>
  <c r="X4199" i="2" s="1"/>
  <c r="W4200" i="2"/>
  <c r="X4200" i="2" s="1" a="1"/>
  <c r="X4200" i="2" s="1"/>
  <c r="W4201" i="2"/>
  <c r="X4201" i="2" s="1" a="1"/>
  <c r="X4201" i="2" s="1"/>
  <c r="W4202" i="2"/>
  <c r="X4202" i="2" s="1" a="1"/>
  <c r="X4202" i="2" s="1"/>
  <c r="W4203" i="2"/>
  <c r="X4203" i="2" s="1" a="1"/>
  <c r="X4203" i="2" s="1"/>
  <c r="W4204" i="2"/>
  <c r="X4204" i="2" s="1" a="1"/>
  <c r="X4204" i="2" s="1"/>
  <c r="W4205" i="2"/>
  <c r="X4205" i="2" s="1" a="1"/>
  <c r="X4205" i="2" s="1"/>
  <c r="W4206" i="2"/>
  <c r="X4206" i="2" s="1" a="1"/>
  <c r="X4206" i="2" s="1"/>
  <c r="W4207" i="2"/>
  <c r="X4207" i="2" s="1" a="1"/>
  <c r="X4207" i="2" s="1"/>
  <c r="W4208" i="2"/>
  <c r="X4208" i="2" s="1" a="1"/>
  <c r="X4208" i="2" s="1"/>
  <c r="W4209" i="2"/>
  <c r="X4209" i="2" s="1" a="1"/>
  <c r="X4209" i="2" s="1"/>
  <c r="W4210" i="2"/>
  <c r="X4210" i="2" s="1" a="1"/>
  <c r="X4210" i="2" s="1"/>
  <c r="W4211" i="2"/>
  <c r="X4211" i="2" s="1" a="1"/>
  <c r="X4211" i="2" s="1"/>
  <c r="W4212" i="2"/>
  <c r="X4212" i="2" s="1" a="1"/>
  <c r="X4212" i="2" s="1"/>
  <c r="W4213" i="2"/>
  <c r="X4213" i="2" s="1" a="1"/>
  <c r="X4213" i="2" s="1"/>
  <c r="W4214" i="2"/>
  <c r="X4214" i="2" s="1" a="1"/>
  <c r="X4214" i="2" s="1"/>
  <c r="W4215" i="2"/>
  <c r="X4215" i="2" s="1" a="1"/>
  <c r="X4215" i="2" s="1"/>
  <c r="W4216" i="2"/>
  <c r="X4216" i="2" s="1" a="1"/>
  <c r="X4216" i="2" s="1"/>
  <c r="W4217" i="2"/>
  <c r="X4217" i="2" s="1" a="1"/>
  <c r="X4217" i="2" s="1"/>
  <c r="W4218" i="2"/>
  <c r="X4218" i="2" s="1" a="1"/>
  <c r="X4218" i="2" s="1"/>
  <c r="W4219" i="2"/>
  <c r="X4219" i="2" s="1" a="1"/>
  <c r="X4219" i="2" s="1"/>
  <c r="W4220" i="2"/>
  <c r="X4220" i="2" s="1" a="1"/>
  <c r="X4220" i="2" s="1"/>
  <c r="W4221" i="2"/>
  <c r="X4221" i="2" s="1" a="1"/>
  <c r="X4221" i="2" s="1"/>
  <c r="W4222" i="2"/>
  <c r="X4222" i="2" s="1" a="1"/>
  <c r="X4222" i="2" s="1"/>
  <c r="W4223" i="2"/>
  <c r="X4223" i="2" s="1" a="1"/>
  <c r="X4223" i="2" s="1"/>
  <c r="W4224" i="2"/>
  <c r="X4224" i="2" s="1" a="1"/>
  <c r="X4224" i="2" s="1"/>
  <c r="W4225" i="2"/>
  <c r="X4225" i="2" s="1" a="1"/>
  <c r="X4225" i="2" s="1"/>
  <c r="W4226" i="2"/>
  <c r="X4226" i="2" s="1" a="1"/>
  <c r="X4226" i="2" s="1"/>
  <c r="W4227" i="2"/>
  <c r="X4227" i="2" s="1" a="1"/>
  <c r="X4227" i="2" s="1"/>
  <c r="W4228" i="2"/>
  <c r="X4228" i="2" s="1" a="1"/>
  <c r="X4228" i="2" s="1"/>
  <c r="W4229" i="2"/>
  <c r="X4229" i="2" s="1" a="1"/>
  <c r="X4229" i="2" s="1"/>
  <c r="W4230" i="2"/>
  <c r="X4230" i="2" s="1" a="1"/>
  <c r="X4230" i="2" s="1"/>
  <c r="W4231" i="2"/>
  <c r="X4231" i="2" s="1" a="1"/>
  <c r="X4231" i="2" s="1"/>
  <c r="W4232" i="2"/>
  <c r="X4232" i="2" s="1" a="1"/>
  <c r="X4232" i="2" s="1"/>
  <c r="W4233" i="2"/>
  <c r="X4233" i="2" s="1" a="1"/>
  <c r="X4233" i="2" s="1"/>
  <c r="W4234" i="2"/>
  <c r="X4234" i="2" s="1" a="1"/>
  <c r="X4234" i="2" s="1"/>
  <c r="W4235" i="2"/>
  <c r="X4235" i="2" s="1" a="1"/>
  <c r="X4235" i="2" s="1"/>
  <c r="W4236" i="2"/>
  <c r="X4236" i="2" s="1" a="1"/>
  <c r="X4236" i="2" s="1"/>
  <c r="W4237" i="2"/>
  <c r="X4237" i="2" s="1" a="1"/>
  <c r="X4237" i="2" s="1"/>
  <c r="W4238" i="2"/>
  <c r="X4238" i="2" s="1" a="1"/>
  <c r="X4238" i="2" s="1"/>
  <c r="W4239" i="2"/>
  <c r="X4239" i="2" s="1" a="1"/>
  <c r="X4239" i="2" s="1"/>
  <c r="W4240" i="2"/>
  <c r="X4240" i="2" s="1" a="1"/>
  <c r="X4240" i="2" s="1"/>
  <c r="W4241" i="2"/>
  <c r="X4241" i="2" s="1" a="1"/>
  <c r="X4241" i="2" s="1"/>
  <c r="W4242" i="2"/>
  <c r="X4242" i="2" s="1" a="1"/>
  <c r="X4242" i="2" s="1"/>
  <c r="W4243" i="2"/>
  <c r="X4243" i="2" s="1" a="1"/>
  <c r="X4243" i="2" s="1"/>
  <c r="W4244" i="2"/>
  <c r="X4244" i="2" s="1" a="1"/>
  <c r="X4244" i="2" s="1"/>
  <c r="W4245" i="2"/>
  <c r="X4245" i="2" s="1" a="1"/>
  <c r="X4245" i="2" s="1"/>
  <c r="W4246" i="2"/>
  <c r="X4246" i="2" s="1" a="1"/>
  <c r="X4246" i="2" s="1"/>
  <c r="W4247" i="2"/>
  <c r="X4247" i="2" s="1" a="1"/>
  <c r="X4247" i="2" s="1"/>
  <c r="W4248" i="2"/>
  <c r="X4248" i="2" s="1" a="1"/>
  <c r="X4248" i="2" s="1"/>
  <c r="W4249" i="2"/>
  <c r="X4249" i="2" s="1" a="1"/>
  <c r="X4249" i="2" s="1"/>
  <c r="W4250" i="2"/>
  <c r="X4250" i="2" s="1" a="1"/>
  <c r="X4250" i="2" s="1"/>
  <c r="W4251" i="2"/>
  <c r="X4251" i="2" s="1" a="1"/>
  <c r="X4251" i="2" s="1"/>
  <c r="W4252" i="2"/>
  <c r="X4252" i="2" s="1" a="1"/>
  <c r="X4252" i="2" s="1"/>
  <c r="W4253" i="2"/>
  <c r="X4253" i="2" s="1" a="1"/>
  <c r="X4253" i="2" s="1"/>
  <c r="W4254" i="2"/>
  <c r="X4254" i="2" s="1" a="1"/>
  <c r="X4254" i="2" s="1"/>
  <c r="W4255" i="2"/>
  <c r="X4255" i="2" s="1" a="1"/>
  <c r="X4255" i="2" s="1"/>
  <c r="W4256" i="2"/>
  <c r="X4256" i="2" s="1" a="1"/>
  <c r="X4256" i="2" s="1"/>
  <c r="W4257" i="2"/>
  <c r="X4257" i="2" s="1" a="1"/>
  <c r="X4257" i="2" s="1"/>
  <c r="W4258" i="2"/>
  <c r="X4258" i="2" s="1" a="1"/>
  <c r="X4258" i="2" s="1"/>
  <c r="W4259" i="2"/>
  <c r="X4259" i="2" s="1" a="1"/>
  <c r="X4259" i="2" s="1"/>
  <c r="W4260" i="2"/>
  <c r="X4260" i="2" s="1" a="1"/>
  <c r="X4260" i="2" s="1"/>
  <c r="W4261" i="2"/>
  <c r="X4261" i="2" s="1" a="1"/>
  <c r="X4261" i="2" s="1"/>
  <c r="W4262" i="2"/>
  <c r="X4262" i="2" s="1" a="1"/>
  <c r="X4262" i="2" s="1"/>
  <c r="W4263" i="2"/>
  <c r="X4263" i="2" s="1" a="1"/>
  <c r="X4263" i="2" s="1"/>
  <c r="W4264" i="2"/>
  <c r="X4264" i="2" s="1" a="1"/>
  <c r="X4264" i="2" s="1"/>
  <c r="W4265" i="2"/>
  <c r="X4265" i="2" s="1" a="1"/>
  <c r="X4265" i="2" s="1"/>
  <c r="W4266" i="2"/>
  <c r="X4266" i="2" s="1" a="1"/>
  <c r="X4266" i="2" s="1"/>
  <c r="W4267" i="2"/>
  <c r="X4267" i="2" s="1" a="1"/>
  <c r="X4267" i="2" s="1"/>
  <c r="W4268" i="2"/>
  <c r="X4268" i="2" s="1" a="1"/>
  <c r="X4268" i="2" s="1"/>
  <c r="W4269" i="2"/>
  <c r="X4269" i="2" s="1" a="1"/>
  <c r="X4269" i="2" s="1"/>
  <c r="W4270" i="2"/>
  <c r="X4270" i="2" s="1" a="1"/>
  <c r="X4270" i="2" s="1"/>
  <c r="W4271" i="2"/>
  <c r="X4271" i="2" s="1" a="1"/>
  <c r="X4271" i="2" s="1"/>
  <c r="W4272" i="2"/>
  <c r="X4272" i="2" s="1" a="1"/>
  <c r="X4272" i="2" s="1"/>
  <c r="W4273" i="2"/>
  <c r="X4273" i="2" s="1" a="1"/>
  <c r="X4273" i="2" s="1"/>
  <c r="W4274" i="2"/>
  <c r="X4274" i="2" s="1" a="1"/>
  <c r="X4274" i="2" s="1"/>
  <c r="W4275" i="2"/>
  <c r="X4275" i="2" s="1" a="1"/>
  <c r="X4275" i="2" s="1"/>
  <c r="W4276" i="2"/>
  <c r="X4276" i="2" s="1" a="1"/>
  <c r="X4276" i="2" s="1"/>
  <c r="W4277" i="2"/>
  <c r="X4277" i="2" s="1" a="1"/>
  <c r="X4277" i="2" s="1"/>
  <c r="W4278" i="2"/>
  <c r="X4278" i="2" s="1" a="1"/>
  <c r="X4278" i="2" s="1"/>
  <c r="W4279" i="2"/>
  <c r="X4279" i="2" s="1" a="1"/>
  <c r="X4279" i="2" s="1"/>
  <c r="W4280" i="2"/>
  <c r="X4280" i="2" s="1" a="1"/>
  <c r="X4280" i="2" s="1"/>
  <c r="W4281" i="2"/>
  <c r="X4281" i="2" s="1" a="1"/>
  <c r="X4281" i="2" s="1"/>
  <c r="W4282" i="2"/>
  <c r="X4282" i="2" s="1" a="1"/>
  <c r="X4282" i="2" s="1"/>
  <c r="W4283" i="2"/>
  <c r="X4283" i="2" s="1" a="1"/>
  <c r="X4283" i="2" s="1"/>
  <c r="W4284" i="2"/>
  <c r="X4284" i="2" s="1" a="1"/>
  <c r="X4284" i="2" s="1"/>
  <c r="W4285" i="2"/>
  <c r="X4285" i="2" s="1" a="1"/>
  <c r="X4285" i="2" s="1"/>
  <c r="W4286" i="2"/>
  <c r="X4286" i="2" s="1" a="1"/>
  <c r="X4286" i="2" s="1"/>
  <c r="W4287" i="2"/>
  <c r="X4287" i="2" s="1" a="1"/>
  <c r="X4287" i="2" s="1"/>
  <c r="W4288" i="2"/>
  <c r="X4288" i="2" s="1" a="1"/>
  <c r="X4288" i="2" s="1"/>
  <c r="W4289" i="2"/>
  <c r="X4289" i="2" s="1" a="1"/>
  <c r="X4289" i="2" s="1"/>
  <c r="W4290" i="2"/>
  <c r="X4290" i="2" s="1" a="1"/>
  <c r="X4290" i="2" s="1"/>
  <c r="W4291" i="2"/>
  <c r="X4291" i="2" s="1" a="1"/>
  <c r="X4291" i="2" s="1"/>
  <c r="W4292" i="2"/>
  <c r="X4292" i="2" s="1" a="1"/>
  <c r="X4292" i="2" s="1"/>
  <c r="W4293" i="2"/>
  <c r="X4293" i="2" s="1" a="1"/>
  <c r="X4293" i="2" s="1"/>
  <c r="W4294" i="2"/>
  <c r="X4294" i="2" s="1" a="1"/>
  <c r="X4294" i="2" s="1"/>
  <c r="W4295" i="2"/>
  <c r="X4295" i="2" s="1" a="1"/>
  <c r="X4295" i="2" s="1"/>
  <c r="W4296" i="2"/>
  <c r="X4296" i="2" s="1" a="1"/>
  <c r="X4296" i="2" s="1"/>
  <c r="W4297" i="2"/>
  <c r="X4297" i="2" s="1" a="1"/>
  <c r="X4297" i="2" s="1"/>
  <c r="W4298" i="2"/>
  <c r="X4298" i="2" s="1" a="1"/>
  <c r="X4298" i="2" s="1"/>
  <c r="W4299" i="2"/>
  <c r="X4299" i="2" s="1" a="1"/>
  <c r="X4299" i="2" s="1"/>
  <c r="W4300" i="2"/>
  <c r="X4300" i="2" s="1" a="1"/>
  <c r="X4300" i="2" s="1"/>
  <c r="W4301" i="2"/>
  <c r="X4301" i="2" s="1" a="1"/>
  <c r="X4301" i="2" s="1"/>
  <c r="W4302" i="2"/>
  <c r="X4302" i="2" s="1" a="1"/>
  <c r="X4302" i="2" s="1"/>
  <c r="W4303" i="2"/>
  <c r="X4303" i="2" s="1" a="1"/>
  <c r="X4303" i="2" s="1"/>
  <c r="W4304" i="2"/>
  <c r="X4304" i="2" s="1" a="1"/>
  <c r="X4304" i="2" s="1"/>
  <c r="W4305" i="2"/>
  <c r="X4305" i="2" s="1" a="1"/>
  <c r="X4305" i="2" s="1"/>
  <c r="W4306" i="2"/>
  <c r="X4306" i="2" s="1" a="1"/>
  <c r="X4306" i="2" s="1"/>
  <c r="W4307" i="2"/>
  <c r="X4307" i="2" s="1" a="1"/>
  <c r="X4307" i="2" s="1"/>
  <c r="W4308" i="2"/>
  <c r="X4308" i="2" s="1" a="1"/>
  <c r="X4308" i="2" s="1"/>
  <c r="W4309" i="2"/>
  <c r="X4309" i="2" s="1" a="1"/>
  <c r="X4309" i="2" s="1"/>
  <c r="W4310" i="2"/>
  <c r="X4310" i="2" s="1" a="1"/>
  <c r="X4310" i="2" s="1"/>
  <c r="W4311" i="2"/>
  <c r="X4311" i="2" s="1" a="1"/>
  <c r="X4311" i="2" s="1"/>
  <c r="W4312" i="2"/>
  <c r="X4312" i="2" s="1" a="1"/>
  <c r="X4312" i="2" s="1"/>
  <c r="W4313" i="2"/>
  <c r="X4313" i="2" s="1" a="1"/>
  <c r="X4313" i="2" s="1"/>
  <c r="W4314" i="2"/>
  <c r="X4314" i="2" s="1" a="1"/>
  <c r="X4314" i="2" s="1"/>
  <c r="W4315" i="2"/>
  <c r="X4315" i="2" s="1" a="1"/>
  <c r="X4315" i="2" s="1"/>
  <c r="W4316" i="2"/>
  <c r="X4316" i="2" s="1" a="1"/>
  <c r="X4316" i="2" s="1"/>
  <c r="W4317" i="2"/>
  <c r="X4317" i="2" s="1" a="1"/>
  <c r="X4317" i="2" s="1"/>
  <c r="W4318" i="2"/>
  <c r="X4318" i="2" s="1" a="1"/>
  <c r="X4318" i="2" s="1"/>
  <c r="W4319" i="2"/>
  <c r="X4319" i="2" s="1" a="1"/>
  <c r="X4319" i="2" s="1"/>
  <c r="W4320" i="2"/>
  <c r="X4320" i="2" s="1" a="1"/>
  <c r="X4320" i="2" s="1"/>
  <c r="W4321" i="2"/>
  <c r="X4321" i="2" s="1" a="1"/>
  <c r="X4321" i="2" s="1"/>
  <c r="W4322" i="2"/>
  <c r="X4322" i="2" s="1" a="1"/>
  <c r="X4322" i="2" s="1"/>
  <c r="W4323" i="2"/>
  <c r="X4323" i="2" s="1" a="1"/>
  <c r="X4323" i="2" s="1"/>
  <c r="W4324" i="2"/>
  <c r="X4324" i="2" s="1" a="1"/>
  <c r="X4324" i="2" s="1"/>
  <c r="W4325" i="2"/>
  <c r="X4325" i="2" s="1" a="1"/>
  <c r="X4325" i="2" s="1"/>
  <c r="W4326" i="2"/>
  <c r="X4326" i="2" s="1" a="1"/>
  <c r="X4326" i="2" s="1"/>
  <c r="W4327" i="2"/>
  <c r="X4327" i="2" s="1" a="1"/>
  <c r="X4327" i="2" s="1"/>
  <c r="W4328" i="2"/>
  <c r="X4328" i="2" s="1" a="1"/>
  <c r="X4328" i="2" s="1"/>
  <c r="W4329" i="2"/>
  <c r="X4329" i="2" s="1" a="1"/>
  <c r="X4329" i="2" s="1"/>
  <c r="W4330" i="2"/>
  <c r="X4330" i="2" s="1" a="1"/>
  <c r="X4330" i="2" s="1"/>
  <c r="W4331" i="2"/>
  <c r="X4331" i="2" s="1" a="1"/>
  <c r="X4331" i="2" s="1"/>
  <c r="W4332" i="2"/>
  <c r="X4332" i="2" s="1" a="1"/>
  <c r="X4332" i="2" s="1"/>
  <c r="W4333" i="2"/>
  <c r="X4333" i="2" s="1" a="1"/>
  <c r="X4333" i="2" s="1"/>
  <c r="W4334" i="2"/>
  <c r="X4334" i="2" s="1" a="1"/>
  <c r="X4334" i="2" s="1"/>
  <c r="W4335" i="2"/>
  <c r="X4335" i="2" s="1" a="1"/>
  <c r="X4335" i="2" s="1"/>
  <c r="W4336" i="2"/>
  <c r="X4336" i="2" s="1" a="1"/>
  <c r="X4336" i="2" s="1"/>
  <c r="W4337" i="2"/>
  <c r="X4337" i="2" s="1" a="1"/>
  <c r="X4337" i="2" s="1"/>
  <c r="W4338" i="2"/>
  <c r="X4338" i="2" s="1" a="1"/>
  <c r="X4338" i="2" s="1"/>
  <c r="W4339" i="2"/>
  <c r="X4339" i="2" s="1" a="1"/>
  <c r="X4339" i="2" s="1"/>
  <c r="W4340" i="2"/>
  <c r="X4340" i="2" s="1" a="1"/>
  <c r="X4340" i="2" s="1"/>
  <c r="W4341" i="2"/>
  <c r="X4341" i="2" s="1" a="1"/>
  <c r="X4341" i="2" s="1"/>
  <c r="W4342" i="2"/>
  <c r="X4342" i="2" s="1" a="1"/>
  <c r="X4342" i="2" s="1"/>
  <c r="W4343" i="2"/>
  <c r="X4343" i="2" s="1" a="1"/>
  <c r="X4343" i="2" s="1"/>
  <c r="W4344" i="2"/>
  <c r="X4344" i="2" s="1" a="1"/>
  <c r="X4344" i="2" s="1"/>
  <c r="W4345" i="2"/>
  <c r="X4345" i="2" s="1" a="1"/>
  <c r="X4345" i="2" s="1"/>
  <c r="W4346" i="2"/>
  <c r="X4346" i="2" s="1" a="1"/>
  <c r="X4346" i="2" s="1"/>
  <c r="W4347" i="2"/>
  <c r="X4347" i="2" s="1" a="1"/>
  <c r="X4347" i="2" s="1"/>
  <c r="W4348" i="2"/>
  <c r="X4348" i="2" s="1" a="1"/>
  <c r="X4348" i="2" s="1"/>
  <c r="W4349" i="2"/>
  <c r="X4349" i="2" s="1" a="1"/>
  <c r="X4349" i="2" s="1"/>
  <c r="W4350" i="2"/>
  <c r="X4350" i="2" s="1" a="1"/>
  <c r="X4350" i="2" s="1"/>
  <c r="W4351" i="2"/>
  <c r="X4351" i="2" s="1" a="1"/>
  <c r="X4351" i="2" s="1"/>
  <c r="W4352" i="2"/>
  <c r="X4352" i="2" s="1" a="1"/>
  <c r="X4352" i="2" s="1"/>
  <c r="W4353" i="2"/>
  <c r="X4353" i="2" s="1" a="1"/>
  <c r="X4353" i="2" s="1"/>
  <c r="W4354" i="2"/>
  <c r="X4354" i="2" s="1" a="1"/>
  <c r="X4354" i="2" s="1"/>
  <c r="W4355" i="2"/>
  <c r="X4355" i="2" s="1" a="1"/>
  <c r="X4355" i="2" s="1"/>
  <c r="W4356" i="2"/>
  <c r="X4356" i="2" s="1" a="1"/>
  <c r="X4356" i="2" s="1"/>
  <c r="W4357" i="2"/>
  <c r="X4357" i="2" s="1" a="1"/>
  <c r="X4357" i="2" s="1"/>
  <c r="W4358" i="2"/>
  <c r="X4358" i="2" s="1" a="1"/>
  <c r="X4358" i="2" s="1"/>
  <c r="W4359" i="2"/>
  <c r="X4359" i="2" s="1" a="1"/>
  <c r="X4359" i="2" s="1"/>
  <c r="W4360" i="2"/>
  <c r="X4360" i="2" s="1" a="1"/>
  <c r="X4360" i="2" s="1"/>
  <c r="W4361" i="2"/>
  <c r="X4361" i="2" s="1" a="1"/>
  <c r="X4361" i="2" s="1"/>
  <c r="W4362" i="2"/>
  <c r="X4362" i="2" s="1" a="1"/>
  <c r="X4362" i="2" s="1"/>
  <c r="W4363" i="2"/>
  <c r="X4363" i="2" s="1" a="1"/>
  <c r="X4363" i="2" s="1"/>
  <c r="W4364" i="2"/>
  <c r="X4364" i="2" s="1" a="1"/>
  <c r="X4364" i="2" s="1"/>
  <c r="W4365" i="2"/>
  <c r="X4365" i="2" s="1" a="1"/>
  <c r="X4365" i="2" s="1"/>
  <c r="W4366" i="2"/>
  <c r="X4366" i="2" s="1" a="1"/>
  <c r="X4366" i="2" s="1"/>
  <c r="W4367" i="2"/>
  <c r="X4367" i="2" s="1" a="1"/>
  <c r="X4367" i="2" s="1"/>
  <c r="W4368" i="2"/>
  <c r="X4368" i="2" s="1" a="1"/>
  <c r="X4368" i="2" s="1"/>
  <c r="W4369" i="2"/>
  <c r="X4369" i="2" s="1" a="1"/>
  <c r="X4369" i="2" s="1"/>
  <c r="W4370" i="2"/>
  <c r="X4370" i="2" s="1" a="1"/>
  <c r="X4370" i="2" s="1"/>
  <c r="W4371" i="2"/>
  <c r="X4371" i="2" s="1" a="1"/>
  <c r="X4371" i="2" s="1"/>
  <c r="W4372" i="2"/>
  <c r="X4372" i="2" s="1" a="1"/>
  <c r="X4372" i="2" s="1"/>
  <c r="W4373" i="2"/>
  <c r="X4373" i="2" s="1" a="1"/>
  <c r="X4373" i="2" s="1"/>
  <c r="W4374" i="2"/>
  <c r="X4374" i="2" s="1" a="1"/>
  <c r="X4374" i="2" s="1"/>
  <c r="W4375" i="2"/>
  <c r="X4375" i="2" s="1" a="1"/>
  <c r="X4375" i="2" s="1"/>
  <c r="W4376" i="2"/>
  <c r="X4376" i="2" s="1" a="1"/>
  <c r="X4376" i="2" s="1"/>
  <c r="W4377" i="2"/>
  <c r="X4377" i="2" s="1" a="1"/>
  <c r="X4377" i="2" s="1"/>
  <c r="W4378" i="2"/>
  <c r="X4378" i="2" s="1" a="1"/>
  <c r="X4378" i="2" s="1"/>
  <c r="W4379" i="2"/>
  <c r="X4379" i="2" s="1" a="1"/>
  <c r="X4379" i="2" s="1"/>
  <c r="W4380" i="2"/>
  <c r="X4380" i="2" s="1" a="1"/>
  <c r="X4380" i="2" s="1"/>
  <c r="W4381" i="2"/>
  <c r="X4381" i="2" s="1" a="1"/>
  <c r="X4381" i="2" s="1"/>
  <c r="W4382" i="2"/>
  <c r="X4382" i="2" s="1" a="1"/>
  <c r="X4382" i="2" s="1"/>
  <c r="W4383" i="2"/>
  <c r="X4383" i="2" s="1" a="1"/>
  <c r="X4383" i="2" s="1"/>
  <c r="W4384" i="2"/>
  <c r="X4384" i="2" s="1" a="1"/>
  <c r="X4384" i="2" s="1"/>
  <c r="W4385" i="2"/>
  <c r="X4385" i="2" s="1" a="1"/>
  <c r="X4385" i="2" s="1"/>
  <c r="W4386" i="2"/>
  <c r="X4386" i="2" s="1" a="1"/>
  <c r="X4386" i="2" s="1"/>
  <c r="W4387" i="2"/>
  <c r="X4387" i="2" s="1" a="1"/>
  <c r="X4387" i="2" s="1"/>
  <c r="W4388" i="2"/>
  <c r="X4388" i="2" s="1" a="1"/>
  <c r="X4388" i="2" s="1"/>
  <c r="W4389" i="2"/>
  <c r="X4389" i="2" s="1" a="1"/>
  <c r="X4389" i="2" s="1"/>
  <c r="W4390" i="2"/>
  <c r="X4390" i="2" s="1" a="1"/>
  <c r="X4390" i="2" s="1"/>
  <c r="W4391" i="2"/>
  <c r="X4391" i="2" s="1" a="1"/>
  <c r="X4391" i="2" s="1"/>
  <c r="W4392" i="2"/>
  <c r="X4392" i="2" s="1" a="1"/>
  <c r="X4392" i="2" s="1"/>
  <c r="W4393" i="2"/>
  <c r="X4393" i="2" s="1" a="1"/>
  <c r="X4393" i="2" s="1"/>
  <c r="W4394" i="2"/>
  <c r="X4394" i="2" s="1" a="1"/>
  <c r="X4394" i="2" s="1"/>
  <c r="W4395" i="2"/>
  <c r="X4395" i="2" s="1" a="1"/>
  <c r="X4395" i="2" s="1"/>
  <c r="W4396" i="2"/>
  <c r="X4396" i="2" s="1" a="1"/>
  <c r="X4396" i="2" s="1"/>
  <c r="W4397" i="2"/>
  <c r="X4397" i="2" s="1" a="1"/>
  <c r="X4397" i="2" s="1"/>
  <c r="W4398" i="2"/>
  <c r="X4398" i="2" s="1" a="1"/>
  <c r="X4398" i="2" s="1"/>
  <c r="W4399" i="2"/>
  <c r="X4399" i="2" s="1" a="1"/>
  <c r="X4399" i="2" s="1"/>
  <c r="W4400" i="2"/>
  <c r="X4400" i="2" s="1" a="1"/>
  <c r="X4400" i="2" s="1"/>
  <c r="W4401" i="2"/>
  <c r="X4401" i="2" s="1" a="1"/>
  <c r="X4401" i="2" s="1"/>
  <c r="W4402" i="2"/>
  <c r="X4402" i="2" s="1" a="1"/>
  <c r="X4402" i="2" s="1"/>
  <c r="W4403" i="2"/>
  <c r="X4403" i="2" s="1" a="1"/>
  <c r="X4403" i="2" s="1"/>
  <c r="W4404" i="2"/>
  <c r="X4404" i="2" s="1" a="1"/>
  <c r="X4404" i="2" s="1"/>
  <c r="W4405" i="2"/>
  <c r="X4405" i="2" s="1" a="1"/>
  <c r="X4405" i="2" s="1"/>
  <c r="W4406" i="2"/>
  <c r="X4406" i="2" s="1" a="1"/>
  <c r="X4406" i="2" s="1"/>
  <c r="W4407" i="2"/>
  <c r="X4407" i="2" s="1" a="1"/>
  <c r="X4407" i="2" s="1"/>
  <c r="W4408" i="2"/>
  <c r="X4408" i="2" s="1" a="1"/>
  <c r="X4408" i="2" s="1"/>
  <c r="W4409" i="2"/>
  <c r="X4409" i="2" s="1" a="1"/>
  <c r="X4409" i="2" s="1"/>
  <c r="W4410" i="2"/>
  <c r="X4410" i="2" s="1" a="1"/>
  <c r="X4410" i="2" s="1"/>
  <c r="W4411" i="2"/>
  <c r="X4411" i="2" s="1" a="1"/>
  <c r="X4411" i="2" s="1"/>
  <c r="W4412" i="2"/>
  <c r="X4412" i="2" s="1" a="1"/>
  <c r="X4412" i="2" s="1"/>
  <c r="W4413" i="2"/>
  <c r="X4413" i="2" s="1" a="1"/>
  <c r="X4413" i="2" s="1"/>
  <c r="W4414" i="2"/>
  <c r="X4414" i="2" s="1" a="1"/>
  <c r="X4414" i="2" s="1"/>
  <c r="W4415" i="2"/>
  <c r="X4415" i="2" s="1" a="1"/>
  <c r="X4415" i="2" s="1"/>
  <c r="W4416" i="2"/>
  <c r="X4416" i="2" s="1" a="1"/>
  <c r="X4416" i="2" s="1"/>
  <c r="W4417" i="2"/>
  <c r="X4417" i="2" s="1" a="1"/>
  <c r="X4417" i="2" s="1"/>
  <c r="W4418" i="2"/>
  <c r="X4418" i="2" s="1" a="1"/>
  <c r="X4418" i="2" s="1"/>
  <c r="W4419" i="2"/>
  <c r="X4419" i="2" s="1" a="1"/>
  <c r="X4419" i="2" s="1"/>
  <c r="W4420" i="2"/>
  <c r="X4420" i="2" s="1" a="1"/>
  <c r="X4420" i="2" s="1"/>
  <c r="W4421" i="2"/>
  <c r="X4421" i="2" s="1" a="1"/>
  <c r="X4421" i="2" s="1"/>
  <c r="W4422" i="2"/>
  <c r="X4422" i="2" s="1" a="1"/>
  <c r="X4422" i="2" s="1"/>
  <c r="W4423" i="2"/>
  <c r="X4423" i="2" s="1" a="1"/>
  <c r="X4423" i="2" s="1"/>
  <c r="W4424" i="2"/>
  <c r="X4424" i="2" s="1" a="1"/>
  <c r="X4424" i="2" s="1"/>
  <c r="W4425" i="2"/>
  <c r="X4425" i="2" s="1" a="1"/>
  <c r="X4425" i="2" s="1"/>
  <c r="W4426" i="2"/>
  <c r="X4426" i="2" s="1" a="1"/>
  <c r="X4426" i="2" s="1"/>
  <c r="W4427" i="2"/>
  <c r="X4427" i="2" s="1" a="1"/>
  <c r="X4427" i="2" s="1"/>
  <c r="W4428" i="2"/>
  <c r="X4428" i="2" s="1" a="1"/>
  <c r="X4428" i="2" s="1"/>
  <c r="W4429" i="2"/>
  <c r="X4429" i="2" s="1" a="1"/>
  <c r="X4429" i="2" s="1"/>
  <c r="W4430" i="2"/>
  <c r="X4430" i="2" s="1" a="1"/>
  <c r="X4430" i="2" s="1"/>
  <c r="W4431" i="2"/>
  <c r="X4431" i="2" s="1" a="1"/>
  <c r="X4431" i="2" s="1"/>
  <c r="W4432" i="2"/>
  <c r="X4432" i="2" s="1" a="1"/>
  <c r="X4432" i="2" s="1"/>
  <c r="W4433" i="2"/>
  <c r="X4433" i="2" s="1" a="1"/>
  <c r="X4433" i="2" s="1"/>
  <c r="W4434" i="2"/>
  <c r="X4434" i="2" s="1" a="1"/>
  <c r="X4434" i="2" s="1"/>
  <c r="W4435" i="2"/>
  <c r="X4435" i="2" s="1" a="1"/>
  <c r="X4435" i="2" s="1"/>
  <c r="W4436" i="2"/>
  <c r="X4436" i="2" s="1" a="1"/>
  <c r="X4436" i="2" s="1"/>
  <c r="W4437" i="2"/>
  <c r="X4437" i="2" s="1" a="1"/>
  <c r="X4437" i="2" s="1"/>
  <c r="W4438" i="2"/>
  <c r="X4438" i="2" s="1" a="1"/>
  <c r="X4438" i="2" s="1"/>
  <c r="W4439" i="2"/>
  <c r="X4439" i="2" s="1" a="1"/>
  <c r="X4439" i="2" s="1"/>
  <c r="W4440" i="2"/>
  <c r="X4440" i="2" s="1" a="1"/>
  <c r="X4440" i="2" s="1"/>
  <c r="W4441" i="2"/>
  <c r="X4441" i="2" s="1" a="1"/>
  <c r="X4441" i="2" s="1"/>
  <c r="W4442" i="2"/>
  <c r="X4442" i="2" s="1" a="1"/>
  <c r="X4442" i="2" s="1"/>
  <c r="W4443" i="2"/>
  <c r="X4443" i="2" s="1" a="1"/>
  <c r="X4443" i="2" s="1"/>
  <c r="W4444" i="2"/>
  <c r="X4444" i="2" s="1" a="1"/>
  <c r="X4444" i="2" s="1"/>
  <c r="W4445" i="2"/>
  <c r="X4445" i="2" s="1" a="1"/>
  <c r="X4445" i="2" s="1"/>
  <c r="W4446" i="2"/>
  <c r="X4446" i="2" s="1" a="1"/>
  <c r="X4446" i="2" s="1"/>
  <c r="W4447" i="2"/>
  <c r="X4447" i="2" s="1" a="1"/>
  <c r="X4447" i="2" s="1"/>
  <c r="W4448" i="2"/>
  <c r="X4448" i="2" s="1" a="1"/>
  <c r="X4448" i="2" s="1"/>
  <c r="W4449" i="2"/>
  <c r="X4449" i="2" s="1" a="1"/>
  <c r="X4449" i="2" s="1"/>
  <c r="W4450" i="2"/>
  <c r="X4450" i="2" s="1" a="1"/>
  <c r="X4450" i="2" s="1"/>
  <c r="W4451" i="2"/>
  <c r="X4451" i="2" s="1" a="1"/>
  <c r="X4451" i="2" s="1"/>
  <c r="W4452" i="2"/>
  <c r="X4452" i="2" s="1" a="1"/>
  <c r="X4452" i="2" s="1"/>
  <c r="W4453" i="2"/>
  <c r="X4453" i="2" s="1" a="1"/>
  <c r="X4453" i="2" s="1"/>
  <c r="W4454" i="2"/>
  <c r="X4454" i="2" s="1" a="1"/>
  <c r="X4454" i="2" s="1"/>
  <c r="W4455" i="2"/>
  <c r="X4455" i="2" s="1" a="1"/>
  <c r="X4455" i="2" s="1"/>
  <c r="W4456" i="2"/>
  <c r="X4456" i="2" s="1" a="1"/>
  <c r="X4456" i="2" s="1"/>
  <c r="W4457" i="2"/>
  <c r="X4457" i="2" s="1" a="1"/>
  <c r="X4457" i="2" s="1"/>
  <c r="W4458" i="2"/>
  <c r="X4458" i="2" s="1" a="1"/>
  <c r="X4458" i="2" s="1"/>
  <c r="W4459" i="2"/>
  <c r="X4459" i="2" s="1" a="1"/>
  <c r="X4459" i="2" s="1"/>
  <c r="W4460" i="2"/>
  <c r="X4460" i="2" s="1" a="1"/>
  <c r="X4460" i="2" s="1"/>
  <c r="W4461" i="2"/>
  <c r="X4461" i="2" s="1" a="1"/>
  <c r="X4461" i="2" s="1"/>
  <c r="W4462" i="2"/>
  <c r="X4462" i="2" s="1" a="1"/>
  <c r="X4462" i="2" s="1"/>
  <c r="W4463" i="2"/>
  <c r="X4463" i="2" s="1" a="1"/>
  <c r="X4463" i="2" s="1"/>
  <c r="W4464" i="2"/>
  <c r="X4464" i="2" s="1" a="1"/>
  <c r="X4464" i="2" s="1"/>
  <c r="W4465" i="2"/>
  <c r="X4465" i="2" s="1" a="1"/>
  <c r="X4465" i="2" s="1"/>
  <c r="W4466" i="2"/>
  <c r="X4466" i="2" s="1" a="1"/>
  <c r="X4466" i="2" s="1"/>
  <c r="W4467" i="2"/>
  <c r="X4467" i="2" s="1" a="1"/>
  <c r="X4467" i="2" s="1"/>
  <c r="W4468" i="2"/>
  <c r="X4468" i="2" s="1" a="1"/>
  <c r="X4468" i="2" s="1"/>
  <c r="W4469" i="2"/>
  <c r="X4469" i="2" s="1" a="1"/>
  <c r="X4469" i="2" s="1"/>
  <c r="W4470" i="2"/>
  <c r="X4470" i="2" s="1" a="1"/>
  <c r="X4470" i="2" s="1"/>
  <c r="W4471" i="2"/>
  <c r="X4471" i="2" s="1" a="1"/>
  <c r="X4471" i="2" s="1"/>
  <c r="W4472" i="2"/>
  <c r="X4472" i="2" s="1" a="1"/>
  <c r="X4472" i="2" s="1"/>
  <c r="W4473" i="2"/>
  <c r="X4473" i="2" s="1" a="1"/>
  <c r="X4473" i="2" s="1"/>
  <c r="W4474" i="2"/>
  <c r="X4474" i="2" s="1" a="1"/>
  <c r="X4474" i="2" s="1"/>
  <c r="W4475" i="2"/>
  <c r="X4475" i="2" s="1" a="1"/>
  <c r="X4475" i="2" s="1"/>
  <c r="W4476" i="2"/>
  <c r="X4476" i="2" s="1" a="1"/>
  <c r="X4476" i="2" s="1"/>
  <c r="W4477" i="2"/>
  <c r="X4477" i="2" s="1" a="1"/>
  <c r="X4477" i="2" s="1"/>
  <c r="W4478" i="2"/>
  <c r="X4478" i="2" s="1" a="1"/>
  <c r="X4478" i="2" s="1"/>
  <c r="W4479" i="2"/>
  <c r="X4479" i="2" s="1" a="1"/>
  <c r="X4479" i="2" s="1"/>
  <c r="W4480" i="2"/>
  <c r="X4480" i="2" s="1" a="1"/>
  <c r="X4480" i="2" s="1"/>
  <c r="W4481" i="2"/>
  <c r="X4481" i="2" s="1" a="1"/>
  <c r="X4481" i="2" s="1"/>
  <c r="W4482" i="2"/>
  <c r="X4482" i="2" s="1" a="1"/>
  <c r="X4482" i="2" s="1"/>
  <c r="W4483" i="2"/>
  <c r="X4483" i="2" s="1" a="1"/>
  <c r="X4483" i="2" s="1"/>
  <c r="W4484" i="2"/>
  <c r="X4484" i="2" s="1" a="1"/>
  <c r="X4484" i="2" s="1"/>
  <c r="W4485" i="2"/>
  <c r="X4485" i="2" s="1" a="1"/>
  <c r="X4485" i="2" s="1"/>
  <c r="W4486" i="2"/>
  <c r="X4486" i="2" s="1" a="1"/>
  <c r="X4486" i="2" s="1"/>
  <c r="W4487" i="2"/>
  <c r="X4487" i="2" s="1" a="1"/>
  <c r="X4487" i="2" s="1"/>
  <c r="W4488" i="2"/>
  <c r="X4488" i="2" s="1" a="1"/>
  <c r="X4488" i="2" s="1"/>
  <c r="W4489" i="2"/>
  <c r="X4489" i="2" s="1" a="1"/>
  <c r="X4489" i="2" s="1"/>
  <c r="W4490" i="2"/>
  <c r="X4490" i="2" s="1" a="1"/>
  <c r="X4490" i="2" s="1"/>
  <c r="W4491" i="2"/>
  <c r="X4491" i="2" s="1" a="1"/>
  <c r="X4491" i="2" s="1"/>
  <c r="W4492" i="2"/>
  <c r="X4492" i="2" s="1" a="1"/>
  <c r="X4492" i="2" s="1"/>
  <c r="W4493" i="2"/>
  <c r="X4493" i="2" s="1" a="1"/>
  <c r="X4493" i="2" s="1"/>
  <c r="W4494" i="2"/>
  <c r="X4494" i="2" s="1" a="1"/>
  <c r="X4494" i="2" s="1"/>
  <c r="W4495" i="2"/>
  <c r="X4495" i="2" s="1" a="1"/>
  <c r="X4495" i="2" s="1"/>
  <c r="W4496" i="2"/>
  <c r="X4496" i="2" s="1" a="1"/>
  <c r="X4496" i="2" s="1"/>
  <c r="W4497" i="2"/>
  <c r="X4497" i="2" s="1" a="1"/>
  <c r="X4497" i="2" s="1"/>
  <c r="W4498" i="2"/>
  <c r="X4498" i="2" s="1" a="1"/>
  <c r="X4498" i="2" s="1"/>
  <c r="W4499" i="2"/>
  <c r="X4499" i="2" s="1" a="1"/>
  <c r="X4499" i="2" s="1"/>
  <c r="W4500" i="2"/>
  <c r="X4500" i="2" s="1" a="1"/>
  <c r="X4500" i="2" s="1"/>
  <c r="W4501" i="2"/>
  <c r="X4501" i="2" s="1" a="1"/>
  <c r="X4501" i="2" s="1"/>
  <c r="W4502" i="2"/>
  <c r="X4502" i="2" s="1" a="1"/>
  <c r="X4502" i="2" s="1"/>
  <c r="W4503" i="2"/>
  <c r="X4503" i="2" s="1" a="1"/>
  <c r="X4503" i="2" s="1"/>
  <c r="W4504" i="2"/>
  <c r="X4504" i="2" s="1" a="1"/>
  <c r="X4504" i="2" s="1"/>
  <c r="W4505" i="2"/>
  <c r="X4505" i="2" s="1" a="1"/>
  <c r="X4505" i="2" s="1"/>
  <c r="W4506" i="2"/>
  <c r="X4506" i="2" s="1" a="1"/>
  <c r="X4506" i="2" s="1"/>
  <c r="W4507" i="2"/>
  <c r="X4507" i="2" s="1" a="1"/>
  <c r="X4507" i="2" s="1"/>
  <c r="W4508" i="2"/>
  <c r="X4508" i="2" s="1" a="1"/>
  <c r="X4508" i="2" s="1"/>
  <c r="W4509" i="2"/>
  <c r="X4509" i="2" s="1" a="1"/>
  <c r="X4509" i="2" s="1"/>
  <c r="W4510" i="2"/>
  <c r="X4510" i="2" s="1" a="1"/>
  <c r="X4510" i="2" s="1"/>
  <c r="W4511" i="2"/>
  <c r="X4511" i="2" s="1" a="1"/>
  <c r="X4511" i="2" s="1"/>
  <c r="W4512" i="2"/>
  <c r="X4512" i="2" s="1" a="1"/>
  <c r="X4512" i="2" s="1"/>
  <c r="W4513" i="2"/>
  <c r="X4513" i="2" s="1" a="1"/>
  <c r="X4513" i="2" s="1"/>
  <c r="W4514" i="2"/>
  <c r="X4514" i="2" s="1" a="1"/>
  <c r="X4514" i="2" s="1"/>
  <c r="W4515" i="2"/>
  <c r="X4515" i="2" s="1" a="1"/>
  <c r="X4515" i="2" s="1"/>
  <c r="W4516" i="2"/>
  <c r="X4516" i="2" s="1" a="1"/>
  <c r="X4516" i="2" s="1"/>
  <c r="W4517" i="2"/>
  <c r="X4517" i="2" s="1" a="1"/>
  <c r="X4517" i="2" s="1"/>
  <c r="W4518" i="2"/>
  <c r="X4518" i="2" s="1" a="1"/>
  <c r="X4518" i="2" s="1"/>
  <c r="W4519" i="2"/>
  <c r="X4519" i="2" s="1" a="1"/>
  <c r="X4519" i="2" s="1"/>
  <c r="W4520" i="2"/>
  <c r="X4520" i="2" s="1" a="1"/>
  <c r="X4520" i="2" s="1"/>
  <c r="W4521" i="2"/>
  <c r="X4521" i="2" s="1" a="1"/>
  <c r="X4521" i="2" s="1"/>
  <c r="W4522" i="2"/>
  <c r="X4522" i="2" s="1" a="1"/>
  <c r="X4522" i="2" s="1"/>
  <c r="W4523" i="2"/>
  <c r="X4523" i="2" s="1" a="1"/>
  <c r="X4523" i="2" s="1"/>
  <c r="W4524" i="2"/>
  <c r="X4524" i="2" s="1" a="1"/>
  <c r="X4524" i="2" s="1"/>
  <c r="W4525" i="2"/>
  <c r="X4525" i="2" s="1" a="1"/>
  <c r="X4525" i="2" s="1"/>
  <c r="W4526" i="2"/>
  <c r="X4526" i="2" s="1" a="1"/>
  <c r="X4526" i="2" s="1"/>
  <c r="W4527" i="2"/>
  <c r="X4527" i="2" s="1" a="1"/>
  <c r="X4527" i="2" s="1"/>
  <c r="W4528" i="2"/>
  <c r="X4528" i="2" s="1" a="1"/>
  <c r="X4528" i="2" s="1"/>
  <c r="W4529" i="2"/>
  <c r="X4529" i="2" s="1" a="1"/>
  <c r="X4529" i="2" s="1"/>
  <c r="W4530" i="2"/>
  <c r="X4530" i="2" s="1" a="1"/>
  <c r="X4530" i="2" s="1"/>
  <c r="W4531" i="2"/>
  <c r="X4531" i="2" s="1" a="1"/>
  <c r="X4531" i="2" s="1"/>
  <c r="W4532" i="2"/>
  <c r="X4532" i="2" s="1" a="1"/>
  <c r="X4532" i="2" s="1"/>
  <c r="W4533" i="2"/>
  <c r="X4533" i="2" s="1" a="1"/>
  <c r="X4533" i="2" s="1"/>
  <c r="W4534" i="2"/>
  <c r="X4534" i="2" s="1" a="1"/>
  <c r="X4534" i="2" s="1"/>
  <c r="W4535" i="2"/>
  <c r="X4535" i="2" s="1" a="1"/>
  <c r="X4535" i="2" s="1"/>
  <c r="W4536" i="2"/>
  <c r="X4536" i="2" s="1" a="1"/>
  <c r="X4536" i="2" s="1"/>
  <c r="W4537" i="2"/>
  <c r="X4537" i="2" s="1" a="1"/>
  <c r="X4537" i="2" s="1"/>
  <c r="W4538" i="2"/>
  <c r="X4538" i="2" s="1" a="1"/>
  <c r="X4538" i="2" s="1"/>
  <c r="W4539" i="2"/>
  <c r="X4539" i="2" s="1" a="1"/>
  <c r="X4539" i="2" s="1"/>
  <c r="W4540" i="2"/>
  <c r="X4540" i="2" s="1" a="1"/>
  <c r="X4540" i="2" s="1"/>
  <c r="W4541" i="2"/>
  <c r="X4541" i="2" s="1" a="1"/>
  <c r="X4541" i="2" s="1"/>
  <c r="W4542" i="2"/>
  <c r="X4542" i="2" s="1" a="1"/>
  <c r="X4542" i="2" s="1"/>
  <c r="W4543" i="2"/>
  <c r="X4543" i="2" s="1" a="1"/>
  <c r="X4543" i="2" s="1"/>
  <c r="W4544" i="2"/>
  <c r="X4544" i="2" s="1" a="1"/>
  <c r="X4544" i="2" s="1"/>
  <c r="W4545" i="2"/>
  <c r="X4545" i="2" s="1" a="1"/>
  <c r="X4545" i="2" s="1"/>
  <c r="W4546" i="2"/>
  <c r="X4546" i="2" s="1" a="1"/>
  <c r="X4546" i="2" s="1"/>
  <c r="W4547" i="2"/>
  <c r="X4547" i="2" s="1" a="1"/>
  <c r="X4547" i="2" s="1"/>
  <c r="W4548" i="2"/>
  <c r="X4548" i="2" s="1" a="1"/>
  <c r="X4548" i="2" s="1"/>
  <c r="W4549" i="2"/>
  <c r="X4549" i="2" s="1" a="1"/>
  <c r="X4549" i="2" s="1"/>
  <c r="W4550" i="2"/>
  <c r="X4550" i="2" s="1" a="1"/>
  <c r="X4550" i="2" s="1"/>
  <c r="W4551" i="2"/>
  <c r="X4551" i="2" s="1" a="1"/>
  <c r="X4551" i="2" s="1"/>
  <c r="W4552" i="2"/>
  <c r="X4552" i="2" s="1" a="1"/>
  <c r="X4552" i="2" s="1"/>
  <c r="W4553" i="2"/>
  <c r="X4553" i="2" s="1" a="1"/>
  <c r="X4553" i="2" s="1"/>
  <c r="W4554" i="2"/>
  <c r="X4554" i="2" s="1" a="1"/>
  <c r="X4554" i="2" s="1"/>
  <c r="W4555" i="2"/>
  <c r="X4555" i="2" s="1" a="1"/>
  <c r="X4555" i="2" s="1"/>
  <c r="W4556" i="2"/>
  <c r="X4556" i="2" s="1" a="1"/>
  <c r="X4556" i="2" s="1"/>
  <c r="W4557" i="2"/>
  <c r="X4557" i="2" s="1" a="1"/>
  <c r="X4557" i="2" s="1"/>
  <c r="W4558" i="2"/>
  <c r="X4558" i="2" s="1" a="1"/>
  <c r="X4558" i="2" s="1"/>
  <c r="W4559" i="2"/>
  <c r="X4559" i="2" s="1" a="1"/>
  <c r="X4559" i="2" s="1"/>
  <c r="W4560" i="2"/>
  <c r="X4560" i="2" s="1" a="1"/>
  <c r="X4560" i="2" s="1"/>
  <c r="W4561" i="2"/>
  <c r="X4561" i="2" s="1" a="1"/>
  <c r="X4561" i="2" s="1"/>
  <c r="W4562" i="2"/>
  <c r="X4562" i="2" s="1" a="1"/>
  <c r="X4562" i="2" s="1"/>
  <c r="W4563" i="2"/>
  <c r="X4563" i="2" s="1" a="1"/>
  <c r="X4563" i="2" s="1"/>
  <c r="W4564" i="2"/>
  <c r="X4564" i="2" s="1" a="1"/>
  <c r="X4564" i="2" s="1"/>
  <c r="W4565" i="2"/>
  <c r="X4565" i="2" s="1" a="1"/>
  <c r="X4565" i="2" s="1"/>
  <c r="W4566" i="2"/>
  <c r="X4566" i="2" s="1" a="1"/>
  <c r="X4566" i="2" s="1"/>
  <c r="W4567" i="2"/>
  <c r="X4567" i="2" s="1" a="1"/>
  <c r="X4567" i="2" s="1"/>
  <c r="W4568" i="2"/>
  <c r="X4568" i="2" s="1" a="1"/>
  <c r="X4568" i="2" s="1"/>
  <c r="W4569" i="2"/>
  <c r="X4569" i="2" s="1" a="1"/>
  <c r="X4569" i="2" s="1"/>
  <c r="W4570" i="2"/>
  <c r="X4570" i="2" s="1" a="1"/>
  <c r="X4570" i="2" s="1"/>
  <c r="W4571" i="2"/>
  <c r="X4571" i="2" s="1" a="1"/>
  <c r="X4571" i="2" s="1"/>
  <c r="W4572" i="2"/>
  <c r="X4572" i="2" s="1" a="1"/>
  <c r="X4572" i="2" s="1"/>
  <c r="W4573" i="2"/>
  <c r="X4573" i="2" s="1" a="1"/>
  <c r="X4573" i="2" s="1"/>
  <c r="W4574" i="2"/>
  <c r="X4574" i="2" s="1" a="1"/>
  <c r="X4574" i="2" s="1"/>
  <c r="W4575" i="2"/>
  <c r="X4575" i="2" s="1" a="1"/>
  <c r="X4575" i="2" s="1"/>
  <c r="W4576" i="2"/>
  <c r="X4576" i="2" s="1" a="1"/>
  <c r="X4576" i="2" s="1"/>
  <c r="W4577" i="2"/>
  <c r="X4577" i="2" s="1" a="1"/>
  <c r="X4577" i="2" s="1"/>
  <c r="W4578" i="2"/>
  <c r="X4578" i="2" s="1" a="1"/>
  <c r="X4578" i="2" s="1"/>
  <c r="W4579" i="2"/>
  <c r="X4579" i="2" s="1" a="1"/>
  <c r="X4579" i="2" s="1"/>
  <c r="W4580" i="2"/>
  <c r="X4580" i="2" s="1" a="1"/>
  <c r="X4580" i="2" s="1"/>
  <c r="W4581" i="2"/>
  <c r="X4581" i="2" s="1" a="1"/>
  <c r="X4581" i="2" s="1"/>
  <c r="W4582" i="2"/>
  <c r="X4582" i="2" s="1" a="1"/>
  <c r="X4582" i="2" s="1"/>
  <c r="W4583" i="2"/>
  <c r="X4583" i="2" s="1" a="1"/>
  <c r="X4583" i="2" s="1"/>
  <c r="W4584" i="2"/>
  <c r="X4584" i="2" s="1" a="1"/>
  <c r="X4584" i="2" s="1"/>
  <c r="W4585" i="2"/>
  <c r="X4585" i="2" s="1" a="1"/>
  <c r="X4585" i="2" s="1"/>
  <c r="W4586" i="2"/>
  <c r="X4586" i="2" s="1" a="1"/>
  <c r="X4586" i="2" s="1"/>
  <c r="W4587" i="2"/>
  <c r="X4587" i="2" s="1" a="1"/>
  <c r="X4587" i="2" s="1"/>
  <c r="W4588" i="2"/>
  <c r="X4588" i="2" s="1" a="1"/>
  <c r="X4588" i="2" s="1"/>
  <c r="W4589" i="2"/>
  <c r="X4589" i="2" s="1" a="1"/>
  <c r="X4589" i="2" s="1"/>
  <c r="W4590" i="2"/>
  <c r="X4590" i="2" s="1" a="1"/>
  <c r="X4590" i="2" s="1"/>
  <c r="W4591" i="2"/>
  <c r="X4591" i="2" s="1" a="1"/>
  <c r="X4591" i="2" s="1"/>
  <c r="W4592" i="2"/>
  <c r="X4592" i="2" s="1" a="1"/>
  <c r="X4592" i="2" s="1"/>
  <c r="W4593" i="2"/>
  <c r="X4593" i="2" s="1" a="1"/>
  <c r="X4593" i="2" s="1"/>
  <c r="W4594" i="2"/>
  <c r="X4594" i="2" s="1" a="1"/>
  <c r="X4594" i="2" s="1"/>
  <c r="W4595" i="2"/>
  <c r="X4595" i="2" s="1" a="1"/>
  <c r="X4595" i="2" s="1"/>
  <c r="W4596" i="2"/>
  <c r="X4596" i="2" s="1" a="1"/>
  <c r="X4596" i="2" s="1"/>
  <c r="W4597" i="2"/>
  <c r="X4597" i="2" s="1" a="1"/>
  <c r="X4597" i="2" s="1"/>
  <c r="W4598" i="2"/>
  <c r="X4598" i="2" s="1" a="1"/>
  <c r="X4598" i="2" s="1"/>
  <c r="W4599" i="2"/>
  <c r="X4599" i="2" s="1" a="1"/>
  <c r="X4599" i="2" s="1"/>
  <c r="W4600" i="2"/>
  <c r="X4600" i="2" s="1" a="1"/>
  <c r="X4600" i="2" s="1"/>
  <c r="W4601" i="2"/>
  <c r="X4601" i="2" s="1" a="1"/>
  <c r="X4601" i="2" s="1"/>
  <c r="W4602" i="2"/>
  <c r="X4602" i="2" s="1" a="1"/>
  <c r="X4602" i="2" s="1"/>
  <c r="W4603" i="2"/>
  <c r="X4603" i="2" s="1" a="1"/>
  <c r="X4603" i="2" s="1"/>
  <c r="W4604" i="2"/>
  <c r="X4604" i="2" s="1" a="1"/>
  <c r="X4604" i="2" s="1"/>
  <c r="W4605" i="2"/>
  <c r="X4605" i="2" s="1" a="1"/>
  <c r="X4605" i="2" s="1"/>
  <c r="W4606" i="2"/>
  <c r="X4606" i="2" s="1" a="1"/>
  <c r="X4606" i="2" s="1"/>
  <c r="W4607" i="2"/>
  <c r="X4607" i="2" s="1" a="1"/>
  <c r="X4607" i="2" s="1"/>
  <c r="W4608" i="2"/>
  <c r="X4608" i="2" s="1" a="1"/>
  <c r="X4608" i="2" s="1"/>
  <c r="W4609" i="2"/>
  <c r="X4609" i="2" s="1" a="1"/>
  <c r="X4609" i="2" s="1"/>
  <c r="W4610" i="2"/>
  <c r="X4610" i="2" s="1" a="1"/>
  <c r="X4610" i="2" s="1"/>
  <c r="W4611" i="2"/>
  <c r="X4611" i="2" s="1" a="1"/>
  <c r="X4611" i="2" s="1"/>
  <c r="W4612" i="2"/>
  <c r="X4612" i="2" s="1" a="1"/>
  <c r="X4612" i="2" s="1"/>
  <c r="W4613" i="2"/>
  <c r="X4613" i="2" s="1" a="1"/>
  <c r="X4613" i="2" s="1"/>
  <c r="W4614" i="2"/>
  <c r="X4614" i="2" s="1" a="1"/>
  <c r="X4614" i="2" s="1"/>
  <c r="W4615" i="2"/>
  <c r="X4615" i="2" s="1" a="1"/>
  <c r="X4615" i="2" s="1"/>
  <c r="W4616" i="2"/>
  <c r="X4616" i="2" s="1" a="1"/>
  <c r="X4616" i="2" s="1"/>
  <c r="W4617" i="2"/>
  <c r="X4617" i="2" s="1" a="1"/>
  <c r="X4617" i="2" s="1"/>
  <c r="W4618" i="2"/>
  <c r="X4618" i="2" s="1" a="1"/>
  <c r="X4618" i="2" s="1"/>
  <c r="W4619" i="2"/>
  <c r="X4619" i="2" s="1" a="1"/>
  <c r="X4619" i="2" s="1"/>
  <c r="W4620" i="2"/>
  <c r="X4620" i="2" s="1" a="1"/>
  <c r="X4620" i="2" s="1"/>
  <c r="W4621" i="2"/>
  <c r="X4621" i="2" s="1" a="1"/>
  <c r="X4621" i="2" s="1"/>
  <c r="W4622" i="2"/>
  <c r="X4622" i="2" s="1" a="1"/>
  <c r="X4622" i="2" s="1"/>
  <c r="W4623" i="2"/>
  <c r="X4623" i="2" s="1" a="1"/>
  <c r="X4623" i="2" s="1"/>
  <c r="W4624" i="2"/>
  <c r="X4624" i="2" s="1" a="1"/>
  <c r="X4624" i="2" s="1"/>
  <c r="W4625" i="2"/>
  <c r="X4625" i="2" s="1" a="1"/>
  <c r="X4625" i="2" s="1"/>
  <c r="W4626" i="2"/>
  <c r="X4626" i="2" s="1" a="1"/>
  <c r="X4626" i="2" s="1"/>
  <c r="W4627" i="2"/>
  <c r="X4627" i="2" s="1" a="1"/>
  <c r="X4627" i="2" s="1"/>
  <c r="W4628" i="2"/>
  <c r="X4628" i="2" s="1" a="1"/>
  <c r="X4628" i="2" s="1"/>
  <c r="W4629" i="2"/>
  <c r="X4629" i="2" s="1" a="1"/>
  <c r="X4629" i="2" s="1"/>
  <c r="W4630" i="2"/>
  <c r="X4630" i="2" s="1" a="1"/>
  <c r="X4630" i="2" s="1"/>
  <c r="W4631" i="2"/>
  <c r="X4631" i="2" s="1" a="1"/>
  <c r="X4631" i="2" s="1"/>
  <c r="W4632" i="2"/>
  <c r="X4632" i="2" s="1" a="1"/>
  <c r="X4632" i="2" s="1"/>
  <c r="W4633" i="2"/>
  <c r="X4633" i="2" s="1" a="1"/>
  <c r="X4633" i="2" s="1"/>
  <c r="W4634" i="2"/>
  <c r="X4634" i="2" s="1" a="1"/>
  <c r="X4634" i="2" s="1"/>
  <c r="W4635" i="2"/>
  <c r="X4635" i="2" s="1" a="1"/>
  <c r="X4635" i="2" s="1"/>
  <c r="W4636" i="2"/>
  <c r="X4636" i="2" s="1" a="1"/>
  <c r="X4636" i="2" s="1"/>
  <c r="W4637" i="2"/>
  <c r="X4637" i="2" s="1" a="1"/>
  <c r="X4637" i="2" s="1"/>
  <c r="W4638" i="2"/>
  <c r="X4638" i="2" s="1" a="1"/>
  <c r="X4638" i="2" s="1"/>
  <c r="W4639" i="2"/>
  <c r="X4639" i="2" s="1" a="1"/>
  <c r="X4639" i="2" s="1"/>
  <c r="W4640" i="2"/>
  <c r="X4640" i="2" s="1" a="1"/>
  <c r="X4640" i="2" s="1"/>
  <c r="W4641" i="2"/>
  <c r="X4641" i="2" s="1" a="1"/>
  <c r="X4641" i="2" s="1"/>
  <c r="W4642" i="2"/>
  <c r="X4642" i="2" s="1" a="1"/>
  <c r="X4642" i="2" s="1"/>
  <c r="W4643" i="2"/>
  <c r="X4643" i="2" s="1" a="1"/>
  <c r="X4643" i="2" s="1"/>
  <c r="W4644" i="2"/>
  <c r="X4644" i="2" s="1" a="1"/>
  <c r="X4644" i="2" s="1"/>
  <c r="W4645" i="2"/>
  <c r="X4645" i="2" s="1" a="1"/>
  <c r="X4645" i="2" s="1"/>
  <c r="W4646" i="2"/>
  <c r="X4646" i="2" s="1" a="1"/>
  <c r="X4646" i="2" s="1"/>
  <c r="W4647" i="2"/>
  <c r="X4647" i="2" s="1" a="1"/>
  <c r="X4647" i="2" s="1"/>
  <c r="W4648" i="2"/>
  <c r="X4648" i="2" s="1" a="1"/>
  <c r="X4648" i="2" s="1"/>
  <c r="W4649" i="2"/>
  <c r="X4649" i="2" s="1" a="1"/>
  <c r="X4649" i="2" s="1"/>
  <c r="W4650" i="2"/>
  <c r="X4650" i="2" s="1" a="1"/>
  <c r="X4650" i="2" s="1"/>
  <c r="W4651" i="2"/>
  <c r="X4651" i="2" s="1" a="1"/>
  <c r="X4651" i="2" s="1"/>
  <c r="W4652" i="2"/>
  <c r="X4652" i="2" s="1" a="1"/>
  <c r="X4652" i="2" s="1"/>
  <c r="W4653" i="2"/>
  <c r="X4653" i="2" s="1" a="1"/>
  <c r="X4653" i="2" s="1"/>
  <c r="W4654" i="2"/>
  <c r="X4654" i="2" s="1" a="1"/>
  <c r="X4654" i="2" s="1"/>
  <c r="W4655" i="2"/>
  <c r="X4655" i="2" s="1" a="1"/>
  <c r="X4655" i="2" s="1"/>
  <c r="W4656" i="2"/>
  <c r="X4656" i="2" s="1" a="1"/>
  <c r="X4656" i="2" s="1"/>
  <c r="W4657" i="2"/>
  <c r="X4657" i="2" s="1" a="1"/>
  <c r="X4657" i="2" s="1"/>
  <c r="W4658" i="2"/>
  <c r="X4658" i="2" s="1" a="1"/>
  <c r="X4658" i="2" s="1"/>
  <c r="W4659" i="2"/>
  <c r="X4659" i="2" s="1" a="1"/>
  <c r="X4659" i="2" s="1"/>
  <c r="W4660" i="2"/>
  <c r="X4660" i="2" s="1" a="1"/>
  <c r="X4660" i="2" s="1"/>
  <c r="W4661" i="2"/>
  <c r="X4661" i="2" s="1" a="1"/>
  <c r="X4661" i="2" s="1"/>
  <c r="W4662" i="2"/>
  <c r="X4662" i="2" s="1" a="1"/>
  <c r="X4662" i="2" s="1"/>
  <c r="W4663" i="2"/>
  <c r="X4663" i="2" s="1" a="1"/>
  <c r="X4663" i="2" s="1"/>
  <c r="W4664" i="2"/>
  <c r="X4664" i="2" s="1" a="1"/>
  <c r="X4664" i="2" s="1"/>
  <c r="W4665" i="2"/>
  <c r="X4665" i="2" s="1" a="1"/>
  <c r="X4665" i="2" s="1"/>
  <c r="W4666" i="2"/>
  <c r="X4666" i="2" s="1" a="1"/>
  <c r="X4666" i="2" s="1"/>
  <c r="W4667" i="2"/>
  <c r="X4667" i="2" s="1" a="1"/>
  <c r="X4667" i="2" s="1"/>
  <c r="W4668" i="2"/>
  <c r="X4668" i="2" s="1" a="1"/>
  <c r="X4668" i="2" s="1"/>
  <c r="W4669" i="2"/>
  <c r="X4669" i="2" s="1" a="1"/>
  <c r="X4669" i="2" s="1"/>
  <c r="W4670" i="2"/>
  <c r="X4670" i="2" s="1" a="1"/>
  <c r="X4670" i="2" s="1"/>
  <c r="W4671" i="2"/>
  <c r="X4671" i="2" s="1" a="1"/>
  <c r="X4671" i="2" s="1"/>
  <c r="W4672" i="2"/>
  <c r="X4672" i="2" s="1" a="1"/>
  <c r="X4672" i="2" s="1"/>
  <c r="W4673" i="2"/>
  <c r="X4673" i="2" s="1" a="1"/>
  <c r="X4673" i="2" s="1"/>
  <c r="W4674" i="2"/>
  <c r="X4674" i="2" s="1" a="1"/>
  <c r="X4674" i="2" s="1"/>
  <c r="W4675" i="2"/>
  <c r="X4675" i="2" s="1" a="1"/>
  <c r="X4675" i="2" s="1"/>
  <c r="W4676" i="2"/>
  <c r="X4676" i="2" s="1" a="1"/>
  <c r="X4676" i="2" s="1"/>
  <c r="W4677" i="2"/>
  <c r="X4677" i="2" s="1" a="1"/>
  <c r="X4677" i="2" s="1"/>
  <c r="W4678" i="2"/>
  <c r="X4678" i="2" s="1" a="1"/>
  <c r="X4678" i="2" s="1"/>
  <c r="W4679" i="2"/>
  <c r="X4679" i="2" s="1" a="1"/>
  <c r="X4679" i="2" s="1"/>
  <c r="W4680" i="2"/>
  <c r="X4680" i="2" s="1" a="1"/>
  <c r="X4680" i="2" s="1"/>
  <c r="W4681" i="2"/>
  <c r="X4681" i="2" s="1" a="1"/>
  <c r="X4681" i="2" s="1"/>
  <c r="W4682" i="2"/>
  <c r="X4682" i="2" s="1" a="1"/>
  <c r="X4682" i="2" s="1"/>
  <c r="W4683" i="2"/>
  <c r="X4683" i="2" s="1" a="1"/>
  <c r="X4683" i="2" s="1"/>
  <c r="W4684" i="2"/>
  <c r="X4684" i="2" s="1" a="1"/>
  <c r="X4684" i="2" s="1"/>
  <c r="W4685" i="2"/>
  <c r="X4685" i="2" s="1" a="1"/>
  <c r="X4685" i="2" s="1"/>
  <c r="W4686" i="2"/>
  <c r="X4686" i="2" s="1" a="1"/>
  <c r="X4686" i="2" s="1"/>
  <c r="W4687" i="2"/>
  <c r="X4687" i="2" s="1" a="1"/>
  <c r="X4687" i="2" s="1"/>
  <c r="W4688" i="2"/>
  <c r="X4688" i="2" s="1" a="1"/>
  <c r="X4688" i="2" s="1"/>
  <c r="W4689" i="2"/>
  <c r="X4689" i="2" s="1" a="1"/>
  <c r="X4689" i="2" s="1"/>
  <c r="W4690" i="2"/>
  <c r="X4690" i="2" s="1" a="1"/>
  <c r="X4690" i="2" s="1"/>
  <c r="W4691" i="2"/>
  <c r="X4691" i="2" s="1" a="1"/>
  <c r="X4691" i="2" s="1"/>
  <c r="W4692" i="2"/>
  <c r="X4692" i="2" s="1" a="1"/>
  <c r="X4692" i="2" s="1"/>
  <c r="W4693" i="2"/>
  <c r="X4693" i="2" s="1" a="1"/>
  <c r="X4693" i="2" s="1"/>
  <c r="W4694" i="2"/>
  <c r="X4694" i="2" s="1" a="1"/>
  <c r="X4694" i="2" s="1"/>
  <c r="W4695" i="2"/>
  <c r="X4695" i="2" s="1" a="1"/>
  <c r="X4695" i="2" s="1"/>
  <c r="W4696" i="2"/>
  <c r="X4696" i="2" s="1" a="1"/>
  <c r="X4696" i="2" s="1"/>
  <c r="W4697" i="2"/>
  <c r="X4697" i="2" s="1" a="1"/>
  <c r="X4697" i="2" s="1"/>
  <c r="W4698" i="2"/>
  <c r="X4698" i="2" s="1" a="1"/>
  <c r="X4698" i="2" s="1"/>
  <c r="W4699" i="2"/>
  <c r="X4699" i="2" s="1" a="1"/>
  <c r="X4699" i="2" s="1"/>
  <c r="W4700" i="2"/>
  <c r="X4700" i="2" s="1" a="1"/>
  <c r="X4700" i="2" s="1"/>
  <c r="W4701" i="2"/>
  <c r="X4701" i="2" s="1" a="1"/>
  <c r="X4701" i="2" s="1"/>
  <c r="W4702" i="2"/>
  <c r="X4702" i="2" s="1" a="1"/>
  <c r="X4702" i="2" s="1"/>
  <c r="W4703" i="2"/>
  <c r="X4703" i="2" s="1" a="1"/>
  <c r="X4703" i="2" s="1"/>
  <c r="W4704" i="2"/>
  <c r="X4704" i="2" s="1" a="1"/>
  <c r="X4704" i="2" s="1"/>
  <c r="W4705" i="2"/>
  <c r="X4705" i="2" s="1" a="1"/>
  <c r="X4705" i="2" s="1"/>
  <c r="W4706" i="2"/>
  <c r="X4706" i="2" s="1" a="1"/>
  <c r="X4706" i="2" s="1"/>
  <c r="W4707" i="2"/>
  <c r="X4707" i="2" s="1" a="1"/>
  <c r="X4707" i="2" s="1"/>
  <c r="W4708" i="2"/>
  <c r="X4708" i="2" s="1" a="1"/>
  <c r="X4708" i="2" s="1"/>
  <c r="W4709" i="2"/>
  <c r="X4709" i="2" s="1" a="1"/>
  <c r="X4709" i="2" s="1"/>
  <c r="W4710" i="2"/>
  <c r="X4710" i="2" s="1" a="1"/>
  <c r="X4710" i="2" s="1"/>
  <c r="W4711" i="2"/>
  <c r="X4711" i="2" s="1" a="1"/>
  <c r="X4711" i="2" s="1"/>
  <c r="W4712" i="2"/>
  <c r="X4712" i="2" s="1" a="1"/>
  <c r="X4712" i="2" s="1"/>
  <c r="W4713" i="2"/>
  <c r="X4713" i="2" s="1" a="1"/>
  <c r="X4713" i="2" s="1"/>
  <c r="W4714" i="2"/>
  <c r="X4714" i="2" s="1" a="1"/>
  <c r="X4714" i="2" s="1"/>
  <c r="W4715" i="2"/>
  <c r="X4715" i="2" s="1" a="1"/>
  <c r="X4715" i="2" s="1"/>
  <c r="W4716" i="2"/>
  <c r="X4716" i="2" s="1" a="1"/>
  <c r="X4716" i="2" s="1"/>
  <c r="W4717" i="2"/>
  <c r="X4717" i="2" s="1" a="1"/>
  <c r="X4717" i="2" s="1"/>
  <c r="W4718" i="2"/>
  <c r="X4718" i="2" s="1" a="1"/>
  <c r="X4718" i="2" s="1"/>
  <c r="W4719" i="2"/>
  <c r="X4719" i="2" s="1" a="1"/>
  <c r="X4719" i="2" s="1"/>
  <c r="W4720" i="2"/>
  <c r="X4720" i="2" s="1" a="1"/>
  <c r="X4720" i="2" s="1"/>
  <c r="W4721" i="2"/>
  <c r="X4721" i="2" s="1" a="1"/>
  <c r="X4721" i="2" s="1"/>
  <c r="W4722" i="2"/>
  <c r="X4722" i="2" s="1" a="1"/>
  <c r="X4722" i="2" s="1"/>
  <c r="W4723" i="2"/>
  <c r="X4723" i="2" s="1" a="1"/>
  <c r="X4723" i="2" s="1"/>
  <c r="W4724" i="2"/>
  <c r="X4724" i="2" s="1" a="1"/>
  <c r="X4724" i="2" s="1"/>
  <c r="W4725" i="2"/>
  <c r="X4725" i="2" s="1" a="1"/>
  <c r="X4725" i="2" s="1"/>
  <c r="W4726" i="2"/>
  <c r="X4726" i="2" s="1" a="1"/>
  <c r="X4726" i="2" s="1"/>
  <c r="W4727" i="2"/>
  <c r="X4727" i="2" s="1" a="1"/>
  <c r="X4727" i="2" s="1"/>
  <c r="W4728" i="2"/>
  <c r="X4728" i="2" s="1" a="1"/>
  <c r="X4728" i="2" s="1"/>
  <c r="W4729" i="2"/>
  <c r="X4729" i="2" s="1" a="1"/>
  <c r="X4729" i="2" s="1"/>
  <c r="W4730" i="2"/>
  <c r="X4730" i="2" s="1" a="1"/>
  <c r="X4730" i="2" s="1"/>
  <c r="W4731" i="2"/>
  <c r="X4731" i="2" s="1" a="1"/>
  <c r="X4731" i="2" s="1"/>
  <c r="W4732" i="2"/>
  <c r="X4732" i="2" s="1" a="1"/>
  <c r="X4732" i="2" s="1"/>
  <c r="W4733" i="2"/>
  <c r="X4733" i="2" s="1" a="1"/>
  <c r="X4733" i="2" s="1"/>
  <c r="W4734" i="2"/>
  <c r="X4734" i="2" s="1" a="1"/>
  <c r="X4734" i="2" s="1"/>
  <c r="W4735" i="2"/>
  <c r="X4735" i="2" s="1" a="1"/>
  <c r="X4735" i="2" s="1"/>
  <c r="W4736" i="2"/>
  <c r="X4736" i="2" s="1" a="1"/>
  <c r="X4736" i="2" s="1"/>
  <c r="W4737" i="2"/>
  <c r="X4737" i="2" s="1" a="1"/>
  <c r="X4737" i="2" s="1"/>
  <c r="W4738" i="2"/>
  <c r="X4738" i="2" s="1" a="1"/>
  <c r="X4738" i="2" s="1"/>
  <c r="W4739" i="2"/>
  <c r="X4739" i="2" s="1" a="1"/>
  <c r="X4739" i="2" s="1"/>
  <c r="W4740" i="2"/>
  <c r="X4740" i="2" s="1" a="1"/>
  <c r="X4740" i="2" s="1"/>
  <c r="W4741" i="2"/>
  <c r="X4741" i="2" s="1" a="1"/>
  <c r="X4741" i="2" s="1"/>
  <c r="W4742" i="2"/>
  <c r="X4742" i="2" s="1" a="1"/>
  <c r="X4742" i="2" s="1"/>
  <c r="W4743" i="2"/>
  <c r="X4743" i="2" s="1" a="1"/>
  <c r="X4743" i="2" s="1"/>
  <c r="W4744" i="2"/>
  <c r="X4744" i="2" s="1" a="1"/>
  <c r="X4744" i="2" s="1"/>
  <c r="W4745" i="2"/>
  <c r="X4745" i="2" s="1" a="1"/>
  <c r="X4745" i="2" s="1"/>
  <c r="W4746" i="2"/>
  <c r="X4746" i="2" s="1" a="1"/>
  <c r="X4746" i="2" s="1"/>
  <c r="W4747" i="2"/>
  <c r="X4747" i="2" s="1" a="1"/>
  <c r="X4747" i="2" s="1"/>
  <c r="W4748" i="2"/>
  <c r="X4748" i="2" s="1" a="1"/>
  <c r="X4748" i="2" s="1"/>
  <c r="W4749" i="2"/>
  <c r="X4749" i="2" s="1" a="1"/>
  <c r="X4749" i="2" s="1"/>
  <c r="W4750" i="2"/>
  <c r="X4750" i="2" s="1" a="1"/>
  <c r="X4750" i="2" s="1"/>
  <c r="W4751" i="2"/>
  <c r="X4751" i="2" s="1" a="1"/>
  <c r="X4751" i="2" s="1"/>
  <c r="W4752" i="2"/>
  <c r="X4752" i="2" s="1" a="1"/>
  <c r="X4752" i="2" s="1"/>
  <c r="W4753" i="2"/>
  <c r="X4753" i="2" s="1" a="1"/>
  <c r="X4753" i="2" s="1"/>
  <c r="W4754" i="2"/>
  <c r="X4754" i="2" s="1" a="1"/>
  <c r="X4754" i="2" s="1"/>
  <c r="W4755" i="2"/>
  <c r="X4755" i="2" s="1" a="1"/>
  <c r="X4755" i="2" s="1"/>
  <c r="W4756" i="2"/>
  <c r="X4756" i="2" s="1" a="1"/>
  <c r="X4756" i="2" s="1"/>
  <c r="W4757" i="2"/>
  <c r="X4757" i="2" s="1" a="1"/>
  <c r="X4757" i="2" s="1"/>
  <c r="W4758" i="2"/>
  <c r="X4758" i="2" s="1" a="1"/>
  <c r="X4758" i="2" s="1"/>
  <c r="W4759" i="2"/>
  <c r="X4759" i="2" s="1" a="1"/>
  <c r="X4759" i="2" s="1"/>
  <c r="W4760" i="2"/>
  <c r="X4760" i="2" s="1" a="1"/>
  <c r="X4760" i="2" s="1"/>
  <c r="W4761" i="2"/>
  <c r="X4761" i="2" s="1" a="1"/>
  <c r="X4761" i="2" s="1"/>
  <c r="W4762" i="2"/>
  <c r="X4762" i="2" s="1" a="1"/>
  <c r="X4762" i="2" s="1"/>
  <c r="W4763" i="2"/>
  <c r="X4763" i="2" s="1" a="1"/>
  <c r="X4763" i="2" s="1"/>
  <c r="W4764" i="2"/>
  <c r="X4764" i="2" s="1" a="1"/>
  <c r="X4764" i="2" s="1"/>
  <c r="W4765" i="2"/>
  <c r="X4765" i="2" s="1" a="1"/>
  <c r="X4765" i="2" s="1"/>
  <c r="W4766" i="2"/>
  <c r="X4766" i="2" s="1" a="1"/>
  <c r="X4766" i="2" s="1"/>
  <c r="W4767" i="2"/>
  <c r="X4767" i="2" s="1" a="1"/>
  <c r="X4767" i="2" s="1"/>
  <c r="W4768" i="2"/>
  <c r="X4768" i="2" s="1" a="1"/>
  <c r="X4768" i="2" s="1"/>
  <c r="W4769" i="2"/>
  <c r="X4769" i="2" s="1" a="1"/>
  <c r="X4769" i="2" s="1"/>
  <c r="W4770" i="2"/>
  <c r="X4770" i="2" s="1" a="1"/>
  <c r="X4770" i="2" s="1"/>
  <c r="W4771" i="2"/>
  <c r="X4771" i="2" s="1" a="1"/>
  <c r="X4771" i="2" s="1"/>
  <c r="W4772" i="2"/>
  <c r="X4772" i="2" s="1" a="1"/>
  <c r="X4772" i="2" s="1"/>
  <c r="W4773" i="2"/>
  <c r="X4773" i="2" s="1" a="1"/>
  <c r="X4773" i="2" s="1"/>
  <c r="W4774" i="2"/>
  <c r="X4774" i="2" s="1" a="1"/>
  <c r="X4774" i="2" s="1"/>
  <c r="W4775" i="2"/>
  <c r="X4775" i="2" s="1" a="1"/>
  <c r="X4775" i="2" s="1"/>
  <c r="W4776" i="2"/>
  <c r="X4776" i="2" s="1" a="1"/>
  <c r="X4776" i="2" s="1"/>
  <c r="W4777" i="2"/>
  <c r="X4777" i="2" s="1" a="1"/>
  <c r="X4777" i="2" s="1"/>
  <c r="W4778" i="2"/>
  <c r="X4778" i="2" s="1" a="1"/>
  <c r="X4778" i="2" s="1"/>
  <c r="W4779" i="2"/>
  <c r="X4779" i="2" s="1" a="1"/>
  <c r="X4779" i="2" s="1"/>
  <c r="W4780" i="2"/>
  <c r="X4780" i="2" s="1" a="1"/>
  <c r="X4780" i="2" s="1"/>
  <c r="W4781" i="2"/>
  <c r="X4781" i="2" s="1" a="1"/>
  <c r="X4781" i="2" s="1"/>
  <c r="W4782" i="2"/>
  <c r="X4782" i="2" s="1" a="1"/>
  <c r="X4782" i="2" s="1"/>
  <c r="W4783" i="2"/>
  <c r="X4783" i="2" s="1" a="1"/>
  <c r="X4783" i="2" s="1"/>
  <c r="W4784" i="2"/>
  <c r="X4784" i="2" s="1" a="1"/>
  <c r="X4784" i="2" s="1"/>
  <c r="W4785" i="2"/>
  <c r="X4785" i="2" s="1" a="1"/>
  <c r="X4785" i="2" s="1"/>
  <c r="W4786" i="2"/>
  <c r="X4786" i="2" s="1" a="1"/>
  <c r="X4786" i="2" s="1"/>
  <c r="W4787" i="2"/>
  <c r="X4787" i="2" s="1" a="1"/>
  <c r="X4787" i="2" s="1"/>
  <c r="W4788" i="2"/>
  <c r="X4788" i="2" s="1" a="1"/>
  <c r="X4788" i="2" s="1"/>
  <c r="W4789" i="2"/>
  <c r="X4789" i="2" s="1" a="1"/>
  <c r="X4789" i="2" s="1"/>
  <c r="W4790" i="2"/>
  <c r="X4790" i="2" s="1" a="1"/>
  <c r="X4790" i="2" s="1"/>
  <c r="W4791" i="2"/>
  <c r="X4791" i="2" s="1" a="1"/>
  <c r="X4791" i="2" s="1"/>
  <c r="W4792" i="2"/>
  <c r="X4792" i="2" s="1" a="1"/>
  <c r="X4792" i="2" s="1"/>
  <c r="W4793" i="2"/>
  <c r="X4793" i="2" s="1" a="1"/>
  <c r="X4793" i="2" s="1"/>
  <c r="W4794" i="2"/>
  <c r="X4794" i="2" s="1" a="1"/>
  <c r="X4794" i="2" s="1"/>
  <c r="W4795" i="2"/>
  <c r="X4795" i="2" s="1" a="1"/>
  <c r="X4795" i="2" s="1"/>
  <c r="W4796" i="2"/>
  <c r="X4796" i="2" s="1" a="1"/>
  <c r="X4796" i="2" s="1"/>
  <c r="W4797" i="2"/>
  <c r="X4797" i="2" s="1" a="1"/>
  <c r="X4797" i="2" s="1"/>
  <c r="W4798" i="2"/>
  <c r="X4798" i="2" s="1" a="1"/>
  <c r="X4798" i="2" s="1"/>
  <c r="W4799" i="2"/>
  <c r="X4799" i="2" s="1" a="1"/>
  <c r="X4799" i="2" s="1"/>
  <c r="W4800" i="2"/>
  <c r="X4800" i="2" s="1" a="1"/>
  <c r="X4800" i="2" s="1"/>
  <c r="W4801" i="2"/>
  <c r="X4801" i="2" s="1" a="1"/>
  <c r="X4801" i="2" s="1"/>
  <c r="W4802" i="2"/>
  <c r="X4802" i="2" s="1" a="1"/>
  <c r="X4802" i="2" s="1"/>
  <c r="W4803" i="2"/>
  <c r="X4803" i="2" s="1" a="1"/>
  <c r="X4803" i="2" s="1"/>
  <c r="W4804" i="2"/>
  <c r="X4804" i="2" s="1" a="1"/>
  <c r="X4804" i="2" s="1"/>
  <c r="W4805" i="2"/>
  <c r="X4805" i="2" s="1" a="1"/>
  <c r="X4805" i="2" s="1"/>
  <c r="W4806" i="2"/>
  <c r="X4806" i="2" s="1" a="1"/>
  <c r="X4806" i="2" s="1"/>
  <c r="W4807" i="2"/>
  <c r="X4807" i="2" s="1" a="1"/>
  <c r="X4807" i="2" s="1"/>
  <c r="W4808" i="2"/>
  <c r="X4808" i="2" s="1" a="1"/>
  <c r="X4808" i="2" s="1"/>
  <c r="W4809" i="2"/>
  <c r="X4809" i="2" s="1" a="1"/>
  <c r="X4809" i="2" s="1"/>
  <c r="W4810" i="2"/>
  <c r="X4810" i="2" s="1" a="1"/>
  <c r="X4810" i="2" s="1"/>
  <c r="W4811" i="2"/>
  <c r="X4811" i="2" s="1" a="1"/>
  <c r="X4811" i="2" s="1"/>
  <c r="W4812" i="2"/>
  <c r="X4812" i="2" s="1" a="1"/>
  <c r="X4812" i="2" s="1"/>
  <c r="W4813" i="2"/>
  <c r="X4813" i="2" s="1" a="1"/>
  <c r="X4813" i="2" s="1"/>
  <c r="W4814" i="2"/>
  <c r="X4814" i="2" s="1" a="1"/>
  <c r="X4814" i="2" s="1"/>
  <c r="W4815" i="2"/>
  <c r="X4815" i="2" s="1" a="1"/>
  <c r="X4815" i="2" s="1"/>
  <c r="W4816" i="2"/>
  <c r="X4816" i="2" s="1" a="1"/>
  <c r="X4816" i="2" s="1"/>
  <c r="W4817" i="2"/>
  <c r="X4817" i="2" s="1" a="1"/>
  <c r="X4817" i="2" s="1"/>
  <c r="W4818" i="2"/>
  <c r="X4818" i="2" s="1" a="1"/>
  <c r="X4818" i="2" s="1"/>
  <c r="W4819" i="2"/>
  <c r="X4819" i="2" s="1" a="1"/>
  <c r="X4819" i="2" s="1"/>
  <c r="W4820" i="2"/>
  <c r="X4820" i="2" s="1" a="1"/>
  <c r="X4820" i="2" s="1"/>
  <c r="W4821" i="2"/>
  <c r="X4821" i="2" s="1" a="1"/>
  <c r="X4821" i="2" s="1"/>
  <c r="W4822" i="2"/>
  <c r="X4822" i="2" s="1" a="1"/>
  <c r="X4822" i="2" s="1"/>
  <c r="W4823" i="2"/>
  <c r="X4823" i="2" s="1" a="1"/>
  <c r="X4823" i="2" s="1"/>
  <c r="W4824" i="2"/>
  <c r="X4824" i="2" s="1" a="1"/>
  <c r="X4824" i="2" s="1"/>
  <c r="W4825" i="2"/>
  <c r="X4825" i="2" s="1" a="1"/>
  <c r="X4825" i="2" s="1"/>
  <c r="W4826" i="2"/>
  <c r="X4826" i="2" s="1" a="1"/>
  <c r="X4826" i="2" s="1"/>
  <c r="W4827" i="2"/>
  <c r="X4827" i="2" s="1" a="1"/>
  <c r="X4827" i="2" s="1"/>
  <c r="W4828" i="2"/>
  <c r="X4828" i="2" s="1" a="1"/>
  <c r="X4828" i="2" s="1"/>
  <c r="W4829" i="2"/>
  <c r="X4829" i="2" s="1" a="1"/>
  <c r="X4829" i="2" s="1"/>
  <c r="W4830" i="2"/>
  <c r="X4830" i="2" s="1" a="1"/>
  <c r="X4830" i="2" s="1"/>
  <c r="W4831" i="2"/>
  <c r="X4831" i="2" s="1" a="1"/>
  <c r="X4831" i="2" s="1"/>
  <c r="W4832" i="2"/>
  <c r="X4832" i="2" s="1" a="1"/>
  <c r="X4832" i="2" s="1"/>
  <c r="W4833" i="2"/>
  <c r="X4833" i="2" s="1" a="1"/>
  <c r="X4833" i="2" s="1"/>
  <c r="W4834" i="2"/>
  <c r="X4834" i="2" s="1" a="1"/>
  <c r="X4834" i="2" s="1"/>
  <c r="W4835" i="2"/>
  <c r="X4835" i="2" s="1" a="1"/>
  <c r="X4835" i="2" s="1"/>
  <c r="W4836" i="2"/>
  <c r="X4836" i="2" s="1" a="1"/>
  <c r="X4836" i="2" s="1"/>
  <c r="W4837" i="2"/>
  <c r="X4837" i="2" s="1" a="1"/>
  <c r="X4837" i="2" s="1"/>
  <c r="W4838" i="2"/>
  <c r="X4838" i="2" s="1" a="1"/>
  <c r="X4838" i="2" s="1"/>
  <c r="W4839" i="2"/>
  <c r="X4839" i="2" s="1" a="1"/>
  <c r="X4839" i="2" s="1"/>
  <c r="W4840" i="2"/>
  <c r="X4840" i="2" s="1" a="1"/>
  <c r="X4840" i="2" s="1"/>
  <c r="W4841" i="2"/>
  <c r="X4841" i="2" s="1" a="1"/>
  <c r="X4841" i="2" s="1"/>
  <c r="W4842" i="2"/>
  <c r="X4842" i="2" s="1" a="1"/>
  <c r="X4842" i="2" s="1"/>
  <c r="W4843" i="2"/>
  <c r="X4843" i="2" s="1" a="1"/>
  <c r="X4843" i="2" s="1"/>
  <c r="W4844" i="2"/>
  <c r="X4844" i="2" s="1" a="1"/>
  <c r="X4844" i="2" s="1"/>
  <c r="W4845" i="2"/>
  <c r="X4845" i="2" s="1" a="1"/>
  <c r="X4845" i="2" s="1"/>
  <c r="W4846" i="2"/>
  <c r="X4846" i="2" s="1" a="1"/>
  <c r="X4846" i="2" s="1"/>
  <c r="W4847" i="2"/>
  <c r="X4847" i="2" s="1" a="1"/>
  <c r="X4847" i="2" s="1"/>
  <c r="W4848" i="2"/>
  <c r="X4848" i="2" s="1" a="1"/>
  <c r="X4848" i="2" s="1"/>
  <c r="W4849" i="2"/>
  <c r="X4849" i="2" s="1" a="1"/>
  <c r="X4849" i="2" s="1"/>
  <c r="W4850" i="2"/>
  <c r="X4850" i="2" s="1" a="1"/>
  <c r="X4850" i="2" s="1"/>
  <c r="W4851" i="2"/>
  <c r="X4851" i="2" s="1" a="1"/>
  <c r="X4851" i="2" s="1"/>
  <c r="W4852" i="2"/>
  <c r="X4852" i="2" s="1" a="1"/>
  <c r="X4852" i="2" s="1"/>
  <c r="W4853" i="2"/>
  <c r="X4853" i="2" s="1" a="1"/>
  <c r="X4853" i="2" s="1"/>
  <c r="W4854" i="2"/>
  <c r="X4854" i="2" s="1" a="1"/>
  <c r="X4854" i="2" s="1"/>
  <c r="W4855" i="2"/>
  <c r="X4855" i="2" s="1" a="1"/>
  <c r="X4855" i="2" s="1"/>
  <c r="W4856" i="2"/>
  <c r="X4856" i="2" s="1" a="1"/>
  <c r="X4856" i="2" s="1"/>
  <c r="W4857" i="2"/>
  <c r="X4857" i="2" s="1" a="1"/>
  <c r="X4857" i="2" s="1"/>
  <c r="W4858" i="2"/>
  <c r="X4858" i="2" s="1" a="1"/>
  <c r="X4858" i="2" s="1"/>
  <c r="W4859" i="2"/>
  <c r="X4859" i="2" s="1" a="1"/>
  <c r="X4859" i="2" s="1"/>
  <c r="W4860" i="2"/>
  <c r="X4860" i="2" s="1" a="1"/>
  <c r="X4860" i="2" s="1"/>
  <c r="W4861" i="2"/>
  <c r="X4861" i="2" s="1" a="1"/>
  <c r="X4861" i="2" s="1"/>
  <c r="W4862" i="2"/>
  <c r="X4862" i="2" s="1" a="1"/>
  <c r="X4862" i="2" s="1"/>
  <c r="W4863" i="2"/>
  <c r="X4863" i="2" s="1" a="1"/>
  <c r="X4863" i="2" s="1"/>
  <c r="W4864" i="2"/>
  <c r="X4864" i="2" s="1" a="1"/>
  <c r="X4864" i="2" s="1"/>
  <c r="W4865" i="2"/>
  <c r="X4865" i="2" s="1" a="1"/>
  <c r="X4865" i="2" s="1"/>
  <c r="W4866" i="2"/>
  <c r="X4866" i="2" s="1" a="1"/>
  <c r="X4866" i="2" s="1"/>
  <c r="W4867" i="2"/>
  <c r="X4867" i="2" s="1" a="1"/>
  <c r="X4867" i="2" s="1"/>
  <c r="W4868" i="2"/>
  <c r="X4868" i="2" s="1" a="1"/>
  <c r="X4868" i="2" s="1"/>
  <c r="W4869" i="2"/>
  <c r="X4869" i="2" s="1" a="1"/>
  <c r="X4869" i="2" s="1"/>
  <c r="W4870" i="2"/>
  <c r="X4870" i="2" s="1" a="1"/>
  <c r="X4870" i="2" s="1"/>
  <c r="W4871" i="2"/>
  <c r="X4871" i="2" s="1" a="1"/>
  <c r="X4871" i="2" s="1"/>
  <c r="W4872" i="2"/>
  <c r="X4872" i="2" s="1" a="1"/>
  <c r="X4872" i="2" s="1"/>
  <c r="W4873" i="2"/>
  <c r="X4873" i="2" s="1" a="1"/>
  <c r="X4873" i="2" s="1"/>
  <c r="W4874" i="2"/>
  <c r="X4874" i="2" s="1" a="1"/>
  <c r="X4874" i="2" s="1"/>
  <c r="W4875" i="2"/>
  <c r="X4875" i="2" s="1" a="1"/>
  <c r="X4875" i="2" s="1"/>
  <c r="W4876" i="2"/>
  <c r="X4876" i="2" s="1" a="1"/>
  <c r="X4876" i="2" s="1"/>
  <c r="W4877" i="2"/>
  <c r="X4877" i="2" s="1" a="1"/>
  <c r="X4877" i="2" s="1"/>
  <c r="W4878" i="2"/>
  <c r="X4878" i="2" s="1" a="1"/>
  <c r="X4878" i="2" s="1"/>
  <c r="W4879" i="2"/>
  <c r="X4879" i="2" s="1" a="1"/>
  <c r="X4879" i="2" s="1"/>
  <c r="W4880" i="2"/>
  <c r="X4880" i="2" s="1" a="1"/>
  <c r="X4880" i="2" s="1"/>
  <c r="W4881" i="2"/>
  <c r="X4881" i="2" s="1" a="1"/>
  <c r="X4881" i="2" s="1"/>
  <c r="W4882" i="2"/>
  <c r="X4882" i="2" s="1" a="1"/>
  <c r="X4882" i="2" s="1"/>
  <c r="W4883" i="2"/>
  <c r="X4883" i="2" s="1" a="1"/>
  <c r="X4883" i="2" s="1"/>
  <c r="W4884" i="2"/>
  <c r="X4884" i="2" s="1" a="1"/>
  <c r="X4884" i="2" s="1"/>
  <c r="W4885" i="2"/>
  <c r="X4885" i="2" s="1" a="1"/>
  <c r="X4885" i="2" s="1"/>
  <c r="W4886" i="2"/>
  <c r="X4886" i="2" s="1" a="1"/>
  <c r="X4886" i="2" s="1"/>
  <c r="W4887" i="2"/>
  <c r="X4887" i="2" s="1" a="1"/>
  <c r="X4887" i="2" s="1"/>
  <c r="W4888" i="2"/>
  <c r="X4888" i="2" s="1" a="1"/>
  <c r="X4888" i="2" s="1"/>
  <c r="W4889" i="2"/>
  <c r="X4889" i="2" s="1" a="1"/>
  <c r="X4889" i="2" s="1"/>
  <c r="W4890" i="2"/>
  <c r="X4890" i="2" s="1" a="1"/>
  <c r="X4890" i="2" s="1"/>
  <c r="W4891" i="2"/>
  <c r="X4891" i="2" s="1" a="1"/>
  <c r="X4891" i="2" s="1"/>
  <c r="W4892" i="2"/>
  <c r="X4892" i="2" s="1" a="1"/>
  <c r="X4892" i="2" s="1"/>
  <c r="W4893" i="2"/>
  <c r="X4893" i="2" s="1" a="1"/>
  <c r="X4893" i="2" s="1"/>
  <c r="W4894" i="2"/>
  <c r="X4894" i="2" s="1" a="1"/>
  <c r="X4894" i="2" s="1"/>
  <c r="W4895" i="2"/>
  <c r="X4895" i="2" s="1" a="1"/>
  <c r="X4895" i="2" s="1"/>
  <c r="W4896" i="2"/>
  <c r="X4896" i="2" s="1" a="1"/>
  <c r="X4896" i="2" s="1"/>
  <c r="W4897" i="2"/>
  <c r="X4897" i="2" s="1" a="1"/>
  <c r="X4897" i="2" s="1"/>
  <c r="W4898" i="2"/>
  <c r="X4898" i="2" s="1" a="1"/>
  <c r="X4898" i="2" s="1"/>
  <c r="W4899" i="2"/>
  <c r="X4899" i="2" s="1" a="1"/>
  <c r="X4899" i="2" s="1"/>
  <c r="W4900" i="2"/>
  <c r="X4900" i="2" s="1" a="1"/>
  <c r="X4900" i="2" s="1"/>
  <c r="W4901" i="2"/>
  <c r="X4901" i="2" s="1" a="1"/>
  <c r="X4901" i="2" s="1"/>
  <c r="W4902" i="2"/>
  <c r="X4902" i="2" s="1" a="1"/>
  <c r="X4902" i="2" s="1"/>
  <c r="W4903" i="2"/>
  <c r="X4903" i="2" s="1" a="1"/>
  <c r="X4903" i="2" s="1"/>
  <c r="W4904" i="2"/>
  <c r="X4904" i="2" s="1" a="1"/>
  <c r="X4904" i="2" s="1"/>
  <c r="W4905" i="2"/>
  <c r="X4905" i="2" s="1" a="1"/>
  <c r="X4905" i="2" s="1"/>
  <c r="W4906" i="2"/>
  <c r="X4906" i="2" s="1" a="1"/>
  <c r="X4906" i="2" s="1"/>
  <c r="W4907" i="2"/>
  <c r="X4907" i="2" s="1" a="1"/>
  <c r="X4907" i="2" s="1"/>
  <c r="W4908" i="2"/>
  <c r="X4908" i="2" s="1" a="1"/>
  <c r="X4908" i="2" s="1"/>
  <c r="W4909" i="2"/>
  <c r="X4909" i="2" s="1" a="1"/>
  <c r="X4909" i="2" s="1"/>
  <c r="W4910" i="2"/>
  <c r="X4910" i="2" s="1" a="1"/>
  <c r="X4910" i="2" s="1"/>
  <c r="W4911" i="2"/>
  <c r="X4911" i="2" s="1" a="1"/>
  <c r="X4911" i="2" s="1"/>
  <c r="W4912" i="2"/>
  <c r="X4912" i="2" s="1" a="1"/>
  <c r="X4912" i="2" s="1"/>
  <c r="W4913" i="2"/>
  <c r="X4913" i="2" s="1" a="1"/>
  <c r="X4913" i="2" s="1"/>
  <c r="W4914" i="2"/>
  <c r="X4914" i="2" s="1" a="1"/>
  <c r="X4914" i="2" s="1"/>
  <c r="W4915" i="2"/>
  <c r="X4915" i="2" s="1" a="1"/>
  <c r="X4915" i="2" s="1"/>
  <c r="W4916" i="2"/>
  <c r="X4916" i="2" s="1" a="1"/>
  <c r="X4916" i="2" s="1"/>
  <c r="W4917" i="2"/>
  <c r="X4917" i="2" s="1" a="1"/>
  <c r="X4917" i="2" s="1"/>
  <c r="W4918" i="2"/>
  <c r="X4918" i="2" s="1" a="1"/>
  <c r="X4918" i="2" s="1"/>
  <c r="W4919" i="2"/>
  <c r="X4919" i="2" s="1" a="1"/>
  <c r="X4919" i="2" s="1"/>
  <c r="W4920" i="2"/>
  <c r="X4920" i="2" s="1" a="1"/>
  <c r="X4920" i="2" s="1"/>
  <c r="W4921" i="2"/>
  <c r="X4921" i="2" s="1" a="1"/>
  <c r="X4921" i="2" s="1"/>
  <c r="W4922" i="2"/>
  <c r="X4922" i="2" s="1" a="1"/>
  <c r="X4922" i="2" s="1"/>
  <c r="W4923" i="2"/>
  <c r="X4923" i="2" s="1" a="1"/>
  <c r="X4923" i="2" s="1"/>
  <c r="W4924" i="2"/>
  <c r="X4924" i="2" s="1" a="1"/>
  <c r="X4924" i="2" s="1"/>
  <c r="W4925" i="2"/>
  <c r="X4925" i="2" s="1" a="1"/>
  <c r="X4925" i="2" s="1"/>
  <c r="W4926" i="2"/>
  <c r="X4926" i="2" s="1" a="1"/>
  <c r="X4926" i="2" s="1"/>
  <c r="W4927" i="2"/>
  <c r="X4927" i="2" s="1" a="1"/>
  <c r="X4927" i="2" s="1"/>
  <c r="W4928" i="2"/>
  <c r="X4928" i="2" s="1" a="1"/>
  <c r="X4928" i="2" s="1"/>
  <c r="W4929" i="2"/>
  <c r="X4929" i="2" s="1" a="1"/>
  <c r="X4929" i="2" s="1"/>
  <c r="W4930" i="2"/>
  <c r="X4930" i="2" s="1" a="1"/>
  <c r="X4930" i="2" s="1"/>
  <c r="W4931" i="2"/>
  <c r="X4931" i="2" s="1" a="1"/>
  <c r="X4931" i="2" s="1"/>
  <c r="W4932" i="2"/>
  <c r="X4932" i="2" s="1" a="1"/>
  <c r="X4932" i="2" s="1"/>
  <c r="W4933" i="2"/>
  <c r="X4933" i="2" s="1" a="1"/>
  <c r="X4933" i="2" s="1"/>
  <c r="W4934" i="2"/>
  <c r="X4934" i="2" s="1" a="1"/>
  <c r="X4934" i="2" s="1"/>
  <c r="W4935" i="2"/>
  <c r="X4935" i="2" s="1" a="1"/>
  <c r="X4935" i="2" s="1"/>
  <c r="W4936" i="2"/>
  <c r="X4936" i="2" s="1" a="1"/>
  <c r="X4936" i="2" s="1"/>
  <c r="W4937" i="2"/>
  <c r="X4937" i="2" s="1" a="1"/>
  <c r="X4937" i="2" s="1"/>
  <c r="W4938" i="2"/>
  <c r="X4938" i="2" s="1" a="1"/>
  <c r="X4938" i="2" s="1"/>
  <c r="W4939" i="2"/>
  <c r="X4939" i="2" s="1" a="1"/>
  <c r="X4939" i="2" s="1"/>
  <c r="W4940" i="2"/>
  <c r="X4940" i="2" s="1" a="1"/>
  <c r="X4940" i="2" s="1"/>
  <c r="W4941" i="2"/>
  <c r="X4941" i="2" s="1" a="1"/>
  <c r="X4941" i="2" s="1"/>
  <c r="W4942" i="2"/>
  <c r="X4942" i="2" s="1" a="1"/>
  <c r="X4942" i="2" s="1"/>
  <c r="W4943" i="2"/>
  <c r="X4943" i="2" s="1" a="1"/>
  <c r="X4943" i="2" s="1"/>
  <c r="W4944" i="2"/>
  <c r="X4944" i="2" s="1" a="1"/>
  <c r="X4944" i="2" s="1"/>
  <c r="W4945" i="2"/>
  <c r="X4945" i="2" s="1" a="1"/>
  <c r="X4945" i="2" s="1"/>
  <c r="W4946" i="2"/>
  <c r="X4946" i="2" s="1" a="1"/>
  <c r="X4946" i="2" s="1"/>
  <c r="W4947" i="2"/>
  <c r="X4947" i="2" s="1" a="1"/>
  <c r="X4947" i="2" s="1"/>
  <c r="W4948" i="2"/>
  <c r="X4948" i="2" s="1" a="1"/>
  <c r="X4948" i="2" s="1"/>
  <c r="W4949" i="2"/>
  <c r="X4949" i="2" s="1" a="1"/>
  <c r="X4949" i="2" s="1"/>
  <c r="W4950" i="2"/>
  <c r="X4950" i="2" s="1" a="1"/>
  <c r="X4950" i="2" s="1"/>
  <c r="W4951" i="2"/>
  <c r="X4951" i="2" s="1" a="1"/>
  <c r="X4951" i="2" s="1"/>
  <c r="W4952" i="2"/>
  <c r="X4952" i="2" s="1" a="1"/>
  <c r="X4952" i="2" s="1"/>
  <c r="W4953" i="2"/>
  <c r="X4953" i="2" s="1" a="1"/>
  <c r="X4953" i="2" s="1"/>
  <c r="W4954" i="2"/>
  <c r="X4954" i="2" s="1" a="1"/>
  <c r="X4954" i="2" s="1"/>
  <c r="W4955" i="2"/>
  <c r="X4955" i="2" s="1" a="1"/>
  <c r="X4955" i="2" s="1"/>
  <c r="W4956" i="2"/>
  <c r="X4956" i="2" s="1" a="1"/>
  <c r="X4956" i="2" s="1"/>
  <c r="W4957" i="2"/>
  <c r="X4957" i="2" s="1" a="1"/>
  <c r="X4957" i="2" s="1"/>
  <c r="W4958" i="2"/>
  <c r="X4958" i="2" s="1" a="1"/>
  <c r="X4958" i="2" s="1"/>
  <c r="W4959" i="2"/>
  <c r="X4959" i="2" s="1" a="1"/>
  <c r="X4959" i="2" s="1"/>
  <c r="W4960" i="2"/>
  <c r="X4960" i="2" s="1" a="1"/>
  <c r="X4960" i="2" s="1"/>
  <c r="W4961" i="2"/>
  <c r="X4961" i="2" s="1" a="1"/>
  <c r="X4961" i="2" s="1"/>
  <c r="W4962" i="2"/>
  <c r="X4962" i="2" s="1" a="1"/>
  <c r="X4962" i="2" s="1"/>
  <c r="W4963" i="2"/>
  <c r="X4963" i="2" s="1" a="1"/>
  <c r="X4963" i="2" s="1"/>
  <c r="W4964" i="2"/>
  <c r="X4964" i="2" s="1" a="1"/>
  <c r="X4964" i="2" s="1"/>
  <c r="W4965" i="2"/>
  <c r="X4965" i="2" s="1" a="1"/>
  <c r="X4965" i="2" s="1"/>
  <c r="D4" i="2"/>
  <c r="E4" i="2" s="1" a="1"/>
  <c r="E4" i="2" s="1"/>
  <c r="D5" i="2"/>
  <c r="E5" i="2" s="1" a="1"/>
  <c r="E5" i="2" s="1"/>
  <c r="D6" i="2"/>
  <c r="E6" i="2" s="1" a="1"/>
  <c r="E6" i="2" s="1"/>
  <c r="D7" i="2"/>
  <c r="E7" i="2" s="1" a="1"/>
  <c r="E7" i="2" s="1"/>
  <c r="D8" i="2"/>
  <c r="E8" i="2" s="1" a="1"/>
  <c r="E8" i="2" s="1"/>
  <c r="D9" i="2"/>
  <c r="E9" i="2" s="1" a="1"/>
  <c r="E9" i="2" s="1"/>
  <c r="D10" i="2"/>
  <c r="E10" i="2" s="1" a="1"/>
  <c r="E10" i="2" s="1"/>
  <c r="D11" i="2"/>
  <c r="E11" i="2" s="1" a="1"/>
  <c r="E11" i="2" s="1"/>
  <c r="D12" i="2"/>
  <c r="E12" i="2" s="1" a="1"/>
  <c r="E12" i="2" s="1"/>
  <c r="D13" i="2"/>
  <c r="E13" i="2" s="1" a="1"/>
  <c r="E13" i="2" s="1"/>
  <c r="D14" i="2"/>
  <c r="E14" i="2" s="1" a="1"/>
  <c r="E14" i="2" s="1"/>
  <c r="D15" i="2"/>
  <c r="E15" i="2" s="1" a="1"/>
  <c r="E15" i="2" s="1"/>
  <c r="D16" i="2"/>
  <c r="E16" i="2" s="1" a="1"/>
  <c r="E16" i="2" s="1"/>
  <c r="D17" i="2"/>
  <c r="E17" i="2" s="1" a="1"/>
  <c r="E17" i="2" s="1"/>
  <c r="D18" i="2"/>
  <c r="E18" i="2" s="1" a="1"/>
  <c r="E18" i="2" s="1"/>
  <c r="D19" i="2"/>
  <c r="E19" i="2" s="1" a="1"/>
  <c r="E19" i="2" s="1"/>
  <c r="D20" i="2"/>
  <c r="E20" i="2" s="1" a="1"/>
  <c r="E20" i="2" s="1"/>
  <c r="D21" i="2"/>
  <c r="E21" i="2" s="1" a="1"/>
  <c r="E21" i="2" s="1"/>
  <c r="D22" i="2"/>
  <c r="E22" i="2" s="1" a="1"/>
  <c r="E22" i="2" s="1"/>
  <c r="D23" i="2"/>
  <c r="E23" i="2" s="1" a="1"/>
  <c r="E23" i="2" s="1"/>
  <c r="D24" i="2"/>
  <c r="E24" i="2" s="1" a="1"/>
  <c r="E24" i="2" s="1"/>
  <c r="D25" i="2"/>
  <c r="E25" i="2" s="1" a="1"/>
  <c r="E25" i="2" s="1"/>
  <c r="D26" i="2"/>
  <c r="E26" i="2" s="1" a="1"/>
  <c r="E26" i="2" s="1"/>
  <c r="D27" i="2"/>
  <c r="E27" i="2" s="1" a="1"/>
  <c r="E27" i="2" s="1"/>
  <c r="D28" i="2"/>
  <c r="E28" i="2" s="1" a="1"/>
  <c r="E28" i="2" s="1"/>
  <c r="D29" i="2"/>
  <c r="E29" i="2" s="1" a="1"/>
  <c r="E29" i="2" s="1"/>
  <c r="D30" i="2"/>
  <c r="E30" i="2" s="1" a="1"/>
  <c r="E30" i="2" s="1"/>
  <c r="D31" i="2"/>
  <c r="E31" i="2" s="1" a="1"/>
  <c r="E31" i="2" s="1"/>
  <c r="D32" i="2"/>
  <c r="E32" i="2" s="1" a="1"/>
  <c r="E32" i="2" s="1"/>
  <c r="D33" i="2"/>
  <c r="E33" i="2" s="1" a="1"/>
  <c r="E33" i="2" s="1"/>
  <c r="D34" i="2"/>
  <c r="E34" i="2" s="1" a="1"/>
  <c r="E34" i="2" s="1"/>
  <c r="D35" i="2"/>
  <c r="E35" i="2" s="1" a="1"/>
  <c r="E35" i="2" s="1"/>
  <c r="D36" i="2"/>
  <c r="E36" i="2" s="1" a="1"/>
  <c r="E36" i="2" s="1"/>
  <c r="D37" i="2"/>
  <c r="E37" i="2" s="1" a="1"/>
  <c r="E37" i="2" s="1"/>
  <c r="D38" i="2"/>
  <c r="E38" i="2" s="1" a="1"/>
  <c r="E38" i="2" s="1"/>
  <c r="D39" i="2"/>
  <c r="E39" i="2" s="1" a="1"/>
  <c r="E39" i="2" s="1"/>
  <c r="D40" i="2"/>
  <c r="E40" i="2" s="1" a="1"/>
  <c r="E40" i="2" s="1"/>
  <c r="D41" i="2"/>
  <c r="E41" i="2" s="1" a="1"/>
  <c r="E41" i="2" s="1"/>
  <c r="D42" i="2"/>
  <c r="E42" i="2" s="1" a="1"/>
  <c r="E42" i="2" s="1"/>
  <c r="D43" i="2"/>
  <c r="E43" i="2" s="1" a="1"/>
  <c r="E43" i="2" s="1"/>
  <c r="D44" i="2"/>
  <c r="E44" i="2" s="1" a="1"/>
  <c r="E44" i="2" s="1"/>
  <c r="D45" i="2"/>
  <c r="E45" i="2" s="1" a="1"/>
  <c r="E45" i="2" s="1"/>
  <c r="D46" i="2"/>
  <c r="E46" i="2" s="1" a="1"/>
  <c r="E46" i="2" s="1"/>
  <c r="D47" i="2"/>
  <c r="E47" i="2" s="1" a="1"/>
  <c r="E47" i="2" s="1"/>
  <c r="D48" i="2"/>
  <c r="E48" i="2" s="1" a="1"/>
  <c r="E48" i="2" s="1"/>
  <c r="D49" i="2"/>
  <c r="E49" i="2" s="1" a="1"/>
  <c r="E49" i="2" s="1"/>
  <c r="D50" i="2"/>
  <c r="E50" i="2" s="1" a="1"/>
  <c r="E50" i="2" s="1"/>
  <c r="D51" i="2"/>
  <c r="E51" i="2" s="1" a="1"/>
  <c r="E51" i="2" s="1"/>
  <c r="D52" i="2"/>
  <c r="E52" i="2" s="1" a="1"/>
  <c r="E52" i="2" s="1"/>
  <c r="D53" i="2"/>
  <c r="E53" i="2" s="1" a="1"/>
  <c r="E53" i="2" s="1"/>
  <c r="D54" i="2"/>
  <c r="E54" i="2" s="1" a="1"/>
  <c r="E54" i="2" s="1"/>
  <c r="D55" i="2"/>
  <c r="E55" i="2" s="1" a="1"/>
  <c r="E55" i="2" s="1"/>
  <c r="D56" i="2"/>
  <c r="E56" i="2" s="1" a="1"/>
  <c r="E56" i="2" s="1"/>
  <c r="D57" i="2"/>
  <c r="E57" i="2" s="1" a="1"/>
  <c r="E57" i="2" s="1"/>
  <c r="D58" i="2"/>
  <c r="E58" i="2" s="1" a="1"/>
  <c r="E58" i="2" s="1"/>
  <c r="D59" i="2"/>
  <c r="E59" i="2" s="1" a="1"/>
  <c r="E59" i="2" s="1"/>
  <c r="D60" i="2"/>
  <c r="E60" i="2" s="1" a="1"/>
  <c r="E60" i="2" s="1"/>
  <c r="D61" i="2"/>
  <c r="E61" i="2" s="1" a="1"/>
  <c r="E61" i="2" s="1"/>
  <c r="D62" i="2"/>
  <c r="E62" i="2" s="1" a="1"/>
  <c r="E62" i="2" s="1"/>
  <c r="D63" i="2"/>
  <c r="E63" i="2" s="1" a="1"/>
  <c r="E63" i="2" s="1"/>
  <c r="D64" i="2"/>
  <c r="E64" i="2" s="1" a="1"/>
  <c r="E64" i="2" s="1"/>
  <c r="D65" i="2"/>
  <c r="E65" i="2" s="1" a="1"/>
  <c r="E65" i="2" s="1"/>
  <c r="D66" i="2"/>
  <c r="E66" i="2" s="1" a="1"/>
  <c r="E66" i="2" s="1"/>
  <c r="D67" i="2"/>
  <c r="E67" i="2" s="1" a="1"/>
  <c r="E67" i="2" s="1"/>
  <c r="D68" i="2"/>
  <c r="E68" i="2" s="1" a="1"/>
  <c r="E68" i="2" s="1"/>
  <c r="D69" i="2"/>
  <c r="E69" i="2" s="1" a="1"/>
  <c r="E69" i="2" s="1"/>
  <c r="D70" i="2"/>
  <c r="E70" i="2" s="1" a="1"/>
  <c r="E70" i="2" s="1"/>
  <c r="D71" i="2"/>
  <c r="E71" i="2" s="1" a="1"/>
  <c r="E71" i="2" s="1"/>
  <c r="D72" i="2"/>
  <c r="E72" i="2" s="1" a="1"/>
  <c r="E72" i="2" s="1"/>
  <c r="D73" i="2"/>
  <c r="E73" i="2" s="1" a="1"/>
  <c r="E73" i="2" s="1"/>
  <c r="D74" i="2"/>
  <c r="E74" i="2" s="1" a="1"/>
  <c r="E74" i="2" s="1"/>
  <c r="D75" i="2"/>
  <c r="E75" i="2" s="1" a="1"/>
  <c r="E75" i="2" s="1"/>
  <c r="D76" i="2"/>
  <c r="E76" i="2" s="1" a="1"/>
  <c r="E76" i="2" s="1"/>
  <c r="D77" i="2"/>
  <c r="E77" i="2" s="1" a="1"/>
  <c r="E77" i="2" s="1"/>
  <c r="D78" i="2"/>
  <c r="E78" i="2" s="1" a="1"/>
  <c r="E78" i="2" s="1"/>
  <c r="D79" i="2"/>
  <c r="E79" i="2" s="1" a="1"/>
  <c r="E79" i="2" s="1"/>
  <c r="D80" i="2"/>
  <c r="E80" i="2" s="1" a="1"/>
  <c r="E80" i="2" s="1"/>
  <c r="D81" i="2"/>
  <c r="E81" i="2" s="1" a="1"/>
  <c r="E81" i="2" s="1"/>
  <c r="D82" i="2"/>
  <c r="E82" i="2" s="1" a="1"/>
  <c r="E82" i="2" s="1"/>
  <c r="D83" i="2"/>
  <c r="E83" i="2" s="1" a="1"/>
  <c r="E83" i="2" s="1"/>
  <c r="D84" i="2"/>
  <c r="E84" i="2" s="1" a="1"/>
  <c r="E84" i="2" s="1"/>
  <c r="D85" i="2"/>
  <c r="E85" i="2" s="1" a="1"/>
  <c r="E85" i="2" s="1"/>
  <c r="D86" i="2"/>
  <c r="E86" i="2" s="1" a="1"/>
  <c r="E86" i="2" s="1"/>
  <c r="D87" i="2"/>
  <c r="E87" i="2" s="1" a="1"/>
  <c r="E87" i="2" s="1"/>
  <c r="D88" i="2"/>
  <c r="E88" i="2" s="1" a="1"/>
  <c r="E88" i="2" s="1"/>
  <c r="D89" i="2"/>
  <c r="E89" i="2" s="1" a="1"/>
  <c r="E89" i="2" s="1"/>
  <c r="D90" i="2"/>
  <c r="E90" i="2" s="1" a="1"/>
  <c r="E90" i="2" s="1"/>
  <c r="D91" i="2"/>
  <c r="E91" i="2" s="1" a="1"/>
  <c r="E91" i="2" s="1"/>
  <c r="D92" i="2"/>
  <c r="E92" i="2" s="1" a="1"/>
  <c r="E92" i="2" s="1"/>
  <c r="D93" i="2"/>
  <c r="E93" i="2" s="1" a="1"/>
  <c r="E93" i="2" s="1"/>
  <c r="D94" i="2"/>
  <c r="E94" i="2" s="1" a="1"/>
  <c r="E94" i="2" s="1"/>
  <c r="D95" i="2"/>
  <c r="E95" i="2" s="1" a="1"/>
  <c r="E95" i="2" s="1"/>
  <c r="D96" i="2"/>
  <c r="E96" i="2" s="1" a="1"/>
  <c r="E96" i="2" s="1"/>
  <c r="D97" i="2"/>
  <c r="E97" i="2" s="1" a="1"/>
  <c r="E97" i="2" s="1"/>
  <c r="D98" i="2"/>
  <c r="E98" i="2" s="1" a="1"/>
  <c r="E98" i="2" s="1"/>
  <c r="D99" i="2"/>
  <c r="E99" i="2" s="1" a="1"/>
  <c r="E99" i="2" s="1"/>
  <c r="D100" i="2"/>
  <c r="E100" i="2" s="1" a="1"/>
  <c r="E100" i="2" s="1"/>
  <c r="D101" i="2"/>
  <c r="E101" i="2" s="1" a="1"/>
  <c r="E101" i="2" s="1"/>
  <c r="D102" i="2"/>
  <c r="E102" i="2" s="1" a="1"/>
  <c r="E102" i="2" s="1"/>
  <c r="D103" i="2"/>
  <c r="E103" i="2" s="1" a="1"/>
  <c r="E103" i="2" s="1"/>
  <c r="D104" i="2"/>
  <c r="E104" i="2" s="1" a="1"/>
  <c r="E104" i="2" s="1"/>
  <c r="D105" i="2"/>
  <c r="E105" i="2" s="1" a="1"/>
  <c r="E105" i="2" s="1"/>
  <c r="D106" i="2"/>
  <c r="E106" i="2" s="1" a="1"/>
  <c r="E106" i="2" s="1"/>
  <c r="D107" i="2"/>
  <c r="E107" i="2" s="1" a="1"/>
  <c r="E107" i="2" s="1"/>
  <c r="D108" i="2"/>
  <c r="E108" i="2" s="1" a="1"/>
  <c r="E108" i="2" s="1"/>
  <c r="D109" i="2"/>
  <c r="E109" i="2" s="1" a="1"/>
  <c r="E109" i="2" s="1"/>
  <c r="D110" i="2"/>
  <c r="E110" i="2" s="1" a="1"/>
  <c r="E110" i="2" s="1"/>
  <c r="D111" i="2"/>
  <c r="E111" i="2" s="1" a="1"/>
  <c r="E111" i="2" s="1"/>
  <c r="D112" i="2"/>
  <c r="E112" i="2" s="1" a="1"/>
  <c r="E112" i="2" s="1"/>
  <c r="D113" i="2"/>
  <c r="E113" i="2" s="1" a="1"/>
  <c r="E113" i="2" s="1"/>
  <c r="D114" i="2"/>
  <c r="E114" i="2" s="1" a="1"/>
  <c r="E114" i="2" s="1"/>
  <c r="D115" i="2"/>
  <c r="E115" i="2" s="1" a="1"/>
  <c r="E115" i="2" s="1"/>
  <c r="D116" i="2"/>
  <c r="E116" i="2" s="1" a="1"/>
  <c r="E116" i="2" s="1"/>
  <c r="D117" i="2"/>
  <c r="E117" i="2" s="1" a="1"/>
  <c r="E117" i="2" s="1"/>
  <c r="D118" i="2"/>
  <c r="E118" i="2" s="1" a="1"/>
  <c r="E118" i="2" s="1"/>
  <c r="D119" i="2"/>
  <c r="E119" i="2" s="1" a="1"/>
  <c r="E119" i="2" s="1"/>
  <c r="D120" i="2"/>
  <c r="E120" i="2" s="1" a="1"/>
  <c r="E120" i="2" s="1"/>
  <c r="D121" i="2"/>
  <c r="E121" i="2" s="1" a="1"/>
  <c r="E121" i="2" s="1"/>
  <c r="D122" i="2"/>
  <c r="E122" i="2" s="1" a="1"/>
  <c r="E122" i="2" s="1"/>
  <c r="D123" i="2"/>
  <c r="E123" i="2" s="1" a="1"/>
  <c r="E123" i="2" s="1"/>
  <c r="D124" i="2"/>
  <c r="E124" i="2" s="1" a="1"/>
  <c r="E124" i="2" s="1"/>
  <c r="D125" i="2"/>
  <c r="E125" i="2" s="1" a="1"/>
  <c r="E125" i="2" s="1"/>
  <c r="D126" i="2"/>
  <c r="E126" i="2" s="1" a="1"/>
  <c r="E126" i="2" s="1"/>
  <c r="D127" i="2"/>
  <c r="E127" i="2" s="1" a="1"/>
  <c r="E127" i="2" s="1"/>
  <c r="D128" i="2"/>
  <c r="E128" i="2" s="1" a="1"/>
  <c r="E128" i="2" s="1"/>
  <c r="D129" i="2"/>
  <c r="E129" i="2" s="1" a="1"/>
  <c r="E129" i="2" s="1"/>
  <c r="D130" i="2"/>
  <c r="E130" i="2" s="1" a="1"/>
  <c r="E130" i="2" s="1"/>
  <c r="D131" i="2"/>
  <c r="E131" i="2" s="1" a="1"/>
  <c r="E131" i="2" s="1"/>
  <c r="D132" i="2"/>
  <c r="E132" i="2" s="1" a="1"/>
  <c r="E132" i="2" s="1"/>
  <c r="D133" i="2"/>
  <c r="E133" i="2" s="1" a="1"/>
  <c r="E133" i="2" s="1"/>
  <c r="D134" i="2"/>
  <c r="E134" i="2" s="1" a="1"/>
  <c r="E134" i="2" s="1"/>
  <c r="D135" i="2"/>
  <c r="E135" i="2" s="1" a="1"/>
  <c r="E135" i="2" s="1"/>
  <c r="D136" i="2"/>
  <c r="E136" i="2" s="1" a="1"/>
  <c r="E136" i="2" s="1"/>
  <c r="D137" i="2"/>
  <c r="E137" i="2" s="1" a="1"/>
  <c r="E137" i="2" s="1"/>
  <c r="D138" i="2"/>
  <c r="E138" i="2" s="1" a="1"/>
  <c r="E138" i="2" s="1"/>
  <c r="D139" i="2"/>
  <c r="E139" i="2" s="1" a="1"/>
  <c r="E139" i="2" s="1"/>
  <c r="D140" i="2"/>
  <c r="E140" i="2" s="1" a="1"/>
  <c r="E140" i="2" s="1"/>
  <c r="D141" i="2"/>
  <c r="E141" i="2" s="1" a="1"/>
  <c r="E141" i="2" s="1"/>
  <c r="D142" i="2"/>
  <c r="E142" i="2" s="1" a="1"/>
  <c r="E142" i="2" s="1"/>
  <c r="D143" i="2"/>
  <c r="E143" i="2" s="1" a="1"/>
  <c r="E143" i="2" s="1"/>
  <c r="D144" i="2"/>
  <c r="E144" i="2" s="1" a="1"/>
  <c r="E144" i="2" s="1"/>
  <c r="D145" i="2"/>
  <c r="E145" i="2" s="1" a="1"/>
  <c r="E145" i="2" s="1"/>
  <c r="D146" i="2"/>
  <c r="E146" i="2" s="1" a="1"/>
  <c r="E146" i="2" s="1"/>
  <c r="D147" i="2"/>
  <c r="E147" i="2" s="1" a="1"/>
  <c r="E147" i="2" s="1"/>
  <c r="D148" i="2"/>
  <c r="E148" i="2" s="1" a="1"/>
  <c r="E148" i="2" s="1"/>
  <c r="D149" i="2"/>
  <c r="E149" i="2" s="1" a="1"/>
  <c r="E149" i="2" s="1"/>
  <c r="D150" i="2"/>
  <c r="E150" i="2" s="1" a="1"/>
  <c r="E150" i="2" s="1"/>
  <c r="D151" i="2"/>
  <c r="E151" i="2" s="1" a="1"/>
  <c r="E151" i="2" s="1"/>
  <c r="D152" i="2"/>
  <c r="E152" i="2" s="1" a="1"/>
  <c r="E152" i="2" s="1"/>
  <c r="D153" i="2"/>
  <c r="E153" i="2" s="1" a="1"/>
  <c r="E153" i="2" s="1"/>
  <c r="D154" i="2"/>
  <c r="E154" i="2" s="1" a="1"/>
  <c r="E154" i="2" s="1"/>
  <c r="D155" i="2"/>
  <c r="E155" i="2" s="1" a="1"/>
  <c r="E155" i="2" s="1"/>
  <c r="D156" i="2"/>
  <c r="E156" i="2" s="1" a="1"/>
  <c r="E156" i="2" s="1"/>
  <c r="D157" i="2"/>
  <c r="E157" i="2" s="1" a="1"/>
  <c r="E157" i="2" s="1"/>
  <c r="D158" i="2"/>
  <c r="E158" i="2" s="1" a="1"/>
  <c r="E158" i="2" s="1"/>
  <c r="D159" i="2"/>
  <c r="E159" i="2" s="1" a="1"/>
  <c r="E159" i="2" s="1"/>
  <c r="D160" i="2"/>
  <c r="E160" i="2" s="1" a="1"/>
  <c r="E160" i="2" s="1"/>
  <c r="D161" i="2"/>
  <c r="E161" i="2" s="1" a="1"/>
  <c r="E161" i="2" s="1"/>
  <c r="D162" i="2"/>
  <c r="E162" i="2" s="1" a="1"/>
  <c r="E162" i="2" s="1"/>
  <c r="D163" i="2"/>
  <c r="E163" i="2" s="1" a="1"/>
  <c r="E163" i="2" s="1"/>
  <c r="D164" i="2"/>
  <c r="E164" i="2" s="1" a="1"/>
  <c r="E164" i="2" s="1"/>
  <c r="D165" i="2"/>
  <c r="E165" i="2" s="1" a="1"/>
  <c r="E165" i="2" s="1"/>
  <c r="D166" i="2"/>
  <c r="E166" i="2" s="1" a="1"/>
  <c r="E166" i="2" s="1"/>
  <c r="D167" i="2"/>
  <c r="E167" i="2" s="1" a="1"/>
  <c r="E167" i="2" s="1"/>
  <c r="D168" i="2"/>
  <c r="E168" i="2" s="1" a="1"/>
  <c r="E168" i="2" s="1"/>
  <c r="D169" i="2"/>
  <c r="E169" i="2" s="1" a="1"/>
  <c r="E169" i="2" s="1"/>
  <c r="D170" i="2"/>
  <c r="E170" i="2" s="1" a="1"/>
  <c r="E170" i="2" s="1"/>
  <c r="D171" i="2"/>
  <c r="E171" i="2" s="1" a="1"/>
  <c r="E171" i="2" s="1"/>
  <c r="D172" i="2"/>
  <c r="E172" i="2" s="1" a="1"/>
  <c r="E172" i="2" s="1"/>
  <c r="D173" i="2"/>
  <c r="E173" i="2" s="1" a="1"/>
  <c r="E173" i="2" s="1"/>
  <c r="D174" i="2"/>
  <c r="E174" i="2" s="1" a="1"/>
  <c r="E174" i="2" s="1"/>
  <c r="D175" i="2"/>
  <c r="E175" i="2" s="1" a="1"/>
  <c r="E175" i="2" s="1"/>
  <c r="D176" i="2"/>
  <c r="E176" i="2" s="1" a="1"/>
  <c r="E176" i="2" s="1"/>
  <c r="D177" i="2"/>
  <c r="E177" i="2" s="1" a="1"/>
  <c r="E177" i="2" s="1"/>
  <c r="D178" i="2"/>
  <c r="E178" i="2" s="1" a="1"/>
  <c r="E178" i="2" s="1"/>
  <c r="D179" i="2"/>
  <c r="E179" i="2" s="1" a="1"/>
  <c r="E179" i="2" s="1"/>
  <c r="D180" i="2"/>
  <c r="E180" i="2" s="1" a="1"/>
  <c r="E180" i="2" s="1"/>
  <c r="D181" i="2"/>
  <c r="E181" i="2" s="1" a="1"/>
  <c r="E181" i="2" s="1"/>
  <c r="D182" i="2"/>
  <c r="E182" i="2" s="1" a="1"/>
  <c r="E182" i="2" s="1"/>
  <c r="D183" i="2"/>
  <c r="E183" i="2" s="1" a="1"/>
  <c r="E183" i="2" s="1"/>
  <c r="D184" i="2"/>
  <c r="E184" i="2" s="1" a="1"/>
  <c r="E184" i="2" s="1"/>
  <c r="D185" i="2"/>
  <c r="E185" i="2" s="1" a="1"/>
  <c r="E185" i="2" s="1"/>
  <c r="D186" i="2"/>
  <c r="E186" i="2" s="1" a="1"/>
  <c r="E186" i="2" s="1"/>
  <c r="D187" i="2"/>
  <c r="E187" i="2" s="1" a="1"/>
  <c r="E187" i="2" s="1"/>
  <c r="D188" i="2"/>
  <c r="E188" i="2" s="1" a="1"/>
  <c r="E188" i="2" s="1"/>
  <c r="D189" i="2"/>
  <c r="E189" i="2" s="1" a="1"/>
  <c r="E189" i="2" s="1"/>
  <c r="D190" i="2"/>
  <c r="E190" i="2" s="1" a="1"/>
  <c r="E190" i="2" s="1"/>
  <c r="D191" i="2"/>
  <c r="E191" i="2" s="1" a="1"/>
  <c r="E191" i="2" s="1"/>
  <c r="D192" i="2"/>
  <c r="E192" i="2" s="1" a="1"/>
  <c r="E192" i="2" s="1"/>
  <c r="D193" i="2"/>
  <c r="E193" i="2" s="1" a="1"/>
  <c r="E193" i="2" s="1"/>
  <c r="D194" i="2"/>
  <c r="E194" i="2" s="1" a="1"/>
  <c r="E194" i="2" s="1"/>
  <c r="D195" i="2"/>
  <c r="E195" i="2" s="1" a="1"/>
  <c r="E195" i="2" s="1"/>
  <c r="D196" i="2"/>
  <c r="E196" i="2" s="1" a="1"/>
  <c r="E196" i="2" s="1"/>
  <c r="D197" i="2"/>
  <c r="E197" i="2" s="1" a="1"/>
  <c r="E197" i="2" s="1"/>
  <c r="D198" i="2"/>
  <c r="E198" i="2" s="1" a="1"/>
  <c r="E198" i="2" s="1"/>
  <c r="D199" i="2"/>
  <c r="E199" i="2" s="1" a="1"/>
  <c r="E199" i="2" s="1"/>
  <c r="D200" i="2"/>
  <c r="E200" i="2" s="1" a="1"/>
  <c r="E200" i="2" s="1"/>
  <c r="D201" i="2"/>
  <c r="E201" i="2" s="1" a="1"/>
  <c r="E201" i="2" s="1"/>
  <c r="D202" i="2"/>
  <c r="E202" i="2" s="1" a="1"/>
  <c r="E202" i="2" s="1"/>
  <c r="D203" i="2"/>
  <c r="E203" i="2" s="1" a="1"/>
  <c r="E203" i="2" s="1"/>
  <c r="D204" i="2"/>
  <c r="E204" i="2" s="1" a="1"/>
  <c r="E204" i="2" s="1"/>
  <c r="D205" i="2"/>
  <c r="E205" i="2" s="1" a="1"/>
  <c r="E205" i="2" s="1"/>
  <c r="D206" i="2"/>
  <c r="E206" i="2" s="1" a="1"/>
  <c r="E206" i="2" s="1"/>
  <c r="D207" i="2"/>
  <c r="E207" i="2" s="1" a="1"/>
  <c r="E207" i="2" s="1"/>
  <c r="D208" i="2"/>
  <c r="E208" i="2" s="1" a="1"/>
  <c r="E208" i="2" s="1"/>
  <c r="D209" i="2"/>
  <c r="E209" i="2" s="1" a="1"/>
  <c r="E209" i="2" s="1"/>
  <c r="D210" i="2"/>
  <c r="E210" i="2" s="1" a="1"/>
  <c r="E210" i="2" s="1"/>
  <c r="D211" i="2"/>
  <c r="E211" i="2" s="1" a="1"/>
  <c r="E211" i="2" s="1"/>
  <c r="D212" i="2"/>
  <c r="E212" i="2" s="1" a="1"/>
  <c r="E212" i="2" s="1"/>
  <c r="D213" i="2"/>
  <c r="E213" i="2" s="1" a="1"/>
  <c r="E213" i="2" s="1"/>
  <c r="D214" i="2"/>
  <c r="E214" i="2" s="1" a="1"/>
  <c r="E214" i="2" s="1"/>
  <c r="D215" i="2"/>
  <c r="E215" i="2" s="1" a="1"/>
  <c r="E215" i="2" s="1"/>
  <c r="D216" i="2"/>
  <c r="E216" i="2" s="1" a="1"/>
  <c r="E216" i="2" s="1"/>
  <c r="D217" i="2"/>
  <c r="E217" i="2" s="1" a="1"/>
  <c r="E217" i="2" s="1"/>
  <c r="D218" i="2"/>
  <c r="E218" i="2" s="1" a="1"/>
  <c r="E218" i="2" s="1"/>
  <c r="D219" i="2"/>
  <c r="E219" i="2" s="1" a="1"/>
  <c r="E219" i="2" s="1"/>
  <c r="D220" i="2"/>
  <c r="E220" i="2" s="1" a="1"/>
  <c r="E220" i="2" s="1"/>
  <c r="D221" i="2"/>
  <c r="E221" i="2" s="1" a="1"/>
  <c r="E221" i="2" s="1"/>
  <c r="D222" i="2"/>
  <c r="E222" i="2" s="1" a="1"/>
  <c r="E222" i="2" s="1"/>
  <c r="D223" i="2"/>
  <c r="E223" i="2" s="1" a="1"/>
  <c r="E223" i="2" s="1"/>
  <c r="D224" i="2"/>
  <c r="E224" i="2" s="1" a="1"/>
  <c r="E224" i="2" s="1"/>
  <c r="D225" i="2"/>
  <c r="E225" i="2" s="1" a="1"/>
  <c r="E225" i="2" s="1"/>
  <c r="D226" i="2"/>
  <c r="E226" i="2" s="1" a="1"/>
  <c r="E226" i="2" s="1"/>
  <c r="D227" i="2"/>
  <c r="E227" i="2" s="1" a="1"/>
  <c r="E227" i="2" s="1"/>
  <c r="D228" i="2"/>
  <c r="E228" i="2" s="1" a="1"/>
  <c r="E228" i="2" s="1"/>
  <c r="D229" i="2"/>
  <c r="E229" i="2" s="1" a="1"/>
  <c r="E229" i="2" s="1"/>
  <c r="D230" i="2"/>
  <c r="E230" i="2" s="1" a="1"/>
  <c r="E230" i="2" s="1"/>
  <c r="D231" i="2"/>
  <c r="E231" i="2" s="1" a="1"/>
  <c r="E231" i="2" s="1"/>
  <c r="D232" i="2"/>
  <c r="E232" i="2" s="1" a="1"/>
  <c r="E232" i="2" s="1"/>
  <c r="D233" i="2"/>
  <c r="E233" i="2" s="1" a="1"/>
  <c r="E233" i="2" s="1"/>
  <c r="D234" i="2"/>
  <c r="E234" i="2" s="1" a="1"/>
  <c r="E234" i="2" s="1"/>
  <c r="D235" i="2"/>
  <c r="E235" i="2" s="1" a="1"/>
  <c r="E235" i="2" s="1"/>
  <c r="D236" i="2"/>
  <c r="E236" i="2" s="1" a="1"/>
  <c r="E236" i="2" s="1"/>
  <c r="D237" i="2"/>
  <c r="E237" i="2" s="1" a="1"/>
  <c r="E237" i="2" s="1"/>
  <c r="D238" i="2"/>
  <c r="E238" i="2" s="1" a="1"/>
  <c r="E238" i="2" s="1"/>
  <c r="D239" i="2"/>
  <c r="E239" i="2" s="1" a="1"/>
  <c r="E239" i="2" s="1"/>
  <c r="D240" i="2"/>
  <c r="E240" i="2" s="1" a="1"/>
  <c r="E240" i="2" s="1"/>
  <c r="D241" i="2"/>
  <c r="E241" i="2" s="1" a="1"/>
  <c r="E241" i="2" s="1"/>
  <c r="D242" i="2"/>
  <c r="E242" i="2" s="1" a="1"/>
  <c r="E242" i="2" s="1"/>
  <c r="D243" i="2"/>
  <c r="E243" i="2" s="1" a="1"/>
  <c r="E243" i="2" s="1"/>
  <c r="D244" i="2"/>
  <c r="E244" i="2" s="1" a="1"/>
  <c r="E244" i="2" s="1"/>
  <c r="D245" i="2"/>
  <c r="E245" i="2" s="1" a="1"/>
  <c r="E245" i="2" s="1"/>
  <c r="D246" i="2"/>
  <c r="E246" i="2" s="1" a="1"/>
  <c r="E246" i="2" s="1"/>
  <c r="D247" i="2"/>
  <c r="E247" i="2" s="1" a="1"/>
  <c r="E247" i="2" s="1"/>
  <c r="D248" i="2"/>
  <c r="E248" i="2" s="1" a="1"/>
  <c r="E248" i="2" s="1"/>
  <c r="D249" i="2"/>
  <c r="E249" i="2" s="1" a="1"/>
  <c r="E249" i="2" s="1"/>
  <c r="D250" i="2"/>
  <c r="E250" i="2" s="1" a="1"/>
  <c r="E250" i="2" s="1"/>
  <c r="D251" i="2"/>
  <c r="E251" i="2" s="1" a="1"/>
  <c r="E251" i="2" s="1"/>
  <c r="D252" i="2"/>
  <c r="E252" i="2" s="1" a="1"/>
  <c r="E252" i="2" s="1"/>
  <c r="D253" i="2"/>
  <c r="E253" i="2" s="1" a="1"/>
  <c r="E253" i="2" s="1"/>
  <c r="D254" i="2"/>
  <c r="E254" i="2" s="1" a="1"/>
  <c r="E254" i="2" s="1"/>
  <c r="D255" i="2"/>
  <c r="E255" i="2" s="1" a="1"/>
  <c r="E255" i="2" s="1"/>
  <c r="D256" i="2"/>
  <c r="E256" i="2" s="1" a="1"/>
  <c r="E256" i="2" s="1"/>
  <c r="D257" i="2"/>
  <c r="E257" i="2" s="1" a="1"/>
  <c r="E257" i="2" s="1"/>
  <c r="D258" i="2"/>
  <c r="E258" i="2" s="1" a="1"/>
  <c r="E258" i="2" s="1"/>
  <c r="D259" i="2"/>
  <c r="E259" i="2" s="1" a="1"/>
  <c r="E259" i="2" s="1"/>
  <c r="D260" i="2"/>
  <c r="E260" i="2" s="1" a="1"/>
  <c r="E260" i="2" s="1"/>
  <c r="D261" i="2"/>
  <c r="E261" i="2" s="1" a="1"/>
  <c r="E261" i="2" s="1"/>
  <c r="D262" i="2"/>
  <c r="E262" i="2" s="1" a="1"/>
  <c r="E262" i="2" s="1"/>
  <c r="D263" i="2"/>
  <c r="E263" i="2" s="1" a="1"/>
  <c r="E263" i="2" s="1"/>
  <c r="D264" i="2"/>
  <c r="E264" i="2" s="1" a="1"/>
  <c r="E264" i="2" s="1"/>
  <c r="D265" i="2"/>
  <c r="E265" i="2" s="1" a="1"/>
  <c r="E265" i="2" s="1"/>
  <c r="D266" i="2"/>
  <c r="E266" i="2" s="1" a="1"/>
  <c r="E266" i="2" s="1"/>
  <c r="D267" i="2"/>
  <c r="E267" i="2" s="1" a="1"/>
  <c r="E267" i="2" s="1"/>
  <c r="D268" i="2"/>
  <c r="E268" i="2" s="1" a="1"/>
  <c r="E268" i="2" s="1"/>
  <c r="D269" i="2"/>
  <c r="E269" i="2" s="1" a="1"/>
  <c r="E269" i="2" s="1"/>
  <c r="D270" i="2"/>
  <c r="E270" i="2" s="1" a="1"/>
  <c r="E270" i="2" s="1"/>
  <c r="D271" i="2"/>
  <c r="E271" i="2" s="1" a="1"/>
  <c r="E271" i="2" s="1"/>
  <c r="D272" i="2"/>
  <c r="E272" i="2" s="1" a="1"/>
  <c r="E272" i="2" s="1"/>
  <c r="D273" i="2"/>
  <c r="E273" i="2" s="1" a="1"/>
  <c r="E273" i="2" s="1"/>
  <c r="D274" i="2"/>
  <c r="E274" i="2" s="1" a="1"/>
  <c r="E274" i="2" s="1"/>
  <c r="D275" i="2"/>
  <c r="E275" i="2" s="1" a="1"/>
  <c r="E275" i="2" s="1"/>
  <c r="D276" i="2"/>
  <c r="E276" i="2" s="1" a="1"/>
  <c r="E276" i="2" s="1"/>
  <c r="D277" i="2"/>
  <c r="E277" i="2" s="1" a="1"/>
  <c r="E277" i="2" s="1"/>
  <c r="D278" i="2"/>
  <c r="E278" i="2" s="1" a="1"/>
  <c r="E278" i="2" s="1"/>
  <c r="D279" i="2"/>
  <c r="E279" i="2" s="1" a="1"/>
  <c r="E279" i="2" s="1"/>
  <c r="D280" i="2"/>
  <c r="E280" i="2" s="1" a="1"/>
  <c r="E280" i="2" s="1"/>
  <c r="D281" i="2"/>
  <c r="E281" i="2" s="1" a="1"/>
  <c r="E281" i="2" s="1"/>
  <c r="D282" i="2"/>
  <c r="E282" i="2" s="1" a="1"/>
  <c r="E282" i="2" s="1"/>
  <c r="D283" i="2"/>
  <c r="E283" i="2" s="1" a="1"/>
  <c r="E283" i="2" s="1"/>
  <c r="D284" i="2"/>
  <c r="E284" i="2" s="1" a="1"/>
  <c r="E284" i="2" s="1"/>
  <c r="D285" i="2"/>
  <c r="E285" i="2" s="1" a="1"/>
  <c r="E285" i="2" s="1"/>
  <c r="D286" i="2"/>
  <c r="E286" i="2" s="1" a="1"/>
  <c r="E286" i="2" s="1"/>
  <c r="D287" i="2"/>
  <c r="E287" i="2" s="1" a="1"/>
  <c r="E287" i="2" s="1"/>
  <c r="D288" i="2"/>
  <c r="E288" i="2" s="1" a="1"/>
  <c r="E288" i="2" s="1"/>
  <c r="D289" i="2"/>
  <c r="E289" i="2" s="1" a="1"/>
  <c r="E289" i="2" s="1"/>
  <c r="D290" i="2"/>
  <c r="E290" i="2" s="1" a="1"/>
  <c r="E290" i="2" s="1"/>
  <c r="D291" i="2"/>
  <c r="E291" i="2" s="1" a="1"/>
  <c r="E291" i="2" s="1"/>
  <c r="D292" i="2"/>
  <c r="E292" i="2" s="1" a="1"/>
  <c r="E292" i="2" s="1"/>
  <c r="D293" i="2"/>
  <c r="E293" i="2" s="1" a="1"/>
  <c r="E293" i="2" s="1"/>
  <c r="D294" i="2"/>
  <c r="E294" i="2" s="1" a="1"/>
  <c r="E294" i="2" s="1"/>
  <c r="D295" i="2"/>
  <c r="E295" i="2" s="1" a="1"/>
  <c r="E295" i="2" s="1"/>
  <c r="D296" i="2"/>
  <c r="E296" i="2" s="1" a="1"/>
  <c r="E296" i="2" s="1"/>
  <c r="D297" i="2"/>
  <c r="E297" i="2" s="1" a="1"/>
  <c r="E297" i="2" s="1"/>
  <c r="D298" i="2"/>
  <c r="E298" i="2" s="1" a="1"/>
  <c r="E298" i="2" s="1"/>
  <c r="D299" i="2"/>
  <c r="E299" i="2" s="1" a="1"/>
  <c r="E299" i="2" s="1"/>
  <c r="D300" i="2"/>
  <c r="E300" i="2" s="1" a="1"/>
  <c r="E300" i="2" s="1"/>
  <c r="D301" i="2"/>
  <c r="E301" i="2" s="1" a="1"/>
  <c r="E301" i="2" s="1"/>
  <c r="D302" i="2"/>
  <c r="E302" i="2" s="1" a="1"/>
  <c r="E302" i="2" s="1"/>
  <c r="D303" i="2"/>
  <c r="E303" i="2" s="1" a="1"/>
  <c r="E303" i="2" s="1"/>
  <c r="D304" i="2"/>
  <c r="E304" i="2" s="1" a="1"/>
  <c r="E304" i="2" s="1"/>
  <c r="D305" i="2"/>
  <c r="E305" i="2" s="1" a="1"/>
  <c r="E305" i="2" s="1"/>
  <c r="D306" i="2"/>
  <c r="E306" i="2" s="1" a="1"/>
  <c r="E306" i="2" s="1"/>
  <c r="D307" i="2"/>
  <c r="E307" i="2" s="1" a="1"/>
  <c r="E307" i="2" s="1"/>
  <c r="D308" i="2"/>
  <c r="E308" i="2" s="1" a="1"/>
  <c r="E308" i="2" s="1"/>
  <c r="D309" i="2"/>
  <c r="E309" i="2" s="1" a="1"/>
  <c r="E309" i="2" s="1"/>
  <c r="D310" i="2"/>
  <c r="E310" i="2" s="1" a="1"/>
  <c r="E310" i="2" s="1"/>
  <c r="D311" i="2"/>
  <c r="E311" i="2" s="1" a="1"/>
  <c r="E311" i="2" s="1"/>
  <c r="D312" i="2"/>
  <c r="E312" i="2" s="1" a="1"/>
  <c r="E312" i="2" s="1"/>
  <c r="D313" i="2"/>
  <c r="E313" i="2" s="1" a="1"/>
  <c r="E313" i="2" s="1"/>
  <c r="D314" i="2"/>
  <c r="E314" i="2" s="1" a="1"/>
  <c r="E314" i="2" s="1"/>
  <c r="D315" i="2"/>
  <c r="E315" i="2" s="1" a="1"/>
  <c r="E315" i="2" s="1"/>
  <c r="D316" i="2"/>
  <c r="E316" i="2" s="1" a="1"/>
  <c r="E316" i="2" s="1"/>
  <c r="D317" i="2"/>
  <c r="E317" i="2" s="1" a="1"/>
  <c r="E317" i="2" s="1"/>
  <c r="D318" i="2"/>
  <c r="E318" i="2" s="1" a="1"/>
  <c r="E318" i="2" s="1"/>
  <c r="D319" i="2"/>
  <c r="E319" i="2" s="1" a="1"/>
  <c r="E319" i="2" s="1"/>
  <c r="D320" i="2"/>
  <c r="E320" i="2" s="1" a="1"/>
  <c r="E320" i="2" s="1"/>
  <c r="D321" i="2"/>
  <c r="E321" i="2" s="1" a="1"/>
  <c r="E321" i="2" s="1"/>
  <c r="D322" i="2"/>
  <c r="E322" i="2" s="1" a="1"/>
  <c r="E322" i="2" s="1"/>
  <c r="D323" i="2"/>
  <c r="E323" i="2" s="1" a="1"/>
  <c r="E323" i="2" s="1"/>
  <c r="D324" i="2"/>
  <c r="E324" i="2" s="1" a="1"/>
  <c r="E324" i="2" s="1"/>
  <c r="D325" i="2"/>
  <c r="E325" i="2" s="1" a="1"/>
  <c r="E325" i="2" s="1"/>
  <c r="D326" i="2"/>
  <c r="E326" i="2" s="1" a="1"/>
  <c r="E326" i="2" s="1"/>
  <c r="D327" i="2"/>
  <c r="E327" i="2" s="1" a="1"/>
  <c r="E327" i="2" s="1"/>
  <c r="D328" i="2"/>
  <c r="E328" i="2" s="1" a="1"/>
  <c r="E328" i="2" s="1"/>
  <c r="D329" i="2"/>
  <c r="E329" i="2" s="1" a="1"/>
  <c r="E329" i="2" s="1"/>
  <c r="D330" i="2"/>
  <c r="E330" i="2" s="1" a="1"/>
  <c r="E330" i="2" s="1"/>
  <c r="D331" i="2"/>
  <c r="E331" i="2" s="1" a="1"/>
  <c r="E331" i="2" s="1"/>
  <c r="D332" i="2"/>
  <c r="E332" i="2" s="1" a="1"/>
  <c r="E332" i="2" s="1"/>
  <c r="D333" i="2"/>
  <c r="E333" i="2" s="1" a="1"/>
  <c r="E333" i="2" s="1"/>
  <c r="D334" i="2"/>
  <c r="E334" i="2" s="1" a="1"/>
  <c r="E334" i="2" s="1"/>
  <c r="D335" i="2"/>
  <c r="E335" i="2" s="1" a="1"/>
  <c r="E335" i="2" s="1"/>
  <c r="D336" i="2"/>
  <c r="E336" i="2" s="1" a="1"/>
  <c r="E336" i="2" s="1"/>
  <c r="D337" i="2"/>
  <c r="E337" i="2" s="1" a="1"/>
  <c r="E337" i="2" s="1"/>
  <c r="D338" i="2"/>
  <c r="E338" i="2" s="1" a="1"/>
  <c r="E338" i="2" s="1"/>
  <c r="D339" i="2"/>
  <c r="E339" i="2" s="1" a="1"/>
  <c r="E339" i="2" s="1"/>
  <c r="D340" i="2"/>
  <c r="E340" i="2" s="1" a="1"/>
  <c r="E340" i="2" s="1"/>
  <c r="D341" i="2"/>
  <c r="E341" i="2" s="1" a="1"/>
  <c r="E341" i="2" s="1"/>
  <c r="D342" i="2"/>
  <c r="E342" i="2" s="1" a="1"/>
  <c r="E342" i="2" s="1"/>
  <c r="D343" i="2"/>
  <c r="E343" i="2" s="1" a="1"/>
  <c r="E343" i="2" s="1"/>
  <c r="D344" i="2"/>
  <c r="E344" i="2" s="1" a="1"/>
  <c r="E344" i="2" s="1"/>
  <c r="D345" i="2"/>
  <c r="E345" i="2" s="1" a="1"/>
  <c r="E345" i="2" s="1"/>
  <c r="D346" i="2"/>
  <c r="E346" i="2" s="1" a="1"/>
  <c r="E346" i="2" s="1"/>
  <c r="D347" i="2"/>
  <c r="E347" i="2" s="1" a="1"/>
  <c r="E347" i="2" s="1"/>
  <c r="D348" i="2"/>
  <c r="E348" i="2" s="1" a="1"/>
  <c r="E348" i="2" s="1"/>
  <c r="D349" i="2"/>
  <c r="E349" i="2" s="1" a="1"/>
  <c r="E349" i="2" s="1"/>
  <c r="D350" i="2"/>
  <c r="E350" i="2" s="1" a="1"/>
  <c r="E350" i="2" s="1"/>
  <c r="D351" i="2"/>
  <c r="E351" i="2" s="1" a="1"/>
  <c r="E351" i="2" s="1"/>
  <c r="D352" i="2"/>
  <c r="E352" i="2" s="1" a="1"/>
  <c r="E352" i="2" s="1"/>
  <c r="D353" i="2"/>
  <c r="E353" i="2" s="1" a="1"/>
  <c r="E353" i="2" s="1"/>
  <c r="D354" i="2"/>
  <c r="E354" i="2" s="1" a="1"/>
  <c r="E354" i="2" s="1"/>
  <c r="D355" i="2"/>
  <c r="E355" i="2" s="1" a="1"/>
  <c r="E355" i="2" s="1"/>
  <c r="D356" i="2"/>
  <c r="E356" i="2" s="1" a="1"/>
  <c r="E356" i="2" s="1"/>
  <c r="D357" i="2"/>
  <c r="E357" i="2" s="1" a="1"/>
  <c r="E357" i="2" s="1"/>
  <c r="D358" i="2"/>
  <c r="E358" i="2" s="1" a="1"/>
  <c r="E358" i="2" s="1"/>
  <c r="D359" i="2"/>
  <c r="E359" i="2" s="1" a="1"/>
  <c r="E359" i="2" s="1"/>
  <c r="D360" i="2"/>
  <c r="E360" i="2" s="1" a="1"/>
  <c r="E360" i="2" s="1"/>
  <c r="D361" i="2"/>
  <c r="E361" i="2" s="1" a="1"/>
  <c r="E361" i="2" s="1"/>
  <c r="D362" i="2"/>
  <c r="E362" i="2" s="1" a="1"/>
  <c r="E362" i="2" s="1"/>
  <c r="D363" i="2"/>
  <c r="E363" i="2" s="1" a="1"/>
  <c r="E363" i="2" s="1"/>
  <c r="D364" i="2"/>
  <c r="E364" i="2" s="1" a="1"/>
  <c r="E364" i="2" s="1"/>
  <c r="D365" i="2"/>
  <c r="E365" i="2" s="1" a="1"/>
  <c r="E365" i="2" s="1"/>
  <c r="D366" i="2"/>
  <c r="E366" i="2" s="1" a="1"/>
  <c r="E366" i="2" s="1"/>
  <c r="D367" i="2"/>
  <c r="E367" i="2" s="1" a="1"/>
  <c r="E367" i="2" s="1"/>
  <c r="D368" i="2"/>
  <c r="E368" i="2" s="1" a="1"/>
  <c r="E368" i="2" s="1"/>
  <c r="D369" i="2"/>
  <c r="E369" i="2" s="1" a="1"/>
  <c r="E369" i="2" s="1"/>
  <c r="D370" i="2"/>
  <c r="E370" i="2" s="1" a="1"/>
  <c r="E370" i="2" s="1"/>
  <c r="D371" i="2"/>
  <c r="E371" i="2" s="1" a="1"/>
  <c r="E371" i="2" s="1"/>
  <c r="D372" i="2"/>
  <c r="E372" i="2" s="1" a="1"/>
  <c r="E372" i="2" s="1"/>
  <c r="D373" i="2"/>
  <c r="E373" i="2" s="1" a="1"/>
  <c r="E373" i="2" s="1"/>
  <c r="D374" i="2"/>
  <c r="E374" i="2" s="1" a="1"/>
  <c r="E374" i="2" s="1"/>
  <c r="D375" i="2"/>
  <c r="E375" i="2" s="1" a="1"/>
  <c r="E375" i="2" s="1"/>
  <c r="D376" i="2"/>
  <c r="E376" i="2" s="1" a="1"/>
  <c r="E376" i="2" s="1"/>
  <c r="D377" i="2"/>
  <c r="E377" i="2" s="1" a="1"/>
  <c r="E377" i="2" s="1"/>
  <c r="D378" i="2"/>
  <c r="E378" i="2" s="1" a="1"/>
  <c r="E378" i="2" s="1"/>
  <c r="D379" i="2"/>
  <c r="E379" i="2" s="1" a="1"/>
  <c r="E379" i="2" s="1"/>
  <c r="D380" i="2"/>
  <c r="E380" i="2" s="1" a="1"/>
  <c r="E380" i="2" s="1"/>
  <c r="D381" i="2"/>
  <c r="E381" i="2" s="1" a="1"/>
  <c r="E381" i="2" s="1"/>
  <c r="D382" i="2"/>
  <c r="E382" i="2" s="1" a="1"/>
  <c r="E382" i="2" s="1"/>
  <c r="D383" i="2"/>
  <c r="E383" i="2" s="1" a="1"/>
  <c r="E383" i="2" s="1"/>
  <c r="D384" i="2"/>
  <c r="E384" i="2" s="1" a="1"/>
  <c r="E384" i="2" s="1"/>
  <c r="D385" i="2"/>
  <c r="E385" i="2" s="1" a="1"/>
  <c r="E385" i="2" s="1"/>
  <c r="D386" i="2"/>
  <c r="E386" i="2" s="1" a="1"/>
  <c r="E386" i="2" s="1"/>
  <c r="D387" i="2"/>
  <c r="E387" i="2" s="1" a="1"/>
  <c r="E387" i="2" s="1"/>
  <c r="D388" i="2"/>
  <c r="E388" i="2" s="1" a="1"/>
  <c r="E388" i="2" s="1"/>
  <c r="D389" i="2"/>
  <c r="E389" i="2" s="1" a="1"/>
  <c r="E389" i="2" s="1"/>
  <c r="D390" i="2"/>
  <c r="E390" i="2" s="1" a="1"/>
  <c r="E390" i="2" s="1"/>
  <c r="D391" i="2"/>
  <c r="E391" i="2" s="1" a="1"/>
  <c r="E391" i="2" s="1"/>
  <c r="D392" i="2"/>
  <c r="E392" i="2" s="1" a="1"/>
  <c r="E392" i="2" s="1"/>
  <c r="D393" i="2"/>
  <c r="E393" i="2" s="1" a="1"/>
  <c r="E393" i="2" s="1"/>
  <c r="D394" i="2"/>
  <c r="E394" i="2" s="1" a="1"/>
  <c r="E394" i="2" s="1"/>
  <c r="D395" i="2"/>
  <c r="E395" i="2" s="1" a="1"/>
  <c r="E395" i="2" s="1"/>
  <c r="D396" i="2"/>
  <c r="E396" i="2" s="1" a="1"/>
  <c r="E396" i="2" s="1"/>
  <c r="D397" i="2"/>
  <c r="E397" i="2" s="1" a="1"/>
  <c r="E397" i="2" s="1"/>
  <c r="D398" i="2"/>
  <c r="E398" i="2" s="1" a="1"/>
  <c r="E398" i="2" s="1"/>
  <c r="D399" i="2"/>
  <c r="E399" i="2" s="1" a="1"/>
  <c r="E399" i="2" s="1"/>
  <c r="D400" i="2"/>
  <c r="E400" i="2" s="1" a="1"/>
  <c r="E400" i="2" s="1"/>
  <c r="D401" i="2"/>
  <c r="E401" i="2" s="1" a="1"/>
  <c r="E401" i="2" s="1"/>
  <c r="D402" i="2"/>
  <c r="E402" i="2" s="1" a="1"/>
  <c r="E402" i="2" s="1"/>
  <c r="D403" i="2"/>
  <c r="E403" i="2" s="1" a="1"/>
  <c r="E403" i="2" s="1"/>
  <c r="D404" i="2"/>
  <c r="E404" i="2" s="1" a="1"/>
  <c r="E404" i="2" s="1"/>
  <c r="D405" i="2"/>
  <c r="E405" i="2" s="1" a="1"/>
  <c r="E405" i="2" s="1"/>
  <c r="D406" i="2"/>
  <c r="E406" i="2" s="1" a="1"/>
  <c r="E406" i="2" s="1"/>
  <c r="D407" i="2"/>
  <c r="E407" i="2" s="1" a="1"/>
  <c r="E407" i="2" s="1"/>
  <c r="D408" i="2"/>
  <c r="E408" i="2" s="1" a="1"/>
  <c r="E408" i="2" s="1"/>
  <c r="D409" i="2"/>
  <c r="E409" i="2" s="1" a="1"/>
  <c r="E409" i="2" s="1"/>
  <c r="D410" i="2"/>
  <c r="E410" i="2" s="1" a="1"/>
  <c r="E410" i="2" s="1"/>
  <c r="D411" i="2"/>
  <c r="E411" i="2" s="1" a="1"/>
  <c r="E411" i="2" s="1"/>
  <c r="D412" i="2"/>
  <c r="E412" i="2" s="1" a="1"/>
  <c r="E412" i="2" s="1"/>
  <c r="D413" i="2"/>
  <c r="E413" i="2" s="1" a="1"/>
  <c r="E413" i="2" s="1"/>
  <c r="D414" i="2"/>
  <c r="E414" i="2" s="1" a="1"/>
  <c r="E414" i="2" s="1"/>
  <c r="D415" i="2"/>
  <c r="E415" i="2" s="1" a="1"/>
  <c r="E415" i="2" s="1"/>
  <c r="D416" i="2"/>
  <c r="E416" i="2" s="1" a="1"/>
  <c r="E416" i="2" s="1"/>
  <c r="D417" i="2"/>
  <c r="E417" i="2" s="1" a="1"/>
  <c r="E417" i="2" s="1"/>
  <c r="D418" i="2"/>
  <c r="E418" i="2" s="1" a="1"/>
  <c r="E418" i="2" s="1"/>
  <c r="D419" i="2"/>
  <c r="E419" i="2" s="1" a="1"/>
  <c r="E419" i="2" s="1"/>
  <c r="D420" i="2"/>
  <c r="E420" i="2" s="1" a="1"/>
  <c r="E420" i="2" s="1"/>
  <c r="D421" i="2"/>
  <c r="E421" i="2" s="1" a="1"/>
  <c r="E421" i="2" s="1"/>
  <c r="D422" i="2"/>
  <c r="E422" i="2" s="1" a="1"/>
  <c r="E422" i="2" s="1"/>
  <c r="D423" i="2"/>
  <c r="E423" i="2" s="1" a="1"/>
  <c r="E423" i="2" s="1"/>
  <c r="D424" i="2"/>
  <c r="E424" i="2" s="1" a="1"/>
  <c r="E424" i="2" s="1"/>
  <c r="D425" i="2"/>
  <c r="E425" i="2" s="1" a="1"/>
  <c r="E425" i="2" s="1"/>
  <c r="D426" i="2"/>
  <c r="E426" i="2" s="1" a="1"/>
  <c r="E426" i="2" s="1"/>
  <c r="D427" i="2"/>
  <c r="E427" i="2" s="1" a="1"/>
  <c r="E427" i="2" s="1"/>
  <c r="D428" i="2"/>
  <c r="E428" i="2" s="1" a="1"/>
  <c r="E428" i="2" s="1"/>
  <c r="D429" i="2"/>
  <c r="E429" i="2" s="1" a="1"/>
  <c r="E429" i="2" s="1"/>
  <c r="D430" i="2"/>
  <c r="E430" i="2" s="1" a="1"/>
  <c r="E430" i="2" s="1"/>
  <c r="D431" i="2"/>
  <c r="E431" i="2" s="1" a="1"/>
  <c r="E431" i="2" s="1"/>
  <c r="D432" i="2"/>
  <c r="E432" i="2" s="1" a="1"/>
  <c r="E432" i="2" s="1"/>
  <c r="D433" i="2"/>
  <c r="E433" i="2" s="1" a="1"/>
  <c r="E433" i="2" s="1"/>
  <c r="D434" i="2"/>
  <c r="E434" i="2" s="1" a="1"/>
  <c r="E434" i="2" s="1"/>
  <c r="D435" i="2"/>
  <c r="E435" i="2" s="1" a="1"/>
  <c r="E435" i="2" s="1"/>
  <c r="D436" i="2"/>
  <c r="E436" i="2" s="1" a="1"/>
  <c r="E436" i="2" s="1"/>
  <c r="D437" i="2"/>
  <c r="E437" i="2" s="1" a="1"/>
  <c r="E437" i="2" s="1"/>
  <c r="D438" i="2"/>
  <c r="E438" i="2" s="1" a="1"/>
  <c r="E438" i="2" s="1"/>
  <c r="D439" i="2"/>
  <c r="E439" i="2" s="1" a="1"/>
  <c r="E439" i="2" s="1"/>
  <c r="D440" i="2"/>
  <c r="E440" i="2" s="1" a="1"/>
  <c r="E440" i="2" s="1"/>
  <c r="D441" i="2"/>
  <c r="E441" i="2" s="1" a="1"/>
  <c r="E441" i="2" s="1"/>
  <c r="D442" i="2"/>
  <c r="E442" i="2" s="1" a="1"/>
  <c r="E442" i="2" s="1"/>
  <c r="D443" i="2"/>
  <c r="E443" i="2" s="1" a="1"/>
  <c r="E443" i="2" s="1"/>
  <c r="D444" i="2"/>
  <c r="E444" i="2" s="1" a="1"/>
  <c r="E444" i="2" s="1"/>
  <c r="D445" i="2"/>
  <c r="E445" i="2" s="1" a="1"/>
  <c r="E445" i="2" s="1"/>
  <c r="D446" i="2"/>
  <c r="E446" i="2" s="1" a="1"/>
  <c r="E446" i="2" s="1"/>
  <c r="D447" i="2"/>
  <c r="E447" i="2" s="1" a="1"/>
  <c r="E447" i="2" s="1"/>
  <c r="D448" i="2"/>
  <c r="E448" i="2" s="1" a="1"/>
  <c r="E448" i="2" s="1"/>
  <c r="D449" i="2"/>
  <c r="E449" i="2" s="1" a="1"/>
  <c r="E449" i="2" s="1"/>
  <c r="D450" i="2"/>
  <c r="E450" i="2" s="1" a="1"/>
  <c r="E450" i="2" s="1"/>
  <c r="D451" i="2"/>
  <c r="E451" i="2" s="1" a="1"/>
  <c r="E451" i="2" s="1"/>
  <c r="D452" i="2"/>
  <c r="E452" i="2" s="1" a="1"/>
  <c r="E452" i="2" s="1"/>
  <c r="D453" i="2"/>
  <c r="E453" i="2" s="1" a="1"/>
  <c r="E453" i="2" s="1"/>
  <c r="D454" i="2"/>
  <c r="E454" i="2" s="1" a="1"/>
  <c r="E454" i="2" s="1"/>
  <c r="D455" i="2"/>
  <c r="E455" i="2" s="1" a="1"/>
  <c r="E455" i="2" s="1"/>
  <c r="D456" i="2"/>
  <c r="E456" i="2" s="1" a="1"/>
  <c r="E456" i="2" s="1"/>
  <c r="D457" i="2"/>
  <c r="E457" i="2" s="1" a="1"/>
  <c r="E457" i="2" s="1"/>
  <c r="D458" i="2"/>
  <c r="E458" i="2" s="1" a="1"/>
  <c r="E458" i="2" s="1"/>
  <c r="D459" i="2"/>
  <c r="E459" i="2" s="1" a="1"/>
  <c r="E459" i="2" s="1"/>
  <c r="D460" i="2"/>
  <c r="E460" i="2" s="1" a="1"/>
  <c r="E460" i="2" s="1"/>
  <c r="D461" i="2"/>
  <c r="E461" i="2" s="1" a="1"/>
  <c r="E461" i="2" s="1"/>
  <c r="D462" i="2"/>
  <c r="E462" i="2" s="1" a="1"/>
  <c r="E462" i="2" s="1"/>
  <c r="D463" i="2"/>
  <c r="E463" i="2" s="1" a="1"/>
  <c r="E463" i="2" s="1"/>
  <c r="D464" i="2"/>
  <c r="E464" i="2" s="1" a="1"/>
  <c r="E464" i="2" s="1"/>
  <c r="D465" i="2"/>
  <c r="E465" i="2" s="1" a="1"/>
  <c r="E465" i="2" s="1"/>
  <c r="D466" i="2"/>
  <c r="E466" i="2" s="1" a="1"/>
  <c r="E466" i="2" s="1"/>
  <c r="D467" i="2"/>
  <c r="E467" i="2" s="1" a="1"/>
  <c r="E467" i="2" s="1"/>
  <c r="D468" i="2"/>
  <c r="E468" i="2" s="1" a="1"/>
  <c r="E468" i="2" s="1"/>
  <c r="D469" i="2"/>
  <c r="E469" i="2" s="1" a="1"/>
  <c r="E469" i="2" s="1"/>
  <c r="D470" i="2"/>
  <c r="E470" i="2" s="1" a="1"/>
  <c r="E470" i="2" s="1"/>
  <c r="D471" i="2"/>
  <c r="E471" i="2" s="1" a="1"/>
  <c r="E471" i="2" s="1"/>
  <c r="D472" i="2"/>
  <c r="E472" i="2" s="1" a="1"/>
  <c r="E472" i="2" s="1"/>
  <c r="D473" i="2"/>
  <c r="E473" i="2" s="1" a="1"/>
  <c r="E473" i="2" s="1"/>
  <c r="D474" i="2"/>
  <c r="E474" i="2" s="1" a="1"/>
  <c r="E474" i="2" s="1"/>
  <c r="D475" i="2"/>
  <c r="E475" i="2" s="1" a="1"/>
  <c r="E475" i="2" s="1"/>
  <c r="D476" i="2"/>
  <c r="E476" i="2" s="1" a="1"/>
  <c r="E476" i="2" s="1"/>
  <c r="D477" i="2"/>
  <c r="E477" i="2" s="1" a="1"/>
  <c r="E477" i="2" s="1"/>
  <c r="D478" i="2"/>
  <c r="E478" i="2" s="1" a="1"/>
  <c r="E478" i="2" s="1"/>
  <c r="D479" i="2"/>
  <c r="E479" i="2" s="1" a="1"/>
  <c r="E479" i="2" s="1"/>
  <c r="D480" i="2"/>
  <c r="E480" i="2" s="1" a="1"/>
  <c r="E480" i="2" s="1"/>
  <c r="D481" i="2"/>
  <c r="E481" i="2" s="1" a="1"/>
  <c r="E481" i="2" s="1"/>
  <c r="D482" i="2"/>
  <c r="E482" i="2" s="1" a="1"/>
  <c r="E482" i="2" s="1"/>
  <c r="D483" i="2"/>
  <c r="E483" i="2" s="1" a="1"/>
  <c r="E483" i="2" s="1"/>
  <c r="D484" i="2"/>
  <c r="E484" i="2" s="1" a="1"/>
  <c r="E484" i="2" s="1"/>
  <c r="D485" i="2"/>
  <c r="E485" i="2" s="1" a="1"/>
  <c r="E485" i="2" s="1"/>
  <c r="D486" i="2"/>
  <c r="E486" i="2" s="1" a="1"/>
  <c r="E486" i="2" s="1"/>
  <c r="D487" i="2"/>
  <c r="E487" i="2" s="1" a="1"/>
  <c r="E487" i="2" s="1"/>
  <c r="D488" i="2"/>
  <c r="E488" i="2" s="1" a="1"/>
  <c r="E488" i="2" s="1"/>
  <c r="D489" i="2"/>
  <c r="E489" i="2" s="1" a="1"/>
  <c r="E489" i="2" s="1"/>
  <c r="D490" i="2"/>
  <c r="E490" i="2" s="1" a="1"/>
  <c r="E490" i="2" s="1"/>
  <c r="D491" i="2"/>
  <c r="E491" i="2" s="1" a="1"/>
  <c r="E491" i="2" s="1"/>
  <c r="D492" i="2"/>
  <c r="E492" i="2" s="1" a="1"/>
  <c r="E492" i="2" s="1"/>
  <c r="D493" i="2"/>
  <c r="E493" i="2" s="1" a="1"/>
  <c r="E493" i="2" s="1"/>
  <c r="D494" i="2"/>
  <c r="E494" i="2" s="1" a="1"/>
  <c r="E494" i="2" s="1"/>
  <c r="D495" i="2"/>
  <c r="E495" i="2" s="1" a="1"/>
  <c r="E495" i="2" s="1"/>
  <c r="D496" i="2"/>
  <c r="E496" i="2" s="1" a="1"/>
  <c r="E496" i="2" s="1"/>
  <c r="D497" i="2"/>
  <c r="E497" i="2" s="1" a="1"/>
  <c r="E497" i="2" s="1"/>
  <c r="D498" i="2"/>
  <c r="E498" i="2" s="1" a="1"/>
  <c r="E498" i="2" s="1"/>
  <c r="D499" i="2"/>
  <c r="E499" i="2" s="1" a="1"/>
  <c r="E499" i="2" s="1"/>
  <c r="D500" i="2"/>
  <c r="E500" i="2" s="1" a="1"/>
  <c r="E500" i="2" s="1"/>
  <c r="D501" i="2"/>
  <c r="E501" i="2" s="1" a="1"/>
  <c r="E501" i="2" s="1"/>
  <c r="D502" i="2"/>
  <c r="E502" i="2" s="1" a="1"/>
  <c r="E502" i="2" s="1"/>
  <c r="D503" i="2"/>
  <c r="E503" i="2" s="1" a="1"/>
  <c r="E503" i="2" s="1"/>
  <c r="D504" i="2"/>
  <c r="E504" i="2" s="1" a="1"/>
  <c r="E504" i="2" s="1"/>
  <c r="D505" i="2"/>
  <c r="E505" i="2" s="1" a="1"/>
  <c r="E505" i="2" s="1"/>
  <c r="D506" i="2"/>
  <c r="E506" i="2" s="1" a="1"/>
  <c r="E506" i="2" s="1"/>
  <c r="D507" i="2"/>
  <c r="E507" i="2" s="1" a="1"/>
  <c r="E507" i="2" s="1"/>
  <c r="D508" i="2"/>
  <c r="E508" i="2" s="1" a="1"/>
  <c r="E508" i="2" s="1"/>
  <c r="D509" i="2"/>
  <c r="E509" i="2" s="1" a="1"/>
  <c r="E509" i="2" s="1"/>
  <c r="D510" i="2"/>
  <c r="E510" i="2" s="1" a="1"/>
  <c r="E510" i="2" s="1"/>
  <c r="D511" i="2"/>
  <c r="E511" i="2" s="1" a="1"/>
  <c r="E511" i="2" s="1"/>
  <c r="D512" i="2"/>
  <c r="E512" i="2" s="1" a="1"/>
  <c r="E512" i="2" s="1"/>
  <c r="D513" i="2"/>
  <c r="E513" i="2" s="1" a="1"/>
  <c r="E513" i="2" s="1"/>
  <c r="D514" i="2"/>
  <c r="E514" i="2" s="1" a="1"/>
  <c r="E514" i="2" s="1"/>
  <c r="D515" i="2"/>
  <c r="E515" i="2" s="1" a="1"/>
  <c r="E515" i="2" s="1"/>
  <c r="D516" i="2"/>
  <c r="E516" i="2" s="1" a="1"/>
  <c r="E516" i="2" s="1"/>
  <c r="D517" i="2"/>
  <c r="E517" i="2" s="1" a="1"/>
  <c r="E517" i="2" s="1"/>
  <c r="D518" i="2"/>
  <c r="E518" i="2" s="1" a="1"/>
  <c r="E518" i="2" s="1"/>
  <c r="D519" i="2"/>
  <c r="E519" i="2" s="1" a="1"/>
  <c r="E519" i="2" s="1"/>
  <c r="D520" i="2"/>
  <c r="E520" i="2" s="1" a="1"/>
  <c r="E520" i="2" s="1"/>
  <c r="D521" i="2"/>
  <c r="E521" i="2" s="1" a="1"/>
  <c r="E521" i="2" s="1"/>
  <c r="D522" i="2"/>
  <c r="E522" i="2" s="1" a="1"/>
  <c r="E522" i="2" s="1"/>
  <c r="D523" i="2"/>
  <c r="E523" i="2" s="1" a="1"/>
  <c r="E523" i="2" s="1"/>
  <c r="D524" i="2"/>
  <c r="E524" i="2" s="1" a="1"/>
  <c r="E524" i="2" s="1"/>
  <c r="D525" i="2"/>
  <c r="E525" i="2" s="1" a="1"/>
  <c r="E525" i="2" s="1"/>
  <c r="D526" i="2"/>
  <c r="E526" i="2" s="1" a="1"/>
  <c r="E526" i="2" s="1"/>
  <c r="D527" i="2"/>
  <c r="E527" i="2" s="1" a="1"/>
  <c r="E527" i="2" s="1"/>
  <c r="D528" i="2"/>
  <c r="E528" i="2" s="1" a="1"/>
  <c r="E528" i="2" s="1"/>
  <c r="D529" i="2"/>
  <c r="E529" i="2" s="1" a="1"/>
  <c r="E529" i="2" s="1"/>
  <c r="D530" i="2"/>
  <c r="E530" i="2" s="1" a="1"/>
  <c r="E530" i="2" s="1"/>
  <c r="D531" i="2"/>
  <c r="E531" i="2" s="1" a="1"/>
  <c r="E531" i="2" s="1"/>
  <c r="D532" i="2"/>
  <c r="E532" i="2" s="1" a="1"/>
  <c r="E532" i="2" s="1"/>
  <c r="D533" i="2"/>
  <c r="E533" i="2" s="1" a="1"/>
  <c r="E533" i="2" s="1"/>
  <c r="D534" i="2"/>
  <c r="E534" i="2" s="1" a="1"/>
  <c r="E534" i="2" s="1"/>
  <c r="D535" i="2"/>
  <c r="E535" i="2" s="1" a="1"/>
  <c r="E535" i="2" s="1"/>
  <c r="D536" i="2"/>
  <c r="E536" i="2" s="1" a="1"/>
  <c r="E536" i="2" s="1"/>
  <c r="D537" i="2"/>
  <c r="E537" i="2" s="1" a="1"/>
  <c r="E537" i="2" s="1"/>
  <c r="D538" i="2"/>
  <c r="E538" i="2" s="1" a="1"/>
  <c r="E538" i="2" s="1"/>
  <c r="D539" i="2"/>
  <c r="E539" i="2" s="1" a="1"/>
  <c r="E539" i="2" s="1"/>
  <c r="D540" i="2"/>
  <c r="E540" i="2" s="1" a="1"/>
  <c r="E540" i="2" s="1"/>
  <c r="D541" i="2"/>
  <c r="E541" i="2" s="1" a="1"/>
  <c r="E541" i="2" s="1"/>
  <c r="D542" i="2"/>
  <c r="E542" i="2" s="1" a="1"/>
  <c r="E542" i="2" s="1"/>
  <c r="D543" i="2"/>
  <c r="E543" i="2" s="1" a="1"/>
  <c r="E543" i="2" s="1"/>
  <c r="D544" i="2"/>
  <c r="E544" i="2" s="1" a="1"/>
  <c r="E544" i="2" s="1"/>
  <c r="D545" i="2"/>
  <c r="E545" i="2" s="1" a="1"/>
  <c r="E545" i="2" s="1"/>
  <c r="D546" i="2"/>
  <c r="E546" i="2" s="1" a="1"/>
  <c r="E546" i="2" s="1"/>
  <c r="D547" i="2"/>
  <c r="E547" i="2" s="1" a="1"/>
  <c r="E547" i="2" s="1"/>
  <c r="D548" i="2"/>
  <c r="E548" i="2" s="1" a="1"/>
  <c r="E548" i="2" s="1"/>
  <c r="D549" i="2"/>
  <c r="E549" i="2" s="1" a="1"/>
  <c r="E549" i="2" s="1"/>
  <c r="D550" i="2"/>
  <c r="E550" i="2" s="1" a="1"/>
  <c r="E550" i="2" s="1"/>
  <c r="D551" i="2"/>
  <c r="E551" i="2" s="1" a="1"/>
  <c r="E551" i="2" s="1"/>
  <c r="D552" i="2"/>
  <c r="E552" i="2" s="1" a="1"/>
  <c r="E552" i="2" s="1"/>
  <c r="D553" i="2"/>
  <c r="E553" i="2" s="1" a="1"/>
  <c r="E553" i="2" s="1"/>
  <c r="D554" i="2"/>
  <c r="E554" i="2" s="1" a="1"/>
  <c r="E554" i="2" s="1"/>
  <c r="D555" i="2"/>
  <c r="E555" i="2" s="1" a="1"/>
  <c r="E555" i="2" s="1"/>
  <c r="D556" i="2"/>
  <c r="E556" i="2" s="1" a="1"/>
  <c r="E556" i="2" s="1"/>
  <c r="D557" i="2"/>
  <c r="E557" i="2" s="1" a="1"/>
  <c r="E557" i="2" s="1"/>
  <c r="D558" i="2"/>
  <c r="E558" i="2" s="1" a="1"/>
  <c r="E558" i="2" s="1"/>
  <c r="D559" i="2"/>
  <c r="E559" i="2" s="1" a="1"/>
  <c r="E559" i="2" s="1"/>
  <c r="D560" i="2"/>
  <c r="E560" i="2" s="1" a="1"/>
  <c r="E560" i="2" s="1"/>
  <c r="D561" i="2"/>
  <c r="E561" i="2" s="1" a="1"/>
  <c r="E561" i="2" s="1"/>
  <c r="D562" i="2"/>
  <c r="E562" i="2" s="1" a="1"/>
  <c r="E562" i="2" s="1"/>
  <c r="D563" i="2"/>
  <c r="E563" i="2" s="1" a="1"/>
  <c r="E563" i="2" s="1"/>
  <c r="D564" i="2"/>
  <c r="E564" i="2" s="1" a="1"/>
  <c r="E564" i="2" s="1"/>
  <c r="D565" i="2"/>
  <c r="E565" i="2" s="1" a="1"/>
  <c r="E565" i="2" s="1"/>
  <c r="D566" i="2"/>
  <c r="E566" i="2" s="1" a="1"/>
  <c r="E566" i="2" s="1"/>
  <c r="D567" i="2"/>
  <c r="E567" i="2" s="1" a="1"/>
  <c r="E567" i="2" s="1"/>
  <c r="D568" i="2"/>
  <c r="E568" i="2" s="1" a="1"/>
  <c r="E568" i="2" s="1"/>
  <c r="D569" i="2"/>
  <c r="E569" i="2" s="1" a="1"/>
  <c r="E569" i="2" s="1"/>
  <c r="D570" i="2"/>
  <c r="E570" i="2" s="1" a="1"/>
  <c r="E570" i="2" s="1"/>
  <c r="D571" i="2"/>
  <c r="E571" i="2" s="1" a="1"/>
  <c r="E571" i="2" s="1"/>
  <c r="D572" i="2"/>
  <c r="E572" i="2" s="1" a="1"/>
  <c r="E572" i="2" s="1"/>
  <c r="D573" i="2"/>
  <c r="E573" i="2" s="1" a="1"/>
  <c r="E573" i="2" s="1"/>
  <c r="D574" i="2"/>
  <c r="E574" i="2" s="1" a="1"/>
  <c r="E574" i="2" s="1"/>
  <c r="D575" i="2"/>
  <c r="E575" i="2" s="1" a="1"/>
  <c r="E575" i="2" s="1"/>
  <c r="D576" i="2"/>
  <c r="E576" i="2" s="1" a="1"/>
  <c r="E576" i="2" s="1"/>
  <c r="D577" i="2"/>
  <c r="E577" i="2" s="1" a="1"/>
  <c r="E577" i="2" s="1"/>
  <c r="D578" i="2"/>
  <c r="E578" i="2" s="1" a="1"/>
  <c r="E578" i="2" s="1"/>
  <c r="D579" i="2"/>
  <c r="E579" i="2" s="1" a="1"/>
  <c r="E579" i="2" s="1"/>
  <c r="D580" i="2"/>
  <c r="E580" i="2" s="1" a="1"/>
  <c r="E580" i="2" s="1"/>
  <c r="D581" i="2"/>
  <c r="E581" i="2" s="1" a="1"/>
  <c r="E581" i="2" s="1"/>
  <c r="D582" i="2"/>
  <c r="E582" i="2" s="1" a="1"/>
  <c r="E582" i="2" s="1"/>
  <c r="D583" i="2"/>
  <c r="E583" i="2" s="1" a="1"/>
  <c r="E583" i="2" s="1"/>
  <c r="D584" i="2"/>
  <c r="E584" i="2" s="1" a="1"/>
  <c r="E584" i="2" s="1"/>
  <c r="D585" i="2"/>
  <c r="E585" i="2" s="1" a="1"/>
  <c r="E585" i="2" s="1"/>
  <c r="D586" i="2"/>
  <c r="E586" i="2" s="1" a="1"/>
  <c r="E586" i="2" s="1"/>
  <c r="D587" i="2"/>
  <c r="E587" i="2" s="1" a="1"/>
  <c r="E587" i="2" s="1"/>
  <c r="D588" i="2"/>
  <c r="E588" i="2" s="1" a="1"/>
  <c r="E588" i="2" s="1"/>
  <c r="D589" i="2"/>
  <c r="E589" i="2" s="1" a="1"/>
  <c r="E589" i="2" s="1"/>
  <c r="D590" i="2"/>
  <c r="E590" i="2" s="1" a="1"/>
  <c r="E590" i="2" s="1"/>
  <c r="D591" i="2"/>
  <c r="E591" i="2" s="1" a="1"/>
  <c r="E591" i="2" s="1"/>
  <c r="D592" i="2"/>
  <c r="E592" i="2" s="1" a="1"/>
  <c r="E592" i="2" s="1"/>
  <c r="D593" i="2"/>
  <c r="E593" i="2" s="1" a="1"/>
  <c r="E593" i="2" s="1"/>
  <c r="D594" i="2"/>
  <c r="E594" i="2" s="1" a="1"/>
  <c r="E594" i="2" s="1"/>
  <c r="D595" i="2"/>
  <c r="E595" i="2" s="1" a="1"/>
  <c r="E595" i="2" s="1"/>
  <c r="D596" i="2"/>
  <c r="E596" i="2" s="1" a="1"/>
  <c r="E596" i="2" s="1"/>
  <c r="D597" i="2"/>
  <c r="E597" i="2" s="1" a="1"/>
  <c r="E597" i="2" s="1"/>
  <c r="D598" i="2"/>
  <c r="E598" i="2" s="1" a="1"/>
  <c r="E598" i="2" s="1"/>
  <c r="D599" i="2"/>
  <c r="E599" i="2" s="1" a="1"/>
  <c r="E599" i="2" s="1"/>
  <c r="D600" i="2"/>
  <c r="E600" i="2" s="1" a="1"/>
  <c r="E600" i="2" s="1"/>
  <c r="D601" i="2"/>
  <c r="E601" i="2" s="1" a="1"/>
  <c r="E601" i="2" s="1"/>
  <c r="D602" i="2"/>
  <c r="E602" i="2" s="1" a="1"/>
  <c r="E602" i="2" s="1"/>
  <c r="D603" i="2"/>
  <c r="E603" i="2" s="1" a="1"/>
  <c r="E603" i="2" s="1"/>
  <c r="D604" i="2"/>
  <c r="E604" i="2" s="1" a="1"/>
  <c r="E604" i="2" s="1"/>
  <c r="D605" i="2"/>
  <c r="E605" i="2" s="1" a="1"/>
  <c r="E605" i="2" s="1"/>
  <c r="D606" i="2"/>
  <c r="E606" i="2" s="1" a="1"/>
  <c r="E606" i="2" s="1"/>
  <c r="D607" i="2"/>
  <c r="E607" i="2" s="1" a="1"/>
  <c r="E607" i="2" s="1"/>
  <c r="D608" i="2"/>
  <c r="E608" i="2" s="1" a="1"/>
  <c r="E608" i="2" s="1"/>
  <c r="D609" i="2"/>
  <c r="E609" i="2" s="1" a="1"/>
  <c r="E609" i="2" s="1"/>
  <c r="D610" i="2"/>
  <c r="E610" i="2" s="1" a="1"/>
  <c r="E610" i="2" s="1"/>
  <c r="D611" i="2"/>
  <c r="E611" i="2" s="1" a="1"/>
  <c r="E611" i="2" s="1"/>
  <c r="D612" i="2"/>
  <c r="E612" i="2" s="1" a="1"/>
  <c r="E612" i="2" s="1"/>
  <c r="D613" i="2"/>
  <c r="E613" i="2" s="1" a="1"/>
  <c r="E613" i="2" s="1"/>
  <c r="D614" i="2"/>
  <c r="E614" i="2" s="1" a="1"/>
  <c r="E614" i="2" s="1"/>
  <c r="D615" i="2"/>
  <c r="E615" i="2" s="1" a="1"/>
  <c r="E615" i="2" s="1"/>
  <c r="D616" i="2"/>
  <c r="E616" i="2" s="1" a="1"/>
  <c r="E616" i="2" s="1"/>
  <c r="D617" i="2"/>
  <c r="E617" i="2" s="1" a="1"/>
  <c r="E617" i="2" s="1"/>
  <c r="D618" i="2"/>
  <c r="E618" i="2" s="1" a="1"/>
  <c r="E618" i="2" s="1"/>
  <c r="D619" i="2"/>
  <c r="E619" i="2" s="1" a="1"/>
  <c r="E619" i="2" s="1"/>
  <c r="D620" i="2"/>
  <c r="E620" i="2" s="1" a="1"/>
  <c r="E620" i="2" s="1"/>
  <c r="D621" i="2"/>
  <c r="E621" i="2" s="1" a="1"/>
  <c r="E621" i="2" s="1"/>
  <c r="D622" i="2"/>
  <c r="E622" i="2" s="1" a="1"/>
  <c r="E622" i="2" s="1"/>
  <c r="D623" i="2"/>
  <c r="E623" i="2" s="1" a="1"/>
  <c r="E623" i="2" s="1"/>
  <c r="D624" i="2"/>
  <c r="E624" i="2" s="1" a="1"/>
  <c r="E624" i="2" s="1"/>
  <c r="D625" i="2"/>
  <c r="E625" i="2" s="1" a="1"/>
  <c r="E625" i="2" s="1"/>
  <c r="D626" i="2"/>
  <c r="E626" i="2" s="1" a="1"/>
  <c r="E626" i="2" s="1"/>
  <c r="D627" i="2"/>
  <c r="E627" i="2" s="1" a="1"/>
  <c r="E627" i="2" s="1"/>
  <c r="D628" i="2"/>
  <c r="E628" i="2" s="1" a="1"/>
  <c r="E628" i="2" s="1"/>
  <c r="D629" i="2"/>
  <c r="E629" i="2" s="1" a="1"/>
  <c r="E629" i="2" s="1"/>
  <c r="D630" i="2"/>
  <c r="E630" i="2" s="1" a="1"/>
  <c r="E630" i="2" s="1"/>
  <c r="D631" i="2"/>
  <c r="E631" i="2" s="1" a="1"/>
  <c r="E631" i="2" s="1"/>
  <c r="D632" i="2"/>
  <c r="E632" i="2" s="1" a="1"/>
  <c r="E632" i="2" s="1"/>
  <c r="D633" i="2"/>
  <c r="E633" i="2" s="1" a="1"/>
  <c r="E633" i="2" s="1"/>
  <c r="D634" i="2"/>
  <c r="E634" i="2" s="1" a="1"/>
  <c r="E634" i="2" s="1"/>
  <c r="D635" i="2"/>
  <c r="E635" i="2" s="1" a="1"/>
  <c r="E635" i="2" s="1"/>
  <c r="D636" i="2"/>
  <c r="E636" i="2" s="1" a="1"/>
  <c r="E636" i="2" s="1"/>
  <c r="D637" i="2"/>
  <c r="E637" i="2" s="1" a="1"/>
  <c r="E637" i="2" s="1"/>
  <c r="D638" i="2"/>
  <c r="E638" i="2" s="1" a="1"/>
  <c r="E638" i="2" s="1"/>
  <c r="D639" i="2"/>
  <c r="E639" i="2" s="1" a="1"/>
  <c r="E639" i="2" s="1"/>
  <c r="D640" i="2"/>
  <c r="E640" i="2" s="1" a="1"/>
  <c r="E640" i="2" s="1"/>
  <c r="D641" i="2"/>
  <c r="E641" i="2" s="1" a="1"/>
  <c r="E641" i="2" s="1"/>
  <c r="D642" i="2"/>
  <c r="E642" i="2" s="1" a="1"/>
  <c r="E642" i="2" s="1"/>
  <c r="D643" i="2"/>
  <c r="E643" i="2" s="1" a="1"/>
  <c r="E643" i="2" s="1"/>
  <c r="D644" i="2"/>
  <c r="E644" i="2" s="1" a="1"/>
  <c r="E644" i="2" s="1"/>
  <c r="D645" i="2"/>
  <c r="E645" i="2" s="1" a="1"/>
  <c r="E645" i="2" s="1"/>
  <c r="D646" i="2"/>
  <c r="E646" i="2" s="1" a="1"/>
  <c r="E646" i="2" s="1"/>
  <c r="D647" i="2"/>
  <c r="E647" i="2" s="1" a="1"/>
  <c r="E647" i="2" s="1"/>
  <c r="D648" i="2"/>
  <c r="E648" i="2" s="1" a="1"/>
  <c r="E648" i="2" s="1"/>
  <c r="D649" i="2"/>
  <c r="E649" i="2" s="1" a="1"/>
  <c r="E649" i="2" s="1"/>
  <c r="D650" i="2"/>
  <c r="E650" i="2" s="1" a="1"/>
  <c r="E650" i="2" s="1"/>
  <c r="D651" i="2"/>
  <c r="E651" i="2" s="1" a="1"/>
  <c r="E651" i="2" s="1"/>
  <c r="D652" i="2"/>
  <c r="E652" i="2" s="1" a="1"/>
  <c r="E652" i="2" s="1"/>
  <c r="D653" i="2"/>
  <c r="E653" i="2" s="1" a="1"/>
  <c r="E653" i="2" s="1"/>
  <c r="D654" i="2"/>
  <c r="E654" i="2" s="1" a="1"/>
  <c r="E654" i="2" s="1"/>
  <c r="D655" i="2"/>
  <c r="E655" i="2" s="1" a="1"/>
  <c r="E655" i="2" s="1"/>
  <c r="D656" i="2"/>
  <c r="E656" i="2" s="1" a="1"/>
  <c r="E656" i="2" s="1"/>
  <c r="D657" i="2"/>
  <c r="E657" i="2" s="1" a="1"/>
  <c r="E657" i="2" s="1"/>
  <c r="D658" i="2"/>
  <c r="E658" i="2" s="1" a="1"/>
  <c r="E658" i="2" s="1"/>
  <c r="D659" i="2"/>
  <c r="E659" i="2" s="1" a="1"/>
  <c r="E659" i="2" s="1"/>
  <c r="D660" i="2"/>
  <c r="E660" i="2" s="1" a="1"/>
  <c r="E660" i="2" s="1"/>
  <c r="D661" i="2"/>
  <c r="E661" i="2" s="1" a="1"/>
  <c r="E661" i="2" s="1"/>
  <c r="D662" i="2"/>
  <c r="E662" i="2" s="1" a="1"/>
  <c r="E662" i="2" s="1"/>
  <c r="D663" i="2"/>
  <c r="E663" i="2" s="1" a="1"/>
  <c r="E663" i="2" s="1"/>
  <c r="D664" i="2"/>
  <c r="E664" i="2" s="1" a="1"/>
  <c r="E664" i="2" s="1"/>
  <c r="D665" i="2"/>
  <c r="E665" i="2" s="1" a="1"/>
  <c r="E665" i="2" s="1"/>
  <c r="D666" i="2"/>
  <c r="E666" i="2" s="1" a="1"/>
  <c r="E666" i="2" s="1"/>
  <c r="D667" i="2"/>
  <c r="E667" i="2" s="1" a="1"/>
  <c r="E667" i="2" s="1"/>
  <c r="D668" i="2"/>
  <c r="E668" i="2" s="1" a="1"/>
  <c r="E668" i="2" s="1"/>
  <c r="D669" i="2"/>
  <c r="E669" i="2" s="1" a="1"/>
  <c r="E669" i="2" s="1"/>
  <c r="D670" i="2"/>
  <c r="E670" i="2" s="1" a="1"/>
  <c r="E670" i="2" s="1"/>
  <c r="D671" i="2"/>
  <c r="E671" i="2" s="1" a="1"/>
  <c r="E671" i="2" s="1"/>
  <c r="D672" i="2"/>
  <c r="E672" i="2" s="1" a="1"/>
  <c r="E672" i="2" s="1"/>
  <c r="D673" i="2"/>
  <c r="E673" i="2" s="1" a="1"/>
  <c r="E673" i="2" s="1"/>
  <c r="D674" i="2"/>
  <c r="E674" i="2" s="1" a="1"/>
  <c r="E674" i="2" s="1"/>
  <c r="D675" i="2"/>
  <c r="E675" i="2" s="1" a="1"/>
  <c r="E675" i="2" s="1"/>
  <c r="D676" i="2"/>
  <c r="E676" i="2" s="1" a="1"/>
  <c r="E676" i="2" s="1"/>
  <c r="D677" i="2"/>
  <c r="E677" i="2" s="1" a="1"/>
  <c r="E677" i="2" s="1"/>
  <c r="D678" i="2"/>
  <c r="E678" i="2" s="1" a="1"/>
  <c r="E678" i="2" s="1"/>
  <c r="D679" i="2"/>
  <c r="E679" i="2" s="1" a="1"/>
  <c r="E679" i="2" s="1"/>
  <c r="D680" i="2"/>
  <c r="E680" i="2" s="1" a="1"/>
  <c r="E680" i="2" s="1"/>
  <c r="D681" i="2"/>
  <c r="E681" i="2" s="1" a="1"/>
  <c r="E681" i="2" s="1"/>
  <c r="D682" i="2"/>
  <c r="E682" i="2" s="1" a="1"/>
  <c r="E682" i="2" s="1"/>
  <c r="D683" i="2"/>
  <c r="E683" i="2" s="1" a="1"/>
  <c r="E683" i="2" s="1"/>
  <c r="D684" i="2"/>
  <c r="E684" i="2" s="1" a="1"/>
  <c r="E684" i="2" s="1"/>
  <c r="D685" i="2"/>
  <c r="E685" i="2" s="1" a="1"/>
  <c r="E685" i="2" s="1"/>
  <c r="D686" i="2"/>
  <c r="E686" i="2" s="1" a="1"/>
  <c r="E686" i="2" s="1"/>
  <c r="D687" i="2"/>
  <c r="E687" i="2" s="1" a="1"/>
  <c r="E687" i="2" s="1"/>
  <c r="D688" i="2"/>
  <c r="E688" i="2" s="1" a="1"/>
  <c r="E688" i="2" s="1"/>
  <c r="D689" i="2"/>
  <c r="E689" i="2" s="1" a="1"/>
  <c r="E689" i="2" s="1"/>
  <c r="D690" i="2"/>
  <c r="E690" i="2" s="1" a="1"/>
  <c r="E690" i="2" s="1"/>
  <c r="D691" i="2"/>
  <c r="E691" i="2" s="1" a="1"/>
  <c r="E691" i="2" s="1"/>
  <c r="D692" i="2"/>
  <c r="E692" i="2" s="1" a="1"/>
  <c r="E692" i="2" s="1"/>
  <c r="D693" i="2"/>
  <c r="E693" i="2" s="1" a="1"/>
  <c r="E693" i="2" s="1"/>
  <c r="D694" i="2"/>
  <c r="E694" i="2" s="1" a="1"/>
  <c r="E694" i="2" s="1"/>
  <c r="D695" i="2"/>
  <c r="E695" i="2" s="1" a="1"/>
  <c r="E695" i="2" s="1"/>
  <c r="D696" i="2"/>
  <c r="E696" i="2" s="1" a="1"/>
  <c r="E696" i="2" s="1"/>
  <c r="D697" i="2"/>
  <c r="E697" i="2" s="1" a="1"/>
  <c r="E697" i="2" s="1"/>
  <c r="D698" i="2"/>
  <c r="E698" i="2" s="1" a="1"/>
  <c r="E698" i="2" s="1"/>
  <c r="D699" i="2"/>
  <c r="E699" i="2" s="1" a="1"/>
  <c r="E699" i="2" s="1"/>
  <c r="D700" i="2"/>
  <c r="E700" i="2" s="1" a="1"/>
  <c r="E700" i="2" s="1"/>
  <c r="D701" i="2"/>
  <c r="E701" i="2" s="1" a="1"/>
  <c r="E701" i="2" s="1"/>
  <c r="D702" i="2"/>
  <c r="E702" i="2" s="1" a="1"/>
  <c r="E702" i="2" s="1"/>
  <c r="D703" i="2"/>
  <c r="E703" i="2" s="1" a="1"/>
  <c r="E703" i="2" s="1"/>
  <c r="D704" i="2"/>
  <c r="E704" i="2" s="1" a="1"/>
  <c r="E704" i="2" s="1"/>
  <c r="D705" i="2"/>
  <c r="E705" i="2" s="1" a="1"/>
  <c r="E705" i="2" s="1"/>
  <c r="D706" i="2"/>
  <c r="E706" i="2" s="1" a="1"/>
  <c r="E706" i="2" s="1"/>
  <c r="D707" i="2"/>
  <c r="E707" i="2" s="1" a="1"/>
  <c r="E707" i="2" s="1"/>
  <c r="D708" i="2"/>
  <c r="E708" i="2" s="1" a="1"/>
  <c r="E708" i="2" s="1"/>
  <c r="D709" i="2"/>
  <c r="E709" i="2" s="1" a="1"/>
  <c r="E709" i="2" s="1"/>
  <c r="D710" i="2"/>
  <c r="E710" i="2" s="1" a="1"/>
  <c r="E710" i="2" s="1"/>
  <c r="D711" i="2"/>
  <c r="E711" i="2" s="1" a="1"/>
  <c r="E711" i="2" s="1"/>
  <c r="D712" i="2"/>
  <c r="E712" i="2" s="1" a="1"/>
  <c r="E712" i="2" s="1"/>
  <c r="D713" i="2"/>
  <c r="E713" i="2" s="1" a="1"/>
  <c r="E713" i="2" s="1"/>
  <c r="D714" i="2"/>
  <c r="E714" i="2" s="1" a="1"/>
  <c r="E714" i="2" s="1"/>
  <c r="D715" i="2"/>
  <c r="E715" i="2" s="1" a="1"/>
  <c r="E715" i="2" s="1"/>
  <c r="D716" i="2"/>
  <c r="E716" i="2" s="1" a="1"/>
  <c r="E716" i="2" s="1"/>
  <c r="D717" i="2"/>
  <c r="E717" i="2" s="1" a="1"/>
  <c r="E717" i="2" s="1"/>
  <c r="D718" i="2"/>
  <c r="E718" i="2" s="1" a="1"/>
  <c r="E718" i="2" s="1"/>
  <c r="D719" i="2"/>
  <c r="E719" i="2" s="1" a="1"/>
  <c r="E719" i="2" s="1"/>
  <c r="D720" i="2"/>
  <c r="E720" i="2" s="1" a="1"/>
  <c r="E720" i="2" s="1"/>
  <c r="D721" i="2"/>
  <c r="E721" i="2" s="1" a="1"/>
  <c r="E721" i="2" s="1"/>
  <c r="D722" i="2"/>
  <c r="E722" i="2" s="1" a="1"/>
  <c r="E722" i="2" s="1"/>
  <c r="D723" i="2"/>
  <c r="E723" i="2" s="1" a="1"/>
  <c r="E723" i="2" s="1"/>
  <c r="D724" i="2"/>
  <c r="E724" i="2" s="1" a="1"/>
  <c r="E724" i="2" s="1"/>
  <c r="D725" i="2"/>
  <c r="E725" i="2" s="1" a="1"/>
  <c r="E725" i="2" s="1"/>
  <c r="D726" i="2"/>
  <c r="E726" i="2" s="1" a="1"/>
  <c r="E726" i="2" s="1"/>
  <c r="D727" i="2"/>
  <c r="E727" i="2" s="1" a="1"/>
  <c r="E727" i="2" s="1"/>
  <c r="D728" i="2"/>
  <c r="E728" i="2" s="1" a="1"/>
  <c r="E728" i="2" s="1"/>
  <c r="D729" i="2"/>
  <c r="E729" i="2" s="1" a="1"/>
  <c r="E729" i="2" s="1"/>
  <c r="D730" i="2"/>
  <c r="E730" i="2" s="1" a="1"/>
  <c r="E730" i="2" s="1"/>
  <c r="D731" i="2"/>
  <c r="E731" i="2" s="1" a="1"/>
  <c r="E731" i="2" s="1"/>
  <c r="D732" i="2"/>
  <c r="E732" i="2" s="1" a="1"/>
  <c r="E732" i="2" s="1"/>
  <c r="D733" i="2"/>
  <c r="E733" i="2" s="1" a="1"/>
  <c r="E733" i="2" s="1"/>
  <c r="D734" i="2"/>
  <c r="E734" i="2" s="1" a="1"/>
  <c r="E734" i="2" s="1"/>
  <c r="D735" i="2"/>
  <c r="E735" i="2" s="1" a="1"/>
  <c r="E735" i="2" s="1"/>
  <c r="D736" i="2"/>
  <c r="E736" i="2" s="1" a="1"/>
  <c r="E736" i="2" s="1"/>
  <c r="D737" i="2"/>
  <c r="E737" i="2" s="1" a="1"/>
  <c r="E737" i="2" s="1"/>
  <c r="D738" i="2"/>
  <c r="E738" i="2" s="1" a="1"/>
  <c r="E738" i="2" s="1"/>
  <c r="D739" i="2"/>
  <c r="E739" i="2" s="1" a="1"/>
  <c r="E739" i="2" s="1"/>
  <c r="D740" i="2"/>
  <c r="E740" i="2" s="1" a="1"/>
  <c r="E740" i="2" s="1"/>
  <c r="D741" i="2"/>
  <c r="E741" i="2" s="1" a="1"/>
  <c r="E741" i="2" s="1"/>
  <c r="D742" i="2"/>
  <c r="E742" i="2" s="1" a="1"/>
  <c r="E742" i="2" s="1"/>
  <c r="D743" i="2"/>
  <c r="E743" i="2" s="1" a="1"/>
  <c r="E743" i="2" s="1"/>
  <c r="D744" i="2"/>
  <c r="E744" i="2" s="1" a="1"/>
  <c r="E744" i="2" s="1"/>
  <c r="D745" i="2"/>
  <c r="E745" i="2" s="1" a="1"/>
  <c r="E745" i="2" s="1"/>
  <c r="D746" i="2"/>
  <c r="E746" i="2" s="1" a="1"/>
  <c r="E746" i="2" s="1"/>
  <c r="D747" i="2"/>
  <c r="E747" i="2" s="1" a="1"/>
  <c r="E747" i="2" s="1"/>
  <c r="D748" i="2"/>
  <c r="E748" i="2" s="1" a="1"/>
  <c r="E748" i="2" s="1"/>
  <c r="D749" i="2"/>
  <c r="E749" i="2" s="1" a="1"/>
  <c r="E749" i="2" s="1"/>
  <c r="D750" i="2"/>
  <c r="E750" i="2" s="1" a="1"/>
  <c r="E750" i="2" s="1"/>
  <c r="D751" i="2"/>
  <c r="E751" i="2" s="1" a="1"/>
  <c r="E751" i="2" s="1"/>
  <c r="D752" i="2"/>
  <c r="E752" i="2" s="1" a="1"/>
  <c r="E752" i="2" s="1"/>
  <c r="D753" i="2"/>
  <c r="E753" i="2" s="1" a="1"/>
  <c r="E753" i="2" s="1"/>
  <c r="D754" i="2"/>
  <c r="E754" i="2" s="1" a="1"/>
  <c r="E754" i="2" s="1"/>
  <c r="D755" i="2"/>
  <c r="E755" i="2" s="1" a="1"/>
  <c r="E755" i="2" s="1"/>
  <c r="D756" i="2"/>
  <c r="E756" i="2" s="1" a="1"/>
  <c r="E756" i="2" s="1"/>
  <c r="D757" i="2"/>
  <c r="E757" i="2" s="1" a="1"/>
  <c r="E757" i="2" s="1"/>
  <c r="D758" i="2"/>
  <c r="E758" i="2" s="1" a="1"/>
  <c r="E758" i="2" s="1"/>
  <c r="D759" i="2"/>
  <c r="E759" i="2" s="1" a="1"/>
  <c r="E759" i="2" s="1"/>
  <c r="D760" i="2"/>
  <c r="E760" i="2" s="1" a="1"/>
  <c r="E760" i="2" s="1"/>
  <c r="D761" i="2"/>
  <c r="E761" i="2" s="1" a="1"/>
  <c r="E761" i="2" s="1"/>
  <c r="D762" i="2"/>
  <c r="E762" i="2" s="1" a="1"/>
  <c r="E762" i="2" s="1"/>
  <c r="D763" i="2"/>
  <c r="E763" i="2" s="1" a="1"/>
  <c r="E763" i="2" s="1"/>
  <c r="D764" i="2"/>
  <c r="E764" i="2" s="1" a="1"/>
  <c r="E764" i="2" s="1"/>
  <c r="D765" i="2"/>
  <c r="E765" i="2" s="1" a="1"/>
  <c r="E765" i="2" s="1"/>
  <c r="D766" i="2"/>
  <c r="E766" i="2" s="1" a="1"/>
  <c r="E766" i="2" s="1"/>
  <c r="D767" i="2"/>
  <c r="E767" i="2" s="1" a="1"/>
  <c r="E767" i="2" s="1"/>
  <c r="D768" i="2"/>
  <c r="E768" i="2" s="1" a="1"/>
  <c r="E768" i="2" s="1"/>
  <c r="D769" i="2"/>
  <c r="E769" i="2" s="1" a="1"/>
  <c r="E769" i="2" s="1"/>
  <c r="D770" i="2"/>
  <c r="E770" i="2" s="1" a="1"/>
  <c r="E770" i="2" s="1"/>
  <c r="D771" i="2"/>
  <c r="E771" i="2" s="1" a="1"/>
  <c r="E771" i="2" s="1"/>
  <c r="D772" i="2"/>
  <c r="E772" i="2" s="1" a="1"/>
  <c r="E772" i="2" s="1"/>
  <c r="D773" i="2"/>
  <c r="E773" i="2" s="1" a="1"/>
  <c r="E773" i="2" s="1"/>
  <c r="D774" i="2"/>
  <c r="E774" i="2" s="1" a="1"/>
  <c r="E774" i="2" s="1"/>
  <c r="D775" i="2"/>
  <c r="E775" i="2" s="1" a="1"/>
  <c r="E775" i="2" s="1"/>
  <c r="D776" i="2"/>
  <c r="E776" i="2" s="1" a="1"/>
  <c r="E776" i="2" s="1"/>
  <c r="D777" i="2"/>
  <c r="E777" i="2" s="1" a="1"/>
  <c r="E777" i="2" s="1"/>
  <c r="D778" i="2"/>
  <c r="E778" i="2" s="1" a="1"/>
  <c r="E778" i="2" s="1"/>
  <c r="D779" i="2"/>
  <c r="E779" i="2" s="1" a="1"/>
  <c r="E779" i="2" s="1"/>
  <c r="D780" i="2"/>
  <c r="E780" i="2" s="1" a="1"/>
  <c r="E780" i="2" s="1"/>
  <c r="D781" i="2"/>
  <c r="E781" i="2" s="1" a="1"/>
  <c r="E781" i="2" s="1"/>
  <c r="D782" i="2"/>
  <c r="E782" i="2" s="1" a="1"/>
  <c r="E782" i="2" s="1"/>
  <c r="D783" i="2"/>
  <c r="E783" i="2" s="1" a="1"/>
  <c r="E783" i="2" s="1"/>
  <c r="D784" i="2"/>
  <c r="E784" i="2" s="1" a="1"/>
  <c r="E784" i="2" s="1"/>
  <c r="D785" i="2"/>
  <c r="E785" i="2" s="1" a="1"/>
  <c r="E785" i="2" s="1"/>
  <c r="D786" i="2"/>
  <c r="E786" i="2" s="1" a="1"/>
  <c r="E786" i="2" s="1"/>
  <c r="D787" i="2"/>
  <c r="E787" i="2" s="1" a="1"/>
  <c r="E787" i="2" s="1"/>
  <c r="D788" i="2"/>
  <c r="E788" i="2" s="1" a="1"/>
  <c r="E788" i="2" s="1"/>
  <c r="D789" i="2"/>
  <c r="E789" i="2" s="1" a="1"/>
  <c r="E789" i="2" s="1"/>
  <c r="D790" i="2"/>
  <c r="E790" i="2" s="1" a="1"/>
  <c r="E790" i="2" s="1"/>
  <c r="D791" i="2"/>
  <c r="E791" i="2" s="1" a="1"/>
  <c r="E791" i="2" s="1"/>
  <c r="D792" i="2"/>
  <c r="E792" i="2" s="1" a="1"/>
  <c r="E792" i="2" s="1"/>
  <c r="D793" i="2"/>
  <c r="E793" i="2" s="1" a="1"/>
  <c r="E793" i="2" s="1"/>
  <c r="D794" i="2"/>
  <c r="E794" i="2" s="1" a="1"/>
  <c r="E794" i="2" s="1"/>
  <c r="D795" i="2"/>
  <c r="E795" i="2" s="1" a="1"/>
  <c r="E795" i="2" s="1"/>
  <c r="D796" i="2"/>
  <c r="E796" i="2" s="1" a="1"/>
  <c r="E796" i="2" s="1"/>
  <c r="D797" i="2"/>
  <c r="E797" i="2" s="1" a="1"/>
  <c r="E797" i="2" s="1"/>
  <c r="D798" i="2"/>
  <c r="E798" i="2" s="1" a="1"/>
  <c r="E798" i="2" s="1"/>
  <c r="D799" i="2"/>
  <c r="E799" i="2" s="1" a="1"/>
  <c r="E799" i="2" s="1"/>
  <c r="D800" i="2"/>
  <c r="E800" i="2" s="1" a="1"/>
  <c r="E800" i="2" s="1"/>
  <c r="D801" i="2"/>
  <c r="E801" i="2" s="1" a="1"/>
  <c r="E801" i="2" s="1"/>
  <c r="D802" i="2"/>
  <c r="E802" i="2" s="1" a="1"/>
  <c r="E802" i="2" s="1"/>
  <c r="D803" i="2"/>
  <c r="E803" i="2" s="1" a="1"/>
  <c r="E803" i="2" s="1"/>
  <c r="D804" i="2"/>
  <c r="E804" i="2" s="1" a="1"/>
  <c r="E804" i="2" s="1"/>
  <c r="D805" i="2"/>
  <c r="E805" i="2" s="1" a="1"/>
  <c r="E805" i="2" s="1"/>
  <c r="D806" i="2"/>
  <c r="E806" i="2" s="1" a="1"/>
  <c r="E806" i="2" s="1"/>
  <c r="D807" i="2"/>
  <c r="E807" i="2" s="1" a="1"/>
  <c r="E807" i="2" s="1"/>
  <c r="D808" i="2"/>
  <c r="E808" i="2" s="1" a="1"/>
  <c r="E808" i="2" s="1"/>
  <c r="D809" i="2"/>
  <c r="E809" i="2" s="1" a="1"/>
  <c r="E809" i="2" s="1"/>
  <c r="D810" i="2"/>
  <c r="E810" i="2" s="1" a="1"/>
  <c r="E810" i="2" s="1"/>
  <c r="D811" i="2"/>
  <c r="E811" i="2" s="1" a="1"/>
  <c r="E811" i="2" s="1"/>
  <c r="D812" i="2"/>
  <c r="E812" i="2" s="1" a="1"/>
  <c r="E812" i="2" s="1"/>
  <c r="D813" i="2"/>
  <c r="E813" i="2" s="1" a="1"/>
  <c r="E813" i="2" s="1"/>
  <c r="D814" i="2"/>
  <c r="E814" i="2" s="1" a="1"/>
  <c r="E814" i="2" s="1"/>
  <c r="D815" i="2"/>
  <c r="E815" i="2" s="1" a="1"/>
  <c r="E815" i="2" s="1"/>
  <c r="D816" i="2"/>
  <c r="E816" i="2" s="1" a="1"/>
  <c r="E816" i="2" s="1"/>
  <c r="D817" i="2"/>
  <c r="E817" i="2" s="1" a="1"/>
  <c r="E817" i="2" s="1"/>
  <c r="D818" i="2"/>
  <c r="E818" i="2" s="1" a="1"/>
  <c r="E818" i="2" s="1"/>
  <c r="D819" i="2"/>
  <c r="E819" i="2" s="1" a="1"/>
  <c r="E819" i="2" s="1"/>
  <c r="D820" i="2"/>
  <c r="E820" i="2" s="1" a="1"/>
  <c r="E820" i="2" s="1"/>
  <c r="D821" i="2"/>
  <c r="E821" i="2" s="1" a="1"/>
  <c r="E821" i="2" s="1"/>
  <c r="D822" i="2"/>
  <c r="E822" i="2" s="1" a="1"/>
  <c r="E822" i="2" s="1"/>
  <c r="D823" i="2"/>
  <c r="E823" i="2" s="1" a="1"/>
  <c r="E823" i="2" s="1"/>
  <c r="D824" i="2"/>
  <c r="E824" i="2" s="1" a="1"/>
  <c r="E824" i="2" s="1"/>
  <c r="D825" i="2"/>
  <c r="E825" i="2" s="1" a="1"/>
  <c r="E825" i="2" s="1"/>
  <c r="D826" i="2"/>
  <c r="E826" i="2" s="1" a="1"/>
  <c r="E826" i="2" s="1"/>
  <c r="D827" i="2"/>
  <c r="E827" i="2" s="1" a="1"/>
  <c r="E827" i="2" s="1"/>
  <c r="D828" i="2"/>
  <c r="E828" i="2" s="1" a="1"/>
  <c r="E828" i="2" s="1"/>
  <c r="D829" i="2"/>
  <c r="E829" i="2" s="1" a="1"/>
  <c r="E829" i="2" s="1"/>
  <c r="D830" i="2"/>
  <c r="E830" i="2" s="1" a="1"/>
  <c r="E830" i="2" s="1"/>
  <c r="D831" i="2"/>
  <c r="E831" i="2" s="1" a="1"/>
  <c r="E831" i="2" s="1"/>
  <c r="D832" i="2"/>
  <c r="E832" i="2" s="1" a="1"/>
  <c r="E832" i="2" s="1"/>
  <c r="D833" i="2"/>
  <c r="E833" i="2" s="1" a="1"/>
  <c r="E833" i="2" s="1"/>
  <c r="D834" i="2"/>
  <c r="E834" i="2" s="1" a="1"/>
  <c r="E834" i="2" s="1"/>
  <c r="D835" i="2"/>
  <c r="E835" i="2" s="1" a="1"/>
  <c r="E835" i="2" s="1"/>
  <c r="D836" i="2"/>
  <c r="E836" i="2" s="1" a="1"/>
  <c r="E836" i="2" s="1"/>
  <c r="D837" i="2"/>
  <c r="E837" i="2" s="1" a="1"/>
  <c r="E837" i="2" s="1"/>
  <c r="D838" i="2"/>
  <c r="E838" i="2" s="1" a="1"/>
  <c r="E838" i="2" s="1"/>
  <c r="D839" i="2"/>
  <c r="E839" i="2" s="1" a="1"/>
  <c r="E839" i="2" s="1"/>
  <c r="D840" i="2"/>
  <c r="E840" i="2" s="1" a="1"/>
  <c r="E840" i="2" s="1"/>
  <c r="D841" i="2"/>
  <c r="E841" i="2" s="1" a="1"/>
  <c r="E841" i="2" s="1"/>
  <c r="D842" i="2"/>
  <c r="E842" i="2" s="1" a="1"/>
  <c r="E842" i="2" s="1"/>
  <c r="D843" i="2"/>
  <c r="E843" i="2" s="1" a="1"/>
  <c r="E843" i="2" s="1"/>
  <c r="D844" i="2"/>
  <c r="E844" i="2" s="1" a="1"/>
  <c r="E844" i="2" s="1"/>
  <c r="D845" i="2"/>
  <c r="E845" i="2" s="1" a="1"/>
  <c r="E845" i="2" s="1"/>
  <c r="D846" i="2"/>
  <c r="E846" i="2" s="1" a="1"/>
  <c r="E846" i="2" s="1"/>
  <c r="D847" i="2"/>
  <c r="E847" i="2" s="1" a="1"/>
  <c r="E847" i="2" s="1"/>
  <c r="D848" i="2"/>
  <c r="E848" i="2" s="1" a="1"/>
  <c r="E848" i="2" s="1"/>
  <c r="D849" i="2"/>
  <c r="E849" i="2" s="1" a="1"/>
  <c r="E849" i="2" s="1"/>
  <c r="D850" i="2"/>
  <c r="E850" i="2" s="1" a="1"/>
  <c r="E850" i="2" s="1"/>
  <c r="D851" i="2"/>
  <c r="E851" i="2" s="1" a="1"/>
  <c r="E851" i="2" s="1"/>
  <c r="D852" i="2"/>
  <c r="E852" i="2" s="1" a="1"/>
  <c r="E852" i="2" s="1"/>
  <c r="D853" i="2"/>
  <c r="E853" i="2" s="1" a="1"/>
  <c r="E853" i="2" s="1"/>
  <c r="D854" i="2"/>
  <c r="E854" i="2" s="1" a="1"/>
  <c r="E854" i="2" s="1"/>
  <c r="D855" i="2"/>
  <c r="E855" i="2" s="1" a="1"/>
  <c r="E855" i="2" s="1"/>
  <c r="D856" i="2"/>
  <c r="E856" i="2" s="1" a="1"/>
  <c r="E856" i="2" s="1"/>
  <c r="D857" i="2"/>
  <c r="E857" i="2" s="1" a="1"/>
  <c r="E857" i="2" s="1"/>
  <c r="D858" i="2"/>
  <c r="E858" i="2" s="1" a="1"/>
  <c r="E858" i="2" s="1"/>
  <c r="D859" i="2"/>
  <c r="E859" i="2" s="1" a="1"/>
  <c r="E859" i="2" s="1"/>
  <c r="D860" i="2"/>
  <c r="E860" i="2" s="1" a="1"/>
  <c r="E860" i="2" s="1"/>
  <c r="D861" i="2"/>
  <c r="E861" i="2" s="1" a="1"/>
  <c r="E861" i="2" s="1"/>
  <c r="D862" i="2"/>
  <c r="E862" i="2" s="1" a="1"/>
  <c r="E862" i="2" s="1"/>
  <c r="D863" i="2"/>
  <c r="E863" i="2" s="1" a="1"/>
  <c r="E863" i="2" s="1"/>
  <c r="D864" i="2"/>
  <c r="E864" i="2" s="1" a="1"/>
  <c r="E864" i="2" s="1"/>
  <c r="D865" i="2"/>
  <c r="E865" i="2" s="1" a="1"/>
  <c r="E865" i="2" s="1"/>
  <c r="D866" i="2"/>
  <c r="E866" i="2" s="1" a="1"/>
  <c r="E866" i="2" s="1"/>
  <c r="D867" i="2"/>
  <c r="E867" i="2" s="1" a="1"/>
  <c r="E867" i="2" s="1"/>
  <c r="D868" i="2"/>
  <c r="E868" i="2" s="1" a="1"/>
  <c r="E868" i="2" s="1"/>
  <c r="D869" i="2"/>
  <c r="E869" i="2" s="1" a="1"/>
  <c r="E869" i="2" s="1"/>
  <c r="D870" i="2"/>
  <c r="E870" i="2" s="1" a="1"/>
  <c r="E870" i="2" s="1"/>
  <c r="D871" i="2"/>
  <c r="E871" i="2" s="1" a="1"/>
  <c r="E871" i="2" s="1"/>
  <c r="D872" i="2"/>
  <c r="E872" i="2" s="1" a="1"/>
  <c r="E872" i="2" s="1"/>
  <c r="D873" i="2"/>
  <c r="E873" i="2" s="1" a="1"/>
  <c r="E873" i="2" s="1"/>
  <c r="D874" i="2"/>
  <c r="E874" i="2" s="1" a="1"/>
  <c r="E874" i="2" s="1"/>
  <c r="D875" i="2"/>
  <c r="E875" i="2" s="1" a="1"/>
  <c r="E875" i="2" s="1"/>
  <c r="D876" i="2"/>
  <c r="E876" i="2" s="1" a="1"/>
  <c r="E876" i="2" s="1"/>
  <c r="D877" i="2"/>
  <c r="E877" i="2" s="1" a="1"/>
  <c r="E877" i="2" s="1"/>
  <c r="D878" i="2"/>
  <c r="E878" i="2" s="1" a="1"/>
  <c r="E878" i="2" s="1"/>
  <c r="D879" i="2"/>
  <c r="E879" i="2" s="1" a="1"/>
  <c r="E879" i="2" s="1"/>
  <c r="D880" i="2"/>
  <c r="E880" i="2" s="1" a="1"/>
  <c r="E880" i="2" s="1"/>
  <c r="D881" i="2"/>
  <c r="E881" i="2" s="1" a="1"/>
  <c r="E881" i="2" s="1"/>
  <c r="D882" i="2"/>
  <c r="E882" i="2" s="1" a="1"/>
  <c r="E882" i="2" s="1"/>
  <c r="D883" i="2"/>
  <c r="E883" i="2" s="1" a="1"/>
  <c r="E883" i="2" s="1"/>
  <c r="D884" i="2"/>
  <c r="E884" i="2" s="1" a="1"/>
  <c r="E884" i="2" s="1"/>
  <c r="D885" i="2"/>
  <c r="E885" i="2" s="1" a="1"/>
  <c r="E885" i="2" s="1"/>
  <c r="D886" i="2"/>
  <c r="E886" i="2" s="1" a="1"/>
  <c r="E886" i="2" s="1"/>
  <c r="D887" i="2"/>
  <c r="E887" i="2" s="1" a="1"/>
  <c r="E887" i="2" s="1"/>
  <c r="D888" i="2"/>
  <c r="E888" i="2" s="1" a="1"/>
  <c r="E888" i="2" s="1"/>
  <c r="D889" i="2"/>
  <c r="E889" i="2" s="1" a="1"/>
  <c r="E889" i="2" s="1"/>
  <c r="D890" i="2"/>
  <c r="E890" i="2" s="1" a="1"/>
  <c r="E890" i="2" s="1"/>
  <c r="D891" i="2"/>
  <c r="E891" i="2" s="1" a="1"/>
  <c r="E891" i="2" s="1"/>
  <c r="D892" i="2"/>
  <c r="E892" i="2" s="1" a="1"/>
  <c r="E892" i="2" s="1"/>
  <c r="D893" i="2"/>
  <c r="E893" i="2" s="1" a="1"/>
  <c r="E893" i="2" s="1"/>
  <c r="D894" i="2"/>
  <c r="E894" i="2" s="1" a="1"/>
  <c r="E894" i="2" s="1"/>
  <c r="D895" i="2"/>
  <c r="E895" i="2" s="1" a="1"/>
  <c r="E895" i="2" s="1"/>
  <c r="D896" i="2"/>
  <c r="E896" i="2" s="1" a="1"/>
  <c r="E896" i="2" s="1"/>
  <c r="D897" i="2"/>
  <c r="E897" i="2" s="1" a="1"/>
  <c r="E897" i="2" s="1"/>
  <c r="D898" i="2"/>
  <c r="E898" i="2" s="1" a="1"/>
  <c r="E898" i="2" s="1"/>
  <c r="D899" i="2"/>
  <c r="E899" i="2" s="1" a="1"/>
  <c r="E899" i="2" s="1"/>
  <c r="D900" i="2"/>
  <c r="E900" i="2" s="1" a="1"/>
  <c r="E900" i="2" s="1"/>
  <c r="D901" i="2"/>
  <c r="E901" i="2" s="1" a="1"/>
  <c r="E901" i="2" s="1"/>
  <c r="D902" i="2"/>
  <c r="E902" i="2" s="1" a="1"/>
  <c r="E902" i="2" s="1"/>
  <c r="D903" i="2"/>
  <c r="E903" i="2" s="1" a="1"/>
  <c r="E903" i="2" s="1"/>
  <c r="D904" i="2"/>
  <c r="E904" i="2" s="1" a="1"/>
  <c r="E904" i="2" s="1"/>
  <c r="D905" i="2"/>
  <c r="E905" i="2" s="1" a="1"/>
  <c r="E905" i="2" s="1"/>
  <c r="D906" i="2"/>
  <c r="E906" i="2" s="1" a="1"/>
  <c r="E906" i="2" s="1"/>
  <c r="D907" i="2"/>
  <c r="E907" i="2" s="1" a="1"/>
  <c r="E907" i="2" s="1"/>
  <c r="D908" i="2"/>
  <c r="E908" i="2" s="1" a="1"/>
  <c r="E908" i="2" s="1"/>
  <c r="D909" i="2"/>
  <c r="E909" i="2" s="1" a="1"/>
  <c r="E909" i="2" s="1"/>
  <c r="D910" i="2"/>
  <c r="E910" i="2" s="1" a="1"/>
  <c r="E910" i="2" s="1"/>
  <c r="D911" i="2"/>
  <c r="E911" i="2" s="1" a="1"/>
  <c r="E911" i="2" s="1"/>
  <c r="D912" i="2"/>
  <c r="E912" i="2" s="1" a="1"/>
  <c r="E912" i="2" s="1"/>
  <c r="D913" i="2"/>
  <c r="E913" i="2" s="1" a="1"/>
  <c r="E913" i="2" s="1"/>
  <c r="D914" i="2"/>
  <c r="E914" i="2" s="1" a="1"/>
  <c r="E914" i="2" s="1"/>
  <c r="D915" i="2"/>
  <c r="E915" i="2" s="1" a="1"/>
  <c r="E915" i="2" s="1"/>
  <c r="D916" i="2"/>
  <c r="E916" i="2" s="1" a="1"/>
  <c r="E916" i="2" s="1"/>
  <c r="D917" i="2"/>
  <c r="E917" i="2" s="1" a="1"/>
  <c r="E917" i="2" s="1"/>
  <c r="D918" i="2"/>
  <c r="E918" i="2" s="1" a="1"/>
  <c r="E918" i="2" s="1"/>
  <c r="D919" i="2"/>
  <c r="E919" i="2" s="1" a="1"/>
  <c r="E919" i="2" s="1"/>
  <c r="D920" i="2"/>
  <c r="E920" i="2" s="1" a="1"/>
  <c r="E920" i="2" s="1"/>
  <c r="D921" i="2"/>
  <c r="E921" i="2" s="1" a="1"/>
  <c r="E921" i="2" s="1"/>
  <c r="D922" i="2"/>
  <c r="E922" i="2" s="1" a="1"/>
  <c r="E922" i="2" s="1"/>
  <c r="D923" i="2"/>
  <c r="E923" i="2" s="1" a="1"/>
  <c r="E923" i="2" s="1"/>
  <c r="D924" i="2"/>
  <c r="E924" i="2" s="1" a="1"/>
  <c r="E924" i="2" s="1"/>
  <c r="D925" i="2"/>
  <c r="E925" i="2" s="1" a="1"/>
  <c r="E925" i="2" s="1"/>
  <c r="D926" i="2"/>
  <c r="E926" i="2" s="1" a="1"/>
  <c r="E926" i="2" s="1"/>
  <c r="D927" i="2"/>
  <c r="E927" i="2" s="1" a="1"/>
  <c r="E927" i="2" s="1"/>
  <c r="D928" i="2"/>
  <c r="E928" i="2" s="1" a="1"/>
  <c r="E928" i="2" s="1"/>
  <c r="D929" i="2"/>
  <c r="E929" i="2" s="1" a="1"/>
  <c r="E929" i="2" s="1"/>
  <c r="D930" i="2"/>
  <c r="E930" i="2" s="1" a="1"/>
  <c r="E930" i="2" s="1"/>
  <c r="D931" i="2"/>
  <c r="E931" i="2" s="1" a="1"/>
  <c r="E931" i="2" s="1"/>
  <c r="D932" i="2"/>
  <c r="E932" i="2" s="1" a="1"/>
  <c r="E932" i="2" s="1"/>
  <c r="D933" i="2"/>
  <c r="E933" i="2" s="1" a="1"/>
  <c r="E933" i="2" s="1"/>
  <c r="D934" i="2"/>
  <c r="E934" i="2" s="1" a="1"/>
  <c r="E934" i="2" s="1"/>
  <c r="D935" i="2"/>
  <c r="E935" i="2" s="1" a="1"/>
  <c r="E935" i="2" s="1"/>
  <c r="D936" i="2"/>
  <c r="E936" i="2" s="1" a="1"/>
  <c r="E936" i="2" s="1"/>
  <c r="D937" i="2"/>
  <c r="E937" i="2" s="1" a="1"/>
  <c r="E937" i="2" s="1"/>
  <c r="D938" i="2"/>
  <c r="E938" i="2" s="1" a="1"/>
  <c r="E938" i="2" s="1"/>
  <c r="D939" i="2"/>
  <c r="E939" i="2" s="1" a="1"/>
  <c r="E939" i="2" s="1"/>
  <c r="D940" i="2"/>
  <c r="E940" i="2" s="1" a="1"/>
  <c r="E940" i="2" s="1"/>
  <c r="D941" i="2"/>
  <c r="E941" i="2" s="1" a="1"/>
  <c r="E941" i="2" s="1"/>
  <c r="D942" i="2"/>
  <c r="E942" i="2" s="1" a="1"/>
  <c r="E942" i="2" s="1"/>
  <c r="D943" i="2"/>
  <c r="E943" i="2" s="1" a="1"/>
  <c r="E943" i="2" s="1"/>
  <c r="D944" i="2"/>
  <c r="E944" i="2" s="1" a="1"/>
  <c r="E944" i="2" s="1"/>
  <c r="D945" i="2"/>
  <c r="E945" i="2" s="1" a="1"/>
  <c r="E945" i="2" s="1"/>
  <c r="D946" i="2"/>
  <c r="E946" i="2" s="1" a="1"/>
  <c r="E946" i="2" s="1"/>
  <c r="D947" i="2"/>
  <c r="E947" i="2" s="1" a="1"/>
  <c r="E947" i="2" s="1"/>
  <c r="D948" i="2"/>
  <c r="E948" i="2" s="1" a="1"/>
  <c r="E948" i="2" s="1"/>
  <c r="D949" i="2"/>
  <c r="E949" i="2" s="1" a="1"/>
  <c r="E949" i="2" s="1"/>
  <c r="D950" i="2"/>
  <c r="E950" i="2" s="1" a="1"/>
  <c r="E950" i="2" s="1"/>
  <c r="D951" i="2"/>
  <c r="E951" i="2" s="1" a="1"/>
  <c r="E951" i="2" s="1"/>
  <c r="D952" i="2"/>
  <c r="E952" i="2" s="1" a="1"/>
  <c r="E952" i="2" s="1"/>
  <c r="D953" i="2"/>
  <c r="E953" i="2" s="1" a="1"/>
  <c r="E953" i="2" s="1"/>
  <c r="D954" i="2"/>
  <c r="E954" i="2" s="1" a="1"/>
  <c r="E954" i="2" s="1"/>
  <c r="D955" i="2"/>
  <c r="E955" i="2" s="1" a="1"/>
  <c r="E955" i="2" s="1"/>
  <c r="D956" i="2"/>
  <c r="E956" i="2" s="1" a="1"/>
  <c r="E956" i="2" s="1"/>
  <c r="D957" i="2"/>
  <c r="E957" i="2" s="1" a="1"/>
  <c r="E957" i="2" s="1"/>
  <c r="D958" i="2"/>
  <c r="E958" i="2" s="1" a="1"/>
  <c r="E958" i="2" s="1"/>
  <c r="D959" i="2"/>
  <c r="E959" i="2" s="1" a="1"/>
  <c r="E959" i="2" s="1"/>
  <c r="D960" i="2"/>
  <c r="E960" i="2" s="1" a="1"/>
  <c r="E960" i="2" s="1"/>
  <c r="D961" i="2"/>
  <c r="E961" i="2" s="1" a="1"/>
  <c r="E961" i="2" s="1"/>
  <c r="D962" i="2"/>
  <c r="E962" i="2" s="1" a="1"/>
  <c r="E962" i="2" s="1"/>
  <c r="D963" i="2"/>
  <c r="E963" i="2" s="1" a="1"/>
  <c r="E963" i="2" s="1"/>
  <c r="D964" i="2"/>
  <c r="E964" i="2" s="1" a="1"/>
  <c r="E964" i="2" s="1"/>
  <c r="D965" i="2"/>
  <c r="E965" i="2" s="1" a="1"/>
  <c r="E965" i="2" s="1"/>
  <c r="D966" i="2"/>
  <c r="E966" i="2" s="1" a="1"/>
  <c r="E966" i="2" s="1"/>
  <c r="D967" i="2"/>
  <c r="E967" i="2" s="1" a="1"/>
  <c r="E967" i="2" s="1"/>
  <c r="D968" i="2"/>
  <c r="E968" i="2" s="1" a="1"/>
  <c r="E968" i="2" s="1"/>
  <c r="D969" i="2"/>
  <c r="E969" i="2" s="1" a="1"/>
  <c r="E969" i="2" s="1"/>
  <c r="D970" i="2"/>
  <c r="E970" i="2" s="1" a="1"/>
  <c r="E970" i="2" s="1"/>
  <c r="D971" i="2"/>
  <c r="E971" i="2" s="1" a="1"/>
  <c r="E971" i="2" s="1"/>
  <c r="D972" i="2"/>
  <c r="E972" i="2" s="1" a="1"/>
  <c r="E972" i="2" s="1"/>
  <c r="D973" i="2"/>
  <c r="E973" i="2" s="1" a="1"/>
  <c r="E973" i="2" s="1"/>
  <c r="D974" i="2"/>
  <c r="E974" i="2" s="1" a="1"/>
  <c r="E974" i="2" s="1"/>
  <c r="D975" i="2"/>
  <c r="E975" i="2" s="1" a="1"/>
  <c r="E975" i="2" s="1"/>
  <c r="D976" i="2"/>
  <c r="E976" i="2" s="1" a="1"/>
  <c r="E976" i="2" s="1"/>
  <c r="D977" i="2"/>
  <c r="E977" i="2" s="1" a="1"/>
  <c r="E977" i="2" s="1"/>
  <c r="D978" i="2"/>
  <c r="E978" i="2" s="1" a="1"/>
  <c r="E978" i="2" s="1"/>
  <c r="D979" i="2"/>
  <c r="E979" i="2" s="1" a="1"/>
  <c r="E979" i="2" s="1"/>
  <c r="D980" i="2"/>
  <c r="E980" i="2" s="1" a="1"/>
  <c r="E980" i="2" s="1"/>
  <c r="D981" i="2"/>
  <c r="E981" i="2" s="1" a="1"/>
  <c r="E981" i="2" s="1"/>
  <c r="D982" i="2"/>
  <c r="E982" i="2" s="1" a="1"/>
  <c r="E982" i="2" s="1"/>
  <c r="D983" i="2"/>
  <c r="E983" i="2" s="1" a="1"/>
  <c r="E983" i="2" s="1"/>
  <c r="D984" i="2"/>
  <c r="E984" i="2" s="1" a="1"/>
  <c r="E984" i="2" s="1"/>
  <c r="D985" i="2"/>
  <c r="E985" i="2" s="1" a="1"/>
  <c r="E985" i="2" s="1"/>
  <c r="D986" i="2"/>
  <c r="E986" i="2" s="1" a="1"/>
  <c r="E986" i="2" s="1"/>
  <c r="D987" i="2"/>
  <c r="E987" i="2" s="1" a="1"/>
  <c r="E987" i="2" s="1"/>
  <c r="D988" i="2"/>
  <c r="E988" i="2" s="1" a="1"/>
  <c r="E988" i="2" s="1"/>
  <c r="D989" i="2"/>
  <c r="E989" i="2" s="1" a="1"/>
  <c r="E989" i="2" s="1"/>
  <c r="D990" i="2"/>
  <c r="E990" i="2" s="1" a="1"/>
  <c r="E990" i="2" s="1"/>
  <c r="D991" i="2"/>
  <c r="E991" i="2" s="1" a="1"/>
  <c r="E991" i="2" s="1"/>
  <c r="D992" i="2"/>
  <c r="E992" i="2" s="1" a="1"/>
  <c r="E992" i="2" s="1"/>
  <c r="D993" i="2"/>
  <c r="E993" i="2" s="1" a="1"/>
  <c r="E993" i="2" s="1"/>
  <c r="D994" i="2"/>
  <c r="E994" i="2" s="1" a="1"/>
  <c r="E994" i="2" s="1"/>
  <c r="D995" i="2"/>
  <c r="E995" i="2" s="1" a="1"/>
  <c r="E995" i="2" s="1"/>
  <c r="D996" i="2"/>
  <c r="E996" i="2" s="1" a="1"/>
  <c r="E996" i="2" s="1"/>
  <c r="D997" i="2"/>
  <c r="E997" i="2" s="1" a="1"/>
  <c r="E997" i="2" s="1"/>
  <c r="D998" i="2"/>
  <c r="E998" i="2" s="1" a="1"/>
  <c r="E998" i="2" s="1"/>
  <c r="D999" i="2"/>
  <c r="E999" i="2" s="1" a="1"/>
  <c r="E999" i="2" s="1"/>
  <c r="D1000" i="2"/>
  <c r="E1000" i="2" s="1" a="1"/>
  <c r="E1000" i="2" s="1"/>
  <c r="D1001" i="2"/>
  <c r="E1001" i="2" s="1" a="1"/>
  <c r="E1001" i="2" s="1"/>
  <c r="D1002" i="2"/>
  <c r="E1002" i="2" s="1" a="1"/>
  <c r="E1002" i="2" s="1"/>
  <c r="D1003" i="2"/>
  <c r="E1003" i="2" s="1" a="1"/>
  <c r="E1003" i="2" s="1"/>
  <c r="D1004" i="2"/>
  <c r="E1004" i="2" s="1" a="1"/>
  <c r="E1004" i="2" s="1"/>
  <c r="D1005" i="2"/>
  <c r="E1005" i="2" s="1" a="1"/>
  <c r="E1005" i="2" s="1"/>
  <c r="D1006" i="2"/>
  <c r="E1006" i="2" s="1" a="1"/>
  <c r="E1006" i="2" s="1"/>
  <c r="D1007" i="2"/>
  <c r="E1007" i="2" s="1" a="1"/>
  <c r="E1007" i="2" s="1"/>
  <c r="D1008" i="2"/>
  <c r="E1008" i="2" s="1" a="1"/>
  <c r="E1008" i="2" s="1"/>
  <c r="D1009" i="2"/>
  <c r="E1009" i="2" s="1" a="1"/>
  <c r="E1009" i="2" s="1"/>
  <c r="D1010" i="2"/>
  <c r="E1010" i="2" s="1" a="1"/>
  <c r="E1010" i="2" s="1"/>
  <c r="D1011" i="2"/>
  <c r="E1011" i="2" s="1" a="1"/>
  <c r="E1011" i="2" s="1"/>
  <c r="D1012" i="2"/>
  <c r="E1012" i="2" s="1" a="1"/>
  <c r="E1012" i="2" s="1"/>
  <c r="D1013" i="2"/>
  <c r="E1013" i="2" s="1" a="1"/>
  <c r="E1013" i="2" s="1"/>
  <c r="D1014" i="2"/>
  <c r="E1014" i="2" s="1" a="1"/>
  <c r="E1014" i="2" s="1"/>
  <c r="D1015" i="2"/>
  <c r="E1015" i="2" s="1" a="1"/>
  <c r="E1015" i="2" s="1"/>
  <c r="D1016" i="2"/>
  <c r="E1016" i="2" s="1" a="1"/>
  <c r="E1016" i="2" s="1"/>
  <c r="D1017" i="2"/>
  <c r="E1017" i="2" s="1" a="1"/>
  <c r="E1017" i="2" s="1"/>
  <c r="D1018" i="2"/>
  <c r="E1018" i="2" s="1" a="1"/>
  <c r="E1018" i="2" s="1"/>
  <c r="D1019" i="2"/>
  <c r="E1019" i="2" s="1" a="1"/>
  <c r="E1019" i="2" s="1"/>
  <c r="D1020" i="2"/>
  <c r="E1020" i="2" s="1" a="1"/>
  <c r="E1020" i="2" s="1"/>
  <c r="D1021" i="2"/>
  <c r="E1021" i="2" s="1" a="1"/>
  <c r="E1021" i="2" s="1"/>
  <c r="D1022" i="2"/>
  <c r="E1022" i="2" s="1" a="1"/>
  <c r="E1022" i="2" s="1"/>
  <c r="D1023" i="2"/>
  <c r="E1023" i="2" s="1" a="1"/>
  <c r="E1023" i="2" s="1"/>
  <c r="D1024" i="2"/>
  <c r="E1024" i="2" s="1" a="1"/>
  <c r="E1024" i="2" s="1"/>
  <c r="D1025" i="2"/>
  <c r="E1025" i="2" s="1" a="1"/>
  <c r="E1025" i="2" s="1"/>
  <c r="D1026" i="2"/>
  <c r="E1026" i="2" s="1" a="1"/>
  <c r="E1026" i="2" s="1"/>
  <c r="D1027" i="2"/>
  <c r="E1027" i="2" s="1" a="1"/>
  <c r="E1027" i="2" s="1"/>
  <c r="D1028" i="2"/>
  <c r="E1028" i="2" s="1" a="1"/>
  <c r="E1028" i="2" s="1"/>
  <c r="D1029" i="2"/>
  <c r="E1029" i="2" s="1" a="1"/>
  <c r="E1029" i="2" s="1"/>
  <c r="D1030" i="2"/>
  <c r="E1030" i="2" s="1" a="1"/>
  <c r="E1030" i="2" s="1"/>
  <c r="D1031" i="2"/>
  <c r="E1031" i="2" s="1" a="1"/>
  <c r="E1031" i="2" s="1"/>
  <c r="D1032" i="2"/>
  <c r="E1032" i="2" s="1" a="1"/>
  <c r="E1032" i="2" s="1"/>
  <c r="D1033" i="2"/>
  <c r="E1033" i="2" s="1" a="1"/>
  <c r="E1033" i="2" s="1"/>
  <c r="D1034" i="2"/>
  <c r="E1034" i="2" s="1" a="1"/>
  <c r="E1034" i="2" s="1"/>
  <c r="D1035" i="2"/>
  <c r="E1035" i="2" s="1" a="1"/>
  <c r="E1035" i="2" s="1"/>
  <c r="D1036" i="2"/>
  <c r="E1036" i="2" s="1" a="1"/>
  <c r="E1036" i="2" s="1"/>
  <c r="D1037" i="2"/>
  <c r="E1037" i="2" s="1" a="1"/>
  <c r="E1037" i="2" s="1"/>
  <c r="D1038" i="2"/>
  <c r="E1038" i="2" s="1" a="1"/>
  <c r="E1038" i="2" s="1"/>
  <c r="D1039" i="2"/>
  <c r="E1039" i="2" s="1" a="1"/>
  <c r="E1039" i="2" s="1"/>
  <c r="D1040" i="2"/>
  <c r="E1040" i="2" s="1" a="1"/>
  <c r="E1040" i="2" s="1"/>
  <c r="D1041" i="2"/>
  <c r="E1041" i="2" s="1" a="1"/>
  <c r="E1041" i="2" s="1"/>
  <c r="D1042" i="2"/>
  <c r="E1042" i="2" s="1" a="1"/>
  <c r="E1042" i="2" s="1"/>
  <c r="D1043" i="2"/>
  <c r="E1043" i="2" s="1" a="1"/>
  <c r="E1043" i="2" s="1"/>
  <c r="D1044" i="2"/>
  <c r="E1044" i="2" s="1" a="1"/>
  <c r="E1044" i="2" s="1"/>
  <c r="D1045" i="2"/>
  <c r="E1045" i="2" s="1" a="1"/>
  <c r="E1045" i="2" s="1"/>
  <c r="D1046" i="2"/>
  <c r="E1046" i="2" s="1" a="1"/>
  <c r="E1046" i="2" s="1"/>
  <c r="D1047" i="2"/>
  <c r="E1047" i="2" s="1" a="1"/>
  <c r="E1047" i="2" s="1"/>
  <c r="D1048" i="2"/>
  <c r="E1048" i="2" s="1" a="1"/>
  <c r="E1048" i="2" s="1"/>
  <c r="D1049" i="2"/>
  <c r="E1049" i="2" s="1" a="1"/>
  <c r="E1049" i="2" s="1"/>
  <c r="D1050" i="2"/>
  <c r="E1050" i="2" s="1" a="1"/>
  <c r="E1050" i="2" s="1"/>
  <c r="D1051" i="2"/>
  <c r="E1051" i="2" s="1" a="1"/>
  <c r="E1051" i="2" s="1"/>
  <c r="D1052" i="2"/>
  <c r="E1052" i="2" s="1" a="1"/>
  <c r="E1052" i="2" s="1"/>
  <c r="D1053" i="2"/>
  <c r="E1053" i="2" s="1" a="1"/>
  <c r="E1053" i="2" s="1"/>
  <c r="D1054" i="2"/>
  <c r="E1054" i="2" s="1" a="1"/>
  <c r="E1054" i="2" s="1"/>
  <c r="D1055" i="2"/>
  <c r="E1055" i="2" s="1" a="1"/>
  <c r="E1055" i="2" s="1"/>
  <c r="D1056" i="2"/>
  <c r="E1056" i="2" s="1" a="1"/>
  <c r="E1056" i="2" s="1"/>
  <c r="D1057" i="2"/>
  <c r="E1057" i="2" s="1" a="1"/>
  <c r="E1057" i="2" s="1"/>
  <c r="D1058" i="2"/>
  <c r="E1058" i="2" s="1" a="1"/>
  <c r="E1058" i="2" s="1"/>
  <c r="D1059" i="2"/>
  <c r="E1059" i="2" s="1" a="1"/>
  <c r="E1059" i="2" s="1"/>
  <c r="D1060" i="2"/>
  <c r="E1060" i="2" s="1" a="1"/>
  <c r="E1060" i="2" s="1"/>
  <c r="D1061" i="2"/>
  <c r="E1061" i="2" s="1" a="1"/>
  <c r="E1061" i="2" s="1"/>
  <c r="D1062" i="2"/>
  <c r="E1062" i="2" s="1" a="1"/>
  <c r="E1062" i="2" s="1"/>
  <c r="D1063" i="2"/>
  <c r="E1063" i="2" s="1" a="1"/>
  <c r="E1063" i="2" s="1"/>
  <c r="D1064" i="2"/>
  <c r="E1064" i="2" s="1" a="1"/>
  <c r="E1064" i="2" s="1"/>
  <c r="D1065" i="2"/>
  <c r="E1065" i="2" s="1" a="1"/>
  <c r="E1065" i="2" s="1"/>
  <c r="D1066" i="2"/>
  <c r="E1066" i="2" s="1" a="1"/>
  <c r="E1066" i="2" s="1"/>
  <c r="D1067" i="2"/>
  <c r="E1067" i="2" s="1" a="1"/>
  <c r="E1067" i="2" s="1"/>
  <c r="D1068" i="2"/>
  <c r="E1068" i="2" s="1" a="1"/>
  <c r="E1068" i="2" s="1"/>
  <c r="D1069" i="2"/>
  <c r="E1069" i="2" s="1" a="1"/>
  <c r="E1069" i="2" s="1"/>
  <c r="D1070" i="2"/>
  <c r="E1070" i="2" s="1" a="1"/>
  <c r="E1070" i="2" s="1"/>
  <c r="D1071" i="2"/>
  <c r="E1071" i="2" s="1" a="1"/>
  <c r="E1071" i="2" s="1"/>
  <c r="D1072" i="2"/>
  <c r="E1072" i="2" s="1" a="1"/>
  <c r="E1072" i="2" s="1"/>
  <c r="D1073" i="2"/>
  <c r="E1073" i="2" s="1" a="1"/>
  <c r="E1073" i="2" s="1"/>
  <c r="D1074" i="2"/>
  <c r="E1074" i="2" s="1" a="1"/>
  <c r="E1074" i="2" s="1"/>
  <c r="D1075" i="2"/>
  <c r="E1075" i="2" s="1" a="1"/>
  <c r="E1075" i="2" s="1"/>
  <c r="D1076" i="2"/>
  <c r="E1076" i="2" s="1" a="1"/>
  <c r="E1076" i="2" s="1"/>
  <c r="D1077" i="2"/>
  <c r="E1077" i="2" s="1" a="1"/>
  <c r="E1077" i="2" s="1"/>
  <c r="D1078" i="2"/>
  <c r="E1078" i="2" s="1" a="1"/>
  <c r="E1078" i="2" s="1"/>
  <c r="D1079" i="2"/>
  <c r="E1079" i="2" s="1" a="1"/>
  <c r="E1079" i="2" s="1"/>
  <c r="D1080" i="2"/>
  <c r="E1080" i="2" s="1" a="1"/>
  <c r="E1080" i="2" s="1"/>
  <c r="D1081" i="2"/>
  <c r="E1081" i="2" s="1" a="1"/>
  <c r="E1081" i="2" s="1"/>
  <c r="D1082" i="2"/>
  <c r="E1082" i="2" s="1" a="1"/>
  <c r="E1082" i="2" s="1"/>
  <c r="D1083" i="2"/>
  <c r="E1083" i="2" s="1" a="1"/>
  <c r="E1083" i="2" s="1"/>
  <c r="D1084" i="2"/>
  <c r="E1084" i="2" s="1" a="1"/>
  <c r="E1084" i="2" s="1"/>
  <c r="D1085" i="2"/>
  <c r="E1085" i="2" s="1" a="1"/>
  <c r="E1085" i="2" s="1"/>
  <c r="D1086" i="2"/>
  <c r="E1086" i="2" s="1" a="1"/>
  <c r="E1086" i="2" s="1"/>
  <c r="D1087" i="2"/>
  <c r="E1087" i="2" s="1" a="1"/>
  <c r="E1087" i="2" s="1"/>
  <c r="D1088" i="2"/>
  <c r="E1088" i="2" s="1" a="1"/>
  <c r="E1088" i="2" s="1"/>
  <c r="D1089" i="2"/>
  <c r="E1089" i="2" s="1" a="1"/>
  <c r="E1089" i="2" s="1"/>
  <c r="D1090" i="2"/>
  <c r="E1090" i="2" s="1" a="1"/>
  <c r="E1090" i="2" s="1"/>
  <c r="D1091" i="2"/>
  <c r="E1091" i="2" s="1" a="1"/>
  <c r="E1091" i="2" s="1"/>
  <c r="D1092" i="2"/>
  <c r="E1092" i="2" s="1" a="1"/>
  <c r="E1092" i="2" s="1"/>
  <c r="D1093" i="2"/>
  <c r="E1093" i="2" s="1" a="1"/>
  <c r="E1093" i="2" s="1"/>
  <c r="D1094" i="2"/>
  <c r="E1094" i="2" s="1" a="1"/>
  <c r="E1094" i="2" s="1"/>
  <c r="D1095" i="2"/>
  <c r="E1095" i="2" s="1" a="1"/>
  <c r="E1095" i="2" s="1"/>
  <c r="D1096" i="2"/>
  <c r="E1096" i="2" s="1" a="1"/>
  <c r="E1096" i="2" s="1"/>
  <c r="D1097" i="2"/>
  <c r="E1097" i="2" s="1" a="1"/>
  <c r="E1097" i="2" s="1"/>
  <c r="D1098" i="2"/>
  <c r="E1098" i="2" s="1" a="1"/>
  <c r="E1098" i="2" s="1"/>
  <c r="D1099" i="2"/>
  <c r="E1099" i="2" s="1" a="1"/>
  <c r="E1099" i="2" s="1"/>
  <c r="D1100" i="2"/>
  <c r="E1100" i="2" s="1" a="1"/>
  <c r="E1100" i="2" s="1"/>
  <c r="D1101" i="2"/>
  <c r="E1101" i="2" s="1" a="1"/>
  <c r="E1101" i="2" s="1"/>
  <c r="D1102" i="2"/>
  <c r="E1102" i="2" s="1" a="1"/>
  <c r="E1102" i="2" s="1"/>
  <c r="D1103" i="2"/>
  <c r="E1103" i="2" s="1" a="1"/>
  <c r="E1103" i="2" s="1"/>
  <c r="D1104" i="2"/>
  <c r="E1104" i="2" s="1" a="1"/>
  <c r="E1104" i="2" s="1"/>
  <c r="D1105" i="2"/>
  <c r="E1105" i="2" s="1" a="1"/>
  <c r="E1105" i="2" s="1"/>
  <c r="D1106" i="2"/>
  <c r="E1106" i="2" s="1" a="1"/>
  <c r="E1106" i="2" s="1"/>
  <c r="D1107" i="2"/>
  <c r="E1107" i="2" s="1" a="1"/>
  <c r="E1107" i="2" s="1"/>
  <c r="D1108" i="2"/>
  <c r="E1108" i="2" s="1" a="1"/>
  <c r="E1108" i="2" s="1"/>
  <c r="D1109" i="2"/>
  <c r="E1109" i="2" s="1" a="1"/>
  <c r="E1109" i="2" s="1"/>
  <c r="D1110" i="2"/>
  <c r="E1110" i="2" s="1" a="1"/>
  <c r="E1110" i="2" s="1"/>
  <c r="D1111" i="2"/>
  <c r="E1111" i="2" s="1" a="1"/>
  <c r="E1111" i="2" s="1"/>
  <c r="D1112" i="2"/>
  <c r="E1112" i="2" s="1" a="1"/>
  <c r="E1112" i="2" s="1"/>
  <c r="D1113" i="2"/>
  <c r="E1113" i="2" s="1" a="1"/>
  <c r="E1113" i="2" s="1"/>
  <c r="D1114" i="2"/>
  <c r="E1114" i="2" s="1" a="1"/>
  <c r="E1114" i="2" s="1"/>
  <c r="D1115" i="2"/>
  <c r="E1115" i="2" s="1" a="1"/>
  <c r="E1115" i="2" s="1"/>
  <c r="D1116" i="2"/>
  <c r="E1116" i="2" s="1" a="1"/>
  <c r="E1116" i="2" s="1"/>
  <c r="D1117" i="2"/>
  <c r="E1117" i="2" s="1" a="1"/>
  <c r="E1117" i="2" s="1"/>
  <c r="D1118" i="2"/>
  <c r="E1118" i="2" s="1" a="1"/>
  <c r="E1118" i="2" s="1"/>
  <c r="D1119" i="2"/>
  <c r="E1119" i="2" s="1" a="1"/>
  <c r="E1119" i="2" s="1"/>
  <c r="D1120" i="2"/>
  <c r="E1120" i="2" s="1" a="1"/>
  <c r="E1120" i="2" s="1"/>
  <c r="D1121" i="2"/>
  <c r="E1121" i="2" s="1" a="1"/>
  <c r="E1121" i="2" s="1"/>
  <c r="D1122" i="2"/>
  <c r="E1122" i="2" s="1" a="1"/>
  <c r="E1122" i="2" s="1"/>
  <c r="D1123" i="2"/>
  <c r="E1123" i="2" s="1" a="1"/>
  <c r="E1123" i="2" s="1"/>
  <c r="D1124" i="2"/>
  <c r="E1124" i="2" s="1" a="1"/>
  <c r="E1124" i="2" s="1"/>
  <c r="D1125" i="2"/>
  <c r="E1125" i="2" s="1" a="1"/>
  <c r="E1125" i="2" s="1"/>
  <c r="D1126" i="2"/>
  <c r="E1126" i="2" s="1" a="1"/>
  <c r="E1126" i="2" s="1"/>
  <c r="D1127" i="2"/>
  <c r="E1127" i="2" s="1" a="1"/>
  <c r="E1127" i="2" s="1"/>
  <c r="D1128" i="2"/>
  <c r="E1128" i="2" s="1" a="1"/>
  <c r="E1128" i="2" s="1"/>
  <c r="D1129" i="2"/>
  <c r="E1129" i="2" s="1" a="1"/>
  <c r="E1129" i="2" s="1"/>
  <c r="D1130" i="2"/>
  <c r="E1130" i="2" s="1" a="1"/>
  <c r="E1130" i="2" s="1"/>
  <c r="D1131" i="2"/>
  <c r="E1131" i="2" s="1" a="1"/>
  <c r="E1131" i="2" s="1"/>
  <c r="D1132" i="2"/>
  <c r="E1132" i="2" s="1" a="1"/>
  <c r="E1132" i="2" s="1"/>
  <c r="D1133" i="2"/>
  <c r="E1133" i="2" s="1" a="1"/>
  <c r="E1133" i="2" s="1"/>
  <c r="D1134" i="2"/>
  <c r="E1134" i="2" s="1" a="1"/>
  <c r="E1134" i="2" s="1"/>
  <c r="D1135" i="2"/>
  <c r="E1135" i="2" s="1" a="1"/>
  <c r="E1135" i="2" s="1"/>
  <c r="D1136" i="2"/>
  <c r="E1136" i="2" s="1" a="1"/>
  <c r="E1136" i="2" s="1"/>
  <c r="D1137" i="2"/>
  <c r="E1137" i="2" s="1" a="1"/>
  <c r="E1137" i="2" s="1"/>
  <c r="D1138" i="2"/>
  <c r="E1138" i="2" s="1" a="1"/>
  <c r="E1138" i="2" s="1"/>
  <c r="D1139" i="2"/>
  <c r="E1139" i="2" s="1" a="1"/>
  <c r="E1139" i="2" s="1"/>
  <c r="D1140" i="2"/>
  <c r="E1140" i="2" s="1" a="1"/>
  <c r="E1140" i="2" s="1"/>
  <c r="D1141" i="2"/>
  <c r="E1141" i="2" s="1" a="1"/>
  <c r="E1141" i="2" s="1"/>
  <c r="D1142" i="2"/>
  <c r="E1142" i="2" s="1" a="1"/>
  <c r="E1142" i="2" s="1"/>
  <c r="D1143" i="2"/>
  <c r="E1143" i="2" s="1" a="1"/>
  <c r="E1143" i="2" s="1"/>
  <c r="D1144" i="2"/>
  <c r="E1144" i="2" s="1" a="1"/>
  <c r="E1144" i="2" s="1"/>
  <c r="D1145" i="2"/>
  <c r="E1145" i="2" s="1" a="1"/>
  <c r="E1145" i="2" s="1"/>
  <c r="D1146" i="2"/>
  <c r="E1146" i="2" s="1" a="1"/>
  <c r="E1146" i="2" s="1"/>
  <c r="D1147" i="2"/>
  <c r="E1147" i="2" s="1" a="1"/>
  <c r="E1147" i="2" s="1"/>
  <c r="D1148" i="2"/>
  <c r="E1148" i="2" s="1" a="1"/>
  <c r="E1148" i="2" s="1"/>
  <c r="D1149" i="2"/>
  <c r="E1149" i="2" s="1" a="1"/>
  <c r="E1149" i="2" s="1"/>
  <c r="D1150" i="2"/>
  <c r="E1150" i="2" s="1" a="1"/>
  <c r="E1150" i="2" s="1"/>
  <c r="D1151" i="2"/>
  <c r="E1151" i="2" s="1" a="1"/>
  <c r="E1151" i="2" s="1"/>
  <c r="D1152" i="2"/>
  <c r="E1152" i="2" s="1" a="1"/>
  <c r="E1152" i="2" s="1"/>
  <c r="D1153" i="2"/>
  <c r="E1153" i="2" s="1" a="1"/>
  <c r="E1153" i="2" s="1"/>
  <c r="D1154" i="2"/>
  <c r="E1154" i="2" s="1" a="1"/>
  <c r="E1154" i="2" s="1"/>
  <c r="D1155" i="2"/>
  <c r="E1155" i="2" s="1" a="1"/>
  <c r="E1155" i="2" s="1"/>
  <c r="D1156" i="2"/>
  <c r="E1156" i="2" s="1" a="1"/>
  <c r="E1156" i="2" s="1"/>
  <c r="D1157" i="2"/>
  <c r="E1157" i="2" s="1" a="1"/>
  <c r="E1157" i="2" s="1"/>
  <c r="D1158" i="2"/>
  <c r="E1158" i="2" s="1" a="1"/>
  <c r="E1158" i="2" s="1"/>
  <c r="D1159" i="2"/>
  <c r="E1159" i="2" s="1" a="1"/>
  <c r="E1159" i="2" s="1"/>
  <c r="D1160" i="2"/>
  <c r="E1160" i="2" s="1" a="1"/>
  <c r="E1160" i="2" s="1"/>
  <c r="D1161" i="2"/>
  <c r="E1161" i="2" s="1" a="1"/>
  <c r="E1161" i="2" s="1"/>
  <c r="D1162" i="2"/>
  <c r="E1162" i="2" s="1" a="1"/>
  <c r="E1162" i="2" s="1"/>
  <c r="D1163" i="2"/>
  <c r="E1163" i="2" s="1" a="1"/>
  <c r="E1163" i="2" s="1"/>
  <c r="D1164" i="2"/>
  <c r="E1164" i="2" s="1" a="1"/>
  <c r="E1164" i="2" s="1"/>
  <c r="D1165" i="2"/>
  <c r="E1165" i="2" s="1" a="1"/>
  <c r="E1165" i="2" s="1"/>
  <c r="D1166" i="2"/>
  <c r="E1166" i="2" s="1" a="1"/>
  <c r="E1166" i="2" s="1"/>
  <c r="D1167" i="2"/>
  <c r="E1167" i="2" s="1" a="1"/>
  <c r="E1167" i="2" s="1"/>
  <c r="D1168" i="2"/>
  <c r="E1168" i="2" s="1" a="1"/>
  <c r="E1168" i="2" s="1"/>
  <c r="D1169" i="2"/>
  <c r="E1169" i="2" s="1" a="1"/>
  <c r="E1169" i="2" s="1"/>
  <c r="D1170" i="2"/>
  <c r="E1170" i="2" s="1" a="1"/>
  <c r="E1170" i="2" s="1"/>
  <c r="D1171" i="2"/>
  <c r="E1171" i="2" s="1" a="1"/>
  <c r="E1171" i="2" s="1"/>
  <c r="D1172" i="2"/>
  <c r="E1172" i="2" s="1" a="1"/>
  <c r="E1172" i="2" s="1"/>
  <c r="D1173" i="2"/>
  <c r="E1173" i="2" s="1" a="1"/>
  <c r="E1173" i="2" s="1"/>
  <c r="D1174" i="2"/>
  <c r="E1174" i="2" s="1" a="1"/>
  <c r="E1174" i="2" s="1"/>
  <c r="D1175" i="2"/>
  <c r="E1175" i="2" s="1" a="1"/>
  <c r="E1175" i="2" s="1"/>
  <c r="D1176" i="2"/>
  <c r="E1176" i="2" s="1" a="1"/>
  <c r="E1176" i="2" s="1"/>
  <c r="D1177" i="2"/>
  <c r="E1177" i="2" s="1" a="1"/>
  <c r="E1177" i="2" s="1"/>
  <c r="D1178" i="2"/>
  <c r="E1178" i="2" s="1" a="1"/>
  <c r="E1178" i="2" s="1"/>
  <c r="D1179" i="2"/>
  <c r="E1179" i="2" s="1" a="1"/>
  <c r="E1179" i="2" s="1"/>
  <c r="D1180" i="2"/>
  <c r="E1180" i="2" s="1" a="1"/>
  <c r="E1180" i="2" s="1"/>
  <c r="D1181" i="2"/>
  <c r="E1181" i="2" s="1" a="1"/>
  <c r="E1181" i="2" s="1"/>
  <c r="D1182" i="2"/>
  <c r="E1182" i="2" s="1" a="1"/>
  <c r="E1182" i="2" s="1"/>
  <c r="D1183" i="2"/>
  <c r="E1183" i="2" s="1" a="1"/>
  <c r="E1183" i="2" s="1"/>
  <c r="D1184" i="2"/>
  <c r="E1184" i="2" s="1" a="1"/>
  <c r="E1184" i="2" s="1"/>
  <c r="D1185" i="2"/>
  <c r="E1185" i="2" s="1" a="1"/>
  <c r="E1185" i="2" s="1"/>
  <c r="D1186" i="2"/>
  <c r="E1186" i="2" s="1" a="1"/>
  <c r="E1186" i="2" s="1"/>
  <c r="D1187" i="2"/>
  <c r="E1187" i="2" s="1" a="1"/>
  <c r="E1187" i="2" s="1"/>
  <c r="D1188" i="2"/>
  <c r="E1188" i="2" s="1" a="1"/>
  <c r="E1188" i="2" s="1"/>
  <c r="D1189" i="2"/>
  <c r="E1189" i="2" s="1" a="1"/>
  <c r="E1189" i="2" s="1"/>
  <c r="D1190" i="2"/>
  <c r="E1190" i="2" s="1" a="1"/>
  <c r="E1190" i="2" s="1"/>
  <c r="D1191" i="2"/>
  <c r="E1191" i="2" s="1" a="1"/>
  <c r="E1191" i="2" s="1"/>
  <c r="D1192" i="2"/>
  <c r="E1192" i="2" s="1" a="1"/>
  <c r="E1192" i="2" s="1"/>
  <c r="D1193" i="2"/>
  <c r="E1193" i="2" s="1" a="1"/>
  <c r="E1193" i="2" s="1"/>
  <c r="D1194" i="2"/>
  <c r="E1194" i="2" s="1" a="1"/>
  <c r="E1194" i="2" s="1"/>
  <c r="D1195" i="2"/>
  <c r="E1195" i="2" s="1" a="1"/>
  <c r="E1195" i="2" s="1"/>
  <c r="D1196" i="2"/>
  <c r="E1196" i="2" s="1" a="1"/>
  <c r="E1196" i="2" s="1"/>
  <c r="D1197" i="2"/>
  <c r="E1197" i="2" s="1" a="1"/>
  <c r="E1197" i="2" s="1"/>
  <c r="D1198" i="2"/>
  <c r="E1198" i="2" s="1" a="1"/>
  <c r="E1198" i="2" s="1"/>
  <c r="D1199" i="2"/>
  <c r="E1199" i="2" s="1" a="1"/>
  <c r="E1199" i="2" s="1"/>
  <c r="D1200" i="2"/>
  <c r="E1200" i="2" s="1" a="1"/>
  <c r="E1200" i="2" s="1"/>
  <c r="D1201" i="2"/>
  <c r="E1201" i="2" s="1" a="1"/>
  <c r="E1201" i="2" s="1"/>
  <c r="D1202" i="2"/>
  <c r="E1202" i="2" s="1" a="1"/>
  <c r="E1202" i="2" s="1"/>
  <c r="D1203" i="2"/>
  <c r="E1203" i="2" s="1" a="1"/>
  <c r="E1203" i="2" s="1"/>
  <c r="D1204" i="2"/>
  <c r="E1204" i="2" s="1" a="1"/>
  <c r="E1204" i="2" s="1"/>
  <c r="D1205" i="2"/>
  <c r="E1205" i="2" s="1" a="1"/>
  <c r="E1205" i="2" s="1"/>
  <c r="D1206" i="2"/>
  <c r="E1206" i="2" s="1" a="1"/>
  <c r="E1206" i="2" s="1"/>
  <c r="D1207" i="2"/>
  <c r="E1207" i="2" s="1" a="1"/>
  <c r="E1207" i="2" s="1"/>
  <c r="D1208" i="2"/>
  <c r="E1208" i="2" s="1" a="1"/>
  <c r="E1208" i="2" s="1"/>
  <c r="D1209" i="2"/>
  <c r="E1209" i="2" s="1" a="1"/>
  <c r="E1209" i="2" s="1"/>
  <c r="D1210" i="2"/>
  <c r="E1210" i="2" s="1" a="1"/>
  <c r="E1210" i="2" s="1"/>
  <c r="D1211" i="2"/>
  <c r="E1211" i="2" s="1" a="1"/>
  <c r="E1211" i="2" s="1"/>
  <c r="D1212" i="2"/>
  <c r="E1212" i="2" s="1" a="1"/>
  <c r="E1212" i="2" s="1"/>
  <c r="D1213" i="2"/>
  <c r="E1213" i="2" s="1" a="1"/>
  <c r="E1213" i="2" s="1"/>
  <c r="D1214" i="2"/>
  <c r="E1214" i="2" s="1" a="1"/>
  <c r="E1214" i="2" s="1"/>
  <c r="D1215" i="2"/>
  <c r="E1215" i="2" s="1" a="1"/>
  <c r="E1215" i="2" s="1"/>
  <c r="D1216" i="2"/>
  <c r="E1216" i="2" s="1" a="1"/>
  <c r="E1216" i="2" s="1"/>
  <c r="D1217" i="2"/>
  <c r="E1217" i="2" s="1" a="1"/>
  <c r="E1217" i="2" s="1"/>
  <c r="D1218" i="2"/>
  <c r="E1218" i="2" s="1" a="1"/>
  <c r="E1218" i="2" s="1"/>
  <c r="D1219" i="2"/>
  <c r="E1219" i="2" s="1" a="1"/>
  <c r="E1219" i="2" s="1"/>
  <c r="D1220" i="2"/>
  <c r="E1220" i="2" s="1" a="1"/>
  <c r="E1220" i="2" s="1"/>
  <c r="D1221" i="2"/>
  <c r="E1221" i="2" s="1" a="1"/>
  <c r="E1221" i="2" s="1"/>
  <c r="D1222" i="2"/>
  <c r="E1222" i="2" s="1" a="1"/>
  <c r="E1222" i="2" s="1"/>
  <c r="D1223" i="2"/>
  <c r="E1223" i="2" s="1" a="1"/>
  <c r="E1223" i="2" s="1"/>
  <c r="D1224" i="2"/>
  <c r="E1224" i="2" s="1" a="1"/>
  <c r="E1224" i="2" s="1"/>
  <c r="D1225" i="2"/>
  <c r="E1225" i="2" s="1" a="1"/>
  <c r="E1225" i="2" s="1"/>
  <c r="D1226" i="2"/>
  <c r="E1226" i="2" s="1" a="1"/>
  <c r="E1226" i="2" s="1"/>
  <c r="D1227" i="2"/>
  <c r="E1227" i="2" s="1" a="1"/>
  <c r="E1227" i="2" s="1"/>
  <c r="D1228" i="2"/>
  <c r="E1228" i="2" s="1" a="1"/>
  <c r="E1228" i="2" s="1"/>
  <c r="D1229" i="2"/>
  <c r="E1229" i="2" s="1" a="1"/>
  <c r="E1229" i="2" s="1"/>
  <c r="D1230" i="2"/>
  <c r="E1230" i="2" s="1" a="1"/>
  <c r="E1230" i="2" s="1"/>
  <c r="D1231" i="2"/>
  <c r="E1231" i="2" s="1" a="1"/>
  <c r="E1231" i="2" s="1"/>
  <c r="D1232" i="2"/>
  <c r="E1232" i="2" s="1" a="1"/>
  <c r="E1232" i="2" s="1"/>
  <c r="D1233" i="2"/>
  <c r="E1233" i="2" s="1" a="1"/>
  <c r="E1233" i="2" s="1"/>
  <c r="D1234" i="2"/>
  <c r="E1234" i="2" s="1" a="1"/>
  <c r="E1234" i="2" s="1"/>
  <c r="D1235" i="2"/>
  <c r="E1235" i="2" s="1" a="1"/>
  <c r="E1235" i="2" s="1"/>
  <c r="D1236" i="2"/>
  <c r="E1236" i="2" s="1" a="1"/>
  <c r="E1236" i="2" s="1"/>
  <c r="D1237" i="2"/>
  <c r="E1237" i="2" s="1" a="1"/>
  <c r="E1237" i="2" s="1"/>
  <c r="D1238" i="2"/>
  <c r="E1238" i="2" s="1" a="1"/>
  <c r="E1238" i="2" s="1"/>
  <c r="D1239" i="2"/>
  <c r="E1239" i="2" s="1" a="1"/>
  <c r="E1239" i="2" s="1"/>
  <c r="D1240" i="2"/>
  <c r="E1240" i="2" s="1" a="1"/>
  <c r="E1240" i="2" s="1"/>
  <c r="D1241" i="2"/>
  <c r="E1241" i="2" s="1" a="1"/>
  <c r="E1241" i="2" s="1"/>
  <c r="D1242" i="2"/>
  <c r="E1242" i="2" s="1" a="1"/>
  <c r="E1242" i="2" s="1"/>
  <c r="D1243" i="2"/>
  <c r="E1243" i="2" s="1" a="1"/>
  <c r="E1243" i="2" s="1"/>
  <c r="D1244" i="2"/>
  <c r="E1244" i="2" s="1" a="1"/>
  <c r="E1244" i="2" s="1"/>
  <c r="D1245" i="2"/>
  <c r="E1245" i="2" s="1" a="1"/>
  <c r="E1245" i="2" s="1"/>
  <c r="D1246" i="2"/>
  <c r="E1246" i="2" s="1" a="1"/>
  <c r="E1246" i="2" s="1"/>
  <c r="D1247" i="2"/>
  <c r="E1247" i="2" s="1" a="1"/>
  <c r="E1247" i="2" s="1"/>
  <c r="D1248" i="2"/>
  <c r="E1248" i="2" s="1" a="1"/>
  <c r="E1248" i="2" s="1"/>
  <c r="D1249" i="2"/>
  <c r="E1249" i="2" s="1" a="1"/>
  <c r="E1249" i="2" s="1"/>
  <c r="D1250" i="2"/>
  <c r="E1250" i="2" s="1" a="1"/>
  <c r="E1250" i="2" s="1"/>
  <c r="D1251" i="2"/>
  <c r="E1251" i="2" s="1" a="1"/>
  <c r="E1251" i="2" s="1"/>
  <c r="D1252" i="2"/>
  <c r="E1252" i="2" s="1" a="1"/>
  <c r="E1252" i="2" s="1"/>
  <c r="D1253" i="2"/>
  <c r="E1253" i="2" s="1" a="1"/>
  <c r="E1253" i="2" s="1"/>
  <c r="D1254" i="2"/>
  <c r="E1254" i="2" s="1" a="1"/>
  <c r="E1254" i="2" s="1"/>
  <c r="D1255" i="2"/>
  <c r="E1255" i="2" s="1" a="1"/>
  <c r="E1255" i="2" s="1"/>
  <c r="D1256" i="2"/>
  <c r="E1256" i="2" s="1" a="1"/>
  <c r="E1256" i="2" s="1"/>
  <c r="D1257" i="2"/>
  <c r="E1257" i="2" s="1" a="1"/>
  <c r="E1257" i="2" s="1"/>
  <c r="D1258" i="2"/>
  <c r="E1258" i="2" s="1" a="1"/>
  <c r="E1258" i="2" s="1"/>
  <c r="D1259" i="2"/>
  <c r="E1259" i="2" s="1" a="1"/>
  <c r="E1259" i="2" s="1"/>
  <c r="D1260" i="2"/>
  <c r="E1260" i="2" s="1" a="1"/>
  <c r="E1260" i="2" s="1"/>
  <c r="D1261" i="2"/>
  <c r="E1261" i="2" s="1" a="1"/>
  <c r="E1261" i="2" s="1"/>
  <c r="D1262" i="2"/>
  <c r="E1262" i="2" s="1" a="1"/>
  <c r="E1262" i="2" s="1"/>
  <c r="D1263" i="2"/>
  <c r="E1263" i="2" s="1" a="1"/>
  <c r="E1263" i="2" s="1"/>
  <c r="D1264" i="2"/>
  <c r="E1264" i="2" s="1" a="1"/>
  <c r="E1264" i="2" s="1"/>
  <c r="D1265" i="2"/>
  <c r="E1265" i="2" s="1" a="1"/>
  <c r="E1265" i="2" s="1"/>
  <c r="D1266" i="2"/>
  <c r="E1266" i="2" s="1" a="1"/>
  <c r="E1266" i="2" s="1"/>
  <c r="D1267" i="2"/>
  <c r="E1267" i="2" s="1" a="1"/>
  <c r="E1267" i="2" s="1"/>
  <c r="D1268" i="2"/>
  <c r="E1268" i="2" s="1" a="1"/>
  <c r="E1268" i="2" s="1"/>
  <c r="D1269" i="2"/>
  <c r="E1269" i="2" s="1" a="1"/>
  <c r="E1269" i="2" s="1"/>
  <c r="D1270" i="2"/>
  <c r="E1270" i="2" s="1" a="1"/>
  <c r="E1270" i="2" s="1"/>
  <c r="D1271" i="2"/>
  <c r="E1271" i="2" s="1" a="1"/>
  <c r="E1271" i="2" s="1"/>
  <c r="D1272" i="2"/>
  <c r="E1272" i="2" s="1" a="1"/>
  <c r="E1272" i="2" s="1"/>
  <c r="D1273" i="2"/>
  <c r="E1273" i="2" s="1" a="1"/>
  <c r="E1273" i="2" s="1"/>
  <c r="D1274" i="2"/>
  <c r="E1274" i="2" s="1" a="1"/>
  <c r="E1274" i="2" s="1"/>
  <c r="D1275" i="2"/>
  <c r="E1275" i="2" s="1" a="1"/>
  <c r="E1275" i="2" s="1"/>
  <c r="D1276" i="2"/>
  <c r="E1276" i="2" s="1" a="1"/>
  <c r="E1276" i="2" s="1"/>
  <c r="D1277" i="2"/>
  <c r="E1277" i="2" s="1" a="1"/>
  <c r="E1277" i="2" s="1"/>
  <c r="D1278" i="2"/>
  <c r="E1278" i="2" s="1" a="1"/>
  <c r="E1278" i="2" s="1"/>
  <c r="D1279" i="2"/>
  <c r="E1279" i="2" s="1" a="1"/>
  <c r="E1279" i="2" s="1"/>
  <c r="D1280" i="2"/>
  <c r="E1280" i="2" s="1" a="1"/>
  <c r="E1280" i="2" s="1"/>
  <c r="D1281" i="2"/>
  <c r="E1281" i="2" s="1" a="1"/>
  <c r="E1281" i="2" s="1"/>
  <c r="D1282" i="2"/>
  <c r="E1282" i="2" s="1" a="1"/>
  <c r="E1282" i="2" s="1"/>
  <c r="D1283" i="2"/>
  <c r="E1283" i="2" s="1" a="1"/>
  <c r="E1283" i="2" s="1"/>
  <c r="D1284" i="2"/>
  <c r="E1284" i="2" s="1" a="1"/>
  <c r="E1284" i="2" s="1"/>
  <c r="D1285" i="2"/>
  <c r="E1285" i="2" s="1" a="1"/>
  <c r="E1285" i="2" s="1"/>
  <c r="D1286" i="2"/>
  <c r="E1286" i="2" s="1" a="1"/>
  <c r="E1286" i="2" s="1"/>
  <c r="D1287" i="2"/>
  <c r="E1287" i="2" s="1" a="1"/>
  <c r="E1287" i="2" s="1"/>
  <c r="D1288" i="2"/>
  <c r="E1288" i="2" s="1" a="1"/>
  <c r="E1288" i="2" s="1"/>
  <c r="D1289" i="2"/>
  <c r="E1289" i="2" s="1" a="1"/>
  <c r="E1289" i="2" s="1"/>
  <c r="D1290" i="2"/>
  <c r="E1290" i="2" s="1" a="1"/>
  <c r="E1290" i="2" s="1"/>
  <c r="D1291" i="2"/>
  <c r="E1291" i="2" s="1" a="1"/>
  <c r="E1291" i="2" s="1"/>
  <c r="D1292" i="2"/>
  <c r="E1292" i="2" s="1" a="1"/>
  <c r="E1292" i="2" s="1"/>
  <c r="D1293" i="2"/>
  <c r="E1293" i="2" s="1" a="1"/>
  <c r="E1293" i="2" s="1"/>
  <c r="D1294" i="2"/>
  <c r="E1294" i="2" s="1" a="1"/>
  <c r="E1294" i="2" s="1"/>
  <c r="D1295" i="2"/>
  <c r="E1295" i="2" s="1" a="1"/>
  <c r="E1295" i="2" s="1"/>
  <c r="D1296" i="2"/>
  <c r="E1296" i="2" s="1" a="1"/>
  <c r="E1296" i="2" s="1"/>
  <c r="D1297" i="2"/>
  <c r="E1297" i="2" s="1" a="1"/>
  <c r="E1297" i="2" s="1"/>
  <c r="D1298" i="2"/>
  <c r="E1298" i="2" s="1" a="1"/>
  <c r="E1298" i="2" s="1"/>
  <c r="D1299" i="2"/>
  <c r="E1299" i="2" s="1" a="1"/>
  <c r="E1299" i="2" s="1"/>
  <c r="D1300" i="2"/>
  <c r="E1300" i="2" s="1" a="1"/>
  <c r="E1300" i="2" s="1"/>
  <c r="D1301" i="2"/>
  <c r="E1301" i="2" s="1" a="1"/>
  <c r="E1301" i="2" s="1"/>
  <c r="D1302" i="2"/>
  <c r="E1302" i="2" s="1" a="1"/>
  <c r="E1302" i="2" s="1"/>
  <c r="D1303" i="2"/>
  <c r="E1303" i="2" s="1" a="1"/>
  <c r="E1303" i="2" s="1"/>
  <c r="D1304" i="2"/>
  <c r="E1304" i="2" s="1" a="1"/>
  <c r="E1304" i="2" s="1"/>
  <c r="D1305" i="2"/>
  <c r="E1305" i="2" s="1" a="1"/>
  <c r="E1305" i="2" s="1"/>
  <c r="D1306" i="2"/>
  <c r="E1306" i="2" s="1" a="1"/>
  <c r="E1306" i="2" s="1"/>
  <c r="D1307" i="2"/>
  <c r="E1307" i="2" s="1" a="1"/>
  <c r="E1307" i="2" s="1"/>
  <c r="D1308" i="2"/>
  <c r="E1308" i="2" s="1" a="1"/>
  <c r="E1308" i="2" s="1"/>
  <c r="D1309" i="2"/>
  <c r="E1309" i="2" s="1" a="1"/>
  <c r="E1309" i="2" s="1"/>
  <c r="D1310" i="2"/>
  <c r="E1310" i="2" s="1" a="1"/>
  <c r="E1310" i="2" s="1"/>
  <c r="D1311" i="2"/>
  <c r="E1311" i="2" s="1" a="1"/>
  <c r="E1311" i="2" s="1"/>
  <c r="D1312" i="2"/>
  <c r="E1312" i="2" s="1" a="1"/>
  <c r="E1312" i="2" s="1"/>
  <c r="D1313" i="2"/>
  <c r="E1313" i="2" s="1" a="1"/>
  <c r="E1313" i="2" s="1"/>
  <c r="D1314" i="2"/>
  <c r="E1314" i="2" s="1" a="1"/>
  <c r="E1314" i="2" s="1"/>
  <c r="D1315" i="2"/>
  <c r="E1315" i="2" s="1" a="1"/>
  <c r="E1315" i="2" s="1"/>
  <c r="D1316" i="2"/>
  <c r="E1316" i="2" s="1" a="1"/>
  <c r="E1316" i="2" s="1"/>
  <c r="D1317" i="2"/>
  <c r="E1317" i="2" s="1" a="1"/>
  <c r="E1317" i="2" s="1"/>
  <c r="D1318" i="2"/>
  <c r="E1318" i="2" s="1" a="1"/>
  <c r="E1318" i="2" s="1"/>
  <c r="D1319" i="2"/>
  <c r="E1319" i="2" s="1" a="1"/>
  <c r="E1319" i="2" s="1"/>
  <c r="D1320" i="2"/>
  <c r="E1320" i="2" s="1" a="1"/>
  <c r="E1320" i="2" s="1"/>
  <c r="D1321" i="2"/>
  <c r="E1321" i="2" s="1" a="1"/>
  <c r="E1321" i="2" s="1"/>
  <c r="D1322" i="2"/>
  <c r="E1322" i="2" s="1" a="1"/>
  <c r="E1322" i="2" s="1"/>
  <c r="D1323" i="2"/>
  <c r="E1323" i="2" s="1" a="1"/>
  <c r="E1323" i="2" s="1"/>
  <c r="D1324" i="2"/>
  <c r="E1324" i="2" s="1" a="1"/>
  <c r="E1324" i="2" s="1"/>
  <c r="D1325" i="2"/>
  <c r="E1325" i="2" s="1" a="1"/>
  <c r="E1325" i="2" s="1"/>
  <c r="D1326" i="2"/>
  <c r="E1326" i="2" s="1" a="1"/>
  <c r="E1326" i="2" s="1"/>
  <c r="D1327" i="2"/>
  <c r="E1327" i="2" s="1" a="1"/>
  <c r="E1327" i="2" s="1"/>
  <c r="D1328" i="2"/>
  <c r="E1328" i="2" s="1" a="1"/>
  <c r="E1328" i="2" s="1"/>
  <c r="D1329" i="2"/>
  <c r="E1329" i="2" s="1" a="1"/>
  <c r="E1329" i="2" s="1"/>
  <c r="D1330" i="2"/>
  <c r="E1330" i="2" s="1" a="1"/>
  <c r="E1330" i="2" s="1"/>
  <c r="D1331" i="2"/>
  <c r="E1331" i="2" s="1" a="1"/>
  <c r="E1331" i="2" s="1"/>
  <c r="D1332" i="2"/>
  <c r="E1332" i="2" s="1" a="1"/>
  <c r="E1332" i="2" s="1"/>
  <c r="D1333" i="2"/>
  <c r="E1333" i="2" s="1" a="1"/>
  <c r="E1333" i="2" s="1"/>
  <c r="D1334" i="2"/>
  <c r="E1334" i="2" s="1" a="1"/>
  <c r="E1334" i="2" s="1"/>
  <c r="D1335" i="2"/>
  <c r="E1335" i="2" s="1" a="1"/>
  <c r="E1335" i="2" s="1"/>
  <c r="D1336" i="2"/>
  <c r="E1336" i="2" s="1" a="1"/>
  <c r="E1336" i="2" s="1"/>
  <c r="D1337" i="2"/>
  <c r="E1337" i="2" s="1" a="1"/>
  <c r="E1337" i="2" s="1"/>
  <c r="D1338" i="2"/>
  <c r="E1338" i="2" s="1" a="1"/>
  <c r="E1338" i="2" s="1"/>
  <c r="D1339" i="2"/>
  <c r="E1339" i="2" s="1" a="1"/>
  <c r="E1339" i="2" s="1"/>
  <c r="D1340" i="2"/>
  <c r="E1340" i="2" s="1" a="1"/>
  <c r="E1340" i="2" s="1"/>
  <c r="D1341" i="2"/>
  <c r="E1341" i="2" s="1" a="1"/>
  <c r="E1341" i="2" s="1"/>
  <c r="D1342" i="2"/>
  <c r="E1342" i="2" s="1" a="1"/>
  <c r="E1342" i="2" s="1"/>
  <c r="D1343" i="2"/>
  <c r="E1343" i="2" s="1" a="1"/>
  <c r="E1343" i="2" s="1"/>
  <c r="D1344" i="2"/>
  <c r="E1344" i="2" s="1" a="1"/>
  <c r="E1344" i="2" s="1"/>
  <c r="D1345" i="2"/>
  <c r="E1345" i="2" s="1" a="1"/>
  <c r="E1345" i="2" s="1"/>
  <c r="D1346" i="2"/>
  <c r="E1346" i="2" s="1" a="1"/>
  <c r="E1346" i="2" s="1"/>
  <c r="D1347" i="2"/>
  <c r="E1347" i="2" s="1" a="1"/>
  <c r="E1347" i="2" s="1"/>
  <c r="D1348" i="2"/>
  <c r="E1348" i="2" s="1" a="1"/>
  <c r="E1348" i="2" s="1"/>
  <c r="D1349" i="2"/>
  <c r="E1349" i="2" s="1" a="1"/>
  <c r="E1349" i="2" s="1"/>
  <c r="D1350" i="2"/>
  <c r="E1350" i="2" s="1" a="1"/>
  <c r="E1350" i="2" s="1"/>
  <c r="D1351" i="2"/>
  <c r="E1351" i="2" s="1" a="1"/>
  <c r="E1351" i="2" s="1"/>
  <c r="D1352" i="2"/>
  <c r="E1352" i="2" s="1" a="1"/>
  <c r="E1352" i="2" s="1"/>
  <c r="D1353" i="2"/>
  <c r="E1353" i="2" s="1" a="1"/>
  <c r="E1353" i="2" s="1"/>
  <c r="D1354" i="2"/>
  <c r="E1354" i="2" s="1" a="1"/>
  <c r="E1354" i="2" s="1"/>
  <c r="D1355" i="2"/>
  <c r="E1355" i="2" s="1" a="1"/>
  <c r="E1355" i="2" s="1"/>
  <c r="D1356" i="2"/>
  <c r="E1356" i="2" s="1" a="1"/>
  <c r="E1356" i="2" s="1"/>
  <c r="D1357" i="2"/>
  <c r="E1357" i="2" s="1" a="1"/>
  <c r="E1357" i="2" s="1"/>
  <c r="D1358" i="2"/>
  <c r="E1358" i="2" s="1" a="1"/>
  <c r="E1358" i="2" s="1"/>
  <c r="D1359" i="2"/>
  <c r="E1359" i="2" s="1" a="1"/>
  <c r="E1359" i="2" s="1"/>
  <c r="D1360" i="2"/>
  <c r="E1360" i="2" s="1" a="1"/>
  <c r="E1360" i="2" s="1"/>
  <c r="D1361" i="2"/>
  <c r="E1361" i="2" s="1" a="1"/>
  <c r="E1361" i="2" s="1"/>
  <c r="D1362" i="2"/>
  <c r="E1362" i="2" s="1" a="1"/>
  <c r="E1362" i="2" s="1"/>
  <c r="D1363" i="2"/>
  <c r="E1363" i="2" s="1" a="1"/>
  <c r="E1363" i="2" s="1"/>
  <c r="D1364" i="2"/>
  <c r="E1364" i="2" s="1" a="1"/>
  <c r="E1364" i="2" s="1"/>
  <c r="D1365" i="2"/>
  <c r="E1365" i="2" s="1" a="1"/>
  <c r="E1365" i="2" s="1"/>
  <c r="D1366" i="2"/>
  <c r="E1366" i="2" s="1" a="1"/>
  <c r="E1366" i="2" s="1"/>
  <c r="D1367" i="2"/>
  <c r="E1367" i="2" s="1" a="1"/>
  <c r="E1367" i="2" s="1"/>
  <c r="D1368" i="2"/>
  <c r="E1368" i="2" s="1" a="1"/>
  <c r="E1368" i="2" s="1"/>
  <c r="D1369" i="2"/>
  <c r="E1369" i="2" s="1" a="1"/>
  <c r="E1369" i="2" s="1"/>
  <c r="D1370" i="2"/>
  <c r="E1370" i="2" s="1" a="1"/>
  <c r="E1370" i="2" s="1"/>
  <c r="D1371" i="2"/>
  <c r="E1371" i="2" s="1" a="1"/>
  <c r="E1371" i="2" s="1"/>
  <c r="D1372" i="2"/>
  <c r="E1372" i="2" s="1" a="1"/>
  <c r="E1372" i="2" s="1"/>
  <c r="D1373" i="2"/>
  <c r="E1373" i="2" s="1" a="1"/>
  <c r="E1373" i="2" s="1"/>
  <c r="D1374" i="2"/>
  <c r="E1374" i="2" s="1" a="1"/>
  <c r="E1374" i="2" s="1"/>
  <c r="D1375" i="2"/>
  <c r="E1375" i="2" s="1" a="1"/>
  <c r="E1375" i="2" s="1"/>
  <c r="D1376" i="2"/>
  <c r="E1376" i="2" s="1" a="1"/>
  <c r="E1376" i="2" s="1"/>
  <c r="D1377" i="2"/>
  <c r="E1377" i="2" s="1" a="1"/>
  <c r="E1377" i="2" s="1"/>
  <c r="D1378" i="2"/>
  <c r="E1378" i="2" s="1" a="1"/>
  <c r="E1378" i="2" s="1"/>
  <c r="D1379" i="2"/>
  <c r="E1379" i="2" s="1" a="1"/>
  <c r="E1379" i="2" s="1"/>
  <c r="D1380" i="2"/>
  <c r="E1380" i="2" s="1" a="1"/>
  <c r="E1380" i="2" s="1"/>
  <c r="D1381" i="2"/>
  <c r="E1381" i="2" s="1" a="1"/>
  <c r="E1381" i="2" s="1"/>
  <c r="D1382" i="2"/>
  <c r="E1382" i="2" s="1" a="1"/>
  <c r="E1382" i="2" s="1"/>
  <c r="D1383" i="2"/>
  <c r="E1383" i="2" s="1" a="1"/>
  <c r="E1383" i="2" s="1"/>
  <c r="D1384" i="2"/>
  <c r="E1384" i="2" s="1" a="1"/>
  <c r="E1384" i="2" s="1"/>
  <c r="D1385" i="2"/>
  <c r="E1385" i="2" s="1" a="1"/>
  <c r="E1385" i="2" s="1"/>
  <c r="D1386" i="2"/>
  <c r="E1386" i="2" s="1" a="1"/>
  <c r="E1386" i="2" s="1"/>
  <c r="D1387" i="2"/>
  <c r="E1387" i="2" s="1" a="1"/>
  <c r="E1387" i="2" s="1"/>
  <c r="D1388" i="2"/>
  <c r="E1388" i="2" s="1" a="1"/>
  <c r="E1388" i="2" s="1"/>
  <c r="D1389" i="2"/>
  <c r="E1389" i="2" s="1" a="1"/>
  <c r="E1389" i="2" s="1"/>
  <c r="D1390" i="2"/>
  <c r="E1390" i="2" s="1" a="1"/>
  <c r="E1390" i="2" s="1"/>
  <c r="D1391" i="2"/>
  <c r="E1391" i="2" s="1" a="1"/>
  <c r="E1391" i="2" s="1"/>
  <c r="D1392" i="2"/>
  <c r="E1392" i="2" s="1" a="1"/>
  <c r="E1392" i="2" s="1"/>
  <c r="D1393" i="2"/>
  <c r="E1393" i="2" s="1" a="1"/>
  <c r="E1393" i="2" s="1"/>
  <c r="D1394" i="2"/>
  <c r="E1394" i="2" s="1" a="1"/>
  <c r="E1394" i="2" s="1"/>
  <c r="D1395" i="2"/>
  <c r="E1395" i="2" s="1" a="1"/>
  <c r="E1395" i="2" s="1"/>
  <c r="D1396" i="2"/>
  <c r="E1396" i="2" s="1" a="1"/>
  <c r="E1396" i="2" s="1"/>
  <c r="D1397" i="2"/>
  <c r="E1397" i="2" s="1" a="1"/>
  <c r="E1397" i="2" s="1"/>
  <c r="D1398" i="2"/>
  <c r="E1398" i="2" s="1" a="1"/>
  <c r="E1398" i="2" s="1"/>
  <c r="D1399" i="2"/>
  <c r="E1399" i="2" s="1" a="1"/>
  <c r="E1399" i="2" s="1"/>
  <c r="D1400" i="2"/>
  <c r="E1400" i="2" s="1" a="1"/>
  <c r="E1400" i="2" s="1"/>
  <c r="D1401" i="2"/>
  <c r="E1401" i="2" s="1" a="1"/>
  <c r="E1401" i="2" s="1"/>
  <c r="D1402" i="2"/>
  <c r="E1402" i="2" s="1" a="1"/>
  <c r="E1402" i="2" s="1"/>
  <c r="D1403" i="2"/>
  <c r="E1403" i="2" s="1" a="1"/>
  <c r="E1403" i="2" s="1"/>
  <c r="D1404" i="2"/>
  <c r="E1404" i="2" s="1" a="1"/>
  <c r="E1404" i="2" s="1"/>
  <c r="D1405" i="2"/>
  <c r="E1405" i="2" s="1" a="1"/>
  <c r="E1405" i="2" s="1"/>
  <c r="D1406" i="2"/>
  <c r="E1406" i="2" s="1" a="1"/>
  <c r="E1406" i="2" s="1"/>
  <c r="D1407" i="2"/>
  <c r="E1407" i="2" s="1" a="1"/>
  <c r="E1407" i="2" s="1"/>
  <c r="D1408" i="2"/>
  <c r="E1408" i="2" s="1" a="1"/>
  <c r="E1408" i="2" s="1"/>
  <c r="D1409" i="2"/>
  <c r="E1409" i="2" s="1" a="1"/>
  <c r="E1409" i="2" s="1"/>
  <c r="D1410" i="2"/>
  <c r="E1410" i="2" s="1" a="1"/>
  <c r="E1410" i="2" s="1"/>
  <c r="D1411" i="2"/>
  <c r="E1411" i="2" s="1" a="1"/>
  <c r="E1411" i="2" s="1"/>
  <c r="D1412" i="2"/>
  <c r="E1412" i="2" s="1" a="1"/>
  <c r="E1412" i="2" s="1"/>
  <c r="D1413" i="2"/>
  <c r="E1413" i="2" s="1" a="1"/>
  <c r="E1413" i="2" s="1"/>
  <c r="D1414" i="2"/>
  <c r="E1414" i="2" s="1" a="1"/>
  <c r="E1414" i="2" s="1"/>
  <c r="D1415" i="2"/>
  <c r="E1415" i="2" s="1" a="1"/>
  <c r="E1415" i="2" s="1"/>
  <c r="D1416" i="2"/>
  <c r="E1416" i="2" s="1" a="1"/>
  <c r="E1416" i="2" s="1"/>
  <c r="D1417" i="2"/>
  <c r="E1417" i="2" s="1" a="1"/>
  <c r="E1417" i="2" s="1"/>
  <c r="D1418" i="2"/>
  <c r="E1418" i="2" s="1" a="1"/>
  <c r="E1418" i="2" s="1"/>
  <c r="D1419" i="2"/>
  <c r="E1419" i="2" s="1" a="1"/>
  <c r="E1419" i="2" s="1"/>
  <c r="D1420" i="2"/>
  <c r="E1420" i="2" s="1" a="1"/>
  <c r="E1420" i="2" s="1"/>
  <c r="D1421" i="2"/>
  <c r="E1421" i="2" s="1" a="1"/>
  <c r="E1421" i="2" s="1"/>
  <c r="D1422" i="2"/>
  <c r="E1422" i="2" s="1" a="1"/>
  <c r="E1422" i="2" s="1"/>
  <c r="D1423" i="2"/>
  <c r="E1423" i="2" s="1" a="1"/>
  <c r="E1423" i="2" s="1"/>
  <c r="D1424" i="2"/>
  <c r="E1424" i="2" s="1" a="1"/>
  <c r="E1424" i="2" s="1"/>
  <c r="D1425" i="2"/>
  <c r="E1425" i="2" s="1" a="1"/>
  <c r="E1425" i="2" s="1"/>
  <c r="D1426" i="2"/>
  <c r="E1426" i="2" s="1" a="1"/>
  <c r="E1426" i="2" s="1"/>
  <c r="D1427" i="2"/>
  <c r="E1427" i="2" s="1" a="1"/>
  <c r="E1427" i="2" s="1"/>
  <c r="D1428" i="2"/>
  <c r="E1428" i="2" s="1" a="1"/>
  <c r="E1428" i="2" s="1"/>
  <c r="D1429" i="2"/>
  <c r="E1429" i="2" s="1" a="1"/>
  <c r="E1429" i="2" s="1"/>
  <c r="D1430" i="2"/>
  <c r="E1430" i="2" s="1" a="1"/>
  <c r="E1430" i="2" s="1"/>
  <c r="D1431" i="2"/>
  <c r="E1431" i="2" s="1" a="1"/>
  <c r="E1431" i="2" s="1"/>
  <c r="D1432" i="2"/>
  <c r="E1432" i="2" s="1" a="1"/>
  <c r="E1432" i="2" s="1"/>
  <c r="D1433" i="2"/>
  <c r="E1433" i="2" s="1" a="1"/>
  <c r="E1433" i="2" s="1"/>
  <c r="D1434" i="2"/>
  <c r="E1434" i="2" s="1" a="1"/>
  <c r="E1434" i="2" s="1"/>
  <c r="D1435" i="2"/>
  <c r="E1435" i="2" s="1" a="1"/>
  <c r="E1435" i="2" s="1"/>
  <c r="D1436" i="2"/>
  <c r="E1436" i="2" s="1" a="1"/>
  <c r="E1436" i="2" s="1"/>
  <c r="D1437" i="2"/>
  <c r="E1437" i="2" s="1" a="1"/>
  <c r="E1437" i="2" s="1"/>
  <c r="D1438" i="2"/>
  <c r="E1438" i="2" s="1" a="1"/>
  <c r="E1438" i="2" s="1"/>
  <c r="D1439" i="2"/>
  <c r="E1439" i="2" s="1" a="1"/>
  <c r="E1439" i="2" s="1"/>
  <c r="D1440" i="2"/>
  <c r="E1440" i="2" s="1" a="1"/>
  <c r="E1440" i="2" s="1"/>
  <c r="D1441" i="2"/>
  <c r="E1441" i="2" s="1" a="1"/>
  <c r="E1441" i="2" s="1"/>
  <c r="D1442" i="2"/>
  <c r="E1442" i="2" s="1" a="1"/>
  <c r="E1442" i="2" s="1"/>
  <c r="D1443" i="2"/>
  <c r="E1443" i="2" s="1" a="1"/>
  <c r="E1443" i="2" s="1"/>
  <c r="D1444" i="2"/>
  <c r="E1444" i="2" s="1" a="1"/>
  <c r="E1444" i="2" s="1"/>
  <c r="D1445" i="2"/>
  <c r="E1445" i="2" s="1" a="1"/>
  <c r="E1445" i="2" s="1"/>
  <c r="D1446" i="2"/>
  <c r="E1446" i="2" s="1" a="1"/>
  <c r="E1446" i="2" s="1"/>
  <c r="D1447" i="2"/>
  <c r="E1447" i="2" s="1" a="1"/>
  <c r="E1447" i="2" s="1"/>
  <c r="D1448" i="2"/>
  <c r="E1448" i="2" s="1" a="1"/>
  <c r="E1448" i="2" s="1"/>
  <c r="D1449" i="2"/>
  <c r="E1449" i="2" s="1" a="1"/>
  <c r="E1449" i="2" s="1"/>
  <c r="D1450" i="2"/>
  <c r="E1450" i="2" s="1" a="1"/>
  <c r="E1450" i="2" s="1"/>
  <c r="D1451" i="2"/>
  <c r="E1451" i="2" s="1" a="1"/>
  <c r="E1451" i="2" s="1"/>
  <c r="D1452" i="2"/>
  <c r="E1452" i="2" s="1" a="1"/>
  <c r="E1452" i="2" s="1"/>
  <c r="D1453" i="2"/>
  <c r="E1453" i="2" s="1" a="1"/>
  <c r="E1453" i="2" s="1"/>
  <c r="D1454" i="2"/>
  <c r="E1454" i="2" s="1" a="1"/>
  <c r="E1454" i="2" s="1"/>
  <c r="D1455" i="2"/>
  <c r="E1455" i="2" s="1" a="1"/>
  <c r="E1455" i="2" s="1"/>
  <c r="D1456" i="2"/>
  <c r="E1456" i="2" s="1" a="1"/>
  <c r="E1456" i="2" s="1"/>
  <c r="D1457" i="2"/>
  <c r="E1457" i="2" s="1" a="1"/>
  <c r="E1457" i="2" s="1"/>
  <c r="D1458" i="2"/>
  <c r="E1458" i="2" s="1" a="1"/>
  <c r="E1458" i="2" s="1"/>
  <c r="D1459" i="2"/>
  <c r="E1459" i="2" s="1" a="1"/>
  <c r="E1459" i="2" s="1"/>
  <c r="D1460" i="2"/>
  <c r="E1460" i="2" s="1" a="1"/>
  <c r="E1460" i="2" s="1"/>
  <c r="D1461" i="2"/>
  <c r="E1461" i="2" s="1" a="1"/>
  <c r="E1461" i="2" s="1"/>
  <c r="D1462" i="2"/>
  <c r="E1462" i="2" s="1" a="1"/>
  <c r="E1462" i="2" s="1"/>
  <c r="D1463" i="2"/>
  <c r="E1463" i="2" s="1" a="1"/>
  <c r="E1463" i="2" s="1"/>
  <c r="D1464" i="2"/>
  <c r="E1464" i="2" s="1" a="1"/>
  <c r="E1464" i="2" s="1"/>
  <c r="D1465" i="2"/>
  <c r="E1465" i="2" s="1" a="1"/>
  <c r="E1465" i="2" s="1"/>
  <c r="D1466" i="2"/>
  <c r="E1466" i="2" s="1" a="1"/>
  <c r="E1466" i="2" s="1"/>
  <c r="D1467" i="2"/>
  <c r="E1467" i="2" s="1" a="1"/>
  <c r="E1467" i="2" s="1"/>
  <c r="D1468" i="2"/>
  <c r="E1468" i="2" s="1" a="1"/>
  <c r="E1468" i="2" s="1"/>
  <c r="D1469" i="2"/>
  <c r="E1469" i="2" s="1" a="1"/>
  <c r="E1469" i="2" s="1"/>
  <c r="D1470" i="2"/>
  <c r="E1470" i="2" s="1" a="1"/>
  <c r="E1470" i="2" s="1"/>
  <c r="D1471" i="2"/>
  <c r="E1471" i="2" s="1" a="1"/>
  <c r="E1471" i="2" s="1"/>
  <c r="D1472" i="2"/>
  <c r="E1472" i="2" s="1" a="1"/>
  <c r="E1472" i="2" s="1"/>
  <c r="D1473" i="2"/>
  <c r="E1473" i="2" s="1" a="1"/>
  <c r="E1473" i="2" s="1"/>
  <c r="D1474" i="2"/>
  <c r="E1474" i="2" s="1" a="1"/>
  <c r="E1474" i="2" s="1"/>
  <c r="D1475" i="2"/>
  <c r="E1475" i="2" s="1" a="1"/>
  <c r="E1475" i="2" s="1"/>
  <c r="D1476" i="2"/>
  <c r="E1476" i="2" s="1" a="1"/>
  <c r="E1476" i="2" s="1"/>
  <c r="D1477" i="2"/>
  <c r="E1477" i="2" s="1" a="1"/>
  <c r="E1477" i="2" s="1"/>
  <c r="D1478" i="2"/>
  <c r="E1478" i="2" s="1" a="1"/>
  <c r="E1478" i="2" s="1"/>
  <c r="D1479" i="2"/>
  <c r="E1479" i="2" s="1" a="1"/>
  <c r="E1479" i="2" s="1"/>
  <c r="D1480" i="2"/>
  <c r="E1480" i="2" s="1" a="1"/>
  <c r="E1480" i="2" s="1"/>
  <c r="D1481" i="2"/>
  <c r="E1481" i="2" s="1" a="1"/>
  <c r="E1481" i="2" s="1"/>
  <c r="D1482" i="2"/>
  <c r="E1482" i="2" s="1" a="1"/>
  <c r="E1482" i="2" s="1"/>
  <c r="D1483" i="2"/>
  <c r="E1483" i="2" s="1" a="1"/>
  <c r="E1483" i="2" s="1"/>
  <c r="D1484" i="2"/>
  <c r="E1484" i="2" s="1" a="1"/>
  <c r="E1484" i="2" s="1"/>
  <c r="D1485" i="2"/>
  <c r="E1485" i="2" s="1" a="1"/>
  <c r="E1485" i="2" s="1"/>
  <c r="D1486" i="2"/>
  <c r="E1486" i="2" s="1" a="1"/>
  <c r="E1486" i="2" s="1"/>
  <c r="D1487" i="2"/>
  <c r="E1487" i="2" s="1" a="1"/>
  <c r="E1487" i="2" s="1"/>
  <c r="D1488" i="2"/>
  <c r="E1488" i="2" s="1" a="1"/>
  <c r="E1488" i="2" s="1"/>
  <c r="D1489" i="2"/>
  <c r="E1489" i="2" s="1" a="1"/>
  <c r="E1489" i="2" s="1"/>
  <c r="D1490" i="2"/>
  <c r="E1490" i="2" s="1" a="1"/>
  <c r="E1490" i="2" s="1"/>
  <c r="D1491" i="2"/>
  <c r="E1491" i="2" s="1" a="1"/>
  <c r="E1491" i="2" s="1"/>
  <c r="D1492" i="2"/>
  <c r="E1492" i="2" s="1" a="1"/>
  <c r="E1492" i="2" s="1"/>
  <c r="D1493" i="2"/>
  <c r="E1493" i="2" s="1" a="1"/>
  <c r="E1493" i="2" s="1"/>
  <c r="D1494" i="2"/>
  <c r="E1494" i="2" s="1" a="1"/>
  <c r="E1494" i="2" s="1"/>
  <c r="D1495" i="2"/>
  <c r="E1495" i="2" s="1" a="1"/>
  <c r="E1495" i="2" s="1"/>
  <c r="D1496" i="2"/>
  <c r="E1496" i="2" s="1" a="1"/>
  <c r="E1496" i="2" s="1"/>
  <c r="D1497" i="2"/>
  <c r="E1497" i="2" s="1" a="1"/>
  <c r="E1497" i="2" s="1"/>
  <c r="D1498" i="2"/>
  <c r="E1498" i="2" s="1" a="1"/>
  <c r="E1498" i="2" s="1"/>
  <c r="D1499" i="2"/>
  <c r="E1499" i="2" s="1" a="1"/>
  <c r="E1499" i="2" s="1"/>
  <c r="D1500" i="2"/>
  <c r="E1500" i="2" s="1" a="1"/>
  <c r="E1500" i="2" s="1"/>
  <c r="D1501" i="2"/>
  <c r="E1501" i="2" s="1" a="1"/>
  <c r="E1501" i="2" s="1"/>
  <c r="D1502" i="2"/>
  <c r="E1502" i="2" s="1" a="1"/>
  <c r="E1502" i="2" s="1"/>
  <c r="D1503" i="2"/>
  <c r="E1503" i="2" s="1" a="1"/>
  <c r="E1503" i="2" s="1"/>
  <c r="D1504" i="2"/>
  <c r="E1504" i="2" s="1" a="1"/>
  <c r="E1504" i="2" s="1"/>
  <c r="D1505" i="2"/>
  <c r="E1505" i="2" s="1" a="1"/>
  <c r="E1505" i="2" s="1"/>
  <c r="D1506" i="2"/>
  <c r="E1506" i="2" s="1" a="1"/>
  <c r="E1506" i="2" s="1"/>
  <c r="D1507" i="2"/>
  <c r="E1507" i="2" s="1" a="1"/>
  <c r="E1507" i="2" s="1"/>
  <c r="D1508" i="2"/>
  <c r="E1508" i="2" s="1" a="1"/>
  <c r="E1508" i="2" s="1"/>
  <c r="D1509" i="2"/>
  <c r="E1509" i="2" s="1" a="1"/>
  <c r="E1509" i="2" s="1"/>
  <c r="D1510" i="2"/>
  <c r="E1510" i="2" s="1" a="1"/>
  <c r="E1510" i="2" s="1"/>
  <c r="D1511" i="2"/>
  <c r="E1511" i="2" s="1" a="1"/>
  <c r="E1511" i="2" s="1"/>
  <c r="D1512" i="2"/>
  <c r="E1512" i="2" s="1" a="1"/>
  <c r="E1512" i="2" s="1"/>
  <c r="D1513" i="2"/>
  <c r="E1513" i="2" s="1" a="1"/>
  <c r="E1513" i="2" s="1"/>
  <c r="D1514" i="2"/>
  <c r="E1514" i="2" s="1" a="1"/>
  <c r="E1514" i="2" s="1"/>
  <c r="D1515" i="2"/>
  <c r="E1515" i="2" s="1" a="1"/>
  <c r="E1515" i="2" s="1"/>
  <c r="D1516" i="2"/>
  <c r="E1516" i="2" s="1" a="1"/>
  <c r="E1516" i="2" s="1"/>
  <c r="D1517" i="2"/>
  <c r="E1517" i="2" s="1" a="1"/>
  <c r="E1517" i="2" s="1"/>
  <c r="D1518" i="2"/>
  <c r="E1518" i="2" s="1" a="1"/>
  <c r="E1518" i="2" s="1"/>
  <c r="D1519" i="2"/>
  <c r="E1519" i="2" s="1" a="1"/>
  <c r="E1519" i="2" s="1"/>
  <c r="D1520" i="2"/>
  <c r="E1520" i="2" s="1" a="1"/>
  <c r="E1520" i="2" s="1"/>
  <c r="D1521" i="2"/>
  <c r="E1521" i="2" s="1" a="1"/>
  <c r="E1521" i="2" s="1"/>
  <c r="D1522" i="2"/>
  <c r="E1522" i="2" s="1" a="1"/>
  <c r="E1522" i="2" s="1"/>
  <c r="D1523" i="2"/>
  <c r="E1523" i="2" s="1" a="1"/>
  <c r="E1523" i="2" s="1"/>
  <c r="D1524" i="2"/>
  <c r="E1524" i="2" s="1" a="1"/>
  <c r="E1524" i="2" s="1"/>
  <c r="D1525" i="2"/>
  <c r="E1525" i="2" s="1" a="1"/>
  <c r="E1525" i="2" s="1"/>
  <c r="D1526" i="2"/>
  <c r="E1526" i="2" s="1" a="1"/>
  <c r="E1526" i="2" s="1"/>
  <c r="D1527" i="2"/>
  <c r="E1527" i="2" s="1" a="1"/>
  <c r="E1527" i="2" s="1"/>
  <c r="D1528" i="2"/>
  <c r="E1528" i="2" s="1" a="1"/>
  <c r="E1528" i="2" s="1"/>
  <c r="D1529" i="2"/>
  <c r="E1529" i="2" s="1" a="1"/>
  <c r="E1529" i="2" s="1"/>
  <c r="D1530" i="2"/>
  <c r="E1530" i="2" s="1" a="1"/>
  <c r="E1530" i="2" s="1"/>
  <c r="D1531" i="2"/>
  <c r="E1531" i="2" s="1" a="1"/>
  <c r="E1531" i="2" s="1"/>
  <c r="D1532" i="2"/>
  <c r="E1532" i="2" s="1" a="1"/>
  <c r="E1532" i="2" s="1"/>
  <c r="D1533" i="2"/>
  <c r="E1533" i="2" s="1" a="1"/>
  <c r="E1533" i="2" s="1"/>
  <c r="D1534" i="2"/>
  <c r="E1534" i="2" s="1" a="1"/>
  <c r="E1534" i="2" s="1"/>
  <c r="D1535" i="2"/>
  <c r="E1535" i="2" s="1" a="1"/>
  <c r="E1535" i="2" s="1"/>
  <c r="D1536" i="2"/>
  <c r="E1536" i="2" s="1" a="1"/>
  <c r="E1536" i="2" s="1"/>
  <c r="D1537" i="2"/>
  <c r="E1537" i="2" s="1" a="1"/>
  <c r="E1537" i="2" s="1"/>
  <c r="D1538" i="2"/>
  <c r="E1538" i="2" s="1" a="1"/>
  <c r="E1538" i="2" s="1"/>
  <c r="D1539" i="2"/>
  <c r="E1539" i="2" s="1" a="1"/>
  <c r="E1539" i="2" s="1"/>
  <c r="D1540" i="2"/>
  <c r="E1540" i="2" s="1" a="1"/>
  <c r="E1540" i="2" s="1"/>
  <c r="D1541" i="2"/>
  <c r="E1541" i="2" s="1" a="1"/>
  <c r="E1541" i="2" s="1"/>
  <c r="D1542" i="2"/>
  <c r="E1542" i="2" s="1" a="1"/>
  <c r="E1542" i="2" s="1"/>
  <c r="D1543" i="2"/>
  <c r="E1543" i="2" s="1" a="1"/>
  <c r="E1543" i="2" s="1"/>
  <c r="D1544" i="2"/>
  <c r="E1544" i="2" s="1" a="1"/>
  <c r="E1544" i="2" s="1"/>
  <c r="D1545" i="2"/>
  <c r="E1545" i="2" s="1" a="1"/>
  <c r="E1545" i="2" s="1"/>
  <c r="D1546" i="2"/>
  <c r="E1546" i="2" s="1" a="1"/>
  <c r="E1546" i="2" s="1"/>
  <c r="D1547" i="2"/>
  <c r="E1547" i="2" s="1" a="1"/>
  <c r="E1547" i="2" s="1"/>
  <c r="D1548" i="2"/>
  <c r="E1548" i="2" s="1" a="1"/>
  <c r="E1548" i="2" s="1"/>
  <c r="D1549" i="2"/>
  <c r="E1549" i="2" s="1" a="1"/>
  <c r="E1549" i="2" s="1"/>
  <c r="D1550" i="2"/>
  <c r="E1550" i="2" s="1" a="1"/>
  <c r="E1550" i="2" s="1"/>
  <c r="D1551" i="2"/>
  <c r="E1551" i="2" s="1" a="1"/>
  <c r="E1551" i="2" s="1"/>
  <c r="D1552" i="2"/>
  <c r="E1552" i="2" s="1" a="1"/>
  <c r="E1552" i="2" s="1"/>
  <c r="D1553" i="2"/>
  <c r="E1553" i="2" s="1" a="1"/>
  <c r="E1553" i="2" s="1"/>
  <c r="D1554" i="2"/>
  <c r="E1554" i="2" s="1" a="1"/>
  <c r="E1554" i="2" s="1"/>
  <c r="D1555" i="2"/>
  <c r="E1555" i="2" s="1" a="1"/>
  <c r="E1555" i="2" s="1"/>
  <c r="D1556" i="2"/>
  <c r="E1556" i="2" s="1" a="1"/>
  <c r="E1556" i="2" s="1"/>
  <c r="D1557" i="2"/>
  <c r="E1557" i="2" s="1" a="1"/>
  <c r="E1557" i="2" s="1"/>
  <c r="D1558" i="2"/>
  <c r="E1558" i="2" s="1" a="1"/>
  <c r="E1558" i="2" s="1"/>
  <c r="D1559" i="2"/>
  <c r="E1559" i="2" s="1" a="1"/>
  <c r="E1559" i="2" s="1"/>
  <c r="D1560" i="2"/>
  <c r="E1560" i="2" s="1" a="1"/>
  <c r="E1560" i="2" s="1"/>
  <c r="D1561" i="2"/>
  <c r="E1561" i="2" s="1" a="1"/>
  <c r="E1561" i="2" s="1"/>
  <c r="D1562" i="2"/>
  <c r="E1562" i="2" s="1" a="1"/>
  <c r="E1562" i="2" s="1"/>
  <c r="D1563" i="2"/>
  <c r="E1563" i="2" s="1" a="1"/>
  <c r="E1563" i="2" s="1"/>
  <c r="D1564" i="2"/>
  <c r="E1564" i="2" s="1" a="1"/>
  <c r="E1564" i="2" s="1"/>
  <c r="D1565" i="2"/>
  <c r="E1565" i="2" s="1" a="1"/>
  <c r="E1565" i="2" s="1"/>
  <c r="D1566" i="2"/>
  <c r="E1566" i="2" s="1" a="1"/>
  <c r="E1566" i="2" s="1"/>
  <c r="D1567" i="2"/>
  <c r="E1567" i="2" s="1" a="1"/>
  <c r="E1567" i="2" s="1"/>
  <c r="D1568" i="2"/>
  <c r="E1568" i="2" s="1" a="1"/>
  <c r="E1568" i="2" s="1"/>
  <c r="D1569" i="2"/>
  <c r="E1569" i="2" s="1" a="1"/>
  <c r="E1569" i="2" s="1"/>
  <c r="D1570" i="2"/>
  <c r="E1570" i="2" s="1" a="1"/>
  <c r="E1570" i="2" s="1"/>
  <c r="D1571" i="2"/>
  <c r="E1571" i="2" s="1" a="1"/>
  <c r="E1571" i="2" s="1"/>
  <c r="D1572" i="2"/>
  <c r="E1572" i="2" s="1" a="1"/>
  <c r="E1572" i="2" s="1"/>
  <c r="D1573" i="2"/>
  <c r="E1573" i="2" s="1" a="1"/>
  <c r="E1573" i="2" s="1"/>
  <c r="D1574" i="2"/>
  <c r="E1574" i="2" s="1" a="1"/>
  <c r="E1574" i="2" s="1"/>
  <c r="D1575" i="2"/>
  <c r="E1575" i="2" s="1" a="1"/>
  <c r="E1575" i="2" s="1"/>
  <c r="D1576" i="2"/>
  <c r="E1576" i="2" s="1" a="1"/>
  <c r="E1576" i="2" s="1"/>
  <c r="D1577" i="2"/>
  <c r="E1577" i="2" s="1" a="1"/>
  <c r="E1577" i="2" s="1"/>
  <c r="D1578" i="2"/>
  <c r="E1578" i="2" s="1" a="1"/>
  <c r="E1578" i="2" s="1"/>
  <c r="D1579" i="2"/>
  <c r="E1579" i="2" s="1" a="1"/>
  <c r="E1579" i="2" s="1"/>
  <c r="D1580" i="2"/>
  <c r="E1580" i="2" s="1" a="1"/>
  <c r="E1580" i="2" s="1"/>
  <c r="D1581" i="2"/>
  <c r="E1581" i="2" s="1" a="1"/>
  <c r="E1581" i="2" s="1"/>
  <c r="D1582" i="2"/>
  <c r="E1582" i="2" s="1" a="1"/>
  <c r="E1582" i="2" s="1"/>
  <c r="D1583" i="2"/>
  <c r="E1583" i="2" s="1" a="1"/>
  <c r="E1583" i="2" s="1"/>
  <c r="D1584" i="2"/>
  <c r="E1584" i="2" s="1" a="1"/>
  <c r="E1584" i="2" s="1"/>
  <c r="D1585" i="2"/>
  <c r="E1585" i="2" s="1" a="1"/>
  <c r="E1585" i="2" s="1"/>
  <c r="D1586" i="2"/>
  <c r="E1586" i="2" s="1" a="1"/>
  <c r="E1586" i="2" s="1"/>
  <c r="D1587" i="2"/>
  <c r="E1587" i="2" s="1" a="1"/>
  <c r="E1587" i="2" s="1"/>
  <c r="D1588" i="2"/>
  <c r="E1588" i="2" s="1" a="1"/>
  <c r="E1588" i="2" s="1"/>
  <c r="D1589" i="2"/>
  <c r="E1589" i="2" s="1" a="1"/>
  <c r="E1589" i="2" s="1"/>
  <c r="D1590" i="2"/>
  <c r="E1590" i="2" s="1" a="1"/>
  <c r="E1590" i="2" s="1"/>
  <c r="D1591" i="2"/>
  <c r="E1591" i="2" s="1" a="1"/>
  <c r="E1591" i="2" s="1"/>
  <c r="D1592" i="2"/>
  <c r="E1592" i="2" s="1" a="1"/>
  <c r="E1592" i="2" s="1"/>
  <c r="D1593" i="2"/>
  <c r="E1593" i="2" s="1" a="1"/>
  <c r="E1593" i="2" s="1"/>
  <c r="D1594" i="2"/>
  <c r="E1594" i="2" s="1" a="1"/>
  <c r="E1594" i="2" s="1"/>
  <c r="D1595" i="2"/>
  <c r="E1595" i="2" s="1" a="1"/>
  <c r="E1595" i="2" s="1"/>
  <c r="D1596" i="2"/>
  <c r="E1596" i="2" s="1" a="1"/>
  <c r="E1596" i="2" s="1"/>
  <c r="D1597" i="2"/>
  <c r="E1597" i="2" s="1" a="1"/>
  <c r="E1597" i="2" s="1"/>
  <c r="D1598" i="2"/>
  <c r="E1598" i="2" s="1" a="1"/>
  <c r="E1598" i="2" s="1"/>
  <c r="D1599" i="2"/>
  <c r="E1599" i="2" s="1" a="1"/>
  <c r="E1599" i="2" s="1"/>
  <c r="D1600" i="2"/>
  <c r="E1600" i="2" s="1" a="1"/>
  <c r="E1600" i="2" s="1"/>
  <c r="D1601" i="2"/>
  <c r="E1601" i="2" s="1" a="1"/>
  <c r="E1601" i="2" s="1"/>
  <c r="D1602" i="2"/>
  <c r="E1602" i="2" s="1" a="1"/>
  <c r="E1602" i="2" s="1"/>
  <c r="D1603" i="2"/>
  <c r="E1603" i="2" s="1" a="1"/>
  <c r="E1603" i="2" s="1"/>
  <c r="D1604" i="2"/>
  <c r="E1604" i="2" s="1" a="1"/>
  <c r="E1604" i="2" s="1"/>
  <c r="D1605" i="2"/>
  <c r="E1605" i="2" s="1" a="1"/>
  <c r="E1605" i="2" s="1"/>
  <c r="D1606" i="2"/>
  <c r="E1606" i="2" s="1" a="1"/>
  <c r="E1606" i="2" s="1"/>
  <c r="D1607" i="2"/>
  <c r="E1607" i="2" s="1" a="1"/>
  <c r="E1607" i="2" s="1"/>
  <c r="D1608" i="2"/>
  <c r="E1608" i="2" s="1" a="1"/>
  <c r="E1608" i="2" s="1"/>
  <c r="D1609" i="2"/>
  <c r="E1609" i="2" s="1" a="1"/>
  <c r="E1609" i="2" s="1"/>
  <c r="D1610" i="2"/>
  <c r="E1610" i="2" s="1" a="1"/>
  <c r="E1610" i="2" s="1"/>
  <c r="D1611" i="2"/>
  <c r="E1611" i="2" s="1" a="1"/>
  <c r="E1611" i="2" s="1"/>
  <c r="D1612" i="2"/>
  <c r="E1612" i="2" s="1" a="1"/>
  <c r="E1612" i="2" s="1"/>
  <c r="D1613" i="2"/>
  <c r="E1613" i="2" s="1" a="1"/>
  <c r="E1613" i="2" s="1"/>
  <c r="D1614" i="2"/>
  <c r="E1614" i="2" s="1" a="1"/>
  <c r="E1614" i="2" s="1"/>
  <c r="D1615" i="2"/>
  <c r="E1615" i="2" s="1" a="1"/>
  <c r="E1615" i="2" s="1"/>
  <c r="D1616" i="2"/>
  <c r="E1616" i="2" s="1" a="1"/>
  <c r="E1616" i="2" s="1"/>
  <c r="D1617" i="2"/>
  <c r="E1617" i="2" s="1" a="1"/>
  <c r="E1617" i="2" s="1"/>
  <c r="D1618" i="2"/>
  <c r="E1618" i="2" s="1" a="1"/>
  <c r="E1618" i="2" s="1"/>
  <c r="D1619" i="2"/>
  <c r="E1619" i="2" s="1" a="1"/>
  <c r="E1619" i="2" s="1"/>
  <c r="D1620" i="2"/>
  <c r="E1620" i="2" s="1" a="1"/>
  <c r="E1620" i="2" s="1"/>
  <c r="D1621" i="2"/>
  <c r="E1621" i="2" s="1" a="1"/>
  <c r="E1621" i="2" s="1"/>
  <c r="D1622" i="2"/>
  <c r="E1622" i="2" s="1" a="1"/>
  <c r="E1622" i="2" s="1"/>
  <c r="D1623" i="2"/>
  <c r="E1623" i="2" s="1" a="1"/>
  <c r="E1623" i="2" s="1"/>
  <c r="D1624" i="2"/>
  <c r="E1624" i="2" s="1" a="1"/>
  <c r="E1624" i="2" s="1"/>
  <c r="D1625" i="2"/>
  <c r="E1625" i="2" s="1" a="1"/>
  <c r="E1625" i="2" s="1"/>
  <c r="D1626" i="2"/>
  <c r="E1626" i="2" s="1" a="1"/>
  <c r="E1626" i="2" s="1"/>
  <c r="D1627" i="2"/>
  <c r="E1627" i="2" s="1" a="1"/>
  <c r="E1627" i="2" s="1"/>
  <c r="D1628" i="2"/>
  <c r="E1628" i="2" s="1" a="1"/>
  <c r="E1628" i="2" s="1"/>
  <c r="D1629" i="2"/>
  <c r="E1629" i="2" s="1" a="1"/>
  <c r="E1629" i="2" s="1"/>
  <c r="D1630" i="2"/>
  <c r="E1630" i="2" s="1" a="1"/>
  <c r="E1630" i="2" s="1"/>
  <c r="D1631" i="2"/>
  <c r="E1631" i="2" s="1" a="1"/>
  <c r="E1631" i="2" s="1"/>
  <c r="D1632" i="2"/>
  <c r="E1632" i="2" s="1" a="1"/>
  <c r="E1632" i="2" s="1"/>
  <c r="D1633" i="2"/>
  <c r="E1633" i="2" s="1" a="1"/>
  <c r="E1633" i="2" s="1"/>
  <c r="D1634" i="2"/>
  <c r="E1634" i="2" s="1" a="1"/>
  <c r="E1634" i="2" s="1"/>
  <c r="D1635" i="2"/>
  <c r="E1635" i="2" s="1" a="1"/>
  <c r="E1635" i="2" s="1"/>
  <c r="D1636" i="2"/>
  <c r="E1636" i="2" s="1" a="1"/>
  <c r="E1636" i="2" s="1"/>
  <c r="D1637" i="2"/>
  <c r="E1637" i="2" s="1" a="1"/>
  <c r="E1637" i="2" s="1"/>
  <c r="D1638" i="2"/>
  <c r="E1638" i="2" s="1" a="1"/>
  <c r="E1638" i="2" s="1"/>
  <c r="D1639" i="2"/>
  <c r="E1639" i="2" s="1" a="1"/>
  <c r="E1639" i="2" s="1"/>
  <c r="D1640" i="2"/>
  <c r="E1640" i="2" s="1" a="1"/>
  <c r="E1640" i="2" s="1"/>
  <c r="D1641" i="2"/>
  <c r="E1641" i="2" s="1" a="1"/>
  <c r="E1641" i="2" s="1"/>
  <c r="D1642" i="2"/>
  <c r="E1642" i="2" s="1" a="1"/>
  <c r="E1642" i="2" s="1"/>
  <c r="D1643" i="2"/>
  <c r="E1643" i="2" s="1" a="1"/>
  <c r="E1643" i="2" s="1"/>
  <c r="D1644" i="2"/>
  <c r="E1644" i="2" s="1" a="1"/>
  <c r="E1644" i="2" s="1"/>
  <c r="D1645" i="2"/>
  <c r="E1645" i="2" s="1" a="1"/>
  <c r="E1645" i="2" s="1"/>
  <c r="D1646" i="2"/>
  <c r="E1646" i="2" s="1" a="1"/>
  <c r="E1646" i="2" s="1"/>
  <c r="D1647" i="2"/>
  <c r="E1647" i="2" s="1" a="1"/>
  <c r="E1647" i="2" s="1"/>
  <c r="D1648" i="2"/>
  <c r="E1648" i="2" s="1" a="1"/>
  <c r="E1648" i="2" s="1"/>
  <c r="D1649" i="2"/>
  <c r="E1649" i="2" s="1" a="1"/>
  <c r="E1649" i="2" s="1"/>
  <c r="D1650" i="2"/>
  <c r="E1650" i="2" s="1" a="1"/>
  <c r="E1650" i="2" s="1"/>
  <c r="D1651" i="2"/>
  <c r="E1651" i="2" s="1" a="1"/>
  <c r="E1651" i="2" s="1"/>
  <c r="D1652" i="2"/>
  <c r="E1652" i="2" s="1" a="1"/>
  <c r="E1652" i="2" s="1"/>
  <c r="D1653" i="2"/>
  <c r="E1653" i="2" s="1" a="1"/>
  <c r="E1653" i="2" s="1"/>
  <c r="D1654" i="2"/>
  <c r="E1654" i="2" s="1" a="1"/>
  <c r="E1654" i="2" s="1"/>
  <c r="D1655" i="2"/>
  <c r="E1655" i="2" s="1" a="1"/>
  <c r="E1655" i="2" s="1"/>
  <c r="D1656" i="2"/>
  <c r="E1656" i="2" s="1" a="1"/>
  <c r="E1656" i="2" s="1"/>
  <c r="D1657" i="2"/>
  <c r="E1657" i="2" s="1" a="1"/>
  <c r="E1657" i="2" s="1"/>
  <c r="D1658" i="2"/>
  <c r="E1658" i="2" s="1" a="1"/>
  <c r="E1658" i="2" s="1"/>
  <c r="D1659" i="2"/>
  <c r="E1659" i="2" s="1" a="1"/>
  <c r="E1659" i="2" s="1"/>
  <c r="D1660" i="2"/>
  <c r="E1660" i="2" s="1" a="1"/>
  <c r="E1660" i="2" s="1"/>
  <c r="D1661" i="2"/>
  <c r="E1661" i="2" s="1" a="1"/>
  <c r="E1661" i="2" s="1"/>
  <c r="D1662" i="2"/>
  <c r="E1662" i="2" s="1" a="1"/>
  <c r="E1662" i="2" s="1"/>
  <c r="D1663" i="2"/>
  <c r="E1663" i="2" s="1" a="1"/>
  <c r="E1663" i="2" s="1"/>
  <c r="D1664" i="2"/>
  <c r="E1664" i="2" s="1" a="1"/>
  <c r="E1664" i="2" s="1"/>
  <c r="D1665" i="2"/>
  <c r="E1665" i="2" s="1" a="1"/>
  <c r="E1665" i="2" s="1"/>
  <c r="D1666" i="2"/>
  <c r="E1666" i="2" s="1" a="1"/>
  <c r="E1666" i="2" s="1"/>
  <c r="D1667" i="2"/>
  <c r="E1667" i="2" s="1" a="1"/>
  <c r="E1667" i="2" s="1"/>
  <c r="D1668" i="2"/>
  <c r="E1668" i="2" s="1" a="1"/>
  <c r="E1668" i="2" s="1"/>
  <c r="D1669" i="2"/>
  <c r="E1669" i="2" s="1" a="1"/>
  <c r="E1669" i="2" s="1"/>
  <c r="D1670" i="2"/>
  <c r="E1670" i="2" s="1" a="1"/>
  <c r="E1670" i="2" s="1"/>
  <c r="D1671" i="2"/>
  <c r="E1671" i="2" s="1" a="1"/>
  <c r="E1671" i="2" s="1"/>
  <c r="D1672" i="2"/>
  <c r="E1672" i="2" s="1" a="1"/>
  <c r="E1672" i="2" s="1"/>
  <c r="D1673" i="2"/>
  <c r="E1673" i="2" s="1" a="1"/>
  <c r="E1673" i="2" s="1"/>
  <c r="D1674" i="2"/>
  <c r="E1674" i="2" s="1" a="1"/>
  <c r="E1674" i="2" s="1"/>
  <c r="D1675" i="2"/>
  <c r="E1675" i="2" s="1" a="1"/>
  <c r="E1675" i="2" s="1"/>
  <c r="D1676" i="2"/>
  <c r="E1676" i="2" s="1" a="1"/>
  <c r="E1676" i="2" s="1"/>
  <c r="D1677" i="2"/>
  <c r="E1677" i="2" s="1" a="1"/>
  <c r="E1677" i="2" s="1"/>
  <c r="D1678" i="2"/>
  <c r="E1678" i="2" s="1" a="1"/>
  <c r="E1678" i="2" s="1"/>
  <c r="D1679" i="2"/>
  <c r="E1679" i="2" s="1" a="1"/>
  <c r="E1679" i="2" s="1"/>
  <c r="D1680" i="2"/>
  <c r="E1680" i="2" s="1" a="1"/>
  <c r="E1680" i="2" s="1"/>
  <c r="D1681" i="2"/>
  <c r="E1681" i="2" s="1" a="1"/>
  <c r="E1681" i="2" s="1"/>
  <c r="D1682" i="2"/>
  <c r="E1682" i="2" s="1" a="1"/>
  <c r="E1682" i="2" s="1"/>
  <c r="D1683" i="2"/>
  <c r="E1683" i="2" s="1" a="1"/>
  <c r="E1683" i="2" s="1"/>
  <c r="D1684" i="2"/>
  <c r="E1684" i="2" s="1" a="1"/>
  <c r="E1684" i="2" s="1"/>
  <c r="D1685" i="2"/>
  <c r="E1685" i="2" s="1" a="1"/>
  <c r="E1685" i="2" s="1"/>
  <c r="D1686" i="2"/>
  <c r="E1686" i="2" s="1" a="1"/>
  <c r="E1686" i="2" s="1"/>
  <c r="D1687" i="2"/>
  <c r="E1687" i="2" s="1" a="1"/>
  <c r="E1687" i="2" s="1"/>
  <c r="D1688" i="2"/>
  <c r="E1688" i="2" s="1" a="1"/>
  <c r="E1688" i="2" s="1"/>
  <c r="D1689" i="2"/>
  <c r="E1689" i="2" s="1" a="1"/>
  <c r="E1689" i="2" s="1"/>
  <c r="D1690" i="2"/>
  <c r="E1690" i="2" s="1" a="1"/>
  <c r="E1690" i="2" s="1"/>
  <c r="D1691" i="2"/>
  <c r="E1691" i="2" s="1" a="1"/>
  <c r="E1691" i="2" s="1"/>
  <c r="D1692" i="2"/>
  <c r="E1692" i="2" s="1" a="1"/>
  <c r="E1692" i="2" s="1"/>
  <c r="D1693" i="2"/>
  <c r="E1693" i="2" s="1" a="1"/>
  <c r="E1693" i="2" s="1"/>
  <c r="D1694" i="2"/>
  <c r="E1694" i="2" s="1" a="1"/>
  <c r="E1694" i="2" s="1"/>
  <c r="D1695" i="2"/>
  <c r="E1695" i="2" s="1" a="1"/>
  <c r="E1695" i="2" s="1"/>
  <c r="D1696" i="2"/>
  <c r="E1696" i="2" s="1" a="1"/>
  <c r="E1696" i="2" s="1"/>
  <c r="D1697" i="2"/>
  <c r="E1697" i="2" s="1" a="1"/>
  <c r="E1697" i="2" s="1"/>
  <c r="D1698" i="2"/>
  <c r="E1698" i="2" s="1" a="1"/>
  <c r="E1698" i="2" s="1"/>
  <c r="D1699" i="2"/>
  <c r="E1699" i="2" s="1" a="1"/>
  <c r="E1699" i="2" s="1"/>
  <c r="D1700" i="2"/>
  <c r="E1700" i="2" s="1" a="1"/>
  <c r="E1700" i="2" s="1"/>
  <c r="D1701" i="2"/>
  <c r="E1701" i="2" s="1" a="1"/>
  <c r="E1701" i="2" s="1"/>
  <c r="D1702" i="2"/>
  <c r="E1702" i="2" s="1" a="1"/>
  <c r="E1702" i="2" s="1"/>
  <c r="D1703" i="2"/>
  <c r="E1703" i="2" s="1" a="1"/>
  <c r="E1703" i="2" s="1"/>
  <c r="D1704" i="2"/>
  <c r="E1704" i="2" s="1" a="1"/>
  <c r="E1704" i="2" s="1"/>
  <c r="D1705" i="2"/>
  <c r="E1705" i="2" s="1" a="1"/>
  <c r="E1705" i="2" s="1"/>
  <c r="D1706" i="2"/>
  <c r="E1706" i="2" s="1" a="1"/>
  <c r="E1706" i="2" s="1"/>
  <c r="D1707" i="2"/>
  <c r="E1707" i="2" s="1" a="1"/>
  <c r="E1707" i="2" s="1"/>
  <c r="D1708" i="2"/>
  <c r="E1708" i="2" s="1" a="1"/>
  <c r="E1708" i="2" s="1"/>
  <c r="D1709" i="2"/>
  <c r="E1709" i="2" s="1" a="1"/>
  <c r="E1709" i="2" s="1"/>
  <c r="D1710" i="2"/>
  <c r="E1710" i="2" s="1" a="1"/>
  <c r="E1710" i="2" s="1"/>
  <c r="D1711" i="2"/>
  <c r="E1711" i="2" s="1" a="1"/>
  <c r="E1711" i="2" s="1"/>
  <c r="D1712" i="2"/>
  <c r="E1712" i="2" s="1" a="1"/>
  <c r="E1712" i="2" s="1"/>
  <c r="D1713" i="2"/>
  <c r="E1713" i="2" s="1" a="1"/>
  <c r="E1713" i="2" s="1"/>
  <c r="D1714" i="2"/>
  <c r="E1714" i="2" s="1" a="1"/>
  <c r="E1714" i="2" s="1"/>
  <c r="D1715" i="2"/>
  <c r="E1715" i="2" s="1" a="1"/>
  <c r="E1715" i="2" s="1"/>
  <c r="D1716" i="2"/>
  <c r="E1716" i="2" s="1" a="1"/>
  <c r="E1716" i="2" s="1"/>
  <c r="D1717" i="2"/>
  <c r="E1717" i="2" s="1" a="1"/>
  <c r="E1717" i="2" s="1"/>
  <c r="D1718" i="2"/>
  <c r="E1718" i="2" s="1" a="1"/>
  <c r="E1718" i="2" s="1"/>
  <c r="D1719" i="2"/>
  <c r="E1719" i="2" s="1" a="1"/>
  <c r="E1719" i="2" s="1"/>
  <c r="D1720" i="2"/>
  <c r="E1720" i="2" s="1" a="1"/>
  <c r="E1720" i="2" s="1"/>
  <c r="D1721" i="2"/>
  <c r="E1721" i="2" s="1" a="1"/>
  <c r="E1721" i="2" s="1"/>
  <c r="D1722" i="2"/>
  <c r="E1722" i="2" s="1" a="1"/>
  <c r="E1722" i="2" s="1"/>
  <c r="D1723" i="2"/>
  <c r="E1723" i="2" s="1" a="1"/>
  <c r="E1723" i="2" s="1"/>
  <c r="D1724" i="2"/>
  <c r="E1724" i="2" s="1" a="1"/>
  <c r="E1724" i="2" s="1"/>
  <c r="D1725" i="2"/>
  <c r="E1725" i="2" s="1" a="1"/>
  <c r="E1725" i="2" s="1"/>
  <c r="D1726" i="2"/>
  <c r="E1726" i="2" s="1" a="1"/>
  <c r="E1726" i="2" s="1"/>
  <c r="D1727" i="2"/>
  <c r="E1727" i="2" s="1" a="1"/>
  <c r="E1727" i="2" s="1"/>
  <c r="D1728" i="2"/>
  <c r="E1728" i="2" s="1" a="1"/>
  <c r="E1728" i="2" s="1"/>
  <c r="D1729" i="2"/>
  <c r="E1729" i="2" s="1" a="1"/>
  <c r="E1729" i="2" s="1"/>
  <c r="D1730" i="2"/>
  <c r="E1730" i="2" s="1" a="1"/>
  <c r="E1730" i="2" s="1"/>
  <c r="D1731" i="2"/>
  <c r="E1731" i="2" s="1" a="1"/>
  <c r="E1731" i="2" s="1"/>
  <c r="D1732" i="2"/>
  <c r="E1732" i="2" s="1" a="1"/>
  <c r="E1732" i="2" s="1"/>
  <c r="D1733" i="2"/>
  <c r="E1733" i="2" s="1" a="1"/>
  <c r="E1733" i="2" s="1"/>
  <c r="D1734" i="2"/>
  <c r="E1734" i="2" s="1" a="1"/>
  <c r="E1734" i="2" s="1"/>
  <c r="D1735" i="2"/>
  <c r="E1735" i="2" s="1" a="1"/>
  <c r="E1735" i="2" s="1"/>
  <c r="D1736" i="2"/>
  <c r="E1736" i="2" s="1" a="1"/>
  <c r="E1736" i="2" s="1"/>
  <c r="D1737" i="2"/>
  <c r="E1737" i="2" s="1" a="1"/>
  <c r="E1737" i="2" s="1"/>
  <c r="D1738" i="2"/>
  <c r="E1738" i="2" s="1" a="1"/>
  <c r="E1738" i="2" s="1"/>
  <c r="D1739" i="2"/>
  <c r="E1739" i="2" s="1" a="1"/>
  <c r="E1739" i="2" s="1"/>
  <c r="D1740" i="2"/>
  <c r="E1740" i="2" s="1" a="1"/>
  <c r="E1740" i="2" s="1"/>
  <c r="D1741" i="2"/>
  <c r="E1741" i="2" s="1" a="1"/>
  <c r="E1741" i="2" s="1"/>
  <c r="D1742" i="2"/>
  <c r="E1742" i="2" s="1" a="1"/>
  <c r="E1742" i="2" s="1"/>
  <c r="D1743" i="2"/>
  <c r="E1743" i="2" s="1" a="1"/>
  <c r="E1743" i="2" s="1"/>
  <c r="D1744" i="2"/>
  <c r="E1744" i="2" s="1" a="1"/>
  <c r="E1744" i="2" s="1"/>
  <c r="D1745" i="2"/>
  <c r="E1745" i="2" s="1" a="1"/>
  <c r="E1745" i="2" s="1"/>
  <c r="D1746" i="2"/>
  <c r="E1746" i="2" s="1" a="1"/>
  <c r="E1746" i="2" s="1"/>
  <c r="D1747" i="2"/>
  <c r="E1747" i="2" s="1" a="1"/>
  <c r="E1747" i="2" s="1"/>
  <c r="D1748" i="2"/>
  <c r="E1748" i="2" s="1" a="1"/>
  <c r="E1748" i="2" s="1"/>
  <c r="D1749" i="2"/>
  <c r="E1749" i="2" s="1" a="1"/>
  <c r="E1749" i="2" s="1"/>
  <c r="D1750" i="2"/>
  <c r="E1750" i="2" s="1" a="1"/>
  <c r="E1750" i="2" s="1"/>
  <c r="D1751" i="2"/>
  <c r="E1751" i="2" s="1" a="1"/>
  <c r="E1751" i="2" s="1"/>
  <c r="D1752" i="2"/>
  <c r="E1752" i="2" s="1" a="1"/>
  <c r="E1752" i="2" s="1"/>
  <c r="D1753" i="2"/>
  <c r="E1753" i="2" s="1" a="1"/>
  <c r="E1753" i="2" s="1"/>
  <c r="D1754" i="2"/>
  <c r="E1754" i="2" s="1" a="1"/>
  <c r="E1754" i="2" s="1"/>
  <c r="D1755" i="2"/>
  <c r="E1755" i="2" s="1" a="1"/>
  <c r="E1755" i="2" s="1"/>
  <c r="D1756" i="2"/>
  <c r="E1756" i="2" s="1" a="1"/>
  <c r="E1756" i="2" s="1"/>
  <c r="D1757" i="2"/>
  <c r="E1757" i="2" s="1" a="1"/>
  <c r="E1757" i="2" s="1"/>
  <c r="D1758" i="2"/>
  <c r="E1758" i="2" s="1" a="1"/>
  <c r="E1758" i="2" s="1"/>
  <c r="D1759" i="2"/>
  <c r="E1759" i="2" s="1" a="1"/>
  <c r="E1759" i="2" s="1"/>
  <c r="D1760" i="2"/>
  <c r="E1760" i="2" s="1" a="1"/>
  <c r="E1760" i="2" s="1"/>
  <c r="D1761" i="2"/>
  <c r="E1761" i="2" s="1" a="1"/>
  <c r="E1761" i="2" s="1"/>
  <c r="D1762" i="2"/>
  <c r="E1762" i="2" s="1" a="1"/>
  <c r="E1762" i="2" s="1"/>
  <c r="D1763" i="2"/>
  <c r="E1763" i="2" s="1" a="1"/>
  <c r="E1763" i="2" s="1"/>
  <c r="D1764" i="2"/>
  <c r="E1764" i="2" s="1" a="1"/>
  <c r="E1764" i="2" s="1"/>
  <c r="D1765" i="2"/>
  <c r="E1765" i="2" s="1" a="1"/>
  <c r="E1765" i="2" s="1"/>
  <c r="D1766" i="2"/>
  <c r="E1766" i="2" s="1" a="1"/>
  <c r="E1766" i="2" s="1"/>
  <c r="D1767" i="2"/>
  <c r="E1767" i="2" s="1" a="1"/>
  <c r="E1767" i="2" s="1"/>
  <c r="D1768" i="2"/>
  <c r="E1768" i="2" s="1" a="1"/>
  <c r="E1768" i="2" s="1"/>
  <c r="D1769" i="2"/>
  <c r="E1769" i="2" s="1" a="1"/>
  <c r="E1769" i="2" s="1"/>
  <c r="D1770" i="2"/>
  <c r="E1770" i="2" s="1" a="1"/>
  <c r="E1770" i="2" s="1"/>
  <c r="D1771" i="2"/>
  <c r="E1771" i="2" s="1" a="1"/>
  <c r="E1771" i="2" s="1"/>
  <c r="D1772" i="2"/>
  <c r="E1772" i="2" s="1" a="1"/>
  <c r="E1772" i="2" s="1"/>
  <c r="D1773" i="2"/>
  <c r="E1773" i="2" s="1" a="1"/>
  <c r="E1773" i="2" s="1"/>
  <c r="D1774" i="2"/>
  <c r="E1774" i="2" s="1" a="1"/>
  <c r="E1774" i="2" s="1"/>
  <c r="D1775" i="2"/>
  <c r="E1775" i="2" s="1" a="1"/>
  <c r="E1775" i="2" s="1"/>
  <c r="D1776" i="2"/>
  <c r="E1776" i="2" s="1" a="1"/>
  <c r="E1776" i="2" s="1"/>
  <c r="D1777" i="2"/>
  <c r="E1777" i="2" s="1" a="1"/>
  <c r="E1777" i="2" s="1"/>
  <c r="D1778" i="2"/>
  <c r="E1778" i="2" s="1" a="1"/>
  <c r="E1778" i="2" s="1"/>
  <c r="D1779" i="2"/>
  <c r="E1779" i="2" s="1" a="1"/>
  <c r="E1779" i="2" s="1"/>
  <c r="D1780" i="2"/>
  <c r="E1780" i="2" s="1" a="1"/>
  <c r="E1780" i="2" s="1"/>
  <c r="D1781" i="2"/>
  <c r="E1781" i="2" s="1" a="1"/>
  <c r="E1781" i="2" s="1"/>
  <c r="D1782" i="2"/>
  <c r="E1782" i="2" s="1" a="1"/>
  <c r="E1782" i="2" s="1"/>
  <c r="D1783" i="2"/>
  <c r="E1783" i="2" s="1" a="1"/>
  <c r="E1783" i="2" s="1"/>
  <c r="D1784" i="2"/>
  <c r="E1784" i="2" s="1" a="1"/>
  <c r="E1784" i="2" s="1"/>
  <c r="D1785" i="2"/>
  <c r="E1785" i="2" s="1" a="1"/>
  <c r="E1785" i="2" s="1"/>
  <c r="D1786" i="2"/>
  <c r="E1786" i="2" s="1" a="1"/>
  <c r="E1786" i="2" s="1"/>
  <c r="D1787" i="2"/>
  <c r="E1787" i="2" s="1" a="1"/>
  <c r="E1787" i="2" s="1"/>
  <c r="D1788" i="2"/>
  <c r="E1788" i="2" s="1" a="1"/>
  <c r="E1788" i="2" s="1"/>
  <c r="D1789" i="2"/>
  <c r="E1789" i="2" s="1" a="1"/>
  <c r="E1789" i="2" s="1"/>
  <c r="D1790" i="2"/>
  <c r="E1790" i="2" s="1" a="1"/>
  <c r="E1790" i="2" s="1"/>
  <c r="D1791" i="2"/>
  <c r="E1791" i="2" s="1" a="1"/>
  <c r="E1791" i="2" s="1"/>
  <c r="D1792" i="2"/>
  <c r="E1792" i="2" s="1" a="1"/>
  <c r="E1792" i="2" s="1"/>
  <c r="D1793" i="2"/>
  <c r="E1793" i="2" s="1" a="1"/>
  <c r="E1793" i="2" s="1"/>
  <c r="D1794" i="2"/>
  <c r="E1794" i="2" s="1" a="1"/>
  <c r="E1794" i="2" s="1"/>
  <c r="D1795" i="2"/>
  <c r="E1795" i="2" s="1" a="1"/>
  <c r="E1795" i="2" s="1"/>
  <c r="D1796" i="2"/>
  <c r="E1796" i="2" s="1" a="1"/>
  <c r="E1796" i="2" s="1"/>
  <c r="D1797" i="2"/>
  <c r="E1797" i="2" s="1" a="1"/>
  <c r="E1797" i="2" s="1"/>
  <c r="D1798" i="2"/>
  <c r="E1798" i="2" s="1" a="1"/>
  <c r="E1798" i="2" s="1"/>
  <c r="D1799" i="2"/>
  <c r="E1799" i="2" s="1" a="1"/>
  <c r="E1799" i="2" s="1"/>
  <c r="D1800" i="2"/>
  <c r="E1800" i="2" s="1" a="1"/>
  <c r="E1800" i="2" s="1"/>
  <c r="D1801" i="2"/>
  <c r="E1801" i="2" s="1" a="1"/>
  <c r="E1801" i="2" s="1"/>
  <c r="D1802" i="2"/>
  <c r="E1802" i="2" s="1" a="1"/>
  <c r="E1802" i="2" s="1"/>
  <c r="D1803" i="2"/>
  <c r="E1803" i="2" s="1" a="1"/>
  <c r="E1803" i="2" s="1"/>
  <c r="D1804" i="2"/>
  <c r="E1804" i="2" s="1" a="1"/>
  <c r="E1804" i="2" s="1"/>
  <c r="D1805" i="2"/>
  <c r="E1805" i="2" s="1" a="1"/>
  <c r="E1805" i="2" s="1"/>
  <c r="D1806" i="2"/>
  <c r="E1806" i="2" s="1" a="1"/>
  <c r="E1806" i="2" s="1"/>
  <c r="D1807" i="2"/>
  <c r="E1807" i="2" s="1" a="1"/>
  <c r="E1807" i="2" s="1"/>
  <c r="D1808" i="2"/>
  <c r="E1808" i="2" s="1" a="1"/>
  <c r="E1808" i="2" s="1"/>
  <c r="D1809" i="2"/>
  <c r="E1809" i="2" s="1" a="1"/>
  <c r="E1809" i="2" s="1"/>
  <c r="D1810" i="2"/>
  <c r="E1810" i="2" s="1" a="1"/>
  <c r="E1810" i="2" s="1"/>
  <c r="D1811" i="2"/>
  <c r="E1811" i="2" s="1" a="1"/>
  <c r="E1811" i="2" s="1"/>
  <c r="D1812" i="2"/>
  <c r="E1812" i="2" s="1" a="1"/>
  <c r="E1812" i="2" s="1"/>
  <c r="D1813" i="2"/>
  <c r="E1813" i="2" s="1" a="1"/>
  <c r="E1813" i="2" s="1"/>
  <c r="D1814" i="2"/>
  <c r="E1814" i="2" s="1" a="1"/>
  <c r="E1814" i="2" s="1"/>
  <c r="D1815" i="2"/>
  <c r="E1815" i="2" s="1" a="1"/>
  <c r="E1815" i="2" s="1"/>
  <c r="D1816" i="2"/>
  <c r="E1816" i="2" s="1" a="1"/>
  <c r="E1816" i="2" s="1"/>
  <c r="D1817" i="2"/>
  <c r="E1817" i="2" s="1" a="1"/>
  <c r="E1817" i="2" s="1"/>
  <c r="D1818" i="2"/>
  <c r="E1818" i="2" s="1" a="1"/>
  <c r="E1818" i="2" s="1"/>
  <c r="D1819" i="2"/>
  <c r="E1819" i="2" s="1" a="1"/>
  <c r="E1819" i="2" s="1"/>
  <c r="D1820" i="2"/>
  <c r="E1820" i="2" s="1" a="1"/>
  <c r="E1820" i="2" s="1"/>
  <c r="D1821" i="2"/>
  <c r="E1821" i="2" s="1" a="1"/>
  <c r="E1821" i="2" s="1"/>
  <c r="D1822" i="2"/>
  <c r="E1822" i="2" s="1" a="1"/>
  <c r="E1822" i="2" s="1"/>
  <c r="D1823" i="2"/>
  <c r="E1823" i="2" s="1" a="1"/>
  <c r="E1823" i="2" s="1"/>
  <c r="D1824" i="2"/>
  <c r="E1824" i="2" s="1" a="1"/>
  <c r="E1824" i="2" s="1"/>
  <c r="D1825" i="2"/>
  <c r="E1825" i="2" s="1" a="1"/>
  <c r="E1825" i="2" s="1"/>
  <c r="D1826" i="2"/>
  <c r="E1826" i="2" s="1" a="1"/>
  <c r="E1826" i="2" s="1"/>
  <c r="D1827" i="2"/>
  <c r="E1827" i="2" s="1" a="1"/>
  <c r="E1827" i="2" s="1"/>
  <c r="D1828" i="2"/>
  <c r="E1828" i="2" s="1" a="1"/>
  <c r="E1828" i="2" s="1"/>
  <c r="D1829" i="2"/>
  <c r="E1829" i="2" s="1" a="1"/>
  <c r="E1829" i="2" s="1"/>
  <c r="D1830" i="2"/>
  <c r="E1830" i="2" s="1" a="1"/>
  <c r="E1830" i="2" s="1"/>
  <c r="D1831" i="2"/>
  <c r="E1831" i="2" s="1" a="1"/>
  <c r="E1831" i="2" s="1"/>
  <c r="D1832" i="2"/>
  <c r="E1832" i="2" s="1" a="1"/>
  <c r="E1832" i="2" s="1"/>
  <c r="D1833" i="2"/>
  <c r="E1833" i="2" s="1" a="1"/>
  <c r="E1833" i="2" s="1"/>
  <c r="D1834" i="2"/>
  <c r="E1834" i="2" s="1" a="1"/>
  <c r="E1834" i="2" s="1"/>
  <c r="D1835" i="2"/>
  <c r="E1835" i="2" s="1" a="1"/>
  <c r="E1835" i="2" s="1"/>
  <c r="D1836" i="2"/>
  <c r="E1836" i="2" s="1" a="1"/>
  <c r="E1836" i="2" s="1"/>
  <c r="D1837" i="2"/>
  <c r="E1837" i="2" s="1" a="1"/>
  <c r="E1837" i="2" s="1"/>
  <c r="D1838" i="2"/>
  <c r="E1838" i="2" s="1" a="1"/>
  <c r="E1838" i="2" s="1"/>
  <c r="D1839" i="2"/>
  <c r="E1839" i="2" s="1" a="1"/>
  <c r="E1839" i="2" s="1"/>
  <c r="D1840" i="2"/>
  <c r="E1840" i="2" s="1" a="1"/>
  <c r="E1840" i="2" s="1"/>
  <c r="D1841" i="2"/>
  <c r="E1841" i="2" s="1" a="1"/>
  <c r="E1841" i="2" s="1"/>
  <c r="D1842" i="2"/>
  <c r="E1842" i="2" s="1" a="1"/>
  <c r="E1842" i="2" s="1"/>
  <c r="D1843" i="2"/>
  <c r="E1843" i="2" s="1" a="1"/>
  <c r="E1843" i="2" s="1"/>
  <c r="D1844" i="2"/>
  <c r="E1844" i="2" s="1" a="1"/>
  <c r="E1844" i="2" s="1"/>
  <c r="D1845" i="2"/>
  <c r="E1845" i="2" s="1" a="1"/>
  <c r="E1845" i="2" s="1"/>
  <c r="D1846" i="2"/>
  <c r="E1846" i="2" s="1" a="1"/>
  <c r="E1846" i="2" s="1"/>
  <c r="D1847" i="2"/>
  <c r="E1847" i="2" s="1" a="1"/>
  <c r="E1847" i="2" s="1"/>
  <c r="D1848" i="2"/>
  <c r="E1848" i="2" s="1" a="1"/>
  <c r="E1848" i="2" s="1"/>
  <c r="D1849" i="2"/>
  <c r="E1849" i="2" s="1" a="1"/>
  <c r="E1849" i="2" s="1"/>
  <c r="D1850" i="2"/>
  <c r="E1850" i="2" s="1" a="1"/>
  <c r="E1850" i="2" s="1"/>
  <c r="D1851" i="2"/>
  <c r="E1851" i="2" s="1" a="1"/>
  <c r="E1851" i="2" s="1"/>
  <c r="D1852" i="2"/>
  <c r="E1852" i="2" s="1" a="1"/>
  <c r="E1852" i="2" s="1"/>
  <c r="D1853" i="2"/>
  <c r="E1853" i="2" s="1" a="1"/>
  <c r="E1853" i="2" s="1"/>
  <c r="D1854" i="2"/>
  <c r="E1854" i="2" s="1" a="1"/>
  <c r="E1854" i="2" s="1"/>
  <c r="D1855" i="2"/>
  <c r="E1855" i="2" s="1" a="1"/>
  <c r="E1855" i="2" s="1"/>
  <c r="D1856" i="2"/>
  <c r="E1856" i="2" s="1" a="1"/>
  <c r="E1856" i="2" s="1"/>
  <c r="D1857" i="2"/>
  <c r="E1857" i="2" s="1" a="1"/>
  <c r="E1857" i="2" s="1"/>
  <c r="D1858" i="2"/>
  <c r="E1858" i="2" s="1" a="1"/>
  <c r="E1858" i="2" s="1"/>
  <c r="D1859" i="2"/>
  <c r="E1859" i="2" s="1" a="1"/>
  <c r="E1859" i="2" s="1"/>
  <c r="D1860" i="2"/>
  <c r="E1860" i="2" s="1" a="1"/>
  <c r="E1860" i="2" s="1"/>
  <c r="D1861" i="2"/>
  <c r="E1861" i="2" s="1" a="1"/>
  <c r="E1861" i="2" s="1"/>
  <c r="D1862" i="2"/>
  <c r="E1862" i="2" s="1" a="1"/>
  <c r="E1862" i="2" s="1"/>
  <c r="D1863" i="2"/>
  <c r="E1863" i="2" s="1" a="1"/>
  <c r="E1863" i="2" s="1"/>
  <c r="D1864" i="2"/>
  <c r="E1864" i="2" s="1" a="1"/>
  <c r="E1864" i="2" s="1"/>
  <c r="D1865" i="2"/>
  <c r="E1865" i="2" s="1" a="1"/>
  <c r="E1865" i="2" s="1"/>
  <c r="D1866" i="2"/>
  <c r="E1866" i="2" s="1" a="1"/>
  <c r="E1866" i="2" s="1"/>
  <c r="D1867" i="2"/>
  <c r="E1867" i="2" s="1" a="1"/>
  <c r="E1867" i="2" s="1"/>
  <c r="D1868" i="2"/>
  <c r="E1868" i="2" s="1" a="1"/>
  <c r="E1868" i="2" s="1"/>
  <c r="D1869" i="2"/>
  <c r="E1869" i="2" s="1" a="1"/>
  <c r="E1869" i="2" s="1"/>
  <c r="D1870" i="2"/>
  <c r="E1870" i="2" s="1" a="1"/>
  <c r="E1870" i="2" s="1"/>
  <c r="D1871" i="2"/>
  <c r="E1871" i="2" s="1" a="1"/>
  <c r="E1871" i="2" s="1"/>
  <c r="D1872" i="2"/>
  <c r="E1872" i="2" s="1" a="1"/>
  <c r="E1872" i="2" s="1"/>
  <c r="D1873" i="2"/>
  <c r="E1873" i="2" s="1" a="1"/>
  <c r="E1873" i="2" s="1"/>
  <c r="D1874" i="2"/>
  <c r="E1874" i="2" s="1" a="1"/>
  <c r="E1874" i="2" s="1"/>
  <c r="D1875" i="2"/>
  <c r="E1875" i="2" s="1" a="1"/>
  <c r="E1875" i="2" s="1"/>
  <c r="D1876" i="2"/>
  <c r="E1876" i="2" s="1" a="1"/>
  <c r="E1876" i="2" s="1"/>
  <c r="D1877" i="2"/>
  <c r="E1877" i="2" s="1" a="1"/>
  <c r="E1877" i="2" s="1"/>
  <c r="D1878" i="2"/>
  <c r="E1878" i="2" s="1" a="1"/>
  <c r="E1878" i="2" s="1"/>
  <c r="D1879" i="2"/>
  <c r="E1879" i="2" s="1" a="1"/>
  <c r="E1879" i="2" s="1"/>
  <c r="D1880" i="2"/>
  <c r="E1880" i="2" s="1" a="1"/>
  <c r="E1880" i="2" s="1"/>
  <c r="D1881" i="2"/>
  <c r="E1881" i="2" s="1" a="1"/>
  <c r="E1881" i="2" s="1"/>
  <c r="D1882" i="2"/>
  <c r="E1882" i="2" s="1" a="1"/>
  <c r="E1882" i="2" s="1"/>
  <c r="D1883" i="2"/>
  <c r="E1883" i="2" s="1" a="1"/>
  <c r="E1883" i="2" s="1"/>
  <c r="D1884" i="2"/>
  <c r="E1884" i="2" s="1" a="1"/>
  <c r="E1884" i="2" s="1"/>
  <c r="D1885" i="2"/>
  <c r="E1885" i="2" s="1" a="1"/>
  <c r="E1885" i="2" s="1"/>
  <c r="D1886" i="2"/>
  <c r="E1886" i="2" s="1" a="1"/>
  <c r="E1886" i="2" s="1"/>
  <c r="D1887" i="2"/>
  <c r="E1887" i="2" s="1" a="1"/>
  <c r="E1887" i="2" s="1"/>
  <c r="D1888" i="2"/>
  <c r="E1888" i="2" s="1" a="1"/>
  <c r="E1888" i="2" s="1"/>
  <c r="D1889" i="2"/>
  <c r="E1889" i="2" s="1" a="1"/>
  <c r="E1889" i="2" s="1"/>
  <c r="D1890" i="2"/>
  <c r="E1890" i="2" s="1" a="1"/>
  <c r="E1890" i="2" s="1"/>
  <c r="D1891" i="2"/>
  <c r="E1891" i="2" s="1" a="1"/>
  <c r="E1891" i="2" s="1"/>
  <c r="D1892" i="2"/>
  <c r="E1892" i="2" s="1" a="1"/>
  <c r="E1892" i="2" s="1"/>
  <c r="D1893" i="2"/>
  <c r="E1893" i="2" s="1" a="1"/>
  <c r="E1893" i="2" s="1"/>
  <c r="D1894" i="2"/>
  <c r="E1894" i="2" s="1" a="1"/>
  <c r="E1894" i="2" s="1"/>
  <c r="D1895" i="2"/>
  <c r="E1895" i="2" s="1" a="1"/>
  <c r="E1895" i="2" s="1"/>
  <c r="D1896" i="2"/>
  <c r="E1896" i="2" s="1" a="1"/>
  <c r="E1896" i="2" s="1"/>
  <c r="D1897" i="2"/>
  <c r="E1897" i="2" s="1" a="1"/>
  <c r="E1897" i="2" s="1"/>
  <c r="D1898" i="2"/>
  <c r="E1898" i="2" s="1" a="1"/>
  <c r="E1898" i="2" s="1"/>
  <c r="D1899" i="2"/>
  <c r="E1899" i="2" s="1" a="1"/>
  <c r="E1899" i="2" s="1"/>
  <c r="D1900" i="2"/>
  <c r="E1900" i="2" s="1" a="1"/>
  <c r="E1900" i="2" s="1"/>
  <c r="D1901" i="2"/>
  <c r="E1901" i="2" s="1" a="1"/>
  <c r="E1901" i="2" s="1"/>
  <c r="D1902" i="2"/>
  <c r="E1902" i="2" s="1" a="1"/>
  <c r="E1902" i="2" s="1"/>
  <c r="D1903" i="2"/>
  <c r="E1903" i="2" s="1" a="1"/>
  <c r="E1903" i="2" s="1"/>
  <c r="D1904" i="2"/>
  <c r="E1904" i="2" s="1" a="1"/>
  <c r="E1904" i="2" s="1"/>
  <c r="D1905" i="2"/>
  <c r="E1905" i="2" s="1" a="1"/>
  <c r="E1905" i="2" s="1"/>
  <c r="D1906" i="2"/>
  <c r="E1906" i="2" s="1" a="1"/>
  <c r="E1906" i="2" s="1"/>
  <c r="D1907" i="2"/>
  <c r="E1907" i="2" s="1" a="1"/>
  <c r="E1907" i="2" s="1"/>
  <c r="D1908" i="2"/>
  <c r="E1908" i="2" s="1" a="1"/>
  <c r="E1908" i="2" s="1"/>
  <c r="D1909" i="2"/>
  <c r="E1909" i="2" s="1" a="1"/>
  <c r="E1909" i="2" s="1"/>
  <c r="D1910" i="2"/>
  <c r="E1910" i="2" s="1" a="1"/>
  <c r="E1910" i="2" s="1"/>
  <c r="D1911" i="2"/>
  <c r="E1911" i="2" s="1" a="1"/>
  <c r="E1911" i="2" s="1"/>
  <c r="D1912" i="2"/>
  <c r="E1912" i="2" s="1" a="1"/>
  <c r="E1912" i="2" s="1"/>
  <c r="D1913" i="2"/>
  <c r="E1913" i="2" s="1" a="1"/>
  <c r="E1913" i="2" s="1"/>
  <c r="D1914" i="2"/>
  <c r="E1914" i="2" s="1" a="1"/>
  <c r="E1914" i="2" s="1"/>
  <c r="D1915" i="2"/>
  <c r="E1915" i="2" s="1" a="1"/>
  <c r="E1915" i="2" s="1"/>
  <c r="D1916" i="2"/>
  <c r="E1916" i="2" s="1" a="1"/>
  <c r="E1916" i="2" s="1"/>
  <c r="D1917" i="2"/>
  <c r="E1917" i="2" s="1" a="1"/>
  <c r="E1917" i="2" s="1"/>
  <c r="D1918" i="2"/>
  <c r="E1918" i="2" s="1" a="1"/>
  <c r="E1918" i="2" s="1"/>
  <c r="D1919" i="2"/>
  <c r="E1919" i="2" s="1" a="1"/>
  <c r="E1919" i="2" s="1"/>
  <c r="D1920" i="2"/>
  <c r="E1920" i="2" s="1" a="1"/>
  <c r="E1920" i="2" s="1"/>
  <c r="D1921" i="2"/>
  <c r="E1921" i="2" s="1" a="1"/>
  <c r="E1921" i="2" s="1"/>
  <c r="D1922" i="2"/>
  <c r="E1922" i="2" s="1" a="1"/>
  <c r="E1922" i="2" s="1"/>
  <c r="D1923" i="2"/>
  <c r="E1923" i="2" s="1" a="1"/>
  <c r="E1923" i="2" s="1"/>
  <c r="D1924" i="2"/>
  <c r="E1924" i="2" s="1" a="1"/>
  <c r="E1924" i="2" s="1"/>
  <c r="D1925" i="2"/>
  <c r="E1925" i="2" s="1" a="1"/>
  <c r="E1925" i="2" s="1"/>
  <c r="D1926" i="2"/>
  <c r="E1926" i="2" s="1" a="1"/>
  <c r="E1926" i="2" s="1"/>
  <c r="D1927" i="2"/>
  <c r="E1927" i="2" s="1" a="1"/>
  <c r="E1927" i="2" s="1"/>
  <c r="D1928" i="2"/>
  <c r="E1928" i="2" s="1" a="1"/>
  <c r="E1928" i="2" s="1"/>
  <c r="D1929" i="2"/>
  <c r="E1929" i="2" s="1" a="1"/>
  <c r="E1929" i="2" s="1"/>
  <c r="D1930" i="2"/>
  <c r="E1930" i="2" s="1" a="1"/>
  <c r="E1930" i="2" s="1"/>
  <c r="D1931" i="2"/>
  <c r="E1931" i="2" s="1" a="1"/>
  <c r="E1931" i="2" s="1"/>
  <c r="D1932" i="2"/>
  <c r="E1932" i="2" s="1" a="1"/>
  <c r="E1932" i="2" s="1"/>
  <c r="D1933" i="2"/>
  <c r="E1933" i="2" s="1" a="1"/>
  <c r="E1933" i="2" s="1"/>
  <c r="D1934" i="2"/>
  <c r="E1934" i="2" s="1" a="1"/>
  <c r="E1934" i="2" s="1"/>
  <c r="D1935" i="2"/>
  <c r="E1935" i="2" s="1" a="1"/>
  <c r="E1935" i="2" s="1"/>
  <c r="D1936" i="2"/>
  <c r="E1936" i="2" s="1" a="1"/>
  <c r="E1936" i="2" s="1"/>
  <c r="D1937" i="2"/>
  <c r="E1937" i="2" s="1" a="1"/>
  <c r="E1937" i="2" s="1"/>
  <c r="D1938" i="2"/>
  <c r="E1938" i="2" s="1" a="1"/>
  <c r="E1938" i="2" s="1"/>
  <c r="D1939" i="2"/>
  <c r="E1939" i="2" s="1" a="1"/>
  <c r="E1939" i="2" s="1"/>
  <c r="D1940" i="2"/>
  <c r="E1940" i="2" s="1" a="1"/>
  <c r="E1940" i="2" s="1"/>
  <c r="D1941" i="2"/>
  <c r="E1941" i="2" s="1" a="1"/>
  <c r="E1941" i="2" s="1"/>
  <c r="D1942" i="2"/>
  <c r="E1942" i="2" s="1" a="1"/>
  <c r="E1942" i="2" s="1"/>
  <c r="D1943" i="2"/>
  <c r="E1943" i="2" s="1" a="1"/>
  <c r="E1943" i="2" s="1"/>
  <c r="D1944" i="2"/>
  <c r="E1944" i="2" s="1" a="1"/>
  <c r="E1944" i="2" s="1"/>
  <c r="D1945" i="2"/>
  <c r="E1945" i="2" s="1" a="1"/>
  <c r="E1945" i="2" s="1"/>
  <c r="D1946" i="2"/>
  <c r="E1946" i="2" s="1" a="1"/>
  <c r="E1946" i="2" s="1"/>
  <c r="D1947" i="2"/>
  <c r="E1947" i="2" s="1" a="1"/>
  <c r="E1947" i="2" s="1"/>
  <c r="D1948" i="2"/>
  <c r="E1948" i="2" s="1" a="1"/>
  <c r="E1948" i="2" s="1"/>
  <c r="D1949" i="2"/>
  <c r="E1949" i="2" s="1" a="1"/>
  <c r="E1949" i="2" s="1"/>
  <c r="D1950" i="2"/>
  <c r="E1950" i="2" s="1" a="1"/>
  <c r="E1950" i="2" s="1"/>
  <c r="D1951" i="2"/>
  <c r="E1951" i="2" s="1" a="1"/>
  <c r="E1951" i="2" s="1"/>
  <c r="D1952" i="2"/>
  <c r="E1952" i="2" s="1" a="1"/>
  <c r="E1952" i="2" s="1"/>
  <c r="D1953" i="2"/>
  <c r="E1953" i="2" s="1" a="1"/>
  <c r="E1953" i="2" s="1"/>
  <c r="D1954" i="2"/>
  <c r="E1954" i="2" s="1" a="1"/>
  <c r="E1954" i="2" s="1"/>
  <c r="D1955" i="2"/>
  <c r="E1955" i="2" s="1" a="1"/>
  <c r="E1955" i="2" s="1"/>
  <c r="D1956" i="2"/>
  <c r="E1956" i="2" s="1" a="1"/>
  <c r="E1956" i="2" s="1"/>
  <c r="D1957" i="2"/>
  <c r="E1957" i="2" s="1" a="1"/>
  <c r="E1957" i="2" s="1"/>
  <c r="D1958" i="2"/>
  <c r="E1958" i="2" s="1" a="1"/>
  <c r="E1958" i="2" s="1"/>
  <c r="D1959" i="2"/>
  <c r="E1959" i="2" s="1" a="1"/>
  <c r="E1959" i="2" s="1"/>
  <c r="D1960" i="2"/>
  <c r="E1960" i="2" s="1" a="1"/>
  <c r="E1960" i="2" s="1"/>
  <c r="D1961" i="2"/>
  <c r="E1961" i="2" s="1" a="1"/>
  <c r="E1961" i="2" s="1"/>
  <c r="D1962" i="2"/>
  <c r="E1962" i="2" s="1" a="1"/>
  <c r="E1962" i="2" s="1"/>
  <c r="D1963" i="2"/>
  <c r="E1963" i="2" s="1" a="1"/>
  <c r="E1963" i="2" s="1"/>
  <c r="D1964" i="2"/>
  <c r="E1964" i="2" s="1" a="1"/>
  <c r="E1964" i="2" s="1"/>
  <c r="D1965" i="2"/>
  <c r="E1965" i="2" s="1" a="1"/>
  <c r="E1965" i="2" s="1"/>
  <c r="D1966" i="2"/>
  <c r="E1966" i="2" s="1" a="1"/>
  <c r="E1966" i="2" s="1"/>
  <c r="D1967" i="2"/>
  <c r="E1967" i="2" s="1" a="1"/>
  <c r="E1967" i="2" s="1"/>
  <c r="D1968" i="2"/>
  <c r="E1968" i="2" s="1" a="1"/>
  <c r="E1968" i="2" s="1"/>
  <c r="D1969" i="2"/>
  <c r="E1969" i="2" s="1" a="1"/>
  <c r="E1969" i="2" s="1"/>
  <c r="D1970" i="2"/>
  <c r="E1970" i="2" s="1" a="1"/>
  <c r="E1970" i="2" s="1"/>
  <c r="D1971" i="2"/>
  <c r="E1971" i="2" s="1" a="1"/>
  <c r="E1971" i="2" s="1"/>
  <c r="D1972" i="2"/>
  <c r="E1972" i="2" s="1" a="1"/>
  <c r="E1972" i="2" s="1"/>
  <c r="D1973" i="2"/>
  <c r="E1973" i="2" s="1" a="1"/>
  <c r="E1973" i="2" s="1"/>
  <c r="D1974" i="2"/>
  <c r="E1974" i="2" s="1" a="1"/>
  <c r="E1974" i="2" s="1"/>
  <c r="D1975" i="2"/>
  <c r="E1975" i="2" s="1" a="1"/>
  <c r="E1975" i="2" s="1"/>
  <c r="D1976" i="2"/>
  <c r="E1976" i="2" s="1" a="1"/>
  <c r="E1976" i="2" s="1"/>
  <c r="D1977" i="2"/>
  <c r="E1977" i="2" s="1" a="1"/>
  <c r="E1977" i="2" s="1"/>
  <c r="D1978" i="2"/>
  <c r="E1978" i="2" s="1" a="1"/>
  <c r="E1978" i="2" s="1"/>
  <c r="D1979" i="2"/>
  <c r="E1979" i="2" s="1" a="1"/>
  <c r="E1979" i="2" s="1"/>
  <c r="D1980" i="2"/>
  <c r="E1980" i="2" s="1" a="1"/>
  <c r="E1980" i="2" s="1"/>
  <c r="D1981" i="2"/>
  <c r="E1981" i="2" s="1" a="1"/>
  <c r="E1981" i="2" s="1"/>
  <c r="D1982" i="2"/>
  <c r="E1982" i="2" s="1" a="1"/>
  <c r="E1982" i="2" s="1"/>
  <c r="D1983" i="2"/>
  <c r="E1983" i="2" s="1" a="1"/>
  <c r="E1983" i="2" s="1"/>
  <c r="D1984" i="2"/>
  <c r="E1984" i="2" s="1" a="1"/>
  <c r="E1984" i="2" s="1"/>
  <c r="D1985" i="2"/>
  <c r="E1985" i="2" s="1" a="1"/>
  <c r="E1985" i="2" s="1"/>
  <c r="D1986" i="2"/>
  <c r="E1986" i="2" s="1" a="1"/>
  <c r="E1986" i="2" s="1"/>
  <c r="D1987" i="2"/>
  <c r="E1987" i="2" s="1" a="1"/>
  <c r="E1987" i="2" s="1"/>
  <c r="D1988" i="2"/>
  <c r="E1988" i="2" s="1" a="1"/>
  <c r="E1988" i="2" s="1"/>
  <c r="D1989" i="2"/>
  <c r="E1989" i="2" s="1" a="1"/>
  <c r="E1989" i="2" s="1"/>
  <c r="D1990" i="2"/>
  <c r="E1990" i="2" s="1" a="1"/>
  <c r="E1990" i="2" s="1"/>
  <c r="D1991" i="2"/>
  <c r="E1991" i="2" s="1" a="1"/>
  <c r="E1991" i="2" s="1"/>
  <c r="D1992" i="2"/>
  <c r="E1992" i="2" s="1" a="1"/>
  <c r="E1992" i="2" s="1"/>
  <c r="D1993" i="2"/>
  <c r="E1993" i="2" s="1" a="1"/>
  <c r="E1993" i="2" s="1"/>
  <c r="D1994" i="2"/>
  <c r="E1994" i="2" s="1" a="1"/>
  <c r="E1994" i="2" s="1"/>
  <c r="D1995" i="2"/>
  <c r="E1995" i="2" s="1" a="1"/>
  <c r="E1995" i="2" s="1"/>
  <c r="D1996" i="2"/>
  <c r="E1996" i="2" s="1" a="1"/>
  <c r="E1996" i="2" s="1"/>
  <c r="D1997" i="2"/>
  <c r="E1997" i="2" s="1" a="1"/>
  <c r="E1997" i="2" s="1"/>
  <c r="D1998" i="2"/>
  <c r="E1998" i="2" s="1" a="1"/>
  <c r="E1998" i="2" s="1"/>
  <c r="D1999" i="2"/>
  <c r="E1999" i="2" s="1" a="1"/>
  <c r="E1999" i="2" s="1"/>
  <c r="D2000" i="2"/>
  <c r="E2000" i="2" s="1" a="1"/>
  <c r="E2000" i="2" s="1"/>
  <c r="D2001" i="2"/>
  <c r="E2001" i="2" s="1" a="1"/>
  <c r="E2001" i="2" s="1"/>
  <c r="D2002" i="2"/>
  <c r="E2002" i="2" s="1" a="1"/>
  <c r="E2002" i="2" s="1"/>
  <c r="D2003" i="2"/>
  <c r="E2003" i="2" s="1" a="1"/>
  <c r="E2003" i="2" s="1"/>
  <c r="D2004" i="2"/>
  <c r="E2004" i="2" s="1" a="1"/>
  <c r="E2004" i="2" s="1"/>
  <c r="D2005" i="2"/>
  <c r="E2005" i="2" s="1" a="1"/>
  <c r="E2005" i="2" s="1"/>
  <c r="D2006" i="2"/>
  <c r="E2006" i="2" s="1" a="1"/>
  <c r="E2006" i="2" s="1"/>
  <c r="D2007" i="2"/>
  <c r="E2007" i="2" s="1" a="1"/>
  <c r="E2007" i="2" s="1"/>
  <c r="D2008" i="2"/>
  <c r="E2008" i="2" s="1" a="1"/>
  <c r="E2008" i="2" s="1"/>
  <c r="D2009" i="2"/>
  <c r="E2009" i="2" s="1" a="1"/>
  <c r="E2009" i="2" s="1"/>
  <c r="D2010" i="2"/>
  <c r="E2010" i="2" s="1" a="1"/>
  <c r="E2010" i="2" s="1"/>
  <c r="D2011" i="2"/>
  <c r="E2011" i="2" s="1" a="1"/>
  <c r="E2011" i="2" s="1"/>
  <c r="D2012" i="2"/>
  <c r="E2012" i="2" s="1" a="1"/>
  <c r="E2012" i="2" s="1"/>
  <c r="D2013" i="2"/>
  <c r="E2013" i="2" s="1" a="1"/>
  <c r="E2013" i="2" s="1"/>
  <c r="D2014" i="2"/>
  <c r="E2014" i="2" s="1" a="1"/>
  <c r="E2014" i="2" s="1"/>
  <c r="D2015" i="2"/>
  <c r="E2015" i="2" s="1" a="1"/>
  <c r="E2015" i="2" s="1"/>
  <c r="D2016" i="2"/>
  <c r="E2016" i="2" s="1" a="1"/>
  <c r="E2016" i="2" s="1"/>
  <c r="D2017" i="2"/>
  <c r="E2017" i="2" s="1" a="1"/>
  <c r="E2017" i="2" s="1"/>
  <c r="D2018" i="2"/>
  <c r="E2018" i="2" s="1" a="1"/>
  <c r="E2018" i="2" s="1"/>
  <c r="D2019" i="2"/>
  <c r="E2019" i="2" s="1" a="1"/>
  <c r="E2019" i="2" s="1"/>
  <c r="D2020" i="2"/>
  <c r="E2020" i="2" s="1" a="1"/>
  <c r="E2020" i="2" s="1"/>
  <c r="D2021" i="2"/>
  <c r="E2021" i="2" s="1" a="1"/>
  <c r="E2021" i="2" s="1"/>
  <c r="D2022" i="2"/>
  <c r="E2022" i="2" s="1" a="1"/>
  <c r="E2022" i="2" s="1"/>
  <c r="D2023" i="2"/>
  <c r="E2023" i="2" s="1" a="1"/>
  <c r="E2023" i="2" s="1"/>
  <c r="D2024" i="2"/>
  <c r="E2024" i="2" s="1" a="1"/>
  <c r="E2024" i="2" s="1"/>
  <c r="D2025" i="2"/>
  <c r="E2025" i="2" s="1" a="1"/>
  <c r="E2025" i="2" s="1"/>
  <c r="D2026" i="2"/>
  <c r="E2026" i="2" s="1" a="1"/>
  <c r="E2026" i="2" s="1"/>
  <c r="D2027" i="2"/>
  <c r="E2027" i="2" s="1" a="1"/>
  <c r="E2027" i="2" s="1"/>
  <c r="D2028" i="2"/>
  <c r="E2028" i="2" s="1" a="1"/>
  <c r="E2028" i="2" s="1"/>
  <c r="D2029" i="2"/>
  <c r="E2029" i="2" s="1" a="1"/>
  <c r="E2029" i="2" s="1"/>
  <c r="D2030" i="2"/>
  <c r="E2030" i="2" s="1" a="1"/>
  <c r="E2030" i="2" s="1"/>
  <c r="D2031" i="2"/>
  <c r="E2031" i="2" s="1" a="1"/>
  <c r="E2031" i="2" s="1"/>
  <c r="D2032" i="2"/>
  <c r="E2032" i="2" s="1" a="1"/>
  <c r="E2032" i="2" s="1"/>
  <c r="D2033" i="2"/>
  <c r="E2033" i="2" s="1" a="1"/>
  <c r="E2033" i="2" s="1"/>
  <c r="D2034" i="2"/>
  <c r="E2034" i="2" s="1" a="1"/>
  <c r="E2034" i="2" s="1"/>
  <c r="D2035" i="2"/>
  <c r="E2035" i="2" s="1" a="1"/>
  <c r="E2035" i="2" s="1"/>
  <c r="D2036" i="2"/>
  <c r="E2036" i="2" s="1" a="1"/>
  <c r="E2036" i="2" s="1"/>
  <c r="D2037" i="2"/>
  <c r="E2037" i="2" s="1" a="1"/>
  <c r="E2037" i="2" s="1"/>
  <c r="D2038" i="2"/>
  <c r="E2038" i="2" s="1" a="1"/>
  <c r="E2038" i="2" s="1"/>
  <c r="D2039" i="2"/>
  <c r="E2039" i="2" s="1" a="1"/>
  <c r="E2039" i="2" s="1"/>
  <c r="D2040" i="2"/>
  <c r="E2040" i="2" s="1" a="1"/>
  <c r="E2040" i="2" s="1"/>
  <c r="D2041" i="2"/>
  <c r="E2041" i="2" s="1" a="1"/>
  <c r="E2041" i="2" s="1"/>
  <c r="D2042" i="2"/>
  <c r="E2042" i="2" s="1" a="1"/>
  <c r="E2042" i="2" s="1"/>
  <c r="D2043" i="2"/>
  <c r="E2043" i="2" s="1" a="1"/>
  <c r="E2043" i="2" s="1"/>
  <c r="D2044" i="2"/>
  <c r="E2044" i="2" s="1" a="1"/>
  <c r="E2044" i="2" s="1"/>
  <c r="D2045" i="2"/>
  <c r="E2045" i="2" s="1" a="1"/>
  <c r="E2045" i="2" s="1"/>
  <c r="D2046" i="2"/>
  <c r="E2046" i="2" s="1" a="1"/>
  <c r="E2046" i="2" s="1"/>
  <c r="D2047" i="2"/>
  <c r="E2047" i="2" s="1" a="1"/>
  <c r="E2047" i="2" s="1"/>
  <c r="D2048" i="2"/>
  <c r="E2048" i="2" s="1" a="1"/>
  <c r="E2048" i="2" s="1"/>
  <c r="D2049" i="2"/>
  <c r="E2049" i="2" s="1" a="1"/>
  <c r="E2049" i="2" s="1"/>
  <c r="D2050" i="2"/>
  <c r="E2050" i="2" s="1" a="1"/>
  <c r="E2050" i="2" s="1"/>
  <c r="D2051" i="2"/>
  <c r="E2051" i="2" s="1" a="1"/>
  <c r="E2051" i="2" s="1"/>
  <c r="D2052" i="2"/>
  <c r="E2052" i="2" s="1" a="1"/>
  <c r="E2052" i="2" s="1"/>
  <c r="D2053" i="2"/>
  <c r="E2053" i="2" s="1" a="1"/>
  <c r="E2053" i="2" s="1"/>
  <c r="D2054" i="2"/>
  <c r="E2054" i="2" s="1" a="1"/>
  <c r="E2054" i="2" s="1"/>
  <c r="D2055" i="2"/>
  <c r="E2055" i="2" s="1" a="1"/>
  <c r="E2055" i="2" s="1"/>
  <c r="D2056" i="2"/>
  <c r="E2056" i="2" s="1" a="1"/>
  <c r="E2056" i="2" s="1"/>
  <c r="D2057" i="2"/>
  <c r="E2057" i="2" s="1" a="1"/>
  <c r="E2057" i="2" s="1"/>
  <c r="D2058" i="2"/>
  <c r="E2058" i="2" s="1" a="1"/>
  <c r="E2058" i="2" s="1"/>
  <c r="D2059" i="2"/>
  <c r="E2059" i="2" s="1" a="1"/>
  <c r="E2059" i="2" s="1"/>
  <c r="D2060" i="2"/>
  <c r="E2060" i="2" s="1" a="1"/>
  <c r="E2060" i="2" s="1"/>
  <c r="D2061" i="2"/>
  <c r="E2061" i="2" s="1" a="1"/>
  <c r="E2061" i="2" s="1"/>
  <c r="D2062" i="2"/>
  <c r="E2062" i="2" s="1" a="1"/>
  <c r="E2062" i="2" s="1"/>
  <c r="D2063" i="2"/>
  <c r="E2063" i="2" s="1" a="1"/>
  <c r="E2063" i="2" s="1"/>
  <c r="D2064" i="2"/>
  <c r="E2064" i="2" s="1" a="1"/>
  <c r="E2064" i="2" s="1"/>
  <c r="D2065" i="2"/>
  <c r="E2065" i="2" s="1" a="1"/>
  <c r="E2065" i="2" s="1"/>
  <c r="D2066" i="2"/>
  <c r="E2066" i="2" s="1" a="1"/>
  <c r="E2066" i="2" s="1"/>
  <c r="D2067" i="2"/>
  <c r="E2067" i="2" s="1" a="1"/>
  <c r="E2067" i="2" s="1"/>
  <c r="D2068" i="2"/>
  <c r="E2068" i="2" s="1" a="1"/>
  <c r="E2068" i="2" s="1"/>
  <c r="D2069" i="2"/>
  <c r="E2069" i="2" s="1" a="1"/>
  <c r="E2069" i="2" s="1"/>
  <c r="D2070" i="2"/>
  <c r="E2070" i="2" s="1" a="1"/>
  <c r="E2070" i="2" s="1"/>
  <c r="D2071" i="2"/>
  <c r="E2071" i="2" s="1" a="1"/>
  <c r="E2071" i="2" s="1"/>
  <c r="D2072" i="2"/>
  <c r="E2072" i="2" s="1" a="1"/>
  <c r="E2072" i="2" s="1"/>
  <c r="D2073" i="2"/>
  <c r="E2073" i="2" s="1" a="1"/>
  <c r="E2073" i="2" s="1"/>
  <c r="D2074" i="2"/>
  <c r="E2074" i="2" s="1" a="1"/>
  <c r="E2074" i="2" s="1"/>
  <c r="D2075" i="2"/>
  <c r="E2075" i="2" s="1" a="1"/>
  <c r="E2075" i="2" s="1"/>
  <c r="D2076" i="2"/>
  <c r="E2076" i="2" s="1" a="1"/>
  <c r="E2076" i="2" s="1"/>
  <c r="D2077" i="2"/>
  <c r="E2077" i="2" s="1" a="1"/>
  <c r="E2077" i="2" s="1"/>
  <c r="D2078" i="2"/>
  <c r="E2078" i="2" s="1" a="1"/>
  <c r="E2078" i="2" s="1"/>
  <c r="D2079" i="2"/>
  <c r="E2079" i="2" s="1" a="1"/>
  <c r="E2079" i="2" s="1"/>
  <c r="D2080" i="2"/>
  <c r="E2080" i="2" s="1" a="1"/>
  <c r="E2080" i="2" s="1"/>
  <c r="D2081" i="2"/>
  <c r="E2081" i="2" s="1" a="1"/>
  <c r="E2081" i="2" s="1"/>
  <c r="D2082" i="2"/>
  <c r="E2082" i="2" s="1" a="1"/>
  <c r="E2082" i="2" s="1"/>
  <c r="D2083" i="2"/>
  <c r="E2083" i="2" s="1" a="1"/>
  <c r="E2083" i="2" s="1"/>
  <c r="D2084" i="2"/>
  <c r="E2084" i="2" s="1" a="1"/>
  <c r="E2084" i="2" s="1"/>
  <c r="D2085" i="2"/>
  <c r="E2085" i="2" s="1" a="1"/>
  <c r="E2085" i="2" s="1"/>
  <c r="D2086" i="2"/>
  <c r="E2086" i="2" s="1" a="1"/>
  <c r="E2086" i="2" s="1"/>
  <c r="D2087" i="2"/>
  <c r="E2087" i="2" s="1" a="1"/>
  <c r="E2087" i="2" s="1"/>
  <c r="D2088" i="2"/>
  <c r="E2088" i="2" s="1" a="1"/>
  <c r="E2088" i="2" s="1"/>
  <c r="D2089" i="2"/>
  <c r="E2089" i="2" s="1" a="1"/>
  <c r="E2089" i="2" s="1"/>
  <c r="D2090" i="2"/>
  <c r="E2090" i="2" s="1" a="1"/>
  <c r="E2090" i="2" s="1"/>
  <c r="D2091" i="2"/>
  <c r="E2091" i="2" s="1" a="1"/>
  <c r="E2091" i="2" s="1"/>
  <c r="D2092" i="2"/>
  <c r="E2092" i="2" s="1" a="1"/>
  <c r="E2092" i="2" s="1"/>
  <c r="D2093" i="2"/>
  <c r="E2093" i="2" s="1" a="1"/>
  <c r="E2093" i="2" s="1"/>
  <c r="D2094" i="2"/>
  <c r="E2094" i="2" s="1" a="1"/>
  <c r="E2094" i="2" s="1"/>
  <c r="D2095" i="2"/>
  <c r="E2095" i="2" s="1" a="1"/>
  <c r="E2095" i="2" s="1"/>
  <c r="D2096" i="2"/>
  <c r="E2096" i="2" s="1" a="1"/>
  <c r="E2096" i="2" s="1"/>
  <c r="D2097" i="2"/>
  <c r="E2097" i="2" s="1" a="1"/>
  <c r="E2097" i="2" s="1"/>
  <c r="D2098" i="2"/>
  <c r="E2098" i="2" s="1" a="1"/>
  <c r="E2098" i="2" s="1"/>
  <c r="D2099" i="2"/>
  <c r="E2099" i="2" s="1" a="1"/>
  <c r="E2099" i="2" s="1"/>
  <c r="D2100" i="2"/>
  <c r="E2100" i="2" s="1" a="1"/>
  <c r="E2100" i="2" s="1"/>
  <c r="D2101" i="2"/>
  <c r="E2101" i="2" s="1" a="1"/>
  <c r="E2101" i="2" s="1"/>
  <c r="D2102" i="2"/>
  <c r="E2102" i="2" s="1" a="1"/>
  <c r="E2102" i="2" s="1"/>
  <c r="D2103" i="2"/>
  <c r="E2103" i="2" s="1" a="1"/>
  <c r="E2103" i="2" s="1"/>
  <c r="D2104" i="2"/>
  <c r="E2104" i="2" s="1" a="1"/>
  <c r="E2104" i="2" s="1"/>
  <c r="D2105" i="2"/>
  <c r="E2105" i="2" s="1" a="1"/>
  <c r="E2105" i="2" s="1"/>
  <c r="D2106" i="2"/>
  <c r="E2106" i="2" s="1" a="1"/>
  <c r="E2106" i="2" s="1"/>
  <c r="D2107" i="2"/>
  <c r="E2107" i="2" s="1" a="1"/>
  <c r="E2107" i="2" s="1"/>
  <c r="D2108" i="2"/>
  <c r="E2108" i="2" s="1" a="1"/>
  <c r="E2108" i="2" s="1"/>
  <c r="D2109" i="2"/>
  <c r="E2109" i="2" s="1" a="1"/>
  <c r="E2109" i="2" s="1"/>
  <c r="D2110" i="2"/>
  <c r="E2110" i="2" s="1" a="1"/>
  <c r="E2110" i="2" s="1"/>
  <c r="D2111" i="2"/>
  <c r="E2111" i="2" s="1" a="1"/>
  <c r="E2111" i="2" s="1"/>
  <c r="D2112" i="2"/>
  <c r="E2112" i="2" s="1" a="1"/>
  <c r="E2112" i="2" s="1"/>
  <c r="D2113" i="2"/>
  <c r="E2113" i="2" s="1" a="1"/>
  <c r="E2113" i="2" s="1"/>
  <c r="D2114" i="2"/>
  <c r="E2114" i="2" s="1" a="1"/>
  <c r="E2114" i="2" s="1"/>
  <c r="D2115" i="2"/>
  <c r="E2115" i="2" s="1" a="1"/>
  <c r="E2115" i="2" s="1"/>
  <c r="D2116" i="2"/>
  <c r="E2116" i="2" s="1" a="1"/>
  <c r="E2116" i="2" s="1"/>
  <c r="D2117" i="2"/>
  <c r="E2117" i="2" s="1" a="1"/>
  <c r="E2117" i="2" s="1"/>
  <c r="D2118" i="2"/>
  <c r="E2118" i="2" s="1" a="1"/>
  <c r="E2118" i="2" s="1"/>
  <c r="D2119" i="2"/>
  <c r="E2119" i="2" s="1" a="1"/>
  <c r="E2119" i="2" s="1"/>
  <c r="D2120" i="2"/>
  <c r="E2120" i="2" s="1" a="1"/>
  <c r="E2120" i="2" s="1"/>
  <c r="D2121" i="2"/>
  <c r="E2121" i="2" s="1" a="1"/>
  <c r="E2121" i="2" s="1"/>
  <c r="D2122" i="2"/>
  <c r="E2122" i="2" s="1" a="1"/>
  <c r="E2122" i="2" s="1"/>
  <c r="D2123" i="2"/>
  <c r="E2123" i="2" s="1" a="1"/>
  <c r="E2123" i="2" s="1"/>
  <c r="D2124" i="2"/>
  <c r="E2124" i="2" s="1" a="1"/>
  <c r="E2124" i="2" s="1"/>
  <c r="D2125" i="2"/>
  <c r="E2125" i="2" s="1" a="1"/>
  <c r="E2125" i="2" s="1"/>
  <c r="D2126" i="2"/>
  <c r="E2126" i="2" s="1" a="1"/>
  <c r="E2126" i="2" s="1"/>
  <c r="D2127" i="2"/>
  <c r="E2127" i="2" s="1" a="1"/>
  <c r="E2127" i="2" s="1"/>
  <c r="D2128" i="2"/>
  <c r="E2128" i="2" s="1" a="1"/>
  <c r="E2128" i="2" s="1"/>
  <c r="D2129" i="2"/>
  <c r="E2129" i="2" s="1" a="1"/>
  <c r="E2129" i="2" s="1"/>
  <c r="D2130" i="2"/>
  <c r="E2130" i="2" s="1" a="1"/>
  <c r="E2130" i="2" s="1"/>
  <c r="D2131" i="2"/>
  <c r="E2131" i="2" s="1" a="1"/>
  <c r="E2131" i="2" s="1"/>
  <c r="D2132" i="2"/>
  <c r="E2132" i="2" s="1" a="1"/>
  <c r="E2132" i="2" s="1"/>
  <c r="D2133" i="2"/>
  <c r="E2133" i="2" s="1" a="1"/>
  <c r="E2133" i="2" s="1"/>
  <c r="D2134" i="2"/>
  <c r="E2134" i="2" s="1" a="1"/>
  <c r="E2134" i="2" s="1"/>
  <c r="D2135" i="2"/>
  <c r="E2135" i="2" s="1" a="1"/>
  <c r="E2135" i="2" s="1"/>
  <c r="D2136" i="2"/>
  <c r="E2136" i="2" s="1" a="1"/>
  <c r="E2136" i="2" s="1"/>
  <c r="D2137" i="2"/>
  <c r="E2137" i="2" s="1" a="1"/>
  <c r="E2137" i="2" s="1"/>
  <c r="D2138" i="2"/>
  <c r="E2138" i="2" s="1" a="1"/>
  <c r="E2138" i="2" s="1"/>
  <c r="D2139" i="2"/>
  <c r="E2139" i="2" s="1" a="1"/>
  <c r="E2139" i="2" s="1"/>
  <c r="D2140" i="2"/>
  <c r="E2140" i="2" s="1" a="1"/>
  <c r="E2140" i="2" s="1"/>
  <c r="D2141" i="2"/>
  <c r="E2141" i="2" s="1" a="1"/>
  <c r="E2141" i="2" s="1"/>
  <c r="D2142" i="2"/>
  <c r="E2142" i="2" s="1" a="1"/>
  <c r="E2142" i="2" s="1"/>
  <c r="D2143" i="2"/>
  <c r="E2143" i="2" s="1" a="1"/>
  <c r="E2143" i="2" s="1"/>
  <c r="D2144" i="2"/>
  <c r="E2144" i="2" s="1" a="1"/>
  <c r="E2144" i="2" s="1"/>
  <c r="D2145" i="2"/>
  <c r="E2145" i="2" s="1" a="1"/>
  <c r="E2145" i="2" s="1"/>
  <c r="D2146" i="2"/>
  <c r="E2146" i="2" s="1" a="1"/>
  <c r="E2146" i="2" s="1"/>
  <c r="D2147" i="2"/>
  <c r="E2147" i="2" s="1" a="1"/>
  <c r="E2147" i="2" s="1"/>
  <c r="D2148" i="2"/>
  <c r="E2148" i="2" s="1" a="1"/>
  <c r="E2148" i="2" s="1"/>
  <c r="D2149" i="2"/>
  <c r="E2149" i="2" s="1" a="1"/>
  <c r="E2149" i="2" s="1"/>
  <c r="D2150" i="2"/>
  <c r="E2150" i="2" s="1" a="1"/>
  <c r="E2150" i="2" s="1"/>
  <c r="D2151" i="2"/>
  <c r="E2151" i="2" s="1" a="1"/>
  <c r="E2151" i="2" s="1"/>
  <c r="D2152" i="2"/>
  <c r="E2152" i="2" s="1" a="1"/>
  <c r="E2152" i="2" s="1"/>
  <c r="D2153" i="2"/>
  <c r="E2153" i="2" s="1" a="1"/>
  <c r="E2153" i="2" s="1"/>
  <c r="D2154" i="2"/>
  <c r="E2154" i="2" s="1" a="1"/>
  <c r="E2154" i="2" s="1"/>
  <c r="D2155" i="2"/>
  <c r="E2155" i="2" s="1" a="1"/>
  <c r="E2155" i="2" s="1"/>
  <c r="D2156" i="2"/>
  <c r="E2156" i="2" s="1" a="1"/>
  <c r="E2156" i="2" s="1"/>
  <c r="D2157" i="2"/>
  <c r="E2157" i="2" s="1" a="1"/>
  <c r="E2157" i="2" s="1"/>
  <c r="D2158" i="2"/>
  <c r="E2158" i="2" s="1" a="1"/>
  <c r="E2158" i="2" s="1"/>
  <c r="D2159" i="2"/>
  <c r="E2159" i="2" s="1" a="1"/>
  <c r="E2159" i="2" s="1"/>
  <c r="D2160" i="2"/>
  <c r="E2160" i="2" s="1" a="1"/>
  <c r="E2160" i="2" s="1"/>
  <c r="D2161" i="2"/>
  <c r="E2161" i="2" s="1" a="1"/>
  <c r="E2161" i="2" s="1"/>
  <c r="D2162" i="2"/>
  <c r="E2162" i="2" s="1" a="1"/>
  <c r="E2162" i="2" s="1"/>
  <c r="D2163" i="2"/>
  <c r="E2163" i="2" s="1" a="1"/>
  <c r="E2163" i="2" s="1"/>
  <c r="D2164" i="2"/>
  <c r="E2164" i="2" s="1" a="1"/>
  <c r="E2164" i="2" s="1"/>
  <c r="D2165" i="2"/>
  <c r="E2165" i="2" s="1" a="1"/>
  <c r="E2165" i="2" s="1"/>
  <c r="D2166" i="2"/>
  <c r="E2166" i="2" s="1" a="1"/>
  <c r="E2166" i="2" s="1"/>
  <c r="D2167" i="2"/>
  <c r="E2167" i="2" s="1" a="1"/>
  <c r="E2167" i="2" s="1"/>
  <c r="D2168" i="2"/>
  <c r="E2168" i="2" s="1" a="1"/>
  <c r="E2168" i="2" s="1"/>
  <c r="D2169" i="2"/>
  <c r="E2169" i="2" s="1" a="1"/>
  <c r="E2169" i="2" s="1"/>
  <c r="D2170" i="2"/>
  <c r="E2170" i="2" s="1" a="1"/>
  <c r="E2170" i="2" s="1"/>
  <c r="D2171" i="2"/>
  <c r="E2171" i="2" s="1" a="1"/>
  <c r="E2171" i="2" s="1"/>
  <c r="D2172" i="2"/>
  <c r="E2172" i="2" s="1" a="1"/>
  <c r="E2172" i="2" s="1"/>
  <c r="D2173" i="2"/>
  <c r="E2173" i="2" s="1" a="1"/>
  <c r="E2173" i="2" s="1"/>
  <c r="D2174" i="2"/>
  <c r="E2174" i="2" s="1" a="1"/>
  <c r="E2174" i="2" s="1"/>
  <c r="D2175" i="2"/>
  <c r="E2175" i="2" s="1" a="1"/>
  <c r="E2175" i="2" s="1"/>
  <c r="D2176" i="2"/>
  <c r="E2176" i="2" s="1" a="1"/>
  <c r="E2176" i="2" s="1"/>
  <c r="D2177" i="2"/>
  <c r="E2177" i="2" s="1" a="1"/>
  <c r="E2177" i="2" s="1"/>
  <c r="D2178" i="2"/>
  <c r="E2178" i="2" s="1" a="1"/>
  <c r="E2178" i="2" s="1"/>
  <c r="D2179" i="2"/>
  <c r="E2179" i="2" s="1" a="1"/>
  <c r="E2179" i="2" s="1"/>
  <c r="D2180" i="2"/>
  <c r="E2180" i="2" s="1" a="1"/>
  <c r="E2180" i="2" s="1"/>
  <c r="D2181" i="2"/>
  <c r="E2181" i="2" s="1" a="1"/>
  <c r="E2181" i="2" s="1"/>
  <c r="D2182" i="2"/>
  <c r="E2182" i="2" s="1" a="1"/>
  <c r="E2182" i="2" s="1"/>
  <c r="D2183" i="2"/>
  <c r="E2183" i="2" s="1" a="1"/>
  <c r="E2183" i="2" s="1"/>
  <c r="D2184" i="2"/>
  <c r="E2184" i="2" s="1" a="1"/>
  <c r="E2184" i="2" s="1"/>
  <c r="D2185" i="2"/>
  <c r="E2185" i="2" s="1" a="1"/>
  <c r="E2185" i="2" s="1"/>
  <c r="D2186" i="2"/>
  <c r="E2186" i="2" s="1" a="1"/>
  <c r="E2186" i="2" s="1"/>
  <c r="D2187" i="2"/>
  <c r="E2187" i="2" s="1" a="1"/>
  <c r="E2187" i="2" s="1"/>
  <c r="D2188" i="2"/>
  <c r="E2188" i="2" s="1" a="1"/>
  <c r="E2188" i="2" s="1"/>
  <c r="D2189" i="2"/>
  <c r="E2189" i="2" s="1" a="1"/>
  <c r="E2189" i="2" s="1"/>
  <c r="D2190" i="2"/>
  <c r="E2190" i="2" s="1" a="1"/>
  <c r="E2190" i="2" s="1"/>
  <c r="D2191" i="2"/>
  <c r="E2191" i="2" s="1" a="1"/>
  <c r="E2191" i="2" s="1"/>
  <c r="D2192" i="2"/>
  <c r="E2192" i="2" s="1" a="1"/>
  <c r="E2192" i="2" s="1"/>
  <c r="D2193" i="2"/>
  <c r="E2193" i="2" s="1" a="1"/>
  <c r="E2193" i="2" s="1"/>
  <c r="D2194" i="2"/>
  <c r="E2194" i="2" s="1" a="1"/>
  <c r="E2194" i="2" s="1"/>
  <c r="D2195" i="2"/>
  <c r="E2195" i="2" s="1" a="1"/>
  <c r="E2195" i="2" s="1"/>
  <c r="D2196" i="2"/>
  <c r="E2196" i="2" s="1" a="1"/>
  <c r="E2196" i="2" s="1"/>
  <c r="D2197" i="2"/>
  <c r="E2197" i="2" s="1" a="1"/>
  <c r="E2197" i="2" s="1"/>
  <c r="D2198" i="2"/>
  <c r="E2198" i="2" s="1" a="1"/>
  <c r="E2198" i="2" s="1"/>
  <c r="D2199" i="2"/>
  <c r="E2199" i="2" s="1" a="1"/>
  <c r="E2199" i="2" s="1"/>
  <c r="D2200" i="2"/>
  <c r="E2200" i="2" s="1" a="1"/>
  <c r="E2200" i="2" s="1"/>
  <c r="D2201" i="2"/>
  <c r="E2201" i="2" s="1" a="1"/>
  <c r="E2201" i="2" s="1"/>
  <c r="D2202" i="2"/>
  <c r="E2202" i="2" s="1" a="1"/>
  <c r="E2202" i="2" s="1"/>
  <c r="D2203" i="2"/>
  <c r="E2203" i="2" s="1" a="1"/>
  <c r="E2203" i="2" s="1"/>
  <c r="D2204" i="2"/>
  <c r="E2204" i="2" s="1" a="1"/>
  <c r="E2204" i="2" s="1"/>
  <c r="D2205" i="2"/>
  <c r="E2205" i="2" s="1" a="1"/>
  <c r="E2205" i="2" s="1"/>
  <c r="D2206" i="2"/>
  <c r="E2206" i="2" s="1" a="1"/>
  <c r="E2206" i="2" s="1"/>
  <c r="D2207" i="2"/>
  <c r="E2207" i="2" s="1" a="1"/>
  <c r="E2207" i="2" s="1"/>
  <c r="D2208" i="2"/>
  <c r="E2208" i="2" s="1" a="1"/>
  <c r="E2208" i="2" s="1"/>
  <c r="D2209" i="2"/>
  <c r="E2209" i="2" s="1" a="1"/>
  <c r="E2209" i="2" s="1"/>
  <c r="D2210" i="2"/>
  <c r="E2210" i="2" s="1" a="1"/>
  <c r="E2210" i="2" s="1"/>
  <c r="D2211" i="2"/>
  <c r="E2211" i="2" s="1" a="1"/>
  <c r="E2211" i="2" s="1"/>
  <c r="D2212" i="2"/>
  <c r="E2212" i="2" s="1" a="1"/>
  <c r="E2212" i="2" s="1"/>
  <c r="D2213" i="2"/>
  <c r="E2213" i="2" s="1" a="1"/>
  <c r="E2213" i="2" s="1"/>
  <c r="D2214" i="2"/>
  <c r="E2214" i="2" s="1" a="1"/>
  <c r="E2214" i="2" s="1"/>
  <c r="D2215" i="2"/>
  <c r="E2215" i="2" s="1" a="1"/>
  <c r="E2215" i="2" s="1"/>
  <c r="D2216" i="2"/>
  <c r="E2216" i="2" s="1" a="1"/>
  <c r="E2216" i="2" s="1"/>
  <c r="D2217" i="2"/>
  <c r="E2217" i="2" s="1" a="1"/>
  <c r="E2217" i="2" s="1"/>
  <c r="D2218" i="2"/>
  <c r="E2218" i="2" s="1" a="1"/>
  <c r="E2218" i="2" s="1"/>
  <c r="D2219" i="2"/>
  <c r="E2219" i="2" s="1" a="1"/>
  <c r="E2219" i="2" s="1"/>
  <c r="D2220" i="2"/>
  <c r="E2220" i="2" s="1" a="1"/>
  <c r="E2220" i="2" s="1"/>
  <c r="D2221" i="2"/>
  <c r="E2221" i="2" s="1" a="1"/>
  <c r="E2221" i="2" s="1"/>
  <c r="D2222" i="2"/>
  <c r="E2222" i="2" s="1" a="1"/>
  <c r="E2222" i="2" s="1"/>
  <c r="D2223" i="2"/>
  <c r="E2223" i="2" s="1" a="1"/>
  <c r="E2223" i="2" s="1"/>
  <c r="D2224" i="2"/>
  <c r="E2224" i="2" s="1" a="1"/>
  <c r="E2224" i="2" s="1"/>
  <c r="D2225" i="2"/>
  <c r="E2225" i="2" s="1" a="1"/>
  <c r="E2225" i="2" s="1"/>
  <c r="D2226" i="2"/>
  <c r="E2226" i="2" s="1" a="1"/>
  <c r="E2226" i="2" s="1"/>
  <c r="D2227" i="2"/>
  <c r="E2227" i="2" s="1" a="1"/>
  <c r="E2227" i="2" s="1"/>
  <c r="D2228" i="2"/>
  <c r="E2228" i="2" s="1" a="1"/>
  <c r="E2228" i="2" s="1"/>
  <c r="D2229" i="2"/>
  <c r="E2229" i="2" s="1" a="1"/>
  <c r="E2229" i="2" s="1"/>
  <c r="D2230" i="2"/>
  <c r="E2230" i="2" s="1" a="1"/>
  <c r="E2230" i="2" s="1"/>
  <c r="D2231" i="2"/>
  <c r="E2231" i="2" s="1" a="1"/>
  <c r="E2231" i="2" s="1"/>
  <c r="D2232" i="2"/>
  <c r="E2232" i="2" s="1" a="1"/>
  <c r="E2232" i="2" s="1"/>
  <c r="D2233" i="2"/>
  <c r="E2233" i="2" s="1" a="1"/>
  <c r="E2233" i="2" s="1"/>
  <c r="D2234" i="2"/>
  <c r="E2234" i="2" s="1" a="1"/>
  <c r="E2234" i="2" s="1"/>
  <c r="D2235" i="2"/>
  <c r="E2235" i="2" s="1" a="1"/>
  <c r="E2235" i="2" s="1"/>
  <c r="D2236" i="2"/>
  <c r="E2236" i="2" s="1" a="1"/>
  <c r="E2236" i="2" s="1"/>
  <c r="D2237" i="2"/>
  <c r="E2237" i="2" s="1" a="1"/>
  <c r="E2237" i="2" s="1"/>
  <c r="D2238" i="2"/>
  <c r="E2238" i="2" s="1" a="1"/>
  <c r="E2238" i="2" s="1"/>
  <c r="D2239" i="2"/>
  <c r="E2239" i="2" s="1" a="1"/>
  <c r="E2239" i="2" s="1"/>
  <c r="D2240" i="2"/>
  <c r="E2240" i="2" s="1" a="1"/>
  <c r="E2240" i="2" s="1"/>
  <c r="D2241" i="2"/>
  <c r="E2241" i="2" s="1" a="1"/>
  <c r="E2241" i="2" s="1"/>
  <c r="D2242" i="2"/>
  <c r="E2242" i="2" s="1" a="1"/>
  <c r="E2242" i="2" s="1"/>
  <c r="D2243" i="2"/>
  <c r="E2243" i="2" s="1" a="1"/>
  <c r="E2243" i="2" s="1"/>
  <c r="D2244" i="2"/>
  <c r="E2244" i="2" s="1" a="1"/>
  <c r="E2244" i="2" s="1"/>
  <c r="D2245" i="2"/>
  <c r="E2245" i="2" s="1" a="1"/>
  <c r="E2245" i="2" s="1"/>
  <c r="D2246" i="2"/>
  <c r="E2246" i="2" s="1" a="1"/>
  <c r="E2246" i="2" s="1"/>
  <c r="D2247" i="2"/>
  <c r="E2247" i="2" s="1" a="1"/>
  <c r="E2247" i="2" s="1"/>
  <c r="D2248" i="2"/>
  <c r="E2248" i="2" s="1" a="1"/>
  <c r="E2248" i="2" s="1"/>
  <c r="D2249" i="2"/>
  <c r="E2249" i="2" s="1" a="1"/>
  <c r="E2249" i="2" s="1"/>
  <c r="D2250" i="2"/>
  <c r="E2250" i="2" s="1" a="1"/>
  <c r="E2250" i="2" s="1"/>
  <c r="D2251" i="2"/>
  <c r="E2251" i="2" s="1" a="1"/>
  <c r="E2251" i="2" s="1"/>
  <c r="D2252" i="2"/>
  <c r="E2252" i="2" s="1" a="1"/>
  <c r="E2252" i="2" s="1"/>
  <c r="D2253" i="2"/>
  <c r="E2253" i="2" s="1" a="1"/>
  <c r="E2253" i="2" s="1"/>
  <c r="D2254" i="2"/>
  <c r="E2254" i="2" s="1" a="1"/>
  <c r="E2254" i="2" s="1"/>
  <c r="D2255" i="2"/>
  <c r="E2255" i="2" s="1" a="1"/>
  <c r="E2255" i="2" s="1"/>
  <c r="D2256" i="2"/>
  <c r="E2256" i="2" s="1" a="1"/>
  <c r="E2256" i="2" s="1"/>
  <c r="D2257" i="2"/>
  <c r="E2257" i="2" s="1" a="1"/>
  <c r="E2257" i="2" s="1"/>
  <c r="D2258" i="2"/>
  <c r="E2258" i="2" s="1" a="1"/>
  <c r="E2258" i="2" s="1"/>
  <c r="D2259" i="2"/>
  <c r="E2259" i="2" s="1" a="1"/>
  <c r="E2259" i="2" s="1"/>
  <c r="D2260" i="2"/>
  <c r="E2260" i="2" s="1" a="1"/>
  <c r="E2260" i="2" s="1"/>
  <c r="D2261" i="2"/>
  <c r="E2261" i="2" s="1" a="1"/>
  <c r="E2261" i="2" s="1"/>
  <c r="D2262" i="2"/>
  <c r="E2262" i="2" s="1" a="1"/>
  <c r="E2262" i="2" s="1"/>
  <c r="D2263" i="2"/>
  <c r="E2263" i="2" s="1" a="1"/>
  <c r="E2263" i="2" s="1"/>
  <c r="D2264" i="2"/>
  <c r="E2264" i="2" s="1" a="1"/>
  <c r="E2264" i="2" s="1"/>
  <c r="D2265" i="2"/>
  <c r="E2265" i="2" s="1" a="1"/>
  <c r="E2265" i="2" s="1"/>
  <c r="D2266" i="2"/>
  <c r="E2266" i="2" s="1" a="1"/>
  <c r="E2266" i="2" s="1"/>
  <c r="D2267" i="2"/>
  <c r="E2267" i="2" s="1" a="1"/>
  <c r="E2267" i="2" s="1"/>
  <c r="D2268" i="2"/>
  <c r="E2268" i="2" s="1" a="1"/>
  <c r="E2268" i="2" s="1"/>
  <c r="D2269" i="2"/>
  <c r="E2269" i="2" s="1" a="1"/>
  <c r="E2269" i="2" s="1"/>
  <c r="D2270" i="2"/>
  <c r="E2270" i="2" s="1" a="1"/>
  <c r="E2270" i="2" s="1"/>
  <c r="D2271" i="2"/>
  <c r="E2271" i="2" s="1" a="1"/>
  <c r="E2271" i="2" s="1"/>
  <c r="D2272" i="2"/>
  <c r="E2272" i="2" s="1" a="1"/>
  <c r="E2272" i="2" s="1"/>
  <c r="D2273" i="2"/>
  <c r="E2273" i="2" s="1" a="1"/>
  <c r="E2273" i="2" s="1"/>
  <c r="D2274" i="2"/>
  <c r="E2274" i="2" s="1" a="1"/>
  <c r="E2274" i="2" s="1"/>
  <c r="D2275" i="2"/>
  <c r="E2275" i="2" s="1" a="1"/>
  <c r="E2275" i="2" s="1"/>
  <c r="D2276" i="2"/>
  <c r="E2276" i="2" s="1" a="1"/>
  <c r="E2276" i="2" s="1"/>
  <c r="D2277" i="2"/>
  <c r="E2277" i="2" s="1" a="1"/>
  <c r="E2277" i="2" s="1"/>
  <c r="D2278" i="2"/>
  <c r="E2278" i="2" s="1" a="1"/>
  <c r="E2278" i="2" s="1"/>
  <c r="D2279" i="2"/>
  <c r="E2279" i="2" s="1" a="1"/>
  <c r="E2279" i="2" s="1"/>
  <c r="D2280" i="2"/>
  <c r="E2280" i="2" s="1" a="1"/>
  <c r="E2280" i="2" s="1"/>
  <c r="D2281" i="2"/>
  <c r="E2281" i="2" s="1" a="1"/>
  <c r="E2281" i="2" s="1"/>
  <c r="D2282" i="2"/>
  <c r="E2282" i="2" s="1" a="1"/>
  <c r="E2282" i="2" s="1"/>
  <c r="D2283" i="2"/>
  <c r="E2283" i="2" s="1" a="1"/>
  <c r="E2283" i="2" s="1"/>
  <c r="D2284" i="2"/>
  <c r="E2284" i="2" s="1" a="1"/>
  <c r="E2284" i="2" s="1"/>
  <c r="D2285" i="2"/>
  <c r="E2285" i="2" s="1" a="1"/>
  <c r="E2285" i="2" s="1"/>
  <c r="D2286" i="2"/>
  <c r="E2286" i="2" s="1" a="1"/>
  <c r="E2286" i="2" s="1"/>
  <c r="D2287" i="2"/>
  <c r="E2287" i="2" s="1" a="1"/>
  <c r="E2287" i="2" s="1"/>
  <c r="D2288" i="2"/>
  <c r="E2288" i="2" s="1" a="1"/>
  <c r="E2288" i="2" s="1"/>
  <c r="D2289" i="2"/>
  <c r="E2289" i="2" s="1" a="1"/>
  <c r="E2289" i="2" s="1"/>
  <c r="D2290" i="2"/>
  <c r="E2290" i="2" s="1" a="1"/>
  <c r="E2290" i="2" s="1"/>
  <c r="D2291" i="2"/>
  <c r="E2291" i="2" s="1" a="1"/>
  <c r="E2291" i="2" s="1"/>
  <c r="D2292" i="2"/>
  <c r="E2292" i="2" s="1" a="1"/>
  <c r="E2292" i="2" s="1"/>
  <c r="D2293" i="2"/>
  <c r="E2293" i="2" s="1" a="1"/>
  <c r="E2293" i="2" s="1"/>
  <c r="D2294" i="2"/>
  <c r="E2294" i="2" s="1" a="1"/>
  <c r="E2294" i="2" s="1"/>
  <c r="D2295" i="2"/>
  <c r="E2295" i="2" s="1" a="1"/>
  <c r="E2295" i="2" s="1"/>
  <c r="D2296" i="2"/>
  <c r="E2296" i="2" s="1" a="1"/>
  <c r="E2296" i="2" s="1"/>
  <c r="D2297" i="2"/>
  <c r="E2297" i="2" s="1" a="1"/>
  <c r="E2297" i="2" s="1"/>
  <c r="D2298" i="2"/>
  <c r="E2298" i="2" s="1" a="1"/>
  <c r="E2298" i="2" s="1"/>
  <c r="D2299" i="2"/>
  <c r="E2299" i="2" s="1" a="1"/>
  <c r="E2299" i="2" s="1"/>
  <c r="D2300" i="2"/>
  <c r="E2300" i="2" s="1" a="1"/>
  <c r="E2300" i="2" s="1"/>
  <c r="D2301" i="2"/>
  <c r="E2301" i="2" s="1" a="1"/>
  <c r="E2301" i="2" s="1"/>
  <c r="D2302" i="2"/>
  <c r="E2302" i="2" s="1" a="1"/>
  <c r="E2302" i="2" s="1"/>
  <c r="D2303" i="2"/>
  <c r="E2303" i="2" s="1" a="1"/>
  <c r="E2303" i="2" s="1"/>
  <c r="D2304" i="2"/>
  <c r="E2304" i="2" s="1" a="1"/>
  <c r="E2304" i="2" s="1"/>
  <c r="D2305" i="2"/>
  <c r="E2305" i="2" s="1" a="1"/>
  <c r="E2305" i="2" s="1"/>
  <c r="D2306" i="2"/>
  <c r="E2306" i="2" s="1" a="1"/>
  <c r="E2306" i="2" s="1"/>
  <c r="D2307" i="2"/>
  <c r="E2307" i="2" s="1" a="1"/>
  <c r="E2307" i="2" s="1"/>
  <c r="D2308" i="2"/>
  <c r="E2308" i="2" s="1" a="1"/>
  <c r="E2308" i="2" s="1"/>
  <c r="D2309" i="2"/>
  <c r="E2309" i="2" s="1" a="1"/>
  <c r="E2309" i="2" s="1"/>
  <c r="D2310" i="2"/>
  <c r="E2310" i="2" s="1" a="1"/>
  <c r="E2310" i="2" s="1"/>
  <c r="D2311" i="2"/>
  <c r="E2311" i="2" s="1" a="1"/>
  <c r="E2311" i="2" s="1"/>
  <c r="D2312" i="2"/>
  <c r="E2312" i="2" s="1" a="1"/>
  <c r="E2312" i="2" s="1"/>
  <c r="D2313" i="2"/>
  <c r="E2313" i="2" s="1" a="1"/>
  <c r="E2313" i="2" s="1"/>
  <c r="D2314" i="2"/>
  <c r="E2314" i="2" s="1" a="1"/>
  <c r="E2314" i="2" s="1"/>
  <c r="D2315" i="2"/>
  <c r="E2315" i="2" s="1" a="1"/>
  <c r="E2315" i="2" s="1"/>
  <c r="D2316" i="2"/>
  <c r="E2316" i="2" s="1" a="1"/>
  <c r="E2316" i="2" s="1"/>
  <c r="D2317" i="2"/>
  <c r="E2317" i="2" s="1" a="1"/>
  <c r="E2317" i="2" s="1"/>
  <c r="D2318" i="2"/>
  <c r="E2318" i="2" s="1" a="1"/>
  <c r="E2318" i="2" s="1"/>
  <c r="D2319" i="2"/>
  <c r="E2319" i="2" s="1" a="1"/>
  <c r="E2319" i="2" s="1"/>
  <c r="D2320" i="2"/>
  <c r="E2320" i="2" s="1" a="1"/>
  <c r="E2320" i="2" s="1"/>
  <c r="D2321" i="2"/>
  <c r="E2321" i="2" s="1" a="1"/>
  <c r="E2321" i="2" s="1"/>
  <c r="D2322" i="2"/>
  <c r="E2322" i="2" s="1" a="1"/>
  <c r="E2322" i="2" s="1"/>
  <c r="D2323" i="2"/>
  <c r="E2323" i="2" s="1" a="1"/>
  <c r="E2323" i="2" s="1"/>
  <c r="D2324" i="2"/>
  <c r="E2324" i="2" s="1" a="1"/>
  <c r="E2324" i="2" s="1"/>
  <c r="D2325" i="2"/>
  <c r="E2325" i="2" s="1" a="1"/>
  <c r="E2325" i="2" s="1"/>
  <c r="D2326" i="2"/>
  <c r="E2326" i="2" s="1" a="1"/>
  <c r="E2326" i="2" s="1"/>
  <c r="D2327" i="2"/>
  <c r="E2327" i="2" s="1" a="1"/>
  <c r="E2327" i="2" s="1"/>
  <c r="D2328" i="2"/>
  <c r="E2328" i="2" s="1" a="1"/>
  <c r="E2328" i="2" s="1"/>
  <c r="D2329" i="2"/>
  <c r="E2329" i="2" s="1" a="1"/>
  <c r="E2329" i="2" s="1"/>
  <c r="D2330" i="2"/>
  <c r="E2330" i="2" s="1" a="1"/>
  <c r="E2330" i="2" s="1"/>
  <c r="D2331" i="2"/>
  <c r="E2331" i="2" s="1" a="1"/>
  <c r="E2331" i="2" s="1"/>
  <c r="D2332" i="2"/>
  <c r="E2332" i="2" s="1" a="1"/>
  <c r="E2332" i="2" s="1"/>
  <c r="D2333" i="2"/>
  <c r="E2333" i="2" s="1" a="1"/>
  <c r="E2333" i="2" s="1"/>
  <c r="D2334" i="2"/>
  <c r="E2334" i="2" s="1" a="1"/>
  <c r="E2334" i="2" s="1"/>
  <c r="D2335" i="2"/>
  <c r="E2335" i="2" s="1" a="1"/>
  <c r="E2335" i="2" s="1"/>
  <c r="D2336" i="2"/>
  <c r="E2336" i="2" s="1" a="1"/>
  <c r="E2336" i="2" s="1"/>
  <c r="D2337" i="2"/>
  <c r="E2337" i="2" s="1" a="1"/>
  <c r="E2337" i="2" s="1"/>
  <c r="D2338" i="2"/>
  <c r="E2338" i="2" s="1" a="1"/>
  <c r="E2338" i="2" s="1"/>
  <c r="D2339" i="2"/>
  <c r="E2339" i="2" s="1" a="1"/>
  <c r="E2339" i="2" s="1"/>
  <c r="D2340" i="2"/>
  <c r="E2340" i="2" s="1" a="1"/>
  <c r="E2340" i="2" s="1"/>
  <c r="D2341" i="2"/>
  <c r="E2341" i="2" s="1" a="1"/>
  <c r="E2341" i="2" s="1"/>
  <c r="D2342" i="2"/>
  <c r="E2342" i="2" s="1" a="1"/>
  <c r="E2342" i="2" s="1"/>
  <c r="D2343" i="2"/>
  <c r="E2343" i="2" s="1" a="1"/>
  <c r="E2343" i="2" s="1"/>
  <c r="D2344" i="2"/>
  <c r="E2344" i="2" s="1" a="1"/>
  <c r="E2344" i="2" s="1"/>
  <c r="D2345" i="2"/>
  <c r="E2345" i="2" s="1" a="1"/>
  <c r="E2345" i="2" s="1"/>
  <c r="D2346" i="2"/>
  <c r="E2346" i="2" s="1" a="1"/>
  <c r="E2346" i="2" s="1"/>
  <c r="D2347" i="2"/>
  <c r="E2347" i="2" s="1" a="1"/>
  <c r="E2347" i="2" s="1"/>
  <c r="D2348" i="2"/>
  <c r="E2348" i="2" s="1" a="1"/>
  <c r="E2348" i="2" s="1"/>
  <c r="D2349" i="2"/>
  <c r="E2349" i="2" s="1" a="1"/>
  <c r="E2349" i="2" s="1"/>
  <c r="D2350" i="2"/>
  <c r="E2350" i="2" s="1" a="1"/>
  <c r="E2350" i="2" s="1"/>
  <c r="D2351" i="2"/>
  <c r="E2351" i="2" s="1" a="1"/>
  <c r="E2351" i="2" s="1"/>
  <c r="D2352" i="2"/>
  <c r="E2352" i="2" s="1" a="1"/>
  <c r="E2352" i="2" s="1"/>
  <c r="D2353" i="2"/>
  <c r="E2353" i="2" s="1" a="1"/>
  <c r="E2353" i="2" s="1"/>
  <c r="D2354" i="2"/>
  <c r="E2354" i="2" s="1" a="1"/>
  <c r="E2354" i="2" s="1"/>
  <c r="D2355" i="2"/>
  <c r="E2355" i="2" s="1" a="1"/>
  <c r="E2355" i="2" s="1"/>
  <c r="D2356" i="2"/>
  <c r="E2356" i="2" s="1" a="1"/>
  <c r="E2356" i="2" s="1"/>
  <c r="D2357" i="2"/>
  <c r="E2357" i="2" s="1" a="1"/>
  <c r="E2357" i="2" s="1"/>
  <c r="D2358" i="2"/>
  <c r="E2358" i="2" s="1" a="1"/>
  <c r="E2358" i="2" s="1"/>
  <c r="D2359" i="2"/>
  <c r="E2359" i="2" s="1" a="1"/>
  <c r="E2359" i="2" s="1"/>
  <c r="D2360" i="2"/>
  <c r="E2360" i="2" s="1" a="1"/>
  <c r="E2360" i="2" s="1"/>
  <c r="D2361" i="2"/>
  <c r="E2361" i="2" s="1" a="1"/>
  <c r="E2361" i="2" s="1"/>
  <c r="D2362" i="2"/>
  <c r="E2362" i="2" s="1" a="1"/>
  <c r="E2362" i="2" s="1"/>
  <c r="D2363" i="2"/>
  <c r="E2363" i="2" s="1" a="1"/>
  <c r="E2363" i="2" s="1"/>
  <c r="D2364" i="2"/>
  <c r="E2364" i="2" s="1" a="1"/>
  <c r="E2364" i="2" s="1"/>
  <c r="D2365" i="2"/>
  <c r="E2365" i="2" s="1" a="1"/>
  <c r="E2365" i="2" s="1"/>
  <c r="D2366" i="2"/>
  <c r="E2366" i="2" s="1" a="1"/>
  <c r="E2366" i="2" s="1"/>
  <c r="D2367" i="2"/>
  <c r="E2367" i="2" s="1" a="1"/>
  <c r="E2367" i="2" s="1"/>
  <c r="D2368" i="2"/>
  <c r="E2368" i="2" s="1" a="1"/>
  <c r="E2368" i="2" s="1"/>
  <c r="D2369" i="2"/>
  <c r="E2369" i="2" s="1" a="1"/>
  <c r="E2369" i="2" s="1"/>
  <c r="D2370" i="2"/>
  <c r="E2370" i="2" s="1" a="1"/>
  <c r="E2370" i="2" s="1"/>
  <c r="D2371" i="2"/>
  <c r="E2371" i="2" s="1" a="1"/>
  <c r="E2371" i="2" s="1"/>
  <c r="D2372" i="2"/>
  <c r="E2372" i="2" s="1" a="1"/>
  <c r="E2372" i="2" s="1"/>
  <c r="D2373" i="2"/>
  <c r="E2373" i="2" s="1" a="1"/>
  <c r="E2373" i="2" s="1"/>
  <c r="D2374" i="2"/>
  <c r="E2374" i="2" s="1" a="1"/>
  <c r="E2374" i="2" s="1"/>
  <c r="D2375" i="2"/>
  <c r="E2375" i="2" s="1" a="1"/>
  <c r="E2375" i="2" s="1"/>
  <c r="D2376" i="2"/>
  <c r="E2376" i="2" s="1" a="1"/>
  <c r="E2376" i="2" s="1"/>
  <c r="D2377" i="2"/>
  <c r="E2377" i="2" s="1" a="1"/>
  <c r="E2377" i="2" s="1"/>
  <c r="D2378" i="2"/>
  <c r="E2378" i="2" s="1" a="1"/>
  <c r="E2378" i="2" s="1"/>
  <c r="D2379" i="2"/>
  <c r="E2379" i="2" s="1" a="1"/>
  <c r="E2379" i="2" s="1"/>
  <c r="D2380" i="2"/>
  <c r="E2380" i="2" s="1" a="1"/>
  <c r="E2380" i="2" s="1"/>
  <c r="D2381" i="2"/>
  <c r="E2381" i="2" s="1" a="1"/>
  <c r="E2381" i="2" s="1"/>
  <c r="D2382" i="2"/>
  <c r="E2382" i="2" s="1" a="1"/>
  <c r="E2382" i="2" s="1"/>
  <c r="D2383" i="2"/>
  <c r="E2383" i="2" s="1" a="1"/>
  <c r="E2383" i="2" s="1"/>
  <c r="D2384" i="2"/>
  <c r="E2384" i="2" s="1" a="1"/>
  <c r="E2384" i="2" s="1"/>
  <c r="D2385" i="2"/>
  <c r="E2385" i="2" s="1" a="1"/>
  <c r="E2385" i="2" s="1"/>
  <c r="D2386" i="2"/>
  <c r="E2386" i="2" s="1" a="1"/>
  <c r="E2386" i="2" s="1"/>
  <c r="D2387" i="2"/>
  <c r="E2387" i="2" s="1" a="1"/>
  <c r="E2387" i="2" s="1"/>
  <c r="D2388" i="2"/>
  <c r="E2388" i="2" s="1" a="1"/>
  <c r="E2388" i="2" s="1"/>
  <c r="D2389" i="2"/>
  <c r="E2389" i="2" s="1" a="1"/>
  <c r="E2389" i="2" s="1"/>
  <c r="D2390" i="2"/>
  <c r="E2390" i="2" s="1" a="1"/>
  <c r="E2390" i="2" s="1"/>
  <c r="D2391" i="2"/>
  <c r="E2391" i="2" s="1" a="1"/>
  <c r="E2391" i="2" s="1"/>
  <c r="D2392" i="2"/>
  <c r="E2392" i="2" s="1" a="1"/>
  <c r="E2392" i="2" s="1"/>
  <c r="D2393" i="2"/>
  <c r="E2393" i="2" s="1" a="1"/>
  <c r="E2393" i="2" s="1"/>
  <c r="D2394" i="2"/>
  <c r="E2394" i="2" s="1" a="1"/>
  <c r="E2394" i="2" s="1"/>
  <c r="D2395" i="2"/>
  <c r="E2395" i="2" s="1" a="1"/>
  <c r="E2395" i="2" s="1"/>
  <c r="D2396" i="2"/>
  <c r="E2396" i="2" s="1" a="1"/>
  <c r="E2396" i="2" s="1"/>
  <c r="D2397" i="2"/>
  <c r="E2397" i="2" s="1" a="1"/>
  <c r="E2397" i="2" s="1"/>
  <c r="D2398" i="2"/>
  <c r="E2398" i="2" s="1" a="1"/>
  <c r="E2398" i="2" s="1"/>
  <c r="D2399" i="2"/>
  <c r="E2399" i="2" s="1" a="1"/>
  <c r="E2399" i="2" s="1"/>
  <c r="D2400" i="2"/>
  <c r="E2400" i="2" s="1" a="1"/>
  <c r="E2400" i="2" s="1"/>
  <c r="D2401" i="2"/>
  <c r="E2401" i="2" s="1" a="1"/>
  <c r="E2401" i="2" s="1"/>
  <c r="D2402" i="2"/>
  <c r="E2402" i="2" s="1" a="1"/>
  <c r="E2402" i="2" s="1"/>
  <c r="D2403" i="2"/>
  <c r="E2403" i="2" s="1" a="1"/>
  <c r="E2403" i="2" s="1"/>
  <c r="D2404" i="2"/>
  <c r="E2404" i="2" s="1" a="1"/>
  <c r="E2404" i="2" s="1"/>
  <c r="D2405" i="2"/>
  <c r="E2405" i="2" s="1" a="1"/>
  <c r="E2405" i="2" s="1"/>
  <c r="D2406" i="2"/>
  <c r="E2406" i="2" s="1" a="1"/>
  <c r="E2406" i="2" s="1"/>
  <c r="D2407" i="2"/>
  <c r="E2407" i="2" s="1" a="1"/>
  <c r="E2407" i="2" s="1"/>
  <c r="D2408" i="2"/>
  <c r="E2408" i="2" s="1" a="1"/>
  <c r="E2408" i="2" s="1"/>
  <c r="D2409" i="2"/>
  <c r="E2409" i="2" s="1" a="1"/>
  <c r="E2409" i="2" s="1"/>
  <c r="D2410" i="2"/>
  <c r="E2410" i="2" s="1" a="1"/>
  <c r="E2410" i="2" s="1"/>
  <c r="D2411" i="2"/>
  <c r="E2411" i="2" s="1" a="1"/>
  <c r="E2411" i="2" s="1"/>
  <c r="D2412" i="2"/>
  <c r="E2412" i="2" s="1" a="1"/>
  <c r="E2412" i="2" s="1"/>
  <c r="D2413" i="2"/>
  <c r="E2413" i="2" s="1" a="1"/>
  <c r="E2413" i="2" s="1"/>
  <c r="D2414" i="2"/>
  <c r="E2414" i="2" s="1" a="1"/>
  <c r="E2414" i="2" s="1"/>
  <c r="D2415" i="2"/>
  <c r="E2415" i="2" s="1" a="1"/>
  <c r="E2415" i="2" s="1"/>
  <c r="D2416" i="2"/>
  <c r="E2416" i="2" s="1" a="1"/>
  <c r="E2416" i="2" s="1"/>
  <c r="D2417" i="2"/>
  <c r="E2417" i="2" s="1" a="1"/>
  <c r="E2417" i="2" s="1"/>
  <c r="D2418" i="2"/>
  <c r="E2418" i="2" s="1" a="1"/>
  <c r="E2418" i="2" s="1"/>
  <c r="D2419" i="2"/>
  <c r="E2419" i="2" s="1" a="1"/>
  <c r="E2419" i="2" s="1"/>
  <c r="D2420" i="2"/>
  <c r="E2420" i="2" s="1" a="1"/>
  <c r="E2420" i="2" s="1"/>
  <c r="D2421" i="2"/>
  <c r="E2421" i="2" s="1" a="1"/>
  <c r="E2421" i="2" s="1"/>
  <c r="D2422" i="2"/>
  <c r="E2422" i="2" s="1" a="1"/>
  <c r="E2422" i="2" s="1"/>
  <c r="D2423" i="2"/>
  <c r="E2423" i="2" s="1" a="1"/>
  <c r="E2423" i="2" s="1"/>
  <c r="D2424" i="2"/>
  <c r="E2424" i="2" s="1" a="1"/>
  <c r="E2424" i="2" s="1"/>
  <c r="D2425" i="2"/>
  <c r="E2425" i="2" s="1" a="1"/>
  <c r="E2425" i="2" s="1"/>
  <c r="D2426" i="2"/>
  <c r="E2426" i="2" s="1" a="1"/>
  <c r="E2426" i="2" s="1"/>
  <c r="D2427" i="2"/>
  <c r="E2427" i="2" s="1" a="1"/>
  <c r="E2427" i="2" s="1"/>
  <c r="D2428" i="2"/>
  <c r="E2428" i="2" s="1" a="1"/>
  <c r="E2428" i="2" s="1"/>
  <c r="D2429" i="2"/>
  <c r="E2429" i="2" s="1" a="1"/>
  <c r="E2429" i="2" s="1"/>
  <c r="D2430" i="2"/>
  <c r="E2430" i="2" s="1" a="1"/>
  <c r="E2430" i="2" s="1"/>
  <c r="D2431" i="2"/>
  <c r="E2431" i="2" s="1" a="1"/>
  <c r="E2431" i="2" s="1"/>
  <c r="D2432" i="2"/>
  <c r="E2432" i="2" s="1" a="1"/>
  <c r="E2432" i="2" s="1"/>
  <c r="D2433" i="2"/>
  <c r="E2433" i="2" s="1" a="1"/>
  <c r="E2433" i="2" s="1"/>
  <c r="D2434" i="2"/>
  <c r="E2434" i="2" s="1" a="1"/>
  <c r="E2434" i="2" s="1"/>
  <c r="D2435" i="2"/>
  <c r="E2435" i="2" s="1" a="1"/>
  <c r="E2435" i="2" s="1"/>
  <c r="D2436" i="2"/>
  <c r="E2436" i="2" s="1" a="1"/>
  <c r="E2436" i="2" s="1"/>
  <c r="D2437" i="2"/>
  <c r="E2437" i="2" s="1" a="1"/>
  <c r="E2437" i="2" s="1"/>
  <c r="D2438" i="2"/>
  <c r="E2438" i="2" s="1" a="1"/>
  <c r="E2438" i="2" s="1"/>
  <c r="D2439" i="2"/>
  <c r="E2439" i="2" s="1" a="1"/>
  <c r="E2439" i="2" s="1"/>
  <c r="D2440" i="2"/>
  <c r="E2440" i="2" s="1" a="1"/>
  <c r="E2440" i="2" s="1"/>
  <c r="D2441" i="2"/>
  <c r="E2441" i="2" s="1" a="1"/>
  <c r="E2441" i="2" s="1"/>
  <c r="D2442" i="2"/>
  <c r="E2442" i="2" s="1" a="1"/>
  <c r="E2442" i="2" s="1"/>
  <c r="D2443" i="2"/>
  <c r="E2443" i="2" s="1" a="1"/>
  <c r="E2443" i="2" s="1"/>
  <c r="D2444" i="2"/>
  <c r="E2444" i="2" s="1" a="1"/>
  <c r="E2444" i="2" s="1"/>
  <c r="D2445" i="2"/>
  <c r="E2445" i="2" s="1" a="1"/>
  <c r="E2445" i="2" s="1"/>
  <c r="D2446" i="2"/>
  <c r="E2446" i="2" s="1" a="1"/>
  <c r="E2446" i="2" s="1"/>
  <c r="D2447" i="2"/>
  <c r="E2447" i="2" s="1" a="1"/>
  <c r="E2447" i="2" s="1"/>
  <c r="D2448" i="2"/>
  <c r="E2448" i="2" s="1" a="1"/>
  <c r="E2448" i="2" s="1"/>
  <c r="D2449" i="2"/>
  <c r="E2449" i="2" s="1" a="1"/>
  <c r="E2449" i="2" s="1"/>
  <c r="D2450" i="2"/>
  <c r="E2450" i="2" s="1" a="1"/>
  <c r="E2450" i="2" s="1"/>
  <c r="D2451" i="2"/>
  <c r="E2451" i="2" s="1" a="1"/>
  <c r="E2451" i="2" s="1"/>
  <c r="D2452" i="2"/>
  <c r="E2452" i="2" s="1" a="1"/>
  <c r="E2452" i="2" s="1"/>
  <c r="D2453" i="2"/>
  <c r="E2453" i="2" s="1" a="1"/>
  <c r="E2453" i="2" s="1"/>
  <c r="D2454" i="2"/>
  <c r="E2454" i="2" s="1" a="1"/>
  <c r="E2454" i="2" s="1"/>
  <c r="D2455" i="2"/>
  <c r="E2455" i="2" s="1" a="1"/>
  <c r="E2455" i="2" s="1"/>
  <c r="D2456" i="2"/>
  <c r="E2456" i="2" s="1" a="1"/>
  <c r="E2456" i="2" s="1"/>
  <c r="D2457" i="2"/>
  <c r="E2457" i="2" s="1" a="1"/>
  <c r="E2457" i="2" s="1"/>
  <c r="D2458" i="2"/>
  <c r="E2458" i="2" s="1" a="1"/>
  <c r="E2458" i="2" s="1"/>
  <c r="D2459" i="2"/>
  <c r="E2459" i="2" s="1" a="1"/>
  <c r="E2459" i="2" s="1"/>
  <c r="D2460" i="2"/>
  <c r="E2460" i="2" s="1" a="1"/>
  <c r="E2460" i="2" s="1"/>
  <c r="D2461" i="2"/>
  <c r="E2461" i="2" s="1" a="1"/>
  <c r="E2461" i="2" s="1"/>
  <c r="D2462" i="2"/>
  <c r="E2462" i="2" s="1" a="1"/>
  <c r="E2462" i="2" s="1"/>
  <c r="D2463" i="2"/>
  <c r="E2463" i="2" s="1" a="1"/>
  <c r="E2463" i="2" s="1"/>
  <c r="D2464" i="2"/>
  <c r="E2464" i="2" s="1" a="1"/>
  <c r="E2464" i="2" s="1"/>
  <c r="D2465" i="2"/>
  <c r="E2465" i="2" s="1" a="1"/>
  <c r="E2465" i="2" s="1"/>
  <c r="D2466" i="2"/>
  <c r="E2466" i="2" s="1" a="1"/>
  <c r="E2466" i="2" s="1"/>
  <c r="D2467" i="2"/>
  <c r="E2467" i="2" s="1" a="1"/>
  <c r="E2467" i="2" s="1"/>
  <c r="D2468" i="2"/>
  <c r="E2468" i="2" s="1" a="1"/>
  <c r="E2468" i="2" s="1"/>
  <c r="D2469" i="2"/>
  <c r="E2469" i="2" s="1" a="1"/>
  <c r="E2469" i="2" s="1"/>
  <c r="D2470" i="2"/>
  <c r="E2470" i="2" s="1" a="1"/>
  <c r="E2470" i="2" s="1"/>
  <c r="D2471" i="2"/>
  <c r="E2471" i="2" s="1" a="1"/>
  <c r="E2471" i="2" s="1"/>
  <c r="D2472" i="2"/>
  <c r="E2472" i="2" s="1" a="1"/>
  <c r="E2472" i="2" s="1"/>
  <c r="D2473" i="2"/>
  <c r="E2473" i="2" s="1" a="1"/>
  <c r="E2473" i="2" s="1"/>
  <c r="D2474" i="2"/>
  <c r="E2474" i="2" s="1" a="1"/>
  <c r="E2474" i="2" s="1"/>
  <c r="D2475" i="2"/>
  <c r="E2475" i="2" s="1" a="1"/>
  <c r="E2475" i="2" s="1"/>
  <c r="D2476" i="2"/>
  <c r="E2476" i="2" s="1" a="1"/>
  <c r="E2476" i="2" s="1"/>
  <c r="D2477" i="2"/>
  <c r="E2477" i="2" s="1" a="1"/>
  <c r="E2477" i="2" s="1"/>
  <c r="D2478" i="2"/>
  <c r="E2478" i="2" s="1" a="1"/>
  <c r="E2478" i="2" s="1"/>
  <c r="D2479" i="2"/>
  <c r="E2479" i="2" s="1" a="1"/>
  <c r="E2479" i="2" s="1"/>
  <c r="D2480" i="2"/>
  <c r="E2480" i="2" s="1" a="1"/>
  <c r="E2480" i="2" s="1"/>
  <c r="D2481" i="2"/>
  <c r="E2481" i="2" s="1" a="1"/>
  <c r="E2481" i="2" s="1"/>
  <c r="D2482" i="2"/>
  <c r="E2482" i="2" s="1" a="1"/>
  <c r="E2482" i="2" s="1"/>
  <c r="D2483" i="2"/>
  <c r="E2483" i="2" s="1" a="1"/>
  <c r="E2483" i="2" s="1"/>
  <c r="D2484" i="2"/>
  <c r="E2484" i="2" s="1" a="1"/>
  <c r="E2484" i="2" s="1"/>
  <c r="D2485" i="2"/>
  <c r="E2485" i="2" s="1" a="1"/>
  <c r="E2485" i="2" s="1"/>
  <c r="D2486" i="2"/>
  <c r="E2486" i="2" s="1" a="1"/>
  <c r="E2486" i="2" s="1"/>
  <c r="D2487" i="2"/>
  <c r="E2487" i="2" s="1" a="1"/>
  <c r="E2487" i="2" s="1"/>
  <c r="D2488" i="2"/>
  <c r="E2488" i="2" s="1" a="1"/>
  <c r="E2488" i="2" s="1"/>
  <c r="D2489" i="2"/>
  <c r="E2489" i="2" s="1" a="1"/>
  <c r="E2489" i="2" s="1"/>
  <c r="D2490" i="2"/>
  <c r="E2490" i="2" s="1" a="1"/>
  <c r="E2490" i="2" s="1"/>
  <c r="D2491" i="2"/>
  <c r="E2491" i="2" s="1" a="1"/>
  <c r="E2491" i="2" s="1"/>
  <c r="D2492" i="2"/>
  <c r="E2492" i="2" s="1" a="1"/>
  <c r="E2492" i="2" s="1"/>
  <c r="D2493" i="2"/>
  <c r="E2493" i="2" s="1" a="1"/>
  <c r="E2493" i="2" s="1"/>
  <c r="D2494" i="2"/>
  <c r="E2494" i="2" s="1" a="1"/>
  <c r="E2494" i="2" s="1"/>
  <c r="D2495" i="2"/>
  <c r="E2495" i="2" s="1" a="1"/>
  <c r="E2495" i="2" s="1"/>
  <c r="D2496" i="2"/>
  <c r="E2496" i="2" s="1" a="1"/>
  <c r="E2496" i="2" s="1"/>
  <c r="D2497" i="2"/>
  <c r="E2497" i="2" s="1" a="1"/>
  <c r="E2497" i="2" s="1"/>
  <c r="D2498" i="2"/>
  <c r="E2498" i="2" s="1" a="1"/>
  <c r="E2498" i="2" s="1"/>
  <c r="D2499" i="2"/>
  <c r="E2499" i="2" s="1" a="1"/>
  <c r="E2499" i="2" s="1"/>
  <c r="D2500" i="2"/>
  <c r="E2500" i="2" s="1" a="1"/>
  <c r="E2500" i="2" s="1"/>
  <c r="D2501" i="2"/>
  <c r="E2501" i="2" s="1" a="1"/>
  <c r="E2501" i="2" s="1"/>
  <c r="D2502" i="2"/>
  <c r="E2502" i="2" s="1" a="1"/>
  <c r="E2502" i="2" s="1"/>
  <c r="D2503" i="2"/>
  <c r="E2503" i="2" s="1" a="1"/>
  <c r="E2503" i="2" s="1"/>
  <c r="D2504" i="2"/>
  <c r="E2504" i="2" s="1" a="1"/>
  <c r="E2504" i="2" s="1"/>
  <c r="D2505" i="2"/>
  <c r="E2505" i="2" s="1" a="1"/>
  <c r="E2505" i="2" s="1"/>
  <c r="D2506" i="2"/>
  <c r="E2506" i="2" s="1" a="1"/>
  <c r="E2506" i="2" s="1"/>
  <c r="D2507" i="2"/>
  <c r="E2507" i="2" s="1" a="1"/>
  <c r="E2507" i="2" s="1"/>
  <c r="D2508" i="2"/>
  <c r="E2508" i="2" s="1" a="1"/>
  <c r="E2508" i="2" s="1"/>
  <c r="D2509" i="2"/>
  <c r="E2509" i="2" s="1" a="1"/>
  <c r="E2509" i="2" s="1"/>
  <c r="D2510" i="2"/>
  <c r="E2510" i="2" s="1" a="1"/>
  <c r="E2510" i="2" s="1"/>
  <c r="D2511" i="2"/>
  <c r="E2511" i="2" s="1" a="1"/>
  <c r="E2511" i="2" s="1"/>
  <c r="D2512" i="2"/>
  <c r="E2512" i="2" s="1" a="1"/>
  <c r="E2512" i="2" s="1"/>
  <c r="D2513" i="2"/>
  <c r="E2513" i="2" s="1" a="1"/>
  <c r="E2513" i="2" s="1"/>
  <c r="D2514" i="2"/>
  <c r="E2514" i="2" s="1" a="1"/>
  <c r="E2514" i="2" s="1"/>
  <c r="D2515" i="2"/>
  <c r="E2515" i="2" s="1" a="1"/>
  <c r="E2515" i="2" s="1"/>
  <c r="D2516" i="2"/>
  <c r="E2516" i="2" s="1" a="1"/>
  <c r="E2516" i="2" s="1"/>
  <c r="D2517" i="2"/>
  <c r="E2517" i="2" s="1" a="1"/>
  <c r="E2517" i="2" s="1"/>
  <c r="D2518" i="2"/>
  <c r="E2518" i="2" s="1" a="1"/>
  <c r="E2518" i="2" s="1"/>
  <c r="D2519" i="2"/>
  <c r="E2519" i="2" s="1" a="1"/>
  <c r="E2519" i="2" s="1"/>
  <c r="D2520" i="2"/>
  <c r="E2520" i="2" s="1" a="1"/>
  <c r="E2520" i="2" s="1"/>
  <c r="D2521" i="2"/>
  <c r="E2521" i="2" s="1" a="1"/>
  <c r="E2521" i="2" s="1"/>
  <c r="D2522" i="2"/>
  <c r="E2522" i="2" s="1" a="1"/>
  <c r="E2522" i="2" s="1"/>
  <c r="D2523" i="2"/>
  <c r="E2523" i="2" s="1" a="1"/>
  <c r="E2523" i="2" s="1"/>
  <c r="D2524" i="2"/>
  <c r="E2524" i="2" s="1" a="1"/>
  <c r="E2524" i="2" s="1"/>
  <c r="D2525" i="2"/>
  <c r="E2525" i="2" s="1" a="1"/>
  <c r="E2525" i="2" s="1"/>
  <c r="D2526" i="2"/>
  <c r="E2526" i="2" s="1" a="1"/>
  <c r="E2526" i="2" s="1"/>
  <c r="D2527" i="2"/>
  <c r="E2527" i="2" s="1" a="1"/>
  <c r="E2527" i="2" s="1"/>
  <c r="D2528" i="2"/>
  <c r="E2528" i="2" s="1" a="1"/>
  <c r="E2528" i="2" s="1"/>
  <c r="D2529" i="2"/>
  <c r="E2529" i="2" s="1" a="1"/>
  <c r="E2529" i="2" s="1"/>
  <c r="D2530" i="2"/>
  <c r="E2530" i="2" s="1" a="1"/>
  <c r="E2530" i="2" s="1"/>
  <c r="D2531" i="2"/>
  <c r="E2531" i="2" s="1" a="1"/>
  <c r="E2531" i="2" s="1"/>
  <c r="D2532" i="2"/>
  <c r="E2532" i="2" s="1" a="1"/>
  <c r="E2532" i="2" s="1"/>
  <c r="D2533" i="2"/>
  <c r="E2533" i="2" s="1" a="1"/>
  <c r="E2533" i="2" s="1"/>
  <c r="D2534" i="2"/>
  <c r="E2534" i="2" s="1" a="1"/>
  <c r="E2534" i="2" s="1"/>
  <c r="D2535" i="2"/>
  <c r="E2535" i="2" s="1" a="1"/>
  <c r="E2535" i="2" s="1"/>
  <c r="D2536" i="2"/>
  <c r="E2536" i="2" s="1" a="1"/>
  <c r="E2536" i="2" s="1"/>
  <c r="D2537" i="2"/>
  <c r="E2537" i="2" s="1" a="1"/>
  <c r="E2537" i="2" s="1"/>
  <c r="D2538" i="2"/>
  <c r="E2538" i="2" s="1" a="1"/>
  <c r="E2538" i="2" s="1"/>
  <c r="D2539" i="2"/>
  <c r="E2539" i="2" s="1" a="1"/>
  <c r="E2539" i="2" s="1"/>
  <c r="D2540" i="2"/>
  <c r="E2540" i="2" s="1" a="1"/>
  <c r="E2540" i="2" s="1"/>
  <c r="D2541" i="2"/>
  <c r="E2541" i="2" s="1" a="1"/>
  <c r="E2541" i="2" s="1"/>
  <c r="D2542" i="2"/>
  <c r="E2542" i="2" s="1" a="1"/>
  <c r="E2542" i="2" s="1"/>
  <c r="D2543" i="2"/>
  <c r="E2543" i="2" s="1" a="1"/>
  <c r="E2543" i="2" s="1"/>
  <c r="D2544" i="2"/>
  <c r="E2544" i="2" s="1" a="1"/>
  <c r="E2544" i="2" s="1"/>
  <c r="D2545" i="2"/>
  <c r="E2545" i="2" s="1" a="1"/>
  <c r="E2545" i="2" s="1"/>
  <c r="D2546" i="2"/>
  <c r="E2546" i="2" s="1" a="1"/>
  <c r="E2546" i="2" s="1"/>
  <c r="D2547" i="2"/>
  <c r="E2547" i="2" s="1" a="1"/>
  <c r="E2547" i="2" s="1"/>
  <c r="D2548" i="2"/>
  <c r="E2548" i="2" s="1" a="1"/>
  <c r="E2548" i="2" s="1"/>
  <c r="D2549" i="2"/>
  <c r="E2549" i="2" s="1" a="1"/>
  <c r="E2549" i="2" s="1"/>
  <c r="D2550" i="2"/>
  <c r="E2550" i="2" s="1" a="1"/>
  <c r="E2550" i="2" s="1"/>
  <c r="D2551" i="2"/>
  <c r="E2551" i="2" s="1" a="1"/>
  <c r="E2551" i="2" s="1"/>
  <c r="D2552" i="2"/>
  <c r="E2552" i="2" s="1" a="1"/>
  <c r="E2552" i="2" s="1"/>
  <c r="D2553" i="2"/>
  <c r="E2553" i="2" s="1" a="1"/>
  <c r="E2553" i="2" s="1"/>
  <c r="D2554" i="2"/>
  <c r="E2554" i="2" s="1" a="1"/>
  <c r="E2554" i="2" s="1"/>
  <c r="D2555" i="2"/>
  <c r="E2555" i="2" s="1" a="1"/>
  <c r="E2555" i="2" s="1"/>
  <c r="D2556" i="2"/>
  <c r="E2556" i="2" s="1" a="1"/>
  <c r="E2556" i="2" s="1"/>
  <c r="D2557" i="2"/>
  <c r="E2557" i="2" s="1" a="1"/>
  <c r="E2557" i="2" s="1"/>
  <c r="D2558" i="2"/>
  <c r="E2558" i="2" s="1" a="1"/>
  <c r="E2558" i="2" s="1"/>
  <c r="D2559" i="2"/>
  <c r="E2559" i="2" s="1" a="1"/>
  <c r="E2559" i="2" s="1"/>
  <c r="D2560" i="2"/>
  <c r="E2560" i="2" s="1" a="1"/>
  <c r="E2560" i="2" s="1"/>
  <c r="D2561" i="2"/>
  <c r="E2561" i="2" s="1" a="1"/>
  <c r="E2561" i="2" s="1"/>
  <c r="D2562" i="2"/>
  <c r="E2562" i="2" s="1" a="1"/>
  <c r="E2562" i="2" s="1"/>
  <c r="D2563" i="2"/>
  <c r="E2563" i="2" s="1" a="1"/>
  <c r="E2563" i="2" s="1"/>
  <c r="D2564" i="2"/>
  <c r="E2564" i="2" s="1" a="1"/>
  <c r="E2564" i="2" s="1"/>
  <c r="D2565" i="2"/>
  <c r="E2565" i="2" s="1" a="1"/>
  <c r="E2565" i="2" s="1"/>
  <c r="D2566" i="2"/>
  <c r="E2566" i="2" s="1" a="1"/>
  <c r="E2566" i="2" s="1"/>
  <c r="D2567" i="2"/>
  <c r="E2567" i="2" s="1" a="1"/>
  <c r="E2567" i="2" s="1"/>
  <c r="D2568" i="2"/>
  <c r="E2568" i="2" s="1" a="1"/>
  <c r="E2568" i="2" s="1"/>
  <c r="D2569" i="2"/>
  <c r="E2569" i="2" s="1" a="1"/>
  <c r="E2569" i="2" s="1"/>
  <c r="D2570" i="2"/>
  <c r="E2570" i="2" s="1" a="1"/>
  <c r="E2570" i="2" s="1"/>
  <c r="D2571" i="2"/>
  <c r="E2571" i="2" s="1" a="1"/>
  <c r="E2571" i="2" s="1"/>
  <c r="D2572" i="2"/>
  <c r="E2572" i="2" s="1" a="1"/>
  <c r="E2572" i="2" s="1"/>
  <c r="D2573" i="2"/>
  <c r="E2573" i="2" s="1" a="1"/>
  <c r="E2573" i="2" s="1"/>
  <c r="D2574" i="2"/>
  <c r="E2574" i="2" s="1" a="1"/>
  <c r="E2574" i="2" s="1"/>
  <c r="D2575" i="2"/>
  <c r="E2575" i="2" s="1" a="1"/>
  <c r="E2575" i="2" s="1"/>
  <c r="D2576" i="2"/>
  <c r="E2576" i="2" s="1" a="1"/>
  <c r="E2576" i="2" s="1"/>
  <c r="D2577" i="2"/>
  <c r="E2577" i="2" s="1" a="1"/>
  <c r="E2577" i="2" s="1"/>
  <c r="D2578" i="2"/>
  <c r="E2578" i="2" s="1" a="1"/>
  <c r="E2578" i="2" s="1"/>
  <c r="D2579" i="2"/>
  <c r="E2579" i="2" s="1" a="1"/>
  <c r="E2579" i="2" s="1"/>
  <c r="D2580" i="2"/>
  <c r="E2580" i="2" s="1" a="1"/>
  <c r="E2580" i="2" s="1"/>
  <c r="D2581" i="2"/>
  <c r="E2581" i="2" s="1" a="1"/>
  <c r="E2581" i="2" s="1"/>
  <c r="D2582" i="2"/>
  <c r="E2582" i="2" s="1" a="1"/>
  <c r="E2582" i="2" s="1"/>
  <c r="D2583" i="2"/>
  <c r="E2583" i="2" s="1" a="1"/>
  <c r="E2583" i="2" s="1"/>
  <c r="D2584" i="2"/>
  <c r="E2584" i="2" s="1" a="1"/>
  <c r="E2584" i="2" s="1"/>
  <c r="D2585" i="2"/>
  <c r="E2585" i="2" s="1" a="1"/>
  <c r="E2585" i="2" s="1"/>
  <c r="D2586" i="2"/>
  <c r="E2586" i="2" s="1" a="1"/>
  <c r="E2586" i="2" s="1"/>
  <c r="D2587" i="2"/>
  <c r="E2587" i="2" s="1" a="1"/>
  <c r="E2587" i="2" s="1"/>
  <c r="D2588" i="2"/>
  <c r="E2588" i="2" s="1" a="1"/>
  <c r="E2588" i="2" s="1"/>
  <c r="D2589" i="2"/>
  <c r="E2589" i="2" s="1" a="1"/>
  <c r="E2589" i="2" s="1"/>
  <c r="D2590" i="2"/>
  <c r="E2590" i="2" s="1" a="1"/>
  <c r="E2590" i="2" s="1"/>
  <c r="D2591" i="2"/>
  <c r="E2591" i="2" s="1" a="1"/>
  <c r="E2591" i="2" s="1"/>
  <c r="D2592" i="2"/>
  <c r="E2592" i="2" s="1" a="1"/>
  <c r="E2592" i="2" s="1"/>
  <c r="D2593" i="2"/>
  <c r="E2593" i="2" s="1" a="1"/>
  <c r="E2593" i="2" s="1"/>
  <c r="D2594" i="2"/>
  <c r="E2594" i="2" s="1" a="1"/>
  <c r="E2594" i="2" s="1"/>
  <c r="D2595" i="2"/>
  <c r="E2595" i="2" s="1" a="1"/>
  <c r="E2595" i="2" s="1"/>
  <c r="D2596" i="2"/>
  <c r="E2596" i="2" s="1" a="1"/>
  <c r="E2596" i="2" s="1"/>
  <c r="D2597" i="2"/>
  <c r="E2597" i="2" s="1" a="1"/>
  <c r="E2597" i="2" s="1"/>
  <c r="D2598" i="2"/>
  <c r="E2598" i="2" s="1" a="1"/>
  <c r="E2598" i="2" s="1"/>
  <c r="D2599" i="2"/>
  <c r="E2599" i="2" s="1" a="1"/>
  <c r="E2599" i="2" s="1"/>
  <c r="D2600" i="2"/>
  <c r="E2600" i="2" s="1" a="1"/>
  <c r="E2600" i="2" s="1"/>
  <c r="D2601" i="2"/>
  <c r="E2601" i="2" s="1" a="1"/>
  <c r="E2601" i="2" s="1"/>
  <c r="D2602" i="2"/>
  <c r="E2602" i="2" s="1" a="1"/>
  <c r="E2602" i="2" s="1"/>
  <c r="D2603" i="2"/>
  <c r="E2603" i="2" s="1" a="1"/>
  <c r="E2603" i="2" s="1"/>
  <c r="D2604" i="2"/>
  <c r="E2604" i="2" s="1" a="1"/>
  <c r="E2604" i="2" s="1"/>
  <c r="D2605" i="2"/>
  <c r="E2605" i="2" s="1" a="1"/>
  <c r="E2605" i="2" s="1"/>
  <c r="D2606" i="2"/>
  <c r="E2606" i="2" s="1" a="1"/>
  <c r="E2606" i="2" s="1"/>
  <c r="D2607" i="2"/>
  <c r="E2607" i="2" s="1" a="1"/>
  <c r="E2607" i="2" s="1"/>
  <c r="D2608" i="2"/>
  <c r="E2608" i="2" s="1" a="1"/>
  <c r="E2608" i="2" s="1"/>
  <c r="D2609" i="2"/>
  <c r="E2609" i="2" s="1" a="1"/>
  <c r="E2609" i="2" s="1"/>
  <c r="D2610" i="2"/>
  <c r="E2610" i="2" s="1" a="1"/>
  <c r="E2610" i="2" s="1"/>
  <c r="D2611" i="2"/>
  <c r="E2611" i="2" s="1" a="1"/>
  <c r="E2611" i="2" s="1"/>
  <c r="D2612" i="2"/>
  <c r="E2612" i="2" s="1" a="1"/>
  <c r="E2612" i="2" s="1"/>
  <c r="D2613" i="2"/>
  <c r="E2613" i="2" s="1" a="1"/>
  <c r="E2613" i="2" s="1"/>
  <c r="D2614" i="2"/>
  <c r="E2614" i="2" s="1" a="1"/>
  <c r="E2614" i="2" s="1"/>
  <c r="D2615" i="2"/>
  <c r="E2615" i="2" s="1" a="1"/>
  <c r="E2615" i="2" s="1"/>
  <c r="D2616" i="2"/>
  <c r="E2616" i="2" s="1" a="1"/>
  <c r="E2616" i="2" s="1"/>
  <c r="D2617" i="2"/>
  <c r="E2617" i="2" s="1" a="1"/>
  <c r="E2617" i="2" s="1"/>
  <c r="D2618" i="2"/>
  <c r="E2618" i="2" s="1" a="1"/>
  <c r="E2618" i="2" s="1"/>
  <c r="D2619" i="2"/>
  <c r="E2619" i="2" s="1" a="1"/>
  <c r="E2619" i="2" s="1"/>
  <c r="D2620" i="2"/>
  <c r="E2620" i="2" s="1" a="1"/>
  <c r="E2620" i="2" s="1"/>
  <c r="D2621" i="2"/>
  <c r="E2621" i="2" s="1" a="1"/>
  <c r="E2621" i="2" s="1"/>
  <c r="D2622" i="2"/>
  <c r="E2622" i="2" s="1" a="1"/>
  <c r="E2622" i="2" s="1"/>
  <c r="D2623" i="2"/>
  <c r="E2623" i="2" s="1" a="1"/>
  <c r="E2623" i="2" s="1"/>
  <c r="D2624" i="2"/>
  <c r="E2624" i="2" s="1" a="1"/>
  <c r="E2624" i="2" s="1"/>
  <c r="D2625" i="2"/>
  <c r="E2625" i="2" s="1" a="1"/>
  <c r="E2625" i="2" s="1"/>
  <c r="D2626" i="2"/>
  <c r="E2626" i="2" s="1" a="1"/>
  <c r="E2626" i="2" s="1"/>
  <c r="D2627" i="2"/>
  <c r="E2627" i="2" s="1" a="1"/>
  <c r="E2627" i="2" s="1"/>
  <c r="D2628" i="2"/>
  <c r="E2628" i="2" s="1" a="1"/>
  <c r="E2628" i="2" s="1"/>
  <c r="D2629" i="2"/>
  <c r="E2629" i="2" s="1" a="1"/>
  <c r="E2629" i="2" s="1"/>
  <c r="D2630" i="2"/>
  <c r="E2630" i="2" s="1" a="1"/>
  <c r="E2630" i="2" s="1"/>
  <c r="D2631" i="2"/>
  <c r="E2631" i="2" s="1" a="1"/>
  <c r="E2631" i="2" s="1"/>
  <c r="D2632" i="2"/>
  <c r="E2632" i="2" s="1" a="1"/>
  <c r="E2632" i="2" s="1"/>
  <c r="D2633" i="2"/>
  <c r="E2633" i="2" s="1" a="1"/>
  <c r="E2633" i="2" s="1"/>
  <c r="D2634" i="2"/>
  <c r="E2634" i="2" s="1" a="1"/>
  <c r="E2634" i="2" s="1"/>
  <c r="D2635" i="2"/>
  <c r="E2635" i="2" s="1" a="1"/>
  <c r="E2635" i="2" s="1"/>
  <c r="D2636" i="2"/>
  <c r="E2636" i="2" s="1" a="1"/>
  <c r="E2636" i="2" s="1"/>
  <c r="D2637" i="2"/>
  <c r="E2637" i="2" s="1" a="1"/>
  <c r="E2637" i="2" s="1"/>
  <c r="D2638" i="2"/>
  <c r="E2638" i="2" s="1" a="1"/>
  <c r="E2638" i="2" s="1"/>
  <c r="D2639" i="2"/>
  <c r="E2639" i="2" s="1" a="1"/>
  <c r="E2639" i="2" s="1"/>
  <c r="D2640" i="2"/>
  <c r="E2640" i="2" s="1" a="1"/>
  <c r="E2640" i="2" s="1"/>
  <c r="D2641" i="2"/>
  <c r="E2641" i="2" s="1" a="1"/>
  <c r="E2641" i="2" s="1"/>
  <c r="D2642" i="2"/>
  <c r="E2642" i="2" s="1" a="1"/>
  <c r="E2642" i="2" s="1"/>
  <c r="D2643" i="2"/>
  <c r="E2643" i="2" s="1" a="1"/>
  <c r="E2643" i="2" s="1"/>
  <c r="D2644" i="2"/>
  <c r="E2644" i="2" s="1" a="1"/>
  <c r="E2644" i="2" s="1"/>
  <c r="D2645" i="2"/>
  <c r="E2645" i="2" s="1" a="1"/>
  <c r="E2645" i="2" s="1"/>
  <c r="D2646" i="2"/>
  <c r="E2646" i="2" s="1" a="1"/>
  <c r="E2646" i="2" s="1"/>
  <c r="D2647" i="2"/>
  <c r="E2647" i="2" s="1" a="1"/>
  <c r="E2647" i="2" s="1"/>
  <c r="D2648" i="2"/>
  <c r="E2648" i="2" s="1" a="1"/>
  <c r="E2648" i="2" s="1"/>
  <c r="D2649" i="2"/>
  <c r="E2649" i="2" s="1" a="1"/>
  <c r="E2649" i="2" s="1"/>
  <c r="D2650" i="2"/>
  <c r="E2650" i="2" s="1" a="1"/>
  <c r="E2650" i="2" s="1"/>
  <c r="D2651" i="2"/>
  <c r="E2651" i="2" s="1" a="1"/>
  <c r="E2651" i="2" s="1"/>
  <c r="D2652" i="2"/>
  <c r="E2652" i="2" s="1" a="1"/>
  <c r="E2652" i="2" s="1"/>
  <c r="D2653" i="2"/>
  <c r="E2653" i="2" s="1" a="1"/>
  <c r="E2653" i="2" s="1"/>
  <c r="D2654" i="2"/>
  <c r="E2654" i="2" s="1" a="1"/>
  <c r="E2654" i="2" s="1"/>
  <c r="D2655" i="2"/>
  <c r="E2655" i="2" s="1" a="1"/>
  <c r="E2655" i="2" s="1"/>
  <c r="D2656" i="2"/>
  <c r="E2656" i="2" s="1" a="1"/>
  <c r="E2656" i="2" s="1"/>
  <c r="D2657" i="2"/>
  <c r="E2657" i="2" s="1" a="1"/>
  <c r="E2657" i="2" s="1"/>
  <c r="D2658" i="2"/>
  <c r="E2658" i="2" s="1" a="1"/>
  <c r="E2658" i="2" s="1"/>
  <c r="D2659" i="2"/>
  <c r="E2659" i="2" s="1" a="1"/>
  <c r="E2659" i="2" s="1"/>
  <c r="D2660" i="2"/>
  <c r="E2660" i="2" s="1" a="1"/>
  <c r="E2660" i="2" s="1"/>
  <c r="D2661" i="2"/>
  <c r="E2661" i="2" s="1" a="1"/>
  <c r="E2661" i="2" s="1"/>
  <c r="D2662" i="2"/>
  <c r="E2662" i="2" s="1" a="1"/>
  <c r="E2662" i="2" s="1"/>
  <c r="D2663" i="2"/>
  <c r="E2663" i="2" s="1" a="1"/>
  <c r="E2663" i="2" s="1"/>
  <c r="D2664" i="2"/>
  <c r="E2664" i="2" s="1" a="1"/>
  <c r="E2664" i="2" s="1"/>
  <c r="D2665" i="2"/>
  <c r="E2665" i="2" s="1" a="1"/>
  <c r="E2665" i="2" s="1"/>
  <c r="D2666" i="2"/>
  <c r="E2666" i="2" s="1" a="1"/>
  <c r="E2666" i="2" s="1"/>
  <c r="D2667" i="2"/>
  <c r="E2667" i="2" s="1" a="1"/>
  <c r="E2667" i="2" s="1"/>
  <c r="D2668" i="2"/>
  <c r="E2668" i="2" s="1" a="1"/>
  <c r="E2668" i="2" s="1"/>
  <c r="D2669" i="2"/>
  <c r="E2669" i="2" s="1" a="1"/>
  <c r="E2669" i="2" s="1"/>
  <c r="D2670" i="2"/>
  <c r="E2670" i="2" s="1" a="1"/>
  <c r="E2670" i="2" s="1"/>
  <c r="D2671" i="2"/>
  <c r="E2671" i="2" s="1" a="1"/>
  <c r="E2671" i="2" s="1"/>
  <c r="D2672" i="2"/>
  <c r="E2672" i="2" s="1" a="1"/>
  <c r="E2672" i="2" s="1"/>
  <c r="D2673" i="2"/>
  <c r="E2673" i="2" s="1" a="1"/>
  <c r="E2673" i="2" s="1"/>
  <c r="D2674" i="2"/>
  <c r="E2674" i="2" s="1" a="1"/>
  <c r="E2674" i="2" s="1"/>
  <c r="D2675" i="2"/>
  <c r="E2675" i="2" s="1" a="1"/>
  <c r="E2675" i="2" s="1"/>
  <c r="D2676" i="2"/>
  <c r="E2676" i="2" s="1" a="1"/>
  <c r="E2676" i="2" s="1"/>
  <c r="D2677" i="2"/>
  <c r="E2677" i="2" s="1" a="1"/>
  <c r="E2677" i="2" s="1"/>
  <c r="D2678" i="2"/>
  <c r="E2678" i="2" s="1" a="1"/>
  <c r="E2678" i="2" s="1"/>
  <c r="D2679" i="2"/>
  <c r="E2679" i="2" s="1" a="1"/>
  <c r="E2679" i="2" s="1"/>
  <c r="D2680" i="2"/>
  <c r="E2680" i="2" s="1" a="1"/>
  <c r="E2680" i="2" s="1"/>
  <c r="D2681" i="2"/>
  <c r="E2681" i="2" s="1" a="1"/>
  <c r="E2681" i="2" s="1"/>
  <c r="D2682" i="2"/>
  <c r="E2682" i="2" s="1" a="1"/>
  <c r="E2682" i="2" s="1"/>
  <c r="D2683" i="2"/>
  <c r="E2683" i="2" s="1" a="1"/>
  <c r="E2683" i="2" s="1"/>
  <c r="D2684" i="2"/>
  <c r="E2684" i="2" s="1" a="1"/>
  <c r="E2684" i="2" s="1"/>
  <c r="D2685" i="2"/>
  <c r="E2685" i="2" s="1" a="1"/>
  <c r="E2685" i="2" s="1"/>
  <c r="D2686" i="2"/>
  <c r="E2686" i="2" s="1" a="1"/>
  <c r="E2686" i="2" s="1"/>
  <c r="D2687" i="2"/>
  <c r="E2687" i="2" s="1" a="1"/>
  <c r="E2687" i="2" s="1"/>
  <c r="D2688" i="2"/>
  <c r="E2688" i="2" s="1" a="1"/>
  <c r="E2688" i="2" s="1"/>
  <c r="D2689" i="2"/>
  <c r="E2689" i="2" s="1" a="1"/>
  <c r="E2689" i="2" s="1"/>
  <c r="D2690" i="2"/>
  <c r="E2690" i="2" s="1" a="1"/>
  <c r="E2690" i="2" s="1"/>
  <c r="D2691" i="2"/>
  <c r="E2691" i="2" s="1" a="1"/>
  <c r="E2691" i="2" s="1"/>
  <c r="D2692" i="2"/>
  <c r="E2692" i="2" s="1" a="1"/>
  <c r="E2692" i="2" s="1"/>
  <c r="D2693" i="2"/>
  <c r="E2693" i="2" s="1" a="1"/>
  <c r="E2693" i="2" s="1"/>
  <c r="D2694" i="2"/>
  <c r="E2694" i="2" s="1" a="1"/>
  <c r="E2694" i="2" s="1"/>
  <c r="D2695" i="2"/>
  <c r="E2695" i="2" s="1" a="1"/>
  <c r="E2695" i="2" s="1"/>
  <c r="D2696" i="2"/>
  <c r="E2696" i="2" s="1" a="1"/>
  <c r="E2696" i="2" s="1"/>
  <c r="D2697" i="2"/>
  <c r="E2697" i="2" s="1" a="1"/>
  <c r="E2697" i="2" s="1"/>
  <c r="D2698" i="2"/>
  <c r="E2698" i="2" s="1" a="1"/>
  <c r="E2698" i="2" s="1"/>
  <c r="D2699" i="2"/>
  <c r="E2699" i="2" s="1" a="1"/>
  <c r="E2699" i="2" s="1"/>
  <c r="D2700" i="2"/>
  <c r="E2700" i="2" s="1" a="1"/>
  <c r="E2700" i="2" s="1"/>
  <c r="D2701" i="2"/>
  <c r="E2701" i="2" s="1" a="1"/>
  <c r="E2701" i="2" s="1"/>
  <c r="D2702" i="2"/>
  <c r="E2702" i="2" s="1" a="1"/>
  <c r="E2702" i="2" s="1"/>
  <c r="D2703" i="2"/>
  <c r="E2703" i="2" s="1" a="1"/>
  <c r="E2703" i="2" s="1"/>
  <c r="D2704" i="2"/>
  <c r="E2704" i="2" s="1" a="1"/>
  <c r="E2704" i="2" s="1"/>
  <c r="D2705" i="2"/>
  <c r="E2705" i="2" s="1" a="1"/>
  <c r="E2705" i="2" s="1"/>
  <c r="D2706" i="2"/>
  <c r="E2706" i="2" s="1" a="1"/>
  <c r="E2706" i="2" s="1"/>
  <c r="D2707" i="2"/>
  <c r="E2707" i="2" s="1" a="1"/>
  <c r="E2707" i="2" s="1"/>
  <c r="D2708" i="2"/>
  <c r="E2708" i="2" s="1" a="1"/>
  <c r="E2708" i="2" s="1"/>
  <c r="D2709" i="2"/>
  <c r="E2709" i="2" s="1" a="1"/>
  <c r="E2709" i="2" s="1"/>
  <c r="D2710" i="2"/>
  <c r="E2710" i="2" s="1" a="1"/>
  <c r="E2710" i="2" s="1"/>
  <c r="D2711" i="2"/>
  <c r="E2711" i="2" s="1" a="1"/>
  <c r="E2711" i="2" s="1"/>
  <c r="D2712" i="2"/>
  <c r="E2712" i="2" s="1" a="1"/>
  <c r="E2712" i="2" s="1"/>
  <c r="D2713" i="2"/>
  <c r="E2713" i="2" s="1" a="1"/>
  <c r="E2713" i="2" s="1"/>
  <c r="D2714" i="2"/>
  <c r="E2714" i="2" s="1" a="1"/>
  <c r="E2714" i="2" s="1"/>
  <c r="D2715" i="2"/>
  <c r="E2715" i="2" s="1" a="1"/>
  <c r="E2715" i="2" s="1"/>
  <c r="D2716" i="2"/>
  <c r="E2716" i="2" s="1" a="1"/>
  <c r="E2716" i="2" s="1"/>
  <c r="D2717" i="2"/>
  <c r="E2717" i="2" s="1" a="1"/>
  <c r="E2717" i="2" s="1"/>
  <c r="D2718" i="2"/>
  <c r="E2718" i="2" s="1" a="1"/>
  <c r="E2718" i="2" s="1"/>
  <c r="D2719" i="2"/>
  <c r="E2719" i="2" s="1" a="1"/>
  <c r="E2719" i="2" s="1"/>
  <c r="D2720" i="2"/>
  <c r="E2720" i="2" s="1" a="1"/>
  <c r="E2720" i="2" s="1"/>
  <c r="D2721" i="2"/>
  <c r="E2721" i="2" s="1" a="1"/>
  <c r="E2721" i="2" s="1"/>
  <c r="D2722" i="2"/>
  <c r="E2722" i="2" s="1" a="1"/>
  <c r="E2722" i="2" s="1"/>
  <c r="D2723" i="2"/>
  <c r="E2723" i="2" s="1" a="1"/>
  <c r="E2723" i="2" s="1"/>
  <c r="D2724" i="2"/>
  <c r="E2724" i="2" s="1" a="1"/>
  <c r="E2724" i="2" s="1"/>
  <c r="D2725" i="2"/>
  <c r="E2725" i="2" s="1" a="1"/>
  <c r="E2725" i="2" s="1"/>
  <c r="D2726" i="2"/>
  <c r="E2726" i="2" s="1" a="1"/>
  <c r="E2726" i="2" s="1"/>
  <c r="D2727" i="2"/>
  <c r="E2727" i="2" s="1" a="1"/>
  <c r="E2727" i="2" s="1"/>
  <c r="D2728" i="2"/>
  <c r="E2728" i="2" s="1" a="1"/>
  <c r="E2728" i="2" s="1"/>
  <c r="D2729" i="2"/>
  <c r="E2729" i="2" s="1" a="1"/>
  <c r="E2729" i="2" s="1"/>
  <c r="D2730" i="2"/>
  <c r="E2730" i="2" s="1" a="1"/>
  <c r="E2730" i="2" s="1"/>
  <c r="D2731" i="2"/>
  <c r="E2731" i="2" s="1" a="1"/>
  <c r="E2731" i="2" s="1"/>
  <c r="D2732" i="2"/>
  <c r="E2732" i="2" s="1" a="1"/>
  <c r="E2732" i="2" s="1"/>
  <c r="D2733" i="2"/>
  <c r="E2733" i="2" s="1" a="1"/>
  <c r="E2733" i="2" s="1"/>
  <c r="D2734" i="2"/>
  <c r="E2734" i="2" s="1" a="1"/>
  <c r="E2734" i="2" s="1"/>
  <c r="D2735" i="2"/>
  <c r="E2735" i="2" s="1" a="1"/>
  <c r="E2735" i="2" s="1"/>
  <c r="D2736" i="2"/>
  <c r="E2736" i="2" s="1" a="1"/>
  <c r="E2736" i="2" s="1"/>
  <c r="D2737" i="2"/>
  <c r="E2737" i="2" s="1" a="1"/>
  <c r="E2737" i="2" s="1"/>
  <c r="D2738" i="2"/>
  <c r="E2738" i="2" s="1" a="1"/>
  <c r="E2738" i="2" s="1"/>
  <c r="D2739" i="2"/>
  <c r="E2739" i="2" s="1" a="1"/>
  <c r="E2739" i="2" s="1"/>
  <c r="D2740" i="2"/>
  <c r="E2740" i="2" s="1" a="1"/>
  <c r="E2740" i="2" s="1"/>
  <c r="D2741" i="2"/>
  <c r="E2741" i="2" s="1" a="1"/>
  <c r="E2741" i="2" s="1"/>
  <c r="D2742" i="2"/>
  <c r="E2742" i="2" s="1" a="1"/>
  <c r="E2742" i="2" s="1"/>
  <c r="D2743" i="2"/>
  <c r="E2743" i="2" s="1" a="1"/>
  <c r="E2743" i="2" s="1"/>
  <c r="D2744" i="2"/>
  <c r="E2744" i="2" s="1" a="1"/>
  <c r="E2744" i="2" s="1"/>
  <c r="D2745" i="2"/>
  <c r="E2745" i="2" s="1" a="1"/>
  <c r="E2745" i="2" s="1"/>
  <c r="D2746" i="2"/>
  <c r="E2746" i="2" s="1" a="1"/>
  <c r="E2746" i="2" s="1"/>
  <c r="D2747" i="2"/>
  <c r="E2747" i="2" s="1" a="1"/>
  <c r="E2747" i="2" s="1"/>
  <c r="D2748" i="2"/>
  <c r="E2748" i="2" s="1" a="1"/>
  <c r="E2748" i="2" s="1"/>
  <c r="D2749" i="2"/>
  <c r="E2749" i="2" s="1" a="1"/>
  <c r="E2749" i="2" s="1"/>
  <c r="D2750" i="2"/>
  <c r="E2750" i="2" s="1" a="1"/>
  <c r="E2750" i="2" s="1"/>
  <c r="D2751" i="2"/>
  <c r="E2751" i="2" s="1" a="1"/>
  <c r="E2751" i="2" s="1"/>
  <c r="D2752" i="2"/>
  <c r="E2752" i="2" s="1" a="1"/>
  <c r="E2752" i="2" s="1"/>
  <c r="D2753" i="2"/>
  <c r="E2753" i="2" s="1" a="1"/>
  <c r="E2753" i="2" s="1"/>
  <c r="D2754" i="2"/>
  <c r="E2754" i="2" s="1" a="1"/>
  <c r="E2754" i="2" s="1"/>
  <c r="D2755" i="2"/>
  <c r="E2755" i="2" s="1" a="1"/>
  <c r="E2755" i="2" s="1"/>
  <c r="D2756" i="2"/>
  <c r="E2756" i="2" s="1" a="1"/>
  <c r="E2756" i="2" s="1"/>
  <c r="D2757" i="2"/>
  <c r="E2757" i="2" s="1" a="1"/>
  <c r="E2757" i="2" s="1"/>
  <c r="D2758" i="2"/>
  <c r="E2758" i="2" s="1" a="1"/>
  <c r="E2758" i="2" s="1"/>
  <c r="D2759" i="2"/>
  <c r="E2759" i="2" s="1" a="1"/>
  <c r="E2759" i="2" s="1"/>
  <c r="D2760" i="2"/>
  <c r="E2760" i="2" s="1" a="1"/>
  <c r="E2760" i="2" s="1"/>
  <c r="D2761" i="2"/>
  <c r="E2761" i="2" s="1" a="1"/>
  <c r="E2761" i="2" s="1"/>
  <c r="D2762" i="2"/>
  <c r="E2762" i="2" s="1" a="1"/>
  <c r="E2762" i="2" s="1"/>
  <c r="D2763" i="2"/>
  <c r="E2763" i="2" s="1" a="1"/>
  <c r="E2763" i="2" s="1"/>
  <c r="D2764" i="2"/>
  <c r="E2764" i="2" s="1" a="1"/>
  <c r="E2764" i="2" s="1"/>
  <c r="D2765" i="2"/>
  <c r="E2765" i="2" s="1" a="1"/>
  <c r="E2765" i="2" s="1"/>
  <c r="D2766" i="2"/>
  <c r="E2766" i="2" s="1" a="1"/>
  <c r="E2766" i="2" s="1"/>
  <c r="D2767" i="2"/>
  <c r="E2767" i="2" s="1" a="1"/>
  <c r="E2767" i="2" s="1"/>
  <c r="D2768" i="2"/>
  <c r="E2768" i="2" s="1" a="1"/>
  <c r="E2768" i="2" s="1"/>
  <c r="D2769" i="2"/>
  <c r="E2769" i="2" s="1" a="1"/>
  <c r="E2769" i="2" s="1"/>
  <c r="D2770" i="2"/>
  <c r="E2770" i="2" s="1" a="1"/>
  <c r="E2770" i="2" s="1"/>
  <c r="D2771" i="2"/>
  <c r="E2771" i="2" s="1" a="1"/>
  <c r="E2771" i="2" s="1"/>
  <c r="D2772" i="2"/>
  <c r="E2772" i="2" s="1" a="1"/>
  <c r="E2772" i="2" s="1"/>
  <c r="D2773" i="2"/>
  <c r="E2773" i="2" s="1" a="1"/>
  <c r="E2773" i="2" s="1"/>
  <c r="D2774" i="2"/>
  <c r="E2774" i="2" s="1" a="1"/>
  <c r="E2774" i="2" s="1"/>
  <c r="D2775" i="2"/>
  <c r="E2775" i="2" s="1" a="1"/>
  <c r="E2775" i="2" s="1"/>
  <c r="D2776" i="2"/>
  <c r="E2776" i="2" s="1" a="1"/>
  <c r="E2776" i="2" s="1"/>
  <c r="D2777" i="2"/>
  <c r="E2777" i="2" s="1" a="1"/>
  <c r="E2777" i="2" s="1"/>
  <c r="D2778" i="2"/>
  <c r="E2778" i="2" s="1" a="1"/>
  <c r="E2778" i="2" s="1"/>
  <c r="D2779" i="2"/>
  <c r="E2779" i="2" s="1" a="1"/>
  <c r="E2779" i="2" s="1"/>
  <c r="D2780" i="2"/>
  <c r="E2780" i="2" s="1" a="1"/>
  <c r="E2780" i="2" s="1"/>
  <c r="D2781" i="2"/>
  <c r="E2781" i="2" s="1" a="1"/>
  <c r="E2781" i="2" s="1"/>
  <c r="D2782" i="2"/>
  <c r="E2782" i="2" s="1" a="1"/>
  <c r="E2782" i="2" s="1"/>
  <c r="D2783" i="2"/>
  <c r="E2783" i="2" s="1" a="1"/>
  <c r="E2783" i="2" s="1"/>
  <c r="D2784" i="2"/>
  <c r="E2784" i="2" s="1" a="1"/>
  <c r="E2784" i="2" s="1"/>
  <c r="D2785" i="2"/>
  <c r="E2785" i="2" s="1" a="1"/>
  <c r="E2785" i="2" s="1"/>
  <c r="D2786" i="2"/>
  <c r="E2786" i="2" s="1" a="1"/>
  <c r="E2786" i="2" s="1"/>
  <c r="D2787" i="2"/>
  <c r="E2787" i="2" s="1" a="1"/>
  <c r="E2787" i="2" s="1"/>
  <c r="D2788" i="2"/>
  <c r="E2788" i="2" s="1" a="1"/>
  <c r="E2788" i="2" s="1"/>
  <c r="D2789" i="2"/>
  <c r="E2789" i="2" s="1" a="1"/>
  <c r="E2789" i="2" s="1"/>
  <c r="D2790" i="2"/>
  <c r="E2790" i="2" s="1" a="1"/>
  <c r="E2790" i="2" s="1"/>
  <c r="D2791" i="2"/>
  <c r="E2791" i="2" s="1" a="1"/>
  <c r="E2791" i="2" s="1"/>
  <c r="D2792" i="2"/>
  <c r="E2792" i="2" s="1" a="1"/>
  <c r="E2792" i="2" s="1"/>
  <c r="D2793" i="2"/>
  <c r="E2793" i="2" s="1" a="1"/>
  <c r="E2793" i="2" s="1"/>
  <c r="D2794" i="2"/>
  <c r="E2794" i="2" s="1" a="1"/>
  <c r="E2794" i="2" s="1"/>
  <c r="D2795" i="2"/>
  <c r="E2795" i="2" s="1" a="1"/>
  <c r="E2795" i="2" s="1"/>
  <c r="D2796" i="2"/>
  <c r="E2796" i="2" s="1" a="1"/>
  <c r="E2796" i="2" s="1"/>
  <c r="D2797" i="2"/>
  <c r="E2797" i="2" s="1" a="1"/>
  <c r="E2797" i="2" s="1"/>
  <c r="D2798" i="2"/>
  <c r="E2798" i="2" s="1" a="1"/>
  <c r="E2798" i="2" s="1"/>
  <c r="D2799" i="2"/>
  <c r="E2799" i="2" s="1" a="1"/>
  <c r="E2799" i="2" s="1"/>
  <c r="D2800" i="2"/>
  <c r="E2800" i="2" s="1" a="1"/>
  <c r="E2800" i="2" s="1"/>
  <c r="D2801" i="2"/>
  <c r="E2801" i="2" s="1" a="1"/>
  <c r="E2801" i="2" s="1"/>
  <c r="D2802" i="2"/>
  <c r="E2802" i="2" s="1" a="1"/>
  <c r="E2802" i="2" s="1"/>
  <c r="D2803" i="2"/>
  <c r="E2803" i="2" s="1" a="1"/>
  <c r="E2803" i="2" s="1"/>
  <c r="D2804" i="2"/>
  <c r="E2804" i="2" s="1" a="1"/>
  <c r="E2804" i="2" s="1"/>
  <c r="D2805" i="2"/>
  <c r="E2805" i="2" s="1" a="1"/>
  <c r="E2805" i="2" s="1"/>
  <c r="D2806" i="2"/>
  <c r="E2806" i="2" s="1" a="1"/>
  <c r="E2806" i="2" s="1"/>
  <c r="D2807" i="2"/>
  <c r="E2807" i="2" s="1" a="1"/>
  <c r="E2807" i="2" s="1"/>
  <c r="D2808" i="2"/>
  <c r="E2808" i="2" s="1" a="1"/>
  <c r="E2808" i="2" s="1"/>
  <c r="D2809" i="2"/>
  <c r="E2809" i="2" s="1" a="1"/>
  <c r="E2809" i="2" s="1"/>
  <c r="D2810" i="2"/>
  <c r="E2810" i="2" s="1" a="1"/>
  <c r="E2810" i="2" s="1"/>
  <c r="D2811" i="2"/>
  <c r="E2811" i="2" s="1" a="1"/>
  <c r="E2811" i="2" s="1"/>
  <c r="D2812" i="2"/>
  <c r="E2812" i="2" s="1" a="1"/>
  <c r="E2812" i="2" s="1"/>
  <c r="D2813" i="2"/>
  <c r="E2813" i="2" s="1" a="1"/>
  <c r="E2813" i="2" s="1"/>
  <c r="D2814" i="2"/>
  <c r="E2814" i="2" s="1" a="1"/>
  <c r="E2814" i="2" s="1"/>
  <c r="D2815" i="2"/>
  <c r="E2815" i="2" s="1" a="1"/>
  <c r="E2815" i="2" s="1"/>
  <c r="D2816" i="2"/>
  <c r="E2816" i="2" s="1" a="1"/>
  <c r="E2816" i="2" s="1"/>
  <c r="D2817" i="2"/>
  <c r="E2817" i="2" s="1" a="1"/>
  <c r="E2817" i="2" s="1"/>
  <c r="D2818" i="2"/>
  <c r="E2818" i="2" s="1" a="1"/>
  <c r="E2818" i="2" s="1"/>
  <c r="D2819" i="2"/>
  <c r="E2819" i="2" s="1" a="1"/>
  <c r="E2819" i="2" s="1"/>
  <c r="D2820" i="2"/>
  <c r="E2820" i="2" s="1" a="1"/>
  <c r="E2820" i="2" s="1"/>
  <c r="D2821" i="2"/>
  <c r="E2821" i="2" s="1" a="1"/>
  <c r="E2821" i="2" s="1"/>
  <c r="D2822" i="2"/>
  <c r="E2822" i="2" s="1" a="1"/>
  <c r="E2822" i="2" s="1"/>
  <c r="D2823" i="2"/>
  <c r="E2823" i="2" s="1" a="1"/>
  <c r="E2823" i="2" s="1"/>
  <c r="D2824" i="2"/>
  <c r="E2824" i="2" s="1" a="1"/>
  <c r="E2824" i="2" s="1"/>
  <c r="D2825" i="2"/>
  <c r="E2825" i="2" s="1" a="1"/>
  <c r="E2825" i="2" s="1"/>
  <c r="D2826" i="2"/>
  <c r="E2826" i="2" s="1" a="1"/>
  <c r="E2826" i="2" s="1"/>
  <c r="D2827" i="2"/>
  <c r="E2827" i="2" s="1" a="1"/>
  <c r="E2827" i="2" s="1"/>
  <c r="D2828" i="2"/>
  <c r="E2828" i="2" s="1" a="1"/>
  <c r="E2828" i="2" s="1"/>
  <c r="D2829" i="2"/>
  <c r="E2829" i="2" s="1" a="1"/>
  <c r="E2829" i="2" s="1"/>
  <c r="D2830" i="2"/>
  <c r="E2830" i="2" s="1" a="1"/>
  <c r="E2830" i="2" s="1"/>
  <c r="D2831" i="2"/>
  <c r="E2831" i="2" s="1" a="1"/>
  <c r="E2831" i="2" s="1"/>
  <c r="D2832" i="2"/>
  <c r="E2832" i="2" s="1" a="1"/>
  <c r="E2832" i="2" s="1"/>
  <c r="D2833" i="2"/>
  <c r="E2833" i="2" s="1" a="1"/>
  <c r="E2833" i="2" s="1"/>
  <c r="D2834" i="2"/>
  <c r="E2834" i="2" s="1" a="1"/>
  <c r="E2834" i="2" s="1"/>
  <c r="D2835" i="2"/>
  <c r="E2835" i="2" s="1" a="1"/>
  <c r="E2835" i="2" s="1"/>
  <c r="D2836" i="2"/>
  <c r="E2836" i="2" s="1" a="1"/>
  <c r="E2836" i="2" s="1"/>
  <c r="D2837" i="2"/>
  <c r="E2837" i="2" s="1" a="1"/>
  <c r="E2837" i="2" s="1"/>
  <c r="D2838" i="2"/>
  <c r="E2838" i="2" s="1" a="1"/>
  <c r="E2838" i="2" s="1"/>
  <c r="D2839" i="2"/>
  <c r="E2839" i="2" s="1" a="1"/>
  <c r="E2839" i="2" s="1"/>
  <c r="D2840" i="2"/>
  <c r="E2840" i="2" s="1" a="1"/>
  <c r="E2840" i="2" s="1"/>
  <c r="D2841" i="2"/>
  <c r="E2841" i="2" s="1" a="1"/>
  <c r="E2841" i="2" s="1"/>
  <c r="D2842" i="2"/>
  <c r="E2842" i="2" s="1" a="1"/>
  <c r="E2842" i="2" s="1"/>
  <c r="D2843" i="2"/>
  <c r="E2843" i="2" s="1" a="1"/>
  <c r="E2843" i="2" s="1"/>
  <c r="D2844" i="2"/>
  <c r="E2844" i="2" s="1" a="1"/>
  <c r="E2844" i="2" s="1"/>
  <c r="D2845" i="2"/>
  <c r="E2845" i="2" s="1" a="1"/>
  <c r="E2845" i="2" s="1"/>
  <c r="D2846" i="2"/>
  <c r="E2846" i="2" s="1" a="1"/>
  <c r="E2846" i="2" s="1"/>
  <c r="D2847" i="2"/>
  <c r="E2847" i="2" s="1" a="1"/>
  <c r="E2847" i="2" s="1"/>
  <c r="D2848" i="2"/>
  <c r="E2848" i="2" s="1" a="1"/>
  <c r="E2848" i="2" s="1"/>
  <c r="D2849" i="2"/>
  <c r="E2849" i="2" s="1" a="1"/>
  <c r="E2849" i="2" s="1"/>
  <c r="D2850" i="2"/>
  <c r="E2850" i="2" s="1" a="1"/>
  <c r="E2850" i="2" s="1"/>
  <c r="D2851" i="2"/>
  <c r="E2851" i="2" s="1" a="1"/>
  <c r="E2851" i="2" s="1"/>
  <c r="D2852" i="2"/>
  <c r="E2852" i="2" s="1" a="1"/>
  <c r="E2852" i="2" s="1"/>
  <c r="D2853" i="2"/>
  <c r="E2853" i="2" s="1" a="1"/>
  <c r="E2853" i="2" s="1"/>
  <c r="D2854" i="2"/>
  <c r="E2854" i="2" s="1" a="1"/>
  <c r="E2854" i="2" s="1"/>
  <c r="D2855" i="2"/>
  <c r="E2855" i="2" s="1" a="1"/>
  <c r="E2855" i="2" s="1"/>
  <c r="D2856" i="2"/>
  <c r="E2856" i="2" s="1" a="1"/>
  <c r="E2856" i="2" s="1"/>
  <c r="D2857" i="2"/>
  <c r="E2857" i="2" s="1" a="1"/>
  <c r="E2857" i="2" s="1"/>
  <c r="D2858" i="2"/>
  <c r="E2858" i="2" s="1" a="1"/>
  <c r="E2858" i="2" s="1"/>
  <c r="D2859" i="2"/>
  <c r="E2859" i="2" s="1" a="1"/>
  <c r="E2859" i="2" s="1"/>
  <c r="D2860" i="2"/>
  <c r="E2860" i="2" s="1" a="1"/>
  <c r="E2860" i="2" s="1"/>
  <c r="D2861" i="2"/>
  <c r="E2861" i="2" s="1" a="1"/>
  <c r="E2861" i="2" s="1"/>
  <c r="D2862" i="2"/>
  <c r="E2862" i="2" s="1" a="1"/>
  <c r="E2862" i="2" s="1"/>
  <c r="D2863" i="2"/>
  <c r="E2863" i="2" s="1" a="1"/>
  <c r="E2863" i="2" s="1"/>
  <c r="D2864" i="2"/>
  <c r="E2864" i="2" s="1" a="1"/>
  <c r="E2864" i="2" s="1"/>
  <c r="D2865" i="2"/>
  <c r="E2865" i="2" s="1" a="1"/>
  <c r="E2865" i="2" s="1"/>
  <c r="D2866" i="2"/>
  <c r="E2866" i="2" s="1" a="1"/>
  <c r="E2866" i="2" s="1"/>
  <c r="D2867" i="2"/>
  <c r="E2867" i="2" s="1" a="1"/>
  <c r="E2867" i="2" s="1"/>
  <c r="D2868" i="2"/>
  <c r="E2868" i="2" s="1" a="1"/>
  <c r="E2868" i="2" s="1"/>
  <c r="D2869" i="2"/>
  <c r="E2869" i="2" s="1" a="1"/>
  <c r="E2869" i="2" s="1"/>
  <c r="D2870" i="2"/>
  <c r="E2870" i="2" s="1" a="1"/>
  <c r="E2870" i="2" s="1"/>
  <c r="D2871" i="2"/>
  <c r="E2871" i="2" s="1" a="1"/>
  <c r="E2871" i="2" s="1"/>
  <c r="D2872" i="2"/>
  <c r="E2872" i="2" s="1" a="1"/>
  <c r="E2872" i="2" s="1"/>
  <c r="D2873" i="2"/>
  <c r="E2873" i="2" s="1" a="1"/>
  <c r="E2873" i="2" s="1"/>
  <c r="D2874" i="2"/>
  <c r="E2874" i="2" s="1" a="1"/>
  <c r="E2874" i="2" s="1"/>
  <c r="D2875" i="2"/>
  <c r="E2875" i="2" s="1" a="1"/>
  <c r="E2875" i="2" s="1"/>
  <c r="D2876" i="2"/>
  <c r="E2876" i="2" s="1" a="1"/>
  <c r="E2876" i="2" s="1"/>
  <c r="D2877" i="2"/>
  <c r="E2877" i="2" s="1" a="1"/>
  <c r="E2877" i="2" s="1"/>
  <c r="D2878" i="2"/>
  <c r="E2878" i="2" s="1" a="1"/>
  <c r="E2878" i="2" s="1"/>
  <c r="D2879" i="2"/>
  <c r="E2879" i="2" s="1" a="1"/>
  <c r="E2879" i="2" s="1"/>
  <c r="D2880" i="2"/>
  <c r="E2880" i="2" s="1" a="1"/>
  <c r="E2880" i="2" s="1"/>
  <c r="D2881" i="2"/>
  <c r="E2881" i="2" s="1" a="1"/>
  <c r="E2881" i="2" s="1"/>
  <c r="D2882" i="2"/>
  <c r="E2882" i="2" s="1" a="1"/>
  <c r="E2882" i="2" s="1"/>
  <c r="D2883" i="2"/>
  <c r="E2883" i="2" s="1" a="1"/>
  <c r="E2883" i="2" s="1"/>
  <c r="D2884" i="2"/>
  <c r="E2884" i="2" s="1" a="1"/>
  <c r="E2884" i="2" s="1"/>
  <c r="D2885" i="2"/>
  <c r="E2885" i="2" s="1" a="1"/>
  <c r="E2885" i="2" s="1"/>
  <c r="D2886" i="2"/>
  <c r="E2886" i="2" s="1" a="1"/>
  <c r="E2886" i="2" s="1"/>
  <c r="D2887" i="2"/>
  <c r="E2887" i="2" s="1" a="1"/>
  <c r="E2887" i="2" s="1"/>
  <c r="D2888" i="2"/>
  <c r="E2888" i="2" s="1" a="1"/>
  <c r="E2888" i="2" s="1"/>
  <c r="D2889" i="2"/>
  <c r="E2889" i="2" s="1" a="1"/>
  <c r="E2889" i="2" s="1"/>
  <c r="D2890" i="2"/>
  <c r="E2890" i="2" s="1" a="1"/>
  <c r="E2890" i="2" s="1"/>
  <c r="D2891" i="2"/>
  <c r="E2891" i="2" s="1" a="1"/>
  <c r="E2891" i="2" s="1"/>
  <c r="D2892" i="2"/>
  <c r="E2892" i="2" s="1" a="1"/>
  <c r="E2892" i="2" s="1"/>
  <c r="D2893" i="2"/>
  <c r="E2893" i="2" s="1" a="1"/>
  <c r="E2893" i="2" s="1"/>
  <c r="D2894" i="2"/>
  <c r="E2894" i="2" s="1" a="1"/>
  <c r="E2894" i="2" s="1"/>
  <c r="D2895" i="2"/>
  <c r="E2895" i="2" s="1" a="1"/>
  <c r="E2895" i="2" s="1"/>
  <c r="D2896" i="2"/>
  <c r="E2896" i="2" s="1" a="1"/>
  <c r="E2896" i="2" s="1"/>
  <c r="D2897" i="2"/>
  <c r="E2897" i="2" s="1" a="1"/>
  <c r="E2897" i="2" s="1"/>
  <c r="D2898" i="2"/>
  <c r="E2898" i="2" s="1" a="1"/>
  <c r="E2898" i="2" s="1"/>
  <c r="D2899" i="2"/>
  <c r="E2899" i="2" s="1" a="1"/>
  <c r="E2899" i="2" s="1"/>
  <c r="D2900" i="2"/>
  <c r="E2900" i="2" s="1" a="1"/>
  <c r="E2900" i="2" s="1"/>
  <c r="D2901" i="2"/>
  <c r="E2901" i="2" s="1" a="1"/>
  <c r="E2901" i="2" s="1"/>
  <c r="D2902" i="2"/>
  <c r="E2902" i="2" s="1" a="1"/>
  <c r="E2902" i="2" s="1"/>
  <c r="D2903" i="2"/>
  <c r="E2903" i="2" s="1" a="1"/>
  <c r="E2903" i="2" s="1"/>
  <c r="D2904" i="2"/>
  <c r="E2904" i="2" s="1" a="1"/>
  <c r="E2904" i="2" s="1"/>
  <c r="D2905" i="2"/>
  <c r="E2905" i="2" s="1" a="1"/>
  <c r="E2905" i="2" s="1"/>
  <c r="D2906" i="2"/>
  <c r="E2906" i="2" s="1" a="1"/>
  <c r="E2906" i="2" s="1"/>
  <c r="D2907" i="2"/>
  <c r="E2907" i="2" s="1" a="1"/>
  <c r="E2907" i="2" s="1"/>
  <c r="D2908" i="2"/>
  <c r="E2908" i="2" s="1" a="1"/>
  <c r="E2908" i="2" s="1"/>
  <c r="D2909" i="2"/>
  <c r="E2909" i="2" s="1" a="1"/>
  <c r="E2909" i="2" s="1"/>
  <c r="D2910" i="2"/>
  <c r="E2910" i="2" s="1" a="1"/>
  <c r="E2910" i="2" s="1"/>
  <c r="D2911" i="2"/>
  <c r="E2911" i="2" s="1" a="1"/>
  <c r="E2911" i="2" s="1"/>
  <c r="D2912" i="2"/>
  <c r="E2912" i="2" s="1" a="1"/>
  <c r="E2912" i="2" s="1"/>
  <c r="D2913" i="2"/>
  <c r="E2913" i="2" s="1" a="1"/>
  <c r="E2913" i="2" s="1"/>
  <c r="D2914" i="2"/>
  <c r="E2914" i="2" s="1" a="1"/>
  <c r="E2914" i="2" s="1"/>
  <c r="D2915" i="2"/>
  <c r="E2915" i="2" s="1" a="1"/>
  <c r="E2915" i="2" s="1"/>
  <c r="D2916" i="2"/>
  <c r="E2916" i="2" s="1" a="1"/>
  <c r="E2916" i="2" s="1"/>
  <c r="D2917" i="2"/>
  <c r="E2917" i="2" s="1" a="1"/>
  <c r="E2917" i="2" s="1"/>
  <c r="D2918" i="2"/>
  <c r="E2918" i="2" s="1" a="1"/>
  <c r="E2918" i="2" s="1"/>
  <c r="D2919" i="2"/>
  <c r="E2919" i="2" s="1" a="1"/>
  <c r="E2919" i="2" s="1"/>
  <c r="D2920" i="2"/>
  <c r="E2920" i="2" s="1" a="1"/>
  <c r="E2920" i="2" s="1"/>
  <c r="D2921" i="2"/>
  <c r="E2921" i="2" s="1" a="1"/>
  <c r="E2921" i="2" s="1"/>
  <c r="D2922" i="2"/>
  <c r="E2922" i="2" s="1" a="1"/>
  <c r="E2922" i="2" s="1"/>
  <c r="D2923" i="2"/>
  <c r="E2923" i="2" s="1" a="1"/>
  <c r="E2923" i="2" s="1"/>
  <c r="D2924" i="2"/>
  <c r="E2924" i="2" s="1" a="1"/>
  <c r="E2924" i="2" s="1"/>
  <c r="D2925" i="2"/>
  <c r="E2925" i="2" s="1" a="1"/>
  <c r="E2925" i="2" s="1"/>
  <c r="D2926" i="2"/>
  <c r="E2926" i="2" s="1" a="1"/>
  <c r="E2926" i="2" s="1"/>
  <c r="D2927" i="2"/>
  <c r="E2927" i="2" s="1" a="1"/>
  <c r="E2927" i="2" s="1"/>
  <c r="D2928" i="2"/>
  <c r="E2928" i="2" s="1" a="1"/>
  <c r="E2928" i="2" s="1"/>
  <c r="D2929" i="2"/>
  <c r="E2929" i="2" s="1" a="1"/>
  <c r="E2929" i="2" s="1"/>
  <c r="D2930" i="2"/>
  <c r="E2930" i="2" s="1" a="1"/>
  <c r="E2930" i="2" s="1"/>
  <c r="D2931" i="2"/>
  <c r="E2931" i="2" s="1" a="1"/>
  <c r="E2931" i="2" s="1"/>
  <c r="D2932" i="2"/>
  <c r="E2932" i="2" s="1" a="1"/>
  <c r="E2932" i="2" s="1"/>
  <c r="D2933" i="2"/>
  <c r="E2933" i="2" s="1" a="1"/>
  <c r="E2933" i="2" s="1"/>
  <c r="D2934" i="2"/>
  <c r="E2934" i="2" s="1" a="1"/>
  <c r="E2934" i="2" s="1"/>
  <c r="D2935" i="2"/>
  <c r="E2935" i="2" s="1" a="1"/>
  <c r="E2935" i="2" s="1"/>
  <c r="D2936" i="2"/>
  <c r="E2936" i="2" s="1" a="1"/>
  <c r="E2936" i="2" s="1"/>
  <c r="D2937" i="2"/>
  <c r="E2937" i="2" s="1" a="1"/>
  <c r="E2937" i="2" s="1"/>
  <c r="D2938" i="2"/>
  <c r="E2938" i="2" s="1" a="1"/>
  <c r="E2938" i="2" s="1"/>
  <c r="D2939" i="2"/>
  <c r="E2939" i="2" s="1" a="1"/>
  <c r="E2939" i="2" s="1"/>
  <c r="D2940" i="2"/>
  <c r="E2940" i="2" s="1" a="1"/>
  <c r="E2940" i="2" s="1"/>
  <c r="D2941" i="2"/>
  <c r="E2941" i="2" s="1" a="1"/>
  <c r="E2941" i="2" s="1"/>
  <c r="D2942" i="2"/>
  <c r="E2942" i="2" s="1" a="1"/>
  <c r="E2942" i="2" s="1"/>
  <c r="D2943" i="2"/>
  <c r="E2943" i="2" s="1" a="1"/>
  <c r="E2943" i="2" s="1"/>
  <c r="D2944" i="2"/>
  <c r="E2944" i="2" s="1" a="1"/>
  <c r="E2944" i="2" s="1"/>
  <c r="D2945" i="2"/>
  <c r="E2945" i="2" s="1" a="1"/>
  <c r="E2945" i="2" s="1"/>
  <c r="D2946" i="2"/>
  <c r="E2946" i="2" s="1" a="1"/>
  <c r="E2946" i="2" s="1"/>
  <c r="D2947" i="2"/>
  <c r="E2947" i="2" s="1" a="1"/>
  <c r="E2947" i="2" s="1"/>
  <c r="D2948" i="2"/>
  <c r="E2948" i="2" s="1" a="1"/>
  <c r="E2948" i="2" s="1"/>
  <c r="D2949" i="2"/>
  <c r="E2949" i="2" s="1" a="1"/>
  <c r="E2949" i="2" s="1"/>
  <c r="D2950" i="2"/>
  <c r="E2950" i="2" s="1" a="1"/>
  <c r="E2950" i="2" s="1"/>
  <c r="D2951" i="2"/>
  <c r="E2951" i="2" s="1" a="1"/>
  <c r="E2951" i="2" s="1"/>
  <c r="D2952" i="2"/>
  <c r="E2952" i="2" s="1" a="1"/>
  <c r="E2952" i="2" s="1"/>
  <c r="D2953" i="2"/>
  <c r="E2953" i="2" s="1" a="1"/>
  <c r="E2953" i="2" s="1"/>
  <c r="D2954" i="2"/>
  <c r="E2954" i="2" s="1" a="1"/>
  <c r="E2954" i="2" s="1"/>
  <c r="D2955" i="2"/>
  <c r="E2955" i="2" s="1" a="1"/>
  <c r="E2955" i="2" s="1"/>
  <c r="D2956" i="2"/>
  <c r="E2956" i="2" s="1" a="1"/>
  <c r="E2956" i="2" s="1"/>
  <c r="D2957" i="2"/>
  <c r="E2957" i="2" s="1" a="1"/>
  <c r="E2957" i="2" s="1"/>
  <c r="D2958" i="2"/>
  <c r="E2958" i="2" s="1" a="1"/>
  <c r="E2958" i="2" s="1"/>
  <c r="D2959" i="2"/>
  <c r="E2959" i="2" s="1" a="1"/>
  <c r="E2959" i="2" s="1"/>
  <c r="D2960" i="2"/>
  <c r="E2960" i="2" s="1" a="1"/>
  <c r="E2960" i="2" s="1"/>
  <c r="D2961" i="2"/>
  <c r="E2961" i="2" s="1" a="1"/>
  <c r="E2961" i="2" s="1"/>
  <c r="D2962" i="2"/>
  <c r="E2962" i="2" s="1" a="1"/>
  <c r="E2962" i="2" s="1"/>
  <c r="D2963" i="2"/>
  <c r="E2963" i="2" s="1" a="1"/>
  <c r="E2963" i="2" s="1"/>
  <c r="D2964" i="2"/>
  <c r="E2964" i="2" s="1" a="1"/>
  <c r="E2964" i="2" s="1"/>
  <c r="D2965" i="2"/>
  <c r="E2965" i="2" s="1" a="1"/>
  <c r="E2965" i="2" s="1"/>
  <c r="D2966" i="2"/>
  <c r="E2966" i="2" s="1" a="1"/>
  <c r="E2966" i="2" s="1"/>
  <c r="D2967" i="2"/>
  <c r="E2967" i="2" s="1" a="1"/>
  <c r="E2967" i="2" s="1"/>
  <c r="D2968" i="2"/>
  <c r="E2968" i="2" s="1" a="1"/>
  <c r="E2968" i="2" s="1"/>
  <c r="D2969" i="2"/>
  <c r="E2969" i="2" s="1" a="1"/>
  <c r="E2969" i="2" s="1"/>
  <c r="D2970" i="2"/>
  <c r="E2970" i="2" s="1" a="1"/>
  <c r="E2970" i="2" s="1"/>
  <c r="D2971" i="2"/>
  <c r="E2971" i="2" s="1" a="1"/>
  <c r="E2971" i="2" s="1"/>
  <c r="D2972" i="2"/>
  <c r="E2972" i="2" s="1" a="1"/>
  <c r="E2972" i="2" s="1"/>
  <c r="D2973" i="2"/>
  <c r="E2973" i="2" s="1" a="1"/>
  <c r="E2973" i="2" s="1"/>
  <c r="D2974" i="2"/>
  <c r="E2974" i="2" s="1" a="1"/>
  <c r="E2974" i="2" s="1"/>
  <c r="D2975" i="2"/>
  <c r="E2975" i="2" s="1" a="1"/>
  <c r="E2975" i="2" s="1"/>
  <c r="D2976" i="2"/>
  <c r="E2976" i="2" s="1" a="1"/>
  <c r="E2976" i="2" s="1"/>
  <c r="D2977" i="2"/>
  <c r="E2977" i="2" s="1" a="1"/>
  <c r="E2977" i="2" s="1"/>
  <c r="D2978" i="2"/>
  <c r="E2978" i="2" s="1" a="1"/>
  <c r="E2978" i="2" s="1"/>
  <c r="D2979" i="2"/>
  <c r="E2979" i="2" s="1" a="1"/>
  <c r="E2979" i="2" s="1"/>
  <c r="D2980" i="2"/>
  <c r="E2980" i="2" s="1" a="1"/>
  <c r="E2980" i="2" s="1"/>
  <c r="D2981" i="2"/>
  <c r="E2981" i="2" s="1" a="1"/>
  <c r="E2981" i="2" s="1"/>
  <c r="D2982" i="2"/>
  <c r="E2982" i="2" s="1" a="1"/>
  <c r="E2982" i="2" s="1"/>
  <c r="D2983" i="2"/>
  <c r="E2983" i="2" s="1" a="1"/>
  <c r="E2983" i="2" s="1"/>
  <c r="D2984" i="2"/>
  <c r="E2984" i="2" s="1" a="1"/>
  <c r="E2984" i="2" s="1"/>
  <c r="D2985" i="2"/>
  <c r="E2985" i="2" s="1" a="1"/>
  <c r="E2985" i="2" s="1"/>
  <c r="D2986" i="2"/>
  <c r="E2986" i="2" s="1" a="1"/>
  <c r="E2986" i="2" s="1"/>
  <c r="D2987" i="2"/>
  <c r="E2987" i="2" s="1" a="1"/>
  <c r="E2987" i="2" s="1"/>
  <c r="D2988" i="2"/>
  <c r="E2988" i="2" s="1" a="1"/>
  <c r="E2988" i="2" s="1"/>
  <c r="D2989" i="2"/>
  <c r="E2989" i="2" s="1" a="1"/>
  <c r="E2989" i="2" s="1"/>
  <c r="D2990" i="2"/>
  <c r="E2990" i="2" s="1" a="1"/>
  <c r="E2990" i="2" s="1"/>
  <c r="D2991" i="2"/>
  <c r="E2991" i="2" s="1" a="1"/>
  <c r="E2991" i="2" s="1"/>
  <c r="D2992" i="2"/>
  <c r="E2992" i="2" s="1" a="1"/>
  <c r="E2992" i="2" s="1"/>
  <c r="D2993" i="2"/>
  <c r="E2993" i="2" s="1" a="1"/>
  <c r="E2993" i="2" s="1"/>
  <c r="D2994" i="2"/>
  <c r="E2994" i="2" s="1" a="1"/>
  <c r="E2994" i="2" s="1"/>
  <c r="D2995" i="2"/>
  <c r="E2995" i="2" s="1" a="1"/>
  <c r="E2995" i="2" s="1"/>
  <c r="D2996" i="2"/>
  <c r="E2996" i="2" s="1" a="1"/>
  <c r="E2996" i="2" s="1"/>
  <c r="D2997" i="2"/>
  <c r="E2997" i="2" s="1" a="1"/>
  <c r="E2997" i="2" s="1"/>
  <c r="D2998" i="2"/>
  <c r="E2998" i="2" s="1" a="1"/>
  <c r="E2998" i="2" s="1"/>
  <c r="D2999" i="2"/>
  <c r="E2999" i="2" s="1" a="1"/>
  <c r="E2999" i="2" s="1"/>
  <c r="D3000" i="2"/>
  <c r="E3000" i="2" s="1" a="1"/>
  <c r="E3000" i="2" s="1"/>
  <c r="D3001" i="2"/>
  <c r="E3001" i="2" s="1" a="1"/>
  <c r="E3001" i="2" s="1"/>
  <c r="D3002" i="2"/>
  <c r="E3002" i="2" s="1" a="1"/>
  <c r="E3002" i="2" s="1"/>
  <c r="D3003" i="2"/>
  <c r="E3003" i="2" s="1" a="1"/>
  <c r="E3003" i="2" s="1"/>
  <c r="D3004" i="2"/>
  <c r="E3004" i="2" s="1" a="1"/>
  <c r="E3004" i="2" s="1"/>
  <c r="D3005" i="2"/>
  <c r="E3005" i="2" s="1" a="1"/>
  <c r="E3005" i="2" s="1"/>
  <c r="D3006" i="2"/>
  <c r="E3006" i="2" s="1" a="1"/>
  <c r="E3006" i="2" s="1"/>
  <c r="D3007" i="2"/>
  <c r="E3007" i="2" s="1" a="1"/>
  <c r="E3007" i="2" s="1"/>
  <c r="D3008" i="2"/>
  <c r="E3008" i="2" s="1" a="1"/>
  <c r="E3008" i="2" s="1"/>
  <c r="D3009" i="2"/>
  <c r="E3009" i="2" s="1" a="1"/>
  <c r="E3009" i="2" s="1"/>
  <c r="D3010" i="2"/>
  <c r="E3010" i="2" s="1" a="1"/>
  <c r="E3010" i="2" s="1"/>
  <c r="D3011" i="2"/>
  <c r="E3011" i="2" s="1" a="1"/>
  <c r="E3011" i="2" s="1"/>
  <c r="D3012" i="2"/>
  <c r="E3012" i="2" s="1" a="1"/>
  <c r="E3012" i="2" s="1"/>
  <c r="D3013" i="2"/>
  <c r="E3013" i="2" s="1" a="1"/>
  <c r="E3013" i="2" s="1"/>
  <c r="D3014" i="2"/>
  <c r="E3014" i="2" s="1" a="1"/>
  <c r="E3014" i="2" s="1"/>
  <c r="D3015" i="2"/>
  <c r="E3015" i="2" s="1" a="1"/>
  <c r="E3015" i="2" s="1"/>
  <c r="D3016" i="2"/>
  <c r="E3016" i="2" s="1" a="1"/>
  <c r="E3016" i="2" s="1"/>
  <c r="D3017" i="2"/>
  <c r="E3017" i="2" s="1" a="1"/>
  <c r="E3017" i="2" s="1"/>
  <c r="D3018" i="2"/>
  <c r="E3018" i="2" s="1" a="1"/>
  <c r="E3018" i="2" s="1"/>
  <c r="D3019" i="2"/>
  <c r="E3019" i="2" s="1" a="1"/>
  <c r="E3019" i="2" s="1"/>
  <c r="D3020" i="2"/>
  <c r="E3020" i="2" s="1" a="1"/>
  <c r="E3020" i="2" s="1"/>
  <c r="D3021" i="2"/>
  <c r="E3021" i="2" s="1" a="1"/>
  <c r="E3021" i="2" s="1"/>
  <c r="D3022" i="2"/>
  <c r="E3022" i="2" s="1" a="1"/>
  <c r="E3022" i="2" s="1"/>
  <c r="D3023" i="2"/>
  <c r="E3023" i="2" s="1" a="1"/>
  <c r="E3023" i="2" s="1"/>
  <c r="D3024" i="2"/>
  <c r="E3024" i="2" s="1" a="1"/>
  <c r="E3024" i="2" s="1"/>
  <c r="D3025" i="2"/>
  <c r="E3025" i="2" s="1" a="1"/>
  <c r="E3025" i="2" s="1"/>
  <c r="D3026" i="2"/>
  <c r="E3026" i="2" s="1" a="1"/>
  <c r="E3026" i="2" s="1"/>
  <c r="D3027" i="2"/>
  <c r="E3027" i="2" s="1" a="1"/>
  <c r="E3027" i="2" s="1"/>
  <c r="D3028" i="2"/>
  <c r="E3028" i="2" s="1" a="1"/>
  <c r="E3028" i="2" s="1"/>
  <c r="D3029" i="2"/>
  <c r="E3029" i="2" s="1" a="1"/>
  <c r="E3029" i="2" s="1"/>
  <c r="D3030" i="2"/>
  <c r="E3030" i="2" s="1" a="1"/>
  <c r="E3030" i="2" s="1"/>
  <c r="D3031" i="2"/>
  <c r="E3031" i="2" s="1" a="1"/>
  <c r="E3031" i="2" s="1"/>
  <c r="D3032" i="2"/>
  <c r="E3032" i="2" s="1" a="1"/>
  <c r="E3032" i="2" s="1"/>
  <c r="D3033" i="2"/>
  <c r="E3033" i="2" s="1" a="1"/>
  <c r="E3033" i="2" s="1"/>
  <c r="D3034" i="2"/>
  <c r="E3034" i="2" s="1" a="1"/>
  <c r="E3034" i="2" s="1"/>
  <c r="D3035" i="2"/>
  <c r="E3035" i="2" s="1" a="1"/>
  <c r="E3035" i="2" s="1"/>
  <c r="D3036" i="2"/>
  <c r="E3036" i="2" s="1" a="1"/>
  <c r="E3036" i="2" s="1"/>
  <c r="D3037" i="2"/>
  <c r="E3037" i="2" s="1" a="1"/>
  <c r="E3037" i="2" s="1"/>
  <c r="D3038" i="2"/>
  <c r="E3038" i="2" s="1" a="1"/>
  <c r="E3038" i="2" s="1"/>
  <c r="D3039" i="2"/>
  <c r="E3039" i="2" s="1" a="1"/>
  <c r="E3039" i="2" s="1"/>
  <c r="D3040" i="2"/>
  <c r="E3040" i="2" s="1" a="1"/>
  <c r="E3040" i="2" s="1"/>
  <c r="D3041" i="2"/>
  <c r="E3041" i="2" s="1" a="1"/>
  <c r="E3041" i="2" s="1"/>
  <c r="D3042" i="2"/>
  <c r="E3042" i="2" s="1" a="1"/>
  <c r="E3042" i="2" s="1"/>
  <c r="D3043" i="2"/>
  <c r="E3043" i="2" s="1" a="1"/>
  <c r="E3043" i="2" s="1"/>
  <c r="D3044" i="2"/>
  <c r="E3044" i="2" s="1" a="1"/>
  <c r="E3044" i="2" s="1"/>
  <c r="D3045" i="2"/>
  <c r="E3045" i="2" s="1" a="1"/>
  <c r="E3045" i="2" s="1"/>
  <c r="D3046" i="2"/>
  <c r="E3046" i="2" s="1" a="1"/>
  <c r="E3046" i="2" s="1"/>
  <c r="D3047" i="2"/>
  <c r="E3047" i="2" s="1" a="1"/>
  <c r="E3047" i="2" s="1"/>
  <c r="D3048" i="2"/>
  <c r="E3048" i="2" s="1" a="1"/>
  <c r="E3048" i="2" s="1"/>
  <c r="D3049" i="2"/>
  <c r="E3049" i="2" s="1" a="1"/>
  <c r="E3049" i="2" s="1"/>
  <c r="D3050" i="2"/>
  <c r="E3050" i="2" s="1" a="1"/>
  <c r="E3050" i="2" s="1"/>
  <c r="D3051" i="2"/>
  <c r="E3051" i="2" s="1" a="1"/>
  <c r="E3051" i="2" s="1"/>
  <c r="D3052" i="2"/>
  <c r="E3052" i="2" s="1" a="1"/>
  <c r="E3052" i="2" s="1"/>
  <c r="D3053" i="2"/>
  <c r="E3053" i="2" s="1" a="1"/>
  <c r="E3053" i="2" s="1"/>
  <c r="D3054" i="2"/>
  <c r="E3054" i="2" s="1" a="1"/>
  <c r="E3054" i="2" s="1"/>
  <c r="D3055" i="2"/>
  <c r="E3055" i="2" s="1" a="1"/>
  <c r="E3055" i="2" s="1"/>
  <c r="D3056" i="2"/>
  <c r="E3056" i="2" s="1" a="1"/>
  <c r="E3056" i="2" s="1"/>
  <c r="D3057" i="2"/>
  <c r="E3057" i="2" s="1" a="1"/>
  <c r="E3057" i="2" s="1"/>
  <c r="D3058" i="2"/>
  <c r="E3058" i="2" s="1" a="1"/>
  <c r="E3058" i="2" s="1"/>
  <c r="D3059" i="2"/>
  <c r="E3059" i="2" s="1" a="1"/>
  <c r="E3059" i="2" s="1"/>
  <c r="D3060" i="2"/>
  <c r="E3060" i="2" s="1" a="1"/>
  <c r="E3060" i="2" s="1"/>
  <c r="D3061" i="2"/>
  <c r="E3061" i="2" s="1" a="1"/>
  <c r="E3061" i="2" s="1"/>
  <c r="D3062" i="2"/>
  <c r="E3062" i="2" s="1" a="1"/>
  <c r="E3062" i="2" s="1"/>
  <c r="D3063" i="2"/>
  <c r="E3063" i="2" s="1" a="1"/>
  <c r="E3063" i="2" s="1"/>
  <c r="D3064" i="2"/>
  <c r="E3064" i="2" s="1" a="1"/>
  <c r="E3064" i="2" s="1"/>
  <c r="D3065" i="2"/>
  <c r="E3065" i="2" s="1" a="1"/>
  <c r="E3065" i="2" s="1"/>
  <c r="D3066" i="2"/>
  <c r="E3066" i="2" s="1" a="1"/>
  <c r="E3066" i="2" s="1"/>
  <c r="D3067" i="2"/>
  <c r="E3067" i="2" s="1" a="1"/>
  <c r="E3067" i="2" s="1"/>
  <c r="D3068" i="2"/>
  <c r="E3068" i="2" s="1" a="1"/>
  <c r="E3068" i="2" s="1"/>
  <c r="D3069" i="2"/>
  <c r="E3069" i="2" s="1" a="1"/>
  <c r="E3069" i="2" s="1"/>
  <c r="D3070" i="2"/>
  <c r="E3070" i="2" s="1" a="1"/>
  <c r="E3070" i="2" s="1"/>
  <c r="D3071" i="2"/>
  <c r="E3071" i="2" s="1" a="1"/>
  <c r="E3071" i="2" s="1"/>
  <c r="D3072" i="2"/>
  <c r="E3072" i="2" s="1" a="1"/>
  <c r="E3072" i="2" s="1"/>
  <c r="D3073" i="2"/>
  <c r="E3073" i="2" s="1" a="1"/>
  <c r="E3073" i="2" s="1"/>
  <c r="D3074" i="2"/>
  <c r="E3074" i="2" s="1" a="1"/>
  <c r="E3074" i="2" s="1"/>
  <c r="D3075" i="2"/>
  <c r="E3075" i="2" s="1" a="1"/>
  <c r="E3075" i="2" s="1"/>
  <c r="D3076" i="2"/>
  <c r="E3076" i="2" s="1" a="1"/>
  <c r="E3076" i="2" s="1"/>
  <c r="D3077" i="2"/>
  <c r="E3077" i="2" s="1" a="1"/>
  <c r="E3077" i="2" s="1"/>
  <c r="D3078" i="2"/>
  <c r="E3078" i="2" s="1" a="1"/>
  <c r="E3078" i="2" s="1"/>
  <c r="D3079" i="2"/>
  <c r="E3079" i="2" s="1" a="1"/>
  <c r="E3079" i="2" s="1"/>
  <c r="D3080" i="2"/>
  <c r="E3080" i="2" s="1" a="1"/>
  <c r="E3080" i="2" s="1"/>
  <c r="D3081" i="2"/>
  <c r="E3081" i="2" s="1" a="1"/>
  <c r="E3081" i="2" s="1"/>
  <c r="D3082" i="2"/>
  <c r="E3082" i="2" s="1" a="1"/>
  <c r="E3082" i="2" s="1"/>
  <c r="D3083" i="2"/>
  <c r="E3083" i="2" s="1" a="1"/>
  <c r="E3083" i="2" s="1"/>
  <c r="D3084" i="2"/>
  <c r="E3084" i="2" s="1" a="1"/>
  <c r="E3084" i="2" s="1"/>
  <c r="D3085" i="2"/>
  <c r="E3085" i="2" s="1" a="1"/>
  <c r="E3085" i="2" s="1"/>
  <c r="D3086" i="2"/>
  <c r="E3086" i="2" s="1" a="1"/>
  <c r="E3086" i="2" s="1"/>
  <c r="D3087" i="2"/>
  <c r="E3087" i="2" s="1" a="1"/>
  <c r="E3087" i="2" s="1"/>
  <c r="D3088" i="2"/>
  <c r="E3088" i="2" s="1" a="1"/>
  <c r="E3088" i="2" s="1"/>
  <c r="D3089" i="2"/>
  <c r="E3089" i="2" s="1" a="1"/>
  <c r="E3089" i="2" s="1"/>
  <c r="D3090" i="2"/>
  <c r="E3090" i="2" s="1" a="1"/>
  <c r="E3090" i="2" s="1"/>
  <c r="D3091" i="2"/>
  <c r="E3091" i="2" s="1" a="1"/>
  <c r="E3091" i="2" s="1"/>
  <c r="D3092" i="2"/>
  <c r="E3092" i="2" s="1" a="1"/>
  <c r="E3092" i="2" s="1"/>
  <c r="D3093" i="2"/>
  <c r="E3093" i="2" s="1" a="1"/>
  <c r="E3093" i="2" s="1"/>
  <c r="D3094" i="2"/>
  <c r="E3094" i="2" s="1" a="1"/>
  <c r="E3094" i="2" s="1"/>
  <c r="D3095" i="2"/>
  <c r="E3095" i="2" s="1" a="1"/>
  <c r="E3095" i="2" s="1"/>
  <c r="D3096" i="2"/>
  <c r="E3096" i="2" s="1" a="1"/>
  <c r="E3096" i="2" s="1"/>
  <c r="D3097" i="2"/>
  <c r="E3097" i="2" s="1" a="1"/>
  <c r="E3097" i="2" s="1"/>
  <c r="D3098" i="2"/>
  <c r="E3098" i="2" s="1" a="1"/>
  <c r="E3098" i="2" s="1"/>
  <c r="D3099" i="2"/>
  <c r="E3099" i="2" s="1" a="1"/>
  <c r="E3099" i="2" s="1"/>
  <c r="D3100" i="2"/>
  <c r="E3100" i="2" s="1" a="1"/>
  <c r="E3100" i="2" s="1"/>
  <c r="D3101" i="2"/>
  <c r="E3101" i="2" s="1" a="1"/>
  <c r="E3101" i="2" s="1"/>
  <c r="D3102" i="2"/>
  <c r="E3102" i="2" s="1" a="1"/>
  <c r="E3102" i="2" s="1"/>
  <c r="D3103" i="2"/>
  <c r="E3103" i="2" s="1" a="1"/>
  <c r="E3103" i="2" s="1"/>
  <c r="D3104" i="2"/>
  <c r="E3104" i="2" s="1" a="1"/>
  <c r="E3104" i="2" s="1"/>
  <c r="D3105" i="2"/>
  <c r="E3105" i="2" s="1" a="1"/>
  <c r="E3105" i="2" s="1"/>
  <c r="D3106" i="2"/>
  <c r="E3106" i="2" s="1" a="1"/>
  <c r="E3106" i="2" s="1"/>
  <c r="D3107" i="2"/>
  <c r="E3107" i="2" s="1" a="1"/>
  <c r="E3107" i="2" s="1"/>
  <c r="D3108" i="2"/>
  <c r="E3108" i="2" s="1" a="1"/>
  <c r="E3108" i="2" s="1"/>
  <c r="D3109" i="2"/>
  <c r="E3109" i="2" s="1" a="1"/>
  <c r="E3109" i="2" s="1"/>
  <c r="D3110" i="2"/>
  <c r="E3110" i="2" s="1" a="1"/>
  <c r="E3110" i="2" s="1"/>
  <c r="D3111" i="2"/>
  <c r="E3111" i="2" s="1" a="1"/>
  <c r="E3111" i="2" s="1"/>
  <c r="D3112" i="2"/>
  <c r="E3112" i="2" s="1" a="1"/>
  <c r="E3112" i="2" s="1"/>
  <c r="D3113" i="2"/>
  <c r="E3113" i="2" s="1" a="1"/>
  <c r="E3113" i="2" s="1"/>
  <c r="D3114" i="2"/>
  <c r="E3114" i="2" s="1" a="1"/>
  <c r="E3114" i="2" s="1"/>
  <c r="D3115" i="2"/>
  <c r="E3115" i="2" s="1" a="1"/>
  <c r="E3115" i="2" s="1"/>
  <c r="D3116" i="2"/>
  <c r="E3116" i="2" s="1" a="1"/>
  <c r="E3116" i="2" s="1"/>
  <c r="D3117" i="2"/>
  <c r="E3117" i="2" s="1" a="1"/>
  <c r="E3117" i="2" s="1"/>
  <c r="D3118" i="2"/>
  <c r="E3118" i="2" s="1" a="1"/>
  <c r="E3118" i="2" s="1"/>
  <c r="D3119" i="2"/>
  <c r="E3119" i="2" s="1" a="1"/>
  <c r="E3119" i="2" s="1"/>
  <c r="D3120" i="2"/>
  <c r="E3120" i="2" s="1" a="1"/>
  <c r="E3120" i="2" s="1"/>
  <c r="D3121" i="2"/>
  <c r="E3121" i="2" s="1" a="1"/>
  <c r="E3121" i="2" s="1"/>
  <c r="D3122" i="2"/>
  <c r="E3122" i="2" s="1" a="1"/>
  <c r="E3122" i="2" s="1"/>
  <c r="D3123" i="2"/>
  <c r="E3123" i="2" s="1" a="1"/>
  <c r="E3123" i="2" s="1"/>
  <c r="D3124" i="2"/>
  <c r="E3124" i="2" s="1" a="1"/>
  <c r="E3124" i="2" s="1"/>
  <c r="D3125" i="2"/>
  <c r="E3125" i="2" s="1" a="1"/>
  <c r="E3125" i="2" s="1"/>
  <c r="D3126" i="2"/>
  <c r="E3126" i="2" s="1" a="1"/>
  <c r="E3126" i="2" s="1"/>
  <c r="D3127" i="2"/>
  <c r="E3127" i="2" s="1" a="1"/>
  <c r="E3127" i="2" s="1"/>
  <c r="D3128" i="2"/>
  <c r="E3128" i="2" s="1" a="1"/>
  <c r="E3128" i="2" s="1"/>
  <c r="D3129" i="2"/>
  <c r="E3129" i="2" s="1" a="1"/>
  <c r="E3129" i="2" s="1"/>
  <c r="D3130" i="2"/>
  <c r="E3130" i="2" s="1" a="1"/>
  <c r="E3130" i="2" s="1"/>
  <c r="D3131" i="2"/>
  <c r="E3131" i="2" s="1" a="1"/>
  <c r="E3131" i="2" s="1"/>
  <c r="D3132" i="2"/>
  <c r="E3132" i="2" s="1" a="1"/>
  <c r="E3132" i="2" s="1"/>
  <c r="D3133" i="2"/>
  <c r="E3133" i="2" s="1" a="1"/>
  <c r="E3133" i="2" s="1"/>
  <c r="D3134" i="2"/>
  <c r="E3134" i="2" s="1" a="1"/>
  <c r="E3134" i="2" s="1"/>
  <c r="D3135" i="2"/>
  <c r="E3135" i="2" s="1" a="1"/>
  <c r="E3135" i="2" s="1"/>
  <c r="D3136" i="2"/>
  <c r="E3136" i="2" s="1" a="1"/>
  <c r="E3136" i="2" s="1"/>
  <c r="D3137" i="2"/>
  <c r="E3137" i="2" s="1" a="1"/>
  <c r="E3137" i="2" s="1"/>
  <c r="D3138" i="2"/>
  <c r="E3138" i="2" s="1" a="1"/>
  <c r="E3138" i="2" s="1"/>
  <c r="D3139" i="2"/>
  <c r="E3139" i="2" s="1" a="1"/>
  <c r="E3139" i="2" s="1"/>
  <c r="D3140" i="2"/>
  <c r="E3140" i="2" s="1" a="1"/>
  <c r="E3140" i="2" s="1"/>
  <c r="D3141" i="2"/>
  <c r="E3141" i="2" s="1" a="1"/>
  <c r="E3141" i="2" s="1"/>
  <c r="D3142" i="2"/>
  <c r="E3142" i="2" s="1" a="1"/>
  <c r="E3142" i="2" s="1"/>
  <c r="D3143" i="2"/>
  <c r="E3143" i="2" s="1" a="1"/>
  <c r="E3143" i="2" s="1"/>
  <c r="D3144" i="2"/>
  <c r="E3144" i="2" s="1" a="1"/>
  <c r="E3144" i="2" s="1"/>
  <c r="D3145" i="2"/>
  <c r="E3145" i="2" s="1" a="1"/>
  <c r="E3145" i="2" s="1"/>
  <c r="D3146" i="2"/>
  <c r="E3146" i="2" s="1" a="1"/>
  <c r="E3146" i="2" s="1"/>
  <c r="D3147" i="2"/>
  <c r="E3147" i="2" s="1" a="1"/>
  <c r="E3147" i="2" s="1"/>
  <c r="D3148" i="2"/>
  <c r="E3148" i="2" s="1" a="1"/>
  <c r="E3148" i="2" s="1"/>
  <c r="D3149" i="2"/>
  <c r="E3149" i="2" s="1" a="1"/>
  <c r="E3149" i="2" s="1"/>
  <c r="D3150" i="2"/>
  <c r="E3150" i="2" s="1" a="1"/>
  <c r="E3150" i="2" s="1"/>
  <c r="D3151" i="2"/>
  <c r="E3151" i="2" s="1" a="1"/>
  <c r="E3151" i="2" s="1"/>
  <c r="D3152" i="2"/>
  <c r="E3152" i="2" s="1" a="1"/>
  <c r="E3152" i="2" s="1"/>
  <c r="D3153" i="2"/>
  <c r="E3153" i="2" s="1" a="1"/>
  <c r="E3153" i="2" s="1"/>
  <c r="D3154" i="2"/>
  <c r="E3154" i="2" s="1" a="1"/>
  <c r="E3154" i="2" s="1"/>
  <c r="D3155" i="2"/>
  <c r="E3155" i="2" s="1" a="1"/>
  <c r="E3155" i="2" s="1"/>
  <c r="D3156" i="2"/>
  <c r="E3156" i="2" s="1" a="1"/>
  <c r="E3156" i="2" s="1"/>
  <c r="D3157" i="2"/>
  <c r="E3157" i="2" s="1" a="1"/>
  <c r="E3157" i="2" s="1"/>
  <c r="D3158" i="2"/>
  <c r="E3158" i="2" s="1" a="1"/>
  <c r="E3158" i="2" s="1"/>
  <c r="D3159" i="2"/>
  <c r="E3159" i="2" s="1" a="1"/>
  <c r="E3159" i="2" s="1"/>
  <c r="D3160" i="2"/>
  <c r="E3160" i="2" s="1" a="1"/>
  <c r="E3160" i="2" s="1"/>
  <c r="D3161" i="2"/>
  <c r="E3161" i="2" s="1" a="1"/>
  <c r="E3161" i="2" s="1"/>
  <c r="D3162" i="2"/>
  <c r="E3162" i="2" s="1" a="1"/>
  <c r="E3162" i="2" s="1"/>
  <c r="D3163" i="2"/>
  <c r="E3163" i="2" s="1" a="1"/>
  <c r="E3163" i="2" s="1"/>
  <c r="D3164" i="2"/>
  <c r="E3164" i="2" s="1" a="1"/>
  <c r="E3164" i="2" s="1"/>
  <c r="D3165" i="2"/>
  <c r="E3165" i="2" s="1" a="1"/>
  <c r="E3165" i="2" s="1"/>
  <c r="D3166" i="2"/>
  <c r="E3166" i="2" s="1" a="1"/>
  <c r="E3166" i="2" s="1"/>
  <c r="D3167" i="2"/>
  <c r="E3167" i="2" s="1" a="1"/>
  <c r="E3167" i="2" s="1"/>
  <c r="D3168" i="2"/>
  <c r="E3168" i="2" s="1" a="1"/>
  <c r="E3168" i="2" s="1"/>
  <c r="D3169" i="2"/>
  <c r="E3169" i="2" s="1" a="1"/>
  <c r="E3169" i="2" s="1"/>
  <c r="D3170" i="2"/>
  <c r="E3170" i="2" s="1" a="1"/>
  <c r="E3170" i="2" s="1"/>
  <c r="D3171" i="2"/>
  <c r="E3171" i="2" s="1" a="1"/>
  <c r="E3171" i="2" s="1"/>
  <c r="D3172" i="2"/>
  <c r="E3172" i="2" s="1" a="1"/>
  <c r="E3172" i="2" s="1"/>
  <c r="D3173" i="2"/>
  <c r="E3173" i="2" s="1" a="1"/>
  <c r="E3173" i="2" s="1"/>
  <c r="D3174" i="2"/>
  <c r="E3174" i="2" s="1" a="1"/>
  <c r="E3174" i="2" s="1"/>
  <c r="D3175" i="2"/>
  <c r="E3175" i="2" s="1" a="1"/>
  <c r="E3175" i="2" s="1"/>
  <c r="D3176" i="2"/>
  <c r="E3176" i="2" s="1" a="1"/>
  <c r="E3176" i="2" s="1"/>
  <c r="D3177" i="2"/>
  <c r="E3177" i="2" s="1" a="1"/>
  <c r="E3177" i="2" s="1"/>
  <c r="D3178" i="2"/>
  <c r="E3178" i="2" s="1" a="1"/>
  <c r="E3178" i="2" s="1"/>
  <c r="D3179" i="2"/>
  <c r="E3179" i="2" s="1" a="1"/>
  <c r="E3179" i="2" s="1"/>
  <c r="D3180" i="2"/>
  <c r="E3180" i="2" s="1" a="1"/>
  <c r="E3180" i="2" s="1"/>
  <c r="D3181" i="2"/>
  <c r="E3181" i="2" s="1" a="1"/>
  <c r="E3181" i="2" s="1"/>
  <c r="D3182" i="2"/>
  <c r="E3182" i="2" s="1" a="1"/>
  <c r="E3182" i="2" s="1"/>
  <c r="D3183" i="2"/>
  <c r="E3183" i="2" s="1" a="1"/>
  <c r="E3183" i="2" s="1"/>
  <c r="D3184" i="2"/>
  <c r="E3184" i="2" s="1" a="1"/>
  <c r="E3184" i="2" s="1"/>
  <c r="D3185" i="2"/>
  <c r="E3185" i="2" s="1" a="1"/>
  <c r="E3185" i="2" s="1"/>
  <c r="D3186" i="2"/>
  <c r="E3186" i="2" s="1" a="1"/>
  <c r="E3186" i="2" s="1"/>
  <c r="D3187" i="2"/>
  <c r="E3187" i="2" s="1" a="1"/>
  <c r="E3187" i="2" s="1"/>
  <c r="D3188" i="2"/>
  <c r="E3188" i="2" s="1" a="1"/>
  <c r="E3188" i="2" s="1"/>
  <c r="D3189" i="2"/>
  <c r="E3189" i="2" s="1" a="1"/>
  <c r="E3189" i="2" s="1"/>
  <c r="D3190" i="2"/>
  <c r="E3190" i="2" s="1" a="1"/>
  <c r="E3190" i="2" s="1"/>
  <c r="D3191" i="2"/>
  <c r="E3191" i="2" s="1" a="1"/>
  <c r="E3191" i="2" s="1"/>
  <c r="D3192" i="2"/>
  <c r="E3192" i="2" s="1" a="1"/>
  <c r="E3192" i="2" s="1"/>
  <c r="D3193" i="2"/>
  <c r="E3193" i="2" s="1" a="1"/>
  <c r="E3193" i="2" s="1"/>
  <c r="D3194" i="2"/>
  <c r="E3194" i="2" s="1" a="1"/>
  <c r="E3194" i="2" s="1"/>
  <c r="D3195" i="2"/>
  <c r="E3195" i="2" s="1" a="1"/>
  <c r="E3195" i="2" s="1"/>
  <c r="D3196" i="2"/>
  <c r="E3196" i="2" s="1" a="1"/>
  <c r="E3196" i="2" s="1"/>
  <c r="D3197" i="2"/>
  <c r="E3197" i="2" s="1" a="1"/>
  <c r="E3197" i="2" s="1"/>
  <c r="D3198" i="2"/>
  <c r="E3198" i="2" s="1" a="1"/>
  <c r="E3198" i="2" s="1"/>
  <c r="D3199" i="2"/>
  <c r="E3199" i="2" s="1" a="1"/>
  <c r="E3199" i="2" s="1"/>
  <c r="D3200" i="2"/>
  <c r="E3200" i="2" s="1" a="1"/>
  <c r="E3200" i="2" s="1"/>
  <c r="D3201" i="2"/>
  <c r="E3201" i="2" s="1" a="1"/>
  <c r="E3201" i="2" s="1"/>
  <c r="D3202" i="2"/>
  <c r="E3202" i="2" s="1" a="1"/>
  <c r="E3202" i="2" s="1"/>
  <c r="D3203" i="2"/>
  <c r="E3203" i="2" s="1" a="1"/>
  <c r="E3203" i="2" s="1"/>
  <c r="D3204" i="2"/>
  <c r="E3204" i="2" s="1" a="1"/>
  <c r="E3204" i="2" s="1"/>
  <c r="D3205" i="2"/>
  <c r="E3205" i="2" s="1" a="1"/>
  <c r="E3205" i="2" s="1"/>
  <c r="D3206" i="2"/>
  <c r="E3206" i="2" s="1" a="1"/>
  <c r="E3206" i="2" s="1"/>
  <c r="D3207" i="2"/>
  <c r="E3207" i="2" s="1" a="1"/>
  <c r="E3207" i="2" s="1"/>
  <c r="D3208" i="2"/>
  <c r="E3208" i="2" s="1" a="1"/>
  <c r="E3208" i="2" s="1"/>
  <c r="D3209" i="2"/>
  <c r="E3209" i="2" s="1" a="1"/>
  <c r="E3209" i="2" s="1"/>
  <c r="D3210" i="2"/>
  <c r="E3210" i="2" s="1" a="1"/>
  <c r="E3210" i="2" s="1"/>
  <c r="D3211" i="2"/>
  <c r="E3211" i="2" s="1" a="1"/>
  <c r="E3211" i="2" s="1"/>
  <c r="D3212" i="2"/>
  <c r="E3212" i="2" s="1" a="1"/>
  <c r="E3212" i="2" s="1"/>
  <c r="D3213" i="2"/>
  <c r="E3213" i="2" s="1" a="1"/>
  <c r="E3213" i="2" s="1"/>
  <c r="D3214" i="2"/>
  <c r="E3214" i="2" s="1" a="1"/>
  <c r="E3214" i="2" s="1"/>
  <c r="D3215" i="2"/>
  <c r="E3215" i="2" s="1" a="1"/>
  <c r="E3215" i="2" s="1"/>
  <c r="D3216" i="2"/>
  <c r="E3216" i="2" s="1" a="1"/>
  <c r="E3216" i="2" s="1"/>
  <c r="D3217" i="2"/>
  <c r="E3217" i="2" s="1" a="1"/>
  <c r="E3217" i="2" s="1"/>
  <c r="D3218" i="2"/>
  <c r="E3218" i="2" s="1" a="1"/>
  <c r="E3218" i="2" s="1"/>
  <c r="D3219" i="2"/>
  <c r="E3219" i="2" s="1" a="1"/>
  <c r="E3219" i="2" s="1"/>
  <c r="D3220" i="2"/>
  <c r="E3220" i="2" s="1" a="1"/>
  <c r="E3220" i="2" s="1"/>
  <c r="D3221" i="2"/>
  <c r="E3221" i="2" s="1" a="1"/>
  <c r="E3221" i="2" s="1"/>
  <c r="D3222" i="2"/>
  <c r="E3222" i="2" s="1" a="1"/>
  <c r="E3222" i="2" s="1"/>
  <c r="D3223" i="2"/>
  <c r="E3223" i="2" s="1" a="1"/>
  <c r="E3223" i="2" s="1"/>
  <c r="D3224" i="2"/>
  <c r="E3224" i="2" s="1" a="1"/>
  <c r="E3224" i="2" s="1"/>
  <c r="D3225" i="2"/>
  <c r="E3225" i="2" s="1" a="1"/>
  <c r="E3225" i="2" s="1"/>
  <c r="D3226" i="2"/>
  <c r="E3226" i="2" s="1" a="1"/>
  <c r="E3226" i="2" s="1"/>
  <c r="D3227" i="2"/>
  <c r="E3227" i="2" s="1" a="1"/>
  <c r="E3227" i="2" s="1"/>
  <c r="D3228" i="2"/>
  <c r="E3228" i="2" s="1" a="1"/>
  <c r="E3228" i="2" s="1"/>
  <c r="D3229" i="2"/>
  <c r="E3229" i="2" s="1" a="1"/>
  <c r="E3229" i="2" s="1"/>
  <c r="D3230" i="2"/>
  <c r="E3230" i="2" s="1" a="1"/>
  <c r="E3230" i="2" s="1"/>
  <c r="D3231" i="2"/>
  <c r="E3231" i="2" s="1" a="1"/>
  <c r="E3231" i="2" s="1"/>
  <c r="D3232" i="2"/>
  <c r="E3232" i="2" s="1" a="1"/>
  <c r="E3232" i="2" s="1"/>
  <c r="D3233" i="2"/>
  <c r="E3233" i="2" s="1" a="1"/>
  <c r="E3233" i="2" s="1"/>
  <c r="D3234" i="2"/>
  <c r="E3234" i="2" s="1" a="1"/>
  <c r="E3234" i="2" s="1"/>
  <c r="D3235" i="2"/>
  <c r="E3235" i="2" s="1" a="1"/>
  <c r="E3235" i="2" s="1"/>
  <c r="D3236" i="2"/>
  <c r="E3236" i="2" s="1" a="1"/>
  <c r="E3236" i="2" s="1"/>
  <c r="D3237" i="2"/>
  <c r="E3237" i="2" s="1" a="1"/>
  <c r="E3237" i="2" s="1"/>
  <c r="D3238" i="2"/>
  <c r="E3238" i="2" s="1" a="1"/>
  <c r="E3238" i="2" s="1"/>
  <c r="D3239" i="2"/>
  <c r="E3239" i="2" s="1" a="1"/>
  <c r="E3239" i="2" s="1"/>
  <c r="D3240" i="2"/>
  <c r="E3240" i="2" s="1" a="1"/>
  <c r="E3240" i="2" s="1"/>
  <c r="D3241" i="2"/>
  <c r="E3241" i="2" s="1" a="1"/>
  <c r="E3241" i="2" s="1"/>
  <c r="D3242" i="2"/>
  <c r="E3242" i="2" s="1" a="1"/>
  <c r="E3242" i="2" s="1"/>
  <c r="D3243" i="2"/>
  <c r="E3243" i="2" s="1" a="1"/>
  <c r="E3243" i="2" s="1"/>
  <c r="D3244" i="2"/>
  <c r="E3244" i="2" s="1" a="1"/>
  <c r="E3244" i="2" s="1"/>
  <c r="D3245" i="2"/>
  <c r="E3245" i="2" s="1" a="1"/>
  <c r="E3245" i="2" s="1"/>
  <c r="D3246" i="2"/>
  <c r="E3246" i="2" s="1" a="1"/>
  <c r="E3246" i="2" s="1"/>
  <c r="D3247" i="2"/>
  <c r="E3247" i="2" s="1" a="1"/>
  <c r="E3247" i="2" s="1"/>
  <c r="D3248" i="2"/>
  <c r="E3248" i="2" s="1" a="1"/>
  <c r="E3248" i="2" s="1"/>
  <c r="D3249" i="2"/>
  <c r="E3249" i="2" s="1" a="1"/>
  <c r="E3249" i="2" s="1"/>
  <c r="D3250" i="2"/>
  <c r="E3250" i="2" s="1" a="1"/>
  <c r="E3250" i="2" s="1"/>
  <c r="D3251" i="2"/>
  <c r="E3251" i="2" s="1" a="1"/>
  <c r="E3251" i="2" s="1"/>
  <c r="D3252" i="2"/>
  <c r="E3252" i="2" s="1" a="1"/>
  <c r="E3252" i="2" s="1"/>
  <c r="D3253" i="2"/>
  <c r="E3253" i="2" s="1" a="1"/>
  <c r="E3253" i="2" s="1"/>
  <c r="D3254" i="2"/>
  <c r="E3254" i="2" s="1" a="1"/>
  <c r="E3254" i="2" s="1"/>
  <c r="D3255" i="2"/>
  <c r="E3255" i="2" s="1" a="1"/>
  <c r="E3255" i="2" s="1"/>
  <c r="D3256" i="2"/>
  <c r="E3256" i="2" s="1" a="1"/>
  <c r="E3256" i="2" s="1"/>
  <c r="D3257" i="2"/>
  <c r="E3257" i="2" s="1" a="1"/>
  <c r="E3257" i="2" s="1"/>
  <c r="D3258" i="2"/>
  <c r="E3258" i="2" s="1" a="1"/>
  <c r="E3258" i="2" s="1"/>
  <c r="D3259" i="2"/>
  <c r="E3259" i="2" s="1" a="1"/>
  <c r="E3259" i="2" s="1"/>
  <c r="D3260" i="2"/>
  <c r="E3260" i="2" s="1" a="1"/>
  <c r="E3260" i="2" s="1"/>
  <c r="D3261" i="2"/>
  <c r="E3261" i="2" s="1" a="1"/>
  <c r="E3261" i="2" s="1"/>
  <c r="D3262" i="2"/>
  <c r="E3262" i="2" s="1" a="1"/>
  <c r="E3262" i="2" s="1"/>
  <c r="D3263" i="2"/>
  <c r="E3263" i="2" s="1" a="1"/>
  <c r="E3263" i="2" s="1"/>
  <c r="D3264" i="2"/>
  <c r="E3264" i="2" s="1" a="1"/>
  <c r="E3264" i="2" s="1"/>
  <c r="D3265" i="2"/>
  <c r="E3265" i="2" s="1" a="1"/>
  <c r="E3265" i="2" s="1"/>
  <c r="D3266" i="2"/>
  <c r="E3266" i="2" s="1" a="1"/>
  <c r="E3266" i="2" s="1"/>
  <c r="D3267" i="2"/>
  <c r="E3267" i="2" s="1" a="1"/>
  <c r="E3267" i="2" s="1"/>
  <c r="D3268" i="2"/>
  <c r="E3268" i="2" s="1" a="1"/>
  <c r="E3268" i="2" s="1"/>
  <c r="D3269" i="2"/>
  <c r="E3269" i="2" s="1" a="1"/>
  <c r="E3269" i="2" s="1"/>
  <c r="D3270" i="2"/>
  <c r="E3270" i="2" s="1" a="1"/>
  <c r="E3270" i="2" s="1"/>
  <c r="D3271" i="2"/>
  <c r="E3271" i="2" s="1" a="1"/>
  <c r="E3271" i="2" s="1"/>
  <c r="D3272" i="2"/>
  <c r="E3272" i="2" s="1" a="1"/>
  <c r="E3272" i="2" s="1"/>
  <c r="D3273" i="2"/>
  <c r="E3273" i="2" s="1" a="1"/>
  <c r="E3273" i="2" s="1"/>
  <c r="D3274" i="2"/>
  <c r="E3274" i="2" s="1" a="1"/>
  <c r="E3274" i="2" s="1"/>
  <c r="D3275" i="2"/>
  <c r="E3275" i="2" s="1" a="1"/>
  <c r="E3275" i="2" s="1"/>
  <c r="D3276" i="2"/>
  <c r="E3276" i="2" s="1" a="1"/>
  <c r="E3276" i="2" s="1"/>
  <c r="D3277" i="2"/>
  <c r="E3277" i="2" s="1" a="1"/>
  <c r="E3277" i="2" s="1"/>
  <c r="D3278" i="2"/>
  <c r="E3278" i="2" s="1" a="1"/>
  <c r="E3278" i="2" s="1"/>
  <c r="D3279" i="2"/>
  <c r="E3279" i="2" s="1" a="1"/>
  <c r="E3279" i="2" s="1"/>
  <c r="D3280" i="2"/>
  <c r="E3280" i="2" s="1" a="1"/>
  <c r="E3280" i="2" s="1"/>
  <c r="D3281" i="2"/>
  <c r="E3281" i="2" s="1" a="1"/>
  <c r="E3281" i="2" s="1"/>
  <c r="D3282" i="2"/>
  <c r="E3282" i="2" s="1" a="1"/>
  <c r="E3282" i="2" s="1"/>
  <c r="D3283" i="2"/>
  <c r="E3283" i="2" s="1" a="1"/>
  <c r="E3283" i="2" s="1"/>
  <c r="D3284" i="2"/>
  <c r="E3284" i="2" s="1" a="1"/>
  <c r="E3284" i="2" s="1"/>
  <c r="D3285" i="2"/>
  <c r="E3285" i="2" s="1" a="1"/>
  <c r="E3285" i="2" s="1"/>
  <c r="D3286" i="2"/>
  <c r="E3286" i="2" s="1" a="1"/>
  <c r="E3286" i="2" s="1"/>
  <c r="D3287" i="2"/>
  <c r="E3287" i="2" s="1" a="1"/>
  <c r="E3287" i="2" s="1"/>
  <c r="D3288" i="2"/>
  <c r="E3288" i="2" s="1" a="1"/>
  <c r="E3288" i="2" s="1"/>
  <c r="D3289" i="2"/>
  <c r="E3289" i="2" s="1" a="1"/>
  <c r="E3289" i="2" s="1"/>
  <c r="D3290" i="2"/>
  <c r="E3290" i="2" s="1" a="1"/>
  <c r="E3290" i="2" s="1"/>
  <c r="D3291" i="2"/>
  <c r="E3291" i="2" s="1" a="1"/>
  <c r="E3291" i="2" s="1"/>
  <c r="D3292" i="2"/>
  <c r="E3292" i="2" s="1" a="1"/>
  <c r="E3292" i="2" s="1"/>
  <c r="D3293" i="2"/>
  <c r="E3293" i="2" s="1" a="1"/>
  <c r="E3293" i="2" s="1"/>
  <c r="D3294" i="2"/>
  <c r="E3294" i="2" s="1" a="1"/>
  <c r="E3294" i="2" s="1"/>
  <c r="D3295" i="2"/>
  <c r="E3295" i="2" s="1" a="1"/>
  <c r="E3295" i="2" s="1"/>
  <c r="D3296" i="2"/>
  <c r="E3296" i="2" s="1" a="1"/>
  <c r="E3296" i="2" s="1"/>
  <c r="D3297" i="2"/>
  <c r="E3297" i="2" s="1" a="1"/>
  <c r="E3297" i="2" s="1"/>
  <c r="D3298" i="2"/>
  <c r="E3298" i="2" s="1" a="1"/>
  <c r="E3298" i="2" s="1"/>
  <c r="D3299" i="2"/>
  <c r="E3299" i="2" s="1" a="1"/>
  <c r="E3299" i="2" s="1"/>
  <c r="D3300" i="2"/>
  <c r="E3300" i="2" s="1" a="1"/>
  <c r="E3300" i="2" s="1"/>
  <c r="D3301" i="2"/>
  <c r="E3301" i="2" s="1" a="1"/>
  <c r="E3301" i="2" s="1"/>
  <c r="D3302" i="2"/>
  <c r="E3302" i="2" s="1" a="1"/>
  <c r="E3302" i="2" s="1"/>
  <c r="D3303" i="2"/>
  <c r="E3303" i="2" s="1" a="1"/>
  <c r="E3303" i="2" s="1"/>
  <c r="D3304" i="2"/>
  <c r="E3304" i="2" s="1" a="1"/>
  <c r="E3304" i="2" s="1"/>
  <c r="D3305" i="2"/>
  <c r="E3305" i="2" s="1" a="1"/>
  <c r="E3305" i="2" s="1"/>
  <c r="D3306" i="2"/>
  <c r="E3306" i="2" s="1" a="1"/>
  <c r="E3306" i="2" s="1"/>
  <c r="D3307" i="2"/>
  <c r="E3307" i="2" s="1" a="1"/>
  <c r="E3307" i="2" s="1"/>
  <c r="D3308" i="2"/>
  <c r="E3308" i="2" s="1" a="1"/>
  <c r="E3308" i="2" s="1"/>
  <c r="D3309" i="2"/>
  <c r="E3309" i="2" s="1" a="1"/>
  <c r="E3309" i="2" s="1"/>
  <c r="D3310" i="2"/>
  <c r="E3310" i="2" s="1" a="1"/>
  <c r="E3310" i="2" s="1"/>
  <c r="D3311" i="2"/>
  <c r="E3311" i="2" s="1" a="1"/>
  <c r="E3311" i="2" s="1"/>
  <c r="D3312" i="2"/>
  <c r="E3312" i="2" s="1" a="1"/>
  <c r="E3312" i="2" s="1"/>
  <c r="D3313" i="2"/>
  <c r="E3313" i="2" s="1" a="1"/>
  <c r="E3313" i="2" s="1"/>
  <c r="D3314" i="2"/>
  <c r="E3314" i="2" s="1" a="1"/>
  <c r="E3314" i="2" s="1"/>
  <c r="D3315" i="2"/>
  <c r="E3315" i="2" s="1" a="1"/>
  <c r="E3315" i="2" s="1"/>
  <c r="D3316" i="2"/>
  <c r="E3316" i="2" s="1" a="1"/>
  <c r="E3316" i="2" s="1"/>
  <c r="D3317" i="2"/>
  <c r="E3317" i="2" s="1" a="1"/>
  <c r="E3317" i="2" s="1"/>
  <c r="D3318" i="2"/>
  <c r="E3318" i="2" s="1" a="1"/>
  <c r="E3318" i="2" s="1"/>
  <c r="D3319" i="2"/>
  <c r="E3319" i="2" s="1" a="1"/>
  <c r="E3319" i="2" s="1"/>
  <c r="D3320" i="2"/>
  <c r="E3320" i="2" s="1" a="1"/>
  <c r="E3320" i="2" s="1"/>
  <c r="D3321" i="2"/>
  <c r="E3321" i="2" s="1" a="1"/>
  <c r="E3321" i="2" s="1"/>
  <c r="D3322" i="2"/>
  <c r="E3322" i="2" s="1" a="1"/>
  <c r="E3322" i="2" s="1"/>
  <c r="D3323" i="2"/>
  <c r="E3323" i="2" s="1" a="1"/>
  <c r="E3323" i="2" s="1"/>
  <c r="D3324" i="2"/>
  <c r="E3324" i="2" s="1" a="1"/>
  <c r="E3324" i="2" s="1"/>
  <c r="D3325" i="2"/>
  <c r="E3325" i="2" s="1" a="1"/>
  <c r="E3325" i="2" s="1"/>
  <c r="D3326" i="2"/>
  <c r="E3326" i="2" s="1" a="1"/>
  <c r="E3326" i="2" s="1"/>
  <c r="D3327" i="2"/>
  <c r="E3327" i="2" s="1" a="1"/>
  <c r="E3327" i="2" s="1"/>
  <c r="D3328" i="2"/>
  <c r="E3328" i="2" s="1" a="1"/>
  <c r="E3328" i="2" s="1"/>
  <c r="D3329" i="2"/>
  <c r="E3329" i="2" s="1" a="1"/>
  <c r="E3329" i="2" s="1"/>
  <c r="D3330" i="2"/>
  <c r="E3330" i="2" s="1" a="1"/>
  <c r="E3330" i="2" s="1"/>
  <c r="D3331" i="2"/>
  <c r="E3331" i="2" s="1" a="1"/>
  <c r="E3331" i="2" s="1"/>
  <c r="D3332" i="2"/>
  <c r="E3332" i="2" s="1" a="1"/>
  <c r="E3332" i="2" s="1"/>
  <c r="D3333" i="2"/>
  <c r="E3333" i="2" s="1" a="1"/>
  <c r="E3333" i="2" s="1"/>
  <c r="D3334" i="2"/>
  <c r="E3334" i="2" s="1" a="1"/>
  <c r="E3334" i="2" s="1"/>
  <c r="D3335" i="2"/>
  <c r="E3335" i="2" s="1" a="1"/>
  <c r="E3335" i="2" s="1"/>
  <c r="D3336" i="2"/>
  <c r="E3336" i="2" s="1" a="1"/>
  <c r="E3336" i="2" s="1"/>
  <c r="D3337" i="2"/>
  <c r="E3337" i="2" s="1" a="1"/>
  <c r="E3337" i="2" s="1"/>
  <c r="D3338" i="2"/>
  <c r="E3338" i="2" s="1" a="1"/>
  <c r="E3338" i="2" s="1"/>
  <c r="D3339" i="2"/>
  <c r="E3339" i="2" s="1" a="1"/>
  <c r="E3339" i="2" s="1"/>
  <c r="D3340" i="2"/>
  <c r="E3340" i="2" s="1" a="1"/>
  <c r="E3340" i="2" s="1"/>
  <c r="D3341" i="2"/>
  <c r="E3341" i="2" s="1" a="1"/>
  <c r="E3341" i="2" s="1"/>
  <c r="D3342" i="2"/>
  <c r="E3342" i="2" s="1" a="1"/>
  <c r="E3342" i="2" s="1"/>
  <c r="D3343" i="2"/>
  <c r="E3343" i="2" s="1" a="1"/>
  <c r="E3343" i="2" s="1"/>
  <c r="D3344" i="2"/>
  <c r="E3344" i="2" s="1" a="1"/>
  <c r="E3344" i="2" s="1"/>
  <c r="D3345" i="2"/>
  <c r="E3345" i="2" s="1" a="1"/>
  <c r="E3345" i="2" s="1"/>
  <c r="D3346" i="2"/>
  <c r="E3346" i="2" s="1" a="1"/>
  <c r="E3346" i="2" s="1"/>
  <c r="D3347" i="2"/>
  <c r="E3347" i="2" s="1" a="1"/>
  <c r="E3347" i="2" s="1"/>
  <c r="D3348" i="2"/>
  <c r="E3348" i="2" s="1" a="1"/>
  <c r="E3348" i="2" s="1"/>
  <c r="D3349" i="2"/>
  <c r="E3349" i="2" s="1" a="1"/>
  <c r="E3349" i="2" s="1"/>
  <c r="D3350" i="2"/>
  <c r="E3350" i="2" s="1" a="1"/>
  <c r="E3350" i="2" s="1"/>
  <c r="D3351" i="2"/>
  <c r="E3351" i="2" s="1" a="1"/>
  <c r="E3351" i="2" s="1"/>
  <c r="D3352" i="2"/>
  <c r="E3352" i="2" s="1" a="1"/>
  <c r="E3352" i="2" s="1"/>
  <c r="D3353" i="2"/>
  <c r="E3353" i="2" s="1" a="1"/>
  <c r="E3353" i="2" s="1"/>
  <c r="D3354" i="2"/>
  <c r="E3354" i="2" s="1" a="1"/>
  <c r="E3354" i="2" s="1"/>
  <c r="D3355" i="2"/>
  <c r="E3355" i="2" s="1" a="1"/>
  <c r="E3355" i="2" s="1"/>
  <c r="D3356" i="2"/>
  <c r="E3356" i="2" s="1" a="1"/>
  <c r="E3356" i="2" s="1"/>
  <c r="D3357" i="2"/>
  <c r="E3357" i="2" s="1" a="1"/>
  <c r="E3357" i="2" s="1"/>
  <c r="D3358" i="2"/>
  <c r="E3358" i="2" s="1" a="1"/>
  <c r="E3358" i="2" s="1"/>
  <c r="D3359" i="2"/>
  <c r="E3359" i="2" s="1" a="1"/>
  <c r="E3359" i="2" s="1"/>
  <c r="D3360" i="2"/>
  <c r="E3360" i="2" s="1" a="1"/>
  <c r="E3360" i="2" s="1"/>
  <c r="D3361" i="2"/>
  <c r="E3361" i="2" s="1" a="1"/>
  <c r="E3361" i="2" s="1"/>
  <c r="D3362" i="2"/>
  <c r="E3362" i="2" s="1" a="1"/>
  <c r="E3362" i="2" s="1"/>
  <c r="D3363" i="2"/>
  <c r="E3363" i="2" s="1" a="1"/>
  <c r="E3363" i="2" s="1"/>
  <c r="D3364" i="2"/>
  <c r="E3364" i="2" s="1" a="1"/>
  <c r="E3364" i="2" s="1"/>
  <c r="D3365" i="2"/>
  <c r="E3365" i="2" s="1" a="1"/>
  <c r="E3365" i="2" s="1"/>
  <c r="D3366" i="2"/>
  <c r="E3366" i="2" s="1" a="1"/>
  <c r="E3366" i="2" s="1"/>
  <c r="D3367" i="2"/>
  <c r="E3367" i="2" s="1" a="1"/>
  <c r="E3367" i="2" s="1"/>
  <c r="D3368" i="2"/>
  <c r="E3368" i="2" s="1" a="1"/>
  <c r="E3368" i="2" s="1"/>
  <c r="D3369" i="2"/>
  <c r="E3369" i="2" s="1" a="1"/>
  <c r="E3369" i="2" s="1"/>
  <c r="D3370" i="2"/>
  <c r="E3370" i="2" s="1" a="1"/>
  <c r="E3370" i="2" s="1"/>
  <c r="D3371" i="2"/>
  <c r="E3371" i="2" s="1" a="1"/>
  <c r="E3371" i="2" s="1"/>
  <c r="D3372" i="2"/>
  <c r="E3372" i="2" s="1" a="1"/>
  <c r="E3372" i="2" s="1"/>
  <c r="D3373" i="2"/>
  <c r="E3373" i="2" s="1" a="1"/>
  <c r="E3373" i="2" s="1"/>
  <c r="D3374" i="2"/>
  <c r="E3374" i="2" s="1" a="1"/>
  <c r="E3374" i="2" s="1"/>
  <c r="D3375" i="2"/>
  <c r="E3375" i="2" s="1" a="1"/>
  <c r="E3375" i="2" s="1"/>
  <c r="D3376" i="2"/>
  <c r="E3376" i="2" s="1" a="1"/>
  <c r="E3376" i="2" s="1"/>
  <c r="D3377" i="2"/>
  <c r="E3377" i="2" s="1" a="1"/>
  <c r="E3377" i="2" s="1"/>
  <c r="D3378" i="2"/>
  <c r="E3378" i="2" s="1" a="1"/>
  <c r="E3378" i="2" s="1"/>
  <c r="D3379" i="2"/>
  <c r="E3379" i="2" s="1" a="1"/>
  <c r="E3379" i="2" s="1"/>
  <c r="D3380" i="2"/>
  <c r="E3380" i="2" s="1" a="1"/>
  <c r="E3380" i="2" s="1"/>
  <c r="D3381" i="2"/>
  <c r="E3381" i="2" s="1" a="1"/>
  <c r="E3381" i="2" s="1"/>
  <c r="D3382" i="2"/>
  <c r="E3382" i="2" s="1" a="1"/>
  <c r="E3382" i="2" s="1"/>
  <c r="D3383" i="2"/>
  <c r="E3383" i="2" s="1" a="1"/>
  <c r="E3383" i="2" s="1"/>
  <c r="D3384" i="2"/>
  <c r="E3384" i="2" s="1" a="1"/>
  <c r="E3384" i="2" s="1"/>
  <c r="D3385" i="2"/>
  <c r="E3385" i="2" s="1" a="1"/>
  <c r="E3385" i="2" s="1"/>
  <c r="D3386" i="2"/>
  <c r="E3386" i="2" s="1" a="1"/>
  <c r="E3386" i="2" s="1"/>
  <c r="D3387" i="2"/>
  <c r="E3387" i="2" s="1" a="1"/>
  <c r="E3387" i="2" s="1"/>
  <c r="D3388" i="2"/>
  <c r="E3388" i="2" s="1" a="1"/>
  <c r="E3388" i="2" s="1"/>
  <c r="D3389" i="2"/>
  <c r="E3389" i="2" s="1" a="1"/>
  <c r="E3389" i="2" s="1"/>
  <c r="D3390" i="2"/>
  <c r="E3390" i="2" s="1" a="1"/>
  <c r="E3390" i="2" s="1"/>
  <c r="D3391" i="2"/>
  <c r="E3391" i="2" s="1" a="1"/>
  <c r="E3391" i="2" s="1"/>
  <c r="D3392" i="2"/>
  <c r="E3392" i="2" s="1" a="1"/>
  <c r="E3392" i="2" s="1"/>
  <c r="D3393" i="2"/>
  <c r="E3393" i="2" s="1" a="1"/>
  <c r="E3393" i="2" s="1"/>
  <c r="D3394" i="2"/>
  <c r="E3394" i="2" s="1" a="1"/>
  <c r="E3394" i="2" s="1"/>
  <c r="D3395" i="2"/>
  <c r="E3395" i="2" s="1" a="1"/>
  <c r="E3395" i="2" s="1"/>
  <c r="D3396" i="2"/>
  <c r="E3396" i="2" s="1" a="1"/>
  <c r="E3396" i="2" s="1"/>
  <c r="D3397" i="2"/>
  <c r="E3397" i="2" s="1" a="1"/>
  <c r="E3397" i="2" s="1"/>
  <c r="D3398" i="2"/>
  <c r="E3398" i="2" s="1" a="1"/>
  <c r="E3398" i="2" s="1"/>
  <c r="D3399" i="2"/>
  <c r="E3399" i="2" s="1" a="1"/>
  <c r="E3399" i="2" s="1"/>
  <c r="D3400" i="2"/>
  <c r="E3400" i="2" s="1" a="1"/>
  <c r="E3400" i="2" s="1"/>
  <c r="D3401" i="2"/>
  <c r="E3401" i="2" s="1" a="1"/>
  <c r="E3401" i="2" s="1"/>
  <c r="D3402" i="2"/>
  <c r="E3402" i="2" s="1" a="1"/>
  <c r="E3402" i="2" s="1"/>
  <c r="D3403" i="2"/>
  <c r="E3403" i="2" s="1" a="1"/>
  <c r="E3403" i="2" s="1"/>
  <c r="D3404" i="2"/>
  <c r="E3404" i="2" s="1" a="1"/>
  <c r="E3404" i="2" s="1"/>
  <c r="D3405" i="2"/>
  <c r="E3405" i="2" s="1" a="1"/>
  <c r="E3405" i="2" s="1"/>
  <c r="D3406" i="2"/>
  <c r="E3406" i="2" s="1" a="1"/>
  <c r="E3406" i="2" s="1"/>
  <c r="D3407" i="2"/>
  <c r="E3407" i="2" s="1" a="1"/>
  <c r="E3407" i="2" s="1"/>
  <c r="D3408" i="2"/>
  <c r="E3408" i="2" s="1" a="1"/>
  <c r="E3408" i="2" s="1"/>
  <c r="D3409" i="2"/>
  <c r="E3409" i="2" s="1" a="1"/>
  <c r="E3409" i="2" s="1"/>
  <c r="D3410" i="2"/>
  <c r="E3410" i="2" s="1" a="1"/>
  <c r="E3410" i="2" s="1"/>
  <c r="D3411" i="2"/>
  <c r="E3411" i="2" s="1" a="1"/>
  <c r="E3411" i="2" s="1"/>
  <c r="D3412" i="2"/>
  <c r="E3412" i="2" s="1" a="1"/>
  <c r="E3412" i="2" s="1"/>
  <c r="D3413" i="2"/>
  <c r="E3413" i="2" s="1" a="1"/>
  <c r="E3413" i="2" s="1"/>
  <c r="D3414" i="2"/>
  <c r="E3414" i="2" s="1" a="1"/>
  <c r="E3414" i="2" s="1"/>
  <c r="D3415" i="2"/>
  <c r="E3415" i="2" s="1" a="1"/>
  <c r="E3415" i="2" s="1"/>
  <c r="D3416" i="2"/>
  <c r="E3416" i="2" s="1" a="1"/>
  <c r="E3416" i="2" s="1"/>
  <c r="D3417" i="2"/>
  <c r="E3417" i="2" s="1" a="1"/>
  <c r="E3417" i="2" s="1"/>
  <c r="D3418" i="2"/>
  <c r="E3418" i="2" s="1" a="1"/>
  <c r="E3418" i="2" s="1"/>
  <c r="D3419" i="2"/>
  <c r="E3419" i="2" s="1" a="1"/>
  <c r="E3419" i="2" s="1"/>
  <c r="D3420" i="2"/>
  <c r="E3420" i="2" s="1" a="1"/>
  <c r="E3420" i="2" s="1"/>
  <c r="D3421" i="2"/>
  <c r="E3421" i="2" s="1" a="1"/>
  <c r="E3421" i="2" s="1"/>
  <c r="D3422" i="2"/>
  <c r="E3422" i="2" s="1" a="1"/>
  <c r="E3422" i="2" s="1"/>
  <c r="D3423" i="2"/>
  <c r="E3423" i="2" s="1" a="1"/>
  <c r="E3423" i="2" s="1"/>
  <c r="D3424" i="2"/>
  <c r="E3424" i="2" s="1" a="1"/>
  <c r="E3424" i="2" s="1"/>
  <c r="D3425" i="2"/>
  <c r="E3425" i="2" s="1" a="1"/>
  <c r="E3425" i="2" s="1"/>
  <c r="D3426" i="2"/>
  <c r="E3426" i="2" s="1" a="1"/>
  <c r="E3426" i="2" s="1"/>
  <c r="D3427" i="2"/>
  <c r="E3427" i="2" s="1" a="1"/>
  <c r="E3427" i="2" s="1"/>
  <c r="D3428" i="2"/>
  <c r="E3428" i="2" s="1" a="1"/>
  <c r="E3428" i="2" s="1"/>
  <c r="D3429" i="2"/>
  <c r="E3429" i="2" s="1" a="1"/>
  <c r="E3429" i="2" s="1"/>
  <c r="D3430" i="2"/>
  <c r="E3430" i="2" s="1" a="1"/>
  <c r="E3430" i="2" s="1"/>
  <c r="D3431" i="2"/>
  <c r="E3431" i="2" s="1" a="1"/>
  <c r="E3431" i="2" s="1"/>
  <c r="D3432" i="2"/>
  <c r="E3432" i="2" s="1" a="1"/>
  <c r="E3432" i="2" s="1"/>
  <c r="D3433" i="2"/>
  <c r="E3433" i="2" s="1" a="1"/>
  <c r="E3433" i="2" s="1"/>
  <c r="D3434" i="2"/>
  <c r="E3434" i="2" s="1" a="1"/>
  <c r="E3434" i="2" s="1"/>
  <c r="D3435" i="2"/>
  <c r="E3435" i="2" s="1" a="1"/>
  <c r="E3435" i="2" s="1"/>
  <c r="D3436" i="2"/>
  <c r="E3436" i="2" s="1" a="1"/>
  <c r="E3436" i="2" s="1"/>
  <c r="D3437" i="2"/>
  <c r="E3437" i="2" s="1" a="1"/>
  <c r="E3437" i="2" s="1"/>
  <c r="D3438" i="2"/>
  <c r="E3438" i="2" s="1" a="1"/>
  <c r="E3438" i="2" s="1"/>
  <c r="D3439" i="2"/>
  <c r="E3439" i="2" s="1" a="1"/>
  <c r="E3439" i="2" s="1"/>
  <c r="D3440" i="2"/>
  <c r="E3440" i="2" s="1" a="1"/>
  <c r="E3440" i="2" s="1"/>
  <c r="D3441" i="2"/>
  <c r="E3441" i="2" s="1" a="1"/>
  <c r="E3441" i="2" s="1"/>
  <c r="D3442" i="2"/>
  <c r="E3442" i="2" s="1" a="1"/>
  <c r="E3442" i="2" s="1"/>
  <c r="D3443" i="2"/>
  <c r="E3443" i="2" s="1" a="1"/>
  <c r="E3443" i="2" s="1"/>
  <c r="D3444" i="2"/>
  <c r="E3444" i="2" s="1" a="1"/>
  <c r="E3444" i="2" s="1"/>
  <c r="D3445" i="2"/>
  <c r="E3445" i="2" s="1" a="1"/>
  <c r="E3445" i="2" s="1"/>
  <c r="D3446" i="2"/>
  <c r="E3446" i="2" s="1" a="1"/>
  <c r="E3446" i="2" s="1"/>
  <c r="D3447" i="2"/>
  <c r="E3447" i="2" s="1" a="1"/>
  <c r="E3447" i="2" s="1"/>
  <c r="D3448" i="2"/>
  <c r="E3448" i="2" s="1" a="1"/>
  <c r="E3448" i="2" s="1"/>
  <c r="D3449" i="2"/>
  <c r="E3449" i="2" s="1" a="1"/>
  <c r="E3449" i="2" s="1"/>
  <c r="D3450" i="2"/>
  <c r="E3450" i="2" s="1" a="1"/>
  <c r="E3450" i="2" s="1"/>
  <c r="D3451" i="2"/>
  <c r="E3451" i="2" s="1" a="1"/>
  <c r="E3451" i="2" s="1"/>
  <c r="D3452" i="2"/>
  <c r="E3452" i="2" s="1" a="1"/>
  <c r="E3452" i="2" s="1"/>
  <c r="D3453" i="2"/>
  <c r="E3453" i="2" s="1" a="1"/>
  <c r="E3453" i="2" s="1"/>
  <c r="D3454" i="2"/>
  <c r="E3454" i="2" s="1" a="1"/>
  <c r="E3454" i="2" s="1"/>
  <c r="D3455" i="2"/>
  <c r="E3455" i="2" s="1" a="1"/>
  <c r="E3455" i="2" s="1"/>
  <c r="D3456" i="2"/>
  <c r="E3456" i="2" s="1" a="1"/>
  <c r="E3456" i="2" s="1"/>
  <c r="D3457" i="2"/>
  <c r="E3457" i="2" s="1" a="1"/>
  <c r="E3457" i="2" s="1"/>
  <c r="D3458" i="2"/>
  <c r="E3458" i="2" s="1" a="1"/>
  <c r="E3458" i="2" s="1"/>
  <c r="D3459" i="2"/>
  <c r="E3459" i="2" s="1" a="1"/>
  <c r="E3459" i="2" s="1"/>
  <c r="D3460" i="2"/>
  <c r="E3460" i="2" s="1" a="1"/>
  <c r="E3460" i="2" s="1"/>
  <c r="D3461" i="2"/>
  <c r="E3461" i="2" s="1" a="1"/>
  <c r="E3461" i="2" s="1"/>
  <c r="D3462" i="2"/>
  <c r="E3462" i="2" s="1" a="1"/>
  <c r="E3462" i="2" s="1"/>
  <c r="D3463" i="2"/>
  <c r="E3463" i="2" s="1" a="1"/>
  <c r="E3463" i="2" s="1"/>
  <c r="D3464" i="2"/>
  <c r="E3464" i="2" s="1" a="1"/>
  <c r="E3464" i="2" s="1"/>
  <c r="D3465" i="2"/>
  <c r="E3465" i="2" s="1" a="1"/>
  <c r="E3465" i="2" s="1"/>
  <c r="D3466" i="2"/>
  <c r="E3466" i="2" s="1" a="1"/>
  <c r="E3466" i="2" s="1"/>
  <c r="D3467" i="2"/>
  <c r="E3467" i="2" s="1" a="1"/>
  <c r="E3467" i="2" s="1"/>
  <c r="D3468" i="2"/>
  <c r="E3468" i="2" s="1" a="1"/>
  <c r="E3468" i="2" s="1"/>
  <c r="D3469" i="2"/>
  <c r="E3469" i="2" s="1" a="1"/>
  <c r="E3469" i="2" s="1"/>
  <c r="D3470" i="2"/>
  <c r="E3470" i="2" s="1" a="1"/>
  <c r="E3470" i="2" s="1"/>
  <c r="D3471" i="2"/>
  <c r="E3471" i="2" s="1" a="1"/>
  <c r="E3471" i="2" s="1"/>
  <c r="D3472" i="2"/>
  <c r="E3472" i="2" s="1" a="1"/>
  <c r="E3472" i="2" s="1"/>
  <c r="D3473" i="2"/>
  <c r="E3473" i="2" s="1" a="1"/>
  <c r="E3473" i="2" s="1"/>
  <c r="D3474" i="2"/>
  <c r="E3474" i="2" s="1" a="1"/>
  <c r="E3474" i="2" s="1"/>
  <c r="D3475" i="2"/>
  <c r="E3475" i="2" s="1" a="1"/>
  <c r="E3475" i="2" s="1"/>
  <c r="D3476" i="2"/>
  <c r="E3476" i="2" s="1" a="1"/>
  <c r="E3476" i="2" s="1"/>
  <c r="D3477" i="2"/>
  <c r="E3477" i="2" s="1" a="1"/>
  <c r="E3477" i="2" s="1"/>
  <c r="D3478" i="2"/>
  <c r="E3478" i="2" s="1" a="1"/>
  <c r="E3478" i="2" s="1"/>
  <c r="D3479" i="2"/>
  <c r="E3479" i="2" s="1" a="1"/>
  <c r="E3479" i="2" s="1"/>
  <c r="D3480" i="2"/>
  <c r="E3480" i="2" s="1" a="1"/>
  <c r="E3480" i="2" s="1"/>
  <c r="D3481" i="2"/>
  <c r="E3481" i="2" s="1" a="1"/>
  <c r="E3481" i="2" s="1"/>
  <c r="D3482" i="2"/>
  <c r="E3482" i="2" s="1" a="1"/>
  <c r="E3482" i="2" s="1"/>
  <c r="D3483" i="2"/>
  <c r="E3483" i="2" s="1" a="1"/>
  <c r="E3483" i="2" s="1"/>
  <c r="D3484" i="2"/>
  <c r="E3484" i="2" s="1" a="1"/>
  <c r="E3484" i="2" s="1"/>
  <c r="D3485" i="2"/>
  <c r="E3485" i="2" s="1" a="1"/>
  <c r="E3485" i="2" s="1"/>
  <c r="D3486" i="2"/>
  <c r="E3486" i="2" s="1" a="1"/>
  <c r="E3486" i="2" s="1"/>
  <c r="D3487" i="2"/>
  <c r="E3487" i="2" s="1" a="1"/>
  <c r="E3487" i="2" s="1"/>
  <c r="D3488" i="2"/>
  <c r="E3488" i="2" s="1" a="1"/>
  <c r="E3488" i="2" s="1"/>
  <c r="D3489" i="2"/>
  <c r="E3489" i="2" s="1" a="1"/>
  <c r="E3489" i="2" s="1"/>
  <c r="D3490" i="2"/>
  <c r="E3490" i="2" s="1" a="1"/>
  <c r="E3490" i="2" s="1"/>
  <c r="D3491" i="2"/>
  <c r="E3491" i="2" s="1" a="1"/>
  <c r="E3491" i="2" s="1"/>
  <c r="D3492" i="2"/>
  <c r="E3492" i="2" s="1" a="1"/>
  <c r="E3492" i="2" s="1"/>
  <c r="D3493" i="2"/>
  <c r="E3493" i="2" s="1" a="1"/>
  <c r="E3493" i="2" s="1"/>
  <c r="D3494" i="2"/>
  <c r="E3494" i="2" s="1" a="1"/>
  <c r="E3494" i="2" s="1"/>
  <c r="D3495" i="2"/>
  <c r="E3495" i="2" s="1" a="1"/>
  <c r="E3495" i="2" s="1"/>
  <c r="D3496" i="2"/>
  <c r="E3496" i="2" s="1" a="1"/>
  <c r="E3496" i="2" s="1"/>
  <c r="D3497" i="2"/>
  <c r="E3497" i="2" s="1" a="1"/>
  <c r="E3497" i="2" s="1"/>
  <c r="D3498" i="2"/>
  <c r="E3498" i="2" s="1" a="1"/>
  <c r="E3498" i="2" s="1"/>
  <c r="D3499" i="2"/>
  <c r="E3499" i="2" s="1" a="1"/>
  <c r="E3499" i="2" s="1"/>
  <c r="D3500" i="2"/>
  <c r="E3500" i="2" s="1" a="1"/>
  <c r="E3500" i="2" s="1"/>
  <c r="D3501" i="2"/>
  <c r="E3501" i="2" s="1" a="1"/>
  <c r="E3501" i="2" s="1"/>
  <c r="D3502" i="2"/>
  <c r="E3502" i="2" s="1" a="1"/>
  <c r="E3502" i="2" s="1"/>
  <c r="D3503" i="2"/>
  <c r="E3503" i="2" s="1" a="1"/>
  <c r="E3503" i="2" s="1"/>
  <c r="D3504" i="2"/>
  <c r="E3504" i="2" s="1" a="1"/>
  <c r="E3504" i="2" s="1"/>
  <c r="D3505" i="2"/>
  <c r="E3505" i="2" s="1" a="1"/>
  <c r="E3505" i="2" s="1"/>
  <c r="D3506" i="2"/>
  <c r="E3506" i="2" s="1" a="1"/>
  <c r="E3506" i="2" s="1"/>
  <c r="D3507" i="2"/>
  <c r="E3507" i="2" s="1" a="1"/>
  <c r="E3507" i="2" s="1"/>
  <c r="D3508" i="2"/>
  <c r="E3508" i="2" s="1" a="1"/>
  <c r="E3508" i="2" s="1"/>
  <c r="D3509" i="2"/>
  <c r="E3509" i="2" s="1" a="1"/>
  <c r="E3509" i="2" s="1"/>
  <c r="D3510" i="2"/>
  <c r="E3510" i="2" s="1" a="1"/>
  <c r="E3510" i="2" s="1"/>
  <c r="D3511" i="2"/>
  <c r="E3511" i="2" s="1" a="1"/>
  <c r="E3511" i="2" s="1"/>
  <c r="D3512" i="2"/>
  <c r="E3512" i="2" s="1" a="1"/>
  <c r="E3512" i="2" s="1"/>
  <c r="D3513" i="2"/>
  <c r="E3513" i="2" s="1" a="1"/>
  <c r="E3513" i="2" s="1"/>
  <c r="D3514" i="2"/>
  <c r="E3514" i="2" s="1" a="1"/>
  <c r="E3514" i="2" s="1"/>
  <c r="D3515" i="2"/>
  <c r="E3515" i="2" s="1" a="1"/>
  <c r="E3515" i="2" s="1"/>
  <c r="D3516" i="2"/>
  <c r="E3516" i="2" s="1" a="1"/>
  <c r="E3516" i="2" s="1"/>
  <c r="D3517" i="2"/>
  <c r="E3517" i="2" s="1" a="1"/>
  <c r="E3517" i="2" s="1"/>
  <c r="D3518" i="2"/>
  <c r="E3518" i="2" s="1" a="1"/>
  <c r="E3518" i="2" s="1"/>
  <c r="D3519" i="2"/>
  <c r="E3519" i="2" s="1" a="1"/>
  <c r="E3519" i="2" s="1"/>
  <c r="D3520" i="2"/>
  <c r="E3520" i="2" s="1" a="1"/>
  <c r="E3520" i="2" s="1"/>
  <c r="D3521" i="2"/>
  <c r="E3521" i="2" s="1" a="1"/>
  <c r="E3521" i="2" s="1"/>
  <c r="D3522" i="2"/>
  <c r="E3522" i="2" s="1" a="1"/>
  <c r="E3522" i="2" s="1"/>
  <c r="D3523" i="2"/>
  <c r="E3523" i="2" s="1" a="1"/>
  <c r="E3523" i="2" s="1"/>
  <c r="D3524" i="2"/>
  <c r="E3524" i="2" s="1" a="1"/>
  <c r="E3524" i="2" s="1"/>
  <c r="D3525" i="2"/>
  <c r="E3525" i="2" s="1" a="1"/>
  <c r="E3525" i="2" s="1"/>
  <c r="D3526" i="2"/>
  <c r="E3526" i="2" s="1" a="1"/>
  <c r="E3526" i="2" s="1"/>
  <c r="D3527" i="2"/>
  <c r="E3527" i="2" s="1" a="1"/>
  <c r="E3527" i="2" s="1"/>
  <c r="D3528" i="2"/>
  <c r="E3528" i="2" s="1" a="1"/>
  <c r="E3528" i="2" s="1"/>
  <c r="D3529" i="2"/>
  <c r="E3529" i="2" s="1" a="1"/>
  <c r="E3529" i="2" s="1"/>
  <c r="D3530" i="2"/>
  <c r="E3530" i="2" s="1" a="1"/>
  <c r="E3530" i="2" s="1"/>
  <c r="D3531" i="2"/>
  <c r="E3531" i="2" s="1" a="1"/>
  <c r="E3531" i="2" s="1"/>
  <c r="D3532" i="2"/>
  <c r="E3532" i="2" s="1" a="1"/>
  <c r="E3532" i="2" s="1"/>
  <c r="D3533" i="2"/>
  <c r="E3533" i="2" s="1" a="1"/>
  <c r="E3533" i="2" s="1"/>
  <c r="D3534" i="2"/>
  <c r="E3534" i="2" s="1" a="1"/>
  <c r="E3534" i="2" s="1"/>
  <c r="D3535" i="2"/>
  <c r="E3535" i="2" s="1" a="1"/>
  <c r="E3535" i="2" s="1"/>
  <c r="D3536" i="2"/>
  <c r="E3536" i="2" s="1" a="1"/>
  <c r="E3536" i="2" s="1"/>
  <c r="D3537" i="2"/>
  <c r="E3537" i="2" s="1" a="1"/>
  <c r="E3537" i="2" s="1"/>
  <c r="D3538" i="2"/>
  <c r="E3538" i="2" s="1" a="1"/>
  <c r="E3538" i="2" s="1"/>
  <c r="D3539" i="2"/>
  <c r="E3539" i="2" s="1" a="1"/>
  <c r="E3539" i="2" s="1"/>
  <c r="D3540" i="2"/>
  <c r="E3540" i="2" s="1" a="1"/>
  <c r="E3540" i="2" s="1"/>
  <c r="D3541" i="2"/>
  <c r="E3541" i="2" s="1" a="1"/>
  <c r="E3541" i="2" s="1"/>
  <c r="D3542" i="2"/>
  <c r="E3542" i="2" s="1" a="1"/>
  <c r="E3542" i="2" s="1"/>
  <c r="D3543" i="2"/>
  <c r="E3543" i="2" s="1" a="1"/>
  <c r="E3543" i="2" s="1"/>
  <c r="D3544" i="2"/>
  <c r="E3544" i="2" s="1" a="1"/>
  <c r="E3544" i="2" s="1"/>
  <c r="D3545" i="2"/>
  <c r="E3545" i="2" s="1" a="1"/>
  <c r="E3545" i="2" s="1"/>
  <c r="D3546" i="2"/>
  <c r="E3546" i="2" s="1" a="1"/>
  <c r="E3546" i="2" s="1"/>
  <c r="D3547" i="2"/>
  <c r="E3547" i="2" s="1" a="1"/>
  <c r="E3547" i="2" s="1"/>
  <c r="D3548" i="2"/>
  <c r="E3548" i="2" s="1" a="1"/>
  <c r="E3548" i="2" s="1"/>
  <c r="D3549" i="2"/>
  <c r="E3549" i="2" s="1" a="1"/>
  <c r="E3549" i="2" s="1"/>
  <c r="D3550" i="2"/>
  <c r="E3550" i="2" s="1" a="1"/>
  <c r="E3550" i="2" s="1"/>
  <c r="D3551" i="2"/>
  <c r="E3551" i="2" s="1" a="1"/>
  <c r="E3551" i="2" s="1"/>
  <c r="D3552" i="2"/>
  <c r="E3552" i="2" s="1" a="1"/>
  <c r="E3552" i="2" s="1"/>
  <c r="D3553" i="2"/>
  <c r="E3553" i="2" s="1" a="1"/>
  <c r="E3553" i="2" s="1"/>
  <c r="D3554" i="2"/>
  <c r="E3554" i="2" s="1" a="1"/>
  <c r="E3554" i="2" s="1"/>
  <c r="D3555" i="2"/>
  <c r="E3555" i="2" s="1" a="1"/>
  <c r="E3555" i="2" s="1"/>
  <c r="D3556" i="2"/>
  <c r="E3556" i="2" s="1" a="1"/>
  <c r="E3556" i="2" s="1"/>
  <c r="D3557" i="2"/>
  <c r="E3557" i="2" s="1" a="1"/>
  <c r="E3557" i="2" s="1"/>
  <c r="D3558" i="2"/>
  <c r="E3558" i="2" s="1" a="1"/>
  <c r="E3558" i="2" s="1"/>
  <c r="D3559" i="2"/>
  <c r="E3559" i="2" s="1" a="1"/>
  <c r="E3559" i="2" s="1"/>
  <c r="D3560" i="2"/>
  <c r="E3560" i="2" s="1" a="1"/>
  <c r="E3560" i="2" s="1"/>
  <c r="D3561" i="2"/>
  <c r="E3561" i="2" s="1" a="1"/>
  <c r="E3561" i="2" s="1"/>
  <c r="D3562" i="2"/>
  <c r="E3562" i="2" s="1" a="1"/>
  <c r="E3562" i="2" s="1"/>
  <c r="D3563" i="2"/>
  <c r="E3563" i="2" s="1" a="1"/>
  <c r="E3563" i="2" s="1"/>
  <c r="D3564" i="2"/>
  <c r="E3564" i="2" s="1" a="1"/>
  <c r="E3564" i="2" s="1"/>
  <c r="D3565" i="2"/>
  <c r="E3565" i="2" s="1" a="1"/>
  <c r="E3565" i="2" s="1"/>
  <c r="D3566" i="2"/>
  <c r="E3566" i="2" s="1" a="1"/>
  <c r="E3566" i="2" s="1"/>
  <c r="D3567" i="2"/>
  <c r="E3567" i="2" s="1" a="1"/>
  <c r="E3567" i="2" s="1"/>
  <c r="D3568" i="2"/>
  <c r="E3568" i="2" s="1" a="1"/>
  <c r="E3568" i="2" s="1"/>
  <c r="D3569" i="2"/>
  <c r="E3569" i="2" s="1" a="1"/>
  <c r="E3569" i="2" s="1"/>
  <c r="D3570" i="2"/>
  <c r="E3570" i="2" s="1" a="1"/>
  <c r="E3570" i="2" s="1"/>
  <c r="D3571" i="2"/>
  <c r="E3571" i="2" s="1" a="1"/>
  <c r="E3571" i="2" s="1"/>
  <c r="D3572" i="2"/>
  <c r="E3572" i="2" s="1" a="1"/>
  <c r="E3572" i="2" s="1"/>
  <c r="D3573" i="2"/>
  <c r="E3573" i="2" s="1" a="1"/>
  <c r="E3573" i="2" s="1"/>
  <c r="D3574" i="2"/>
  <c r="E3574" i="2" s="1" a="1"/>
  <c r="E3574" i="2" s="1"/>
  <c r="D3575" i="2"/>
  <c r="E3575" i="2" s="1" a="1"/>
  <c r="E3575" i="2" s="1"/>
  <c r="D3576" i="2"/>
  <c r="E3576" i="2" s="1" a="1"/>
  <c r="E3576" i="2" s="1"/>
  <c r="D3577" i="2"/>
  <c r="E3577" i="2" s="1" a="1"/>
  <c r="E3577" i="2" s="1"/>
  <c r="D3578" i="2"/>
  <c r="E3578" i="2" s="1" a="1"/>
  <c r="E3578" i="2" s="1"/>
  <c r="D3579" i="2"/>
  <c r="E3579" i="2" s="1" a="1"/>
  <c r="E3579" i="2" s="1"/>
  <c r="D3580" i="2"/>
  <c r="E3580" i="2" s="1" a="1"/>
  <c r="E3580" i="2" s="1"/>
  <c r="D3581" i="2"/>
  <c r="E3581" i="2" s="1" a="1"/>
  <c r="E3581" i="2" s="1"/>
  <c r="D3582" i="2"/>
  <c r="E3582" i="2" s="1" a="1"/>
  <c r="E3582" i="2" s="1"/>
  <c r="D3583" i="2"/>
  <c r="E3583" i="2" s="1" a="1"/>
  <c r="E3583" i="2" s="1"/>
  <c r="D3584" i="2"/>
  <c r="E3584" i="2" s="1" a="1"/>
  <c r="E3584" i="2" s="1"/>
  <c r="D3585" i="2"/>
  <c r="E3585" i="2" s="1" a="1"/>
  <c r="E3585" i="2" s="1"/>
  <c r="D3586" i="2"/>
  <c r="E3586" i="2" s="1" a="1"/>
  <c r="E3586" i="2" s="1"/>
  <c r="D3587" i="2"/>
  <c r="E3587" i="2" s="1" a="1"/>
  <c r="E3587" i="2" s="1"/>
  <c r="D3588" i="2"/>
  <c r="E3588" i="2" s="1" a="1"/>
  <c r="E3588" i="2" s="1"/>
  <c r="D3589" i="2"/>
  <c r="E3589" i="2" s="1" a="1"/>
  <c r="E3589" i="2" s="1"/>
  <c r="D3590" i="2"/>
  <c r="E3590" i="2" s="1" a="1"/>
  <c r="E3590" i="2" s="1"/>
  <c r="D3591" i="2"/>
  <c r="E3591" i="2" s="1" a="1"/>
  <c r="E3591" i="2" s="1"/>
  <c r="D3592" i="2"/>
  <c r="E3592" i="2" s="1" a="1"/>
  <c r="E3592" i="2" s="1"/>
  <c r="D3593" i="2"/>
  <c r="E3593" i="2" s="1" a="1"/>
  <c r="E3593" i="2" s="1"/>
  <c r="D3594" i="2"/>
  <c r="E3594" i="2" s="1" a="1"/>
  <c r="E3594" i="2" s="1"/>
  <c r="D3595" i="2"/>
  <c r="E3595" i="2" s="1" a="1"/>
  <c r="E3595" i="2" s="1"/>
  <c r="D3596" i="2"/>
  <c r="E3596" i="2" s="1" a="1"/>
  <c r="E3596" i="2" s="1"/>
  <c r="D3597" i="2"/>
  <c r="E3597" i="2" s="1" a="1"/>
  <c r="E3597" i="2" s="1"/>
  <c r="D3598" i="2"/>
  <c r="E3598" i="2" s="1" a="1"/>
  <c r="E3598" i="2" s="1"/>
  <c r="D3599" i="2"/>
  <c r="E3599" i="2" s="1" a="1"/>
  <c r="E3599" i="2" s="1"/>
  <c r="D3600" i="2"/>
  <c r="E3600" i="2" s="1" a="1"/>
  <c r="E3600" i="2" s="1"/>
  <c r="D3601" i="2"/>
  <c r="E3601" i="2" s="1" a="1"/>
  <c r="E3601" i="2" s="1"/>
  <c r="D3602" i="2"/>
  <c r="E3602" i="2" s="1" a="1"/>
  <c r="E3602" i="2" s="1"/>
  <c r="D3603" i="2"/>
  <c r="E3603" i="2" s="1" a="1"/>
  <c r="E3603" i="2" s="1"/>
  <c r="D3604" i="2"/>
  <c r="E3604" i="2" s="1" a="1"/>
  <c r="E3604" i="2" s="1"/>
  <c r="D3605" i="2"/>
  <c r="E3605" i="2" s="1" a="1"/>
  <c r="E3605" i="2" s="1"/>
  <c r="D3606" i="2"/>
  <c r="E3606" i="2" s="1" a="1"/>
  <c r="E3606" i="2" s="1"/>
  <c r="D3607" i="2"/>
  <c r="E3607" i="2" s="1" a="1"/>
  <c r="E3607" i="2" s="1"/>
  <c r="D3608" i="2"/>
  <c r="E3608" i="2" s="1" a="1"/>
  <c r="E3608" i="2" s="1"/>
  <c r="D3609" i="2"/>
  <c r="E3609" i="2" s="1" a="1"/>
  <c r="E3609" i="2" s="1"/>
  <c r="D3610" i="2"/>
  <c r="E3610" i="2" s="1" a="1"/>
  <c r="E3610" i="2" s="1"/>
  <c r="D3611" i="2"/>
  <c r="E3611" i="2" s="1" a="1"/>
  <c r="E3611" i="2" s="1"/>
  <c r="D3612" i="2"/>
  <c r="E3612" i="2" s="1" a="1"/>
  <c r="E3612" i="2" s="1"/>
  <c r="D3613" i="2"/>
  <c r="E3613" i="2" s="1" a="1"/>
  <c r="E3613" i="2" s="1"/>
  <c r="D3614" i="2"/>
  <c r="E3614" i="2" s="1" a="1"/>
  <c r="E3614" i="2" s="1"/>
  <c r="D3615" i="2"/>
  <c r="E3615" i="2" s="1" a="1"/>
  <c r="E3615" i="2" s="1"/>
  <c r="D3616" i="2"/>
  <c r="E3616" i="2" s="1" a="1"/>
  <c r="E3616" i="2" s="1"/>
  <c r="D3617" i="2"/>
  <c r="E3617" i="2" s="1" a="1"/>
  <c r="E3617" i="2" s="1"/>
  <c r="D3618" i="2"/>
  <c r="E3618" i="2" s="1" a="1"/>
  <c r="E3618" i="2" s="1"/>
  <c r="D3619" i="2"/>
  <c r="E3619" i="2" s="1" a="1"/>
  <c r="E3619" i="2" s="1"/>
  <c r="D3620" i="2"/>
  <c r="E3620" i="2" s="1" a="1"/>
  <c r="E3620" i="2" s="1"/>
  <c r="D3621" i="2"/>
  <c r="E3621" i="2" s="1" a="1"/>
  <c r="E3621" i="2" s="1"/>
  <c r="D3622" i="2"/>
  <c r="E3622" i="2" s="1" a="1"/>
  <c r="E3622" i="2" s="1"/>
  <c r="D3623" i="2"/>
  <c r="E3623" i="2" s="1" a="1"/>
  <c r="E3623" i="2" s="1"/>
  <c r="D3624" i="2"/>
  <c r="E3624" i="2" s="1" a="1"/>
  <c r="E3624" i="2" s="1"/>
  <c r="D3625" i="2"/>
  <c r="E3625" i="2" s="1" a="1"/>
  <c r="E3625" i="2" s="1"/>
  <c r="D3626" i="2"/>
  <c r="E3626" i="2" s="1" a="1"/>
  <c r="E3626" i="2" s="1"/>
  <c r="D3627" i="2"/>
  <c r="E3627" i="2" s="1" a="1"/>
  <c r="E3627" i="2" s="1"/>
  <c r="D3628" i="2"/>
  <c r="E3628" i="2" s="1" a="1"/>
  <c r="E3628" i="2" s="1"/>
  <c r="D3629" i="2"/>
  <c r="E3629" i="2" s="1" a="1"/>
  <c r="E3629" i="2" s="1"/>
  <c r="D3630" i="2"/>
  <c r="E3630" i="2" s="1" a="1"/>
  <c r="E3630" i="2" s="1"/>
  <c r="D3631" i="2"/>
  <c r="E3631" i="2" s="1" a="1"/>
  <c r="E3631" i="2" s="1"/>
  <c r="D3632" i="2"/>
  <c r="E3632" i="2" s="1" a="1"/>
  <c r="E3632" i="2" s="1"/>
  <c r="D3633" i="2"/>
  <c r="E3633" i="2" s="1" a="1"/>
  <c r="E3633" i="2" s="1"/>
  <c r="D3634" i="2"/>
  <c r="E3634" i="2" s="1" a="1"/>
  <c r="E3634" i="2" s="1"/>
  <c r="D3635" i="2"/>
  <c r="E3635" i="2" s="1" a="1"/>
  <c r="E3635" i="2" s="1"/>
  <c r="D3636" i="2"/>
  <c r="E3636" i="2" s="1" a="1"/>
  <c r="E3636" i="2" s="1"/>
  <c r="D3637" i="2"/>
  <c r="E3637" i="2" s="1" a="1"/>
  <c r="E3637" i="2" s="1"/>
  <c r="D3638" i="2"/>
  <c r="E3638" i="2" s="1" a="1"/>
  <c r="E3638" i="2" s="1"/>
  <c r="D3639" i="2"/>
  <c r="E3639" i="2" s="1" a="1"/>
  <c r="E3639" i="2" s="1"/>
  <c r="D3640" i="2"/>
  <c r="E3640" i="2" s="1" a="1"/>
  <c r="E3640" i="2" s="1"/>
  <c r="D3641" i="2"/>
  <c r="E3641" i="2" s="1" a="1"/>
  <c r="E3641" i="2" s="1"/>
  <c r="D3642" i="2"/>
  <c r="E3642" i="2" s="1" a="1"/>
  <c r="E3642" i="2" s="1"/>
  <c r="D3643" i="2"/>
  <c r="E3643" i="2" s="1" a="1"/>
  <c r="E3643" i="2" s="1"/>
  <c r="D3644" i="2"/>
  <c r="E3644" i="2" s="1" a="1"/>
  <c r="E3644" i="2" s="1"/>
  <c r="D3645" i="2"/>
  <c r="E3645" i="2" s="1" a="1"/>
  <c r="E3645" i="2" s="1"/>
  <c r="D3646" i="2"/>
  <c r="E3646" i="2" s="1" a="1"/>
  <c r="E3646" i="2" s="1"/>
  <c r="D3647" i="2"/>
  <c r="E3647" i="2" s="1" a="1"/>
  <c r="E3647" i="2" s="1"/>
  <c r="D3648" i="2"/>
  <c r="E3648" i="2" s="1" a="1"/>
  <c r="E3648" i="2" s="1"/>
  <c r="D3649" i="2"/>
  <c r="E3649" i="2" s="1" a="1"/>
  <c r="E3649" i="2" s="1"/>
  <c r="D3650" i="2"/>
  <c r="E3650" i="2" s="1" a="1"/>
  <c r="E3650" i="2" s="1"/>
  <c r="D3651" i="2"/>
  <c r="E3651" i="2" s="1" a="1"/>
  <c r="E3651" i="2" s="1"/>
  <c r="D3652" i="2"/>
  <c r="E3652" i="2" s="1" a="1"/>
  <c r="E3652" i="2" s="1"/>
  <c r="D3653" i="2"/>
  <c r="E3653" i="2" s="1" a="1"/>
  <c r="E3653" i="2" s="1"/>
  <c r="D3654" i="2"/>
  <c r="E3654" i="2" s="1" a="1"/>
  <c r="E3654" i="2" s="1"/>
  <c r="D3655" i="2"/>
  <c r="E3655" i="2" s="1" a="1"/>
  <c r="E3655" i="2" s="1"/>
  <c r="D3656" i="2"/>
  <c r="E3656" i="2" s="1" a="1"/>
  <c r="E3656" i="2" s="1"/>
  <c r="D3657" i="2"/>
  <c r="E3657" i="2" s="1" a="1"/>
  <c r="E3657" i="2" s="1"/>
  <c r="D3658" i="2"/>
  <c r="E3658" i="2" s="1" a="1"/>
  <c r="E3658" i="2" s="1"/>
  <c r="D3659" i="2"/>
  <c r="E3659" i="2" s="1" a="1"/>
  <c r="E3659" i="2" s="1"/>
  <c r="D3660" i="2"/>
  <c r="E3660" i="2" s="1" a="1"/>
  <c r="E3660" i="2" s="1"/>
  <c r="D3661" i="2"/>
  <c r="E3661" i="2" s="1" a="1"/>
  <c r="E3661" i="2" s="1"/>
  <c r="D3662" i="2"/>
  <c r="E3662" i="2" s="1" a="1"/>
  <c r="E3662" i="2" s="1"/>
  <c r="D3663" i="2"/>
  <c r="E3663" i="2" s="1" a="1"/>
  <c r="E3663" i="2" s="1"/>
  <c r="D3664" i="2"/>
  <c r="E3664" i="2" s="1" a="1"/>
  <c r="E3664" i="2" s="1"/>
  <c r="D3665" i="2"/>
  <c r="E3665" i="2" s="1" a="1"/>
  <c r="E3665" i="2" s="1"/>
  <c r="D3666" i="2"/>
  <c r="E3666" i="2" s="1" a="1"/>
  <c r="E3666" i="2" s="1"/>
  <c r="D3667" i="2"/>
  <c r="E3667" i="2" s="1" a="1"/>
  <c r="E3667" i="2" s="1"/>
  <c r="D3668" i="2"/>
  <c r="E3668" i="2" s="1" a="1"/>
  <c r="E3668" i="2" s="1"/>
  <c r="D3669" i="2"/>
  <c r="E3669" i="2" s="1" a="1"/>
  <c r="E3669" i="2" s="1"/>
  <c r="D3670" i="2"/>
  <c r="E3670" i="2" s="1" a="1"/>
  <c r="E3670" i="2" s="1"/>
  <c r="D3671" i="2"/>
  <c r="E3671" i="2" s="1" a="1"/>
  <c r="E3671" i="2" s="1"/>
  <c r="D3672" i="2"/>
  <c r="E3672" i="2" s="1" a="1"/>
  <c r="E3672" i="2" s="1"/>
  <c r="D3673" i="2"/>
  <c r="E3673" i="2" s="1" a="1"/>
  <c r="E3673" i="2" s="1"/>
  <c r="D3674" i="2"/>
  <c r="E3674" i="2" s="1" a="1"/>
  <c r="E3674" i="2" s="1"/>
  <c r="D3675" i="2"/>
  <c r="E3675" i="2" s="1" a="1"/>
  <c r="E3675" i="2" s="1"/>
  <c r="D3676" i="2"/>
  <c r="E3676" i="2" s="1" a="1"/>
  <c r="E3676" i="2" s="1"/>
  <c r="D3677" i="2"/>
  <c r="E3677" i="2" s="1" a="1"/>
  <c r="E3677" i="2" s="1"/>
  <c r="D3678" i="2"/>
  <c r="E3678" i="2" s="1" a="1"/>
  <c r="E3678" i="2" s="1"/>
  <c r="D3679" i="2"/>
  <c r="E3679" i="2" s="1" a="1"/>
  <c r="E3679" i="2" s="1"/>
  <c r="D3680" i="2"/>
  <c r="E3680" i="2" s="1" a="1"/>
  <c r="E3680" i="2" s="1"/>
  <c r="D3681" i="2"/>
  <c r="E3681" i="2" s="1" a="1"/>
  <c r="E3681" i="2" s="1"/>
  <c r="D3682" i="2"/>
  <c r="E3682" i="2" s="1" a="1"/>
  <c r="E3682" i="2" s="1"/>
  <c r="D3683" i="2"/>
  <c r="E3683" i="2" s="1" a="1"/>
  <c r="E3683" i="2" s="1"/>
  <c r="D3684" i="2"/>
  <c r="E3684" i="2" s="1" a="1"/>
  <c r="E3684" i="2" s="1"/>
  <c r="D3685" i="2"/>
  <c r="E3685" i="2" s="1" a="1"/>
  <c r="E3685" i="2" s="1"/>
  <c r="D3686" i="2"/>
  <c r="E3686" i="2" s="1" a="1"/>
  <c r="E3686" i="2" s="1"/>
  <c r="D3687" i="2"/>
  <c r="E3687" i="2" s="1" a="1"/>
  <c r="E3687" i="2" s="1"/>
  <c r="D3688" i="2"/>
  <c r="E3688" i="2" s="1" a="1"/>
  <c r="E3688" i="2" s="1"/>
  <c r="D3689" i="2"/>
  <c r="E3689" i="2" s="1" a="1"/>
  <c r="E3689" i="2" s="1"/>
  <c r="D3690" i="2"/>
  <c r="E3690" i="2" s="1" a="1"/>
  <c r="E3690" i="2" s="1"/>
  <c r="D3691" i="2"/>
  <c r="E3691" i="2" s="1" a="1"/>
  <c r="E3691" i="2" s="1"/>
  <c r="D3692" i="2"/>
  <c r="E3692" i="2" s="1" a="1"/>
  <c r="E3692" i="2" s="1"/>
  <c r="D3693" i="2"/>
  <c r="E3693" i="2" s="1" a="1"/>
  <c r="E3693" i="2" s="1"/>
  <c r="D3694" i="2"/>
  <c r="E3694" i="2" s="1" a="1"/>
  <c r="E3694" i="2" s="1"/>
  <c r="D3695" i="2"/>
  <c r="E3695" i="2" s="1" a="1"/>
  <c r="E3695" i="2" s="1"/>
  <c r="D3696" i="2"/>
  <c r="E3696" i="2" s="1" a="1"/>
  <c r="E3696" i="2" s="1"/>
  <c r="D3697" i="2"/>
  <c r="E3697" i="2" s="1" a="1"/>
  <c r="E3697" i="2" s="1"/>
  <c r="D3698" i="2"/>
  <c r="E3698" i="2" s="1" a="1"/>
  <c r="E3698" i="2" s="1"/>
  <c r="D3699" i="2"/>
  <c r="E3699" i="2" s="1" a="1"/>
  <c r="E3699" i="2" s="1"/>
  <c r="D3700" i="2"/>
  <c r="E3700" i="2" s="1" a="1"/>
  <c r="E3700" i="2" s="1"/>
  <c r="D3701" i="2"/>
  <c r="E3701" i="2" s="1" a="1"/>
  <c r="E3701" i="2" s="1"/>
  <c r="D3702" i="2"/>
  <c r="E3702" i="2" s="1" a="1"/>
  <c r="E3702" i="2" s="1"/>
  <c r="D3703" i="2"/>
  <c r="E3703" i="2" s="1" a="1"/>
  <c r="E3703" i="2" s="1"/>
  <c r="D3704" i="2"/>
  <c r="E3704" i="2" s="1" a="1"/>
  <c r="E3704" i="2" s="1"/>
  <c r="D3705" i="2"/>
  <c r="E3705" i="2" s="1" a="1"/>
  <c r="E3705" i="2" s="1"/>
  <c r="D3706" i="2"/>
  <c r="E3706" i="2" s="1" a="1"/>
  <c r="E3706" i="2" s="1"/>
  <c r="D3707" i="2"/>
  <c r="E3707" i="2" s="1" a="1"/>
  <c r="E3707" i="2" s="1"/>
  <c r="D3708" i="2"/>
  <c r="E3708" i="2" s="1" a="1"/>
  <c r="E3708" i="2" s="1"/>
  <c r="D3709" i="2"/>
  <c r="E3709" i="2" s="1" a="1"/>
  <c r="E3709" i="2" s="1"/>
  <c r="D3710" i="2"/>
  <c r="E3710" i="2" s="1" a="1"/>
  <c r="E3710" i="2" s="1"/>
  <c r="D3711" i="2"/>
  <c r="E3711" i="2" s="1" a="1"/>
  <c r="E3711" i="2" s="1"/>
  <c r="D3712" i="2"/>
  <c r="E3712" i="2" s="1" a="1"/>
  <c r="E3712" i="2" s="1"/>
  <c r="D3713" i="2"/>
  <c r="E3713" i="2" s="1" a="1"/>
  <c r="E3713" i="2" s="1"/>
  <c r="D3714" i="2"/>
  <c r="E3714" i="2" s="1" a="1"/>
  <c r="E3714" i="2" s="1"/>
  <c r="D3715" i="2"/>
  <c r="E3715" i="2" s="1" a="1"/>
  <c r="E3715" i="2" s="1"/>
  <c r="D3716" i="2"/>
  <c r="E3716" i="2" s="1" a="1"/>
  <c r="E3716" i="2" s="1"/>
  <c r="D3717" i="2"/>
  <c r="E3717" i="2" s="1" a="1"/>
  <c r="E3717" i="2" s="1"/>
  <c r="D3718" i="2"/>
  <c r="E3718" i="2" s="1" a="1"/>
  <c r="E3718" i="2" s="1"/>
  <c r="D3719" i="2"/>
  <c r="E3719" i="2" s="1" a="1"/>
  <c r="E3719" i="2" s="1"/>
  <c r="D3720" i="2"/>
  <c r="E3720" i="2" s="1" a="1"/>
  <c r="E3720" i="2" s="1"/>
  <c r="D3721" i="2"/>
  <c r="E3721" i="2" s="1" a="1"/>
  <c r="E3721" i="2" s="1"/>
  <c r="D3722" i="2"/>
  <c r="E3722" i="2" s="1" a="1"/>
  <c r="E3722" i="2" s="1"/>
  <c r="D3723" i="2"/>
  <c r="E3723" i="2" s="1" a="1"/>
  <c r="E3723" i="2" s="1"/>
  <c r="D3724" i="2"/>
  <c r="E3724" i="2" s="1" a="1"/>
  <c r="E3724" i="2" s="1"/>
  <c r="D3725" i="2"/>
  <c r="E3725" i="2" s="1" a="1"/>
  <c r="E3725" i="2" s="1"/>
  <c r="D3726" i="2"/>
  <c r="E3726" i="2" s="1" a="1"/>
  <c r="E3726" i="2" s="1"/>
  <c r="D3727" i="2"/>
  <c r="E3727" i="2" s="1" a="1"/>
  <c r="E3727" i="2" s="1"/>
  <c r="D3728" i="2"/>
  <c r="E3728" i="2" s="1" a="1"/>
  <c r="E3728" i="2" s="1"/>
  <c r="D3729" i="2"/>
  <c r="E3729" i="2" s="1" a="1"/>
  <c r="E3729" i="2" s="1"/>
  <c r="D3730" i="2"/>
  <c r="E3730" i="2" s="1" a="1"/>
  <c r="E3730" i="2" s="1"/>
  <c r="D3731" i="2"/>
  <c r="E3731" i="2" s="1" a="1"/>
  <c r="E3731" i="2" s="1"/>
  <c r="D3732" i="2"/>
  <c r="E3732" i="2" s="1" a="1"/>
  <c r="E3732" i="2" s="1"/>
  <c r="D3733" i="2"/>
  <c r="E3733" i="2" s="1" a="1"/>
  <c r="E3733" i="2" s="1"/>
  <c r="D3734" i="2"/>
  <c r="E3734" i="2" s="1" a="1"/>
  <c r="E3734" i="2" s="1"/>
  <c r="D3735" i="2"/>
  <c r="E3735" i="2" s="1" a="1"/>
  <c r="E3735" i="2" s="1"/>
  <c r="D3736" i="2"/>
  <c r="E3736" i="2" s="1" a="1"/>
  <c r="E3736" i="2" s="1"/>
  <c r="D3737" i="2"/>
  <c r="E3737" i="2" s="1" a="1"/>
  <c r="E3737" i="2" s="1"/>
  <c r="D3738" i="2"/>
  <c r="E3738" i="2" s="1" a="1"/>
  <c r="E3738" i="2" s="1"/>
  <c r="D3739" i="2"/>
  <c r="E3739" i="2" s="1" a="1"/>
  <c r="E3739" i="2" s="1"/>
  <c r="D3740" i="2"/>
  <c r="E3740" i="2" s="1" a="1"/>
  <c r="E3740" i="2" s="1"/>
  <c r="D3741" i="2"/>
  <c r="E3741" i="2" s="1" a="1"/>
  <c r="E3741" i="2" s="1"/>
  <c r="D3742" i="2"/>
  <c r="E3742" i="2" s="1" a="1"/>
  <c r="E3742" i="2" s="1"/>
  <c r="D3743" i="2"/>
  <c r="E3743" i="2" s="1" a="1"/>
  <c r="E3743" i="2" s="1"/>
  <c r="D3744" i="2"/>
  <c r="E3744" i="2" s="1" a="1"/>
  <c r="E3744" i="2" s="1"/>
  <c r="D3745" i="2"/>
  <c r="E3745" i="2" s="1" a="1"/>
  <c r="E3745" i="2" s="1"/>
  <c r="D3746" i="2"/>
  <c r="E3746" i="2" s="1" a="1"/>
  <c r="E3746" i="2" s="1"/>
  <c r="D3747" i="2"/>
  <c r="E3747" i="2" s="1" a="1"/>
  <c r="E3747" i="2" s="1"/>
  <c r="D3748" i="2"/>
  <c r="E3748" i="2" s="1" a="1"/>
  <c r="E3748" i="2" s="1"/>
  <c r="D3749" i="2"/>
  <c r="E3749" i="2" s="1" a="1"/>
  <c r="E3749" i="2" s="1"/>
  <c r="D3750" i="2"/>
  <c r="E3750" i="2" s="1" a="1"/>
  <c r="E3750" i="2" s="1"/>
  <c r="D3751" i="2"/>
  <c r="E3751" i="2" s="1" a="1"/>
  <c r="E3751" i="2" s="1"/>
  <c r="D3752" i="2"/>
  <c r="E3752" i="2" s="1" a="1"/>
  <c r="E3752" i="2" s="1"/>
  <c r="D3753" i="2"/>
  <c r="E3753" i="2" s="1" a="1"/>
  <c r="E3753" i="2" s="1"/>
  <c r="D3754" i="2"/>
  <c r="E3754" i="2" s="1" a="1"/>
  <c r="E3754" i="2" s="1"/>
  <c r="D3755" i="2"/>
  <c r="E3755" i="2" s="1" a="1"/>
  <c r="E3755" i="2" s="1"/>
  <c r="D3756" i="2"/>
  <c r="E3756" i="2" s="1" a="1"/>
  <c r="E3756" i="2" s="1"/>
  <c r="D3757" i="2"/>
  <c r="E3757" i="2" s="1" a="1"/>
  <c r="E3757" i="2" s="1"/>
  <c r="D3758" i="2"/>
  <c r="E3758" i="2" s="1" a="1"/>
  <c r="E3758" i="2" s="1"/>
  <c r="D3759" i="2"/>
  <c r="E3759" i="2" s="1" a="1"/>
  <c r="E3759" i="2" s="1"/>
  <c r="D3760" i="2"/>
  <c r="E3760" i="2" s="1" a="1"/>
  <c r="E3760" i="2" s="1"/>
  <c r="D3761" i="2"/>
  <c r="E3761" i="2" s="1" a="1"/>
  <c r="E3761" i="2" s="1"/>
  <c r="D3762" i="2"/>
  <c r="E3762" i="2" s="1" a="1"/>
  <c r="E3762" i="2" s="1"/>
  <c r="D3763" i="2"/>
  <c r="E3763" i="2" s="1" a="1"/>
  <c r="E3763" i="2" s="1"/>
  <c r="D3764" i="2"/>
  <c r="E3764" i="2" s="1" a="1"/>
  <c r="E3764" i="2" s="1"/>
  <c r="D3765" i="2"/>
  <c r="E3765" i="2" s="1" a="1"/>
  <c r="E3765" i="2" s="1"/>
  <c r="D3766" i="2"/>
  <c r="E3766" i="2" s="1" a="1"/>
  <c r="E3766" i="2" s="1"/>
  <c r="D3767" i="2"/>
  <c r="E3767" i="2" s="1" a="1"/>
  <c r="E3767" i="2" s="1"/>
  <c r="D3768" i="2"/>
  <c r="E3768" i="2" s="1" a="1"/>
  <c r="E3768" i="2" s="1"/>
  <c r="D3769" i="2"/>
  <c r="E3769" i="2" s="1" a="1"/>
  <c r="E3769" i="2" s="1"/>
  <c r="D3770" i="2"/>
  <c r="E3770" i="2" s="1" a="1"/>
  <c r="E3770" i="2" s="1"/>
  <c r="D3771" i="2"/>
  <c r="E3771" i="2" s="1" a="1"/>
  <c r="E3771" i="2" s="1"/>
  <c r="D3772" i="2"/>
  <c r="E3772" i="2" s="1" a="1"/>
  <c r="E3772" i="2" s="1"/>
  <c r="D3773" i="2"/>
  <c r="E3773" i="2" s="1" a="1"/>
  <c r="E3773" i="2" s="1"/>
  <c r="D3774" i="2"/>
  <c r="E3774" i="2" s="1" a="1"/>
  <c r="E3774" i="2" s="1"/>
  <c r="D3775" i="2"/>
  <c r="E3775" i="2" s="1" a="1"/>
  <c r="E3775" i="2" s="1"/>
  <c r="D3776" i="2"/>
  <c r="E3776" i="2" s="1" a="1"/>
  <c r="E3776" i="2" s="1"/>
  <c r="D3777" i="2"/>
  <c r="E3777" i="2" s="1" a="1"/>
  <c r="E3777" i="2" s="1"/>
  <c r="D3778" i="2"/>
  <c r="E3778" i="2" s="1" a="1"/>
  <c r="E3778" i="2" s="1"/>
  <c r="D3779" i="2"/>
  <c r="E3779" i="2" s="1" a="1"/>
  <c r="E3779" i="2" s="1"/>
  <c r="D3780" i="2"/>
  <c r="E3780" i="2" s="1" a="1"/>
  <c r="E3780" i="2" s="1"/>
  <c r="D3781" i="2"/>
  <c r="E3781" i="2" s="1" a="1"/>
  <c r="E3781" i="2" s="1"/>
  <c r="D3782" i="2"/>
  <c r="E3782" i="2" s="1" a="1"/>
  <c r="E3782" i="2" s="1"/>
  <c r="D3783" i="2"/>
  <c r="E3783" i="2" s="1" a="1"/>
  <c r="E3783" i="2" s="1"/>
  <c r="D3784" i="2"/>
  <c r="E3784" i="2" s="1" a="1"/>
  <c r="E3784" i="2" s="1"/>
  <c r="D3785" i="2"/>
  <c r="E3785" i="2" s="1" a="1"/>
  <c r="E3785" i="2" s="1"/>
  <c r="D3786" i="2"/>
  <c r="E3786" i="2" s="1" a="1"/>
  <c r="E3786" i="2" s="1"/>
  <c r="D3787" i="2"/>
  <c r="E3787" i="2" s="1" a="1"/>
  <c r="E3787" i="2" s="1"/>
  <c r="D3788" i="2"/>
  <c r="E3788" i="2" s="1" a="1"/>
  <c r="E3788" i="2" s="1"/>
  <c r="D3789" i="2"/>
  <c r="E3789" i="2" s="1" a="1"/>
  <c r="E3789" i="2" s="1"/>
  <c r="D3790" i="2"/>
  <c r="E3790" i="2" s="1" a="1"/>
  <c r="E3790" i="2" s="1"/>
  <c r="D3791" i="2"/>
  <c r="E3791" i="2" s="1" a="1"/>
  <c r="E3791" i="2" s="1"/>
  <c r="D3792" i="2"/>
  <c r="E3792" i="2" s="1" a="1"/>
  <c r="E3792" i="2" s="1"/>
  <c r="D3793" i="2"/>
  <c r="E3793" i="2" s="1" a="1"/>
  <c r="E3793" i="2" s="1"/>
  <c r="D3794" i="2"/>
  <c r="E3794" i="2" s="1" a="1"/>
  <c r="E3794" i="2" s="1"/>
  <c r="D3795" i="2"/>
  <c r="E3795" i="2" s="1" a="1"/>
  <c r="E3795" i="2" s="1"/>
  <c r="D3796" i="2"/>
  <c r="E3796" i="2" s="1" a="1"/>
  <c r="E3796" i="2" s="1"/>
  <c r="D3797" i="2"/>
  <c r="E3797" i="2" s="1" a="1"/>
  <c r="E3797" i="2" s="1"/>
  <c r="D3798" i="2"/>
  <c r="E3798" i="2" s="1" a="1"/>
  <c r="E3798" i="2" s="1"/>
  <c r="D3799" i="2"/>
  <c r="E3799" i="2" s="1" a="1"/>
  <c r="E3799" i="2" s="1"/>
  <c r="D3800" i="2"/>
  <c r="E3800" i="2" s="1" a="1"/>
  <c r="E3800" i="2" s="1"/>
  <c r="D3801" i="2"/>
  <c r="E3801" i="2" s="1" a="1"/>
  <c r="E3801" i="2" s="1"/>
  <c r="D3802" i="2"/>
  <c r="E3802" i="2" s="1" a="1"/>
  <c r="E3802" i="2" s="1"/>
  <c r="D3803" i="2"/>
  <c r="E3803" i="2" s="1" a="1"/>
  <c r="E3803" i="2" s="1"/>
  <c r="D3804" i="2"/>
  <c r="E3804" i="2" s="1" a="1"/>
  <c r="E3804" i="2" s="1"/>
  <c r="D3805" i="2"/>
  <c r="E3805" i="2" s="1" a="1"/>
  <c r="E3805" i="2" s="1"/>
  <c r="D3806" i="2"/>
  <c r="E3806" i="2" s="1" a="1"/>
  <c r="E3806" i="2" s="1"/>
  <c r="D3807" i="2"/>
  <c r="E3807" i="2" s="1" a="1"/>
  <c r="E3807" i="2" s="1"/>
  <c r="D3808" i="2"/>
  <c r="E3808" i="2" s="1" a="1"/>
  <c r="E3808" i="2" s="1"/>
  <c r="D3809" i="2"/>
  <c r="E3809" i="2" s="1" a="1"/>
  <c r="E3809" i="2" s="1"/>
  <c r="D3810" i="2"/>
  <c r="E3810" i="2" s="1" a="1"/>
  <c r="E3810" i="2" s="1"/>
  <c r="D3811" i="2"/>
  <c r="E3811" i="2" s="1" a="1"/>
  <c r="E3811" i="2" s="1"/>
  <c r="D3812" i="2"/>
  <c r="E3812" i="2" s="1" a="1"/>
  <c r="E3812" i="2" s="1"/>
  <c r="D3813" i="2"/>
  <c r="E3813" i="2" s="1" a="1"/>
  <c r="E3813" i="2" s="1"/>
  <c r="D3814" i="2"/>
  <c r="E3814" i="2" s="1" a="1"/>
  <c r="E3814" i="2" s="1"/>
  <c r="D3815" i="2"/>
  <c r="E3815" i="2" s="1" a="1"/>
  <c r="E3815" i="2" s="1"/>
  <c r="D3816" i="2"/>
  <c r="E3816" i="2" s="1" a="1"/>
  <c r="E3816" i="2" s="1"/>
  <c r="D3817" i="2"/>
  <c r="E3817" i="2" s="1" a="1"/>
  <c r="E3817" i="2" s="1"/>
  <c r="D3818" i="2"/>
  <c r="E3818" i="2" s="1" a="1"/>
  <c r="E3818" i="2" s="1"/>
  <c r="D3819" i="2"/>
  <c r="E3819" i="2" s="1" a="1"/>
  <c r="E3819" i="2" s="1"/>
  <c r="D3820" i="2"/>
  <c r="E3820" i="2" s="1" a="1"/>
  <c r="E3820" i="2" s="1"/>
  <c r="D3821" i="2"/>
  <c r="E3821" i="2" s="1" a="1"/>
  <c r="E3821" i="2" s="1"/>
  <c r="D3822" i="2"/>
  <c r="E3822" i="2" s="1" a="1"/>
  <c r="E3822" i="2" s="1"/>
  <c r="D3823" i="2"/>
  <c r="E3823" i="2" s="1" a="1"/>
  <c r="E3823" i="2" s="1"/>
  <c r="D3824" i="2"/>
  <c r="E3824" i="2" s="1" a="1"/>
  <c r="E3824" i="2" s="1"/>
  <c r="D3825" i="2"/>
  <c r="E3825" i="2" s="1" a="1"/>
  <c r="E3825" i="2" s="1"/>
  <c r="D3826" i="2"/>
  <c r="E3826" i="2" s="1" a="1"/>
  <c r="E3826" i="2" s="1"/>
  <c r="D3827" i="2"/>
  <c r="E3827" i="2" s="1" a="1"/>
  <c r="E3827" i="2" s="1"/>
  <c r="D3828" i="2"/>
  <c r="E3828" i="2" s="1" a="1"/>
  <c r="E3828" i="2" s="1"/>
  <c r="D3829" i="2"/>
  <c r="E3829" i="2" s="1" a="1"/>
  <c r="E3829" i="2" s="1"/>
  <c r="D3830" i="2"/>
  <c r="E3830" i="2" s="1" a="1"/>
  <c r="E3830" i="2" s="1"/>
  <c r="D3831" i="2"/>
  <c r="E3831" i="2" s="1" a="1"/>
  <c r="E3831" i="2" s="1"/>
  <c r="D3832" i="2"/>
  <c r="E3832" i="2" s="1" a="1"/>
  <c r="E3832" i="2" s="1"/>
  <c r="D3833" i="2"/>
  <c r="E3833" i="2" s="1" a="1"/>
  <c r="E3833" i="2" s="1"/>
  <c r="D3834" i="2"/>
  <c r="E3834" i="2" s="1" a="1"/>
  <c r="E3834" i="2" s="1"/>
  <c r="D3835" i="2"/>
  <c r="E3835" i="2" s="1" a="1"/>
  <c r="E3835" i="2" s="1"/>
  <c r="D3836" i="2"/>
  <c r="E3836" i="2" s="1" a="1"/>
  <c r="E3836" i="2" s="1"/>
  <c r="D3837" i="2"/>
  <c r="E3837" i="2" s="1" a="1"/>
  <c r="E3837" i="2" s="1"/>
  <c r="D3838" i="2"/>
  <c r="E3838" i="2" s="1" a="1"/>
  <c r="E3838" i="2" s="1"/>
  <c r="D3839" i="2"/>
  <c r="E3839" i="2" s="1" a="1"/>
  <c r="E3839" i="2" s="1"/>
  <c r="D3840" i="2"/>
  <c r="E3840" i="2" s="1" a="1"/>
  <c r="E3840" i="2" s="1"/>
  <c r="D3841" i="2"/>
  <c r="E3841" i="2" s="1" a="1"/>
  <c r="E3841" i="2" s="1"/>
  <c r="D3842" i="2"/>
  <c r="E3842" i="2" s="1" a="1"/>
  <c r="E3842" i="2" s="1"/>
  <c r="D3843" i="2"/>
  <c r="E3843" i="2" s="1" a="1"/>
  <c r="E3843" i="2" s="1"/>
  <c r="D3844" i="2"/>
  <c r="E3844" i="2" s="1" a="1"/>
  <c r="E3844" i="2" s="1"/>
  <c r="D3845" i="2"/>
  <c r="E3845" i="2" s="1" a="1"/>
  <c r="E3845" i="2" s="1"/>
  <c r="D3846" i="2"/>
  <c r="E3846" i="2" s="1" a="1"/>
  <c r="E3846" i="2" s="1"/>
  <c r="D3847" i="2"/>
  <c r="E3847" i="2" s="1" a="1"/>
  <c r="E3847" i="2" s="1"/>
  <c r="D3848" i="2"/>
  <c r="E3848" i="2" s="1" a="1"/>
  <c r="E3848" i="2" s="1"/>
  <c r="D3849" i="2"/>
  <c r="E3849" i="2" s="1" a="1"/>
  <c r="E3849" i="2" s="1"/>
  <c r="D3850" i="2"/>
  <c r="E3850" i="2" s="1" a="1"/>
  <c r="E3850" i="2" s="1"/>
  <c r="D3851" i="2"/>
  <c r="E3851" i="2" s="1" a="1"/>
  <c r="E3851" i="2" s="1"/>
  <c r="D3852" i="2"/>
  <c r="E3852" i="2" s="1" a="1"/>
  <c r="E3852" i="2" s="1"/>
  <c r="D3853" i="2"/>
  <c r="E3853" i="2" s="1" a="1"/>
  <c r="E3853" i="2" s="1"/>
  <c r="D3854" i="2"/>
  <c r="E3854" i="2" s="1" a="1"/>
  <c r="E3854" i="2" s="1"/>
  <c r="D3855" i="2"/>
  <c r="E3855" i="2" s="1" a="1"/>
  <c r="E3855" i="2" s="1"/>
  <c r="D3856" i="2"/>
  <c r="E3856" i="2" s="1" a="1"/>
  <c r="E3856" i="2" s="1"/>
  <c r="D3857" i="2"/>
  <c r="E3857" i="2" s="1" a="1"/>
  <c r="E3857" i="2" s="1"/>
  <c r="D3858" i="2"/>
  <c r="E3858" i="2" s="1" a="1"/>
  <c r="E3858" i="2" s="1"/>
  <c r="D3859" i="2"/>
  <c r="E3859" i="2" s="1" a="1"/>
  <c r="E3859" i="2" s="1"/>
  <c r="D3860" i="2"/>
  <c r="E3860" i="2" s="1" a="1"/>
  <c r="E3860" i="2" s="1"/>
  <c r="D3861" i="2"/>
  <c r="E3861" i="2" s="1" a="1"/>
  <c r="E3861" i="2" s="1"/>
  <c r="D3862" i="2"/>
  <c r="E3862" i="2" s="1" a="1"/>
  <c r="E3862" i="2" s="1"/>
  <c r="D3863" i="2"/>
  <c r="E3863" i="2" s="1" a="1"/>
  <c r="E3863" i="2" s="1"/>
  <c r="D3864" i="2"/>
  <c r="E3864" i="2" s="1" a="1"/>
  <c r="E3864" i="2" s="1"/>
  <c r="D3865" i="2"/>
  <c r="E3865" i="2" s="1" a="1"/>
  <c r="E3865" i="2" s="1"/>
  <c r="D3866" i="2"/>
  <c r="E3866" i="2" s="1" a="1"/>
  <c r="E3866" i="2" s="1"/>
  <c r="D3867" i="2"/>
  <c r="E3867" i="2" s="1" a="1"/>
  <c r="E3867" i="2" s="1"/>
  <c r="D3868" i="2"/>
  <c r="E3868" i="2" s="1" a="1"/>
  <c r="E3868" i="2" s="1"/>
  <c r="D3869" i="2"/>
  <c r="E3869" i="2" s="1" a="1"/>
  <c r="E3869" i="2" s="1"/>
  <c r="D3870" i="2"/>
  <c r="E3870" i="2" s="1" a="1"/>
  <c r="E3870" i="2" s="1"/>
  <c r="D3871" i="2"/>
  <c r="E3871" i="2" s="1" a="1"/>
  <c r="E3871" i="2" s="1"/>
  <c r="D3872" i="2"/>
  <c r="E3872" i="2" s="1" a="1"/>
  <c r="E3872" i="2" s="1"/>
  <c r="D3873" i="2"/>
  <c r="E3873" i="2" s="1" a="1"/>
  <c r="E3873" i="2" s="1"/>
  <c r="D3874" i="2"/>
  <c r="E3874" i="2" s="1" a="1"/>
  <c r="E3874" i="2" s="1"/>
  <c r="D3875" i="2"/>
  <c r="E3875" i="2" s="1" a="1"/>
  <c r="E3875" i="2" s="1"/>
  <c r="D3876" i="2"/>
  <c r="E3876" i="2" s="1" a="1"/>
  <c r="E3876" i="2" s="1"/>
  <c r="D3877" i="2"/>
  <c r="E3877" i="2" s="1" a="1"/>
  <c r="E3877" i="2" s="1"/>
  <c r="D3878" i="2"/>
  <c r="E3878" i="2" s="1" a="1"/>
  <c r="E3878" i="2" s="1"/>
  <c r="D3879" i="2"/>
  <c r="E3879" i="2" s="1" a="1"/>
  <c r="E3879" i="2" s="1"/>
  <c r="D3880" i="2"/>
  <c r="E3880" i="2" s="1" a="1"/>
  <c r="E3880" i="2" s="1"/>
  <c r="D3881" i="2"/>
  <c r="E3881" i="2" s="1" a="1"/>
  <c r="E3881" i="2" s="1"/>
  <c r="D3882" i="2"/>
  <c r="E3882" i="2" s="1" a="1"/>
  <c r="E3882" i="2" s="1"/>
  <c r="D3883" i="2"/>
  <c r="E3883" i="2" s="1" a="1"/>
  <c r="E3883" i="2" s="1"/>
  <c r="D3884" i="2"/>
  <c r="E3884" i="2" s="1" a="1"/>
  <c r="E3884" i="2" s="1"/>
  <c r="D3885" i="2"/>
  <c r="E3885" i="2" s="1" a="1"/>
  <c r="E3885" i="2" s="1"/>
  <c r="D3886" i="2"/>
  <c r="E3886" i="2" s="1" a="1"/>
  <c r="E3886" i="2" s="1"/>
  <c r="D3887" i="2"/>
  <c r="E3887" i="2" s="1" a="1"/>
  <c r="E3887" i="2" s="1"/>
  <c r="D3888" i="2"/>
  <c r="E3888" i="2" s="1" a="1"/>
  <c r="E3888" i="2" s="1"/>
  <c r="D3889" i="2"/>
  <c r="E3889" i="2" s="1" a="1"/>
  <c r="E3889" i="2" s="1"/>
  <c r="D3890" i="2"/>
  <c r="E3890" i="2" s="1" a="1"/>
  <c r="E3890" i="2" s="1"/>
  <c r="D3891" i="2"/>
  <c r="E3891" i="2" s="1" a="1"/>
  <c r="E3891" i="2" s="1"/>
  <c r="D3892" i="2"/>
  <c r="E3892" i="2" s="1" a="1"/>
  <c r="E3892" i="2" s="1"/>
  <c r="D3893" i="2"/>
  <c r="E3893" i="2" s="1" a="1"/>
  <c r="E3893" i="2" s="1"/>
  <c r="D3894" i="2"/>
  <c r="E3894" i="2" s="1" a="1"/>
  <c r="E3894" i="2" s="1"/>
  <c r="D3895" i="2"/>
  <c r="E3895" i="2" s="1" a="1"/>
  <c r="E3895" i="2" s="1"/>
  <c r="D3896" i="2"/>
  <c r="E3896" i="2" s="1" a="1"/>
  <c r="E3896" i="2" s="1"/>
  <c r="D3897" i="2"/>
  <c r="E3897" i="2" s="1" a="1"/>
  <c r="E3897" i="2" s="1"/>
  <c r="D3898" i="2"/>
  <c r="E3898" i="2" s="1" a="1"/>
  <c r="E3898" i="2" s="1"/>
  <c r="D3899" i="2"/>
  <c r="E3899" i="2" s="1" a="1"/>
  <c r="E3899" i="2" s="1"/>
  <c r="D3900" i="2"/>
  <c r="E3900" i="2" s="1" a="1"/>
  <c r="E3900" i="2" s="1"/>
  <c r="D3901" i="2"/>
  <c r="E3901" i="2" s="1" a="1"/>
  <c r="E3901" i="2" s="1"/>
  <c r="D3902" i="2"/>
  <c r="E3902" i="2" s="1" a="1"/>
  <c r="E3902" i="2" s="1"/>
  <c r="D3903" i="2"/>
  <c r="E3903" i="2" s="1" a="1"/>
  <c r="E3903" i="2" s="1"/>
  <c r="D3904" i="2"/>
  <c r="E3904" i="2" s="1" a="1"/>
  <c r="E3904" i="2" s="1"/>
  <c r="D3905" i="2"/>
  <c r="E3905" i="2" s="1" a="1"/>
  <c r="E3905" i="2" s="1"/>
  <c r="D3906" i="2"/>
  <c r="E3906" i="2" s="1" a="1"/>
  <c r="E3906" i="2" s="1"/>
  <c r="D3907" i="2"/>
  <c r="E3907" i="2" s="1" a="1"/>
  <c r="E3907" i="2" s="1"/>
  <c r="D3908" i="2"/>
  <c r="E3908" i="2" s="1" a="1"/>
  <c r="E3908" i="2" s="1"/>
  <c r="D3909" i="2"/>
  <c r="E3909" i="2" s="1" a="1"/>
  <c r="E3909" i="2" s="1"/>
  <c r="D3910" i="2"/>
  <c r="E3910" i="2" s="1" a="1"/>
  <c r="E3910" i="2" s="1"/>
  <c r="D3911" i="2"/>
  <c r="E3911" i="2" s="1" a="1"/>
  <c r="E3911" i="2" s="1"/>
  <c r="D3912" i="2"/>
  <c r="E3912" i="2" s="1" a="1"/>
  <c r="E3912" i="2" s="1"/>
  <c r="D3913" i="2"/>
  <c r="E3913" i="2" s="1" a="1"/>
  <c r="E3913" i="2" s="1"/>
  <c r="D3914" i="2"/>
  <c r="E3914" i="2" s="1" a="1"/>
  <c r="E3914" i="2" s="1"/>
  <c r="D3915" i="2"/>
  <c r="E3915" i="2" s="1" a="1"/>
  <c r="E3915" i="2" s="1"/>
  <c r="D3916" i="2"/>
  <c r="E3916" i="2" s="1" a="1"/>
  <c r="E3916" i="2" s="1"/>
  <c r="D3917" i="2"/>
  <c r="E3917" i="2" s="1" a="1"/>
  <c r="E3917" i="2" s="1"/>
  <c r="D3918" i="2"/>
  <c r="E3918" i="2" s="1" a="1"/>
  <c r="E3918" i="2" s="1"/>
  <c r="D3919" i="2"/>
  <c r="E3919" i="2" s="1" a="1"/>
  <c r="E3919" i="2" s="1"/>
  <c r="D3920" i="2"/>
  <c r="E3920" i="2" s="1" a="1"/>
  <c r="E3920" i="2" s="1"/>
  <c r="D3921" i="2"/>
  <c r="E3921" i="2" s="1" a="1"/>
  <c r="E3921" i="2" s="1"/>
  <c r="D3922" i="2"/>
  <c r="E3922" i="2" s="1" a="1"/>
  <c r="E3922" i="2" s="1"/>
  <c r="D3923" i="2"/>
  <c r="E3923" i="2" s="1" a="1"/>
  <c r="E3923" i="2" s="1"/>
  <c r="D3924" i="2"/>
  <c r="E3924" i="2" s="1" a="1"/>
  <c r="E3924" i="2" s="1"/>
  <c r="D3925" i="2"/>
  <c r="E3925" i="2" s="1" a="1"/>
  <c r="E3925" i="2" s="1"/>
  <c r="D3926" i="2"/>
  <c r="E3926" i="2" s="1" a="1"/>
  <c r="E3926" i="2" s="1"/>
  <c r="D3927" i="2"/>
  <c r="E3927" i="2" s="1" a="1"/>
  <c r="E3927" i="2" s="1"/>
  <c r="D3928" i="2"/>
  <c r="E3928" i="2" s="1" a="1"/>
  <c r="E3928" i="2" s="1"/>
  <c r="D3929" i="2"/>
  <c r="E3929" i="2" s="1" a="1"/>
  <c r="E3929" i="2" s="1"/>
  <c r="D3930" i="2"/>
  <c r="E3930" i="2" s="1" a="1"/>
  <c r="E3930" i="2" s="1"/>
  <c r="D3931" i="2"/>
  <c r="E3931" i="2" s="1" a="1"/>
  <c r="E3931" i="2" s="1"/>
  <c r="D3932" i="2"/>
  <c r="E3932" i="2" s="1" a="1"/>
  <c r="E3932" i="2" s="1"/>
  <c r="D3933" i="2"/>
  <c r="E3933" i="2" s="1" a="1"/>
  <c r="E3933" i="2" s="1"/>
  <c r="D3934" i="2"/>
  <c r="E3934" i="2" s="1" a="1"/>
  <c r="E3934" i="2" s="1"/>
  <c r="D3935" i="2"/>
  <c r="E3935" i="2" s="1" a="1"/>
  <c r="E3935" i="2" s="1"/>
  <c r="D3936" i="2"/>
  <c r="E3936" i="2" s="1" a="1"/>
  <c r="E3936" i="2" s="1"/>
  <c r="D3937" i="2"/>
  <c r="E3937" i="2" s="1" a="1"/>
  <c r="E3937" i="2" s="1"/>
  <c r="D3938" i="2"/>
  <c r="E3938" i="2" s="1" a="1"/>
  <c r="E3938" i="2" s="1"/>
  <c r="D3939" i="2"/>
  <c r="E3939" i="2" s="1" a="1"/>
  <c r="E3939" i="2" s="1"/>
  <c r="D3940" i="2"/>
  <c r="E3940" i="2" s="1" a="1"/>
  <c r="E3940" i="2" s="1"/>
  <c r="D3941" i="2"/>
  <c r="E3941" i="2" s="1" a="1"/>
  <c r="E3941" i="2" s="1"/>
  <c r="D3942" i="2"/>
  <c r="E3942" i="2" s="1" a="1"/>
  <c r="E3942" i="2" s="1"/>
  <c r="D3943" i="2"/>
  <c r="E3943" i="2" s="1" a="1"/>
  <c r="E3943" i="2" s="1"/>
  <c r="D3944" i="2"/>
  <c r="E3944" i="2" s="1" a="1"/>
  <c r="E3944" i="2" s="1"/>
  <c r="D3945" i="2"/>
  <c r="E3945" i="2" s="1" a="1"/>
  <c r="E3945" i="2" s="1"/>
  <c r="D3946" i="2"/>
  <c r="E3946" i="2" s="1" a="1"/>
  <c r="E3946" i="2" s="1"/>
  <c r="D3947" i="2"/>
  <c r="E3947" i="2" s="1" a="1"/>
  <c r="E3947" i="2" s="1"/>
  <c r="D3948" i="2"/>
  <c r="E3948" i="2" s="1" a="1"/>
  <c r="E3948" i="2" s="1"/>
  <c r="D3949" i="2"/>
  <c r="E3949" i="2" s="1" a="1"/>
  <c r="E3949" i="2" s="1"/>
  <c r="D3950" i="2"/>
  <c r="E3950" i="2" s="1" a="1"/>
  <c r="E3950" i="2" s="1"/>
  <c r="D3951" i="2"/>
  <c r="E3951" i="2" s="1" a="1"/>
  <c r="E3951" i="2" s="1"/>
  <c r="D3952" i="2"/>
  <c r="E3952" i="2" s="1" a="1"/>
  <c r="E3952" i="2" s="1"/>
  <c r="D3953" i="2"/>
  <c r="E3953" i="2" s="1" a="1"/>
  <c r="E3953" i="2" s="1"/>
  <c r="D3954" i="2"/>
  <c r="E3954" i="2" s="1" a="1"/>
  <c r="E3954" i="2" s="1"/>
  <c r="D3955" i="2"/>
  <c r="E3955" i="2" s="1" a="1"/>
  <c r="E3955" i="2" s="1"/>
  <c r="D3956" i="2"/>
  <c r="E3956" i="2" s="1" a="1"/>
  <c r="E3956" i="2" s="1"/>
  <c r="D3957" i="2"/>
  <c r="E3957" i="2" s="1" a="1"/>
  <c r="E3957" i="2" s="1"/>
  <c r="D3958" i="2"/>
  <c r="E3958" i="2" s="1" a="1"/>
  <c r="E3958" i="2" s="1"/>
  <c r="D3959" i="2"/>
  <c r="E3959" i="2" s="1" a="1"/>
  <c r="E3959" i="2" s="1"/>
  <c r="D3960" i="2"/>
  <c r="E3960" i="2" s="1" a="1"/>
  <c r="E3960" i="2" s="1"/>
  <c r="D3961" i="2"/>
  <c r="E3961" i="2" s="1" a="1"/>
  <c r="E3961" i="2" s="1"/>
  <c r="D3962" i="2"/>
  <c r="E3962" i="2" s="1" a="1"/>
  <c r="E3962" i="2" s="1"/>
  <c r="D3963" i="2"/>
  <c r="E3963" i="2" s="1" a="1"/>
  <c r="E3963" i="2" s="1"/>
  <c r="D3964" i="2"/>
  <c r="E3964" i="2" s="1" a="1"/>
  <c r="E3964" i="2" s="1"/>
  <c r="D3965" i="2"/>
  <c r="E3965" i="2" s="1" a="1"/>
  <c r="E3965" i="2" s="1"/>
  <c r="D3966" i="2"/>
  <c r="E3966" i="2" s="1" a="1"/>
  <c r="E3966" i="2" s="1"/>
  <c r="D3967" i="2"/>
  <c r="E3967" i="2" s="1" a="1"/>
  <c r="E3967" i="2" s="1"/>
  <c r="D3968" i="2"/>
  <c r="E3968" i="2" s="1" a="1"/>
  <c r="E3968" i="2" s="1"/>
  <c r="D3969" i="2"/>
  <c r="E3969" i="2" s="1" a="1"/>
  <c r="E3969" i="2" s="1"/>
  <c r="D3970" i="2"/>
  <c r="E3970" i="2" s="1" a="1"/>
  <c r="E3970" i="2" s="1"/>
  <c r="D3971" i="2"/>
  <c r="E3971" i="2" s="1" a="1"/>
  <c r="E3971" i="2" s="1"/>
  <c r="D3972" i="2"/>
  <c r="E3972" i="2" s="1" a="1"/>
  <c r="E3972" i="2" s="1"/>
  <c r="D3973" i="2"/>
  <c r="E3973" i="2" s="1" a="1"/>
  <c r="E3973" i="2" s="1"/>
  <c r="D3974" i="2"/>
  <c r="E3974" i="2" s="1" a="1"/>
  <c r="E3974" i="2" s="1"/>
  <c r="D3975" i="2"/>
  <c r="E3975" i="2" s="1" a="1"/>
  <c r="E3975" i="2" s="1"/>
  <c r="D3976" i="2"/>
  <c r="E3976" i="2" s="1" a="1"/>
  <c r="E3976" i="2" s="1"/>
  <c r="D3977" i="2"/>
  <c r="E3977" i="2" s="1" a="1"/>
  <c r="E3977" i="2" s="1"/>
  <c r="D3978" i="2"/>
  <c r="E3978" i="2" s="1" a="1"/>
  <c r="E3978" i="2" s="1"/>
  <c r="D3979" i="2"/>
  <c r="E3979" i="2" s="1" a="1"/>
  <c r="E3979" i="2" s="1"/>
  <c r="D3980" i="2"/>
  <c r="E3980" i="2" s="1" a="1"/>
  <c r="E3980" i="2" s="1"/>
  <c r="D3981" i="2"/>
  <c r="E3981" i="2" s="1" a="1"/>
  <c r="E3981" i="2" s="1"/>
  <c r="D3982" i="2"/>
  <c r="E3982" i="2" s="1" a="1"/>
  <c r="E3982" i="2" s="1"/>
  <c r="D3983" i="2"/>
  <c r="E3983" i="2" s="1" a="1"/>
  <c r="E3983" i="2" s="1"/>
  <c r="D3984" i="2"/>
  <c r="E3984" i="2" s="1" a="1"/>
  <c r="E3984" i="2" s="1"/>
  <c r="D3985" i="2"/>
  <c r="E3985" i="2" s="1" a="1"/>
  <c r="E3985" i="2" s="1"/>
  <c r="D3986" i="2"/>
  <c r="E3986" i="2" s="1" a="1"/>
  <c r="E3986" i="2" s="1"/>
  <c r="D3987" i="2"/>
  <c r="E3987" i="2" s="1" a="1"/>
  <c r="E3987" i="2" s="1"/>
  <c r="D3988" i="2"/>
  <c r="E3988" i="2" s="1" a="1"/>
  <c r="E3988" i="2" s="1"/>
  <c r="D3989" i="2"/>
  <c r="E3989" i="2" s="1" a="1"/>
  <c r="E3989" i="2" s="1"/>
  <c r="D3990" i="2"/>
  <c r="E3990" i="2" s="1" a="1"/>
  <c r="E3990" i="2" s="1"/>
  <c r="D3991" i="2"/>
  <c r="E3991" i="2" s="1" a="1"/>
  <c r="E3991" i="2" s="1"/>
  <c r="D3992" i="2"/>
  <c r="E3992" i="2" s="1" a="1"/>
  <c r="E3992" i="2" s="1"/>
  <c r="D3993" i="2"/>
  <c r="E3993" i="2" s="1" a="1"/>
  <c r="E3993" i="2" s="1"/>
  <c r="D3994" i="2"/>
  <c r="E3994" i="2" s="1" a="1"/>
  <c r="E3994" i="2" s="1"/>
  <c r="D3995" i="2"/>
  <c r="E3995" i="2" s="1" a="1"/>
  <c r="E3995" i="2" s="1"/>
  <c r="D3996" i="2"/>
  <c r="E3996" i="2" s="1" a="1"/>
  <c r="E3996" i="2" s="1"/>
  <c r="D3997" i="2"/>
  <c r="E3997" i="2" s="1" a="1"/>
  <c r="E3997" i="2" s="1"/>
  <c r="D3998" i="2"/>
  <c r="E3998" i="2" s="1" a="1"/>
  <c r="E3998" i="2" s="1"/>
  <c r="D3999" i="2"/>
  <c r="E3999" i="2" s="1" a="1"/>
  <c r="E3999" i="2" s="1"/>
  <c r="D4000" i="2"/>
  <c r="E4000" i="2" s="1" a="1"/>
  <c r="E4000" i="2" s="1"/>
  <c r="D4001" i="2"/>
  <c r="E4001" i="2" s="1" a="1"/>
  <c r="E4001" i="2" s="1"/>
  <c r="D4002" i="2"/>
  <c r="E4002" i="2" s="1" a="1"/>
  <c r="E4002" i="2" s="1"/>
  <c r="D4003" i="2"/>
  <c r="E4003" i="2" s="1" a="1"/>
  <c r="E4003" i="2" s="1"/>
  <c r="D4004" i="2"/>
  <c r="E4004" i="2" s="1" a="1"/>
  <c r="E4004" i="2" s="1"/>
  <c r="D4005" i="2"/>
  <c r="E4005" i="2" s="1" a="1"/>
  <c r="E4005" i="2" s="1"/>
  <c r="D4006" i="2"/>
  <c r="E4006" i="2" s="1" a="1"/>
  <c r="E4006" i="2" s="1"/>
  <c r="D4007" i="2"/>
  <c r="E4007" i="2" s="1" a="1"/>
  <c r="E4007" i="2" s="1"/>
  <c r="D4008" i="2"/>
  <c r="E4008" i="2" s="1" a="1"/>
  <c r="E4008" i="2" s="1"/>
  <c r="D4009" i="2"/>
  <c r="E4009" i="2" s="1" a="1"/>
  <c r="E4009" i="2" s="1"/>
  <c r="D4010" i="2"/>
  <c r="E4010" i="2" s="1" a="1"/>
  <c r="E4010" i="2" s="1"/>
  <c r="D4011" i="2"/>
  <c r="E4011" i="2" s="1" a="1"/>
  <c r="E4011" i="2" s="1"/>
  <c r="D4012" i="2"/>
  <c r="E4012" i="2" s="1" a="1"/>
  <c r="E4012" i="2" s="1"/>
  <c r="D4013" i="2"/>
  <c r="E4013" i="2" s="1" a="1"/>
  <c r="E4013" i="2" s="1"/>
  <c r="D4014" i="2"/>
  <c r="E4014" i="2" s="1" a="1"/>
  <c r="E4014" i="2" s="1"/>
  <c r="D4015" i="2"/>
  <c r="E4015" i="2" s="1" a="1"/>
  <c r="E4015" i="2" s="1"/>
  <c r="D4016" i="2"/>
  <c r="E4016" i="2" s="1" a="1"/>
  <c r="E4016" i="2" s="1"/>
  <c r="D4017" i="2"/>
  <c r="E4017" i="2" s="1" a="1"/>
  <c r="E4017" i="2" s="1"/>
  <c r="D4018" i="2"/>
  <c r="E4018" i="2" s="1" a="1"/>
  <c r="E4018" i="2" s="1"/>
  <c r="D4019" i="2"/>
  <c r="E4019" i="2" s="1" a="1"/>
  <c r="E4019" i="2" s="1"/>
  <c r="D4020" i="2"/>
  <c r="E4020" i="2" s="1" a="1"/>
  <c r="E4020" i="2" s="1"/>
  <c r="D4021" i="2"/>
  <c r="E4021" i="2" s="1" a="1"/>
  <c r="E4021" i="2" s="1"/>
  <c r="D4022" i="2"/>
  <c r="E4022" i="2" s="1" a="1"/>
  <c r="E4022" i="2" s="1"/>
  <c r="D4023" i="2"/>
  <c r="E4023" i="2" s="1" a="1"/>
  <c r="E4023" i="2" s="1"/>
  <c r="D4024" i="2"/>
  <c r="E4024" i="2" s="1" a="1"/>
  <c r="E4024" i="2" s="1"/>
  <c r="D4025" i="2"/>
  <c r="E4025" i="2" s="1" a="1"/>
  <c r="E4025" i="2" s="1"/>
  <c r="D4026" i="2"/>
  <c r="E4026" i="2" s="1" a="1"/>
  <c r="E4026" i="2" s="1"/>
  <c r="D4027" i="2"/>
  <c r="E4027" i="2" s="1" a="1"/>
  <c r="E4027" i="2" s="1"/>
  <c r="D4028" i="2"/>
  <c r="E4028" i="2" s="1" a="1"/>
  <c r="E4028" i="2" s="1"/>
  <c r="D4029" i="2"/>
  <c r="E4029" i="2" s="1" a="1"/>
  <c r="E4029" i="2" s="1"/>
  <c r="D4030" i="2"/>
  <c r="E4030" i="2" s="1" a="1"/>
  <c r="E4030" i="2" s="1"/>
  <c r="D4031" i="2"/>
  <c r="E4031" i="2" s="1" a="1"/>
  <c r="E4031" i="2" s="1"/>
  <c r="D4032" i="2"/>
  <c r="E4032" i="2" s="1" a="1"/>
  <c r="E4032" i="2" s="1"/>
  <c r="D4033" i="2"/>
  <c r="E4033" i="2" s="1" a="1"/>
  <c r="E4033" i="2" s="1"/>
  <c r="D4034" i="2"/>
  <c r="E4034" i="2" s="1" a="1"/>
  <c r="E4034" i="2" s="1"/>
  <c r="D4035" i="2"/>
  <c r="E4035" i="2" s="1" a="1"/>
  <c r="E4035" i="2" s="1"/>
  <c r="D4036" i="2"/>
  <c r="E4036" i="2" s="1" a="1"/>
  <c r="E4036" i="2" s="1"/>
  <c r="D4037" i="2"/>
  <c r="E4037" i="2" s="1" a="1"/>
  <c r="E4037" i="2" s="1"/>
  <c r="D4038" i="2"/>
  <c r="E4038" i="2" s="1" a="1"/>
  <c r="E4038" i="2" s="1"/>
  <c r="D4039" i="2"/>
  <c r="E4039" i="2" s="1" a="1"/>
  <c r="E4039" i="2" s="1"/>
  <c r="D4040" i="2"/>
  <c r="E4040" i="2" s="1" a="1"/>
  <c r="E4040" i="2" s="1"/>
  <c r="D4041" i="2"/>
  <c r="E4041" i="2" s="1" a="1"/>
  <c r="E4041" i="2" s="1"/>
  <c r="D4042" i="2"/>
  <c r="E4042" i="2" s="1" a="1"/>
  <c r="E4042" i="2" s="1"/>
  <c r="D4043" i="2"/>
  <c r="E4043" i="2" s="1" a="1"/>
  <c r="E4043" i="2" s="1"/>
  <c r="D4044" i="2"/>
  <c r="E4044" i="2" s="1" a="1"/>
  <c r="E4044" i="2" s="1"/>
  <c r="D4045" i="2"/>
  <c r="E4045" i="2" s="1" a="1"/>
  <c r="E4045" i="2" s="1"/>
  <c r="D4046" i="2"/>
  <c r="E4046" i="2" s="1" a="1"/>
  <c r="E4046" i="2" s="1"/>
  <c r="D4047" i="2"/>
  <c r="E4047" i="2" s="1" a="1"/>
  <c r="E4047" i="2" s="1"/>
  <c r="D4048" i="2"/>
  <c r="E4048" i="2" s="1" a="1"/>
  <c r="E4048" i="2" s="1"/>
  <c r="D4049" i="2"/>
  <c r="E4049" i="2" s="1" a="1"/>
  <c r="E4049" i="2" s="1"/>
  <c r="D4050" i="2"/>
  <c r="E4050" i="2" s="1" a="1"/>
  <c r="E4050" i="2" s="1"/>
  <c r="D4051" i="2"/>
  <c r="E4051" i="2" s="1" a="1"/>
  <c r="E4051" i="2" s="1"/>
  <c r="D4052" i="2"/>
  <c r="E4052" i="2" s="1" a="1"/>
  <c r="E4052" i="2" s="1"/>
  <c r="D4053" i="2"/>
  <c r="E4053" i="2" s="1" a="1"/>
  <c r="E4053" i="2" s="1"/>
  <c r="D4054" i="2"/>
  <c r="E4054" i="2" s="1" a="1"/>
  <c r="E4054" i="2" s="1"/>
  <c r="D4055" i="2"/>
  <c r="E4055" i="2" s="1" a="1"/>
  <c r="E4055" i="2" s="1"/>
  <c r="D4056" i="2"/>
  <c r="E4056" i="2" s="1" a="1"/>
  <c r="E4056" i="2" s="1"/>
  <c r="D4057" i="2"/>
  <c r="E4057" i="2" s="1" a="1"/>
  <c r="E4057" i="2" s="1"/>
  <c r="D4058" i="2"/>
  <c r="E4058" i="2" s="1" a="1"/>
  <c r="E4058" i="2" s="1"/>
  <c r="D4059" i="2"/>
  <c r="E4059" i="2" s="1" a="1"/>
  <c r="E4059" i="2" s="1"/>
  <c r="D4060" i="2"/>
  <c r="E4060" i="2" s="1" a="1"/>
  <c r="E4060" i="2" s="1"/>
  <c r="D4061" i="2"/>
  <c r="E4061" i="2" s="1" a="1"/>
  <c r="E4061" i="2" s="1"/>
  <c r="D4062" i="2"/>
  <c r="E4062" i="2" s="1" a="1"/>
  <c r="E4062" i="2" s="1"/>
  <c r="D4063" i="2"/>
  <c r="E4063" i="2" s="1" a="1"/>
  <c r="E4063" i="2" s="1"/>
  <c r="D4064" i="2"/>
  <c r="E4064" i="2" s="1" a="1"/>
  <c r="E4064" i="2" s="1"/>
  <c r="D4065" i="2"/>
  <c r="E4065" i="2" s="1" a="1"/>
  <c r="E4065" i="2" s="1"/>
  <c r="D4066" i="2"/>
  <c r="E4066" i="2" s="1" a="1"/>
  <c r="E4066" i="2" s="1"/>
  <c r="D4067" i="2"/>
  <c r="E4067" i="2" s="1" a="1"/>
  <c r="E4067" i="2" s="1"/>
  <c r="D4068" i="2"/>
  <c r="E4068" i="2" s="1" a="1"/>
  <c r="E4068" i="2" s="1"/>
  <c r="D4069" i="2"/>
  <c r="E4069" i="2" s="1" a="1"/>
  <c r="E4069" i="2" s="1"/>
  <c r="D4070" i="2"/>
  <c r="E4070" i="2" s="1" a="1"/>
  <c r="E4070" i="2" s="1"/>
  <c r="D4071" i="2"/>
  <c r="E4071" i="2" s="1" a="1"/>
  <c r="E4071" i="2" s="1"/>
  <c r="D4072" i="2"/>
  <c r="E4072" i="2" s="1" a="1"/>
  <c r="E4072" i="2" s="1"/>
  <c r="D4073" i="2"/>
  <c r="E4073" i="2" s="1" a="1"/>
  <c r="E4073" i="2" s="1"/>
  <c r="D4074" i="2"/>
  <c r="E4074" i="2" s="1" a="1"/>
  <c r="E4074" i="2" s="1"/>
  <c r="D4075" i="2"/>
  <c r="E4075" i="2" s="1" a="1"/>
  <c r="E4075" i="2" s="1"/>
  <c r="D4076" i="2"/>
  <c r="E4076" i="2" s="1" a="1"/>
  <c r="E4076" i="2" s="1"/>
  <c r="D4077" i="2"/>
  <c r="E4077" i="2" s="1" a="1"/>
  <c r="E4077" i="2" s="1"/>
  <c r="D4078" i="2"/>
  <c r="E4078" i="2" s="1" a="1"/>
  <c r="E4078" i="2" s="1"/>
  <c r="D4079" i="2"/>
  <c r="E4079" i="2" s="1" a="1"/>
  <c r="E4079" i="2" s="1"/>
  <c r="D4080" i="2"/>
  <c r="E4080" i="2" s="1" a="1"/>
  <c r="E4080" i="2" s="1"/>
  <c r="D4081" i="2"/>
  <c r="E4081" i="2" s="1" a="1"/>
  <c r="E4081" i="2" s="1"/>
  <c r="D4082" i="2"/>
  <c r="E4082" i="2" s="1" a="1"/>
  <c r="E4082" i="2" s="1"/>
  <c r="D4083" i="2"/>
  <c r="E4083" i="2" s="1" a="1"/>
  <c r="E4083" i="2" s="1"/>
  <c r="D4084" i="2"/>
  <c r="E4084" i="2" s="1" a="1"/>
  <c r="E4084" i="2" s="1"/>
  <c r="D4085" i="2"/>
  <c r="E4085" i="2" s="1" a="1"/>
  <c r="E4085" i="2" s="1"/>
  <c r="D4086" i="2"/>
  <c r="E4086" i="2" s="1" a="1"/>
  <c r="E4086" i="2" s="1"/>
  <c r="D4087" i="2"/>
  <c r="E4087" i="2" s="1" a="1"/>
  <c r="E4087" i="2" s="1"/>
  <c r="D4088" i="2"/>
  <c r="E4088" i="2" s="1" a="1"/>
  <c r="E4088" i="2" s="1"/>
  <c r="D4089" i="2"/>
  <c r="E4089" i="2" s="1" a="1"/>
  <c r="E4089" i="2" s="1"/>
  <c r="D4090" i="2"/>
  <c r="E4090" i="2" s="1" a="1"/>
  <c r="E4090" i="2" s="1"/>
  <c r="D4091" i="2"/>
  <c r="E4091" i="2" s="1" a="1"/>
  <c r="E4091" i="2" s="1"/>
  <c r="D4092" i="2"/>
  <c r="E4092" i="2" s="1" a="1"/>
  <c r="E4092" i="2" s="1"/>
  <c r="D4093" i="2"/>
  <c r="E4093" i="2" s="1" a="1"/>
  <c r="E4093" i="2" s="1"/>
  <c r="D4094" i="2"/>
  <c r="E4094" i="2" s="1" a="1"/>
  <c r="E4094" i="2" s="1"/>
  <c r="D4095" i="2"/>
  <c r="E4095" i="2" s="1" a="1"/>
  <c r="E4095" i="2" s="1"/>
  <c r="D4096" i="2"/>
  <c r="E4096" i="2" s="1" a="1"/>
  <c r="E4096" i="2" s="1"/>
  <c r="D4097" i="2"/>
  <c r="E4097" i="2" s="1" a="1"/>
  <c r="E4097" i="2" s="1"/>
  <c r="D4098" i="2"/>
  <c r="E4098" i="2" s="1" a="1"/>
  <c r="E4098" i="2" s="1"/>
  <c r="D4099" i="2"/>
  <c r="E4099" i="2" s="1" a="1"/>
  <c r="E4099" i="2" s="1"/>
  <c r="D4100" i="2"/>
  <c r="E4100" i="2" s="1" a="1"/>
  <c r="E4100" i="2" s="1"/>
  <c r="D4101" i="2"/>
  <c r="E4101" i="2" s="1" a="1"/>
  <c r="E4101" i="2" s="1"/>
  <c r="D4102" i="2"/>
  <c r="E4102" i="2" s="1" a="1"/>
  <c r="E4102" i="2" s="1"/>
  <c r="D4103" i="2"/>
  <c r="E4103" i="2" s="1" a="1"/>
  <c r="E4103" i="2" s="1"/>
  <c r="D4104" i="2"/>
  <c r="E4104" i="2" s="1" a="1"/>
  <c r="E4104" i="2" s="1"/>
  <c r="D4105" i="2"/>
  <c r="E4105" i="2" s="1" a="1"/>
  <c r="E4105" i="2" s="1"/>
  <c r="D4106" i="2"/>
  <c r="E4106" i="2" s="1" a="1"/>
  <c r="E4106" i="2" s="1"/>
  <c r="D4107" i="2"/>
  <c r="E4107" i="2" s="1" a="1"/>
  <c r="E4107" i="2" s="1"/>
  <c r="D4108" i="2"/>
  <c r="E4108" i="2" s="1" a="1"/>
  <c r="E4108" i="2" s="1"/>
  <c r="D4109" i="2"/>
  <c r="E4109" i="2" s="1" a="1"/>
  <c r="E4109" i="2" s="1"/>
  <c r="D4110" i="2"/>
  <c r="E4110" i="2" s="1" a="1"/>
  <c r="E4110" i="2" s="1"/>
  <c r="D4111" i="2"/>
  <c r="E4111" i="2" s="1" a="1"/>
  <c r="E4111" i="2" s="1"/>
  <c r="D4112" i="2"/>
  <c r="E4112" i="2" s="1" a="1"/>
  <c r="E4112" i="2" s="1"/>
  <c r="D4113" i="2"/>
  <c r="E4113" i="2" s="1" a="1"/>
  <c r="E4113" i="2" s="1"/>
  <c r="D4114" i="2"/>
  <c r="E4114" i="2" s="1" a="1"/>
  <c r="E4114" i="2" s="1"/>
  <c r="D4115" i="2"/>
  <c r="E4115" i="2" s="1" a="1"/>
  <c r="E4115" i="2" s="1"/>
  <c r="D4116" i="2"/>
  <c r="E4116" i="2" s="1" a="1"/>
  <c r="E4116" i="2" s="1"/>
  <c r="D4117" i="2"/>
  <c r="E4117" i="2" s="1" a="1"/>
  <c r="E4117" i="2" s="1"/>
  <c r="D4118" i="2"/>
  <c r="E4118" i="2" s="1" a="1"/>
  <c r="E4118" i="2" s="1"/>
  <c r="D4119" i="2"/>
  <c r="E4119" i="2" s="1" a="1"/>
  <c r="E4119" i="2" s="1"/>
  <c r="D4120" i="2"/>
  <c r="E4120" i="2" s="1" a="1"/>
  <c r="E4120" i="2" s="1"/>
  <c r="D4121" i="2"/>
  <c r="E4121" i="2" s="1" a="1"/>
  <c r="E4121" i="2" s="1"/>
  <c r="D4122" i="2"/>
  <c r="E4122" i="2" s="1" a="1"/>
  <c r="E4122" i="2" s="1"/>
  <c r="D4123" i="2"/>
  <c r="E4123" i="2" s="1" a="1"/>
  <c r="E4123" i="2" s="1"/>
  <c r="D4124" i="2"/>
  <c r="E4124" i="2" s="1" a="1"/>
  <c r="E4124" i="2" s="1"/>
  <c r="D4125" i="2"/>
  <c r="E4125" i="2" s="1" a="1"/>
  <c r="E4125" i="2" s="1"/>
  <c r="D4126" i="2"/>
  <c r="E4126" i="2" s="1" a="1"/>
  <c r="E4126" i="2" s="1"/>
  <c r="D4127" i="2"/>
  <c r="E4127" i="2" s="1" a="1"/>
  <c r="E4127" i="2" s="1"/>
  <c r="D4128" i="2"/>
  <c r="E4128" i="2" s="1" a="1"/>
  <c r="E4128" i="2" s="1"/>
  <c r="D4129" i="2"/>
  <c r="E4129" i="2" s="1" a="1"/>
  <c r="E4129" i="2" s="1"/>
  <c r="D4130" i="2"/>
  <c r="E4130" i="2" s="1" a="1"/>
  <c r="E4130" i="2" s="1"/>
  <c r="D4131" i="2"/>
  <c r="E4131" i="2" s="1" a="1"/>
  <c r="E4131" i="2" s="1"/>
  <c r="D4132" i="2"/>
  <c r="E4132" i="2" s="1" a="1"/>
  <c r="E4132" i="2" s="1"/>
  <c r="D4133" i="2"/>
  <c r="E4133" i="2" s="1" a="1"/>
  <c r="E4133" i="2" s="1"/>
  <c r="D4134" i="2"/>
  <c r="E4134" i="2" s="1" a="1"/>
  <c r="E4134" i="2" s="1"/>
  <c r="D4135" i="2"/>
  <c r="E4135" i="2" s="1" a="1"/>
  <c r="E4135" i="2" s="1"/>
  <c r="D4136" i="2"/>
  <c r="E4136" i="2" s="1" a="1"/>
  <c r="E4136" i="2" s="1"/>
  <c r="D4137" i="2"/>
  <c r="E4137" i="2" s="1" a="1"/>
  <c r="E4137" i="2" s="1"/>
  <c r="D4138" i="2"/>
  <c r="E4138" i="2" s="1" a="1"/>
  <c r="E4138" i="2" s="1"/>
  <c r="D4139" i="2"/>
  <c r="E4139" i="2" s="1" a="1"/>
  <c r="E4139" i="2" s="1"/>
  <c r="D4140" i="2"/>
  <c r="E4140" i="2" s="1" a="1"/>
  <c r="E4140" i="2" s="1"/>
  <c r="D4141" i="2"/>
  <c r="E4141" i="2" s="1" a="1"/>
  <c r="E4141" i="2" s="1"/>
  <c r="D4142" i="2"/>
  <c r="E4142" i="2" s="1" a="1"/>
  <c r="E4142" i="2" s="1"/>
  <c r="D4143" i="2"/>
  <c r="E4143" i="2" s="1" a="1"/>
  <c r="E4143" i="2" s="1"/>
  <c r="D4144" i="2"/>
  <c r="E4144" i="2" s="1" a="1"/>
  <c r="E4144" i="2" s="1"/>
  <c r="D4145" i="2"/>
  <c r="E4145" i="2" s="1" a="1"/>
  <c r="E4145" i="2" s="1"/>
  <c r="D4146" i="2"/>
  <c r="E4146" i="2" s="1" a="1"/>
  <c r="E4146" i="2" s="1"/>
  <c r="D4147" i="2"/>
  <c r="E4147" i="2" s="1" a="1"/>
  <c r="E4147" i="2" s="1"/>
  <c r="D4148" i="2"/>
  <c r="E4148" i="2" s="1" a="1"/>
  <c r="E4148" i="2" s="1"/>
  <c r="D4149" i="2"/>
  <c r="E4149" i="2" s="1" a="1"/>
  <c r="E4149" i="2" s="1"/>
  <c r="D4150" i="2"/>
  <c r="E4150" i="2" s="1" a="1"/>
  <c r="E4150" i="2" s="1"/>
  <c r="D4151" i="2"/>
  <c r="E4151" i="2" s="1" a="1"/>
  <c r="E4151" i="2" s="1"/>
  <c r="D4152" i="2"/>
  <c r="E4152" i="2" s="1" a="1"/>
  <c r="E4152" i="2" s="1"/>
  <c r="D4153" i="2"/>
  <c r="E4153" i="2" s="1" a="1"/>
  <c r="E4153" i="2" s="1"/>
  <c r="D4154" i="2"/>
  <c r="E4154" i="2" s="1" a="1"/>
  <c r="E4154" i="2" s="1"/>
  <c r="D4155" i="2"/>
  <c r="E4155" i="2" s="1" a="1"/>
  <c r="E4155" i="2" s="1"/>
  <c r="D4156" i="2"/>
  <c r="E4156" i="2" s="1" a="1"/>
  <c r="E4156" i="2" s="1"/>
  <c r="D4157" i="2"/>
  <c r="E4157" i="2" s="1" a="1"/>
  <c r="E4157" i="2" s="1"/>
  <c r="D4158" i="2"/>
  <c r="E4158" i="2" s="1" a="1"/>
  <c r="E4158" i="2" s="1"/>
  <c r="D4159" i="2"/>
  <c r="E4159" i="2" s="1" a="1"/>
  <c r="E4159" i="2" s="1"/>
  <c r="D4160" i="2"/>
  <c r="E4160" i="2" s="1" a="1"/>
  <c r="E4160" i="2" s="1"/>
  <c r="D4161" i="2"/>
  <c r="E4161" i="2" s="1" a="1"/>
  <c r="E4161" i="2" s="1"/>
  <c r="D4162" i="2"/>
  <c r="E4162" i="2" s="1" a="1"/>
  <c r="E4162" i="2" s="1"/>
  <c r="D4163" i="2"/>
  <c r="E4163" i="2" s="1" a="1"/>
  <c r="E4163" i="2" s="1"/>
  <c r="D4164" i="2"/>
  <c r="E4164" i="2" s="1" a="1"/>
  <c r="E4164" i="2" s="1"/>
  <c r="D4165" i="2"/>
  <c r="E4165" i="2" s="1" a="1"/>
  <c r="E4165" i="2" s="1"/>
  <c r="D4166" i="2"/>
  <c r="E4166" i="2" s="1" a="1"/>
  <c r="E4166" i="2" s="1"/>
  <c r="D4167" i="2"/>
  <c r="E4167" i="2" s="1" a="1"/>
  <c r="E4167" i="2" s="1"/>
  <c r="D4168" i="2"/>
  <c r="E4168" i="2" s="1" a="1"/>
  <c r="E4168" i="2" s="1"/>
  <c r="D4169" i="2"/>
  <c r="E4169" i="2" s="1" a="1"/>
  <c r="E4169" i="2" s="1"/>
  <c r="D4170" i="2"/>
  <c r="E4170" i="2" s="1" a="1"/>
  <c r="E4170" i="2" s="1"/>
  <c r="D4171" i="2"/>
  <c r="E4171" i="2" s="1" a="1"/>
  <c r="E4171" i="2" s="1"/>
  <c r="D4172" i="2"/>
  <c r="E4172" i="2" s="1" a="1"/>
  <c r="E4172" i="2" s="1"/>
  <c r="D4173" i="2"/>
  <c r="E4173" i="2" s="1" a="1"/>
  <c r="E4173" i="2" s="1"/>
  <c r="D4174" i="2"/>
  <c r="E4174" i="2" s="1" a="1"/>
  <c r="E4174" i="2" s="1"/>
  <c r="D4175" i="2"/>
  <c r="E4175" i="2" s="1" a="1"/>
  <c r="E4175" i="2" s="1"/>
  <c r="D4176" i="2"/>
  <c r="E4176" i="2" s="1" a="1"/>
  <c r="E4176" i="2" s="1"/>
  <c r="D4177" i="2"/>
  <c r="E4177" i="2" s="1" a="1"/>
  <c r="E4177" i="2" s="1"/>
  <c r="D4178" i="2"/>
  <c r="E4178" i="2" s="1" a="1"/>
  <c r="E4178" i="2" s="1"/>
  <c r="D4179" i="2"/>
  <c r="E4179" i="2" s="1" a="1"/>
  <c r="E4179" i="2" s="1"/>
  <c r="D4180" i="2"/>
  <c r="E4180" i="2" s="1" a="1"/>
  <c r="E4180" i="2" s="1"/>
  <c r="D4181" i="2"/>
  <c r="E4181" i="2" s="1" a="1"/>
  <c r="E4181" i="2" s="1"/>
  <c r="D4182" i="2"/>
  <c r="E4182" i="2" s="1" a="1"/>
  <c r="E4182" i="2" s="1"/>
  <c r="D4183" i="2"/>
  <c r="E4183" i="2" s="1" a="1"/>
  <c r="E4183" i="2" s="1"/>
  <c r="D4184" i="2"/>
  <c r="E4184" i="2" s="1" a="1"/>
  <c r="E4184" i="2" s="1"/>
  <c r="D4185" i="2"/>
  <c r="E4185" i="2" s="1" a="1"/>
  <c r="E4185" i="2" s="1"/>
  <c r="D4186" i="2"/>
  <c r="E4186" i="2" s="1" a="1"/>
  <c r="E4186" i="2" s="1"/>
  <c r="D4187" i="2"/>
  <c r="E4187" i="2" s="1" a="1"/>
  <c r="E4187" i="2" s="1"/>
  <c r="D4188" i="2"/>
  <c r="E4188" i="2" s="1" a="1"/>
  <c r="E4188" i="2" s="1"/>
  <c r="D4189" i="2"/>
  <c r="E4189" i="2" s="1" a="1"/>
  <c r="E4189" i="2" s="1"/>
  <c r="D4190" i="2"/>
  <c r="E4190" i="2" s="1" a="1"/>
  <c r="E4190" i="2" s="1"/>
  <c r="D4191" i="2"/>
  <c r="E4191" i="2" s="1" a="1"/>
  <c r="E4191" i="2" s="1"/>
  <c r="D4192" i="2"/>
  <c r="E4192" i="2" s="1" a="1"/>
  <c r="E4192" i="2" s="1"/>
  <c r="D4193" i="2"/>
  <c r="E4193" i="2" s="1" a="1"/>
  <c r="E4193" i="2" s="1"/>
  <c r="D4194" i="2"/>
  <c r="E4194" i="2" s="1" a="1"/>
  <c r="E4194" i="2" s="1"/>
  <c r="D4195" i="2"/>
  <c r="E4195" i="2" s="1" a="1"/>
  <c r="E4195" i="2" s="1"/>
  <c r="D4196" i="2"/>
  <c r="E4196" i="2" s="1" a="1"/>
  <c r="E4196" i="2" s="1"/>
  <c r="D4197" i="2"/>
  <c r="E4197" i="2" s="1" a="1"/>
  <c r="E4197" i="2" s="1"/>
  <c r="D4198" i="2"/>
  <c r="E4198" i="2" s="1" a="1"/>
  <c r="E4198" i="2" s="1"/>
  <c r="D4199" i="2"/>
  <c r="E4199" i="2" s="1" a="1"/>
  <c r="E4199" i="2" s="1"/>
  <c r="D4200" i="2"/>
  <c r="E4200" i="2" s="1" a="1"/>
  <c r="E4200" i="2" s="1"/>
  <c r="D4201" i="2"/>
  <c r="E4201" i="2" s="1" a="1"/>
  <c r="E4201" i="2" s="1"/>
  <c r="D4202" i="2"/>
  <c r="E4202" i="2" s="1" a="1"/>
  <c r="E4202" i="2" s="1"/>
  <c r="D4203" i="2"/>
  <c r="E4203" i="2" s="1" a="1"/>
  <c r="E4203" i="2" s="1"/>
  <c r="D4204" i="2"/>
  <c r="E4204" i="2" s="1" a="1"/>
  <c r="E4204" i="2" s="1"/>
  <c r="D4205" i="2"/>
  <c r="E4205" i="2" s="1" a="1"/>
  <c r="E4205" i="2" s="1"/>
  <c r="D4206" i="2"/>
  <c r="E4206" i="2" s="1" a="1"/>
  <c r="E4206" i="2" s="1"/>
  <c r="D4207" i="2"/>
  <c r="E4207" i="2" s="1" a="1"/>
  <c r="E4207" i="2" s="1"/>
  <c r="D4208" i="2"/>
  <c r="E4208" i="2" s="1" a="1"/>
  <c r="E4208" i="2" s="1"/>
  <c r="D4209" i="2"/>
  <c r="E4209" i="2" s="1" a="1"/>
  <c r="E4209" i="2" s="1"/>
  <c r="D4210" i="2"/>
  <c r="E4210" i="2" s="1" a="1"/>
  <c r="E4210" i="2" s="1"/>
  <c r="D4211" i="2"/>
  <c r="E4211" i="2" s="1" a="1"/>
  <c r="E4211" i="2" s="1"/>
  <c r="D4212" i="2"/>
  <c r="E4212" i="2" s="1" a="1"/>
  <c r="E4212" i="2" s="1"/>
  <c r="D4213" i="2"/>
  <c r="E4213" i="2" s="1" a="1"/>
  <c r="E4213" i="2" s="1"/>
  <c r="D4214" i="2"/>
  <c r="E4214" i="2" s="1" a="1"/>
  <c r="E4214" i="2" s="1"/>
  <c r="D4215" i="2"/>
  <c r="E4215" i="2" s="1" a="1"/>
  <c r="E4215" i="2" s="1"/>
  <c r="D4216" i="2"/>
  <c r="E4216" i="2" s="1" a="1"/>
  <c r="E4216" i="2" s="1"/>
  <c r="D4217" i="2"/>
  <c r="E4217" i="2" s="1" a="1"/>
  <c r="E4217" i="2" s="1"/>
  <c r="D4218" i="2"/>
  <c r="E4218" i="2" s="1" a="1"/>
  <c r="E4218" i="2" s="1"/>
  <c r="D4219" i="2"/>
  <c r="E4219" i="2" s="1" a="1"/>
  <c r="E4219" i="2" s="1"/>
  <c r="D4220" i="2"/>
  <c r="E4220" i="2" s="1" a="1"/>
  <c r="E4220" i="2" s="1"/>
  <c r="D4221" i="2"/>
  <c r="E4221" i="2" s="1" a="1"/>
  <c r="E4221" i="2" s="1"/>
  <c r="D4222" i="2"/>
  <c r="E4222" i="2" s="1" a="1"/>
  <c r="E4222" i="2" s="1"/>
  <c r="D4223" i="2"/>
  <c r="E4223" i="2" s="1" a="1"/>
  <c r="E4223" i="2" s="1"/>
  <c r="D4224" i="2"/>
  <c r="E4224" i="2" s="1" a="1"/>
  <c r="E4224" i="2" s="1"/>
  <c r="D4225" i="2"/>
  <c r="E4225" i="2" s="1" a="1"/>
  <c r="E4225" i="2" s="1"/>
  <c r="D4226" i="2"/>
  <c r="E4226" i="2" s="1" a="1"/>
  <c r="E4226" i="2" s="1"/>
  <c r="D4227" i="2"/>
  <c r="E4227" i="2" s="1" a="1"/>
  <c r="E4227" i="2" s="1"/>
  <c r="D4228" i="2"/>
  <c r="E4228" i="2" s="1" a="1"/>
  <c r="E4228" i="2" s="1"/>
  <c r="D4229" i="2"/>
  <c r="E4229" i="2" s="1" a="1"/>
  <c r="E4229" i="2" s="1"/>
  <c r="D4230" i="2"/>
  <c r="E4230" i="2" s="1" a="1"/>
  <c r="E4230" i="2" s="1"/>
  <c r="D4231" i="2"/>
  <c r="E4231" i="2" s="1" a="1"/>
  <c r="E4231" i="2" s="1"/>
  <c r="D4232" i="2"/>
  <c r="E4232" i="2" s="1" a="1"/>
  <c r="E4232" i="2" s="1"/>
  <c r="D4233" i="2"/>
  <c r="E4233" i="2" s="1" a="1"/>
  <c r="E4233" i="2" s="1"/>
  <c r="D4234" i="2"/>
  <c r="E4234" i="2" s="1" a="1"/>
  <c r="E4234" i="2" s="1"/>
  <c r="D4235" i="2"/>
  <c r="E4235" i="2" s="1" a="1"/>
  <c r="E4235" i="2" s="1"/>
  <c r="D4236" i="2"/>
  <c r="E4236" i="2" s="1" a="1"/>
  <c r="E4236" i="2" s="1"/>
  <c r="D4237" i="2"/>
  <c r="E4237" i="2" s="1" a="1"/>
  <c r="E4237" i="2" s="1"/>
  <c r="D4238" i="2"/>
  <c r="E4238" i="2" s="1" a="1"/>
  <c r="E4238" i="2" s="1"/>
  <c r="D4239" i="2"/>
  <c r="E4239" i="2" s="1" a="1"/>
  <c r="E4239" i="2" s="1"/>
  <c r="D4240" i="2"/>
  <c r="E4240" i="2" s="1" a="1"/>
  <c r="E4240" i="2" s="1"/>
  <c r="D4241" i="2"/>
  <c r="E4241" i="2" s="1" a="1"/>
  <c r="E4241" i="2" s="1"/>
  <c r="D4242" i="2"/>
  <c r="E4242" i="2" s="1" a="1"/>
  <c r="E4242" i="2" s="1"/>
  <c r="D4243" i="2"/>
  <c r="E4243" i="2" s="1" a="1"/>
  <c r="E4243" i="2" s="1"/>
  <c r="D4244" i="2"/>
  <c r="E4244" i="2" s="1" a="1"/>
  <c r="E4244" i="2" s="1"/>
  <c r="D4245" i="2"/>
  <c r="E4245" i="2" s="1" a="1"/>
  <c r="E4245" i="2" s="1"/>
  <c r="D4246" i="2"/>
  <c r="E4246" i="2" s="1" a="1"/>
  <c r="E4246" i="2" s="1"/>
  <c r="D4247" i="2"/>
  <c r="E4247" i="2" s="1" a="1"/>
  <c r="E4247" i="2" s="1"/>
  <c r="D4248" i="2"/>
  <c r="E4248" i="2" s="1" a="1"/>
  <c r="E4248" i="2" s="1"/>
  <c r="D4249" i="2"/>
  <c r="E4249" i="2" s="1" a="1"/>
  <c r="E4249" i="2" s="1"/>
  <c r="D4250" i="2"/>
  <c r="E4250" i="2" s="1" a="1"/>
  <c r="E4250" i="2" s="1"/>
  <c r="D4251" i="2"/>
  <c r="E4251" i="2" s="1" a="1"/>
  <c r="E4251" i="2" s="1"/>
  <c r="D4252" i="2"/>
  <c r="E4252" i="2" s="1" a="1"/>
  <c r="E4252" i="2" s="1"/>
  <c r="D4253" i="2"/>
  <c r="E4253" i="2" s="1" a="1"/>
  <c r="E4253" i="2" s="1"/>
  <c r="D4254" i="2"/>
  <c r="E4254" i="2" s="1" a="1"/>
  <c r="E4254" i="2" s="1"/>
  <c r="D4255" i="2"/>
  <c r="E4255" i="2" s="1" a="1"/>
  <c r="E4255" i="2" s="1"/>
  <c r="D4256" i="2"/>
  <c r="E4256" i="2" s="1" a="1"/>
  <c r="E4256" i="2" s="1"/>
  <c r="D4257" i="2"/>
  <c r="E4257" i="2" s="1" a="1"/>
  <c r="E4257" i="2" s="1"/>
  <c r="D4258" i="2"/>
  <c r="E4258" i="2" s="1" a="1"/>
  <c r="E4258" i="2" s="1"/>
  <c r="D4259" i="2"/>
  <c r="E4259" i="2" s="1" a="1"/>
  <c r="E4259" i="2" s="1"/>
  <c r="D4260" i="2"/>
  <c r="E4260" i="2" s="1" a="1"/>
  <c r="E4260" i="2" s="1"/>
  <c r="D4261" i="2"/>
  <c r="E4261" i="2" s="1" a="1"/>
  <c r="E4261" i="2" s="1"/>
  <c r="D4262" i="2"/>
  <c r="E4262" i="2" s="1" a="1"/>
  <c r="E4262" i="2" s="1"/>
  <c r="D4263" i="2"/>
  <c r="E4263" i="2" s="1" a="1"/>
  <c r="E4263" i="2" s="1"/>
  <c r="D4264" i="2"/>
  <c r="E4264" i="2" s="1" a="1"/>
  <c r="E4264" i="2" s="1"/>
  <c r="D4265" i="2"/>
  <c r="E4265" i="2" s="1" a="1"/>
  <c r="E4265" i="2" s="1"/>
  <c r="D4266" i="2"/>
  <c r="E4266" i="2" s="1" a="1"/>
  <c r="E4266" i="2" s="1"/>
  <c r="D4267" i="2"/>
  <c r="E4267" i="2" s="1" a="1"/>
  <c r="E4267" i="2" s="1"/>
  <c r="D4268" i="2"/>
  <c r="E4268" i="2" s="1" a="1"/>
  <c r="E4268" i="2" s="1"/>
  <c r="D4269" i="2"/>
  <c r="E4269" i="2" s="1" a="1"/>
  <c r="E4269" i="2" s="1"/>
  <c r="D4270" i="2"/>
  <c r="E4270" i="2" s="1" a="1"/>
  <c r="E4270" i="2" s="1"/>
  <c r="D4271" i="2"/>
  <c r="E4271" i="2" s="1" a="1"/>
  <c r="E4271" i="2" s="1"/>
  <c r="D4272" i="2"/>
  <c r="E4272" i="2" s="1" a="1"/>
  <c r="E4272" i="2" s="1"/>
  <c r="D4273" i="2"/>
  <c r="E4273" i="2" s="1" a="1"/>
  <c r="E4273" i="2" s="1"/>
  <c r="D4274" i="2"/>
  <c r="E4274" i="2" s="1" a="1"/>
  <c r="E4274" i="2" s="1"/>
  <c r="D4275" i="2"/>
  <c r="E4275" i="2" s="1" a="1"/>
  <c r="E4275" i="2" s="1"/>
  <c r="D4276" i="2"/>
  <c r="E4276" i="2" s="1" a="1"/>
  <c r="E4276" i="2" s="1"/>
  <c r="D4277" i="2"/>
  <c r="E4277" i="2" s="1" a="1"/>
  <c r="E4277" i="2" s="1"/>
  <c r="D4278" i="2"/>
  <c r="E4278" i="2" s="1" a="1"/>
  <c r="E4278" i="2" s="1"/>
  <c r="D4279" i="2"/>
  <c r="E4279" i="2" s="1" a="1"/>
  <c r="E4279" i="2" s="1"/>
  <c r="D4280" i="2"/>
  <c r="E4280" i="2" s="1" a="1"/>
  <c r="E4280" i="2" s="1"/>
  <c r="D4281" i="2"/>
  <c r="E4281" i="2" s="1" a="1"/>
  <c r="E4281" i="2" s="1"/>
  <c r="D4282" i="2"/>
  <c r="E4282" i="2" s="1" a="1"/>
  <c r="E4282" i="2" s="1"/>
  <c r="D4283" i="2"/>
  <c r="E4283" i="2" s="1" a="1"/>
  <c r="E4283" i="2" s="1"/>
  <c r="D4284" i="2"/>
  <c r="E4284" i="2" s="1" a="1"/>
  <c r="E4284" i="2" s="1"/>
  <c r="D4285" i="2"/>
  <c r="E4285" i="2" s="1" a="1"/>
  <c r="E4285" i="2" s="1"/>
  <c r="D4286" i="2"/>
  <c r="E4286" i="2" s="1" a="1"/>
  <c r="E4286" i="2" s="1"/>
  <c r="D4287" i="2"/>
  <c r="E4287" i="2" s="1" a="1"/>
  <c r="E4287" i="2" s="1"/>
  <c r="D4288" i="2"/>
  <c r="E4288" i="2" s="1" a="1"/>
  <c r="E4288" i="2" s="1"/>
  <c r="D4289" i="2"/>
  <c r="E4289" i="2" s="1" a="1"/>
  <c r="E4289" i="2" s="1"/>
  <c r="D4290" i="2"/>
  <c r="E4290" i="2" s="1" a="1"/>
  <c r="E4290" i="2" s="1"/>
  <c r="D4291" i="2"/>
  <c r="E4291" i="2" s="1" a="1"/>
  <c r="E4291" i="2" s="1"/>
  <c r="D4292" i="2"/>
  <c r="E4292" i="2" s="1" a="1"/>
  <c r="E4292" i="2" s="1"/>
  <c r="D4293" i="2"/>
  <c r="E4293" i="2" s="1" a="1"/>
  <c r="E4293" i="2" s="1"/>
  <c r="D4294" i="2"/>
  <c r="E4294" i="2" s="1" a="1"/>
  <c r="E4294" i="2" s="1"/>
  <c r="D4295" i="2"/>
  <c r="E4295" i="2" s="1" a="1"/>
  <c r="E4295" i="2" s="1"/>
  <c r="D4296" i="2"/>
  <c r="E4296" i="2" s="1" a="1"/>
  <c r="E4296" i="2" s="1"/>
  <c r="D4297" i="2"/>
  <c r="E4297" i="2" s="1" a="1"/>
  <c r="E4297" i="2" s="1"/>
  <c r="D4298" i="2"/>
  <c r="E4298" i="2" s="1" a="1"/>
  <c r="E4298" i="2" s="1"/>
  <c r="D4299" i="2"/>
  <c r="E4299" i="2" s="1" a="1"/>
  <c r="E4299" i="2" s="1"/>
  <c r="D4300" i="2"/>
  <c r="E4300" i="2" s="1" a="1"/>
  <c r="E4300" i="2" s="1"/>
  <c r="D4301" i="2"/>
  <c r="E4301" i="2" s="1" a="1"/>
  <c r="E4301" i="2" s="1"/>
  <c r="D4302" i="2"/>
  <c r="E4302" i="2" s="1" a="1"/>
  <c r="E4302" i="2" s="1"/>
  <c r="D4303" i="2"/>
  <c r="E4303" i="2" s="1" a="1"/>
  <c r="E4303" i="2" s="1"/>
  <c r="D4304" i="2"/>
  <c r="E4304" i="2" s="1" a="1"/>
  <c r="E4304" i="2" s="1"/>
  <c r="D4305" i="2"/>
  <c r="E4305" i="2" s="1" a="1"/>
  <c r="E4305" i="2" s="1"/>
  <c r="D4306" i="2"/>
  <c r="E4306" i="2" s="1" a="1"/>
  <c r="E4306" i="2" s="1"/>
  <c r="D4307" i="2"/>
  <c r="E4307" i="2" s="1" a="1"/>
  <c r="E4307" i="2" s="1"/>
  <c r="D4308" i="2"/>
  <c r="E4308" i="2" s="1" a="1"/>
  <c r="E4308" i="2" s="1"/>
  <c r="D4309" i="2"/>
  <c r="E4309" i="2" s="1" a="1"/>
  <c r="E4309" i="2" s="1"/>
  <c r="D4310" i="2"/>
  <c r="E4310" i="2" s="1" a="1"/>
  <c r="E4310" i="2" s="1"/>
  <c r="D4311" i="2"/>
  <c r="E4311" i="2" s="1" a="1"/>
  <c r="E4311" i="2" s="1"/>
  <c r="D4312" i="2"/>
  <c r="E4312" i="2" s="1" a="1"/>
  <c r="E4312" i="2" s="1"/>
  <c r="D4313" i="2"/>
  <c r="E4313" i="2" s="1" a="1"/>
  <c r="E4313" i="2" s="1"/>
  <c r="D4314" i="2"/>
  <c r="E4314" i="2" s="1" a="1"/>
  <c r="E4314" i="2" s="1"/>
  <c r="D4315" i="2"/>
  <c r="E4315" i="2" s="1" a="1"/>
  <c r="E4315" i="2" s="1"/>
  <c r="D4316" i="2"/>
  <c r="E4316" i="2" s="1" a="1"/>
  <c r="E4316" i="2" s="1"/>
  <c r="D4317" i="2"/>
  <c r="E4317" i="2" s="1" a="1"/>
  <c r="E4317" i="2" s="1"/>
  <c r="D4318" i="2"/>
  <c r="E4318" i="2" s="1" a="1"/>
  <c r="E4318" i="2" s="1"/>
  <c r="D4319" i="2"/>
  <c r="E4319" i="2" s="1" a="1"/>
  <c r="E4319" i="2" s="1"/>
  <c r="D4320" i="2"/>
  <c r="E4320" i="2" s="1" a="1"/>
  <c r="E4320" i="2" s="1"/>
  <c r="D4321" i="2"/>
  <c r="E4321" i="2" s="1" a="1"/>
  <c r="E4321" i="2" s="1"/>
  <c r="D4322" i="2"/>
  <c r="E4322" i="2" s="1" a="1"/>
  <c r="E4322" i="2" s="1"/>
  <c r="D4323" i="2"/>
  <c r="E4323" i="2" s="1" a="1"/>
  <c r="E4323" i="2" s="1"/>
  <c r="D4324" i="2"/>
  <c r="E4324" i="2" s="1" a="1"/>
  <c r="E4324" i="2" s="1"/>
  <c r="D4325" i="2"/>
  <c r="E4325" i="2" s="1" a="1"/>
  <c r="E4325" i="2" s="1"/>
  <c r="D4326" i="2"/>
  <c r="E4326" i="2" s="1" a="1"/>
  <c r="E4326" i="2" s="1"/>
  <c r="D4327" i="2"/>
  <c r="E4327" i="2" s="1" a="1"/>
  <c r="E4327" i="2" s="1"/>
  <c r="D4328" i="2"/>
  <c r="E4328" i="2" s="1" a="1"/>
  <c r="E4328" i="2" s="1"/>
  <c r="D4329" i="2"/>
  <c r="E4329" i="2" s="1" a="1"/>
  <c r="E4329" i="2" s="1"/>
  <c r="D4330" i="2"/>
  <c r="E4330" i="2" s="1" a="1"/>
  <c r="E4330" i="2" s="1"/>
  <c r="D4331" i="2"/>
  <c r="E4331" i="2" s="1" a="1"/>
  <c r="E4331" i="2" s="1"/>
  <c r="D4332" i="2"/>
  <c r="E4332" i="2" s="1" a="1"/>
  <c r="E4332" i="2" s="1"/>
  <c r="D4333" i="2"/>
  <c r="E4333" i="2" s="1" a="1"/>
  <c r="E4333" i="2" s="1"/>
  <c r="D4334" i="2"/>
  <c r="E4334" i="2" s="1" a="1"/>
  <c r="E4334" i="2" s="1"/>
  <c r="D4335" i="2"/>
  <c r="E4335" i="2" s="1" a="1"/>
  <c r="E4335" i="2" s="1"/>
  <c r="D4336" i="2"/>
  <c r="E4336" i="2" s="1" a="1"/>
  <c r="E4336" i="2" s="1"/>
  <c r="D4337" i="2"/>
  <c r="E4337" i="2" s="1" a="1"/>
  <c r="E4337" i="2" s="1"/>
  <c r="D4338" i="2"/>
  <c r="E4338" i="2" s="1" a="1"/>
  <c r="E4338" i="2" s="1"/>
  <c r="D4339" i="2"/>
  <c r="E4339" i="2" s="1" a="1"/>
  <c r="E4339" i="2" s="1"/>
  <c r="D4340" i="2"/>
  <c r="E4340" i="2" s="1" a="1"/>
  <c r="E4340" i="2" s="1"/>
  <c r="D4341" i="2"/>
  <c r="E4341" i="2" s="1" a="1"/>
  <c r="E4341" i="2" s="1"/>
  <c r="D4342" i="2"/>
  <c r="E4342" i="2" s="1" a="1"/>
  <c r="E4342" i="2" s="1"/>
  <c r="D4343" i="2"/>
  <c r="E4343" i="2" s="1" a="1"/>
  <c r="E4343" i="2" s="1"/>
  <c r="D4344" i="2"/>
  <c r="E4344" i="2" s="1" a="1"/>
  <c r="E4344" i="2" s="1"/>
  <c r="D4345" i="2"/>
  <c r="E4345" i="2" s="1" a="1"/>
  <c r="E4345" i="2" s="1"/>
  <c r="D4346" i="2"/>
  <c r="E4346" i="2" s="1" a="1"/>
  <c r="E4346" i="2" s="1"/>
  <c r="D4347" i="2"/>
  <c r="E4347" i="2" s="1" a="1"/>
  <c r="E4347" i="2" s="1"/>
  <c r="D4348" i="2"/>
  <c r="E4348" i="2" s="1" a="1"/>
  <c r="E4348" i="2" s="1"/>
  <c r="D4349" i="2"/>
  <c r="E4349" i="2" s="1" a="1"/>
  <c r="E4349" i="2" s="1"/>
  <c r="D4350" i="2"/>
  <c r="E4350" i="2" s="1" a="1"/>
  <c r="E4350" i="2" s="1"/>
  <c r="D4351" i="2"/>
  <c r="E4351" i="2" s="1" a="1"/>
  <c r="E4351" i="2" s="1"/>
  <c r="D4352" i="2"/>
  <c r="E4352" i="2" s="1" a="1"/>
  <c r="E4352" i="2" s="1"/>
  <c r="D4353" i="2"/>
  <c r="E4353" i="2" s="1" a="1"/>
  <c r="E4353" i="2" s="1"/>
  <c r="D4354" i="2"/>
  <c r="E4354" i="2" s="1" a="1"/>
  <c r="E4354" i="2" s="1"/>
  <c r="D4355" i="2"/>
  <c r="E4355" i="2" s="1" a="1"/>
  <c r="E4355" i="2" s="1"/>
  <c r="D4356" i="2"/>
  <c r="E4356" i="2" s="1" a="1"/>
  <c r="E4356" i="2" s="1"/>
  <c r="D4357" i="2"/>
  <c r="E4357" i="2" s="1" a="1"/>
  <c r="E4357" i="2" s="1"/>
  <c r="D4358" i="2"/>
  <c r="E4358" i="2" s="1" a="1"/>
  <c r="E4358" i="2" s="1"/>
  <c r="D4359" i="2"/>
  <c r="E4359" i="2" s="1" a="1"/>
  <c r="E4359" i="2" s="1"/>
  <c r="D4360" i="2"/>
  <c r="E4360" i="2" s="1" a="1"/>
  <c r="E4360" i="2" s="1"/>
  <c r="D4361" i="2"/>
  <c r="E4361" i="2" s="1" a="1"/>
  <c r="E4361" i="2" s="1"/>
  <c r="D4362" i="2"/>
  <c r="E4362" i="2" s="1" a="1"/>
  <c r="E4362" i="2" s="1"/>
  <c r="D4363" i="2"/>
  <c r="E4363" i="2" s="1" a="1"/>
  <c r="E4363" i="2" s="1"/>
  <c r="D4364" i="2"/>
  <c r="E4364" i="2" s="1" a="1"/>
  <c r="E4364" i="2" s="1"/>
  <c r="D4365" i="2"/>
  <c r="E4365" i="2" s="1" a="1"/>
  <c r="E4365" i="2" s="1"/>
  <c r="D4366" i="2"/>
  <c r="E4366" i="2" s="1" a="1"/>
  <c r="E4366" i="2" s="1"/>
  <c r="D4367" i="2"/>
  <c r="E4367" i="2" s="1" a="1"/>
  <c r="E4367" i="2" s="1"/>
  <c r="D4368" i="2"/>
  <c r="E4368" i="2" s="1" a="1"/>
  <c r="E4368" i="2" s="1"/>
  <c r="D4369" i="2"/>
  <c r="E4369" i="2" s="1" a="1"/>
  <c r="E4369" i="2" s="1"/>
  <c r="D4370" i="2"/>
  <c r="E4370" i="2" s="1" a="1"/>
  <c r="E4370" i="2" s="1"/>
  <c r="D4371" i="2"/>
  <c r="E4371" i="2" s="1" a="1"/>
  <c r="E4371" i="2" s="1"/>
  <c r="D4372" i="2"/>
  <c r="E4372" i="2" s="1" a="1"/>
  <c r="E4372" i="2" s="1"/>
  <c r="D4373" i="2"/>
  <c r="E4373" i="2" s="1" a="1"/>
  <c r="E4373" i="2" s="1"/>
  <c r="D4374" i="2"/>
  <c r="E4374" i="2" s="1" a="1"/>
  <c r="E4374" i="2" s="1"/>
  <c r="D4375" i="2"/>
  <c r="E4375" i="2" s="1" a="1"/>
  <c r="E4375" i="2" s="1"/>
  <c r="D4376" i="2"/>
  <c r="E4376" i="2" s="1" a="1"/>
  <c r="E4376" i="2" s="1"/>
  <c r="D4377" i="2"/>
  <c r="E4377" i="2" s="1" a="1"/>
  <c r="E4377" i="2" s="1"/>
  <c r="D4378" i="2"/>
  <c r="E4378" i="2" s="1" a="1"/>
  <c r="E4378" i="2" s="1"/>
  <c r="D4379" i="2"/>
  <c r="E4379" i="2" s="1" a="1"/>
  <c r="E4379" i="2" s="1"/>
  <c r="D4380" i="2"/>
  <c r="E4380" i="2" s="1" a="1"/>
  <c r="E4380" i="2" s="1"/>
  <c r="D4381" i="2"/>
  <c r="E4381" i="2" s="1" a="1"/>
  <c r="E4381" i="2" s="1"/>
  <c r="D4382" i="2"/>
  <c r="E4382" i="2" s="1" a="1"/>
  <c r="E4382" i="2" s="1"/>
  <c r="D4383" i="2"/>
  <c r="E4383" i="2" s="1" a="1"/>
  <c r="E4383" i="2" s="1"/>
  <c r="D4384" i="2"/>
  <c r="E4384" i="2" s="1" a="1"/>
  <c r="E4384" i="2" s="1"/>
  <c r="D4385" i="2"/>
  <c r="E4385" i="2" s="1" a="1"/>
  <c r="E4385" i="2" s="1"/>
  <c r="D4386" i="2"/>
  <c r="E4386" i="2" s="1" a="1"/>
  <c r="E4386" i="2" s="1"/>
  <c r="D4387" i="2"/>
  <c r="E4387" i="2" s="1" a="1"/>
  <c r="E4387" i="2" s="1"/>
  <c r="D4388" i="2"/>
  <c r="E4388" i="2" s="1" a="1"/>
  <c r="E4388" i="2" s="1"/>
  <c r="D4389" i="2"/>
  <c r="E4389" i="2" s="1" a="1"/>
  <c r="E4389" i="2" s="1"/>
  <c r="D4390" i="2"/>
  <c r="E4390" i="2" s="1" a="1"/>
  <c r="E4390" i="2" s="1"/>
  <c r="D4391" i="2"/>
  <c r="E4391" i="2" s="1" a="1"/>
  <c r="E4391" i="2" s="1"/>
  <c r="D4392" i="2"/>
  <c r="E4392" i="2" s="1" a="1"/>
  <c r="E4392" i="2" s="1"/>
  <c r="D4393" i="2"/>
  <c r="E4393" i="2" s="1" a="1"/>
  <c r="E4393" i="2" s="1"/>
  <c r="D4394" i="2"/>
  <c r="E4394" i="2" s="1" a="1"/>
  <c r="E4394" i="2" s="1"/>
  <c r="D4395" i="2"/>
  <c r="E4395" i="2" s="1" a="1"/>
  <c r="E4395" i="2" s="1"/>
  <c r="D4396" i="2"/>
  <c r="E4396" i="2" s="1" a="1"/>
  <c r="E4396" i="2" s="1"/>
  <c r="D4397" i="2"/>
  <c r="E4397" i="2" s="1" a="1"/>
  <c r="E4397" i="2" s="1"/>
  <c r="D4398" i="2"/>
  <c r="E4398" i="2" s="1" a="1"/>
  <c r="E4398" i="2" s="1"/>
  <c r="D4399" i="2"/>
  <c r="E4399" i="2" s="1" a="1"/>
  <c r="E4399" i="2" s="1"/>
  <c r="D4400" i="2"/>
  <c r="E4400" i="2" s="1" a="1"/>
  <c r="E4400" i="2" s="1"/>
  <c r="D4401" i="2"/>
  <c r="E4401" i="2" s="1" a="1"/>
  <c r="E4401" i="2" s="1"/>
  <c r="D4402" i="2"/>
  <c r="E4402" i="2" s="1" a="1"/>
  <c r="E4402" i="2" s="1"/>
  <c r="D4403" i="2"/>
  <c r="E4403" i="2" s="1" a="1"/>
  <c r="E4403" i="2" s="1"/>
  <c r="D4404" i="2"/>
  <c r="E4404" i="2" s="1" a="1"/>
  <c r="E4404" i="2" s="1"/>
  <c r="D4405" i="2"/>
  <c r="E4405" i="2" s="1" a="1"/>
  <c r="E4405" i="2" s="1"/>
  <c r="D4406" i="2"/>
  <c r="E4406" i="2" s="1" a="1"/>
  <c r="E4406" i="2" s="1"/>
  <c r="D4407" i="2"/>
  <c r="E4407" i="2" s="1" a="1"/>
  <c r="E4407" i="2" s="1"/>
  <c r="D4408" i="2"/>
  <c r="E4408" i="2" s="1" a="1"/>
  <c r="E4408" i="2" s="1"/>
  <c r="D4409" i="2"/>
  <c r="E4409" i="2" s="1" a="1"/>
  <c r="E4409" i="2" s="1"/>
  <c r="D4410" i="2"/>
  <c r="E4410" i="2" s="1" a="1"/>
  <c r="E4410" i="2" s="1"/>
  <c r="D4411" i="2"/>
  <c r="E4411" i="2" s="1" a="1"/>
  <c r="E4411" i="2" s="1"/>
  <c r="D4412" i="2"/>
  <c r="E4412" i="2" s="1" a="1"/>
  <c r="E4412" i="2" s="1"/>
  <c r="D4413" i="2"/>
  <c r="E4413" i="2" s="1" a="1"/>
  <c r="E4413" i="2" s="1"/>
  <c r="D4414" i="2"/>
  <c r="E4414" i="2" s="1" a="1"/>
  <c r="E4414" i="2" s="1"/>
  <c r="D4415" i="2"/>
  <c r="E4415" i="2" s="1" a="1"/>
  <c r="E4415" i="2" s="1"/>
  <c r="D4416" i="2"/>
  <c r="E4416" i="2" s="1" a="1"/>
  <c r="E4416" i="2" s="1"/>
  <c r="D4417" i="2"/>
  <c r="E4417" i="2" s="1" a="1"/>
  <c r="E4417" i="2" s="1"/>
  <c r="D4418" i="2"/>
  <c r="E4418" i="2" s="1" a="1"/>
  <c r="E4418" i="2" s="1"/>
  <c r="D4419" i="2"/>
  <c r="E4419" i="2" s="1" a="1"/>
  <c r="E4419" i="2" s="1"/>
  <c r="D4420" i="2"/>
  <c r="E4420" i="2" s="1" a="1"/>
  <c r="E4420" i="2" s="1"/>
  <c r="D4421" i="2"/>
  <c r="E4421" i="2" s="1" a="1"/>
  <c r="E4421" i="2" s="1"/>
  <c r="D4422" i="2"/>
  <c r="E4422" i="2" s="1" a="1"/>
  <c r="E4422" i="2" s="1"/>
  <c r="D4423" i="2"/>
  <c r="E4423" i="2" s="1" a="1"/>
  <c r="E4423" i="2" s="1"/>
  <c r="D4424" i="2"/>
  <c r="E4424" i="2" s="1" a="1"/>
  <c r="E4424" i="2" s="1"/>
  <c r="D4425" i="2"/>
  <c r="E4425" i="2" s="1" a="1"/>
  <c r="E4425" i="2" s="1"/>
  <c r="D4426" i="2"/>
  <c r="E4426" i="2" s="1" a="1"/>
  <c r="E4426" i="2" s="1"/>
  <c r="D4427" i="2"/>
  <c r="E4427" i="2" s="1" a="1"/>
  <c r="E4427" i="2" s="1"/>
  <c r="D4428" i="2"/>
  <c r="E4428" i="2" s="1" a="1"/>
  <c r="E4428" i="2" s="1"/>
  <c r="D4429" i="2"/>
  <c r="E4429" i="2" s="1" a="1"/>
  <c r="E4429" i="2" s="1"/>
  <c r="D4430" i="2"/>
  <c r="E4430" i="2" s="1" a="1"/>
  <c r="E4430" i="2" s="1"/>
  <c r="D4431" i="2"/>
  <c r="E4431" i="2" s="1" a="1"/>
  <c r="E4431" i="2" s="1"/>
  <c r="D4432" i="2"/>
  <c r="E4432" i="2" s="1" a="1"/>
  <c r="E4432" i="2" s="1"/>
  <c r="D4433" i="2"/>
  <c r="E4433" i="2" s="1" a="1"/>
  <c r="E4433" i="2" s="1"/>
  <c r="D4434" i="2"/>
  <c r="E4434" i="2" s="1" a="1"/>
  <c r="E4434" i="2" s="1"/>
  <c r="D4435" i="2"/>
  <c r="E4435" i="2" s="1" a="1"/>
  <c r="E4435" i="2" s="1"/>
  <c r="D4436" i="2"/>
  <c r="E4436" i="2" s="1" a="1"/>
  <c r="E4436" i="2" s="1"/>
  <c r="D4437" i="2"/>
  <c r="E4437" i="2" s="1" a="1"/>
  <c r="E4437" i="2" s="1"/>
  <c r="D4438" i="2"/>
  <c r="E4438" i="2" s="1" a="1"/>
  <c r="E4438" i="2" s="1"/>
  <c r="D4439" i="2"/>
  <c r="E4439" i="2" s="1" a="1"/>
  <c r="E4439" i="2" s="1"/>
  <c r="D4440" i="2"/>
  <c r="E4440" i="2" s="1" a="1"/>
  <c r="E4440" i="2" s="1"/>
  <c r="D4441" i="2"/>
  <c r="E4441" i="2" s="1" a="1"/>
  <c r="E4441" i="2" s="1"/>
  <c r="D4442" i="2"/>
  <c r="E4442" i="2" s="1" a="1"/>
  <c r="E4442" i="2" s="1"/>
  <c r="D4443" i="2"/>
  <c r="E4443" i="2" s="1" a="1"/>
  <c r="E4443" i="2" s="1"/>
  <c r="D4444" i="2"/>
  <c r="E4444" i="2" s="1" a="1"/>
  <c r="E4444" i="2" s="1"/>
  <c r="D4445" i="2"/>
  <c r="E4445" i="2" s="1" a="1"/>
  <c r="E4445" i="2" s="1"/>
  <c r="D4446" i="2"/>
  <c r="E4446" i="2" s="1" a="1"/>
  <c r="E4446" i="2" s="1"/>
  <c r="D4447" i="2"/>
  <c r="E4447" i="2" s="1" a="1"/>
  <c r="E4447" i="2" s="1"/>
  <c r="D4448" i="2"/>
  <c r="E4448" i="2" s="1" a="1"/>
  <c r="E4448" i="2" s="1"/>
  <c r="D4449" i="2"/>
  <c r="E4449" i="2" s="1" a="1"/>
  <c r="E4449" i="2" s="1"/>
  <c r="D4450" i="2"/>
  <c r="E4450" i="2" s="1" a="1"/>
  <c r="E4450" i="2" s="1"/>
  <c r="D4451" i="2"/>
  <c r="E4451" i="2" s="1" a="1"/>
  <c r="E4451" i="2" s="1"/>
  <c r="D4452" i="2"/>
  <c r="E4452" i="2" s="1" a="1"/>
  <c r="E4452" i="2" s="1"/>
  <c r="D4453" i="2"/>
  <c r="E4453" i="2" s="1" a="1"/>
  <c r="E4453" i="2" s="1"/>
  <c r="D4454" i="2"/>
  <c r="E4454" i="2" s="1" a="1"/>
  <c r="E4454" i="2" s="1"/>
  <c r="D4455" i="2"/>
  <c r="E4455" i="2" s="1" a="1"/>
  <c r="E4455" i="2" s="1"/>
  <c r="D4456" i="2"/>
  <c r="E4456" i="2" s="1" a="1"/>
  <c r="E4456" i="2" s="1"/>
  <c r="D4457" i="2"/>
  <c r="E4457" i="2" s="1" a="1"/>
  <c r="E4457" i="2" s="1"/>
  <c r="D4458" i="2"/>
  <c r="E4458" i="2" s="1" a="1"/>
  <c r="E4458" i="2" s="1"/>
  <c r="D4459" i="2"/>
  <c r="E4459" i="2" s="1" a="1"/>
  <c r="E4459" i="2" s="1"/>
  <c r="D4460" i="2"/>
  <c r="E4460" i="2" s="1" a="1"/>
  <c r="E4460" i="2" s="1"/>
  <c r="D4461" i="2"/>
  <c r="E4461" i="2" s="1" a="1"/>
  <c r="E4461" i="2" s="1"/>
  <c r="D4462" i="2"/>
  <c r="E4462" i="2" s="1" a="1"/>
  <c r="E4462" i="2" s="1"/>
  <c r="D4463" i="2"/>
  <c r="E4463" i="2" s="1" a="1"/>
  <c r="E4463" i="2" s="1"/>
  <c r="D4464" i="2"/>
  <c r="E4464" i="2" s="1" a="1"/>
  <c r="E4464" i="2" s="1"/>
  <c r="D4465" i="2"/>
  <c r="E4465" i="2" s="1" a="1"/>
  <c r="E4465" i="2" s="1"/>
  <c r="D4466" i="2"/>
  <c r="E4466" i="2" s="1" a="1"/>
  <c r="E4466" i="2" s="1"/>
  <c r="D4467" i="2"/>
  <c r="E4467" i="2" s="1" a="1"/>
  <c r="E4467" i="2" s="1"/>
  <c r="D4468" i="2"/>
  <c r="E4468" i="2" s="1" a="1"/>
  <c r="E4468" i="2" s="1"/>
  <c r="D4469" i="2"/>
  <c r="E4469" i="2" s="1" a="1"/>
  <c r="E4469" i="2" s="1"/>
  <c r="D4470" i="2"/>
  <c r="E4470" i="2" s="1" a="1"/>
  <c r="E4470" i="2" s="1"/>
  <c r="D4471" i="2"/>
  <c r="E4471" i="2" s="1" a="1"/>
  <c r="E4471" i="2" s="1"/>
  <c r="D4472" i="2"/>
  <c r="E4472" i="2" s="1" a="1"/>
  <c r="E4472" i="2" s="1"/>
  <c r="D4473" i="2"/>
  <c r="E4473" i="2" s="1" a="1"/>
  <c r="E4473" i="2" s="1"/>
  <c r="D4474" i="2"/>
  <c r="E4474" i="2" s="1" a="1"/>
  <c r="E4474" i="2" s="1"/>
  <c r="D4475" i="2"/>
  <c r="E4475" i="2" s="1" a="1"/>
  <c r="E4475" i="2" s="1"/>
  <c r="D4476" i="2"/>
  <c r="E4476" i="2" s="1" a="1"/>
  <c r="E4476" i="2" s="1"/>
  <c r="D4477" i="2"/>
  <c r="E4477" i="2" s="1" a="1"/>
  <c r="E4477" i="2" s="1"/>
  <c r="D4478" i="2"/>
  <c r="E4478" i="2" s="1" a="1"/>
  <c r="E4478" i="2" s="1"/>
  <c r="D4479" i="2"/>
  <c r="E4479" i="2" s="1" a="1"/>
  <c r="E4479" i="2" s="1"/>
  <c r="D4480" i="2"/>
  <c r="E4480" i="2" s="1" a="1"/>
  <c r="E4480" i="2" s="1"/>
  <c r="D4481" i="2"/>
  <c r="E4481" i="2" s="1" a="1"/>
  <c r="E4481" i="2" s="1"/>
  <c r="D4482" i="2"/>
  <c r="E4482" i="2" s="1" a="1"/>
  <c r="E4482" i="2" s="1"/>
  <c r="D4483" i="2"/>
  <c r="E4483" i="2" s="1" a="1"/>
  <c r="E4483" i="2" s="1"/>
  <c r="D4484" i="2"/>
  <c r="E4484" i="2" s="1" a="1"/>
  <c r="E4484" i="2" s="1"/>
  <c r="D4485" i="2"/>
  <c r="E4485" i="2" s="1" a="1"/>
  <c r="E4485" i="2" s="1"/>
  <c r="D4486" i="2"/>
  <c r="E4486" i="2" s="1" a="1"/>
  <c r="E4486" i="2" s="1"/>
  <c r="D4487" i="2"/>
  <c r="E4487" i="2" s="1" a="1"/>
  <c r="E4487" i="2" s="1"/>
  <c r="D4488" i="2"/>
  <c r="E4488" i="2" s="1" a="1"/>
  <c r="E4488" i="2" s="1"/>
  <c r="D4489" i="2"/>
  <c r="E4489" i="2" s="1" a="1"/>
  <c r="E4489" i="2" s="1"/>
  <c r="D4490" i="2"/>
  <c r="E4490" i="2" s="1" a="1"/>
  <c r="E4490" i="2" s="1"/>
  <c r="D4491" i="2"/>
  <c r="E4491" i="2" s="1" a="1"/>
  <c r="E4491" i="2" s="1"/>
  <c r="D4492" i="2"/>
  <c r="E4492" i="2" s="1" a="1"/>
  <c r="E4492" i="2" s="1"/>
  <c r="D4493" i="2"/>
  <c r="E4493" i="2" s="1" a="1"/>
  <c r="E4493" i="2" s="1"/>
  <c r="D4494" i="2"/>
  <c r="E4494" i="2" s="1" a="1"/>
  <c r="E4494" i="2" s="1"/>
  <c r="D4495" i="2"/>
  <c r="E4495" i="2" s="1" a="1"/>
  <c r="E4495" i="2" s="1"/>
  <c r="D4496" i="2"/>
  <c r="E4496" i="2" s="1" a="1"/>
  <c r="E4496" i="2" s="1"/>
  <c r="D4497" i="2"/>
  <c r="E4497" i="2" s="1" a="1"/>
  <c r="E4497" i="2" s="1"/>
  <c r="D4498" i="2"/>
  <c r="E4498" i="2" s="1" a="1"/>
  <c r="E4498" i="2" s="1"/>
  <c r="D4499" i="2"/>
  <c r="E4499" i="2" s="1" a="1"/>
  <c r="E4499" i="2" s="1"/>
  <c r="D4500" i="2"/>
  <c r="E4500" i="2" s="1" a="1"/>
  <c r="E4500" i="2" s="1"/>
  <c r="D4501" i="2"/>
  <c r="E4501" i="2" s="1" a="1"/>
  <c r="E4501" i="2" s="1"/>
  <c r="D4502" i="2"/>
  <c r="E4502" i="2" s="1" a="1"/>
  <c r="E4502" i="2" s="1"/>
  <c r="D4503" i="2"/>
  <c r="E4503" i="2" s="1" a="1"/>
  <c r="E4503" i="2" s="1"/>
  <c r="D4504" i="2"/>
  <c r="E4504" i="2" s="1" a="1"/>
  <c r="E4504" i="2" s="1"/>
  <c r="D4505" i="2"/>
  <c r="E4505" i="2" s="1" a="1"/>
  <c r="E4505" i="2" s="1"/>
  <c r="D4506" i="2"/>
  <c r="E4506" i="2" s="1" a="1"/>
  <c r="E4506" i="2" s="1"/>
  <c r="D4507" i="2"/>
  <c r="E4507" i="2" s="1" a="1"/>
  <c r="E4507" i="2" s="1"/>
  <c r="D4508" i="2"/>
  <c r="E4508" i="2" s="1" a="1"/>
  <c r="E4508" i="2" s="1"/>
  <c r="D4509" i="2"/>
  <c r="E4509" i="2" s="1" a="1"/>
  <c r="E4509" i="2" s="1"/>
  <c r="D4510" i="2"/>
  <c r="E4510" i="2" s="1" a="1"/>
  <c r="E4510" i="2" s="1"/>
  <c r="D4511" i="2"/>
  <c r="E4511" i="2" s="1" a="1"/>
  <c r="E4511" i="2" s="1"/>
  <c r="D4512" i="2"/>
  <c r="E4512" i="2" s="1" a="1"/>
  <c r="E4512" i="2" s="1"/>
  <c r="D4513" i="2"/>
  <c r="E4513" i="2" s="1" a="1"/>
  <c r="E4513" i="2" s="1"/>
  <c r="D4514" i="2"/>
  <c r="E4514" i="2" s="1" a="1"/>
  <c r="E4514" i="2" s="1"/>
  <c r="D4515" i="2"/>
  <c r="E4515" i="2" s="1" a="1"/>
  <c r="E4515" i="2" s="1"/>
  <c r="D4516" i="2"/>
  <c r="E4516" i="2" s="1" a="1"/>
  <c r="E4516" i="2" s="1"/>
  <c r="D4517" i="2"/>
  <c r="E4517" i="2" s="1" a="1"/>
  <c r="E4517" i="2" s="1"/>
  <c r="D4518" i="2"/>
  <c r="E4518" i="2" s="1" a="1"/>
  <c r="E4518" i="2" s="1"/>
  <c r="D4519" i="2"/>
  <c r="E4519" i="2" s="1" a="1"/>
  <c r="E4519" i="2" s="1"/>
  <c r="D4520" i="2"/>
  <c r="E4520" i="2" s="1" a="1"/>
  <c r="E4520" i="2" s="1"/>
  <c r="D4521" i="2"/>
  <c r="E4521" i="2" s="1" a="1"/>
  <c r="E4521" i="2" s="1"/>
  <c r="D4522" i="2"/>
  <c r="E4522" i="2" s="1" a="1"/>
  <c r="E4522" i="2" s="1"/>
  <c r="D4523" i="2"/>
  <c r="E4523" i="2" s="1" a="1"/>
  <c r="E4523" i="2" s="1"/>
  <c r="D4524" i="2"/>
  <c r="E4524" i="2" s="1" a="1"/>
  <c r="E4524" i="2" s="1"/>
  <c r="D4525" i="2"/>
  <c r="E4525" i="2" s="1" a="1"/>
  <c r="E4525" i="2" s="1"/>
  <c r="D4526" i="2"/>
  <c r="E4526" i="2" s="1" a="1"/>
  <c r="E4526" i="2" s="1"/>
  <c r="D4527" i="2"/>
  <c r="E4527" i="2" s="1" a="1"/>
  <c r="E4527" i="2" s="1"/>
  <c r="D4528" i="2"/>
  <c r="E4528" i="2" s="1" a="1"/>
  <c r="E4528" i="2" s="1"/>
  <c r="D4529" i="2"/>
  <c r="E4529" i="2" s="1" a="1"/>
  <c r="E4529" i="2" s="1"/>
  <c r="D4530" i="2"/>
  <c r="E4530" i="2" s="1" a="1"/>
  <c r="E4530" i="2" s="1"/>
  <c r="D4531" i="2"/>
  <c r="E4531" i="2" s="1" a="1"/>
  <c r="E4531" i="2" s="1"/>
  <c r="D4532" i="2"/>
  <c r="E4532" i="2" s="1" a="1"/>
  <c r="E4532" i="2" s="1"/>
  <c r="D4533" i="2"/>
  <c r="E4533" i="2" s="1" a="1"/>
  <c r="E4533" i="2" s="1"/>
  <c r="D4534" i="2"/>
  <c r="E4534" i="2" s="1" a="1"/>
  <c r="E4534" i="2" s="1"/>
  <c r="D4535" i="2"/>
  <c r="E4535" i="2" s="1" a="1"/>
  <c r="E4535" i="2" s="1"/>
  <c r="D4536" i="2"/>
  <c r="E4536" i="2" s="1" a="1"/>
  <c r="E4536" i="2" s="1"/>
  <c r="D4537" i="2"/>
  <c r="E4537" i="2" s="1" a="1"/>
  <c r="E4537" i="2" s="1"/>
  <c r="D4538" i="2"/>
  <c r="E4538" i="2" s="1" a="1"/>
  <c r="E4538" i="2" s="1"/>
  <c r="D4539" i="2"/>
  <c r="E4539" i="2" s="1" a="1"/>
  <c r="E4539" i="2" s="1"/>
  <c r="D4540" i="2"/>
  <c r="E4540" i="2" s="1" a="1"/>
  <c r="E4540" i="2" s="1"/>
  <c r="D4541" i="2"/>
  <c r="E4541" i="2" s="1" a="1"/>
  <c r="E4541" i="2" s="1"/>
  <c r="D4542" i="2"/>
  <c r="E4542" i="2" s="1" a="1"/>
  <c r="E4542" i="2" s="1"/>
  <c r="D4543" i="2"/>
  <c r="E4543" i="2" s="1" a="1"/>
  <c r="E4543" i="2" s="1"/>
  <c r="D4544" i="2"/>
  <c r="E4544" i="2" s="1" a="1"/>
  <c r="E4544" i="2" s="1"/>
  <c r="D4545" i="2"/>
  <c r="E4545" i="2" s="1" a="1"/>
  <c r="E4545" i="2" s="1"/>
  <c r="D4546" i="2"/>
  <c r="E4546" i="2" s="1" a="1"/>
  <c r="E4546" i="2" s="1"/>
  <c r="D4547" i="2"/>
  <c r="E4547" i="2" s="1" a="1"/>
  <c r="E4547" i="2" s="1"/>
  <c r="D4548" i="2"/>
  <c r="E4548" i="2" s="1" a="1"/>
  <c r="E4548" i="2" s="1"/>
  <c r="D4549" i="2"/>
  <c r="E4549" i="2" s="1" a="1"/>
  <c r="E4549" i="2" s="1"/>
  <c r="D4550" i="2"/>
  <c r="E4550" i="2" s="1" a="1"/>
  <c r="E4550" i="2" s="1"/>
  <c r="D4551" i="2"/>
  <c r="E4551" i="2" s="1" a="1"/>
  <c r="E4551" i="2" s="1"/>
  <c r="D4552" i="2"/>
  <c r="E4552" i="2" s="1" a="1"/>
  <c r="E4552" i="2" s="1"/>
  <c r="D4553" i="2"/>
  <c r="E4553" i="2" s="1" a="1"/>
  <c r="E4553" i="2" s="1"/>
  <c r="D4554" i="2"/>
  <c r="E4554" i="2" s="1" a="1"/>
  <c r="E4554" i="2" s="1"/>
  <c r="D4555" i="2"/>
  <c r="E4555" i="2" s="1" a="1"/>
  <c r="E4555" i="2" s="1"/>
  <c r="D4556" i="2"/>
  <c r="E4556" i="2" s="1" a="1"/>
  <c r="E4556" i="2" s="1"/>
  <c r="D4557" i="2"/>
  <c r="E4557" i="2" s="1" a="1"/>
  <c r="E4557" i="2" s="1"/>
  <c r="D4558" i="2"/>
  <c r="E4558" i="2" s="1" a="1"/>
  <c r="E4558" i="2" s="1"/>
  <c r="D4559" i="2"/>
  <c r="E4559" i="2" s="1" a="1"/>
  <c r="E4559" i="2" s="1"/>
  <c r="D4560" i="2"/>
  <c r="E4560" i="2" s="1" a="1"/>
  <c r="E4560" i="2" s="1"/>
  <c r="D4561" i="2"/>
  <c r="E4561" i="2" s="1" a="1"/>
  <c r="E4561" i="2" s="1"/>
  <c r="D4562" i="2"/>
  <c r="E4562" i="2" s="1" a="1"/>
  <c r="E4562" i="2" s="1"/>
  <c r="D4563" i="2"/>
  <c r="E4563" i="2" s="1" a="1"/>
  <c r="E4563" i="2" s="1"/>
  <c r="D4564" i="2"/>
  <c r="E4564" i="2" s="1" a="1"/>
  <c r="E4564" i="2" s="1"/>
  <c r="D4565" i="2"/>
  <c r="E4565" i="2" s="1" a="1"/>
  <c r="E4565" i="2" s="1"/>
  <c r="D4566" i="2"/>
  <c r="E4566" i="2" s="1" a="1"/>
  <c r="E4566" i="2" s="1"/>
  <c r="D4567" i="2"/>
  <c r="E4567" i="2" s="1" a="1"/>
  <c r="E4567" i="2" s="1"/>
  <c r="D4568" i="2"/>
  <c r="E4568" i="2" s="1" a="1"/>
  <c r="E4568" i="2" s="1"/>
  <c r="D4569" i="2"/>
  <c r="E4569" i="2" s="1" a="1"/>
  <c r="E4569" i="2" s="1"/>
  <c r="D4570" i="2"/>
  <c r="E4570" i="2" s="1" a="1"/>
  <c r="E4570" i="2" s="1"/>
  <c r="D4571" i="2"/>
  <c r="E4571" i="2" s="1" a="1"/>
  <c r="E4571" i="2" s="1"/>
  <c r="D4572" i="2"/>
  <c r="E4572" i="2" s="1" a="1"/>
  <c r="E4572" i="2" s="1"/>
  <c r="D4573" i="2"/>
  <c r="E4573" i="2" s="1" a="1"/>
  <c r="E4573" i="2" s="1"/>
  <c r="D4574" i="2"/>
  <c r="E4574" i="2" s="1" a="1"/>
  <c r="E4574" i="2" s="1"/>
  <c r="D4575" i="2"/>
  <c r="E4575" i="2" s="1" a="1"/>
  <c r="E4575" i="2" s="1"/>
  <c r="D4576" i="2"/>
  <c r="E4576" i="2" s="1" a="1"/>
  <c r="E4576" i="2" s="1"/>
  <c r="D4577" i="2"/>
  <c r="E4577" i="2" s="1" a="1"/>
  <c r="E4577" i="2" s="1"/>
  <c r="D4578" i="2"/>
  <c r="E4578" i="2" s="1" a="1"/>
  <c r="E4578" i="2" s="1"/>
  <c r="D4579" i="2"/>
  <c r="E4579" i="2" s="1" a="1"/>
  <c r="E4579" i="2" s="1"/>
  <c r="D4580" i="2"/>
  <c r="E4580" i="2" s="1" a="1"/>
  <c r="E4580" i="2" s="1"/>
  <c r="D4581" i="2"/>
  <c r="E4581" i="2" s="1" a="1"/>
  <c r="E4581" i="2" s="1"/>
  <c r="D4582" i="2"/>
  <c r="E4582" i="2" s="1" a="1"/>
  <c r="E4582" i="2" s="1"/>
  <c r="D4583" i="2"/>
  <c r="E4583" i="2" s="1" a="1"/>
  <c r="E4583" i="2" s="1"/>
  <c r="D4584" i="2"/>
  <c r="E4584" i="2" s="1" a="1"/>
  <c r="E4584" i="2" s="1"/>
  <c r="D4585" i="2"/>
  <c r="E4585" i="2" s="1" a="1"/>
  <c r="E4585" i="2" s="1"/>
  <c r="D4586" i="2"/>
  <c r="E4586" i="2" s="1" a="1"/>
  <c r="E4586" i="2" s="1"/>
  <c r="D4587" i="2"/>
  <c r="E4587" i="2" s="1" a="1"/>
  <c r="E4587" i="2" s="1"/>
  <c r="D4588" i="2"/>
  <c r="E4588" i="2" s="1" a="1"/>
  <c r="E4588" i="2" s="1"/>
  <c r="D4589" i="2"/>
  <c r="E4589" i="2" s="1" a="1"/>
  <c r="E4589" i="2" s="1"/>
  <c r="D4590" i="2"/>
  <c r="E4590" i="2" s="1" a="1"/>
  <c r="E4590" i="2" s="1"/>
  <c r="D4591" i="2"/>
  <c r="E4591" i="2" s="1" a="1"/>
  <c r="E4591" i="2" s="1"/>
  <c r="D4592" i="2"/>
  <c r="E4592" i="2" s="1" a="1"/>
  <c r="E4592" i="2" s="1"/>
  <c r="D4593" i="2"/>
  <c r="E4593" i="2" s="1" a="1"/>
  <c r="E4593" i="2" s="1"/>
  <c r="D4594" i="2"/>
  <c r="E4594" i="2" s="1" a="1"/>
  <c r="E4594" i="2" s="1"/>
  <c r="D4595" i="2"/>
  <c r="E4595" i="2" s="1" a="1"/>
  <c r="E4595" i="2" s="1"/>
  <c r="D4596" i="2"/>
  <c r="E4596" i="2" s="1" a="1"/>
  <c r="E4596" i="2" s="1"/>
  <c r="D4597" i="2"/>
  <c r="E4597" i="2" s="1" a="1"/>
  <c r="E4597" i="2" s="1"/>
  <c r="D4598" i="2"/>
  <c r="E4598" i="2" s="1" a="1"/>
  <c r="E4598" i="2" s="1"/>
  <c r="D4599" i="2"/>
  <c r="E4599" i="2" s="1" a="1"/>
  <c r="E4599" i="2" s="1"/>
  <c r="D4600" i="2"/>
  <c r="E4600" i="2" s="1" a="1"/>
  <c r="E4600" i="2" s="1"/>
  <c r="D4601" i="2"/>
  <c r="E4601" i="2" s="1" a="1"/>
  <c r="E4601" i="2" s="1"/>
  <c r="D4602" i="2"/>
  <c r="E4602" i="2" s="1" a="1"/>
  <c r="E4602" i="2" s="1"/>
  <c r="D4603" i="2"/>
  <c r="E4603" i="2" s="1" a="1"/>
  <c r="E4603" i="2" s="1"/>
  <c r="D4604" i="2"/>
  <c r="E4604" i="2" s="1" a="1"/>
  <c r="E4604" i="2" s="1"/>
  <c r="D4605" i="2"/>
  <c r="E4605" i="2" s="1" a="1"/>
  <c r="E4605" i="2" s="1"/>
  <c r="D4606" i="2"/>
  <c r="E4606" i="2" s="1" a="1"/>
  <c r="E4606" i="2" s="1"/>
  <c r="D4607" i="2"/>
  <c r="E4607" i="2" s="1" a="1"/>
  <c r="E4607" i="2" s="1"/>
  <c r="D4608" i="2"/>
  <c r="E4608" i="2" s="1" a="1"/>
  <c r="E4608" i="2" s="1"/>
  <c r="D4609" i="2"/>
  <c r="E4609" i="2" s="1" a="1"/>
  <c r="E4609" i="2" s="1"/>
  <c r="D4610" i="2"/>
  <c r="E4610" i="2" s="1" a="1"/>
  <c r="E4610" i="2" s="1"/>
  <c r="D4611" i="2"/>
  <c r="E4611" i="2" s="1" a="1"/>
  <c r="E4611" i="2" s="1"/>
  <c r="D4612" i="2"/>
  <c r="E4612" i="2" s="1" a="1"/>
  <c r="E4612" i="2" s="1"/>
  <c r="D4613" i="2"/>
  <c r="E4613" i="2" s="1" a="1"/>
  <c r="E4613" i="2" s="1"/>
  <c r="D4614" i="2"/>
  <c r="E4614" i="2" s="1" a="1"/>
  <c r="E4614" i="2" s="1"/>
  <c r="D4615" i="2"/>
  <c r="E4615" i="2" s="1" a="1"/>
  <c r="E4615" i="2" s="1"/>
  <c r="D4616" i="2"/>
  <c r="E4616" i="2" s="1" a="1"/>
  <c r="E4616" i="2" s="1"/>
  <c r="D4617" i="2"/>
  <c r="E4617" i="2" s="1" a="1"/>
  <c r="E4617" i="2" s="1"/>
  <c r="D4618" i="2"/>
  <c r="E4618" i="2" s="1" a="1"/>
  <c r="E4618" i="2" s="1"/>
  <c r="D4619" i="2"/>
  <c r="E4619" i="2" s="1" a="1"/>
  <c r="E4619" i="2" s="1"/>
  <c r="D4620" i="2"/>
  <c r="E4620" i="2" s="1" a="1"/>
  <c r="E4620" i="2" s="1"/>
  <c r="D4621" i="2"/>
  <c r="E4621" i="2" s="1" a="1"/>
  <c r="E4621" i="2" s="1"/>
  <c r="D4622" i="2"/>
  <c r="E4622" i="2" s="1" a="1"/>
  <c r="E4622" i="2" s="1"/>
  <c r="D4623" i="2"/>
  <c r="E4623" i="2" s="1" a="1"/>
  <c r="E4623" i="2" s="1"/>
  <c r="D4624" i="2"/>
  <c r="E4624" i="2" s="1" a="1"/>
  <c r="E4624" i="2" s="1"/>
  <c r="D4625" i="2"/>
  <c r="E4625" i="2" s="1" a="1"/>
  <c r="E4625" i="2" s="1"/>
  <c r="D4626" i="2"/>
  <c r="E4626" i="2" s="1" a="1"/>
  <c r="E4626" i="2" s="1"/>
  <c r="D4627" i="2"/>
  <c r="E4627" i="2" s="1" a="1"/>
  <c r="E4627" i="2" s="1"/>
  <c r="D4628" i="2"/>
  <c r="E4628" i="2" s="1" a="1"/>
  <c r="E4628" i="2" s="1"/>
  <c r="D4629" i="2"/>
  <c r="E4629" i="2" s="1" a="1"/>
  <c r="E4629" i="2" s="1"/>
  <c r="D4630" i="2"/>
  <c r="E4630" i="2" s="1" a="1"/>
  <c r="E4630" i="2" s="1"/>
  <c r="D4631" i="2"/>
  <c r="E4631" i="2" s="1" a="1"/>
  <c r="E4631" i="2" s="1"/>
  <c r="D4632" i="2"/>
  <c r="E4632" i="2" s="1" a="1"/>
  <c r="E4632" i="2" s="1"/>
  <c r="D4633" i="2"/>
  <c r="E4633" i="2" s="1" a="1"/>
  <c r="E4633" i="2" s="1"/>
  <c r="D4634" i="2"/>
  <c r="E4634" i="2" s="1" a="1"/>
  <c r="E4634" i="2" s="1"/>
  <c r="D4635" i="2"/>
  <c r="E4635" i="2" s="1" a="1"/>
  <c r="E4635" i="2" s="1"/>
  <c r="D4636" i="2"/>
  <c r="E4636" i="2" s="1" a="1"/>
  <c r="E4636" i="2" s="1"/>
  <c r="D4637" i="2"/>
  <c r="E4637" i="2" s="1" a="1"/>
  <c r="E4637" i="2" s="1"/>
  <c r="D4638" i="2"/>
  <c r="E4638" i="2" s="1" a="1"/>
  <c r="E4638" i="2" s="1"/>
  <c r="D4639" i="2"/>
  <c r="E4639" i="2" s="1" a="1"/>
  <c r="E4639" i="2" s="1"/>
  <c r="D4640" i="2"/>
  <c r="E4640" i="2" s="1" a="1"/>
  <c r="E4640" i="2" s="1"/>
  <c r="D4641" i="2"/>
  <c r="E4641" i="2" s="1" a="1"/>
  <c r="E4641" i="2" s="1"/>
  <c r="D4642" i="2"/>
  <c r="E4642" i="2" s="1" a="1"/>
  <c r="E4642" i="2" s="1"/>
  <c r="D4643" i="2"/>
  <c r="E4643" i="2" s="1" a="1"/>
  <c r="E4643" i="2" s="1"/>
  <c r="D4644" i="2"/>
  <c r="E4644" i="2" s="1" a="1"/>
  <c r="E4644" i="2" s="1"/>
  <c r="D4645" i="2"/>
  <c r="E4645" i="2" s="1" a="1"/>
  <c r="E4645" i="2" s="1"/>
  <c r="D4646" i="2"/>
  <c r="E4646" i="2" s="1" a="1"/>
  <c r="E4646" i="2" s="1"/>
  <c r="D4647" i="2"/>
  <c r="E4647" i="2" s="1" a="1"/>
  <c r="E4647" i="2" s="1"/>
  <c r="D4648" i="2"/>
  <c r="E4648" i="2" s="1" a="1"/>
  <c r="E4648" i="2" s="1"/>
  <c r="D4649" i="2"/>
  <c r="E4649" i="2" s="1" a="1"/>
  <c r="E4649" i="2" s="1"/>
  <c r="D4650" i="2"/>
  <c r="E4650" i="2" s="1" a="1"/>
  <c r="E4650" i="2" s="1"/>
  <c r="D4651" i="2"/>
  <c r="E4651" i="2" s="1" a="1"/>
  <c r="E4651" i="2" s="1"/>
  <c r="D4652" i="2"/>
  <c r="E4652" i="2" s="1" a="1"/>
  <c r="E4652" i="2" s="1"/>
  <c r="D4653" i="2"/>
  <c r="E4653" i="2" s="1" a="1"/>
  <c r="E4653" i="2" s="1"/>
  <c r="D4654" i="2"/>
  <c r="E4654" i="2" s="1" a="1"/>
  <c r="E4654" i="2" s="1"/>
  <c r="D4655" i="2"/>
  <c r="E4655" i="2" s="1" a="1"/>
  <c r="E4655" i="2" s="1"/>
  <c r="D4656" i="2"/>
  <c r="E4656" i="2" s="1" a="1"/>
  <c r="E4656" i="2" s="1"/>
  <c r="D4657" i="2"/>
  <c r="E4657" i="2" s="1" a="1"/>
  <c r="E4657" i="2" s="1"/>
  <c r="D4658" i="2"/>
  <c r="E4658" i="2" s="1" a="1"/>
  <c r="E4658" i="2" s="1"/>
  <c r="D4659" i="2"/>
  <c r="E4659" i="2" s="1" a="1"/>
  <c r="E4659" i="2" s="1"/>
  <c r="D4660" i="2"/>
  <c r="E4660" i="2" s="1" a="1"/>
  <c r="E4660" i="2" s="1"/>
  <c r="D4661" i="2"/>
  <c r="E4661" i="2" s="1" a="1"/>
  <c r="E4661" i="2" s="1"/>
  <c r="D4662" i="2"/>
  <c r="E4662" i="2" s="1" a="1"/>
  <c r="E4662" i="2" s="1"/>
  <c r="D4663" i="2"/>
  <c r="E4663" i="2" s="1" a="1"/>
  <c r="E4663" i="2" s="1"/>
  <c r="D4664" i="2"/>
  <c r="E4664" i="2" s="1" a="1"/>
  <c r="E4664" i="2" s="1"/>
  <c r="D4665" i="2"/>
  <c r="E4665" i="2" s="1" a="1"/>
  <c r="E4665" i="2" s="1"/>
  <c r="D4666" i="2"/>
  <c r="E4666" i="2" s="1" a="1"/>
  <c r="E4666" i="2" s="1"/>
  <c r="D4667" i="2"/>
  <c r="E4667" i="2" s="1" a="1"/>
  <c r="E4667" i="2" s="1"/>
  <c r="D4668" i="2"/>
  <c r="E4668" i="2" s="1" a="1"/>
  <c r="E4668" i="2" s="1"/>
  <c r="D4669" i="2"/>
  <c r="E4669" i="2" s="1" a="1"/>
  <c r="E4669" i="2" s="1"/>
  <c r="D4670" i="2"/>
  <c r="E4670" i="2" s="1" a="1"/>
  <c r="E4670" i="2" s="1"/>
  <c r="D4671" i="2"/>
  <c r="E4671" i="2" s="1" a="1"/>
  <c r="E4671" i="2" s="1"/>
  <c r="D4672" i="2"/>
  <c r="E4672" i="2" s="1" a="1"/>
  <c r="E4672" i="2" s="1"/>
  <c r="D4673" i="2"/>
  <c r="E4673" i="2" s="1" a="1"/>
  <c r="E4673" i="2" s="1"/>
  <c r="D4674" i="2"/>
  <c r="E4674" i="2" s="1" a="1"/>
  <c r="E4674" i="2" s="1"/>
  <c r="D4675" i="2"/>
  <c r="E4675" i="2" s="1" a="1"/>
  <c r="E4675" i="2" s="1"/>
  <c r="D4676" i="2"/>
  <c r="E4676" i="2" s="1" a="1"/>
  <c r="E4676" i="2" s="1"/>
  <c r="D4677" i="2"/>
  <c r="E4677" i="2" s="1" a="1"/>
  <c r="E4677" i="2" s="1"/>
  <c r="D4678" i="2"/>
  <c r="E4678" i="2" s="1" a="1"/>
  <c r="E4678" i="2" s="1"/>
  <c r="D4679" i="2"/>
  <c r="E4679" i="2" s="1" a="1"/>
  <c r="E4679" i="2" s="1"/>
  <c r="D4680" i="2"/>
  <c r="E4680" i="2" s="1" a="1"/>
  <c r="E4680" i="2" s="1"/>
  <c r="D4681" i="2"/>
  <c r="E4681" i="2" s="1" a="1"/>
  <c r="E4681" i="2" s="1"/>
  <c r="D4682" i="2"/>
  <c r="E4682" i="2" s="1" a="1"/>
  <c r="E4682" i="2" s="1"/>
  <c r="D4683" i="2"/>
  <c r="E4683" i="2" s="1" a="1"/>
  <c r="E4683" i="2" s="1"/>
  <c r="D4684" i="2"/>
  <c r="E4684" i="2" s="1" a="1"/>
  <c r="E4684" i="2" s="1"/>
  <c r="D4685" i="2"/>
  <c r="E4685" i="2" s="1" a="1"/>
  <c r="E4685" i="2" s="1"/>
  <c r="D4686" i="2"/>
  <c r="E4686" i="2" s="1" a="1"/>
  <c r="E4686" i="2" s="1"/>
  <c r="D4687" i="2"/>
  <c r="E4687" i="2" s="1" a="1"/>
  <c r="E4687" i="2" s="1"/>
  <c r="D4688" i="2"/>
  <c r="E4688" i="2" s="1" a="1"/>
  <c r="E4688" i="2" s="1"/>
  <c r="D4689" i="2"/>
  <c r="E4689" i="2" s="1" a="1"/>
  <c r="E4689" i="2" s="1"/>
  <c r="D4690" i="2"/>
  <c r="E4690" i="2" s="1" a="1"/>
  <c r="E4690" i="2" s="1"/>
  <c r="D4691" i="2"/>
  <c r="E4691" i="2" s="1" a="1"/>
  <c r="E4691" i="2" s="1"/>
  <c r="D4692" i="2"/>
  <c r="E4692" i="2" s="1" a="1"/>
  <c r="E4692" i="2" s="1"/>
  <c r="D4693" i="2"/>
  <c r="E4693" i="2" s="1" a="1"/>
  <c r="E4693" i="2" s="1"/>
  <c r="D4694" i="2"/>
  <c r="E4694" i="2" s="1" a="1"/>
  <c r="E4694" i="2" s="1"/>
  <c r="D4695" i="2"/>
  <c r="E4695" i="2" s="1" a="1"/>
  <c r="E4695" i="2" s="1"/>
  <c r="D4696" i="2"/>
  <c r="E4696" i="2" s="1" a="1"/>
  <c r="E4696" i="2" s="1"/>
  <c r="D4697" i="2"/>
  <c r="E4697" i="2" s="1" a="1"/>
  <c r="E4697" i="2" s="1"/>
  <c r="D4698" i="2"/>
  <c r="E4698" i="2" s="1" a="1"/>
  <c r="E4698" i="2" s="1"/>
  <c r="D4699" i="2"/>
  <c r="E4699" i="2" s="1" a="1"/>
  <c r="E4699" i="2" s="1"/>
  <c r="D4700" i="2"/>
  <c r="E4700" i="2" s="1" a="1"/>
  <c r="E4700" i="2" s="1"/>
  <c r="D4701" i="2"/>
  <c r="E4701" i="2" s="1" a="1"/>
  <c r="E4701" i="2" s="1"/>
  <c r="D4702" i="2"/>
  <c r="E4702" i="2" s="1" a="1"/>
  <c r="E4702" i="2" s="1"/>
  <c r="D4703" i="2"/>
  <c r="E4703" i="2" s="1" a="1"/>
  <c r="E4703" i="2" s="1"/>
  <c r="D4704" i="2"/>
  <c r="E4704" i="2" s="1" a="1"/>
  <c r="E4704" i="2" s="1"/>
  <c r="D4705" i="2"/>
  <c r="E4705" i="2" s="1" a="1"/>
  <c r="E4705" i="2" s="1"/>
  <c r="D4706" i="2"/>
  <c r="E4706" i="2" s="1" a="1"/>
  <c r="E4706" i="2" s="1"/>
  <c r="D4707" i="2"/>
  <c r="E4707" i="2" s="1" a="1"/>
  <c r="E4707" i="2" s="1"/>
  <c r="D4708" i="2"/>
  <c r="E4708" i="2" s="1" a="1"/>
  <c r="E4708" i="2" s="1"/>
  <c r="D4709" i="2"/>
  <c r="E4709" i="2" s="1" a="1"/>
  <c r="E4709" i="2" s="1"/>
  <c r="D4710" i="2"/>
  <c r="E4710" i="2" s="1" a="1"/>
  <c r="E4710" i="2" s="1"/>
  <c r="D4711" i="2"/>
  <c r="E4711" i="2" s="1" a="1"/>
  <c r="E4711" i="2" s="1"/>
  <c r="D4712" i="2"/>
  <c r="E4712" i="2" s="1" a="1"/>
  <c r="E4712" i="2" s="1"/>
  <c r="D4713" i="2"/>
  <c r="E4713" i="2" s="1" a="1"/>
  <c r="E4713" i="2" s="1"/>
  <c r="D4714" i="2"/>
  <c r="E4714" i="2" s="1" a="1"/>
  <c r="E4714" i="2" s="1"/>
  <c r="D4715" i="2"/>
  <c r="E4715" i="2" s="1" a="1"/>
  <c r="E4715" i="2" s="1"/>
  <c r="D4716" i="2"/>
  <c r="E4716" i="2" s="1" a="1"/>
  <c r="E4716" i="2" s="1"/>
  <c r="D4717" i="2"/>
  <c r="E4717" i="2" s="1" a="1"/>
  <c r="E4717" i="2" s="1"/>
  <c r="D4718" i="2"/>
  <c r="E4718" i="2" s="1" a="1"/>
  <c r="E4718" i="2" s="1"/>
  <c r="D4719" i="2"/>
  <c r="E4719" i="2" s="1" a="1"/>
  <c r="E4719" i="2" s="1"/>
  <c r="D4720" i="2"/>
  <c r="E4720" i="2" s="1" a="1"/>
  <c r="E4720" i="2" s="1"/>
  <c r="D4721" i="2"/>
  <c r="E4721" i="2" s="1" a="1"/>
  <c r="E4721" i="2" s="1"/>
  <c r="D4722" i="2"/>
  <c r="E4722" i="2" s="1" a="1"/>
  <c r="E4722" i="2" s="1"/>
  <c r="D4723" i="2"/>
  <c r="E4723" i="2" s="1" a="1"/>
  <c r="E4723" i="2" s="1"/>
  <c r="D4724" i="2"/>
  <c r="E4724" i="2" s="1" a="1"/>
  <c r="E4724" i="2" s="1"/>
  <c r="D4725" i="2"/>
  <c r="E4725" i="2" s="1" a="1"/>
  <c r="E4725" i="2" s="1"/>
  <c r="D4726" i="2"/>
  <c r="E4726" i="2" s="1" a="1"/>
  <c r="E4726" i="2" s="1"/>
  <c r="D4727" i="2"/>
  <c r="E4727" i="2" s="1" a="1"/>
  <c r="E4727" i="2" s="1"/>
  <c r="D4728" i="2"/>
  <c r="E4728" i="2" s="1" a="1"/>
  <c r="E4728" i="2" s="1"/>
  <c r="D4729" i="2"/>
  <c r="E4729" i="2" s="1" a="1"/>
  <c r="E4729" i="2" s="1"/>
  <c r="D4730" i="2"/>
  <c r="E4730" i="2" s="1" a="1"/>
  <c r="E4730" i="2" s="1"/>
  <c r="D4731" i="2"/>
  <c r="E4731" i="2" s="1" a="1"/>
  <c r="E4731" i="2" s="1"/>
  <c r="D4732" i="2"/>
  <c r="E4732" i="2" s="1" a="1"/>
  <c r="E4732" i="2" s="1"/>
  <c r="D4733" i="2"/>
  <c r="E4733" i="2" s="1" a="1"/>
  <c r="E4733" i="2" s="1"/>
  <c r="D4734" i="2"/>
  <c r="E4734" i="2" s="1" a="1"/>
  <c r="E4734" i="2" s="1"/>
  <c r="D4735" i="2"/>
  <c r="E4735" i="2" s="1" a="1"/>
  <c r="E4735" i="2" s="1"/>
  <c r="D4736" i="2"/>
  <c r="E4736" i="2" s="1" a="1"/>
  <c r="E4736" i="2" s="1"/>
  <c r="D4737" i="2"/>
  <c r="E4737" i="2" s="1" a="1"/>
  <c r="E4737" i="2" s="1"/>
  <c r="D4738" i="2"/>
  <c r="E4738" i="2" s="1" a="1"/>
  <c r="E4738" i="2" s="1"/>
  <c r="D4739" i="2"/>
  <c r="E4739" i="2" s="1" a="1"/>
  <c r="E4739" i="2" s="1"/>
  <c r="D4740" i="2"/>
  <c r="E4740" i="2" s="1" a="1"/>
  <c r="E4740" i="2" s="1"/>
  <c r="D4741" i="2"/>
  <c r="E4741" i="2" s="1" a="1"/>
  <c r="E4741" i="2" s="1"/>
  <c r="D4742" i="2"/>
  <c r="E4742" i="2" s="1" a="1"/>
  <c r="E4742" i="2" s="1"/>
  <c r="D4743" i="2"/>
  <c r="E4743" i="2" s="1" a="1"/>
  <c r="E4743" i="2" s="1"/>
  <c r="D4744" i="2"/>
  <c r="E4744" i="2" s="1" a="1"/>
  <c r="E4744" i="2" s="1"/>
  <c r="D4745" i="2"/>
  <c r="E4745" i="2" s="1" a="1"/>
  <c r="E4745" i="2" s="1"/>
  <c r="D4746" i="2"/>
  <c r="E4746" i="2" s="1" a="1"/>
  <c r="E4746" i="2" s="1"/>
  <c r="D4747" i="2"/>
  <c r="E4747" i="2" s="1" a="1"/>
  <c r="E4747" i="2" s="1"/>
  <c r="D4748" i="2"/>
  <c r="E4748" i="2" s="1" a="1"/>
  <c r="E4748" i="2" s="1"/>
  <c r="D4749" i="2"/>
  <c r="E4749" i="2" s="1" a="1"/>
  <c r="E4749" i="2" s="1"/>
  <c r="D4750" i="2"/>
  <c r="E4750" i="2" s="1" a="1"/>
  <c r="E4750" i="2" s="1"/>
  <c r="D4751" i="2"/>
  <c r="E4751" i="2" s="1" a="1"/>
  <c r="E4751" i="2" s="1"/>
  <c r="D4752" i="2"/>
  <c r="E4752" i="2" s="1" a="1"/>
  <c r="E4752" i="2" s="1"/>
  <c r="D4753" i="2"/>
  <c r="E4753" i="2" s="1" a="1"/>
  <c r="E4753" i="2" s="1"/>
  <c r="D4754" i="2"/>
  <c r="E4754" i="2" s="1" a="1"/>
  <c r="E4754" i="2" s="1"/>
  <c r="D4755" i="2"/>
  <c r="E4755" i="2" s="1" a="1"/>
  <c r="E4755" i="2" s="1"/>
  <c r="D4756" i="2"/>
  <c r="E4756" i="2" s="1" a="1"/>
  <c r="E4756" i="2" s="1"/>
  <c r="D4757" i="2"/>
  <c r="E4757" i="2" s="1" a="1"/>
  <c r="E4757" i="2" s="1"/>
  <c r="D4758" i="2"/>
  <c r="E4758" i="2" s="1" a="1"/>
  <c r="E4758" i="2" s="1"/>
  <c r="D4759" i="2"/>
  <c r="E4759" i="2" s="1" a="1"/>
  <c r="E4759" i="2" s="1"/>
  <c r="D4760" i="2"/>
  <c r="E4760" i="2" s="1" a="1"/>
  <c r="E4760" i="2" s="1"/>
  <c r="D4761" i="2"/>
  <c r="E4761" i="2" s="1" a="1"/>
  <c r="E4761" i="2" s="1"/>
  <c r="D4762" i="2"/>
  <c r="E4762" i="2" s="1" a="1"/>
  <c r="E4762" i="2" s="1"/>
  <c r="D4763" i="2"/>
  <c r="E4763" i="2" s="1" a="1"/>
  <c r="E4763" i="2" s="1"/>
  <c r="D4764" i="2"/>
  <c r="E4764" i="2" s="1" a="1"/>
  <c r="E4764" i="2" s="1"/>
  <c r="D4765" i="2"/>
  <c r="E4765" i="2" s="1" a="1"/>
  <c r="E4765" i="2" s="1"/>
  <c r="D4766" i="2"/>
  <c r="E4766" i="2" s="1" a="1"/>
  <c r="E4766" i="2" s="1"/>
  <c r="D4767" i="2"/>
  <c r="E4767" i="2" s="1" a="1"/>
  <c r="E4767" i="2" s="1"/>
  <c r="D4768" i="2"/>
  <c r="E4768" i="2" s="1" a="1"/>
  <c r="E4768" i="2" s="1"/>
  <c r="D4769" i="2"/>
  <c r="E4769" i="2" s="1" a="1"/>
  <c r="E4769" i="2" s="1"/>
  <c r="D4770" i="2"/>
  <c r="E4770" i="2" s="1" a="1"/>
  <c r="E4770" i="2" s="1"/>
  <c r="D4771" i="2"/>
  <c r="E4771" i="2" s="1" a="1"/>
  <c r="E4771" i="2" s="1"/>
  <c r="D4772" i="2"/>
  <c r="E4772" i="2" s="1" a="1"/>
  <c r="E4772" i="2" s="1"/>
  <c r="D4773" i="2"/>
  <c r="E4773" i="2" s="1" a="1"/>
  <c r="E4773" i="2" s="1"/>
  <c r="D4774" i="2"/>
  <c r="E4774" i="2" s="1" a="1"/>
  <c r="E4774" i="2" s="1"/>
  <c r="D4775" i="2"/>
  <c r="E4775" i="2" s="1" a="1"/>
  <c r="E4775" i="2" s="1"/>
  <c r="D4776" i="2"/>
  <c r="E4776" i="2" s="1" a="1"/>
  <c r="E4776" i="2" s="1"/>
  <c r="D4777" i="2"/>
  <c r="E4777" i="2" s="1" a="1"/>
  <c r="E4777" i="2" s="1"/>
  <c r="D4778" i="2"/>
  <c r="E4778" i="2" s="1" a="1"/>
  <c r="E4778" i="2" s="1"/>
  <c r="D4779" i="2"/>
  <c r="E4779" i="2" s="1" a="1"/>
  <c r="E4779" i="2" s="1"/>
  <c r="D4780" i="2"/>
  <c r="E4780" i="2" s="1" a="1"/>
  <c r="E4780" i="2" s="1"/>
  <c r="D4781" i="2"/>
  <c r="E4781" i="2" s="1" a="1"/>
  <c r="E4781" i="2" s="1"/>
  <c r="D4782" i="2"/>
  <c r="E4782" i="2" s="1" a="1"/>
  <c r="E4782" i="2" s="1"/>
  <c r="D4783" i="2"/>
  <c r="E4783" i="2" s="1" a="1"/>
  <c r="E4783" i="2" s="1"/>
  <c r="D4784" i="2"/>
  <c r="E4784" i="2" s="1" a="1"/>
  <c r="E4784" i="2" s="1"/>
  <c r="D4785" i="2"/>
  <c r="E4785" i="2" s="1" a="1"/>
  <c r="E4785" i="2" s="1"/>
  <c r="D4786" i="2"/>
  <c r="E4786" i="2" s="1" a="1"/>
  <c r="E4786" i="2" s="1"/>
  <c r="D4787" i="2"/>
  <c r="E4787" i="2" s="1" a="1"/>
  <c r="E4787" i="2" s="1"/>
  <c r="D4788" i="2"/>
  <c r="E4788" i="2" s="1" a="1"/>
  <c r="E4788" i="2" s="1"/>
  <c r="D4789" i="2"/>
  <c r="E4789" i="2" s="1" a="1"/>
  <c r="E4789" i="2" s="1"/>
  <c r="D4790" i="2"/>
  <c r="E4790" i="2" s="1" a="1"/>
  <c r="E4790" i="2" s="1"/>
  <c r="D4791" i="2"/>
  <c r="E4791" i="2" s="1" a="1"/>
  <c r="E4791" i="2" s="1"/>
  <c r="D4792" i="2"/>
  <c r="E4792" i="2" s="1" a="1"/>
  <c r="E4792" i="2" s="1"/>
  <c r="D4793" i="2"/>
  <c r="E4793" i="2" s="1" a="1"/>
  <c r="E4793" i="2" s="1"/>
  <c r="D4794" i="2"/>
  <c r="E4794" i="2" s="1" a="1"/>
  <c r="E4794" i="2" s="1"/>
  <c r="D4795" i="2"/>
  <c r="E4795" i="2" s="1" a="1"/>
  <c r="E4795" i="2" s="1"/>
  <c r="D4796" i="2"/>
  <c r="E4796" i="2" s="1" a="1"/>
  <c r="E4796" i="2" s="1"/>
  <c r="D4797" i="2"/>
  <c r="E4797" i="2" s="1" a="1"/>
  <c r="E4797" i="2" s="1"/>
  <c r="D4798" i="2"/>
  <c r="E4798" i="2" s="1" a="1"/>
  <c r="E4798" i="2" s="1"/>
  <c r="D4799" i="2"/>
  <c r="E4799" i="2" s="1" a="1"/>
  <c r="E4799" i="2" s="1"/>
  <c r="D4800" i="2"/>
  <c r="E4800" i="2" s="1" a="1"/>
  <c r="E4800" i="2" s="1"/>
  <c r="D4801" i="2"/>
  <c r="E4801" i="2" s="1" a="1"/>
  <c r="E4801" i="2" s="1"/>
  <c r="D4802" i="2"/>
  <c r="E4802" i="2" s="1" a="1"/>
  <c r="E4802" i="2" s="1"/>
  <c r="D4803" i="2"/>
  <c r="E4803" i="2" s="1" a="1"/>
  <c r="E4803" i="2" s="1"/>
  <c r="D4804" i="2"/>
  <c r="E4804" i="2" s="1" a="1"/>
  <c r="E4804" i="2" s="1"/>
  <c r="D4805" i="2"/>
  <c r="E4805" i="2" s="1" a="1"/>
  <c r="E4805" i="2" s="1"/>
  <c r="D4806" i="2"/>
  <c r="E4806" i="2" s="1" a="1"/>
  <c r="E4806" i="2" s="1"/>
  <c r="D4807" i="2"/>
  <c r="E4807" i="2" s="1" a="1"/>
  <c r="E4807" i="2" s="1"/>
  <c r="D4808" i="2"/>
  <c r="E4808" i="2" s="1" a="1"/>
  <c r="E4808" i="2" s="1"/>
  <c r="D4809" i="2"/>
  <c r="E4809" i="2" s="1" a="1"/>
  <c r="E4809" i="2" s="1"/>
  <c r="D4810" i="2"/>
  <c r="E4810" i="2" s="1" a="1"/>
  <c r="E4810" i="2" s="1"/>
  <c r="D4811" i="2"/>
  <c r="E4811" i="2" s="1" a="1"/>
  <c r="E4811" i="2" s="1"/>
  <c r="D4812" i="2"/>
  <c r="E4812" i="2" s="1" a="1"/>
  <c r="E4812" i="2" s="1"/>
  <c r="D4813" i="2"/>
  <c r="E4813" i="2" s="1" a="1"/>
  <c r="E4813" i="2" s="1"/>
  <c r="D4814" i="2"/>
  <c r="E4814" i="2" s="1" a="1"/>
  <c r="E4814" i="2" s="1"/>
  <c r="D4815" i="2"/>
  <c r="E4815" i="2" s="1" a="1"/>
  <c r="E4815" i="2" s="1"/>
  <c r="D4816" i="2"/>
  <c r="E4816" i="2" s="1" a="1"/>
  <c r="E4816" i="2" s="1"/>
  <c r="D4817" i="2"/>
  <c r="E4817" i="2" s="1" a="1"/>
  <c r="E4817" i="2" s="1"/>
  <c r="D4818" i="2"/>
  <c r="E4818" i="2" s="1" a="1"/>
  <c r="E4818" i="2" s="1"/>
  <c r="D4819" i="2"/>
  <c r="E4819" i="2" s="1" a="1"/>
  <c r="E4819" i="2" s="1"/>
  <c r="D4820" i="2"/>
  <c r="E4820" i="2" s="1" a="1"/>
  <c r="E4820" i="2" s="1"/>
  <c r="D4821" i="2"/>
  <c r="E4821" i="2" s="1" a="1"/>
  <c r="E4821" i="2" s="1"/>
  <c r="D4822" i="2"/>
  <c r="E4822" i="2" s="1" a="1"/>
  <c r="E4822" i="2" s="1"/>
  <c r="D4823" i="2"/>
  <c r="E4823" i="2" s="1" a="1"/>
  <c r="E4823" i="2" s="1"/>
  <c r="D4824" i="2"/>
  <c r="E4824" i="2" s="1" a="1"/>
  <c r="E4824" i="2" s="1"/>
  <c r="D4825" i="2"/>
  <c r="E4825" i="2" s="1" a="1"/>
  <c r="E4825" i="2" s="1"/>
  <c r="D4826" i="2"/>
  <c r="E4826" i="2" s="1" a="1"/>
  <c r="E4826" i="2" s="1"/>
  <c r="D4827" i="2"/>
  <c r="E4827" i="2" s="1" a="1"/>
  <c r="E4827" i="2" s="1"/>
  <c r="D4828" i="2"/>
  <c r="E4828" i="2" s="1" a="1"/>
  <c r="E4828" i="2" s="1"/>
  <c r="D4829" i="2"/>
  <c r="E4829" i="2" s="1" a="1"/>
  <c r="E4829" i="2" s="1"/>
  <c r="D4830" i="2"/>
  <c r="E4830" i="2" s="1" a="1"/>
  <c r="E4830" i="2" s="1"/>
  <c r="D4831" i="2"/>
  <c r="E4831" i="2" s="1" a="1"/>
  <c r="E4831" i="2" s="1"/>
  <c r="D4832" i="2"/>
  <c r="E4832" i="2" s="1" a="1"/>
  <c r="E4832" i="2" s="1"/>
  <c r="D4833" i="2"/>
  <c r="E4833" i="2" s="1" a="1"/>
  <c r="E4833" i="2" s="1"/>
  <c r="D4834" i="2"/>
  <c r="E4834" i="2" s="1" a="1"/>
  <c r="E4834" i="2" s="1"/>
  <c r="D4835" i="2"/>
  <c r="E4835" i="2" s="1" a="1"/>
  <c r="E4835" i="2" s="1"/>
  <c r="D4836" i="2"/>
  <c r="E4836" i="2" s="1" a="1"/>
  <c r="E4836" i="2" s="1"/>
  <c r="D4837" i="2"/>
  <c r="E4837" i="2" s="1" a="1"/>
  <c r="E4837" i="2" s="1"/>
  <c r="D4838" i="2"/>
  <c r="E4838" i="2" s="1" a="1"/>
  <c r="E4838" i="2" s="1"/>
  <c r="D4839" i="2"/>
  <c r="E4839" i="2" s="1" a="1"/>
  <c r="E4839" i="2" s="1"/>
  <c r="D4840" i="2"/>
  <c r="E4840" i="2" s="1" a="1"/>
  <c r="E4840" i="2" s="1"/>
  <c r="D4841" i="2"/>
  <c r="E4841" i="2" s="1" a="1"/>
  <c r="E4841" i="2" s="1"/>
  <c r="D4842" i="2"/>
  <c r="E4842" i="2" s="1" a="1"/>
  <c r="E4842" i="2" s="1"/>
  <c r="D4843" i="2"/>
  <c r="E4843" i="2" s="1" a="1"/>
  <c r="E4843" i="2" s="1"/>
  <c r="D4844" i="2"/>
  <c r="E4844" i="2" s="1" a="1"/>
  <c r="E4844" i="2" s="1"/>
  <c r="D4845" i="2"/>
  <c r="E4845" i="2" s="1" a="1"/>
  <c r="E4845" i="2" s="1"/>
  <c r="D4846" i="2"/>
  <c r="E4846" i="2" s="1" a="1"/>
  <c r="E4846" i="2" s="1"/>
  <c r="D4847" i="2"/>
  <c r="E4847" i="2" s="1" a="1"/>
  <c r="E4847" i="2" s="1"/>
  <c r="D4848" i="2"/>
  <c r="E4848" i="2" s="1" a="1"/>
  <c r="E4848" i="2" s="1"/>
  <c r="D4849" i="2"/>
  <c r="E4849" i="2" s="1" a="1"/>
  <c r="E4849" i="2" s="1"/>
  <c r="D4850" i="2"/>
  <c r="E4850" i="2" s="1" a="1"/>
  <c r="E4850" i="2" s="1"/>
  <c r="D4851" i="2"/>
  <c r="E4851" i="2" s="1" a="1"/>
  <c r="E4851" i="2" s="1"/>
  <c r="D4852" i="2"/>
  <c r="E4852" i="2" s="1" a="1"/>
  <c r="E4852" i="2" s="1"/>
  <c r="D4853" i="2"/>
  <c r="E4853" i="2" s="1" a="1"/>
  <c r="E4853" i="2" s="1"/>
  <c r="D4854" i="2"/>
  <c r="E4854" i="2" s="1" a="1"/>
  <c r="E4854" i="2" s="1"/>
  <c r="D4855" i="2"/>
  <c r="E4855" i="2" s="1" a="1"/>
  <c r="E4855" i="2" s="1"/>
  <c r="D4856" i="2"/>
  <c r="E4856" i="2" s="1" a="1"/>
  <c r="E4856" i="2" s="1"/>
  <c r="D4857" i="2"/>
  <c r="E4857" i="2" s="1" a="1"/>
  <c r="E4857" i="2" s="1"/>
  <c r="D4858" i="2"/>
  <c r="E4858" i="2" s="1" a="1"/>
  <c r="E4858" i="2" s="1"/>
  <c r="D4859" i="2"/>
  <c r="E4859" i="2" s="1" a="1"/>
  <c r="E4859" i="2" s="1"/>
  <c r="D4860" i="2"/>
  <c r="E4860" i="2" s="1" a="1"/>
  <c r="E4860" i="2" s="1"/>
  <c r="D4861" i="2"/>
  <c r="E4861" i="2" s="1" a="1"/>
  <c r="E4861" i="2" s="1"/>
  <c r="D4862" i="2"/>
  <c r="E4862" i="2" s="1" a="1"/>
  <c r="E4862" i="2" s="1"/>
  <c r="D4863" i="2"/>
  <c r="E4863" i="2" s="1" a="1"/>
  <c r="E4863" i="2" s="1"/>
  <c r="D4864" i="2"/>
  <c r="E4864" i="2" s="1" a="1"/>
  <c r="E4864" i="2" s="1"/>
  <c r="D4865" i="2"/>
  <c r="E4865" i="2" s="1" a="1"/>
  <c r="E4865" i="2" s="1"/>
  <c r="D4866" i="2"/>
  <c r="E4866" i="2" s="1" a="1"/>
  <c r="E4866" i="2" s="1"/>
  <c r="D4867" i="2"/>
  <c r="E4867" i="2" s="1" a="1"/>
  <c r="E4867" i="2" s="1"/>
  <c r="D4868" i="2"/>
  <c r="E4868" i="2" s="1" a="1"/>
  <c r="E4868" i="2" s="1"/>
  <c r="D4869" i="2"/>
  <c r="E4869" i="2" s="1" a="1"/>
  <c r="E4869" i="2" s="1"/>
  <c r="D4870" i="2"/>
  <c r="E4870" i="2" s="1" a="1"/>
  <c r="E4870" i="2" s="1"/>
  <c r="D4871" i="2"/>
  <c r="E4871" i="2" s="1" a="1"/>
  <c r="E4871" i="2" s="1"/>
  <c r="D4872" i="2"/>
  <c r="E4872" i="2" s="1" a="1"/>
  <c r="E4872" i="2" s="1"/>
  <c r="D4873" i="2"/>
  <c r="E4873" i="2" s="1" a="1"/>
  <c r="E4873" i="2" s="1"/>
  <c r="D4874" i="2"/>
  <c r="E4874" i="2" s="1" a="1"/>
  <c r="E4874" i="2" s="1"/>
  <c r="D4875" i="2"/>
  <c r="E4875" i="2" s="1" a="1"/>
  <c r="E4875" i="2" s="1"/>
  <c r="D4876" i="2"/>
  <c r="E4876" i="2" s="1" a="1"/>
  <c r="E4876" i="2" s="1"/>
  <c r="D4877" i="2"/>
  <c r="E4877" i="2" s="1" a="1"/>
  <c r="E4877" i="2" s="1"/>
  <c r="D4878" i="2"/>
  <c r="E4878" i="2" s="1" a="1"/>
  <c r="E4878" i="2" s="1"/>
  <c r="D4879" i="2"/>
  <c r="E4879" i="2" s="1" a="1"/>
  <c r="E4879" i="2" s="1"/>
  <c r="D4880" i="2"/>
  <c r="E4880" i="2" s="1" a="1"/>
  <c r="E4880" i="2" s="1"/>
  <c r="D4881" i="2"/>
  <c r="E4881" i="2" s="1" a="1"/>
  <c r="E4881" i="2" s="1"/>
  <c r="D4882" i="2"/>
  <c r="E4882" i="2" s="1" a="1"/>
  <c r="E4882" i="2" s="1"/>
  <c r="D4883" i="2"/>
  <c r="E4883" i="2" s="1" a="1"/>
  <c r="E4883" i="2" s="1"/>
  <c r="D4884" i="2"/>
  <c r="E4884" i="2" s="1" a="1"/>
  <c r="E4884" i="2" s="1"/>
  <c r="D4885" i="2"/>
  <c r="E4885" i="2" s="1" a="1"/>
  <c r="E4885" i="2" s="1"/>
  <c r="D4886" i="2"/>
  <c r="E4886" i="2" s="1" a="1"/>
  <c r="E4886" i="2" s="1"/>
  <c r="D4887" i="2"/>
  <c r="E4887" i="2" s="1" a="1"/>
  <c r="E4887" i="2" s="1"/>
  <c r="D4888" i="2"/>
  <c r="E4888" i="2" s="1" a="1"/>
  <c r="E4888" i="2" s="1"/>
  <c r="D4889" i="2"/>
  <c r="E4889" i="2" s="1" a="1"/>
  <c r="E4889" i="2" s="1"/>
  <c r="D4890" i="2"/>
  <c r="E4890" i="2" s="1" a="1"/>
  <c r="E4890" i="2" s="1"/>
  <c r="D4891" i="2"/>
  <c r="E4891" i="2" s="1" a="1"/>
  <c r="E4891" i="2" s="1"/>
  <c r="D4892" i="2"/>
  <c r="E4892" i="2" s="1" a="1"/>
  <c r="E4892" i="2" s="1"/>
  <c r="D4893" i="2"/>
  <c r="E4893" i="2" s="1" a="1"/>
  <c r="E4893" i="2" s="1"/>
  <c r="D4894" i="2"/>
  <c r="E4894" i="2" s="1" a="1"/>
  <c r="E4894" i="2" s="1"/>
  <c r="D4895" i="2"/>
  <c r="E4895" i="2" s="1" a="1"/>
  <c r="E4895" i="2" s="1"/>
  <c r="D4896" i="2"/>
  <c r="E4896" i="2" s="1" a="1"/>
  <c r="E4896" i="2" s="1"/>
  <c r="D4897" i="2"/>
  <c r="E4897" i="2" s="1" a="1"/>
  <c r="E4897" i="2" s="1"/>
  <c r="D4898" i="2"/>
  <c r="E4898" i="2" s="1" a="1"/>
  <c r="E4898" i="2" s="1"/>
  <c r="D4899" i="2"/>
  <c r="E4899" i="2" s="1" a="1"/>
  <c r="E4899" i="2" s="1"/>
  <c r="D4900" i="2"/>
  <c r="E4900" i="2" s="1" a="1"/>
  <c r="E4900" i="2" s="1"/>
  <c r="D4901" i="2"/>
  <c r="E4901" i="2" s="1" a="1"/>
  <c r="E4901" i="2" s="1"/>
  <c r="D4902" i="2"/>
  <c r="E4902" i="2" s="1" a="1"/>
  <c r="E4902" i="2" s="1"/>
  <c r="D4903" i="2"/>
  <c r="E4903" i="2" s="1" a="1"/>
  <c r="E4903" i="2" s="1"/>
  <c r="D4904" i="2"/>
  <c r="E4904" i="2" s="1" a="1"/>
  <c r="E4904" i="2" s="1"/>
  <c r="D4905" i="2"/>
  <c r="E4905" i="2" s="1" a="1"/>
  <c r="E4905" i="2" s="1"/>
  <c r="D4906" i="2"/>
  <c r="E4906" i="2" s="1" a="1"/>
  <c r="E4906" i="2" s="1"/>
  <c r="D4907" i="2"/>
  <c r="E4907" i="2" s="1" a="1"/>
  <c r="E4907" i="2" s="1"/>
  <c r="D4908" i="2"/>
  <c r="E4908" i="2" s="1" a="1"/>
  <c r="E4908" i="2" s="1"/>
  <c r="D4909" i="2"/>
  <c r="E4909" i="2" s="1" a="1"/>
  <c r="E4909" i="2" s="1"/>
  <c r="D4910" i="2"/>
  <c r="E4910" i="2" s="1" a="1"/>
  <c r="E4910" i="2" s="1"/>
  <c r="D4911" i="2"/>
  <c r="E4911" i="2" s="1" a="1"/>
  <c r="E4911" i="2" s="1"/>
  <c r="D4912" i="2"/>
  <c r="E4912" i="2" s="1" a="1"/>
  <c r="E4912" i="2" s="1"/>
  <c r="D4913" i="2"/>
  <c r="E4913" i="2" s="1" a="1"/>
  <c r="E4913" i="2" s="1"/>
  <c r="D4914" i="2"/>
  <c r="E4914" i="2" s="1" a="1"/>
  <c r="E4914" i="2" s="1"/>
  <c r="D4915" i="2"/>
  <c r="E4915" i="2" s="1" a="1"/>
  <c r="E4915" i="2" s="1"/>
  <c r="D4916" i="2"/>
  <c r="E4916" i="2" s="1" a="1"/>
  <c r="E4916" i="2" s="1"/>
  <c r="D4917" i="2"/>
  <c r="E4917" i="2" s="1" a="1"/>
  <c r="E4917" i="2" s="1"/>
  <c r="D4918" i="2"/>
  <c r="E4918" i="2" s="1" a="1"/>
  <c r="E4918" i="2" s="1"/>
  <c r="D4919" i="2"/>
  <c r="E4919" i="2" s="1" a="1"/>
  <c r="E4919" i="2" s="1"/>
  <c r="D4920" i="2"/>
  <c r="E4920" i="2" s="1" a="1"/>
  <c r="E4920" i="2" s="1"/>
  <c r="D4921" i="2"/>
  <c r="E4921" i="2" s="1" a="1"/>
  <c r="E4921" i="2" s="1"/>
  <c r="D4922" i="2"/>
  <c r="E4922" i="2" s="1" a="1"/>
  <c r="E4922" i="2" s="1"/>
  <c r="D4923" i="2"/>
  <c r="E4923" i="2" s="1" a="1"/>
  <c r="E4923" i="2" s="1"/>
  <c r="D4924" i="2"/>
  <c r="E4924" i="2" s="1" a="1"/>
  <c r="E4924" i="2" s="1"/>
  <c r="D4925" i="2"/>
  <c r="E4925" i="2" s="1" a="1"/>
  <c r="E4925" i="2" s="1"/>
  <c r="D4926" i="2"/>
  <c r="E4926" i="2" s="1" a="1"/>
  <c r="E4926" i="2" s="1"/>
  <c r="D4927" i="2"/>
  <c r="E4927" i="2" s="1" a="1"/>
  <c r="E4927" i="2" s="1"/>
  <c r="D4928" i="2"/>
  <c r="E4928" i="2" s="1" a="1"/>
  <c r="E4928" i="2" s="1"/>
  <c r="D4929" i="2"/>
  <c r="E4929" i="2" s="1" a="1"/>
  <c r="E4929" i="2" s="1"/>
  <c r="D4930" i="2"/>
  <c r="E4930" i="2" s="1" a="1"/>
  <c r="E4930" i="2" s="1"/>
  <c r="D4931" i="2"/>
  <c r="E4931" i="2" s="1" a="1"/>
  <c r="E4931" i="2" s="1"/>
  <c r="D4932" i="2"/>
  <c r="E4932" i="2" s="1" a="1"/>
  <c r="E4932" i="2" s="1"/>
  <c r="D4933" i="2"/>
  <c r="E4933" i="2" s="1" a="1"/>
  <c r="E4933" i="2" s="1"/>
  <c r="D4934" i="2"/>
  <c r="E4934" i="2" s="1" a="1"/>
  <c r="E4934" i="2" s="1"/>
  <c r="D4935" i="2"/>
  <c r="E4935" i="2" s="1" a="1"/>
  <c r="E4935" i="2" s="1"/>
  <c r="D4936" i="2"/>
  <c r="E4936" i="2" s="1" a="1"/>
  <c r="E4936" i="2" s="1"/>
  <c r="D4937" i="2"/>
  <c r="E4937" i="2" s="1" a="1"/>
  <c r="E4937" i="2" s="1"/>
  <c r="D4938" i="2"/>
  <c r="E4938" i="2" s="1" a="1"/>
  <c r="E4938" i="2" s="1"/>
  <c r="D4939" i="2"/>
  <c r="E4939" i="2" s="1" a="1"/>
  <c r="E4939" i="2" s="1"/>
  <c r="D4940" i="2"/>
  <c r="E4940" i="2" s="1" a="1"/>
  <c r="E4940" i="2" s="1"/>
  <c r="D4941" i="2"/>
  <c r="E4941" i="2" s="1" a="1"/>
  <c r="E4941" i="2" s="1"/>
  <c r="D4942" i="2"/>
  <c r="E4942" i="2" s="1" a="1"/>
  <c r="E4942" i="2" s="1"/>
  <c r="D4943" i="2"/>
  <c r="E4943" i="2" s="1" a="1"/>
  <c r="E4943" i="2" s="1"/>
  <c r="D4944" i="2"/>
  <c r="E4944" i="2" s="1" a="1"/>
  <c r="E4944" i="2" s="1"/>
  <c r="D4945" i="2"/>
  <c r="E4945" i="2" s="1" a="1"/>
  <c r="E4945" i="2" s="1"/>
  <c r="D4946" i="2"/>
  <c r="E4946" i="2" s="1" a="1"/>
  <c r="E4946" i="2" s="1"/>
  <c r="D4947" i="2"/>
  <c r="E4947" i="2" s="1" a="1"/>
  <c r="E4947" i="2" s="1"/>
  <c r="D4948" i="2"/>
  <c r="E4948" i="2" s="1" a="1"/>
  <c r="E4948" i="2" s="1"/>
  <c r="D4949" i="2"/>
  <c r="E4949" i="2" s="1" a="1"/>
  <c r="E4949" i="2" s="1"/>
  <c r="D4950" i="2"/>
  <c r="E4950" i="2" s="1" a="1"/>
  <c r="E4950" i="2" s="1"/>
  <c r="D4951" i="2"/>
  <c r="E4951" i="2" s="1" a="1"/>
  <c r="E4951" i="2" s="1"/>
  <c r="D4952" i="2"/>
  <c r="E4952" i="2" s="1" a="1"/>
  <c r="E4952" i="2" s="1"/>
  <c r="D4953" i="2"/>
  <c r="E4953" i="2" s="1" a="1"/>
  <c r="E4953" i="2" s="1"/>
  <c r="D4954" i="2"/>
  <c r="E4954" i="2" s="1" a="1"/>
  <c r="E4954" i="2" s="1"/>
  <c r="D4955" i="2"/>
  <c r="E4955" i="2" s="1" a="1"/>
  <c r="E4955" i="2" s="1"/>
  <c r="D4956" i="2"/>
  <c r="E4956" i="2" s="1" a="1"/>
  <c r="E4956" i="2" s="1"/>
  <c r="D4957" i="2"/>
  <c r="E4957" i="2" s="1" a="1"/>
  <c r="E4957" i="2" s="1"/>
  <c r="D4958" i="2"/>
  <c r="E4958" i="2" s="1" a="1"/>
  <c r="E4958" i="2" s="1"/>
  <c r="D4959" i="2"/>
  <c r="E4959" i="2" s="1" a="1"/>
  <c r="E4959" i="2" s="1"/>
  <c r="D4960" i="2"/>
  <c r="E4960" i="2" s="1" a="1"/>
  <c r="E4960" i="2" s="1"/>
  <c r="D4961" i="2"/>
  <c r="E4961" i="2" s="1" a="1"/>
  <c r="E4961" i="2" s="1"/>
  <c r="D4962" i="2"/>
  <c r="E4962" i="2" s="1" a="1"/>
  <c r="E4962" i="2" s="1"/>
  <c r="D4963" i="2"/>
  <c r="E4963" i="2" s="1" a="1"/>
  <c r="E4963" i="2" s="1"/>
  <c r="D4964" i="2"/>
  <c r="E4964" i="2" s="1" a="1"/>
  <c r="E4964" i="2" s="1"/>
  <c r="D4965" i="2"/>
  <c r="E4965" i="2" s="1" a="1"/>
  <c r="E4965" i="2" s="1"/>
  <c r="D3" i="2"/>
  <c r="E3" i="2" s="1" a="1"/>
  <c r="E3" i="2" s="1"/>
  <c r="D6" i="3"/>
  <c r="E46" i="3"/>
  <c r="AB6" i="17"/>
  <c r="V6" i="17"/>
  <c r="Y6" i="17"/>
  <c r="B4" i="17"/>
  <c r="Y11" i="17"/>
  <c r="CG52" i="2" l="1"/>
  <c r="CG49" i="2"/>
  <c r="CG46" i="2"/>
  <c r="CG43" i="2"/>
  <c r="CG40" i="2"/>
  <c r="CG37" i="2"/>
  <c r="CG34" i="2"/>
  <c r="CG31" i="2"/>
  <c r="CG28" i="2"/>
  <c r="CG25" i="2"/>
  <c r="CG22" i="2"/>
  <c r="CG19" i="2"/>
  <c r="CG16" i="2"/>
  <c r="CG13" i="2"/>
  <c r="CG10" i="2"/>
  <c r="CG7" i="2"/>
  <c r="CG4" i="2"/>
  <c r="CF52" i="2"/>
  <c r="CF49" i="2"/>
  <c r="CF46" i="2"/>
  <c r="CF43" i="2"/>
  <c r="CF40" i="2"/>
  <c r="CF37" i="2"/>
  <c r="CF34" i="2"/>
  <c r="CF31" i="2"/>
  <c r="CF28" i="2"/>
  <c r="CF25" i="2"/>
  <c r="CF22" i="2"/>
  <c r="CF19" i="2"/>
  <c r="CF16" i="2"/>
  <c r="CF13" i="2"/>
  <c r="CF10" i="2"/>
  <c r="CF7" i="2"/>
  <c r="CF4" i="2"/>
  <c r="CH50" i="2"/>
  <c r="CH47" i="2"/>
  <c r="CH44" i="2"/>
  <c r="CH41" i="2"/>
  <c r="CH38" i="2"/>
  <c r="CH35" i="2"/>
  <c r="CH32" i="2"/>
  <c r="CH29" i="2"/>
  <c r="CH26" i="2"/>
  <c r="CH23" i="2"/>
  <c r="CH20" i="2"/>
  <c r="CH17" i="2"/>
  <c r="CH14" i="2"/>
  <c r="CH11" i="2"/>
  <c r="CH8" i="2"/>
  <c r="CH5" i="2"/>
  <c r="CG50" i="2"/>
  <c r="CG47" i="2"/>
  <c r="CG44" i="2"/>
  <c r="CG41" i="2"/>
  <c r="CG38" i="2"/>
  <c r="CG35" i="2"/>
  <c r="CG32" i="2"/>
  <c r="CG29" i="2"/>
  <c r="CG26" i="2"/>
  <c r="CG23" i="2"/>
  <c r="CG20" i="2"/>
  <c r="CG17" i="2"/>
  <c r="CG14" i="2"/>
  <c r="CG11" i="2"/>
  <c r="CG8" i="2"/>
  <c r="CG5" i="2"/>
  <c r="CF50" i="2"/>
  <c r="CF47" i="2"/>
  <c r="CF44" i="2"/>
  <c r="CF41" i="2"/>
  <c r="CF38" i="2"/>
  <c r="CF35" i="2"/>
  <c r="CF32" i="2"/>
  <c r="CF29" i="2"/>
  <c r="CF26" i="2"/>
  <c r="CF23" i="2"/>
  <c r="CF20" i="2"/>
  <c r="CF17" i="2"/>
  <c r="CF14" i="2"/>
  <c r="CF11" i="2"/>
  <c r="CF8" i="2"/>
  <c r="CF5" i="2"/>
  <c r="CH51" i="2"/>
  <c r="CH48" i="2"/>
  <c r="CH45" i="2"/>
  <c r="CH42" i="2"/>
  <c r="CH39" i="2"/>
  <c r="CH36" i="2"/>
  <c r="CH33" i="2"/>
  <c r="CH30" i="2"/>
  <c r="CH27" i="2"/>
  <c r="CH24" i="2"/>
  <c r="CH21" i="2"/>
  <c r="CH18" i="2"/>
  <c r="CH15" i="2"/>
  <c r="CH12" i="2"/>
  <c r="CH9" i="2"/>
  <c r="CH6" i="2"/>
  <c r="CH3" i="2"/>
  <c r="CG51" i="2"/>
  <c r="CG48" i="2"/>
  <c r="CG45" i="2"/>
  <c r="CG42" i="2"/>
  <c r="CG39" i="2"/>
  <c r="CG36" i="2"/>
  <c r="CG33" i="2"/>
  <c r="CG30" i="2"/>
  <c r="CG27" i="2"/>
  <c r="CG24" i="2"/>
  <c r="CG21" i="2"/>
  <c r="CG18" i="2"/>
  <c r="CG15" i="2"/>
  <c r="CG12" i="2"/>
  <c r="CG9" i="2"/>
  <c r="CG6" i="2"/>
  <c r="CG3" i="2"/>
  <c r="CF51" i="2"/>
  <c r="CF48" i="2"/>
  <c r="CF45" i="2"/>
  <c r="CF42" i="2"/>
  <c r="CF39" i="2"/>
  <c r="CF36" i="2"/>
  <c r="CF33" i="2"/>
  <c r="CF30" i="2"/>
  <c r="CF27" i="2"/>
  <c r="CF24" i="2"/>
  <c r="CF21" i="2"/>
  <c r="CF18" i="2"/>
  <c r="CF15" i="2"/>
  <c r="CF12" i="2"/>
  <c r="CF9" i="2"/>
  <c r="CF6" i="2"/>
  <c r="CF3" i="2"/>
  <c r="CH52" i="2"/>
  <c r="CH49" i="2"/>
  <c r="CH46" i="2"/>
  <c r="CH43" i="2"/>
  <c r="CH40" i="2"/>
  <c r="CH37" i="2"/>
  <c r="CH34" i="2"/>
  <c r="CH31" i="2"/>
  <c r="CH28" i="2"/>
  <c r="CH25" i="2"/>
  <c r="CH22" i="2"/>
  <c r="CH19" i="2"/>
  <c r="CH16" i="2"/>
  <c r="CH13" i="2"/>
  <c r="CH10" i="2"/>
  <c r="CH7" i="2"/>
  <c r="CH4" i="2"/>
  <c r="D54" i="3"/>
  <c r="D34" i="3"/>
  <c r="D30" i="3"/>
  <c r="CI10" i="2" l="1"/>
  <c r="CK10" i="2"/>
  <c r="CI22" i="2"/>
  <c r="CK22" i="2"/>
  <c r="CI12" i="2"/>
  <c r="CK12" i="2"/>
  <c r="CI48" i="2"/>
  <c r="CK48" i="2"/>
  <c r="CI11" i="2"/>
  <c r="CK11" i="2"/>
  <c r="CI47" i="2"/>
  <c r="CK47" i="2"/>
  <c r="CI4" i="2"/>
  <c r="CK4" i="2"/>
  <c r="CI25" i="2"/>
  <c r="CK25" i="2"/>
  <c r="CI15" i="2"/>
  <c r="CK15" i="2"/>
  <c r="CI51" i="2"/>
  <c r="CK51" i="2"/>
  <c r="CI14" i="2"/>
  <c r="CK14" i="2"/>
  <c r="CI50" i="2"/>
  <c r="CK50" i="2"/>
  <c r="CI13" i="2"/>
  <c r="CK13" i="2"/>
  <c r="CI28" i="2"/>
  <c r="CK28" i="2"/>
  <c r="CI18" i="2"/>
  <c r="CK18" i="2"/>
  <c r="CI17" i="2"/>
  <c r="CK17" i="2"/>
  <c r="CI31" i="2"/>
  <c r="CK31" i="2"/>
  <c r="CI21" i="2"/>
  <c r="CK21" i="2"/>
  <c r="CI20" i="2"/>
  <c r="CK20" i="2"/>
  <c r="CI34" i="2"/>
  <c r="CK34" i="2"/>
  <c r="CI24" i="2"/>
  <c r="CK24" i="2"/>
  <c r="CI23" i="2"/>
  <c r="CK23" i="2"/>
  <c r="CI37" i="2"/>
  <c r="CK37" i="2"/>
  <c r="CI27" i="2"/>
  <c r="CK27" i="2"/>
  <c r="CI26" i="2"/>
  <c r="CK26" i="2"/>
  <c r="CI30" i="2"/>
  <c r="CK30" i="2"/>
  <c r="CI29" i="2"/>
  <c r="CK29" i="2"/>
  <c r="CI40" i="2"/>
  <c r="CK40" i="2"/>
  <c r="CI43" i="2"/>
  <c r="CK43" i="2"/>
  <c r="CI33" i="2"/>
  <c r="CK33" i="2"/>
  <c r="CI32" i="2"/>
  <c r="CK32" i="2"/>
  <c r="CI46" i="2"/>
  <c r="CK46" i="2"/>
  <c r="CI36" i="2"/>
  <c r="CK36" i="2"/>
  <c r="CI35" i="2"/>
  <c r="CK35" i="2"/>
  <c r="CI49" i="2"/>
  <c r="CK49" i="2"/>
  <c r="CI3" i="2"/>
  <c r="CK3" i="2"/>
  <c r="CI39" i="2"/>
  <c r="CK39" i="2"/>
  <c r="CI38" i="2"/>
  <c r="CK38" i="2"/>
  <c r="CI16" i="2"/>
  <c r="CK16" i="2"/>
  <c r="CI6" i="2"/>
  <c r="CK6" i="2"/>
  <c r="CI42" i="2"/>
  <c r="CK42" i="2"/>
  <c r="CI5" i="2"/>
  <c r="CK5" i="2"/>
  <c r="CI41" i="2"/>
  <c r="CK41" i="2"/>
  <c r="CI7" i="2"/>
  <c r="CK7" i="2"/>
  <c r="CI52" i="2"/>
  <c r="CK52" i="2"/>
  <c r="CI19" i="2"/>
  <c r="CK19" i="2"/>
  <c r="CI9" i="2"/>
  <c r="CK9" i="2"/>
  <c r="CI45" i="2"/>
  <c r="CK45" i="2"/>
  <c r="CI8" i="2"/>
  <c r="CK8" i="2"/>
  <c r="CI44" i="2"/>
  <c r="CK44" i="2"/>
  <c r="D22" i="3"/>
  <c r="D18" i="3"/>
  <c r="D14" i="3"/>
  <c r="D10" i="3"/>
  <c r="C10" i="9"/>
  <c r="F7" i="9"/>
  <c r="V4" i="2"/>
  <c r="V5" i="2"/>
  <c r="V6" i="2"/>
  <c r="V7" i="2"/>
  <c r="V8" i="2"/>
  <c r="V9" i="2"/>
  <c r="V10" i="2"/>
  <c r="V11" i="2"/>
  <c r="V12" i="2"/>
  <c r="V13" i="2"/>
  <c r="V14" i="2"/>
  <c r="V15" i="2"/>
  <c r="V16" i="2"/>
  <c r="V17" i="2"/>
  <c r="V18" i="2"/>
  <c r="V19" i="2"/>
  <c r="V20" i="2"/>
  <c r="V21" i="2"/>
  <c r="V22" i="2"/>
  <c r="V23" i="2"/>
  <c r="V24" i="2"/>
  <c r="V25" i="2"/>
  <c r="V26" i="2"/>
  <c r="V27" i="2"/>
  <c r="V28"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8" i="2"/>
  <c r="V1359" i="2"/>
  <c r="V1360" i="2"/>
  <c r="V1361" i="2"/>
  <c r="V1362" i="2"/>
  <c r="V1363" i="2"/>
  <c r="V1364" i="2"/>
  <c r="V1365" i="2"/>
  <c r="V1366" i="2"/>
  <c r="V1367" i="2"/>
  <c r="V1368" i="2"/>
  <c r="V1369" i="2"/>
  <c r="V1370" i="2"/>
  <c r="V1371" i="2"/>
  <c r="V1372" i="2"/>
  <c r="V1373" i="2"/>
  <c r="V1374" i="2"/>
  <c r="V1375" i="2"/>
  <c r="V1376" i="2"/>
  <c r="V1377" i="2"/>
  <c r="V1378"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2" i="2"/>
  <c r="V1623" i="2"/>
  <c r="V1624" i="2"/>
  <c r="V1625" i="2"/>
  <c r="V1626" i="2"/>
  <c r="V1627" i="2"/>
  <c r="V1628" i="2"/>
  <c r="V1629" i="2"/>
  <c r="V1630" i="2"/>
  <c r="V1631"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3" i="2"/>
  <c r="C4966" i="2"/>
  <c r="F4966" i="2"/>
  <c r="N4966" i="2"/>
  <c r="O4966" i="2"/>
  <c r="P4966" i="2"/>
  <c r="Q4966" i="2"/>
  <c r="R4966" i="2"/>
  <c r="S4966" i="2"/>
  <c r="T4966" i="2"/>
  <c r="C7" i="9"/>
  <c r="U4966" i="2"/>
  <c r="F38" i="3" l="1"/>
  <c r="D26" i="3"/>
  <c r="V4966" i="2"/>
  <c r="D50" i="3" l="1"/>
  <c r="D4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26E659-BF47-4378-80F9-482118137311}"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BB924C-FC86-4398-BDAD-6FD3C9AA3708}" name="WorksheetConnection_Fórmulas BALDI.xlsx!Tabla4" type="102" refreshedVersion="8" minRefreshableVersion="5">
    <extLst>
      <ext xmlns:x15="http://schemas.microsoft.com/office/spreadsheetml/2010/11/main" uri="{DE250136-89BD-433C-8126-D09CA5730AF9}">
        <x15:connection id="Tabla4">
          <x15:rangePr sourceName="_xlcn.WorksheetConnection_FórmulasBALDI.xlsxTabla4"/>
        </x15:connection>
      </ext>
    </extLst>
  </connection>
  <connection id="3" xr16:uid="{CF8B4226-C13C-4707-BDA0-659E220AE574}" name="WorksheetConnection_PF Baldi Matías.xlsx!Tabla1" type="102" refreshedVersion="8" minRefreshableVersion="5">
    <extLst>
      <ext xmlns:x15="http://schemas.microsoft.com/office/spreadsheetml/2010/11/main" uri="{DE250136-89BD-433C-8126-D09CA5730AF9}">
        <x15:connection id="Tabla1">
          <x15:rangePr sourceName="_xlcn.WorksheetConnection_PFBaldiMatías.xlsxTabla1"/>
        </x15:connection>
      </ext>
    </extLst>
  </connection>
  <connection id="4" xr16:uid="{CED7F28E-9D61-4348-A3DF-7253588D547D}" name="WorksheetConnection_Trabajo final CODERHOUSE.xlsx!Tabla2" type="102" refreshedVersion="8" minRefreshableVersion="5">
    <extLst>
      <ext xmlns:x15="http://schemas.microsoft.com/office/spreadsheetml/2010/11/main" uri="{DE250136-89BD-433C-8126-D09CA5730AF9}">
        <x15:connection id="Tabla2">
          <x15:rangePr sourceName="_xlcn.WorksheetConnection_TrabajofinalCODERHOUSE.xlsxTabla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<sst xmlns="http://schemas.openxmlformats.org/spreadsheetml/2006/main" count="47458" uniqueCount="28992">
  <si>
    <t>Date,Time,Location,Operator,Flight #,Route,AC Type,Registration,cn/ln,Aboard,Aboard Passangers,Aboard Crew,Fatalities,Fatalities Passangers,Fatalities Crew,Ground,Summary</t>
  </si>
  <si>
    <t>09/17/1908,17:18,"Fort Myer, Virginia",Military - U.S. Army,,Demonstration,Wright Flyer III,,1,2,1,1,1,1,0,0,"During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</si>
  <si>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09/07/1909,,"Juvisy-sur-Orge, France",,,Air show,Wright Byplane,SC1,,1,0,1,1,0,0,0,"Eugene Lefebvre was the first pilot to ever be killed in an air accident, after his controls jambed while flying in an air show."</t>
  </si>
  <si>
    <t>07/12/1912,06:30,"Atlantic City, New Jersey",Military - U.S. Navy,,Test flight,Dirigible,,,5,0,5,5,0,5,0,"First U.S. dirigible Akron exploded just offshore at an altitude of 1,000 ft. during a test flight."</t>
  </si>
  <si>
    <t>08/06/1913,,"Victoria, British Columbia, Canada",Private,,,Curtiss seaplane,,,1,0,1,1,0,1,0,"The first fatal airplane accident in Canada occurred when American barnstormer, John M. Bryant, California aviator was killed."</t>
  </si>
  <si>
    <t>09/09/1913,18:30,Over the North Sea,Military - German Navy,,,Zeppelin L-1 (airship),,,20,NULL,NULL,14,NULL,NULL,0,The airship flew into a thunderstorm and encountered a severe downdraft crashing 20 miles north of Helgoland Island into the sea. The ship broke in two and the control car immediately sank drowning its occupants.</t>
  </si>
  <si>
    <t>10/17/1913,10:30,"Near Johannisthal, Germany",Military - German Navy,,,Zeppelin L-2 (airship),,,30,NULL,NULL,30,NULL,NULL,0,"Hydrogen gas which was being vented was sucked into the forward engine and ignited causing the airship to explode and burn at 3,000 ft.."</t>
  </si>
  <si>
    <t>03/05/1915,01:00,"Tienen, Belgium",Military - German Navy,,,Zeppelin L-8 (airship),,,41,NULL,NULL,21,NULL,NULL,0,Crashed into trees while attempting to land after being shot down by British and French aircraft.</t>
  </si>
  <si>
    <t>09/03/1915,15:20,"Off Cuxhaven, Germany",Military - German Navy,,,Zeppelin L-10 (airship),,,19,NULL,NULL,19,NULL,NULL,0,"Exploded and burned near Neuwerk Island,  when hydrogen gas, being vented, was ignited by lightning."</t>
  </si>
  <si>
    <t>07/28/1916,,"Near Jambol, Bulgeria",Military - German Army,,,Schutte-Lanz S-L-10 (airship),,,20,NULL,NULL,20,NULL,NULL,0,"Crashed near the Black Sea, cause unknown."</t>
  </si>
  <si>
    <t>09/24/1916,01:00,"Billericay, England",Military - German Navy,,,Zeppelin L-32 (airship),,,22,NULL,NULL,22,NULL,NULL,0,Shot down by British aircraft crashing in flames.</t>
  </si>
  <si>
    <t>10/01/1916,23:45,"Potters Bar, England",Military - German Navy,,,Zeppelin L-31 (airship),,,19,0,19,19,0,19,0,Shot down in flames by the British 39th Home Defence Squadron.</t>
  </si>
  <si>
    <t>11/21/1916,,"Mainz, Germany",Military - German Army,,,Super Zeppelin (airship),,,28,NULL,NULL,27,NULL,NULL,0,Crashed in a storm.</t>
  </si>
  <si>
    <t>11/28/1916,23:45,"Off West Hartlepool, England",Military - German Navy,,,Zeppelin L-34 (airship),,,20,NULL,NULL,20,NULL,NULL,0,Shot down by British anti-aircraft fire and aircraft and crashed into the North Sea.</t>
  </si>
  <si>
    <t>03/04/1917,,"Near Gent, Belgium",Military - German Army,,,Airship,,,20,NULL,NULL,20,NULL,NULL,0,Caught fire and crashed.</t>
  </si>
  <si>
    <t>03/30/1917,,Off Northern Germany,Military - German Navy,,,Schutte-Lanz S-L-9 (airship),,,23,NULL,NULL,23,NULL,NULL,0,Struck by lightning and crashed into the Baltic Sea.</t>
  </si>
  <si>
    <t>05/14/1917,05:15,"Near Texel Island, North Sea",Military - German Navy,,,Zeppelin L-22 (airship),,,21,NULL,NULL,21,NULL,NULL,0,"Crashed into the sea from an altitude of 3,000 ft. after being hit by British aircraft fire."</t>
  </si>
  <si>
    <t>06/14/1917,08:45,"Off Vlieland Island, North Sea",Military - German Navy,,,Zeppelin L-43 (airship),,,24,NULL,NULL,24,NULL,NULL,0,Shot down by British aircraft.</t>
  </si>
  <si>
    <t>06/17/1917,,"Near Yarmouth, England",,,,Zepplin LZ-95 (air ship),L-48,,16,NULL,NULL,14,NULL,NULL,0,Shot down by aircraft.</t>
  </si>
  <si>
    <t>08/21/1917,07:00,Off western Denmark,Military - German Navy,,,Zeppelin L-23 (airship),,,18,NULL,NULL,18,NULL,NULL,0,Shot down by British aircraft.</t>
  </si>
  <si>
    <t>10/20/1917,07:45,"Near Luneville, France",Military - German Navy,,,Zeppelin L-44 (airship),,,18,NULL,NULL,18,NULL,NULL,0,Shot down by French anti-aircraft fire.</t>
  </si>
  <si>
    <t>04/07/1918,21:30,Over the Mediterranean,Military - German Navy,,,Zeppelin L-59 (airship),,,23,NULL,NULL,23,NULL,NULL,0,Exploded and crashed into the sea off the southern coast of Italy.</t>
  </si>
  <si>
    <t>05/10/1918,,"Off Helgoland Island, Germany",Military - German Navy,,,Zeppelin L-70 (airship),,,22,NULL,NULL,22,NULL,NULL,0,"Shot down by British aircraft crashing from a height of 17,000 ft."</t>
  </si>
  <si>
    <t>08/11/1918,10:00,"Ameland Island, North Sea",Military - German Navy,,,Zeppelin L-53 (airship),,,19,NULL,NULL,19,NULL,NULL,0,Shot down by british aircraft.</t>
  </si>
  <si>
    <t>12/16/1918,,"Elizabeth, New Jersey",US Aerial Mail Service,,,De Havilland DH-4,97,,1,0,1,1,0,1,0,Carl Smith was killed when his mail plane feet 500 feet while attempting to land. He tried to reposition the aircraft after the wind shifted and lost control of the plane and dived into the ground.</t>
  </si>
  <si>
    <t>05/25/1919,,"Cleveland, Ohio",US Aerial Mail Service,,,De Havilland DH-4,61,,1,0,1,1,0,1,0,Caught fire in midair. The pilot leaped from the plane to his death as the plane began to go into a dive.</t>
  </si>
  <si>
    <t>07/19/1919,,"Dix Run, Pennsylvania",US Aerial Mail Service,,,De Havilland DH-4,82,,1,0,1,1,0,1,0,The mail plane crashed under unknown circumstances.</t>
  </si>
  <si>
    <t>07/21/1919,16:55,"Chicago, Illinois",Wingfoot Air Express Goodyear Tire,,Shuttle,FD Type Dirigible,,,NULL,NULL,NULL,3,2,1,10," The dirigible, cruising at 1,200 ft. caught fire and crashed into the Illinois Trust and Savings Building in Chicago. The was transporting people from Grant Park to the White City amusement park.[1] One crew member, two passengers, and ten bank employees were killed"</t>
  </si>
  <si>
    <t>08/02/1919,,"Verona, Italy",Caproni Company,,Venice  Taliedo,Caproni Ca.48,,,14,12,2,14,12,2,0,As the plane was passing over Verona the wings began to flutter and then collapsed and crashed. Sources differ as to the number of deaths with some reporting 15 or 17.</t>
  </si>
  <si>
    <t>10/02/1919,,"Newcastle, England",Aircraft Transport and Travel,,,De Havilland DH-4,,,1,0,1,1,0,1,0,</t>
  </si>
  <si>
    <t>10/14/1919,,"Cantonsville, Maryland",US Aerial Mail Service,,,Curtiss R-4LM,32,,1,0,1,1,0,1,0,"The pilot was performing a mail flight to Baltimore. While on final approach, in fog, the aircraft hit tree tops and crashed into the woods."</t>
  </si>
  <si>
    <t>10/20/1919,,"English Channel off Forkstone, Kent",Aircraft Transport and Travel,,,De Havilland DH-4,G-EAHG,,0,0,1,0,0,0,0,Crashed into the sea while attempting to land in fog.</t>
  </si>
  <si>
    <t>10/30/1919,,"Long Valley, New Jersey",US Aerial Mail Service,,,De Havilland DH.4,77,77,1,0,1,1,0,1,0,"While on a mail flight to New York the pilot encountered bad weather conditions and reduced his altitude to maintain a visual contact with the ground. Eventually, he decided to make an emergency landing in Long Valley, west of Newark. Aircraft hit the ground and crashed."</t>
  </si>
  <si>
    <t>12/11/1919,,"Catherham, Surrey, UK",Aircraft Travel Transport,,Paris - Hounslow,de Havilland DH-4,G-EAHF,,1,1,1,1,1,1,0,Crashed in a field while attemptting to land.</t>
  </si>
  <si>
    <t>03/10/1920,,"New Paris, Indiana",US Aerial Mail Service,,,De Havilland DH-4,65,,1,0,1,1,0,1,0,"While on a a mail flight, the aircraft hit trees in fog and crashed in a wooded area."</t>
  </si>
  <si>
    <t>03/30/1920,,"Newark, New Jersey",US Aerial Mail Service,,Washington - Newark,De Havilland DH-4,72,,1,0,1,1,0,1,0,George Sherlock was killed when his mail plane crashed into a chimney while attempting to land at Heller Field in poor visibility.</t>
  </si>
  <si>
    <t>04/10/1920,,"Newark, New Jersey",US Aerial Mail Service,,,Curtiss R-4LM,49,,2,1,1,1,0,1,0,After a fire erupted in flight the pilot decided to make an emergency landing but the aircraft crashed.</t>
  </si>
  <si>
    <t>04/11/1920,,"Heller Field, New Jersey",US Aerial Mail Service,,,Curtiss JN-4H,44,,2,1,1,1,0,1,0,The aircraft crashed while on approach for unknown reasons.</t>
  </si>
  <si>
    <t>05/12/1920,,"Oskaloosa, Iowa",US Aerial Mail Service,,,De Havilland DH-4,79,,2,1,1,1,1,0,0,"In worsening weather conditions, the pilot lost his sense of orientation and crashed in a field."</t>
  </si>
  <si>
    <t>06/06/1920,,"Cleveland, Ohio",US Aerial Mail Service,,,De Havilland DH-4,204,,1,0,1,1,0,1,0,The aircraft suffered engine failure and crashed shortly after taking off.</t>
  </si>
  <si>
    <t>07/20/1920,,"Cartagena, Columbia",CompaÃ±ia Colombiana de NavegaciÃ³n AÃ©rea,,,Farman F-40,,,1,1,1,1,1,1,0,Crashed while taking off after engine failure. Engine failure due to fuel exhaustion.</t>
  </si>
  <si>
    <t>08/16/1920,,"Bedford, England",By Air,,,Armstrong-Whitworth F-K-8,G-EALW,,1,0,1,1,0,1,0,The plane crashed during a cargo flight under unknown circumstances.</t>
  </si>
  <si>
    <t>08/16/1920,,"College Park, Maryland",US Aerial Mail Service,,,De Havilland DH-4,317,,1,0,1,1,0,1,0,"While approaching in poor visibility to land, the plane hit a radio mast and crashed in flames."</t>
  </si>
  <si>
    <t>09/01/1920,,"Morristown, New Jersey",US Aerial Mail Service,,,Junkers JL-6,305,,2,0,2,2,0,2,0,"While en route, the mail plane went out of control and crashed after experiencing an in flight fire."</t>
  </si>
  <si>
    <t>09/15/1920,,"Pemberville, Ohio",US Aerial Mail Service,,,Junkers F-13,308,,2,NULL,NULL,2,NULL,NULL,0,The pilot crashed after attempting to make an emergency landing after the engine caught fire.</t>
  </si>
  <si>
    <t>09/27/1920,,"Hillersburg, Pennsylvania",US Aerial Mail Service,,,De Havilland DH-4,316,,1,0,1,1,0,1,0,The plane struck power lines and crashed in flames after flying at a low altitude in poor visibility.</t>
  </si>
  <si>
    <t>10/02/1920,,"Off Port Vendres, France",Latecoere Airlines,,,Salmson 2-A-2,F-ALAI,31,2,1,1,2,1,1,0,Crashed into the Mediterranean while on a mail flight.</t>
  </si>
  <si>
    <t>10/05/1920,,"Valencia, Spain",Latecoere Airlines,,,Breguet 14,F-ALTA,20,2,1,1,2,1,1,0,While on a mail flight the plane crashed while attempting to land.</t>
  </si>
  <si>
    <t>10/15/1920,,"Batavia, Illinois",US Aerial Mail Service,,,De Havilland DH-4,76,,1,0,1,1,0,1,0,While attempting to land in fog the aircraft hit an obstruction and crashed.</t>
  </si>
  <si>
    <t>11/07/1920,,"Tie Siding, Wyoming",US Aerial Mail Service,,,De Havilland DH-4,,178,1,0,1,1,0,1,0,The aircraft crashed into a mountain in poor weather condtions.</t>
  </si>
  <si>
    <t>12/14/1920,12:15,"London, England",Handley Page Transport,,London - Paris,Handley Page HP-16,G-EAMA,HP-25,8,6,2,4,2,2,0,The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</si>
  <si>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12/24/1920,,"Barcelona, Spain",Aeropostale,,,Breguet 14,F-ALBO,57,1,0,1,1,0,1,0,The aircraft stalled and crashed when an engine failed.</t>
  </si>
  <si>
    <t>02/03/1921,,"Mendotta, Minnisota",US Aerial Mail Service,,,De Havilland DH-4,130,,1,0,1,1,0,1,0,Shortly after takeoff from Minneapolis-World Chamberlain Field the engine failed. The aircraft lost altitude and crashed  in a field.</t>
  </si>
  <si>
    <t>02/09/1921,,"La Crosse, Wisconsin",US Aerial Mail Service,,,Junkers F-13,301,,3,0,3,3,0,3,0,Crashed for unknown reasons. Both pilots and the mechanic were killed.</t>
  </si>
  <si>
    <t>02/15/1921,,Off Gibraltar,Aeropostale,,,Breguet 14,F-ALBA,,2,0,2,2,0,2,0,The mail fligh encountered poor weather conditions and crashed into the ocean while on approach to Gibraltar. The bodies of the crew were never recovered.</t>
  </si>
  <si>
    <t>02/22/1921,,"Elko, Nevada",US Aerial Mail Service,,,De Havilland DH-4,67,,1,0,1,1,0,1,0,"Shortly after taking off, the aircraft stalled and crashed ."</t>
  </si>
  <si>
    <t>04/06/1921,,"Point Cook, Australia",Military - Royal Australian Air Force,,,  	 Avro 504,H3021,,2,0,0,2,0,0,0,"Shortly after taking off on a training flight, the aircraft dove into the ground and exploded in flames."</t>
  </si>
  <si>
    <t>04/21/1921,,"Mitchel Field, NY",US Aerial Mail Service,,,De Havilland DH-4,160,,1,0,1,1,0,1,0,After taking off the aircraft stalled and crashed.</t>
  </si>
  <si>
    <t>04/29/1921,,"Cleveland, Ohio",US Aerial Mail Service,,,De Havilland DH-4,196,,1,0,1,1,0,1,0,"The aircraft crashed in a field, short of the runway, a few minutes before its scheduled arrival in Cleveland. The weather was poor with fog."</t>
  </si>
  <si>
    <t>05/17/1921,,"Rock Springs, Wyoming",US Aerial Mail Service,,,De Havilland DH-4 De Havilland DH-4,176,,1,0,1,1,0,1,0,Crashed while attempting to land.</t>
  </si>
  <si>
    <t>08/14/1921,,"Toulouse, France",Aeropostale,,,Breguet 14,F-ALBI,,2,NULL,NULL,2,NULL,NULL,0,</t>
  </si>
  <si>
    <t>08/24/1921,17:40,"River Humber, England",Military - Royal Airship Works,,,Royal Airship Works ZR-2 (airship),R-38,R-38,46,0,46,46,0,46,1,Crashed due to structural failure followed by two explosions and a fire. Attributed to faulty design.</t>
  </si>
  <si>
    <t>09/06/1921,,"Paris, France",Franco-Roumaine,,Warsaw - Prague - Strasbourg - Paris,Potez IX,F-ADCD,160,5,4,1,5,4,1,0,Crashed while making an approach to Le Bourget Airport in Paris. Pilot aborted the landing due to another aircraft on the runway.</t>
  </si>
  <si>
    <t>12/05/1921,,"Near Murchinson River, Australia",West Australian Airways,,Geraldton - Derby,Bristol 28 Tourer,G-AUDI,6116,2,0,2,2,0,2,0,On approach to Geraldton the plane crashed near the Murchinson River. Considered the first commercial flight in Australila.</t>
  </si>
  <si>
    <t>01/14/1922,,"Paris, France",Handley Page Transport,,,Handley Page O/10,G-EATN,HP-43,5,4,1,5,4,1,5,Crashed at Le Bourget field.</t>
  </si>
  <si>
    <t>02/21/1922,,"Near Norfolk, Virginia",Military - U.S. Army Air Service,,,Dirigible Roma (airship),,,45,NULL,NULL,34,NULL,NULL,0,Crashed from a height of 500 ft. after experiencing control problems cause by malfunctioning controls.</t>
  </si>
  <si>
    <t>03/22/1922,11:40,North Atlantic Ocean,Aero Limited,,Miami - Bimini,Aeromarine Model 85 (flying boat),,,6,5,1,5,5,0,0,"The plane ditched into the ocean about 40 miles East of Florida after a propeller blade broke. Only the pilot survived, being picked up over 2 days later. The flying boat was named Miss Miami."</t>
  </si>
  <si>
    <t>04/07/1922,13:15,"Grandvilliers, France",Daimler Airways / Grands Express Aeriens,,Croydon - Le Bourget,de Havilland DH-18 / Farman F-60 Goliath,G-EAOW/FGEAD,4,7,5,2,7,5,2,0,"A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</si>
  <si>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04/08/1922,,"Pao Ting Fou, China",,,Test,NULL,,,17,0,17,17,0,17,0,Aboard were all workers taking part in a flight test. All seventeen aboard were Chinese nationals.</t>
  </si>
  <si>
    <t>06/03/1922,,"Off Folkestone, Kent, England",Cie des Messageries Aeriennes,,Croydon - Paris,Bleriot Spad 27,F-ACMH,555,3,2,1,3,2,1,0,Went down into the English Channel while en route.</t>
  </si>
  <si>
    <t>07/04/1922,,"Fuhlsbuttel, Germany",,,Hamburg - Berlin,LVG C VI,,,3,2,1,2,1,1,0,"The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</si>
  <si>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07/16/1922,16:45,"Near Saverne, Lorraine, France",Compagnie Franco-Roumaine de Navigaation Aerienne,,Strasbourg - Paris,Potez 29,F-FREI,25,5,4,1,5,4,1,0,Lost an engine and could not make an emergency landing because of gusty winds. Stalled while making a turn and crashed.</t>
  </si>
  <si>
    <t>07/26/1922,,"Cadix, Spain",Grands Express Aeriens,,,Breguet 14,F-ALVE,117,3,2,1,3,2,1,0,"While attempting to make an emergency landing due to engine problems, the aircraft hit telephone lines and crashed."</t>
  </si>
  <si>
    <t>09/07/1922,,"Indianapolis, Indiana",US Aerial Mail Service,,,De Havilland DH-4,227,,1,0,1,1,0,1,0,The plane stalled shortly after takeoff and crashed.</t>
  </si>
  <si>
    <t>10/02/1922,,"Venice, Italy",de Havilland Air Service,,Venice - London,de Havilland DH-9,G-EAYT,14,4,3,1,4,3,1,0,Shortly after taking off the plane crashed into the sea and sank.</t>
  </si>
  <si>
    <t>10/25/1922,,"Larache, Morocco",Grands Express Aeriens,,,Breguet 14,,,2,1,1,2,1,1,0,Crashed under unknown circumstances.</t>
  </si>
  <si>
    <t>12/03/1922,,"Fez, Morocco",Grands Express Aeriens,,Toulouse - Barcelona - Valencia - Alicante - Malaga - Rabat,Breguet 14,F-ALNA,14,1,0,1,1,0,1,0,While flying in foggy conditions the pilot reduced altitude and crashed into a hill.</t>
  </si>
  <si>
    <t>01/10/1923,,"Ajaccio, France",Amee de l'Air,,,LiorÃ©-et-Olivier H-13,F-AEIB,4,4,2,2,3,1,2,0,The plane crashed mid-air due to a structural failure of the tail.</t>
  </si>
  <si>
    <t>01/17/1923,,"Barcelona, Spain",Grands Express Aeriens,,,Breguet 14,F-ALJU,6083-130,1,0,1,1,0,1,0,Crashed into a mountain during a snowstorm.</t>
  </si>
  <si>
    <t>01/18/1923,,"Cheyenne, Wyoming",US Aerial Mail Service,,,De Havilland DH-4,223,,1,0,1,1,0,1,0,Crashed during a mail flight.</t>
  </si>
  <si>
    <t>02/26/1923,,"Meadville, Pennsylvania",US Aerial Mail Service,,,De Havilland DH-4,291,,1,0,1,1,0,1,0,The pilot lost control of the aircraft  while on approach in poor weather conditions.</t>
  </si>
  <si>
    <t>05/14/1923,13:42,"Near Amiens, Picrdie, France",Grands Express Aeriens (Air Union),,Paris - London,Farman F-60 Goliath,F-AEBY,15,6,4,2,6,4,2,0,"Broke-up in mid air after suffering structural failure at 3,000 ft. after a onboard fire weakened the plane's structure losing a wing. Possibly started by a passenger discarding a match after lighting a cigarette."</t>
  </si>
  <si>
    <t>08/27/1923,17:30,"East Mallling, United Kingdom",Air Union,,Paris - Berck-sur-Mer - Croydon,Farman F.60 Goliath,F-AECB,4,11,9,2,1,1,0,0,"The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</si>
  <si>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08/27/1923,,"Bucharest, Romania",Campagnie France Roumaine,,,BlÃ©riot Spad 46,F-AEGN,28,2,1,1,2,1,1,0,Crashed while on approach to Bucharesst.</t>
  </si>
  <si>
    <t>09/07/1923,,"Colton, Ohio",US Aerial Mail Service,,,De Havilland DH-4,283,,1,0,1,1,0,1,0,Crashed during an emergency landing attempt.</t>
  </si>
  <si>
    <t>09/14/1923,18:00,"Near Ivinghoe, Buckinghamshire, England",Daimler Airways,,Croydon - Manchester,de Havilland DH-34,G-EBBS,29,5,3,2,5,3,2,0,Crashed while attempting a forced landing after encountering heavy rain.</t>
  </si>
  <si>
    <t>11/18/1923,,Russia,CCCP,,,Junkers F-13,D-257,,5,2,3,3,1,2,0,Crashed during a training flight.</t>
  </si>
  <si>
    <t>12/06/1923,,"Castalia, Ohio",US Aerial Mail Service,,,De Havilland DH-4,318,,1,0,1,1,0,1,0,Crashed under unknown circumstances.</t>
  </si>
  <si>
    <t>12/23/1923,02:30,Over the Mediterranean Sea,Military - French Navy,,Toulon - Algiers,Zeppelin Dixmunde (airship),L-72,,52,NULL,NULL,52,NULL,NULL,0,"Crashed while on a flight from Toulon, France to Algiers, Algeria.  The last known radio contact reported the ship nearly out of fuel and battling strong winds.  Struck by lightning."</t>
  </si>
  <si>
    <t>12/24/1923,,"Egbert, WY",US Aerial Mail Service,,,De Havilland DH-4,315,,1,0,1,1,0,1,0,Crashed into a montain in poor weather conditions.</t>
  </si>
  <si>
    <t>03/07/1924,,"Grampian, Pennsylvania",US Aerial Mail Service,,,De Havilland DH-4,327,,1,0,1,1,0,1,0,Crashed during a snowstorm.</t>
  </si>
  <si>
    <t>04/24/1924,,Over the English Channel,KLM Royal Dutch Airlines,,"Lympne, England - Rotterdam, The Netherlands",Fokker F.III,H-NABS,1535,3,2,1,3,2,1,0,The aircraft disappeared over the North Sea. The plane and passengers were never found.</t>
  </si>
  <si>
    <t>06/08/1924,,"Barranquilla, Colombia",SCADTA,,Barranquilla - Bogota,Junkers F-13,A16,684,5,3,2,5,3,2,0,Stalled after taking off and crashed into houses..</t>
  </si>
  <si>
    <t>08/01/1924,,United States,US Aerial Mail Service,,,De Havilland DH-4,297,,1,0,1,1,0,1,0,"The pliot made a low pass in honor of another pilot who had died, stalled and cashed."</t>
  </si>
  <si>
    <t>11/06/1924,,"Cabrerolles, France",Grands Express Aeriens,,,Breguet 14,F-AFBD,,1,0,1,1,0,1,0,"While en route the pilot encountered thunderstorms, lost control and crashed."</t>
  </si>
  <si>
    <t>12/21/1924,,"Goshen, Indiana",US Aerial Mail Service,,,De Havilland DH-4,311,,1,0,1,1,0,1,0,"Lost in a snowstorm, the pilot decided to bail out of the plane but was killed."</t>
  </si>
  <si>
    <t>12/24/1924,12:00,"Purley, England",Imperial Airways,,London - Paris,de Havilland DH-34B,G-EBBX,36,8,7,1,8,7,1,0,"Shortly after taking off, witnesses observed a puff of white smoke after which the plane nose-dived into the ground. Crashed due to an unknown mechanical failure and subsiquent stall. Captain Stewart and seven passengers were killed in an attempted forced landing."</t>
  </si>
  <si>
    <t>03/22/1925,,"Near Tiflis, Georgia, USSR",Zakavia,,Tiflis - Suchumi,Junkers F-13,R-RECA,590,5,3,2,5,3,2,0,Shortly after take off the plane went out of control and crashed in flames.</t>
  </si>
  <si>
    <t>04/25/1925,,"Alicante, Spain",Grands Express Aeriens,,Alicante - Barcelona - Toulouse,Breguet 14,F-AFBB,202,3,1,2,3,1,2,0,"Shortly after takeoff, while flying at a low altitude, in poor visibility, the, aircraft hit a lightning rod, stalled and crashed."</t>
  </si>
  <si>
    <t>06/25/1925,,"LandrÃ©cies, France",KLM Royal Dutch Airlines,,Amsterdam - Paris,Fokker (KLM)  F.III,H-NABM,1502,4,3,1,4,3,1,0,"While in a turn in bad weather, the right wing struck trees and the plane crashed. Failure of an aileron in flight."</t>
  </si>
  <si>
    <t>06/26/1925,,"Alicante, Spain",Grands Express Aeriens,,Oran - Alicante,LiorÃ©-et-Olivier LeO H-13,F-FREM,,2,0,2,2,0,2,0,While attempting to land the seaplane hit a lightning mast and crashed.</t>
  </si>
  <si>
    <t>07/20/1925,,"Rosas, Spain",Lignes Aeriennes Latecoere,,Toulouse - Barcelona,Breguet 14,F-AFBI,209,1,0,1,1,0,1,0,Crashed in unknown circumstance.</t>
  </si>
  <si>
    <t>07/24/1925,,"Budapest, Hungary",CIDNA,,,Potez IX,,,1,0,1,1,0,1,0,Crashed while attempting to land 10 km from the airport</t>
  </si>
  <si>
    <t>09/03/1925,05:30,"Caldwell, Ohio",Military - U.S. Navy,,"Lakehurst, NJ - S.t Louis, MO",Dirigible ZR-1 Shenandoah (airship),ZR-1,,43,NULL,NULL,14,NULL,NULL,0,"The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</si>
  <si>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09/07/1925,,"Toul, France",CIDNA,,,Spad 33,,,NULL,NULL,NULL,NULL,NULL,NULL,NULL,</t>
  </si>
  <si>
    <t>10/01/1925,,"Mt. Nittany, Ohio",US Aerial Mail Service,,New York - San Francisco,De Havilland DH-4,385,,1,0,1,1,0,1,0,Crashed into a wooded area on Mt. Nittany in fog and low visibility.</t>
  </si>
  <si>
    <t>11/14/1925,,"Nouadhibou, Mauritania",Lignes Aeriennes Latecoere,,,Breguet 14,F-AEGZ,168,1,0,1,1,0,1,0,The pilot suffered sunstroke lost control of the plane and crashed.</t>
  </si>
  <si>
    <t>11/14/1925,,"Off Boulogne-sur-Mer, France",Air Union,,,Farman F-60 Goliath,F-AMFY,,2,NULL,NULL,2,NULL,NULL,0,</t>
  </si>
  <si>
    <t>02/12/1926,,"Montpelier, Ohio",US Aerial Mail Service,,,Curtiss Carrier Pigeon,602,,1,0,1,1,0,1,0,"While the mail plane was flying at a low altitude, the  aircraft hit trees and crashed in a wooded area."</t>
  </si>
  <si>
    <t>03/08/1926,,"Staaken, Germany",Deutche Lufthansa,,,Junkers F-13,D-290 D-290,665,1,0,1,1,0,1,0,While in a training filight the aircraft stalled and crashed while attempting to land.</t>
  </si>
  <si>
    <t>05/31/1926,,English Channel,Air Union,,Paris - Cryodon,Breguet 14,F-ADAI,1908,1,0,1,1,0,1,0,The mail plane crashed into the English Channel and was never found.</t>
  </si>
  <si>
    <t>07/03/1926,,"Rossaugpt, Czechoslovakia",Compagnie Internationale de Navigation AÃ©rienne,,Paris - Prague - Budapest,Caudron C-61,F-AFBT,5307,6,4,2,6,4,2,0,Crashed while en route into a mountain in adverse weather conditions. The pilot was flying at too low of an altitude.</t>
  </si>
  <si>
    <t>07/09/1926,09:30,"Wolvertem, Belgium",KLM Royal Dutch Airlines,,Amsterdam - Rotterdam - Brussels - Paris,Fokker F7,H-NACC,4759,2,1,1,2,1,1,0,Crashed into the ground while descending in poor weather.</t>
  </si>
  <si>
    <t>07/24/1926,,"Juist, Germany",Deutsche Lufthansa,,,Junkers F-13,D-272,660,5,4,1,5,4,1,0,Crashed under weather related.circumstances.</t>
  </si>
  <si>
    <t>08/18/1926,,"Hurst, Kent, England",Air Union,,"Lebourget, France - Croydon, England",Bleriot 155,F-AIEB,2,15,13,2,3,2,1,0,The plane made a forced landing at Romney Marsh  in heavy fog.  Engine failure. The pilot initally survived but died a day later.</t>
  </si>
  <si>
    <t>09/26/1926,,"New York, New York",,,New York - Paris,Sikorsky S-25,,,5,4,1,2,2,0,0,Too much weight caused the landing gear to collapse as the plane took off for Paris on the first trans-Atlantic passenger flight.</t>
  </si>
  <si>
    <t>10/02/1926,15:27,"Leigh, Kent, Unied Kingdom",Air Union,,Paris - London,Bleriot 155,F- AICQ,1,7,5,2,7,5,2,0,"After an engine fire, the pilot attempts to make an emergency landing at Penshurst Airfield but crashed.."</t>
  </si>
  <si>
    <t>10/08/1926,,"Bueren, Germany",Deutsche Lufthansa,,,Fokker FG III,D-468,1554,4,3,1,4,3,1,0,Weather related.</t>
  </si>
  <si>
    <t>10/21/1926,13:15,English Channel,Imperial Airways,,Croydon - Paris,Handley Page W-10,G-EBMS,W10/3,12,10,2,0,0,0,0,"The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</si>
  <si>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11/11/1926,08:00,"Cape Bojador, Morocco",Grands Express Aeriens,,Casablanca -Dakar,Breguet 14,F-AFAX,198,3,3,0,3,3,0,0,"While en route and cruising along the shore, the mail plane's engine failed. The crew made an emergency landing on a beach near Cape Bojador. After the landing, crew was attacked by Maures tribesmen and killed while the aircraft was set on fire and destroyed."</t>
  </si>
  <si>
    <t>12/16/1926,,"Medford, Oregon",Pacific Air Transport,,,Ryan M-1,2,,1,0,1,1,0,1,0,The postal plane crashed into a mountain slope in foggy conditions.</t>
  </si>
  <si>
    <t>01/12/1927,,"Estaires, France",Fokker,,Delivery flight,Fokker F-VII,G-EBPL,4938,0,0,2,0,0,2,0,The flight crew encountered poor weather conditions and made an emergency landing. The aircraft landed in a field badly damaged and written off.</t>
  </si>
  <si>
    <t>03/20/1927,,"Rabat, Morocco",Grands Express Aeriens,,Casablanca - Oran,Breguet 14,F-ALRA,,1,0,1,1,0,1,0,Unknown.</t>
  </si>
  <si>
    <t>03/24/1927,,"Tambo, Qld, Australia",Qantas,,Charleville - Tambo - Blackall,de Havilland DH-9C,G-AUED,86,3,2,1,3,2,1,0,"While attempting to land, the engine failed, the aircraft stalled and crashed."</t>
  </si>
  <si>
    <t>04/15/1927,,"King Hill, Idaho",Varney Air Lines,,,Swallow Swallow,,A28,1,0,1,1,0,1,0,Crashed after an unsuccessful attempt at fly into strong headwinds. The engine quit and the plane nosedived into the ground.</t>
  </si>
  <si>
    <t>04/22/1927,,"Floh, Germany",Deutsche Lufthansa,,Charleville - Tambo - Blackall,Fokker FG III,D-729,1567,2,1,1,2,1,1,0,Crashed following engine failure.</t>
  </si>
  <si>
    <t>04/22/1927,,"Goshen, Indiana",US Aerial Mail Service,,,Douglas M-4,626,,1,0,1,1,0,1,0,Crashed into a field during a snow storm.</t>
  </si>
  <si>
    <t>05/02/1927,,"Algiers, Algeria",Air Union,,,SPCA Meteore 63,F-AIFN,,3,0,3,1,0,1,0,The three engine seaplane stalled and crashed into the sea shortly after taking off.</t>
  </si>
  <si>
    <t>07/27/1927,,"Amoneburg, Germany",Deutsche Lufthansa,,Kassel - Frankfurt,Junkers F-13,D-206,591,5,3,2,5,3,2,0,Crashed after experiencing engine failure and attempting to make a forced landing.</t>
  </si>
  <si>
    <t>08/22/1927,08:30,"Sevenoaks, England",KLM Royal Dutch Airlines,,Croydon - Schiphol,Fokker F-VIII,H-NADU H-NADU,4993,11,9,2,1,0,1,0,"A broken wire led to the partial loss of the the rudder and a crash landing which resulted in the aircraft striking a tree, killing the flight engineer."</t>
  </si>
  <si>
    <t>09/03/1927,,"Willington, Connecticut",Colonial Air Transport,,,Fokker Universal,NC52  	 NC52,405,1,0,1,1,0,1,0,The postal plane crashed for unknown reasons.</t>
  </si>
  <si>
    <t>09/17/1927,,"Hadley, New Jersey",Reynolds Airways,,Sightseeing,Fokker F-VII,NC776,4840,12,11,1,7,6,1,0,The sightseeing plane took off and rose to 400 ft. when the engine failed.  The plane stalled and plunged to the ground in an apple orchard. Engine failure. The pilot was not familiar with the type of aircraft.</t>
  </si>
  <si>
    <t>09/17/1927,04:05,Atlantic Ocean,Private,,Old Orchad Beach - Rome,Fokker F7,NX703,4899/0501,3,1,2,3,1,2,0,"While flying 1,000 km east of the Canadian coast, the crew sent a mayday message and the aircraft crashed into the ocean two minutes later. The plane was owned by William Randolph Hearst who financed this nonstop transatlantic flight."</t>
  </si>
  <si>
    <t>09/23/1927,10:00,"Schleiz, Germany",Deutsche Lufthansa,,Berlin - Munich,Dornier Merkur,D-585,075,6,4,2,6,4,2,0,From an altitude of 500 ft. the plane went out of control and crashed  due to a broken wing strut.</t>
  </si>
  <si>
    <t>10/06/1927,,"Thies, Mauritania",Lignes Aeriennes Latecoere,,Saint Louis - Dakar,Breguet 14,F-AGBN,229,2,0,2,2,0,2,0,The plane crashed while attempting to land at Dakar.</t>
  </si>
  <si>
    <t>10/30/1927,,"New Brunswick, New Jersey",Colonial Air Transport,,,Fairchild FC-2,,20,4,3,1,4,3,1,0,Went into a tailspin and crashed into a corn field about 10 km from the airport.</t>
  </si>
  <si>
    <t>11/08/1927,,"Strasburg, France",CIDNA,,Strasbourg - Paris,Farman F-121 Jabiru,F-AIBR,1,1,0,1,1,0,1,0,The mail plane crashed shortly after taking off.</t>
  </si>
  <si>
    <t>11/16/1927,,Over the Gulf of Finland,Aero O-Y,,Tallinn - Helsinki,Junkers F-13,K-SALD,798,6,4,2,6,4,2,0,Crashed in the gulf of Finland and never found.</t>
  </si>
  <si>
    <t>11/29/1927,,"Corunna, Indiana",National Air Transport,,,Douglas M-4,NC62  	 NC1062,PO641,1,0,1,1,0,1,0,The postal plane crashed at night in poor weather.</t>
  </si>
  <si>
    <t>12/28/1927,,"Almeria, Spain",Aeropostale,,Dakar - Casablanca - Alicante - Perpignan - Toulouse,Breguet 14,F-AFGS,227,1,0,1,1,0,1,0,A fire erupted aboard the mail plane while en route and crashed.</t>
  </si>
  <si>
    <t>12/31/1927,,"Near Marseille,France",Latecoere Airlines,,Test flight,LatÃ©coÃ¨re 23 (flying boat),F-AIHP,23-1,5,0,5,5,0,5,0,"Suffered structural failure at an altitude of 1,000 ft."</t>
  </si>
  <si>
    <t>01/08/1928,,"Near Canajoharie, New York",Colonial Western Airlines,,Minola - Albany - Buffalo,Fairchild FC-2,NC3780,39,3,1,2,3,1,2,0,Became lost in dense fog and flew into trees in the Mohawk Valley while proceeding to Buffalo..</t>
  </si>
  <si>
    <t>01/16/1928,,"Solis, Uruguay",Aeropostale,F-AIKG,Buenos Aires - Montevideo,Latecoere 25,F-AIKG,633,2,0,2,2,0,2,0,The wing on the mail plane detached from the aircraft and crashed into the sea.</t>
  </si>
  <si>
    <t>01/22/1928,,"L'Hospitalet, AriÃ¨ge",Aeropostale,,Toulouse - Perpignan - Alicante - Casablanca - Dakar,Breguet 14,  F-AHEQ,,1,0,1,1,0,1,0,Crashed after experiencing mechanical difficulties.</t>
  </si>
  <si>
    <t>01/22/1928,,"Tarragona, Spain",Aeropostale,,Casablanca - Alicante - Perpignan - Toulouse,Breguet 14,F-AHEQ,240,2,0,2,2,0,2,0,Crashed in unknown circumstances.</t>
  </si>
  <si>
    <t>01/27/1928,,"Almeria, Spain",Aeropostale,,Casablanca - Alicante - Perpignan - Toulouse,Breguet 14,F-AFHN,162,1,0,1,1,0,1,0,After experiencing turbulence the pilot's seat belt broke and ejecting the pilot.</t>
  </si>
  <si>
    <t>02/26/1928,,"Marquette, Nebraska",Boeing Air Transport,,,Boeing 40,NC280,891,2,1,1,1,1,0,0,The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</si>
  <si>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03/11/1928,,"Off Cape Griz Nez, France",Air Union,,Paris - Croydon,Farman F-60 Goliath,F-AEFC,62/6943,2,0,2,2,0,2,0,Crashed into the sea while delivering mail in poor weather.</t>
  </si>
  <si>
    <t>04/17/1928,,"Federal, Wyoming",Boeing Air Transport,,,Boeing 40,NC282 NC282,893,2,1,1,1,1,0,0,Spatial disorientation after entering a snowstorm.</t>
  </si>
  <si>
    <t>04/19/1928,,"Minuesa, Spain",Iberia Airlines,,Barcelona - Madrid,Rohrbach Roland,M-CCCC,36,9,7,2,9,7,2,0,Crashed into a field after getting lost in fog.</t>
  </si>
  <si>
    <t>05/07/1928,,"Florianopolis, Brazil Florianopolis, Brazil Florianopolis, Brazil",Aeropostale,,,Latecoere 26,F-AIMQ,671,5,3,2,1,1,0,0,An in flight fire caused he pilot to lose control and crash in a field after which a fire erupted.</t>
  </si>
  <si>
    <t>05/12/1928,,"Dearborn, Minnesota",Ford Air Freight Inc.,,Dearborn - Buffalo,Ford 4,NC1492,4-AT-001,2,0,2,2,0,2,0,The cargo plane crashed on itâ€™s inaugural flight. The pilot tried to become airborne without sufficient speed.</t>
  </si>
  <si>
    <t>05/26/1928,,"Radevormwald, Germany",Deutsche Lufthansa,,Essen - Dortmund - Frankfurt,Junkers F-13,D-583,742,5,4,1,3,2,1,0,"After taking off and encountering fog, the pilot decided to  to make a precautionary landing in a field but t hit a cow, crashed and burned. Pilot error."</t>
  </si>
  <si>
    <t>06/14/1928,,"Frankfurt, Germany",Deutsche Lufthansa,,,AEGK,D-74,439,5,4,1,5,4,1,0,"The ""Viper"" crashed for unknown reasons."</t>
  </si>
  <si>
    <t>06/22/1928,,"Lebo, Kansas",National Air Transport,,Chicago - Dallas,Douglas M-4,NC1059,628,1,0,1,1,0,1,0,The mail plane flew into tornado like winds and crashed in a field.</t>
  </si>
  <si>
    <t>07/10/1928,,Over the Gulf of Finland,Aero O-Y,,Tallinn - Helsinki,Junkers F-13,K-SALB,760,6,4,2,6,4,2,0,Crashed under unknown circumstances</t>
  </si>
  <si>
    <t>07/13/1928,,"Purley, England",Imperial Airways,,Testing,Vickers 74 Vulcan,G-EBLB,9,6,5,1,4,4,0,0,"After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</si>
  <si>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07/24/1928,14:48,"Waalhaven, Netherlands",KLM Royal Dutch Airlines,,Sightseeing over Rotterdam,Fokker (KLM) F.III,H-NABR,1533 (KLM-1),6,5,1,1,1,0,0,"The plane became airborne in a stalled condition, hit a shipsmast and crashed into the Waalhaven."</t>
  </si>
  <si>
    <t>08/25/1928,11:00,"Near Port Townsend, BC, Canada",British Columbia Airways,,Victoria - Seattle,Ford 4-AT-B Tri Motor,G-CATX,4-AT-26,7,5,2,7,5,2,0,Crashed into Puget Sound in dense fog 12 miles off Port Townsend.  Considered the first Canadian air disaster.</t>
  </si>
  <si>
    <t>09/02/1928,91:5,"Toul, France",CIDNA,,Toul - Clermont-Ferrand,Bleriot Spad 33,F-AIEP,5/4207,5,2,3,5,2,3,0,"After taking off the engine failed, the plane stalled and crashed."</t>
  </si>
  <si>
    <t>09/04/1928,,"Adelaide Hills, Australia",Qantas,,Adelaide - Longreach,de Havilland DH.50J,G-AUHI,5,2,0,2,1,0,1,0,"Following the conclusion of an aerial tour carrying Sir John Salmond, the aircraft departed Adelaide piloted by C. W. A. Scott with an engineer as passenger. Control was lost in the cloud during an attempt to cross the Adelaide Hills</t>
  </si>
  <si>
    <t xml:space="preserve"> the aircraft encounted bad weather, crashed and caught fire."</t>
  </si>
  <si>
    <t>09/04/1928,11:30,"Pocatello, Idaho",National Parks Airways,,Great Falls - Pocatello - Salt Lake City,Fokker Super Universal,NC7242,809,7,6,1,7,6,1,0,"While flying low and circling six times for a landing, the mail plane went into a nose dive when the pilot headed into the wind and crashed to the ground, rolling over several times."</t>
  </si>
  <si>
    <t>09/06/1928,,"Heroldbach, Germany",Deutsche Lufthansa,,,Fokker FG III,D-180,1531,3,2,1,3,2,1,0,Crashed due to engine failure.</t>
  </si>
  <si>
    <t>10/04/1928,,"Gerona, Spain",Aeropostale,,Casablanca - Alicante - Barcelona - Perpignan - Toulouse,Breguet 14,F-AEEJ F-AEEJ,159,3,2,1,3,2,1,0,"Encountered fog and crashed into a mountain slope near the monastery of Sant Pere de Rodes, south of LlancÃ ,"</t>
  </si>
  <si>
    <t>10/18/1928,,"Polk, Pennsylvania",National Air Transport,,,Douglas M-4,NC1064,658,1,0,1,1,0,1,0,The mail plane crashed into a hill and burned during the night during poor weather conditons.</t>
  </si>
  <si>
    <t>10/31/1928,,"Valence, France",Air Union,,Paris - Lyon - Marseille,Bleriot Spad 56,F-AIMN,4381.9,2,1,1,1,0,1,0,The pilot attempted an emergency landing in a muddy field and crashed.</t>
  </si>
  <si>
    <t>11/15/1928,,Off Gibraltar,Aeropostale,,Marseille - Palma de Majorca,Latecoere 32,F-AISN,80,3,NULL,3,1,0,1,0,The sea plane stuck a lightning mast and crashed into houses. Pilot error.</t>
  </si>
  <si>
    <t>11/24/1928,,"Edgerton, Ohio",Universal Airlines,,Cleveland - Chicago,Hamilton H-47,NC7521,46,3,2,1,3,2,1,0,The mail plane crashed in a heavy snow storm.</t>
  </si>
  <si>
    <t>11/25/1928,,"Edgerton, Ohio",Continental Air Lines,,Cleveland - Louisville,Travel Air 4000,NC5436,525,1,0,1,1,0,1,0,The mail plane crashed in a heavy snow storm</t>
  </si>
  <si>
    <t>11/25/1928,,"Bristolville, Ohio",National Air Transport,,,Douglas M-4,NC792,650,1,0,1,1,0,1,0,The mail plane crashed in a snow storm.</t>
  </si>
  <si>
    <t>12/01/1928,10:00,"Spur, Texas",Sunbeam Air Transport Co.,,San Antonio - Amarillo - Tulsa - Denver,Ford 4-AT-B Tri Motor,NC7862,4-AT-47,5,4,1,5,4,1,0,The aircraft crashed and burned while en route. Flames were seen aboard the plane before it crashed. The plane was on a delivery flight.</t>
  </si>
  <si>
    <t>12/03/1928,08:00,"Near Rio de Janeiro,Brazil",Syndicato Condor,,Sightseeing,Dornier Wal,P-BACA,83,14,9,5,14,9,5,0,"The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</si>
  <si>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12/10/1928,10:45,"Spokan, Washington",Spokane Airways,,Colfax - Spokane,Ford Tri-motor 4,NC7687,4-AT-045,5,3,2,5,3,2,0,The aircraft crashed while attempting to land in fog.</t>
  </si>
  <si>
    <t>12/11/1928,,"Letzlingen, Germany",Deutsche Lufthansa,,Cologne -  Berlin,Junkers G-31,D-1473,3005,4,1,3,3,0,3,0,"After a fuel line broke in flight, the pilot was forced to make an emergency landing in an open field. On landing, the aircraft crashed, overturned and came to rest in flames."</t>
  </si>
  <si>
    <t>12/20/1928,,"Huron, Ohio",National Air Transport,,Cleveland - Chicago,Douglas M-4,NC790,653,1,0,1,1,0,1,0,The mail plane crashed into an apple tree during a snow storm after the pilot experienced spatial disorientation.</t>
  </si>
  <si>
    <t>12/23/1928,,"Chattanooga, Tennessee",Interstate Airlines,,,Fairchild FC-2,,,4,3,1,4,3,1,0,Crashed onto a roof and garage on takeoff and burst into flames. The motor may have not been warmed- up properly.</t>
  </si>
  <si>
    <t>12/31/1928,,"Reims, France",CIDNA,,Strasbourg - Paris,BlÃ©riot Spad 66,F-AEHX,3359-40,3,2,1,2,2,0,0,Crashed into high ground in fog.</t>
  </si>
  <si>
    <t>01/05/1929,,"Stafford Springs, Connecticut",Colonial Air Transport,,,Fairchild FC-2,NC5650,111,1,0,1,1,0,1,0,Struck a mountain slope  in poor weather.</t>
  </si>
  <si>
    <t>01/18/1929,,"Cove, Oregon",Varney Air Lines,,"Boise, ID - Pasco, WA",Stearman C-38,NC1682,102,1,0,1,1,0,1,0,While attempting to make an emergency landing on the Minam river the mail plane hit a bolder killing the pilot.</t>
  </si>
  <si>
    <t>01/25/1929,,"Near Corfu, Greece",Aeroespresso,,Brindisi - Athens - Istanbul,CMASA Wal,I-AZDA,053,9,7,2,2,7,2,0,The passenger plane diverted off Kerkira in the Ionian Sea due to poor weather conditions and thunderstoms and sank in rough seas.</t>
  </si>
  <si>
    <t>01/31/1929,,Off Morocco,Aeropostale,,Agadir - Casablanca,Latecoere 26,F-AIMU F-AIMU,674,2,0,2,2,0,2,0,"While cruising along the coast, the mail plane crashed into the Atlantic Ocean for unknown reasons."</t>
  </si>
  <si>
    <t>01/31/1929,,"Morgantown, West Virginia",Skyline Transportation Company,,,Travel Air 4000,NC6480,800,1,0,1,1,0,1,0,"While attempting to land, the aircraft overran the runway and hit the perimeter fence."</t>
  </si>
  <si>
    <t>03/17/1929,17:00,"Newark, New Jersey",Colonial Western Airlines,,Sightseeing,Ford 5-AT-B Tri Motor,NC7683,4-AT-41,15,13,2,14,13,1,0,The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</si>
  <si>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03/30/1929,09:18,"Near Beaumont, California",New Standard Airlines,,Los Angeles - Phoenix - El Paso,Fokker F-VIIA,NC7888,617,4,3,1,4,3,1,0,"The aircraft crashed into a high mountain ridge, exploding on impact. Investigators speculated that upon encountering fog and winds in the treacherous mountain pass, the pilot may have turned the airliner around and was heading back to the airport when the crash occurred."</t>
  </si>
  <si>
    <t>04/21/1929,11:45,"San Diego, California",Maddux Airlines / Military - U.S.Army Air Force,,San Diego - Phoenix,Ford 5-AT-B Tri-Motor / B-PW-9D,NC9636 / 28-037,4-AT-010,6,3,3,6,3,3,0,"A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</si>
  <si>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05/09/1929,,"Tampico, Mexico",Mexicana,,"Tampico - Brownsville, TX",Ford Tri-motor 4,M-SCAL,,5,4,1,5,4,1,0,"An engine failed, the plane stalled and crashed."</t>
  </si>
  <si>
    <t>05/18/1929,,"TÃ¶kÃ¶l,  Pest Hungary",MALERT,,,Fokker F-III,H-MABC,1604,2,0,2,2,0,2,0,A wing separated in flight and the plane crashed.</t>
  </si>
  <si>
    <t>05/22/1929,,Algiers,Aeropostale,,Algiers - Marseille,Cams 53,F-AISX,07,6,3,3,4,3,2,0,The plane collided with a submerged object while taking off.</t>
  </si>
  <si>
    <t>06/13/1929,08:00,"Santiago de Cuba, Cuba",Pan American Airways,,Santiago de Cuba - Havana,Fokker F-X,NC9700,1010,5,1,4,2,1,1,0,"Crashed while taking off. The muddy field prevented the aircraft from gaining altitude. The plane hit telephone wires and crashed. The plane was named ""Christopher Columbus""."</t>
  </si>
  <si>
    <t>06/14/1929,,"Barcelona, Spain",Aeropostale,,Janeiro - Buenos Aires,Breguet 14,F-AFEJ,217,2,0,2,1,0,1,0,"Took off, lost power and altitude and crashed into a telegraph tower."</t>
  </si>
  <si>
    <t>06/17/1929,11:30,"Off Dungeness, England",Imperial Airways,,London - Paris - Basil - Zuric,Handley Page W-10,G-EBMT,W10/4,13,11,2,7,7,0,0,"The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</si>
  <si>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06/24/1929,,"St. Paul, Minnesota",Northwest Orient Airlines,,St. Paul - Minneapolis,Ford 5-AT-B Tri-Motor,NC7416,5-AT-002,8,6,2,1,0,1,0,All three engines failed shortly after takeoff causing the plane to stall and crash near Indian Mounds park.</t>
  </si>
  <si>
    <t>06/29/1929,21:00,"Near Lindau, Bavaria, Germany",Bodensee Aerolloyd,,,Domier Delphin III (flying boat),D-1620,151,5,4,1,5,4,1,0,The seaplane crashed into lake Constance while attempting to landing. The landing was hard and the plane broke in two and sank.</t>
  </si>
  <si>
    <t>06/29/1929,,"Columbus, Ohio",Continental Air Lines,,,Travel Air 4000,NC5435,524,1,0,1,1,0,1,0,The mail plane crashed into an antenna mast in fog and low visibility and burned.</t>
  </si>
  <si>
    <t>08/11/1929,,"Clovis, New Mexico",Middle States Airlines,,,Lockheed 5 Vega,NC870E,,4,2,2,4,2,2,0,"The just manufactured aircraft was on its way to be delivered to its new owner with  four employees of Lockheed,  two pilots and two engineers when it crashed under unknown circumstances."</t>
  </si>
  <si>
    <t>08/24/1929,,"Sochi, Russia",Ukvozduchput,,,Kalinin K-4,CCCP-217,108,1,0,1,1,0,1,0,Crashed under unknown circumstances.</t>
  </si>
  <si>
    <t>08/24/1929,,"Elm, Germany",Deutsche Lufthansa,,Frankfurt - Berlin,Fokker FG II,D-757,1571,5,4,1,4,3,1,0,The aorcraft hit a hill in fog and poor visibility.</t>
  </si>
  <si>
    <t>09/02/1929,,"Needles, California",Associated Aviators,,,Lockheed Vega,NR859E,067,2,0,2,1,0,1,0,The plane crashed after going into a tail spin in a thunderstorm. The mechanic was able to parachute to safety.</t>
  </si>
  <si>
    <t>09/03/1929,11:01,"Mt. Taylor, near Grants, New Mexico",Trans Continental Air Transport,,Albuquerque - Los Angeles,Ford 5-AT-B Tri Motor,NC9649,5-AT-002,8,5,3,8,5,3,0,"Shortly after departing the aircraft crashed into a Mt Taylor after encountering a thunderstorm and turbulence. The plane was named ""The City of San Francisco."""</t>
  </si>
  <si>
    <t>09/06/1929,,"Jask, Iran",Imperial Airways,,"London, England - India",de Havilland DH-66 Hercules,G-EBMZ,239,5,2,3,3,1,2,0,"At night, the aircraft crashed short of the runway in low visibility."</t>
  </si>
  <si>
    <t>09/14/1929,,North Atlantic Ocean,Aeropostale,,"Toulouse, France - Casablanca, Morocco",Latecoere 25,F-AIUJ,704,6,4,2,6,4,2,0,"Crashed at sea, 30 miles from Larache, Morocco for unknown reasons."</t>
  </si>
  <si>
    <t>09/14/1929,18:00,"Saint Catharines, Ontario",Skyways,,Sightseeing,Travel Air 6000,CF-ABE,1024,6,5,1,6,5,1,0,The aircraft went out of control and crashed for unknown reasons.</t>
  </si>
  <si>
    <t>09/17/1929,,"Mt Lamentation, Connecticut",Colonial Air Transport,,,Pitcairn PA-6 Mailwing,,,1,0,1,1,0,1,0,The mail plane crashed into Mt. Lamentation in fog and burst into flames.</t>
  </si>
  <si>
    <t>09/17/1929,,"Off Larache, Morocco",Aeropostale,,Toulouse - Perpignan - Barcelona - Alicante - Casablanca,Latecoere 25-3-R,F-AIUJ,704,5,3,2,5,3,2,0,Crashed into the Mediterranean for unknown reasons.</t>
  </si>
  <si>
    <t>09/17/1929,,"Jacumba, California",Pickwick Airways,,Tijuana - Nogales,Fairchild 71,,,2,0,2,1,0,1,0,The mail plane crashed into a hillside in the desert while attempting to make an emergency landing during a storm.</t>
  </si>
  <si>
    <t>10/26/1929,18:00,"Off Spezia, Italy",Imperial Airways,,Naples - Genoa,Short Calcutta (flying boat),G-AADN,S748,7,5,2,7,5,2,0,"The aircraft ditched in the ocean after encountering gale force winds. Sank while in tow. The plane was named ""City of Rome."""</t>
  </si>
  <si>
    <t>10/29/1929,,"Mount Vernon, Ohio",Continental Air Lines,,Cleveland - Louisville,Stearman C-38,,,1,0,1,1,0,1,0,The mail plane crashed into a grove of trees 8 miles southwest of Mount Vernon in foggy conditons.</t>
  </si>
  <si>
    <t>10/31/1929,,"Off Bremerton, Washington",Bremerton-Seattle Air Taxi / Gorst Air Lines,,Bremerton - Seattle,Loening C-2C,NC9158,232,2,0,2,2,0,2,0,The air taxi crashed into Puget Sound as it attempted to take off.</t>
  </si>
  <si>
    <t>11/04/1929,07:00,"Cerro del Carbon, Mexico",Corp. Aeronautica de Transportes,,Matamoros - Mexico City - Juarez,Lockheed Vega 5,NC46M,097,4,3,1,4,3,1,0,The mail plane crashed in dense fog.</t>
  </si>
  <si>
    <t>11/06/1929,10:10,"Near Godstone, Surrey, England",Deutsche Lufthansa,,Croyden - Amsterdam - Berlin,Junkers G-24,D-903,911,8,4,4,7,3,4,0,"After the plane's antenna wire struck the ground and was partially torn off, the pilot attempted to return to land but hit tree tops and crashed in rain and fog."</t>
  </si>
  <si>
    <t>11/16/1929,09:35,"Off Corsica, France",Air Union,,Marseille - Ajaccio - Tunis,Liore et Olivier 190,F-AIGB,1,3,0,3,3,0,3,0,"While flying along the Corsican coast, the aircraft crashed into the Mediterranean in fog. No trace of the plane was ever found."</t>
  </si>
  <si>
    <t>11/20/1929,,"Terranova Pausania, East Sardinia",S.A.M. SocietÃ  Aerea Mediterranea,,"Cagliari, Terranova - Rome",Savoia Marchetti S55,I-TACO,10519,12,9,3,1,1,0,0,The plane crashed due to  an optical phenomenon caused by calm waters and an erroneous height assessment.</t>
  </si>
  <si>
    <t>11/30/1929,,"Vancouver, Washington",Varney Air Lines,,,Stearman M-2 Speedmail,NC8199,1006,1,0,1,1,0,1,0,The mail plane crashed into a fog bound tower of the interstate bridge spanning the Columbia River.</t>
  </si>
  <si>
    <t>12/02/1929,,"Chagrin Falls, Ohio",National Air Transport,,,Douglas M-3,NC789,622,1,0,1,1,0,1,0,The mail plane crashed en route during a storm.</t>
  </si>
  <si>
    <t>12/19/1929,,"Near Berlin, Germany",Deutsche Lufthansa,,Marseille - Berlin,Arado V1,D-1594,47,3,0,2,2,0,2,0,"In fog, the pilot lost his bearing in fog and crashed 60 km from the airport."</t>
  </si>
  <si>
    <t>12/30/1929,17:00,"Amarillo, Texas",Trans Continental Air Transport,,Demonistration,Travel Air B6000,,,5,3,2,5,3,2,0,Crashed onto a golf course  while on approach during a demonstration flight.</t>
  </si>
  <si>
    <t>01/10/1930,,"Brawnson, Nebraska",Boeing Air Transport,,,Boeing 95,NC184E,,1,0,1,1,0,1,0,The airmail plane crash landed and burst into flames on a farm in fog and snow while attempting to make an emergency landing.</t>
  </si>
  <si>
    <t>01/13/1930,,"Antananarivo, Madagascar",Air Orient,,Antananarivo - Paris,Farman 190,F-AJJK,1,3,0,3,3,0,3,0,Crrashed moments after taking off from Port-Francqui.</t>
  </si>
  <si>
    <t>01/19/1930,18:23,"Oceanside, California",Maddux Airlines,7,"Aqua Caliente, Mexico - Los Angeles",Ford 5-AT-C Tri Motor,NC9689,5-AT-046,16,14,2,16,14,2,0,"While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</si>
  <si>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01/25/1930,,"Off Ceuta, Spain",Aeropostale,,Casablanca - Alicante,Latecoere 25,F-AJCL,691,2,0,2,2,0,2,0,Ran into thunderstorms and crashed into the sea.</t>
  </si>
  <si>
    <t>01/27/1930,17:30,"Kansas City, Missouri",Central  Airlines (Universal Aviation Corporation),,"Wichita - Kansas City, KS",Travel Air A6000A,,963,5,4,1,5,4,1,0,"While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</si>
  <si>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02/03/1930,,"Hartford, Connecticut",Colonial Air Transport,,"Newark, NJ - Hartford, CT",Pitcairn PA-6 Mailwing,NC801H,41,1,0,1,1,0,1,0,While attempting to land the plane struck a building and fell into the Connecticut river.</t>
  </si>
  <si>
    <t>02/10/1930,,"Marden, England",Air Union,,Paris - Croydon,Farman F-63,F-FHMY,21/6844,6,3,3,2,2,0,0,"While attempting to land in snow, the plane rose up, stalled and crashed. Fatigue of the upper front strut of the right tail which failed in flight, causing the spar to fail as well."</t>
  </si>
  <si>
    <t>04/18/1930,17:00,"Jersey City, New Jersey",Canadian Colonial Airways,,"Albany, NY - Jersey City, NJ",Fairchild 71,NC9148,634,4,3,1,4,3,1,0,Crashed into power lines 150 feet above the ground in fog.</t>
  </si>
  <si>
    <t>05/10/1930,,"Buenos Aires, Argentina",Aeropostale,,Buenos Aires - Montevideo,Latecoere 28,F-AJPD,918,4,2,2,3,1,2,0,"While flying in foggy conditions at night, the captain lowered his altitude, hit a wave and fiipped over."</t>
  </si>
  <si>
    <t>06/05/1930,,"Boston, Massachusetts",Colonial Air Transport,,Boston - Newark,Ford Tri-Motor 5,NC9675,5-AT-033,15,13,2,1,1,0,0,Crashed into Boston Harbor after losing the right  engine on takeoff.</t>
  </si>
  <si>
    <t>07/07/1930,,"Bornholm, Denmark",Deutsche Lufthansa,,Stettin - Norway,Dornier Wal,D-864,44,8,5,3,5,4,1,0,"The flying boat landed in a storm in the open ocean due to engine failure. After three hours, the plane was  capsized by a large wave while under tow."</t>
  </si>
  <si>
    <t>07/10/1930,,"Arkansas Pass, Texas",Cross Airways,,Port Aransas - Kansas City,Lockheed Vega 5,NC-394H,087,5,4,1,5,4,1,0,"The aircraft exploded in the air at an altitude of 4,000 feet shortly after taking off. The plane was flying in an area of fog and thunderstorms."</t>
  </si>
  <si>
    <t>07/21/1930,15:00,"Near Meopham, Kent, England",Walcot Air Line,,"London - Le touquet, France",Junkers F-13ge,G-AAZK,,6,4,2,6,4,2,0,The plane crashed about 10 miles from it's destination. Possible buffeting or irregular ocillation of the horizontal stabilizer leading to separation of the left stabilizer.</t>
  </si>
  <si>
    <t>08/22/1930,15:45,"Iglau, Czechoslovakia",Ceskoslovenske Aerolinie,,Prague - Bratislava,Ford 5-AT-C Tri Motor,OK-FOR,5-AT-050,11,10,1,10,9,1,0,Crashed when the pilot made a sharp turn to avoid a chimney and lost control of the aircraft.</t>
  </si>
  <si>
    <t>09/11/1930,,"Croydon, England",Sabena,,Croydon - Brussels,Sabca F-VII,OO-AIN,,2,0,2,2,0,2,0,The plane caught on file shortly after taking off from Croydon.</t>
  </si>
  <si>
    <t>09/25/1930,,"Edmonton, Alberta, Canada",Western Canada Airways,,Calgary - Moosejaw,Boeing 40,CF-AIN,1165,3,2,1,3,2,1,0,The air mail plane crashed in fog  while attempting to land in fog.</t>
  </si>
  <si>
    <t>10/05/1930,02:05,"Near Beauvais, France",Military - British Air Ministry,,"Cardington, England - Karachi, Pakistan",Royal Airship Works R-101,G-FAAW,R-101,54,NULL,NULL,48,NULL,NULL,0,"The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</si>
  <si>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10/06/1930,09:45,"Dresden, Germany",Deutsche Lufthansa,,Berlin - Vienna,Messerschmitt M-20B,D-1930,443,8,6,2,8,6,2,0,Crashed into hill while attempting to land after running into a strong gust of wind..</t>
  </si>
  <si>
    <t>10/12/1930,,"La Rache, Morocco",Aeropostale,,Casablanca - Bahat - Toulouse,Latecoere 28,F-AJUU,,4,3,1,4,3,1,0,The french postal plane crashed into mountains.</t>
  </si>
  <si>
    <t>10/13/1930,,"Perth, Australia",Wings Ltd,,,de Havilland DH.80 Puss Moth,VH-UPC,2021,3,2,1,3,2,1,NULL,"Fflying over the Darling Range, aircraft went out of control and dove into a hilly terrain,"</t>
  </si>
  <si>
    <t>10/28/1930,,"Prince Rupert, BC, Canada",Alaska-Washington Airways,,,Lockheed Vega,NC103W,120,3,2,1,3,2,1,0,Crashed while taking off.</t>
  </si>
  <si>
    <t>10/30/1930,,"Near Neufchatel, France",Imperial Airways,,"Paris, France - London, England",Handley Page W-8,G-EBIX,W8-7,6,3,3,3,2,1,0,"Crashed into high ground in fog after losing an engine. The plane was named ""City of Washington."""</t>
  </si>
  <si>
    <t>10/30/1930,,"Brookston, Indiana",Embry Riddle Company,,,Pitcairn PA-6 Mailwing,,,1,0,1,1,0,1,0,After developing engine trouble the pilot tried to parachute out of the plane but the parachute got caught on the plane and the pilot was dragged to his death.</t>
  </si>
  <si>
    <t>11/07/1930,,"Off of Santos, Brazil",Syndicato Condor,,Porto Alegre - Laguna - Rio de Janeiro,Junkers G-24,P-BAHA,921,9,8,1,1,1,0,0,Crashed into the sea.</t>
  </si>
  <si>
    <t>11/18/1930,20:0,"Techachapi Mountains, California",Pacific Air Transport,,"Burbank, CA - Oakland, CA",Boeing 40,NC5340,,3,0,3,3,0,3,NULL,"Crashed into a mountainside at an altitude of 4,500  feet during a snowstorm."</t>
  </si>
  <si>
    <t>12/09/1930,,"Shanghai, China",China National Aviation Corporation,,Shanghai - Hankow,Loening C-W Air Yaht,,,6,4,2,4,2,2,0,"The lower right wing of the aircraft hit the mast of  a river boat and the plane flipped over on its back and  crashed onto a river bank. The aircraft was named ""Shanghai""."</t>
  </si>
  <si>
    <t>01/08/1931,22:40,"Melle, Belgium",Sabena,,Brussels - London,Fokker F-VII,OO-AIL,1930,2,0,2,2,0,2,0,"After deciding to return to his base because of fog, the pilot of the mail plane  lowered his altitude and struck the ground."</t>
  </si>
  <si>
    <t>01/22/1931,," Bluff Mountain, Washington",Varney Air Lines,,Portland - Pasco,Boeing 40,NC741K,1422,1,0,1,1,0,1,0,The mail plane flew into Bluff Mountain in dense fog.</t>
  </si>
  <si>
    <t>02/08/1931,,"Wairoa, New Zealand",Dominion Air Lines,,Gisborne - Hastings,Desoutter II,ZK-ACA,D-36,3,2,1,3,2,1,0,While droping a mail bag the plane stalled and crashed.</t>
  </si>
  <si>
    <t>02/20/1931,,"Bagot, Manitoba, Canada",Western Canada Airways,,Winnigeg - Moosejaw,Fokker Universal F-14,,,3,2,1,2,2,0,0,"The plane carrying mail, crashed into a field, turned over and burst into flames. There was heavy fog in the area of the accident."</t>
  </si>
  <si>
    <t>02/24/1931,,Off Spain,Aeropostale,,Algiers â€“ Marseille,Latecoere 32,F-AITX,84,3,0,3,1,0,1,0,Crashed due to fuel exhaustion after encountering strong headwinds and getting lost.</t>
  </si>
  <si>
    <t>03/21/1931,13:00,"New South Wales, Australia",Australian National Airways,,Sydney - Melbourne,Avro 10,VH-UMF,241,8,6,2,8,6,2,0,Crashed in the Snowy Mountains in poor weather conditions. Wreckage found 10/26/1958.</t>
  </si>
  <si>
    <t>03/31/1931,10:45,"Bazaar, Kansas",Trans Continental and Western Air,599,Kansas City - Wichita -  Los Angeles,Fokker F10A Trimotor,NC-999,1063,8,6,2,8,6,2,0,"Shortly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</si>
  <si>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04/14/1931,,"Near Letschen, Germany",Deutsche Lufthansa,,,Messerschmitt M-20,D-1928,442,10,7,3,2,0,2,0,Fuselage failure. Four were seriously injured and both the pilot and radio operator were killed.</t>
  </si>
  <si>
    <t>05/05/1931,23:30,"Burbank, California",Pacific Air Transport,,San Diego - Los Angeles,Boeing 40,NC5390,1044,2,0,2,2,0,2,0,The mail plane crashed into Las Tunas Canyon while attempting to land at  Burbank Airport in dense fog.</t>
  </si>
  <si>
    <t>05/22/1931,,"Wampit, Australia",Guiena Airways,,Lae - Bulolo,Junkers W-34,VH-UNR,2611,1,0,1,1,0,1,0,Hit trees in fog and cashed into the jungle.</t>
  </si>
  <si>
    <t>05/24/1931,22:30,"Bellefonte, Pennsylvania",National Air Transport,,,Boeing 95,NC397E,1057,1,0,1,1,0,1,0,Crashed into a mountain and burned in poor visibility and icing conditions.</t>
  </si>
  <si>
    <t>06/07/1931,09:00,"Near Sandoway, Burma",Air Orient,,Saigon - Karachi,Fokker F-VIIB,PH-AEO,5096,4,0,4,4,0,4,0,Crashed into a trees and fell into a river 50 km south of Sandoway after experiencing engine trouble while attempting to land at Sandoway in poor visibility and monsoon conditions.</t>
  </si>
  <si>
    <t>06/11/1931,,"Walbridge, Ohio",Rubner Flying Service,,,Lockheed Vega 2,NC857E,064,3,1,2,2,0,2,0,A wing buckled as the plane was attempting to land and the plane crashed.</t>
  </si>
  <si>
    <t>06/13/1931,,"Saarbrucken, Germany",Deutsche Lufthansa,,Cologne - Saarbrucken,Dornier Merkur,D-1455,177,4,2,2,4,2,2,0,"After circling in fog for half an hour, the plane rose to about 300 ft. and nose dived into the ground and burst into flames. Engine failure."</t>
  </si>
  <si>
    <t>07/12/1931,,"Chicago, Illinois",Braniff Airlines,,Chicago - Detroit,Lockheed Vega,NC8497,154,2,0,2,2,0,2,0,Engine quit while taking off. The plane crashed from a height of 700 feet. The pilot tried to return to the airport  by banking to the right but did not have sufficient altitude to recover.</t>
  </si>
  <si>
    <t>07/14/1931,,"Temora, Australia",Australian Aerial Services,,,Lasco Lascowl,VH-UGF,3,2,0,2,2,0,2,0,</t>
  </si>
  <si>
    <t>07/21/1931,,"Centralia, Illinois",American Airways,,,Pitcairn PA-6 Mailwing,,,1,0,1,1,0,1,0,</t>
  </si>
  <si>
    <t>07/24/1931,,"Kurudjevo, Bulgaria",CIDNA,,Constantinople - Budapest,Fokker F-VII,F-ALGT,18,7,5,2,7,5,2,0,The aircraft caught fire in mid air and crashed.</t>
  </si>
  <si>
    <t>08/09/1931,08:40,"Cincinnati, Ohio",American Airways,,Cincinnati - Atlanta,Ford 5-AT-C Tri Motor,NC9662,5AT-029,6,4,2,6,4,2,0,Crashed from a height of 500 feet on the banks of Little Miami River shortly after taking off.  Engine failure due to a broken hub on the right engine which led to the detachment of the motor from the aircraft.</t>
  </si>
  <si>
    <t>09/14/1931,20:00,"Chicago, Illinois",Chicago-Detroit Airways,,,Lockheed Vega,NC606,056,1,0,1,1,0,1,0,Crashed in a severe rainstorm while attempting to land.</t>
  </si>
  <si>
    <t>09/15/1931,,"Near Craiova, Oltenia, Romania",CIDNA,,Paris - Bucharest,Fokker F-VIIb-3m,F-AIGT,,6,4,2,6,4,2,0,Crashed in low overcast and darkness while en route.</t>
  </si>
  <si>
    <t>09/16/1931,04:00,"Oakland, California",Pacific Air Transport,,"Oakland, CA - Seattle, WA",Boeing 40,NC10347,1428,4,3,1,4,3,1,0,Crashed into San Francisco Bay shortly after taking off from Oakland airport.</t>
  </si>
  <si>
    <t>10/06/1931,,"Novia Scotia, Canada",Deutsche Lufthansa,,Sydney - New York,Heinkel HE-2,D-1717,334,3,0,3,3,0,3,0,Crashed into the sea while en route.</t>
  </si>
  <si>
    <t>10/14/1931,,Brazil,Syndicato Condor,,,Dornier Wal,P-BALSA,107,3,0,3,3,0,3,0,</t>
  </si>
  <si>
    <t>11/05/1931,06:48,"Camden, New Jersey","NY, Phil., Washington AW",,"Newark, NJ  - Camden, NJ - Washington DC",Lockheed Orion 9,NC12221,178,5,4,1,5,4,1,0,Crashed  onto a golf course and burst into flames after circling the airport twice to land.</t>
  </si>
  <si>
    <t>11/13/1931,,"Sir Lowry's pass, South Africa",Union Airways,,Durban - Cape Town,De Havilland DH.80,ZS-ACD,2110,3,2,1,3,2,1,0,"Flew into a thunderstorm over mountains, lost a wing and crashed."</t>
  </si>
  <si>
    <t>11/23/1931,,"Salt Lake City, Utah",Boeing Air Transport,,,Boeing 40,NC7465,897,1,0,1,1,0,1,0,The mail plane crashed 8 miles west of Salt Lake airport. It is believed the plane overturned while attempting to land in the dark and in a snowstorm.</t>
  </si>
  <si>
    <t>11/24/1931,,"Near Tsinan, China",China National Aviation Corporation,,Nanking - Peiking,Stinson,,,3,1,2,3,1,2,0,Crashed into Chingshan mountain range 10 miles south of Tsinan in fog.</t>
  </si>
  <si>
    <t>11/26/1931,22:30,"Pasco, Washington",Varney Air Lines,,"Portland,  WA - Pasco, WA",Boeing 40,NC10338,1419,1,0,1,1,0,1,0,Crashed in fog while attempting to land.</t>
  </si>
  <si>
    <t>12/05/1931,,"Kewanee, Illinois",Braniff Airways,,Kansas City - Chicago,Lockheed Vega 5,NC433E,049,6,5,1,2,2,0,0,Crashed attempting to land at an alternate airfield in a sleet storm. The plane struck the roof of a barn adjacent to the airfield and was destroyed. Icing.</t>
  </si>
  <si>
    <t>12/06/1931,05:45,"Bangkok, Thailand",KLM Royal Dutch Airlines,,Djakarta - Amsterdam -  Bangkok - Rangoon (Burma),Fokker F-VIIb-3M,PH-AFO,5226,7,3,4,5,2,3,0,"Take off  was made with the  emergency hatch in cockpit roof open. This spoiled the lift and aircraft didn't become airborne.  At the end of the field, the aircraft crashed into a dam."</t>
  </si>
  <si>
    <t>12/09/1931,,Off Algiers,Aeropostale,,Marseille - Algiers,CAMS 56,F-AIOX,3,2,0,2,2,0,2,0,The crew crashed into the sea after a hydraulic failure and fire.</t>
  </si>
  <si>
    <t>12/31/1931,,"Springfield, Ohio",American Airways,,"Port Colombus, OH - Louisville, KY",Fairchild Pilgrim 100A,,,5,4,1,4,4,0,0,"Under orders from his supervisor, the pilot took off in extremely poor weather conditions. After encountering fog he attempted to turn back to the airport but a wing tip struck a knoll and the plane crashed."</t>
  </si>
  <si>
    <t>01/21/1932,,"Colvin Park, Ilinois",Northwest Airways,,"Rockford - Chicago, IL - Madison, WI",Stinson SM-2A,NC443H,1088,1,0,1,1,0,1,0,"The pilot lost his directions in heavy fog. He decided to bail out and abandoned the aircraft. While doing so, he hit the horizontal stabilizer and was killed. The aircraft then crashed into a residential area,"</t>
  </si>
  <si>
    <t>01/29/1932,16:00,"Lebec, California",Century Pacific Lines,,"San Francisco - Bakersfield - Los Angeles, CA",Stinson SM-6000B,NC10813,5034,8,7,1,8,7,1,0,"Crashed into a canyon, in mountains, during a blizzard. Wreckage found a week later."</t>
  </si>
  <si>
    <t>02/01/1932,,"Off Miami, Florida",Bimini Airways,,Miami - Bimini,Fairchild,,,5,4,1,5,4,1,0,Disappeared while en route on a 45 minute flight.</t>
  </si>
  <si>
    <t>02/02/1932,,"Rio Vista, California",Boeing Air Transport,,,Boeing 40, NC291,902,2,0,2,1,0,1,0,Struck an irrigation ditch and caught fire during landing.</t>
  </si>
  <si>
    <t>02/02/1932,,"Marcellus, Michigan",Transamerican Airlines,,Chicago - Kalamazoo,Stearman C-3MB,NC6411,161,1,0,1,1,0,1,0,The mail plane crashed in a snowstorm.</t>
  </si>
  <si>
    <t>02/27/1932,,"Off Setiba, Brazil",Aeropostale,,,Latecoere 28,F-AJOX,917,3,0,3,3,0,3,0,Crashed into the ocean after flying into a thunderstorm.</t>
  </si>
  <si>
    <t>03/08/1932,02:00,"Saint Louis, Illinois",Century Air Lines,,Training,Stinson SM-6000B,NC11122,5016,5,0,5,3,0,3,0,"Crashed into a skeleton of an old windmill, 500 yards from the edge of the field while practicing night landings."</t>
  </si>
  <si>
    <t>03/19/1932,19:30,"Calimesa, California",American Airways,,"Phoenix, AZ - Los Angeles, CA",Fokker F-10A,NC652E,1027,7,5,2,7,5,2,0,The crew reduced altitude in foggy conditions to maintain visual contact with the ground. Crashed into an apple orchard after striking power lines. One survivor died the next day.</t>
  </si>
  <si>
    <t>03/21/1932,,"Steubenville, Ohio",Trans Continental and Western Air,,Columbus - McKeesport,Northrop Alpha 3,NC966Y,9,1,0,1,1,0,1,0,The mail plane pilot drowned when his parachute tangled in the fuselage and he was dragged into the Ohio River after his plane crashed.</t>
  </si>
  <si>
    <t>03/29/1932,,"Rutbah Wells, Iraq",Air Orient,,Damascus - Baghdad - Karachi,Farman F-190,F-AJDP F-AJDP,7120,3,1,2,3,1,2,0,Crashed into the ground during a sand storm.</t>
  </si>
  <si>
    <t>03/31/1932,,"Bedford, Ohio",National Air Transport,,,Boeing 95,NC191E,1054,1,0,1,1,0,1,0,Crashed in a storm.</t>
  </si>
  <si>
    <t>04/21/1932,,"Fort Wayne, Indiana",Transamerica Airlines,,,Stearman C-3MB,NC6412,162,1,0,1,1,0,1,0,Crashed while in final approach.</t>
  </si>
  <si>
    <t>05/16/1932,,"Burbank, California",Pacific Air Transport,,San Diego - Burbank - Oakland,Boeing 40,NC5589,1042,3,2,1,3,2,1,0,Crashed and burned  in fog while attempting to land at Burbank Airport.</t>
  </si>
  <si>
    <t>05/30/1932,12:00,"Portland, Oregon",Varney Air Lines,,,Boeing 40,NC830M,1155,2,0,2,1,0,1,0,Crashed in a river after the engine exploded.</t>
  </si>
  <si>
    <t>07/16/1932,08:00,"Mount El Plomo, near Vitacura, Chile",Panagra,,"Santiago, Chile - Mendosa, Argentina",Ford 5-AT-C Tri Motor,NC403H,5-AT-062,9,6,3,9,6,3,0,"The aircraft crashed in a severe snowstorm in the Andes Mountains.  The wreckage was buried by ice and snow and wasnâ€™t found until March 22, 1934."</t>
  </si>
  <si>
    <t>08/12/1932,,"Beyrouth, Lebanon",Air Orient,, Marseille - Naples - Beyrouth - Saigon,CAMS 53,F-AIQY,07,7,3,4,0,0,0,0,Crrashed and sunk while landing in Beyrough harbor.</t>
  </si>
  <si>
    <t>08/31/1932,00:10,"Tubergen, Germany",A B Aerotransport,,Amsterdam - Hanover - Copenagen - MalmÃ¶,Junkers G-23,SE-AAE,836,2,0,2,2,0,2,0,The crew radioed they had problems with engine 3. The crew lowered their altitude and attempted an emergency landing. In low visibility and at night they hit a chimney and crashed.</t>
  </si>
  <si>
    <t>09/08/1932,09:00,"Salt Flats, Texas",American Airways,,El Paso - Dallas,Fokker F-10,NC9716,1009,4,2,2,3,1,2,0,The mail plane struck a mountain and burned after encountering poor weather conditions.</t>
  </si>
  <si>
    <t>09/17/1932,06:00,"Selsdon Park, England",Air Union,,,Liore-et-Olivier 213,F-AIFE,2,2,0,2,1,0,1,0,On approach to Croydon in fog and reduced visibility the plane crashed in a hotel parking lot.</t>
  </si>
  <si>
    <t>09/18/1932,,"Byron Bay, Australia",New England Airways,,Sydney - Lismore - Brisbane,De Havilland DH-80,VH-UPM,2052,3,2,1,3,2,1,0,The left wing and rudder detached in strong winds and turbulence after the pilot made a sharp left turn.</t>
  </si>
  <si>
    <t>10/12/1932,,"Port Etienne, Mauritania",Aeropostale,,Dakar - Port Etienne - Algiers - Paris,Latecoere 28,F-AJIP,905,1,0,1,1,0,1,0,Crashed shortly afer taking off.</t>
  </si>
  <si>
    <t>10/26/1932,,"Villa Monte, Bolivia",Lloyd Aero Boliviano,,,Ford Tri-motor 5,,,2,0,2,2,0,2,0,Former American army flyer Donald Duke was killed when his plane carrying Bolivian army supplies crashed.</t>
  </si>
  <si>
    <t>10/29/1932,,"Ramsgate, England",Deutsche Lufthansa,,London - Cologne - Berlin,Junkers W-33, D-2017,,2,0,2,2,0,2,0,The mail plane ditched into the English Channel after encountering 60 mile-an-hour gale force winds.</t>
  </si>
  <si>
    <t>11/02/1932,,"Echterpfuhl, Germany",Deutsche Lufthansa,,Nuremberg - Frankfort,Junkers F-13,D-724,696,5,3,2,5,3,2,0,"Crashed into mountainous terrain in the Spessart mountains in fog, after a wing separated from the aircraft due to overstressing.."</t>
  </si>
  <si>
    <t>11/25/1932,,"Marianna, Arkansas",Hunter Airways,,"Little Rock, AR - Memphis, TN",Travel Air 6000, NC369M,2020,2,1,1,2,1,1,0,Became lost and circled  until the plane struck an oak tree and crashed onto a island in the bayou.</t>
  </si>
  <si>
    <t>12/14/1932,,"Amarillo, Texas",Trans Continental and Western Air,,,Ford 5,NC9650,5-AT-037,2,0,2,2,0,2,0,The mail plane crashed in a snowstorm. The pilot died two days later from his injuries.</t>
  </si>
  <si>
    <t>12/14/1932,,"Rocky Ridge, Colorado",Boeing Air Transport,,,Boeing 40,NC281,892,1,0,1,1,0,1,0,Struck a mountain when the pilot reduced altitude to maintain contact with the ground.</t>
  </si>
  <si>
    <t>12/26/1932,,"Wau, Australia",Guinea Airways,,,De Havilland DH-60,VH-UMJ,1372,1,0,1,1,0,1,0,The pilot lost control and crashed after attempting an aerobatic maneuver.</t>
  </si>
  <si>
    <t>01/10/1933,,Algiers,Aeropostale,,,CAMS 53,F-AISV,5,3,0,3,1,0,1,0,"On the second attempt at taking off, the float plane struck waves and overturned."</t>
  </si>
  <si>
    <t>01/14/1933,,"Newark, New Jersey",Eastern Air Transport,,Test flight,Curtiss Condor 18,NC185H,1168,2,0,2,2,0,2,0,Went into a vertical bank and crashed and burned.</t>
  </si>
  <si>
    <t>01/20/1933,,"Marietta, Georgia",American Airways,,,Stearman 4,N490W,4039,1,0,1,1,0,1,0,Crashed into a mountainside.</t>
  </si>
  <si>
    <t>01/20/1933,02:07,"Bourne, Texas",American Airways,,Big Springs - San Antonio,Stearman 4,NC11721,4039,1,0,1,1,0,1,0,The pilot of the mail plane lost his bearings and crashed into the hillside in poor visibility.</t>
  </si>
  <si>
    <t>01/24/1933,,"Eugene, Oregon",Pacific Air Transport,,,Ford 5-AT-D,NC431H,5-AT-098,3,1,2,2,0,2,0,The mail plane crashed while taking off.</t>
  </si>
  <si>
    <t>03/11/1933,,"Near Mendoza, Argentina",Pan American Grace Airways,,"Mendoza, Argentina - Santiago, Chili",Fairchild FC-2W,NC9723,,2,0,2,2,0,2,0,Crashed and burned.</t>
  </si>
  <si>
    <t>03/25/1933,20:07,"Hayward, California",Varney Airlines,,Burbank - San Francisco,Lockheed Orion 9,NC12226,184,3,2,1,3,2,1,11,"The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</si>
  <si>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03/28/1933,14:30,"Near Dixmude, Belgium",Imperial Airways,,"Cologne, Germany - Croydon, England",Armstrong Whitworth Argosy II,G-AACI,AW-363,15,12,3,15,12,3,0,"The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</si>
  <si>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04/03/1933,,"Hemkenrode, Germany",Deutsche Lufthansa,,,Junkers F-13,D-534,,2,1,1,1,1,0,0,Crashed under unknown circumstances.</t>
  </si>
  <si>
    <t>04/04/1933,12:30,"Off Barnegat, New Jersey",Military - U.S. Navy,,,Goodyear-Zeppelin U.S.S. Akron (airship),ZRS-4,,76,NULL,NULL,73,NULL,NULL,0,"While cruising at 1,600 feet off New Jersey, strong air currents droped the ship to 700 feet before leveling off.  Before it could regain a safe height, it plummeted into the Atlantic Ocean. Decision by the commander to fly into a storm despite the presence of lightning."</t>
  </si>
  <si>
    <t>04/23/1933,07:40,"Near Castrovillari, Calabria, Italy",Air Orient,,Corfu - Naples,Cams 53-1,F-ALCE,29,8,5,3,5,2,3,0,Crashed into a mountain after encountering a mountain wave..</t>
  </si>
  <si>
    <t>04/29/1933,,"Traunstein, Germany",Eurasia,,,Junkers W-34,D-4,2737,4,2,2,4,2,2,0,Crashed on a test flight before delivery to Eurasia in China.</t>
  </si>
  <si>
    <t>05/09/1933,15:00,"Near Viladrau, Spain",Aeropostale - La Tecoere Company,,Paris - Morroco,Latecoere 28-1,F-AJIX,1701,6,3,3,6,3,3,0,Crashed after being forced down to the ground by strong downdrafts.</t>
  </si>
  <si>
    <t>06/04/1933,03:15,"Bowling Green, Virginia",Eastern Air Transport,,,Pitcairns PA-6,,,1,0,1,1,0,1,0,The mail plane had engine faiure and crashed into a ravine.</t>
  </si>
  <si>
    <t>06/11/1933,17:00,"Glenview, Illinois",Palwaukee,,Sightseeing,Sikorsky S-38B (flying boat),NC-141M,,9,7,2,9,7,2,0,"After attempting to land in lake Michigan the pilot encounter rough water and aborted the landing. While taking off the right wing separated from the plane due to the previous rough landing,"</t>
  </si>
  <si>
    <t>07/18/1933,15:40,Aegean Sea,Societa Anonima Aero Expresso Italiana,,Athens - Rhodes,CMASA Wal (flying boat),I-AZEE,127,6,2,4,6,2,4,0,The float plane was forced to ditch in gale force winds. No trace of the plane or those onboard were ever found.</t>
  </si>
  <si>
    <t>08/29/1933,01:00,"Quay, New Mexico",Trans Continental and Western Air,,"Amarillo, TX - Albuquerque, NM",Ford 5-AT-B Tri Motor,NC9607,5-AT-005,5,3,2,5,3,2,0,Crashed into a mountain slope  during a storm while attempting to make an emergency landing.</t>
  </si>
  <si>
    <t>09/12/1933,,"Near Ljubljana, Yugoslavia",Aeroput,,"Ljubjana - Susak, Croatia",Farman F-306,YU-SAH,,8,6,2,8,6,2,0,Crashed on the grounds of an insane asylum after losing an engine on takeoff.</t>
  </si>
  <si>
    <t>10/10/1933,21:00,"Chesterton, Indiana",United Air Lines,,Newark - Cleveland - Chicago - Oakland,Boeing 247,NC13304,1685,10,7,3,10,7,3,0,"While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</si>
  <si>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10/31/1933,11:20,"Etobon, France",Air France,,Zurich - Basel - Paris,Farman F-301,F-AJMI,04,5,2,3,2,1,1,0,</t>
  </si>
  <si>
    <t>11/09/1933,22:35,"Portland, Oregon",United Air Lines,,"Seattle, WA - Dallas, TX",Boeing 247,NC13345,1772,10,7,3,4,3,1,NULL,Crashed in a thickly wooded area upon taking off after the pilot became lost in fog.</t>
  </si>
  <si>
    <t>11/10/1933,,"Moriarty, New Mexico",Trans Continental and Western Air,,,Northrop Delta,NC12292,03,1,0,1,0,0,0,0,The pilot bailed out after the engine caught fire. He was not injured.</t>
  </si>
  <si>
    <t>11/20/1933,,"Near Tsinan, China",China National Aviation Corporation,,Canton - Shanghai,Stinson,,,8,7,1,8,7,1,NULL,Crashed into the Chingshan mountain range in fog.</t>
  </si>
  <si>
    <t>11/21/1933,15:00,"Near Kharkov, Ukraine, USSR",Kalinin,,Test flight,Kalinin K-7,,,20,0,20,14,0,14,0,Crashed due to structural failure during a test flight.</t>
  </si>
  <si>
    <t>11/24/1933,,"Wedron, Illinois",National Air Transport,,,Boeing 247,NC13324,1705,2,0,2,2,0,2,0,Crashed under unknown circumstances.</t>
  </si>
  <si>
    <t>12/11/1933,16:00,"Hamburg, Germany",Deutsche Lufthansa,,Berlin - Hamburg,Focke-Wulf A-17,D-1403,47,10,8,2,6,4,2,0,Crashed after striking an obstacle while landing in poor visibility and snow.</t>
  </si>
  <si>
    <t>12/14/1933,,"Eshowe, South Africa",Union Airways,,,Junkers W-34,ZS-AEB,2735,6,4,2,5,3,2,0,Crashed in poor weather conditions while enroute.</t>
  </si>
  <si>
    <t>12/30/1933,13:00,"Near Ruysselede, Belgium",Imperial Airways,,"Brussels, Belgium - Croydon, England",Avro 10,G-ABLU,528,10,8,2,10,8,2,0,Crashed  into a field in desnse fog after hitting a radio antenna tower which tore off a wing.</t>
  </si>
  <si>
    <t>01/15/1934,18:15,"Corbigny, France",Air France,,Saigon - Paris,Dewoitine D-332,F-AMMY,01,14,10,4,14,10,4,0,"The aircraft crashed while en route in a severe snowstorm.  Icing. The aircraft was named ""Emeraude."""</t>
  </si>
  <si>
    <t>01/20/1934,,"Carombe, France",Air France,,,Breguet 280T,F-AJKX,,2,NULL,NULL,2,NULL,NULL,0,</t>
  </si>
  <si>
    <t>02/23/1934,14:15,"Near Salt Lake City, Utah",Boeing Aircraft Company,,Salt Lake City - Cheyenne,Boeing 247,NC13357,1739,8,5,3,8,5,3,0,"Crashed on top of Parley's Canyon, 20 miles from Salt Lake City shortly after taking off for Cheyenne. Pilot error. The crew failed to gain sufficient altitude to clear rapidly rising terrain."</t>
  </si>
  <si>
    <t>02/26/1934,,"Rio de Oro, Morocco",Air France,,,LatÃ©coÃ¨re 28,F-AJPA,925,6,NULL,NULL,1,NULL,NULL,0,</t>
  </si>
  <si>
    <t>03/06/1934,,"Petersburg, Illinois",American Airways,,"St. Louis, MO - Chicago, IL",Fairchild Pilgrim 100A,NC710Y,6606,4,3,1,4,3,NULL,0,Crashed into a snow drift due to icing in a blizzard.</t>
  </si>
  <si>
    <t>03/10/1934,,"Pereira, Colombia",Pan American Airways (Scadta),,Quiddo - Cartago,Sikorsky S-38 Flying Boat,NC-9107,,6,4,2,5,3,2,0,"Scadta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</si>
  <si>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03/22/1934,,"Near Lima, Peru",Pan American Grace Airlines,,,Ford 5-AT-C Tri-Motor,NC407H,5-AT-066,15,12,3,3,0,3,0,Crashed on take off due to engine failure.</t>
  </si>
  <si>
    <t>04/10/1934,,"Ningpo Bay, China",China National Aviation Corporation,,,Sikorsky S-38BB,NV17V,,3,1,2,3,1,2,0,</t>
  </si>
  <si>
    <t>05/09/1934,,English Channel,Air France,,"Dieppe, France - New Haven, England",Wibault 282T-12,F-AMPH,8,6,3,3,6,3,3,0,Crashed into the English Channel and sunk immedately in fog.</t>
  </si>
  <si>
    <t>05/31/1934,05:00,"Croydon, England",Air France,,"Croydon, England - Paris, France",Liore-et-Olivier 213,F-AIVG,,2,0,2,2,0,2,0,The cargo plane struck an aerial mast and crashed into houses while attempting to take off.</t>
  </si>
  <si>
    <t>06/09/1934,17:00,"Mongaup Mountain, New York",American Airways,,New York - Chicago,Curtiss Condor T-32,NC12354,22,7,4,3,7,4,3,0,"Crashed into Last Chance Hill in the Catskill Mountains at an altitude of 2,000 feet in fog and thunderstorms while en route. Pilot deviated from the prescribed course and flew over hazardous terrain."</t>
  </si>
  <si>
    <t>06/11/1934,11:00,"Junin, Argentina",Panagra,,Buenos Aires - Santiago,Ford 5-AT-C Tri-Motor,NC8417,5-AT-055,10,7,3,6,3,3,0,"Crashed into Mar Chiquita Lagoon during a heavy rainstorm. The aircraft was named ""San Pedro."""</t>
  </si>
  <si>
    <t>06/22/1934,,"Chausseehausen, Germany",Deutsche Lufthansa,,,Dornier Merkur,D-1445,176,7,5,2,1,0,1,0,Weather related.</t>
  </si>
  <si>
    <t>06/23/1934,06:00,"Burbank, California",Aerevias Centrales Air Service,,Mexico - Burbank,Lockheed Orion,XA-BEJ,,1,0,1,1,0,1,0,Crashed while en route to pick up passengers. The plane crashed near a fire station in heavy fog and burst into flames killing the pilot.</t>
  </si>
  <si>
    <t>07/09/1934,,"San Bernardino, California",United Air Services,,San Bernardion - Los Angeles,Lockheed Vega,NC32E,033,4,3,1,3,2,1,0,Failed to gain altitude and struck a grove of trees while attempting to take off. The plane came to rest in a watermelon patch.</t>
  </si>
  <si>
    <t>07/27/1934,09:50,"Near Tuttlingen, Germany",Swissair,,Zurich - Stuttgart - Leipzig - Berlin,Curtiss AT-32C Condor,CH-170,53,12,9,3,12,9,3,0,"The aircraft crashed during a violent storm near the Swiss - Germany border. The plane fell from a height of 3,000 feet, bursting into flames. Failure of the right wing caused by fractures in the structure which occurred because of  oscillations in the wing."</t>
  </si>
  <si>
    <t>08/05/1934,,"Bahia, Brazil",Air France,,,Latecoere 26,F-AILK,662,2,0,2,2,0,2,0,The crew lost control of the aircraft and crashed while taking off from Bahia while on a mail flight.</t>
  </si>
  <si>
    <t>08/10/1934,,"Ningbo, China",China National Aviation Corporation,,,Sikorsky S-38B,,,NULL,NULL,NULL,NULL,NULL,NULL,NULL,</t>
  </si>
  <si>
    <t>08/31/1934,22:45,"Amazonia, Missouri",Rapid Air Transport,6,Kansas City - Saint Joseph - Omaha,Stinson  SM-6000B,NC11118,5004,5,4,1,5,4,1,0,The plane crashed about 11 miles from St. Joseph in heavy fog. Pilot error in taking off in dangerous weather conditions and turning too close the the ground in a fog-bound area. Inaccurate weather conditions reported to the pilot.</t>
  </si>
  <si>
    <t>10/02/1934,10:50,English Channel,Hillman's Airways,,Croydon - Paris,de havilland 89 Dragon Rapide,G-ACPM,,7,6,1,7,6,1,0,"While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</si>
  <si>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10/03/1934,,"Near Winton, Australia",Qantas,,,de Havilland DH-50A,VH-UHE,4,3,2,1,3,2,1,0,"Crashed after in-flight loss of control, possibly stalled at low altitude in dusty low-visibility conditions."</t>
  </si>
  <si>
    <t>10/19/1934,,"Bass Strait, Australia",Holymans Airways,,"Launceston, Tasmania - Melbourne, Australia",de Havilland DH-86,VH-URN,2301,11,10,1,11,10,1,0,Crashed 10 miles off the coast under unknown circumstances</t>
  </si>
  <si>
    <t>11/02/1934,,"Kiapit, Australia",Holdens Air Transport Service,,Rabaul - Kaiapit,De Havilland DH-61,VH-UHW,330,4,2,2,2,2,0,0,"On final approach to Kaiapit, the aircraft was too low and hit a house short of runway and caught fir. The aircraft was named ""Canberra."""</t>
  </si>
  <si>
    <t>11/15/1934,,"Near Longreach, Australia",Qantas,,London - Sydney,de Havilland DH-86,VH-USG,2311,4,3,1,4,3,1,0,The aircraft suddenly went out of control and crashed to the ground on its delivery flight from England to Brisbane. Improper loading of parts resulting in an aft center of gravity.</t>
  </si>
  <si>
    <t>11/15/1934,23:42,"Amazonia, Montana",Rapid Air Transport,,Omaha - Kansas City,Stinson SM-6000-B,NC10809,5031,2,0,2,2,0,2,0,"While flying at night in marginal weather conditions, the pilot flew too close to the ground  hit trees and crashed in flames in a wooded area.  The pilot committed an error in judgment in turning too close to the ground in a fog bound area."</t>
  </si>
  <si>
    <t>12/07/1934,,"Salchau, Germany",Deutsche Lufthansa,,Berlin - Hanover,Junkers F-13,D-OMAS,2008,3,0,3,3,0,3,0,Crashed under unknown circumstances</t>
  </si>
  <si>
    <t>12/08/1934,05:30,"Columbia, Missouri",Braniff Airlines,,"Kansas City, MO - Chicago, IL",Lockheed Vega 5C,NC106W,123,1,0,1,1,0,1,0,The mail plane crashed to the ground from a low altitude. Icing.</t>
  </si>
  <si>
    <t>12/10/1934,07:30,"Palma Soriano, Cuba",Cubana de Aviacion,,Havana - Santiago de Cuba,Ford 4-AT-E Tri-motor,NM-7,4-AT-63,8,5,3,4,2,2,0,Crashed into a mountain in poor weater condtions and low visiblity while en route.</t>
  </si>
  <si>
    <t>12/20/1934,03:33,"Rutbah Wells, Syria",KLM Royal Dutch Airlines,,"Amsterdam - Batavia, Java",Douglas DC-2-115A,PH-AJU,1317,7,3,4,7,3,4,0,"While flying over the Iraqi Desert at night, the crew encountered poor weather conditions and decided to divert to Rutbah Wells. On approach, the aircraft impacted the ground and exploded.16 km from Rutbah Wells airfield. The aircraft was named ""Uiver"" (Dutch word for stork)."</t>
  </si>
  <si>
    <t>12/22/1934,02:52,"Sunbright, Tennessee",American Airlines,,"Louisville, KY - Nashville, TN",Lockheed Orion 9D,NC12286,198,1,0,1,1,0,1,0,"Crashed into Big Pilot mountain, 50 feet from the top of the summit, four miles from Sunbright, in poor visibility. The battery-generator system failed, thus causing an error in the ship's compass and probably affecting other essential navigation instruments."</t>
  </si>
  <si>
    <t>12/31/1934,,,Aeroflot,,,Tupolev ANT-9,,,10,8,2,10,8,2,0,Crashed under unknown circumstances.</t>
  </si>
  <si>
    <t>01/08/1935,,"Near Karachi, Pakistan",Indian Air Force,,Training,Wapiti,,,2,0,2,0,0,2,15,Crashed into a column of soldiers during training. The crew survived with injuries but 15 soldiers were killed and 11 injured. Later the pilot was court-martialled and dismissed.</t>
  </si>
  <si>
    <t>01/26/1935,,"Pittsburgh, Pennsylvania",Trans Continental and Western Air,,"Newark, NJ - Columbus, OH",Consolidated Fleetster,NC13212,,1,0,1,1,0,1,0,The mail plane crashed and burned soon after taking off in a blinding snowstorm.</t>
  </si>
  <si>
    <t>01/31/1935,19:00,"Stettin, Germany",Deruluft,,Koenigberg - Berlin,Junkers JU-52/3m,D-AREN,4051,11,8,3,11,8,3,0,"Crashed full speed into a hill, 450 feet high in rain and fog. Icing."</t>
  </si>
  <si>
    <t>03/07/1935,,"Schievelbein, Germany",Deruluft,,,Rochrbach Roland,D-AJYP,45,3,0,3,0,0,0,0,Fuselage failure forced an emergency landing in a field.</t>
  </si>
  <si>
    <t>03/15/1935,,"El Arish, Egypt",Misrair,,Jerusalem - Cairo,de Havilland Dragon 1,SU-ABI,6031,6,5,1,3,2,1,0,"After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</si>
  <si>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03/29/1935,,"Off Samland, Germany",Deutsche Lufthansa,,Training,Junkers F-13,D-OHIL,,5,0,5,5,0,5,0,"The crew,(3 student pilots and 2 instructors were performing a training flight over Baltic Sea when the  aircraft crashed into the sea for reasons unknown."</t>
  </si>
  <si>
    <t>04/01/1935,00:45,"Beauvais, France",Air France,,,Farman F-300,F-ALHQ,7243-2,3,0,3,1,0,1,0,"Shortly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</si>
  <si>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04/06/1935,15:20,"Brilon, Germany",KLM Royal Dutch Airlines,,"Praha, Czechoslovakia - Amsterdam, Netherlands",Fokker F-12,PH-AFL,5242,7,3,4,7,3,4,0,"Crashed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</si>
  <si>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05/01/1935,10:45,"Near Walsenberg, Colorado",Varney Air Lines,,Pueblo - El Paso,Lockheed Vega,NC891E,73,1,0,1,1,0,1,0,"Crashed at Rattlesnake Butte after the plane lost engine power. James Montijo, 40, the man who taught Amelia Earhart to fly, killed. The accidental collision with the ground while doing low flying in violation of the Air Commerce Regulations."</t>
  </si>
  <si>
    <t>05/06/1935,03:30,"Atlanta, Missouri",Trans Continental and Western Air,6,Los Angeles - Albuquerque - Kanasas City -  Washington,Douglas DC-2-112,NC13785,1295,14,12,2,5,3,2,0,"The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</si>
  <si>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05/18/1935,00:45,"Near Moscow, Russia",Gor'ky Eskadril'ya,,Demonstration,Tupolev ANT-20 / I-5,CCCP-I20,,50,37,13,50,37,13,2,"Midair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</si>
  <si>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05/18/1935,18:35,"Flint, Michigan",Knowles Flying Service of Detroit,,Sightseeing,Ford model 4-AT-E,WC-7864,4-AT-49,12,11,1,3,2,1,0,"While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</si>
  <si>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05/27/1935,16:00,"Glendo, Wyoming",Wyoming Air Service,,Billings - Sheridan - Casper - Cheyenne,Boeing 221,NC725W,1153,1,0,1,1,0,1,0,"While flying in poor weather conditions, the pilot decided to reduce his altitude to maintain a visual contact with the ground and crashed into a hill. The accidental collision with the ground while flying low due to severe local weather conditions."</t>
  </si>
  <si>
    <t>05/28/1935,22:25,"Maywood, Illinois",Chicago and Southern Airlines,,Chicago - St. Louis,Stinson SM6000B Tri-motor,NC10894,5050,2,1,1,2,1,1,0,"Crashed into the ground on a farm  after the pilot made an abrupt turn to avoid trees, striking the wing on the ground. The unintentional collision with the ground while flying at too low altitude at night."</t>
  </si>
  <si>
    <t>05/29/1935,,"San Barbra, Honduras",,,,NULL,,,9,NULL,NULL,6,NULL,NULL,0,Crashed into the Ulua River.</t>
  </si>
  <si>
    <t>06/24/1935,14:36,"Medellin, Colombia",Servicio Aereo Columbiano / SCADTA,,Medellin - BogotÃ¡,Ford Tri-Motor / Ford Tri-Motor,C-31 / F-31,5-AT-112/5-AT-006,20,18,2,17,15,2,0,"A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</si>
  <si>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07/14/1935,09:40,"Amsterdam, Netherlands",KLM Royal Dutch Airlines,,Amsterdam - Sweden,Fokker F-XXII,PH-AJQ,5358,20,15,5,6,2,4,0,The plane lost altitude while attempting an emergency landing after taking off and losing two engines. The wing hit a dyke and the plane burst into flames.</t>
  </si>
  <si>
    <t>07/19/1935,14:20,"Off Chandeleur Island, Mississippi",Wedell-Williams Air Service Corporation,,"New Orleans, LA - Mobile, AL",General 102-E,NC-492K,,2,1,1,2,1,1,0,The plane deviated from its course and flew 20 miles off shore and crashed.  Cause unknown.</t>
  </si>
  <si>
    <t>07/20/1935,12:30,"Pian Giacomo, Switzerland",KLM Royal Dutch Airlines,,Milan - Frankfort - Amsterdam,Douglas DC-2,PH-AKG,1335,13,9,4,13,9,4,0,"Crashed into a mountain near St. Bernard Pass in Switzerland. Mountains obscured by clouds. The crew flew through the wrong valley which ended in a dead end. Icing condtions,."</t>
  </si>
  <si>
    <t>07/23/1935,,"Cardiff, United Kingdom",Jersey Airways,,Cardiff - Saint-Helier,de Havilland DH-84 Dragon,G-ACMP,6063,8,7,1,1,3,0,0,"Shortly after taking from Cardiff Airport, and climbing, the twin engine aircraft stalled and crashed in a field. The plane was named  ""Saint Clements Bay ."""</t>
  </si>
  <si>
    <t>07/28/1935,,"El Retiro, Colombia",Fuerza Aerea Colombiana,,Palanquero - Tres Esquinas,Junkers W-34,406,2779,5,3,2,5,3,2,0,"While en route,, the crew encountered engine trouble, lost control of the aircraft and crashed  near the Rio Magdalena."</t>
  </si>
  <si>
    <t>08/07/1935,08:00,"Cairo, Egypt",Ala Littoria,,Guidonia - Cairo - Massawa - Asmara,Savoia-Marchetti S-66,I-REDI,15004,7,3,4,7,3,4,0,"Ten minutes after taking off an explosion occurred aboard and the aircraft crashed in the dessert, 8 km south of the airport. The cause of the explosion was undetermined."</t>
  </si>
  <si>
    <t>08/13/1935,,"Hangow, China",China National Aviation Corporation,,,Sikorsky S-38B,NV40V,,NULL,NULL,NULL,NULL,NULL,NULL,NULL,Destoryed in a storm.</t>
  </si>
  <si>
    <t>08/14/1935,23:45,"Near Gilmer, Texas",Delta Air Lines,4,Dallas -  Atlanta,Stinson Model A,NC14599,9103,4,3,1,4,3,1,0,Crashed 3 miles south of Gilmer. The outboard engine separated from the aircraft after a propeller blade broke off resulting in an imbalanced condition which led to loss of control of the aircraft.</t>
  </si>
  <si>
    <t>08/15/1935,20:18,"Walakpa, near Point Barrow, Alaska",Private,,,Lockheed Orion 9E Explorer float plane,NR12283,195,2,1,1,2,1,1,0,"Dense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</si>
  <si>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08/15/1935,20:08,"Near Glendo, Wyoming",Aero Mayflower Transit Co,,Helena - Denver,"Waco, model YLC",NC14140,4202,3,2,1,3,2,1,0,"The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</si>
  <si>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09/01/1935,23:00,"Burbank, California",Western Air Express,,"Burbank, CA - Salt Lake City, UT",Boeing 247,NC13314,1695,3,0,3,3,0,3,0,"A few minutes after take off from Burbank Airport, while climbing to a height of 1,000 feet in foggy conditions, the aircraft went out of control, stalled, hit power lines and crashed in flames in a field."</t>
  </si>
  <si>
    <t>09/13/1935,09:00,"Near Tambo, Panama",Panama Airways,,Panama City - David,Ford Tri-Motor,,,8,7,1,8,7,1,0,Crashed and burned in mountainous terrain in  adverse weather conditions.</t>
  </si>
  <si>
    <t>10/02/1935,09:55,"Off Finders Island, Victoria, Australia",Holyman Airways,,Melbourne - Sydney,de Havilland DH-86,VH-URT,2312,5,3,2,5,3,2,0,Crashed in the Bass Strait. Went in to an uncontrollable spin following an engine failure.</t>
  </si>
  <si>
    <t>10/07/1935,02:19,"Near Cheyenne, Wyoming",United Air Lines,4,Salt Lake City - Cheyenne,Boeing 247D,NC13317,1698,12,9,3,12,9,3,0,"While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</si>
  <si>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10/09/1935,,Gulf of Finland,Aero O-Y,,Tallinn - Helsinki,Junkers F-13,OH-ALI,2033,6,4,2,6,4,2,0,Crashed into the sea in the dense fog and low visibility.</t>
  </si>
  <si>
    <t>10/21/1935,11:00,"Troy, New York",Chamberlin Flying Service,,Troy - Teterboro,Curtiss AT-32C Condor,NC725K,G-2,6,4,2,1,0,1,0,The plane lost the left engine shortly after taking off. The pilot tried to make an emergency landing but was caught in a downdraft and the plane crashed.</t>
  </si>
  <si>
    <t>10/30/1935,19:40,"Cheyenne, Wyoming",United Air Lines,,Test flight,Boeing B-247-D,NC13323,1704,4,0,4,4,0,4,0,Crashed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</si>
  <si>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11/02/1935,,"Off Nhambupe, Brazil",Air France,,Bahia - Aracaju,LatÃ©coÃ¨re 28-1,F-AJIQ,906,4,0,4,4,0,4,0,The postal plane crashed at Atalaya Beach in unknown circumstances.</t>
  </si>
  <si>
    <t>11/09/1935,04:40,"Near Fort Worth, Texas",Braniff Airlines,,Dallas - Waco,Lockheed Vega,NC980Y,191,1,0,1,1,0,1,0,Plunged to the ground thirty minutes after leaving Fort Worth. Tried to return to Dallas airport due to inclement weather.</t>
  </si>
  <si>
    <t>11/09/1935,,"Brindisi, Italy",Imperial Airways,,London - Brindisi - Alexandria,Short S-17 Kent,G-ABFB,S-759,13,10,3,12,9,3,0,While preparing for departure a fire broke out. The fire erupted while fueling.</t>
  </si>
  <si>
    <t>11/11/1935,,"Istres, France",Air France,,,Latecoere 28,F-AJPB,6-926,3,0,3,3,0,3,0,Crashed whille flying in the vicinity of a thunderstorm.</t>
  </si>
  <si>
    <t>12/04/1935,,"Tours, France",Air Bleu,,Le Havre - Paris - Tours - Bordeaux,Caudron C-630 Simoun,F-ANRK,7013,2,0,2,1,0,1,0,"On final approach, the aircraft was too low and hit a tree with it's right wing. It stalled and crashed in a garden short of the runway."</t>
  </si>
  <si>
    <t>12/10/1935,16:45,"Croydon, England",Sabena,,"Brussels, Belgium - Croydon, England",Savoia-Marchetti SM73,OO-AGN,30002,11,7,4,11,7,4,0,"While flying low, the aircraft hit tree tops, stalled and crashed in flames into a wooded area 13 km short of the runway, The pilot did not request bearings from the airport and tried to navigate on his own."</t>
  </si>
  <si>
    <t>12/24/1935,,"Wroctaw, Poland",Deutsche Lufthansa,,,Heinkel He-70,D-UVOR,915,3,2,1,3,2,1,0,Crashed under unknown circumstances</t>
  </si>
  <si>
    <t>12/31/1935,19:15,"Off Alexandria, Egypt",Imperial Airways,,London - Brindisi - Mirabella - Alexandria,Short S-8 Calcutta flying boat,G-AASJ,S-752,13,9,4,12,9,1,0,"The aircraft ran out of fuel and crashed off Alexandria. The plane was named ""The City of Khartoum."""</t>
  </si>
  <si>
    <t>01/14/1936,," Tres Esquinas, Colombia",Military - Fuerza Aerea Colombiana,,,Junkers JU-52,624,,16,13,3,13,10,3,0,The float plane crashed after experiencing unknown technical difficulties while attempting to land.</t>
  </si>
  <si>
    <t>01/14/1936,19:32,"Goodwin, Arkansas",American Airlines,1, Newark - Memphis - Little Rock - Dallas - Los Angeles,Douglas DC-2-120,NC14274,1307,17,14,3,17,14,3,0,"Flew into trees and disintegrated. The cause of the crash could not be determined.  Possible causes include, passenger interference, one fuel tank running dry, flying too low and the co-pilot alone at the controls."</t>
  </si>
  <si>
    <t>01/17/1936,,"Near Cordillera, Boliva",Lloyd Aereo Boliviano,,Cochabamba - La Paz,Junkers JU-52,,4018,13,10,3,13,10,3,0,"Crashed into a mountain near the village of Tapacari, 23 miles from Chochabanba."</t>
  </si>
  <si>
    <t>01/21/1936,10:00,"Off Ajaccio, Corsica, France",Air France,, Marseille - Ajaccio - Tunis,CAMS 53,F-AJIR,19,6,3,3,6,3,3,0,Vanished off the coast of Corsica after sending a distress call that the engine had failed.</t>
  </si>
  <si>
    <t>01/29/1936,,"Denton, Texas",American Airlines,,Chicago - Oklahoma City,Vultee V-1,NC13767,05,6,5,1,1,0,1,0,Crashed into a clump of trees while attempting a landing in a snowstorm.</t>
  </si>
  <si>
    <t>02/10/1936,,Atlantic Ocean,Air France,,"Natal, Brazil - Dakar, Senegal",Latecoere 301 (flying boat),F-ANLE,1016,6,1,5,6,1,5,0,"Disappeared over the Atlantic ocean during a storm. The aircraft was never found. The aircraft was named ""Ville de Buenos Aires."""</t>
  </si>
  <si>
    <t>02/15/1936,03:52,South Atlantic Ocean,Deutsche Lufthansa,,Rio de Janerio - Berlin,Dormier Do-J-Iif Bos Wal flying boat,D-ADYS,229,4,0,4,4,0,4,0,The mail plane disappeared while en route.</t>
  </si>
  <si>
    <t>03/05/1936,,"Near Tengya, China",China National Aviation Corporation,,,Ford 5-AT-D Tri-Motor,,,6,3,3,0,0,0,0,Crash landed in mountains during a snowstorm.</t>
  </si>
  <si>
    <t>03/14/1936,,"Ovalle, Chile",Lan Chile,,,Fairchild FC-2,19,,5,4,1,5,4,1,0,Went out of control while taking off and crashed in a rivine.</t>
  </si>
  <si>
    <t>03/26/1936,11:00,"Amemeca, Mexico",Mexicana,,Mexico - Guatemala,Ford 5-AT-B Tri Motor,XA-BCB,5-AT-012,14,10,4,14,10,4,0,"While making a turn at low speed, the aircraft stalled and crashed into mountains and caught fire.  The plane was carrying mainly German tourists. Possibly caught in a down draft when flying too low to the ground."</t>
  </si>
  <si>
    <t>04/01/1936,19:10,"Pavillon, New York",American Airlines,,Newwark - Buffalo,Stinson Model A,NC15152,9112,2,0,2,2,0,2,0,The mail plane explosion in mid-air before crashing to the ground in a snowstorm.</t>
  </si>
  <si>
    <t>04/07/1936,10:20,"Uniontown, Pennsylvania",Trans Continental and Western Air,1,Newark - Los Angeles,Douglas DC-2-112,NC13721,1247,14,11,3,12,10,2,0,"Crashed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</si>
  <si>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04/11/1936,05:20,"Port of Spain, Trinidad",Pan American Airways,,Miami - Rio de Janeiro,Sikorsky S-42A float plane,NC1537,4204,25,18,7,3,2,1,0,"Crashed  while taking off after the plane hit a boat . The aircraft was shipped to Miami and repaired. One of the injured passengers was Jose Iturbi, well known conductor and  pianist."</t>
  </si>
  <si>
    <t>04/15/1936,,"Near Turin, Italy",Avio Linee Italiane,,Turin - Milan,OFM F-VIIb/3m,I-AAXZ,359,7,5,2,7,5,2,0,"Crashed on the slopes of Mount Basso, 20 miles from Turin."</t>
  </si>
  <si>
    <t>04/17/1936,,"Orvin, Switzerland",Deutsche Lufthansa,,Test flight,Junkers JU-52,D-ASOR,5044,5,0,5,3,0,3,0,Deviated from the prescribed course and hit a mountain in poor weather conditions. Navigation error by the crew.</t>
  </si>
  <si>
    <t>04/21/1936,,"Senlis, France",Sabena,,Paris - Brussels - Cologne,Fokker F-VII,OO-AIF,,2,0,2,2,0,2,0,Following taking off the cargo plane went out of control and crashed near Le Bourget Airport.</t>
  </si>
  <si>
    <t>04/30/1936,,"Basel, Switzerland",Swissair,,,General Aviation GA-43,HB-ITU,2204,2,0,2,2,0,2,0,The cargo plane crashed into Mt. Rigi at night in poor weather conditons.</t>
  </si>
  <si>
    <t>05/16/1936,,"Mount Waverley, Australia",Holymans Airways,,Training,De Havilland DH-60 Moth,VH-UII,895,2,0,2,2,0,2,0,The aircraft hit telephone wires and a chimney before crashing in flames into a house.</t>
  </si>
  <si>
    <t>06/09/1936,,"Malmo, Sweden",A B Aerotransport,,Malmo - Amsterdam,Fokker F-XXII,SE-ABA,5359,15,11,4,1,1,0,0,"All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</si>
  <si>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06/13/1936,,"Hannover, Germany",Deutsche Lufthansa,,,Junkers JU-160,D-UPYM,4211,6,4,2,1,1,0,0,"The pilot attempted an emergency landing in a field after the engine failured. The aircraft was named ""Puma."""</t>
  </si>
  <si>
    <t>06/16/1936,07:00,"Mt. Lihesten, Norway",Den Norske Luftfartskole,,Bergen - Trondheim,Junkers JU-52/3m,LN-DAE,4077,7,3,4,7,3,4,0,"While cruising, the aircraft crashed into the south face of Mt. Lyhesten in fog."</t>
  </si>
  <si>
    <t>07/15/1936,,"Zagreb, Croatia",Aeroput,,Belgrade - Zagreb - Ljubljana,Spartan Cruiser,YU-SAP,1,7,5,2,7,5,2,0,Shortly after taking off in fog the aircraft went out of control and crashed into a field.</t>
  </si>
  <si>
    <t>07/28/1936,,"Kulyab, Tajikistan",Aeroflot,,,Tupolev ANT-9,,,6,4,2,6,4,2,0,The landing gear failed on landing. The aircraft veered off the runway and burst into flames.</t>
  </si>
  <si>
    <t>07/31/1936,19:30,"Off Channel Islands, Jersey",Guernsey Airways,, Saint Pierre - Saint-HÃ©lier,Saro A-19 Cloud,G-ABXW,A-19/4,10,8,2,10,8,2,0,Ditched at sea. Loss of all engines necessitating a ditching at sea.</t>
  </si>
  <si>
    <t>08/02/1936,06:00,"Mazamet, France",Air France,,Paris - Toulouse - Dakar - Natal - Rio de Janeiro,Wibault 280,F-ANBL F-ANBL,15,3,0,3,3,0,3,0,The mail plane crashed into mountains 50 miles from Toulouse in fog.</t>
  </si>
  <si>
    <t>08/03/1936,,"Ciudad Serdan,Mexico",Mexicana,,,Lockheed 9 Orion,XA-BAY,169,1,0,1,1,0,1,0,Crashed while delivering mail.</t>
  </si>
  <si>
    <t>08/05/1936,22:00,"St. Louis, Missouri",Chicago Southern Airlines,4,New Orleans - Chicago,Lockheed 10B Electra,NC16022,1057,8,6,2,8,6,2,0,"Crashed while attempting to take off from Lambert Field.  The making of a turn at an extremely low altitude, for reasons unknown, in which the wing of the airplane unintentionally contacted the ground."</t>
  </si>
  <si>
    <t>08/06/1936,,"Choco, Colombia",SCADTA,,,Junkers F-13,C-40,,3,1,2,2,1,1,0,The float plane crashed under unknown circumstances.</t>
  </si>
  <si>
    <t>08/12/1936,03:00,"Altenkirchen, Germany",British Airways,,Hanover - Cologne - London-Gatwick,De Havilland DH-86,G-ADEB,2324,2,0,2,2,0,2,0,The mail plane crashed at night under unknown circumstances.</t>
  </si>
  <si>
    <t>08/22/1936,,"Mirabella, Greece",Imperial Airways,,Alexandria - Mirabella - Brindisi - Southampton,Short S-17 Kent,G-ABFA,S-758,11,8,3,2,2,0,0,"While attempting to land, the plane hit high waves and broke up. Strong lateral winds while landing on rough sea."</t>
  </si>
  <si>
    <t>09/05/1936,22:00,"Near Pittsburgh, Pennsylvania",Pittsburgh Skyways Inc.,,Sightseeing,Stinson SM 6000B,NC117S,5025,11,10,1,10,9,1,0,Lost all three engines after the fuel supply was cut off. Possibly a passenger shut off the fuel supply by accident with the heel of her shoe. One 17 year old girl survived.</t>
  </si>
  <si>
    <t>09/25/1936,,English Channel,Imperial Airways,,Croydon - Paris,Boulton and Paul P-71,G-ACOX,P-71-1,2,0,2,2,0,2,0,Crashed under unknown circumstances while delivering mail.</t>
  </si>
  <si>
    <t>09/28/1936,,"Walsenberg, Colorado",Varney Air Lines,,"El Paso, TX - Pueblo, CO",Lockheed  5 Vega,NC176W,129,3,1,2,3,1,2,0,Crashed in a snowstorm after the pilot cut the motor and the plane crashed into a hill.</t>
  </si>
  <si>
    <t>09/28/1936,,"Benghazi, Libya",Ala Littoria SA,,"Addis Ababa, Ethiopia - Rome, Italy",Cant Z-506 (float plane),I-RODI,301,10,7,3,9,7,2,0,"Suffered engine failue on the approach,struck the mast of a ship and burst into flames."</t>
  </si>
  <si>
    <t>09/29/1936,,"Napierville, Illinois",Blue Bird Air Service,,,Lockheed Vega 5C,NC959Y,170,4,3,1,4,3,1,0,"A half-hour after taking off, the engine failed and the plane crashed into a fence and burst into flames  while making a forced landing."</t>
  </si>
  <si>
    <t>10/06/1936,," Francisco Rueda,  Tabasco, Mexico",Mexicana,,,Lockheed Orion,XA-BDH,174,1,0,1,1,0,1,0,The mail plane crashed for reasons unknown.</t>
  </si>
  <si>
    <t>10/09/1936,,"Selby, North Yorkshire, United Kingdom",North Sea Aerial and General Transport,,,Blackburn B-2,G-ABWI,4700-1,1,0,1,1,0,1,0,The mail plane crashed under unknown circumstances.</t>
  </si>
  <si>
    <t>11/01/1936,15:00,"Near Tabarz, Germany",Deutsche Lufthansa,,Frankfurt - Erfurt,Junkers JU-52,D-APOO,5506,15,12,3,11,8,3,0,"While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</si>
  <si>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11/17/1936,14:00,"Nurnberg, Germany",Deutsche Lufthansa,,Leipzig - Nuremberg,Junkers JU-52/3m,D-ASUI,5498,16,13,3,4,3,1,0,"On approach to Nuremberg Airport in foggy conditions, the aircraft deviated from the prescribed course and was too low when it hit tree tops and crashed in a wooded area. Pilot error."</t>
  </si>
  <si>
    <t>11/19/1936,03:38,"London, England",British Airways,,Hanover - London,Fokker F-XII,G-AEOT,5300,4,0,4,2,0,2,0,The mail plane attempted to land in strong winds and poor weather conditons. Pilot error.</t>
  </si>
  <si>
    <t>12/04/1936,12:00,"Near Grenoble, France",Deutsche Lufthansa,,Lisbon - Burgos - Geneva - Munich,Junkers JU-52/3m,D-ASIH,5078,6,3,3,6,3,3,0,"Crashed into the French Alps  in high winds. The plane was named ""Rudolf Windisch."""</t>
  </si>
  <si>
    <t>12/06/1936,,"Near Moscow, Russia",Deruluft,,Berlin - Moscow,Antonov AN-9,CCCP-D311,160,14,11,3,9,7,2,0,Crashed short of the runway while attempting to land.</t>
  </si>
  <si>
    <t>12/07/1936,10:47,"Off Dakar, French West Africa",Air France,,Marseille - Dakar - Natal - Rio de Janeiro,LatÃ©coÃ¨re 300 (float plane.,F-AKGF,01,5,1,4,5,1,4,0," The last message from the aviator was ""we have switched off the rear engine."" The plane and crew of four were never found. Aviator Jean Mermoz killed."</t>
  </si>
  <si>
    <t>12/09/1936,10:30,"Croydon, England",KLM Royal Dutch Airlines,,Croydon - Amsterdam,Douglas DC-2-115E,PH-AKL,1358,17,13,4,15,12,3,0,The aircraft crashed into houses while attempting to take off in heavy fog. A stewardess and the radio operator survived. Aircraft designer Juan de la Cierva killed. Pilot error. Piilot did not maintain directional control of the aircraft and abort the takeoff</t>
  </si>
  <si>
    <t>12/15/1936,03:14,"Near Salt Lake City, Utah",Western Air Express,6,Burbank - Las Vegas - Salt Lake City,Boeing 247D,NC13370,1957,7,4,3,7,4,3,0,Crashed into Lone Peak while attempting to land at Salt Lake. Inability of the pilots to identify the south leg of the Salt Lake radio range due to a local static condition which rendered both range receivers in the airplane inoperative.</t>
  </si>
  <si>
    <t>12/18/1936,03:23,"Kellogg, Idaho",Northwest Orient Airlines,,Chicago - Minneapolis - Missoula - Seattle,Lockheed 10 Electra,NC14935,1024,2,0,2,2,0,2,0,"The mail plane crashed into Early Creek Ridge, 15 miles south of Kellogg, in a blizzard. Pilot error in not following the radio range course upon leaving Missoula and failing to ascent to a safe altitude over the course pursued from Elk River."</t>
  </si>
  <si>
    <t>12/19/1936,20:47,"Near Milford, Pennsylvania",Eastern Air Lines,14,Miami - Charleston - Newark,Douglas DC-2-112,NC13732,1258,11,8,3,0,0,0,0,"Crashed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</si>
  <si>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12/23/1936,,"Near Dallas, Texas",Braniff Airways,,Test flight,Lockheed 10 Electra,NC14905,1018,6,4,2,6,4,2,0,After an attempted go-around the right engine failed and the plane crashed and burst into flames into a corn field..</t>
  </si>
  <si>
    <t>12/26/1936,,"Nanking, China",China National Aviation Corporation,,,Douglas DC-2,NC14269,,NULL,NULL,NULL,NULL,NULL,NULL,NULL,</t>
  </si>
  <si>
    <t>12/27/1936,19:38,"Newhall, California",United Air Lines,34,Oakland - San Francisco - Los Angeles,Boeing 247D,NC13355,1737,12,10,2,12,10,2,0,"While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</si>
  <si>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01/11/1937,10:30,"Near Playa V icente, Veracruz, Mexico",Mexicana,,Mexico City - MinatitlÃ¡n - MÃ©rida,Lockheed 10E Electra,X-ABEO,1007,9,6,3,9,6,3,0,"After starting a descent, the aircraft crashed into Playa Vincente in adverse weather."</t>
  </si>
  <si>
    <t>01/12/1937,11:07,"Near Newhall, California",Western Air Express,7,Salt Lake City - Burbank,Boeing 247D,NC13315,1696,13,11,2,5,4,1,0,"The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</si>
  <si>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01/26/1937,17:30,"Oran, Algeria",Sabena,,Elizabethville - Gao - Colomb-BÃ©char - Oran - Brussels,Sabca S-73,OO-AGR,2,12,8,4,12,8,4,0,While attempting to land the aircraft went out of control and crashed.</t>
  </si>
  <si>
    <t>02/09/1937,20:50,"Off San Francisco, California",United Air Lines,23,Los Angeles - San Francisco - Oakland,Douglas DC-3A,NC16073,1913,11,9,2,11,9,2,0,"The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</si>
  <si>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02/19/1937,13:40,"McPherson Ranges, Queensland, Australia",Airlines of Australia,,Brisbane - Sidney,Stinson Model A,VH-UHH,1926,7,5,2,5,3,2,0,Flying low to maintain visual contact with the ground the plane ran into downdrafts that exceeded its ability to climb. The plane crashed and burned.</t>
  </si>
  <si>
    <t>03/12/1937,,"Bathurst, Gambia",Deutsche Lufthansa,,"Las Palmas, Canary Islands - Bathhurst, Gambia",Heinkel He-111V2,D-ALIX,715,4,0,4,4,0,4,0,"The German mail plane crashed into a swamp. The plane was named 'Rostock."""</t>
  </si>
  <si>
    <t>03/24/1937,14:00,"Near Ouroux, France",Imperial Airways,,"Southhampton, England - Alexandria, Egypt",Short  S-23 (flying boat),G-ADVA,S-818,6,1,5,5,1,4,0,Crashed into trees on a mountainside in a snowstorm.</t>
  </si>
  <si>
    <t>03/25/1937,18:40,"Clifton, Pennsylvania",Trans Continental and Western Air,15A,Newark - Camden - Pittsburg,Douglas DC-2-112,NC13730,1256,13,10,3,13,10,3,0,While attempting to land the aircraft banked left and crashed short of the runway. Heavy icing which rendered the plane uncontrollable.</t>
  </si>
  <si>
    <t>03/26/1937,,"Wetnum, Germany",Deutsche Lufthansa,,,Junkers JU-52/3m,D-UPOZ,4207,6,4,2,0,0,0,0,Engine failure led to a crash landing in a field.</t>
  </si>
  <si>
    <t>05/06/1937,19:25,"Lakehurst, New Jersey",Deutsche Zeppelin Reederei,LZ 129,Frankfurt - Lakehurst N.J.,Zeppelin LZ-129,D-LZ-129,D-LZ129,97,36,61,35,13,22,1,"The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</si>
  <si>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05/20/1937,,"Stuttgart, Germany",Deutsche Lufthansa,,,Heinkel He-70,D-UXUV,916,4,2,2,4,2,2,0,Stalled and crashed on takeoff.</t>
  </si>
  <si>
    <t>06/02/1937,05:30," Wadi Halfa, Sudan",Linea Aerea Nacional de Chile,,Puerto Montt - Magallanes,Sirkorsky S-43 (flying boat),I-SUSA,30014,8,4,4,8,4,4,0,"On final approach at night, the crew elected to make a go around for unknown reasons. The aircraft stalled and crashed short of runway."</t>
  </si>
  <si>
    <t>07/02/1937,,"Off Lae, New Guinea",Private - Purdue Reasearch Foundation,,Lae - Howland Island,Lockheed 10E Electra,NR16020,1055,2,0,2,2,0,2,0,"The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</si>
  <si>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07/28/1937,10:40,"Hal, Belgium",KLM Royal Dutch Airlines,,Amsterdam - Paris,Douglas DC-2-115L,PH-ALF,1585,15,10,5,15,10,5,0,The aircraft crashed  into a potato field after possibly being struck by lightning and after an in-flight fire.</t>
  </si>
  <si>
    <t>08/02/1937,,"Wadi Halfa, Sudan",Ala Littoria,,"Rome, Italy - Kartoum",Savoia-Marchetti SM73,I-SUSA,30014,9,5,4,9,5,4,0,"Crashed into a building on takeoff. The accident happened after the crew abandoned the approach and attempt an overshoot maneuver,"</t>
  </si>
  <si>
    <t>08/03/1937,19:38,"Off Cristobal, Panama",Pan American Grace Airways,,"Santiago, Chili - Cristobal, Panama",Sikorsky S-43,NC15065,4305,14,11,3,14,11,3,0,The flying boat plunged into the ocean 20 miles off of Cristobal. The plane probably struck the water at high speed and was destroyed by an immediate explosion and fire.</t>
  </si>
  <si>
    <t>08/06/1937,," Bistrita, Romania",Aeroflot,,,Douglas DC-2,CCCP-M25,1413,5,2,3,5,2,3,0,"While en route, the plane caught fire and crashed. A passenger lit a cigarette in the rear toilet and ignited accumulated vapors."</t>
  </si>
  <si>
    <t>08/08/1937,10:50,"Chilang Point, Bias Bay, China",China National Aviation Corporation,,Canton - Shanghi,Sikorsky S-43,NC16930,,11,8,3,3,0,3,0,Forced to ditch into the sea due to bad weather. One wing broke off due to high waves and 8 passengers hung on to the remaining wing until rescued. The aircraft was named Chekiang.</t>
  </si>
  <si>
    <t>08/10/1937,04:40,"Daytona Beach, Florida",Eastern Air Lines,7,Chicago - Daytona,Douglas DC-2,NC-13739,1289,9,7,2,4,2,2,0,The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</si>
  <si>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08/23/1937,,"San Luis, Argentina",Pan American Grace Airways,,Mendosa - Cordoba,Douglas DC-2,NC14298,1370,3,0,3,3,0,3,0,The cargo plane crashed and burned in a field while en route after entering dense fog.</t>
  </si>
  <si>
    <t>08/27/1937,,"Wau, Papua New Guinea",Guinea Airways,,,Stinson SR-7 Reliant,VH-URC,9669,1,0,1,1,0,1,1,"After taking off in foggy condition, the cargo plane lost altitude and crashed into a house."</t>
  </si>
  <si>
    <t>10/01/1937,,"Phaleron Bay, Greece",Imperial Airways,,"Alexandria, Egypt  - Athens, Greece",Short Empire flying boat,G-ADVC,S-820,14,9,5,2,2,0,0,Crashed as it landed in Phaleron Bay. Two passengers drowned. Poor visibility was blamed for the accident.</t>
  </si>
  <si>
    <t>10/06/1937,12:25,"Palembang, Netherlands Indies",KLM Royal Dutch Airlines,,Palembang - Singapore,Douglas DC-3,PH-ALS,1940,11,7,4,4,1,3,0,"While in initial climb, the left engine failed. The crew decided to return for a safe landing but the aircraft hit  tree tops, stalled and crashed. Bronislaw Hubermann, celibrated Polish violinist was sightly injured."</t>
  </si>
  <si>
    <t>10/17/1937,21:00,"Haydens Peak, Wyoming",United Air Lines,1,Newark - Chicago - Cheyenne - Salt Lake City - Los Angeles,Douglas DC-3,NC16074,1914,19,16,3,19,16,3,0,"The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</si>
  <si>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10/26/1937,04:23,Off Western Africa,Air France,,Dakar - Casablanca,Dewoitine D-333,F-ALQA,01,7,2,5,7,2,5,0,Disappeared after sending a distress call while en route.</t>
  </si>
  <si>
    <t>11/12/1937,,"Warsaw, Poland",LOT,,Krakow - Warsaw,Lockhed 10 Electra,SP-AYD,1048,11,9,2,4,2,2,NULL,"On final approach at night and in poor visibility due to fog, the pilot flew too low, hit power lines and crashed in a field."</t>
  </si>
  <si>
    <t>11/12/1937,16:50,"Mannheim, Germany",Deutsche Lufthansa,, Berlin - Mannheim,Heinkel He-111,D-AXAV,1830,12,9,3,10,7,3,0,Hit the ground prematurely while attempting to land in fog.</t>
  </si>
  <si>
    <t>11/16/1937,15:30,"Ostende, Belgium",Sabena,,Cologne - Brussels - London,Junkers JU-52/3m,OO-AUB,5827,11,8,3,11,8,3,0,"The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</si>
  <si>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11/26/1937,,"Croydon, United Kingdom",Deutsche Lufthansa,,,Junkers JU-52,D-AGAV,4023,3,0,3,3,0,3,0,Engine failure on takeoff caused the cargo plane to stall and crash into a hanger.</t>
  </si>
  <si>
    <t>12/04/1937,,"Munich, Germany",Ala Littoria,,Rome - Munich - Berlin,Junkers JU-52,I-BAUS,4063,17,14,3,4,4,0,0,Crashed into a hill while on approach in low visibility.</t>
  </si>
  <si>
    <t>12/05/1937,," Brindisi, Italy",Imperial Airways,,,Short S-23 (flying boat),G-ADUZ,S-817,8,4,4,2,1,1,0,"Stalled during takeoff and crashed into the sea. Wrong flap setting for takeoff, causing the aircraft to stall."</t>
  </si>
  <si>
    <t>12/05/1937,09:00,"Brindisi Harbor, Italy",Imperial Airways,,India - London,Short Empire Flying Boat,G-ADUZ,,19,13,6,2,1,1,0,The flying boat crashed while attempting to take off. The aircraft was named Cygnus.</t>
  </si>
  <si>
    <t>12/08/1937,,"Saint Sauveur, France",Air France,,Marseille - Lyon - Paris,Potez 621,F-AOTZ,4213,7,6,1,2,1,1,0,Crashed in poor weather conditions while flying too low hitting Pas de la Motte peak.</t>
  </si>
  <si>
    <t>12/24/1937,17:30,"Kasperske Hory, Czechoslovakia",Air France,,Bucharest - Vienna - Prague - Paris,Wibault 283-T12,F-AMYD,11,3,1,2,3,1,2,0,"The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</si>
  <si>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01/04/1938,,"Frankfurt, Germany",Lufthansa,,Milan - Frankfurt,Junkers JU-38,D-ABUR,5777,6,3,3,6,3,3,0,Crashed short of the runway while attempting to land in snow and icing conditions.</t>
  </si>
  <si>
    <t>01/10/1938,15:07,"Bozeman, Montana",Northwest Orient Airlines,2,Seattle - Spokane - Butte - Billings - Chicago,Lockheed 14H Super Electra,NC-17388,1407,10,8,2,10,8,2,0,"The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</si>
  <si>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01/11/1938,08:03,"Pago Pago, U.S. Samoa",Pan American World Airways,1,Oakland - Honolulu - Kingman Reef - Pago Pago - Auckland,Sikorsky S-42 (flying boat),NC16734,4207,7,0,7,7,0,7,0,"The aircraft exploded in mid-air as the crew attempted to dump fuel for an emergency landing at Pago Pago. Neither the plane or seven crew members were ever found. The aircraft was named ""Samoan Clipper.""  Pan American's first and chief pilot, Captain Edwin C. Musick, killed."</t>
  </si>
  <si>
    <t>01/12/1938,,"North Pine, Ontario, Canada",General Airways,,Sioux Lookout - Hudson,Stinson Reliant SR-9,CF-BEI,5212-S,1,0,1,1,0,1,0,Crashed in rugged terrain while en route.</t>
  </si>
  <si>
    <t>02/02/1938,20:40,"Off San Clemente Island, California",Military - U.S. Navy / Military - U.S. Navy,,Training,Consolidated PBY-2 / Consolidated PBY-2,04062 / 0463,,14,0,14,11,0,11,0,The two aircraft crashed in mid-air in heavy rain and darkness and crashed into the sea.</t>
  </si>
  <si>
    <t>02/05/1938,,"Kandalaksha, Russia",TsAGI,,Moscow - Murmansk,V6 (airship),CCCP-V6,,19,0,19,13,0,13,0,The airship crashed while on a trial flight in preparation of rescuing  Russian scientists on an ice floe in Greenland. The airship crashed into the side of a mountain.</t>
  </si>
  <si>
    <t>02/09/1938,,"Guadalupe, Mexico",Mexicana,,Test flight,Lockheed 10 Electra,XA-BAS,,2,0,0,2,0,0,0,Crashed on a second test flight.</t>
  </si>
  <si>
    <t>02/09/1938,07:30,"Marseille, France",Air France,,"Marseille, France - Ajaccio, Corsica",LiorÃ©-et-Olivier H-242,F-ANPB,05,12,7,5,8,5,3,0,The flying boat struck the breakwater in fog at 60 miles an hour and burst into flames while attempting to take off.</t>
  </si>
  <si>
    <t>02/13/1938,14:30,Mediterranean Sea,Ala Littoria SA,,Cadiz - PollenÃ§a -Alghero - Rome,Cant Z-506,I-ORIA,297,14,10,4,14,10,4,0,Disappeared over the Mediterranean Sea while flying in a storm.</t>
  </si>
  <si>
    <t>02/22/1938,04:45,"Pontoise, France",Deutsche Lufthansa,,"Berlin, Germany - Paris, France",Junkers JU.52,D-APAR,4040,3,0,0,3,0,0,0,The mail plane crashed in fog within a few miles of it's destination near Bourget Airport.</t>
  </si>
  <si>
    <t>03/01/1938,21:30,"Near Wawona, Cailifornia",Trans Continental and Western Air,8,"San Francisco - Winslow, AZ,  Burbank, CA",Douglas DC-2-112,NC13789,1299,9,6,3,9,6,3,0,Crashed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</si>
  <si>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03/07/1938,,"Datia, India",Air France,,"Hanoi, Vietnam - Paris, France",Potez 621,F-ANQR,4031/12,7,3,4,7,3,4,0,Crashed and burst into flames shortly after taking off from Dum Dum.</t>
  </si>
  <si>
    <t>03/08/1938,,"Somerton, Australia",Australian National Airways,,Training,De Havilland DH-60,VH-UNU,,1,0,1,1,0,1,0,"The pilot made a sharp turn, lost control of the aircraft and chrashed."</t>
  </si>
  <si>
    <t>03/23/1938,07:00,"Corsavy, France",Air France,,Dakar - Casablanca - Oran - Toulouse - Paris,Dewoitine D-338,F-AQBB,02,8,5,3,8,5,3,0,The mail plane crashed into Cinq Croix peak in  the Pyrenees mountains while en route.</t>
  </si>
  <si>
    <t>04/30/1938,14:00,"Near Formia, Italy",Ala Littoria,,Brindisi - Rome,Junkers JU-52,I-BAUS,4063,19,14,5,19,14,5,0,Struck cloud obscured Mount Maranola.</t>
  </si>
  <si>
    <t>05/05/1938,,"Balbuena, Mexico",Lineas AÃ©reas Mineras,,Mexico City - Juarez,Lockheed Vega 5B,XA-BFR,124,6,5,1,1,5,1,0,Stalled and crashed on takeoff.</t>
  </si>
  <si>
    <t>05/10/1938,,"Mangere, New Zealand",United Airways of New Zealand,,Auckland - Palmerston North,Lockheed 10 Electra,ZK-AFC,1092,2,NULL,NULL,2,NULL,NULL,0,"After experiencing engine failure while taking off, the plane crashed into trees and exploded in flames."</t>
  </si>
  <si>
    <t>05/16/1938,14:07,"Near Saugus, California",Northwest Orient Airlines,,"Burbank,- St. Paul",Lockheed 14-H2 Super Electra,NC17394,1439,9,7,2,9,7,2,0,"Struck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</si>
  <si>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05/22/1938,13:40,"Sao Paulo, Brazil",Cruzeiro do Sul,,Santos - Sao Paulo - Rio de Janeiro - Natal,Junkers JU-52/3m,PP-CBC,5453,17,14,3,6,6,0,0,Shortly after taking the plane stalled and crashed into Santos estuary.</t>
  </si>
  <si>
    <t>05/24/1938,22:17,"Cleveland, Ohio",United Air Lines,9,Newark - Cleveland - Chicago,Douglas DST-A-207A,NC18108,1956,10,7,3,10,7,3,0,An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</si>
  <si>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05/27/1938,,"Alberno Canal, BC, Canada",Ginger Coote Airways,,Vancouver - Zeballos,Fairchild 51,CF-AUX,,1,0,1,1,0,1,0,Crashed into a wooded area after hitting trees</t>
  </si>
  <si>
    <t>05/27/1938,,"Langeoog, Germany",Deutsche Lufthansa,,,Heinkel 116,D-ATIO,546,3,0,3,3,0,3,0,Crashed on Langeoog Island.</t>
  </si>
  <si>
    <t>06/08/1938,,"Near Singida, Tanzania",Wilson Airways,,,De Havilland DH-85,VP-KBE,7055,3,1,2,3,1,2,0,Crashed about 50 miles from Singida.</t>
  </si>
  <si>
    <t>06/19/1938,,"Mount  Mercedario, Chile",Pan American Grace Airways,,,Douglas DC-2,NC14272,,4,NULL,NULL,4,NULL,NULL,0,"An hour after leaving Santiago, radio contact with the flight was lost, as it had crashed in the high Andes.  It was not found until February 1941, by indians, who plundered the aircraft and the dead passengers looking for valuables."</t>
  </si>
  <si>
    <t>07/08/1938,02:56,"Billings, Montana",Northwest Orient Airlines,4,Seattle - Spokane - Helena - Billings - Fargo,Lockheed 14 Super Electra,NC17383,1402,10,8,2,1,1,0,0,"While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</si>
  <si>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07/14/1938,08:00,"Off Sardinia, Italy",Ala Littoria,,Cagliari - Rome,Savoia Marchetti S-66,I-VOLO,15013,20,16,4,20,16,4,0,The flying boat crashed into the Tyrrhenian Sea after the collapse of a wing.</t>
  </si>
  <si>
    <t>07/19/1938,,Andes,Panagra,,,Douglas DC-2,NC14272,1305,4,0,4,4,0,4,NULL,Disappeared over the Andes mountains. Wreckage found Feb 1941at Mt. Mercedario.</t>
  </si>
  <si>
    <t>07/22/1938,17:40,"Stulpica, Romania",LOT Polish Airlines,,"Warsaw, Poland - Bucharest, Romania",Lockheed 14H Super Electra,SP-BNG,1432,14,12,2,14,12,2,0,Crashed in strong turbulence and after being struck by lightning .</t>
  </si>
  <si>
    <t>07/27/1938,,"Kisumu, Kenya",Imperial Airways,,London - Kisumu - Cape Town,Armstrong-Withworth Atlanta,G-ABTG,AW-785,4,0,4,4,0,4,0,"Flew into a hillside soon after takeoff from Kisumu. The ship was named ""Amalthea."""</t>
  </si>
  <si>
    <t>07/29/1938,04:11,Pacific Ocean between Manila and Guam,Pan American World Airways,229,Alameda - Manila,Martin M-130 (flying boat),NC14714,556,15,6,9,15,6,9,0,"The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</si>
  <si>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08/10/1938,,"Debrecen, Hungary",Magyar Legiforagalmi,,,Ford Tri-motor F-VIII,HA-FNC,4053,12,10,2,12,10,2,0,Crashed in a field after penetrating a thunderstorm. The plane was carrying Hungarian journalists.</t>
  </si>
  <si>
    <t>08/10/1938,,"Shishijima, Japan",Dai Nippon,,,Douglas DF-151,J-ANES,1,6,3,3,6,3,3,0,Crash landed off Chichijima island.</t>
  </si>
  <si>
    <t>08/12/1938,12:30,"Near San Andres Tuxtla, VeraCruz, Mexico",Mexicana,,Villahermosa - Veracruz - Mexico City,Lockheed 10E Electra,X-ABAS,1043,11,8,3,11,8,3,0,Crashed into a mountain in heavy rain in an area being affected by a hurricane.</t>
  </si>
  <si>
    <t>08/13/1938,11:00,"Kiel, Germany",CSA Czech Airlines,,Prague - Strasbourg - Paris,Savoia-Marchetti SM73,OK-BAG,30040,17,14,3,16,13,3,0,Crashed into the Black Forest mountains in poor weather conditions. One stewardess survived but died a day later..</t>
  </si>
  <si>
    <t>08/15/1938,,"Guanabara, Brazil",Syndicato Condor,,Guanabara - Victoria,Junkers JU-52/3m,PP-CAT,4024,9,5,4,9,5,4,0,"Flew into a mountain wave after taking off, went into a dive and crashed into Guanabara Bay."</t>
  </si>
  <si>
    <t>08/18/1938,,"Bucharest, Romania",LOT Polish Airlines,,,Lockheed 14 Super Electra,SP-BNJ,1424,7,4,3,0,0,0,0,Caught fire after a ground looping.</t>
  </si>
  <si>
    <t>08/18/1938,17:00,"Montnago, Italy",Macchi,,Test flight,Macchi C-94,I-NILO,94001,15,13,2,15,13,2,0,The sea plane crashed shortly after taking off on a test flight and sank.</t>
  </si>
  <si>
    <t>08/24/1938,08:00,"Wangmoon, China",China National Aviation Corporation,,Hong Kong - Chungking,Douglas DC-2,32,1369,17,13,4,14,12,2,0,"While en route from Hong Kong to Chungking, the aircraft was shot down by Japanese military fighters. The aircraft was named Kweilin. The plane was rebuilt to fly again only to be shot down again by Japanese military."</t>
  </si>
  <si>
    <t>08/24/1938,,"Tokyo, Japan",Japan Air / Japan Flying School,,,Unknown / Unknown,,,5,NULL,NULL,5,NULL,NULL,53,"Midair collision between the airliner and a small plane. The wreckage fell on the suburbs of Tokyo.  Three killed on the airliner, two in the trainer and 53 on the ground."</t>
  </si>
  <si>
    <t>08/29/1938,23:00,"Near Tucumcari, New Mexico",Transcontinental &amp;Western Air,, Burbank - Winslow - Albuquerque,Ford Tri-motor,NC17316,410,11,8,3,0,0,0,0,"The mail /passenger transport crashed in a field 10 miles south of Tucumcari after penetrating a strong storm. Excessive vibration and loss of power, due to malfunctioning of left engine, consulting in insufficient speed to sustain the aircraft in flight."</t>
  </si>
  <si>
    <t>08/29/1938,09:30,"Innisfail, Australia",North Queensland Airways,,Townsville - Innisfail - Cairns,De Havilland DH-84,VH-UXK,6053,9,8,1,5,4,1,0,Crashed into a cane field short of the runwa while attempting to land when the pilot swerved to avoid a tractor.</t>
  </si>
  <si>
    <t>10/01/1938,,"Off Bathurst, Gambia",Deutsche Lufthansa,,"Frankfurt, Germany - Milan, Italy",Dornier DO.18 (float plane),D-AROZ,255,4,0,4,4,0,4,0,Disappeared over the Atlantic ocean.</t>
  </si>
  <si>
    <t>10/01/1938,,"Grisons, Switzerland",Deutsche Lufthansa,,"Frankfurt, Germany - Milan, Italy",Junkers JU-52/3m,D-AVFB,5928,13,10,3,13,10,3,0,"While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</si>
  <si>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10/10/1938,11:00,"Soest, Germany",Sabena,,Brussels - DÃ¼sseldorf - Berlin,Savbia-Marchetti  S-73P,OO-AGT,4,20,16,4,20,16,4,0,"The aircraft broke-up in midair and crashed to the ground.  A propeller may have broken, tearing loose an engine."</t>
  </si>
  <si>
    <t>10/25/1938,13:45,"Mt. Dandenong, Australia",Australian National Airways,,Adelaide - Melbourne,Douglas DC-2-112,VH-UYC,1566,18,14,4,18,14,4,0,Crashed into Mt. Daodenong in heavy fog while en route. Procedural errors by the pilot.</t>
  </si>
  <si>
    <t>11/02/1938,,"Somerset, England",British Airways,,,Lockheed 14 Electra,CF-TCL,,2,NULL,NULL,2,NULL,NULL,0,</t>
  </si>
  <si>
    <t>11/04/1938,10:50,"Channel Islands, Jersey",Jersey Airways,,Jersey - Southhampton,de Havilland DH-86,G-ACZN,2316,14,13,1,14,13,1,1,Caught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</si>
  <si>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11/14/1938,18:41,"Schiphol, Amsterdam",KLM Royal Dutch Airlines,,Berlin - Amsterdam,Douglas DC-3,PH-ARY,2021,19,14,5,6,2,4,0,The aircraft flew into the ground during approach in poor visibility. The first officer was commander of the military flying school Soesterberg. Pilot descended below a safe height during the approach.</t>
  </si>
  <si>
    <t>11/18/1938,00:51,"Regina, Saskatchewan, Canada",Trans Canada Air Lines,,Winnipeg - Regina - Vancouver,Lockheed 14 Electra,CF-TCL,1475,2,0,2,2,0,2,0,The mail plane crashed several minutes after taking off from Regina</t>
  </si>
  <si>
    <t>11/26/1938,15:20,"Bathurst, Gambia",Deutsche Lufthansa,,,Junkers JU90V2,D-AIVI,4914,15,10,5,12,9,3,0,During takeoff the aircraft hit a palm tree and burst into flames due to double engine failure.</t>
  </si>
  <si>
    <t>11/27/1938,,"Bagdad, Iraq",Imperial Airways,,Southampton - Sydney,Short Empire Flying Boat,G-AETW,S839,6,0,6,4,0,4,0,The flying boat crashed on Lake Ramadi at night in a sandstorm.</t>
  </si>
  <si>
    <t>11/29/1938,05:30,"Off Point Reyes, California",United Air Lines,6,"Seattle, WA - Medford, OR - Oakland,CA",Douglas DC 3-A-SB-3-G-14,NC16066,1907,7,4,3,5,3,2,0,"The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</si>
  <si>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12/02/1938,07:55,"Mexico City, Mexico",Mexicana,,Mexico City - Merida,Lockheed 10E Electra,X-ABAU,1041,8,5,3,8,5,3,0,Crashed and burned on a hill while taking off in foggy conditions. The pilot did not have authorization to take off during poor visibility.</t>
  </si>
  <si>
    <t>12/08/1938,09:00,"Off Kuba Island, Okinawa",Japan Aviation Corporation,,Fukuoka - Taihoku,Nakajima A-T2,J-BDOH,1481-1,15,12,3,10,7,3,0,Crashed into the East China Sea after experiencing engine failure.</t>
  </si>
  <si>
    <t>12/09/1938,11:20,"Amsterdam, Netherlands",KLM Royal Dutch Airlines,,Instructional Flight,Lockheed 14-WF62 Super Electra,PH-APE,1413,4,0,4,4,0,4,0,Whle taking off the aircraft stalled and struck a dyke near Schiphol Airport and caught fire.</t>
  </si>
  <si>
    <t>12/12/1938,,"Darwin, Australia",Qantas,,,Short S23 â€˜Câ€™ Class flying boat,G-AEUH,,13,NULL,NULL,13,NULL,NULL,0,Shot down by Japanese aircraft. Owned by Imperial Airways and operated by Qantas.</t>
  </si>
  <si>
    <t>01/07/1939,16:30,"Paris, France",Swissair,,Zurich - Geneva - Paris,Douglas DC-2-115B,HB-ITA,1329,17,12,5,5,2,3,0,The aircraft crashed onto a field losing both wings while attempting to land in low overcast.</t>
  </si>
  <si>
    <t>01/13/1939,,"Rio de Janeiro, Brazil",Syndicato Condor,,Vitoria - Rio de Janeiro,Junkers JU-52/3m,PP-CAY,4042,10,7,3,10,7,3,0,"In reduced visibility and strong winds, the seaplane crashed into the side of Mt. Chambe while attempting to land at Rio de Janerio."</t>
  </si>
  <si>
    <t>01/13/1939,21:15,"Miles City, Montana",Northwest Orient Airlines,1,Chicago - Seattle,Lockheed 14-H Super Electra,NC17389,1408,4,2,2,4,2,2,0,"The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</si>
  <si>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01/18/1939,07:59,"Katherine, Australia",Guinea Airways,,Katherine - Adelaide,Lockheed 14 Electra,VH-ABI,1418,4,1,3,4,1,3,0,"The mail plane failed to gain height after taking off, stalled and crashed into the Katherine River during a storm."</t>
  </si>
  <si>
    <t>01/21/1939,12:30,Atlantic Ocean between N.Y. and Bermuda,Imperial Airways,,New York City - Bermuda,Short S-23 (flying boat),G-ADUU,S-812,13,8,5,3,2,1,0,"While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</si>
  <si>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02/12/1939,14:15,"Juneau, Alaska",Marine Airways,,Ketchikan - Juneau,Fairchild 71(amphibious),NC9777,618,6,5,1,6,5,1,0,The air taxi encountered low visibility and snow and crashed on Grand Island. The wreckage was found 1 month later</t>
  </si>
  <si>
    <t>02/24/1939,09:45,"Near Roubien, France",Deutsche Lufthansa,,"Barcelona, Spain - Rome, Italy",Junkers JU-52/3m,D-ALUS,5210,10,6,4,10,6,4,0,"While cruising in bad weather conditions, aircraft hit a mountain near Roubion, in the National Park of Mercantour, 50 km north of Nice. Engine trouble may have factored in the accident, which occurred in adverse weather conditions, with fog and falling snow in the area."</t>
  </si>
  <si>
    <t>03/14/1939,,"Haren, Belgium",Sabena,,London - Brussels,Junkers JU-52,OO-AUA,5815,3,0,3,3,0,3,0,The cargo plane stalled and crashed into a field short of the runway.</t>
  </si>
  <si>
    <t>03/16/1939,,"Manzanares, Colombia",Deutsche Lufthansa,,,Junkers JU-86,,,8,6,2,8,6,2,0,</t>
  </si>
  <si>
    <t>03/18/1939,13:17,"Near Adler, Washington",Boeing Aircraft Company,,Test flight,Boeing 307 Stratoliner,NX19901,1994,10,8,2,10,8,2,0,"The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</si>
  <si>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03/26/1939,14:48,"Oklahoma City, Oklahoma",Braniff Airlines,1,Chicago - Kansas City - Wichita - Oklahoma City - Dallas,Douglas DC-2-112,NC13727,1253,12,9,3,8,7,1,0,"An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</si>
  <si>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04/03/1939,,"Near Marrakech, Morocco",Air France,,,Caudron C.635 Simoun,F-AOOT,7372,9,NULL,NULL,9,NULL,NULL,0,Crashed into a mountain.</t>
  </si>
  <si>
    <t>05/01/1939,,"Lumbo, Mozambique",Imperial Airways,,London - Cairo- Mombasa - Dar es-Salaam - Lumbo - Maputo,Short S-23 Empire Flying Boat,G-ADVD,S-821,4,0,4,2,0,2,0,After an aborted landing the plane hit the water and came to rest off Ilha de Mocambique island.</t>
  </si>
  <si>
    <t>05/02/1939,15:30,"Near Marrakech, Morocco",Air France,,"Casablanca, Morocco - Dakar, Senegal",Dewoitine D-338,F-ARIC,25,9,6,3,9,6,3,0,Crashed and burned in a mountainous area due to icing.</t>
  </si>
  <si>
    <t>05/08/1939,12:00,"Guayaquil, Ecuador",Military - Ecuadorian Air Force,,,Curtiss-Wright C-14 Osprey,,,1,0,1,1,0,1,22,"While performing aerobatics, the aircraft lost control and crashed into numerous building near a college."</t>
  </si>
  <si>
    <t>06/06/1939,09:25,"Schiphol, Amsterdam",KLM Royal Duch Airlines,,Training,Douglas DC-2,PH-AKN,1360,4,0,4,0,0,0,1,"During  a training flight with one engine out,  the crew hit an obstacle and then a sentry-box with 9 soldiers inside. One soldier  died and 3 others were wounded. The aircraft was repaired."</t>
  </si>
  <si>
    <t>06/10/1939,16:20,"Vlissingen, The Netherlands",KLM Royal Dutch Airlines,,Haamstede - Vlissingen,Koolhoven FK.43,PH-AJK,4305,3,1,2,3,1,2,0,"The crew  made a steep turn over a beach at too low a speed, stalled and crashed. Two student pilots.were flying the plane."</t>
  </si>
  <si>
    <t>06/20/1939,, Forest-in-Teesdale. United Kingdom, British American Air Services,,Heston - Newcastle,de Havilland DH.89 Dragon Rapide,G-AERE,6355,3,1,2,3,1,2,0,The aircraft hit the slope of Mt Dora's Seat when flying too low.</t>
  </si>
  <si>
    <t>07/20/1939,18:50,"Konstanz, Switzerland",Swissair,,Vienna - Zurich,Junkers JU86 Z-2,HB-IXA,086/0951,6,4,2,6,4,2,0,While attempting to land the aircraft crashed after an engine fire caused a loss in air speed and a stall.</t>
  </si>
  <si>
    <t>08/04/1939,,"Barcelona, Spain",Deutsche Lufthansa,,Cologne - Toulouse - Barcelona - Casablanca,Junkers JU-52/3m,D-AUJG,5942,7,4,3,7,4,3,0,Crashed in the Llaveria mountains in heavy fog and caught fire. The plane hit the highest peak of the mountains.</t>
  </si>
  <si>
    <t>08/13/1939,16:35,"Rio de Janerio, Brazil",Pan American World Airways,,Miami - Rio de Janerio,Sikorsky S43 (flying boat),NC16933,4316,16,12,4,14,10,4,0,"The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</si>
  <si>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08/15/1939,13:00,"Off Copenhagen, Denmark",British Airways,,London - Hamburg - Copenhagen,Lockheed 10 Electra,G-ASEY,1102,6,4,2,5,4,1,0,"Crashed into the sea after a fire aboard. Leakage of fuel from the overflow boxes, which resulted from overfilling of the fuel tanks."</t>
  </si>
  <si>
    <t>08/28/1939,,"Lahore, India",Indian National Airways,,Calcutta - Dum Dum,De Havilland D-84,VT-AEL,6048,2,1,1,2,1,1,0,Crashed en route for unknown reasons.</t>
  </si>
  <si>
    <t>08/30/1939,,"Hannover, Germany",Deutsche Lufthansa,,Berlin - Hanover - Cologne - London,Junkers JU-52/3m,D-AFOP,5800,7,4,3,7,4,3,0,The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</si>
  <si>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09/26/1939,14:10,North Sea,KLM Royal Dutch Airlines,,Copenhagen - Amsterdam,Douglas DC-3,PH-ASM,2142,20,15,5,1,1,0,0,One Swedish passenger was killed when the plane was attacked by a German fighter. The plane was able to land safely in Amsterdam.</t>
  </si>
  <si>
    <t>10/10/1939,07:30," Calarmar, Colombia",Scarta,,Barranquilla - Girardot,Junkers W-34,C-53,,5,3,2,5,3,2,0,Crashed while en route.</t>
  </si>
  <si>
    <t>11/20/1939,,"Gosport, England",British Airways,,Training,Airspeed Oxford,G-AFFM,75,2,0,2,2,0,2,NULL,Collided with the mooring of a ballon.went out of control and crashed.</t>
  </si>
  <si>
    <t>12/18/1939,08:15,South of Gibraltar,Iberia Airlines,,Tetouan- Seville - Alicante,Junkers JU-52,M-CABA,5854,9,6,3,9,6,3,0,Shot down by a British RAF fighter. Crashed 6 miles south of Europa Point.</t>
  </si>
  <si>
    <t>12/21/1939,13:00,Off Malta-Luqa,British Airways,,Egypt - England,Lockheed 14 Super Electra,G-AFYU,1444,8,6,2,5,3,2,0,"Ditched into the sea, 300 miles NW of Alexandria, Egypt. A ship rescued six survivers."</t>
  </si>
  <si>
    <t>12/24/1939,08:00,"Mogador, Morocco",Linee Aeree Italiane,,Rome - Rio de Janerio,Savoia-Marchetti SM83,I-ARPA,34017,7,3,4,7,3,4,0,Crashed into a mountain  60 km southeast of Mogadorin in  a storm while attempting to make a forced landing.</t>
  </si>
  <si>
    <t>01/22/1940,,"Denpasar, Indonesia",KNILM,,Batavia - Denpasar - Kupang - Darwin - Sydney,Lockheed 14 Super Electra,PK-AFO,1415,9,5,4,8,5,3,0,Crashed into the sea shortly after take-off. Cause unknown</t>
  </si>
  <si>
    <t>02/10/1940,,"Near Cosenza, Italy",Ala Littoria SA,,Catania - Brindisi - Rome,Savoia-Marchetti SM-75,I-LEAL,32031,10,4,6,10,4,6,0,Crashed and burned on a hill side in fog. Prior to crashing the crew reported ice on the wings.</t>
  </si>
  <si>
    <t>02/27/1940,10:00,"Near Bucaramanga, Columbia",SCADTA,,Bogota - Cucuta,Boeing 247D,C-79,,11,9,2,11,9,2,0,"The plane hit a mountain in the Andes  near Tona, northeast of Bucaramanga after the crew lost their bearings in fog."</t>
  </si>
  <si>
    <t>03/01/1940,13:20,Gulf of Oman,Imperial Airways,,Calcutta - Jask - Sharjah - Alexandria - London,Handley Page HP-42,G-AAGX,HP42/1,8,4,4,8,4,4,0,"Crashed in the Persian Gulf while en route with out a trace. The aircraft was named ""Hannibal."""</t>
  </si>
  <si>
    <t>03/16/1940,,"Stromboli Island, Italy",Ala Littoria,, Tripol- Catania - Rome - Milan,Savoia Marchetti SM 73,I- SUTO, 30024,14,10,4,14,10,4,0,The plane crashed into Stromboli Volcano. The cause was possibly bad weather or some electromagnetic phenomena.</t>
  </si>
  <si>
    <t>04/22/1940,,"Near Loch Lomond, Scotland",British Overseas Airways,,Stockholm - Perth - Heston,Lockheed 14 Super Electra,G-AFKD,1484,5,2,3,5,2,3,0,Struck a mountain after being off course 10 miles to the west in reduced visibility.</t>
  </si>
  <si>
    <t>06/02/1940,,"El Segundo, California",Douglas Aircraft Company,,Test flight,Douglas DC-5,,,5,0,5,5,0,5,0,Crashed and burned during a government test flight</t>
  </si>
  <si>
    <t>06/14/1940,14:00,"Off Prangli Island, Gulf of Finland, Estonia",Aero O-Y,," Tallinn, Estonia - Helsinki, Finland",Junkers JU-52/3mge,OH-ALL,5494,9,7,2,9,7,2,0,"The plane was en route when it was shot down by two Soviet Tupolev SB-2 bombers. The aircraft  crashed 2-3 nm offshore of Prangli Island near Keri Lighthouse. The aircraft was named ""Kaleva."""</t>
  </si>
  <si>
    <t>06/20/1940,,"Near Ouistreham, France",Air France,,,Dewoitine D-338,F-ARTD,22,1,NULL,NULL,1,NULL,NULL,0,Inadvertently shot down by French anti-aircraft fire.</t>
  </si>
  <si>
    <t>07/07/1940,,Gulf of Tonkin,Air France,,,Dewoitine D-338,F-AQBA,1,4,NULL,NULL,4,NULL,NULL,0,Shot down by a Japanese military fighter.</t>
  </si>
  <si>
    <t>08/09/1940,,"Hannover, Germany",Deutsche Lufthansa,,,Douglas DC-2-115H,D-AIAV,1366,13,10,3,2,2,0,0,No cause was described except it being pilot error.</t>
  </si>
  <si>
    <t>08/13/1940,10:15,"Near Canberra, Australia",Military - Royal Australian Air Force,,Melbourne - Canberra,Lockheed Hudson A16-97,,,10,6,4,10,6,4,0,"The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</si>
  <si>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08/22/1940,," Gospic,,Coatia",Aeroput,,Zagreb - Split,Lockheed 10 Electra, YU-SBC,1135,11,9,2,11,9,2,0,Hit a mountain slope while en route.</t>
  </si>
  <si>
    <t>08/23/1940,,"Cluj, Romania",LARES,, Baia Mare - Cluj-Napoca - Sibiu - Bucharest,Douglas DC-3,YR-PAF,1986,15,12,3,15,12,3,0,"While approaching Cluj-Napoca from the west, the aircraft was not on the assigned track and hit the slope of Mt Gaina during a hail and thunderstorm."</t>
  </si>
  <si>
    <t>08/31/1940,14:41,"Near Lovettsville, Virginia",Pennsylvania Central Airlines,19,Washington D.C. - Detroit,Douglas DC-3,NC21789,2188,25,21,4,25,21,4,0,"The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</si>
  <si>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10/22/1940,,"Osijek, Croatia",Aeroput,,Belgrade - Osijek - Zagreb,Lockheed 10 Electra,YU-SBE,1137,12,9,3,7,4,3,0,Crashed while attempting to land.</t>
  </si>
  <si>
    <t>10/29/1940,,"Near Changyi, China",China National Aviation Corporation,,Chungking - Kunming,Douglas DC-2,NC14297,1369,14,10,4,9,8,1,0,Shot down by Japanese military fighters. The plane ran into 5 Japanese fighters and made an emergency landing at a remote field only to be machine-gunned while trying to escape.</t>
  </si>
  <si>
    <t>10/29/1940,,"Berlin, Germany",Deutsche Lufthansa,,,Douglas DC-3,D-AAIH,1973,15,12,3,2,0,2,0,Hit the ground short of the runway in reduced visibility.</t>
  </si>
  <si>
    <t>11/04/1940,19:10,"Near Rincon, Bolivia",Lloyd Aero Boliviano SA,,Santa Cruz - Corumba,Junkers Ju-52/3m,CB-17,4008,17,14,3,17,14,3,0,Crashe in a storm while en route. Wreckage found 15 months later.</t>
  </si>
  <si>
    <t>11/04/1940,04:42,"Near Centerville, Utah",United Air Lines,16,Oakland - Salt Lake City,Douglas DC-3,NC16086,1925,10,8,2,10,8,2,0,"The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</si>
  <si>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11/08/1940,,"Rio de Janeiro, Brazil",VASP,,Rio de Janeiro - Sao Paulo,Junkers Ju53/2m,PP-SPF,5689,18,14,4,18,14,4,0,"Midair collision with a private plane.  After the collision, both aircraft crashed into the Botafogo Bay. Seventeen killed on the Junkers, 1 on the private plane."</t>
  </si>
  <si>
    <t>11/08/1940,15:02,"Brandenburg, Germany",Deutsche Lufthansa,,Berlin - Budapest,Junkers JU-90A-1,D-AVMF,900010,29,23,6,29,23,6,0,Crashed while en route in poor weather condtions . Icing.</t>
  </si>
  <si>
    <t>11/27/1940,,Mediterranean Sea,Air France,,,Farman F-224,F-AROA,2,6,NULL,NULL,6,NULL,NULL,0,Shot down by Italian aircraft.</t>
  </si>
  <si>
    <t>12/04/1940,17:48,"Chicago, Illinois",United Air Lines,21,New York City - Chicago,Douglas DC-3A,NC25678,2175,16,13,3,10,7,3,0,The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</si>
  <si>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12/24/1940,11:30,"Capri Island, Italy",Ala Littolia,,Catania - Rome,Savoia-Marchetti SM.75, I-LIGO,32035,7,3,4,7,3,4,0,"While en route, the aircraft was shot down by the pilot of a RAF fighter and crashed into the sea some 40 miles southwest of the Capri Island."</t>
  </si>
  <si>
    <t>01/10/1941,12:00,Mediterranean Sea,LATI,,Rome - Seville - Villa Cisneros - Sal - Natal - Rio,Savoia-Marchetti SM-83,I-AREM,34019,16,12,4,16,12,4,0,Crashed into the Mediterranian sea while en route without a trace.</t>
  </si>
  <si>
    <t>01/15/1941,12:05,"Off  Fernando de Noronha, Brazil",LATI,,Rio de Janeiro - Natal - Sal - Seville - Rome,Savoia-Marchetti SM-75,I-BAYR,32013,10,6,4,10,6,4,0,"Crashed near the Equator after the crew had lost an engine. Three hours after taking off, an SOS was transmitted. No trace of the plane was ever found."</t>
  </si>
  <si>
    <t>01/17/1941,12:00,"Near Nagyvarad, Hungary",Malert Airlines,,Budapest - Maros-Vasarhely,Junkers JU-52/3m,HA-JUA,5523,16,13,3,12,9,3,0,"An engine stalled during the initial climb and the plane crashed and burned,"</t>
  </si>
  <si>
    <t>01/20/1941,,"Near Kian, China",China National Aviation Corporation,,,Ford 5-AT Tri-Motor,23,5-AT-101,6,1,5,5,1,4,0,Crashed into a mountain during a thunderstorm and reduced visibility.</t>
  </si>
  <si>
    <t>01/23/1941,04:13,"Near Robertson, Missouri",Trans Continental and Western Air,6,"Kansas City, MO - New York",Douglas DC-3-3,NC17315,1930,13,10,3,2,1,1,0,"Shortly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</si>
  <si>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02/06/1941,02:00,"Armstrong, ON, Canada",Trans Canada Air Lines,3,Toronto - Winnipeg,Lockheed 14-H2 Super Electra,CF-TCP,1501,12,9,3,12,9,3,0,The plane crashed after the right wing struck a tree as the pilot was attempting to land in adverse weather. Struck several other trees and landed inverted in a swamp.</t>
  </si>
  <si>
    <t>02/26/1941,11:50,"Atlanta, Georgia",Eastern Air Lines,21,New York City -  Washington D.C. - Atlanta - Brownsville,Douglas DC-3,NC28394,3204,16,13,3,9,6,3,0,"The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</si>
  <si>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03/01/1941,15:50,"Trontheim, Norway",Deutsche Lufthansa,,,Junkers JU-52/3m,D-AQUB,5751,12,9,3,3,3,0,0,The seaplane crashed while attemping to land and sunk.</t>
  </si>
  <si>
    <t>03/28/1941,11:45,"Elands Bay, South Africa",South African Airways,,Luanda - Windhoek - Cape Town,Lockheed 18 Lodestar,ZS-AST,2034,10,6,4,10,6,4,0,Crashed into a mountain near Elands Bay in inclement weather.</t>
  </si>
  <si>
    <t>06/03/1941,17:00,Atlantic Ocean,Great Western and Southern Air Lines,,"Isles of Scilly - Penzance, Cornwall",de Havilland DH-84 Dragon,G-ACPY,6076,6,5,1,6,5,1,0,Shot down by a He-111 German military aircraft 20 minutes after takeoff..</t>
  </si>
  <si>
    <t>06/18/1941,,"Bucharest, Romania",LARES,,Bucharest - Sofia,Douglas DC-3,YR-PAF,1985,18,3,15,0,0,0,0,Stalled and crashed during takeoff.</t>
  </si>
  <si>
    <t>06/21/1941,,Sea of Japan,Manchurian Air Lines,,,Mitsubishi MC-20,M-604,,18,15,3,18,15,3,0,Crashed while en route. Cause unknown.</t>
  </si>
  <si>
    <t>07/30/1941,09:15,"Rome, Italy",Ala Littoria,,Rome - Cagliari,Macchi C.100,I-PACE,4158,25,20,5,5,5,0,0,After an engine failed the crew decided to return but encountered turbulence and crashed.</t>
  </si>
  <si>
    <t>08/10/1941,20:35,"Arran, Scotland",Military -Royal Air Force,,,Consolidated LB-30A Liberator,AM261,,22,17,5,22,17,5,0,"Crashed into a mountain ridge in rain, low visibility and overcast conditions. Navigational error."</t>
  </si>
  <si>
    <t>08/14/1941,20:40,"Ayr, Scotland",Military - Royal Air Force,,,Consolidated LB-30A Liberator,AM260,,22,NULL,NULL,22,NULL,NULL,0,"Crashed and burned on takeoff at Heathfield airfield, after veered off the runway and striking a small building and then an embankment."</t>
  </si>
  <si>
    <t>08/18/1941,,"Near Sao Paulo, Brazil",Panair do Brasil,,Curitiba - Sao Paulo,Lockheed 18 LodeStar,PP-PBD,2083,14,10,4,8,5,3,0,After a goaround the plane diverted from its prescribed course and crashed into a mountain.</t>
  </si>
  <si>
    <t>08/27/1941,,"Coen, Australila",Airlines of Australia,,Horn Island - Coen - Cairns,de Havilland DH.80 Puss Moth,VH-UQL,2088,3,2,1,3,2,1,0,On approach the left wing broke off and the aircraft crashed in a field.</t>
  </si>
  <si>
    <t>09/01/1941,,"Campbeltown, Argyll, Scotland",British Overseas Airways,,,Consolidated 32-2 Liberator I,AM-915,,10,NULL,NULL,10,NULL,NULL,0,Crashed into a hillside.</t>
  </si>
  <si>
    <t>09/01/1941,13:40,"Bollemont, France",Air France,,Marseille - Toulouse,Bloch 220,F-AQNL,12,17,14,3,15,12,3,0,The aircraft crashed into lake Bolomon after engine failure during takeoff in windy conditions.</t>
  </si>
  <si>
    <t>10/03/1941,17:48,"San Juan, Puerto Rico",Pan American World Airways,203,Miami - Buenos Aires,Sikorsky S-42B (flying boat),NC15376,4206,15,9,6,2,2,0,0,"Following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</si>
  <si>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10/28/1941,,"Near Petrich, bulgaria",Deutsche Lufthansa,,Athens - Sofia,Junkers JU-53/3m,D-AUXZ,7172,13,10,3,13,10,3,0,"Crashed on the Greek/Hungarian border. Cause unknown,"</t>
  </si>
  <si>
    <t>10/30/1941,02:04,"Near Moorhead, Minnesota",Northwest Orient Airlines,5,Minneapolis - Fargo,Douglas DC-3,NC21712,2124,15,13,2,14,13,1,0,"Crashed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</si>
  <si>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10/30/1941,22:10,"St. Thomas, Ontario, Canada",American Airlines,1,New York - Buffalo - Chicago - Detroit,Douglas DC-3,NC25663,2207,20,17,3,20,17,3,0,"The aircraft, on a flight from New York to Chicago, circled a wooded area 3 or 4 times looking for a landing spot before stalling and diving into a plowed field. Cause unknown."</t>
  </si>
  <si>
    <t>11/29/1941,05:55," Chardzhou, Turkmenistan",Aeroflot,,Chardzhou - Urgench, Tupolev ANT-6,CP-L2010,61,36,31,5,7,5,2,0,"During the initial climb at night, the pilot in command suffered a spatial disorientation stalled the plane and crashed."</t>
  </si>
  <si>
    <t>12/11/1941,,"Miami, Florida",Pan American Airways,,,NULL,NC21V,,3,NULL,NULL,3,NULL,NULL,0,</t>
  </si>
  <si>
    <t>12/26/1941,11:26," Baiserke, Kazakhstan",Aeroflot,,Almaty - Karaganda - Aktyubinsk - Kuybyshev - Kazan, Tupolev ANT-6,CCCP-L3043,22182,34,28,6,26,21,5,0,"The crew decided to takeoff in below-minima weather conditions with low clouds, fog, turbulences and severe icing. While attempting to return to the airport the aircraft lost altitude and crashed into a field."</t>
  </si>
  <si>
    <t>12/29/1941,,"Sabang, Indonesia",BOAC,,,Short S-23 Empire Flying Boat, G-ADUX,S-815,4,0,4,4,0,4,0,While taking off the plane hit debris in the water and broke up.</t>
  </si>
  <si>
    <t>01/16/1942,19:20,"Near Las Vegas, Nevada",Trans Continental and Western Air,,Las Vegas - Los Angeles,Douglas DC-3,NC1946,3295,22,19,3,22,19,3,0,"The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</si>
  <si>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01/20/1942,," Kupang, Indonesia",Military - Royal Australian Air Force,,,Lockheed Hudson,A16-79,414-1933,11,7,4,11,NULL,4,0,"Shortly after taking off the left engine caught fire, the plane stalled and crashed."</t>
  </si>
  <si>
    <t>01/26/1942,,"Kupang, Timor",KNILM,,,Grumman G-21 Goose,PK-AFS,1081,5,2,3,5,2,3,0,Shot down by Japanese military aircraft.</t>
  </si>
  <si>
    <t>01/30/1942,08:00,"Near Kupang, Timor",Qantas,,"Darwin - Surabaya, Dutch East Indies",Short S-23 (flying boat),G-AEUH,S-850,18,13,5,13,11,2,0,Shot down by Japanese military aircraft. Owned by British Overseas Airways.</t>
  </si>
  <si>
    <t>02/15/1942,08:50,"English Channel, near Plymouth, England",British Overseas Airways,,"Cairo, Egypt - England",Consolidated Liberator,G-AGDR,9,9,4,5,9,4,5,0,Shot down in error by two Royal Air Force Spitfire fighters..</t>
  </si>
  <si>
    <t>02/19/1942,," Zhengzhou-Xinzheng, China",China National Aviation Corporation,,,Douglas DC-2,45,,1,0,1,1,0,1,NULL,Crashed under unknown circumstances.</t>
  </si>
  <si>
    <t>02/20/1942,,"Off Belmont, Brisbane, Australia",Qantas,,Brisbane - Darwin,deHavilland DH-86,VH-USE,2309,9,7,2,9,7,2,0,Crashed shortly after takeoff from Archerfield Airfiield  into a hillside. Suffered structural failure while flying in adverse weather conditons of wind and low overcast.</t>
  </si>
  <si>
    <t>02/28/1942,,Indian Ocean,British Overseas Airways,,"Java - Broom, Australia",Short S-23 (flying boat),G-AETZ,S-842,20,16,4,20,16,4,0,Shot down by Japanese military aircraft about 150 miles from Java.</t>
  </si>
  <si>
    <t>03/03/1942,,"Wyndham, Australia",KNILM,,Java - Australia,Douglas DC-3,PK-AFV,1965,12,8,4,8,NULL,NULL,0,Shot down by Japanese military aircraft.</t>
  </si>
  <si>
    <t>03/03/1942,,"Off Broome, Australia",Military - U.S. Army Air Force,, Broome - Kupang,Consolidated B-24 Liberator,40-2370,6,21,19,2,20,18,2,0,Shot down shortly after taking off by a Japanese fighter.</t>
  </si>
  <si>
    <t>03/14/1942,21:30,"Kunming, China",China National Aviation Corporation,,Kunming - Chungking,Douglas DC-2-221,31,1567,17,14,3,13,10,3,0,"Crashed 2 km from the Kunming Airdome shortly after takeoff.  Possible causes include engine failure,  overloading, sabotage and temporary blinding by a bright light."</t>
  </si>
  <si>
    <t>04/21/1942,21:27,"Pine Creek, Australia",Guinea Airways Limited,,Brisbane - Bachelor Field,Lockheed 14 Electra,VH-ADY,,12,10,2,12,10,2,0,"The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</si>
  <si>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05/01/1942,23:00,"Salt Lake City, Utah",United Air Lines,4,San Francisco - New York City,Douglas DST-A-207A,NC18146,1978,17,14,3,17,14,3,0,"After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</si>
  <si>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05/12/1942,11:51,"Miles City, Montana",Northwest Orient Airlines,1,Chicago - Seattle,Douglas DC-3-A-269,NC 21714,2129,14,10,4,3,0,3,0,"The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</si>
  <si>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05/19/1942,,"Near Rome, Italy",LATI,,"Rome - Tripoli, Lybia",Savoia-Marchetti SM-75,I-MELE,32052,20,16,4,20,16,4,0,"Stalled, struck trees, crashed and burned immediately after takeoff."</t>
  </si>
  <si>
    <t>07/01/1942,12:00,"Near Premier, West Virginia",Military - U.S. Army Air Forces,,Battle Creek - Cincinnati - Florence,Douglas C-49E,42-56093,1976,21,19,2,21,19,2,0,"Flew into a thunderstorm and was observed in a near vertical dive before crashing to the ground.  Icing, possible overloading."</t>
  </si>
  <si>
    <t>07/07/1942,,"Off Broken Head, Australia",Military - Royal Australian Air Force,,Horn Island - Amberley,Lockheed Hudson,A16-198,414-6463,10,0,10,10,0,10,0,"While approaching Amberley at night, the crew became lost and continued south. After running out of fuel, the aircraft crashed into the sea some 3 km off Broken Head and sunk."</t>
  </si>
  <si>
    <t>07/20/1942,,"Llanfair, England",Military - Royal Air Force,,Sydenham - Hendon,Lockheed Hudson,N7253, 414-1649,13,10,3,13,10,3,0,The aircraft went out of control while flying in thunderstorm activity and may have been struck by lightning.</t>
  </si>
  <si>
    <t>08/13/1942,,"Algiers, Algeria",Air France,,,Liore et Olivier H-246 Air Boat,F-AREJ,403,10,6,4,4,4,0,0,Attacked by Royal Air Force fighters.  Crashed in the water while attempting to land and sank.</t>
  </si>
  <si>
    <t>08/21/1942,,,Deutsche Lufthansa,,,Siebel Si-204,,,4,2,2,4,2,2,0,"Lufthansa chairman, Von Gablenz killed."</t>
  </si>
  <si>
    <t>08/22/1942,13:00,Trinidad,KLM Royal Dutch Airlines,,Trinidad - Curacao,Lockheed 14 Electra,PJ-AIP,1410,13,10,3,13,10,3,0," Shortly after taking off all radio contact was lost with the aircraft. Next day, the wreckage was found near the airport. The cause was never determined. Possible encounter with a severe thunderstorm."</t>
  </si>
  <si>
    <t>08/23/1942,13:42,"Near Dunbeath, Scotland",Military - Royal Air Force,,Oban - Invergordon - Keflavik,Short Sunderland,W4026,,15,11,4,14,10,4,0,"The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</si>
  <si>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09/24/1942,,Off West Africa,British Overseas Airways,,Lagos - Bathurst - Lisbon - Poole,Short S-30 (flying boat),G-AFCZ,S-885,19,13,6,19,13,6,0,"Possible catastrophic in-flight fire possibly related to the design of its fuel-intake system, 90 minutes after departure."</t>
  </si>
  <si>
    <t>09/27/1942,,"Ameur el Ain, Algeria",Air France,,"Marseille, France - Dakar, Senegal",Dewoitine D-342,F-ARIZ,01,25,18,7,25,18,7,0,Crashed during takeoff after an in-flight failure of a wing.</t>
  </si>
  <si>
    <t>09/28/1942,09:00,"Near Sao Paulo, Brazil",Panair do Brasil SA,,Rio de Janeiro - Sao Paulo,Lockheed 18 Loadstar,PP-PBG,2081,15,11,4,15,11,4,0,"Struck a mountain, 5 miles from its destination in adverse weather."</t>
  </si>
  <si>
    <t>10/01/1942,,"Kunming, China",China National Aviation Corporation,,,Douglas C-47,69,,NULL,NULL,NULL,NULL,NULL,NULL,NULL,Crashed while attempting to land after losing oil pressure on one engine.</t>
  </si>
  <si>
    <t>10/01/1942,09:30,"Near Coamo, Puerto Rico",Military - U.S. Army Air Forces,,Juana DÃ­az-Losey Field - San Juan,Douglas C-39-DO  (DC-2),38-524,2081,22,17,5,22,17,5,0,The aircraft made a wide descending turn with engines running roughly and crashed into a hill in poor visibility.</t>
  </si>
  <si>
    <t>10/03/1942,19:05,"Botwood, Newfoundland",American Export Airlines,71,"New York - Botwood - Foynes, Ireland",Sirkorsky 44A (flying boat),NC41880,4401,37,26,11,11,6,5,0,"While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</si>
  <si>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10/22/1942,13:40," Yanaul, Russia",Aeroflot,,Moscow - Kazan - Sverdlovsk,GVF PS-84,CCCP-L3903,505,12,7,5,10,5,5,0,Crashed while on final approach. Icing. Incorrect weather conditions supplied to crew.</t>
  </si>
  <si>
    <t>10/22/1942,,"Budapest, Romania",Deutsche Lufthansa,7208, Budapest - Belgrade,Junkers JU-52/3m,D-AYGX,7208,17,14,3,17,14,3,0,The aircraft struck the north slope of Mt. Fruka Gora. Improper weather information provided to the crew.</t>
  </si>
  <si>
    <t>10/23/1942,17:15,"Palm Springs, California",American Airlines / Military - USAF,28,Palm Springs - New York City,Douglas DC-3 / Lockheed B-34,NC16017,1555,13,10,3,12,10,2,0,"Midair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</si>
  <si>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10/24/1942,," La Esperanza, Colombia",Avianca,,,Boeing 247,C-144,1949,6,4,2,6,4,2,0,Struck a mouintian 8km from La Esperanza.</t>
  </si>
  <si>
    <t>10/30/1942,,Norway,Military - Royal Air Force,,,Handley Page HP-57 Halifax,W7773,,10,7,3,10,7,3,0,"After a flight of ten hours, while overflying the south part of Norway, the bomber was shot down by enemy fire and crashed."</t>
  </si>
  <si>
    <t>11/17/1942,,"Near Kranoyarsk, Russia",Kranoyarskie Vozhjushnye Trassy,,Kranoyarsk - Kirensk,Grazhdansky Vozdushnyi Flot PS-84,CCCP-L-3965,1841703,20,16,4,20,16,4,0,Stalled immediately after becoming airborne and crashed. Icing.</t>
  </si>
  <si>
    <t>12/12/1942,,"Near Tashkent, Russia",Aeroflot,,Chardzhou - Tashkent,Tupolev A.N.T. 20bis,SSSR-L-760,,36,30,6,36,30,6,0,"While attempting to land, the attitude of the plane became almost vertical after which it dove into the ground and exploded. It was reported that after the captain left his seat a passenger disengaged the autopilot and assumed control of the plane."</t>
  </si>
  <si>
    <t>12/15/1942,01:22,"Fairfield, Utah",Western Airlines,1,Salt Lake - Las Vegas - Burbank,Douglas DC-3A,NC16060,1900,19,15,4,17,13,4,0,"Crashed after performing a violent maneuver.  Failure of the left, or possibly both wing tips and of the horizontal  tail  surfaces as a result of a sever pull-up which caused unusual and  abnormally high air loads. The reason the pull-up maneuver was not determined."</t>
  </si>
  <si>
    <t>12/19/1942,16:00,"Near Vienna, Austria",DDL,,"Copenhagen, Denmark - Budapest, Hungary",Junkers JU-52/3m,OY-DAL,5610,16,13,3,2,2,0,0,Crashed 2 km from the airport  while attempting to land at Vienna to refuel.</t>
  </si>
  <si>
    <t>12/20/1942,19:00,"Near Chilliwack, British Columbia, Canada",Canadian Pacific Air Lines,,Prince George - Vancouver,Lockheed 14-H2 Super Electra,CF-CPD,1504,13,10,3,13,10,3,0,"Crashed into the slopes of M.t Cheam at 7,000 feet. Possible complete electrical failure resulting in the deviation from the prescribed route."</t>
  </si>
  <si>
    <t>01/09/1943,10:30,"Near Cabo Ruivo, Marine Base, Lisbon, Portugal",British Overseas Airways,,Lisbon - London,Short S-26 (flying boat),G-AFCK,S-873,15,11,4,13,10,3,0,Crashed into the River Tagus after a fire broke out aboard the plane. While attempting an emergency landing the ship porpoised and slamed back down and broke up. The separation of a cylinder may have thrown out oil and started the blaze.</t>
  </si>
  <si>
    <t>01/15/1943,,"Near Paramarino, Dutch Guyana",Military - U.S. Army Air Forces,,,Douglas C-54A,42-32939,3114,35,26,9,35,26,9,0,Exploded in mid-air and crashed along the coast of South American while en route to Africa.</t>
  </si>
  <si>
    <t>01/18/1943,23:00,"Off the Brazilian coast,  Atlantic Ocean",Military - U.S. Army Air Forces,,"Accra, Ghana - Natal, Brazil",Consolidated C-87,41-1708,204,26,20,6,26,20,6,0,Disappeared while en route. Life boats with dead bodies found 100 km away.</t>
  </si>
  <si>
    <t>01/21/1943,07:30,"Ukiah, California",Pan American World Airways,V-1104,Honolulu - San Francisco,Martin M-130 (flying boat),NC14715,557,19,10,9,19,10,9,0,"Flew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</si>
  <si>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01/22/1943,15:15,"Near Chaparra, Peru",Pan American Grace Airlines,9,S Santiago de Chile - Arequipa - Lima,Douglas DC-3A,NC33645,4124,15,11,4,14,10,4,0,"The aircraft crashed into the Mt. Chaparra in the Andes mountains while en route.  Action of the pilot in continuing the flight on instruments in the overcast, contrary to company flight procedure of which, according to the evidence, the pilot was aware."</t>
  </si>
  <si>
    <t>02/09/1943,,"Near Gander, Newfoundland",British Overseas Airways,,,Consolidated 32-3 Liberator II,AL-591,,21,NULL,NULL,19,NULL,NULL,0,Ran out of fuel.</t>
  </si>
  <si>
    <t>02/18/1943,12:30,"Seattle, Washington",Private - Boeing Aircraft Company,,Test flight,Boeing XB-29,41-3,,10,0,10,10,0,10,20,"Lost altitude, struck power lines and crashed into a packing house after encountering an engine fire on a test flight."</t>
  </si>
  <si>
    <t>02/22/1943,06:47,"Lisbon, Portugal",Pan American World Airways,9035,New York - Hamilton - Horta - Lisbon - Marseille,Boeing B-314 (flying boat),NC18603,1990,39,33,6,25,20,5,0,"Crashed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</si>
  <si>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03/11/1943,,"Luishui, China",China National Aviation Corporation,,Kunming - Assam,Douglas C-53,53,,3,0,3,3,0,3,0,The cargo plane was caught in a downdraft in a mountain pass en route and crashed.</t>
  </si>
  <si>
    <t>03/13/1943,,"Himalaya, China",China National Aviation Corporation,,Kunming - Dinjan,Douglas C-53,49,,3,0,3,3,0,3,0,Disappeared over the Himalayas.</t>
  </si>
  <si>
    <t>03/27/1943,05:15,"Archerfield Aerodrome, Queensland, Australia",Military - Royal Australian Air Force,,Brisbane - Sydney,Douglas C-47-DL,A65-2,6149,24,20,4,24,20,4,0,"The aircraft, taking off in darkness and poor visibility, crashed in heavy timber and caught fire."</t>
  </si>
  <si>
    <t>04/04/1943,01:40,North Sea,British Overseas Airways,,"Stockholm, Sweden - RAF Leuchars, Scotland",Lockheed C-56B Lodestar,G-AGEJ,2085,7,4,3,7,4,3,0,"Shot down  by German fighters, 30 miles from Skagen, Denmark"</t>
  </si>
  <si>
    <t>04/22/1943,20:00,"Off Port Moresby, New Guinea",Qantas,, Townsville - Port Moresby,Short S-23,VH-ADU,S-844,31,27,4,13,11,2,0,Stalled and crashed in poor weather into the water during an emergency landing on the open sea. Broke up in heavy seas.</t>
  </si>
  <si>
    <t>06/01/1943,11:00,Off the coast of France,British Overseas Airways,777,Lisbon - Bristol,Douglas DC-3,G-AGBB,1590,17,13,4,17,13,4,0,"Shot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</si>
  <si>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06/07/1943,04:00,"Red Springs, North Carolina",Military - U.S. Army Air Forces,,Pope Field - Maxton,Douglas C-47A-DL,42-23512,9374,20,16,4,20,16,4,0,Crashed in thunderstorm activity while attempting to land.</t>
  </si>
  <si>
    <t>06/08/1943,00:55," Noumea,  New Caledonia",Military - US Navy,,Noumea - Sydney,Douglas C-47 Skytrain (DC-3),12406,9178,23,3,20,23,3,20,0,"During the initial climb one engine failed. While attempting an emergency landing, the plane stalled and crashed."</t>
  </si>
  <si>
    <t>06/14/1943,06:00,"Near Mackay, OLD, Australia",Military - U.S. Army Air Forces,,Mackay - Port Moresby,B-17C Flying Fortress,12406,2072,41,35,6,40,34,6,0,The aircraft took off into ground fog and leveled off at an altitude of about 300 feet. The plane stalled and crashed and exploded.</t>
  </si>
  <si>
    <t>06/16/1943,,"Khartoum, Sudan",British Overseas Airways,,,Lockheed Hudson VI,FK-459,,17,NULL,NULL,17,NULL,NULL,0,</t>
  </si>
  <si>
    <t>06/30/1943,,"Khartoum, Sudan",British Overseas Airways,,,Lockheed Hudson VI,FK-618,,16,NULL,NULL,16,NULL,NULL,0,</t>
  </si>
  <si>
    <t>07/04/1943,23:00,Gibraltar,,,,Consolidated Liberator B24 C,A-L-523,,13,NULL,NULL,12,NULL,NULL,0,"The flight, bound for London, crashed into the Mediterranean shortly after takeoff. Wladyslaw Sikorski, prime minister of the Polish government in exile, killed."</t>
  </si>
  <si>
    <t>07/28/1943,05:20,"Brandon Head, Ireland",British Overseas Airways,, Lagos - Lisbon - Foynes,Short S-25 Sunderland 3 (flying boat),G-AGES,,25,18,7,10,9,1,0,The wing struck the side of a mountain as the crew descended from overcast conditions. Pilot error. The captain descended without obtaining bearings from the ground to determine his position accurately.</t>
  </si>
  <si>
    <t>07/28/1943,22:43,"Trammel, Kentucky",American Airlines,63,Cleveland - Memphis,Douglas DC-3,NC16014,1552,22,18,4,20,16,4,0,"The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</si>
  <si>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08/01/1943,15:00,"Ploesti, Romania",Military - U.S. Army Air Forces,,Bombing run,Consolidated B-24,,,10,0,10,10,0,10,63,Crashed into a women's prison after being hit by anti-aircraft fire while on a bombing run.</t>
  </si>
  <si>
    <t>08/07/1943,05:20,"Off Townsville, Australia",Military - U.S. Air Force,,Townsville - Brisbane,Douglas C-47-DL,41-7733,4212,27,23,4,27,23,4,0,Twenty minutes after taking off the aircraft crashed into Cleveland Bay several miles offshore.</t>
  </si>
  <si>
    <t>08/11/1943,,"Fort Hertz, China",China National Aviation Corporation,,,Douglas C-53,48,,3,0,3,3,0,3,0,The cargo plane was shot down by Japanese fighters.</t>
  </si>
  <si>
    <t>08/14/1943,04:12,"Rhodes, Greece",LATI,,,Savoia-Marchetti SM.75, I-BETA,001,17,13,4,17,13,4,0,While taking off the aircraft lost control and crashed offshore.</t>
  </si>
  <si>
    <t>08/27/1943,09:00,"Rio de Janeiro, Brazil",VASP,,Sao Paulo - Rio de Janeiro,Junkers JU-52/3m,PP-SPD,5459,21,18,3,18,18,3,0,"Struck a Naval Academy building while attemptin to take off in heavy fog.  The plane then broke in two and fell into the harbor. The plane was named ""City of Rio de Janiero."""</t>
  </si>
  <si>
    <t>08/27/1943,23:41,North Sea,AB Aerotransport,,Aberdeen - Stockholm,Douglas DC-3,SE-BAF,2133,7,3,4,7,3,4,0,"Shot down by German military aircraft and crashed 70 km west of Hirsthals, Denmark."</t>
  </si>
  <si>
    <t>09/10/1943,16:00,"Off Galveston, Texas",Military - U.S. Army Air Forces,,,Boeing B-17F / Boeing B-17F,42-4621/42-6031,,22,0,22,22,0,22,0,Midair collision over the Gulf of Mexico while flying in formation. Eleven killed on each plane.</t>
  </si>
  <si>
    <t>09/20/1943,08:50,"Near Maxton, North Carolina",Military - U.S. Army Air Forces,,Maxton - Godman,Douglas C-53D-DO,42-68729,11656,25,21,4,25,21,4,0,Crashed into a wooded area after nearly colliding with a glider being towed by another aircraft.  The evasive maneuver caused the aircraft to stall and crash.</t>
  </si>
  <si>
    <t>09/22/1943,06:00,"Near Calcutta, India",Military - U.S. Army Air Forces,,,Douglas C-53,42-6471,4923,20,15,5,20,15,5,0,Cashed into trees shortly after taking off.</t>
  </si>
  <si>
    <t>10/15/1943,23:17,"Near Centerville, Tennessee",American Airlines,63,Nashville - Memphis,Douglas DC3-G102,NC16088,1588,15,11,4,15,11,4,0,"The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</si>
  <si>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10/19/1943,02:45,"St. Donat, Quebec, Canada",Military - Royal Canadian Air Force,,Gander - Mont-Joli,Consolidated B-24,3701,1031,24,20,4,24,20,4,0,"The plane crashed in a snowstorm, on a cliff near the summit of Black Mountain, 60 miles north of its destination, Montreal. The wreckage was located three years later."</t>
  </si>
  <si>
    <t>10/22/1943,23:03,"Hallo, Sweden",AB Aerotransport,,Aberdeen - Stockholm,Douglas DC-3,SE-BAG,2132,15,12,3,13,12,3,0,"Shot down by a Ju88, German military aircraft. While attempting to ditch the plane the aircraft hit a cliff."</t>
  </si>
  <si>
    <t>10/22/1943,20:20,"Columbus, Georgia",Military - U.S. Army Air Forces,,,Douglas C-47-DL,42-5677,7371,20,15,5,20,15,5,0,Stalled when it was making a descending turn during a parachute exercise.</t>
  </si>
  <si>
    <t>11/05/1943,22:45,Eastern Libya,British Overseas Airways,,Cairo - Djerba - Poole,Short Sunderland 3,G-AGIB,,19,10,9,19,10,9,0,Crashed after an In-flight fire started behind one of the engines.</t>
  </si>
  <si>
    <t>11/08/1943,,"Poona, India",Military - Indian Air Force,,,NULL,,,1,NULL,NULL,1,NULL,NULL,37,Crashed into a village.</t>
  </si>
  <si>
    <t>11/19/1943,,"Kunming, China",China National Aviation Corporation,,,Douglas C-53,59,,3,0,3,2,0,2,0,The cargo plane crashed short of the runway in poor weather conditions.</t>
  </si>
  <si>
    <t>11/19/1943,,"Kunming, China",China National Aviation Corporation,,,Douglas C-47,63,,3,0,3,3,0,3,0,A navigational error caused the cargo plane to strike a mountain.</t>
  </si>
  <si>
    <t>11/26/1943,04:15,"Port Moresby, New Guinea",Qantas,,"Port Moresby - Townsville,, Queensland, Australia",Lockheed L-18-56 Lodestar,VH-CAB,,15,11,4,15,11,4,0,Flew into a hill shortly after talking off from Ward's Strip operated by Qantas for Allied Directorate of Air Transport.</t>
  </si>
  <si>
    <t>12/17/1943,22:45,"Off Montrose, Scotland",British Overseas Airways,,Stockholm - Leuchars,Lockheed 18-56 Lodestar,G-AGdE,2086,10,7,3,10,7,3,0,Went out of control from cruising altiude and crashed into the sea. Icing.</t>
  </si>
  <si>
    <t>12/18/1943,,"Suifu, China",China National Aviation Corporation,,,Douglas C-47,83,,3,0,3,3,0,3,0,The cargo plane struck a mountain while attempting a go-around.</t>
  </si>
  <si>
    <t>12/19/1943,09:20,"Canal Creek, Australia",Military - U.S. Air Force,,Townsville - Rockhampton - Brisbane,Douglas C-47A-60-DL,43-30742,13893,31,27,4,31,27,4,0,Crashed and exploded while en route.</t>
  </si>
  <si>
    <t>12/29/1943,15:00,"Lakeside, Utah",Military - U.S. Army Air Forces / Military - U.S. Army Air Forces,,Wendover Field - Pocatello AAB,Consolidated B-24 / Consolidated B-24,42-7183/42-7408,,25,0,25,25,0,25,0,A midair collision occurred while on a cross-country flight flying in formation. Twelve kiled aboard 4207183 and thirteen aboard 42-7408. Faulty flying technique displayed by the pilot of 42-7183.</t>
  </si>
  <si>
    <t>01/15/1944,13:45,"Belgrad, Yugoslavia",Deutsche Lufthansa,,Thessaloniki - Belgrade,Junkers JU-52/3m,D-ADQW,640610,5,3,2,5,3,2,0,While approaching to land the aircraft was too low and hit a hill located 16 km east of the Belgrade-Zemun Airport.</t>
  </si>
  <si>
    <t>02/10/1944,23:36,"Memphis, Tennessee",American Airlines,2,Little Rock - Memphis,Douglas DC-3,NC21767,2166,24,21,3,24,21,3,0,"The aircraft crashed into a river and sank ,18 miles southwest of Memphis, in a snowstorm, while en route from Little Rock. Cause undetermined."</t>
  </si>
  <si>
    <t>02/10/1944,,"Near Quelimane, Mozambique",DETA,,Quelimane - Lourence Marques,Lockheed 14-H2 Super Electra,CR-AAV,,14,10,4,14,10,4,0,Crashed and burned while taking off.</t>
  </si>
  <si>
    <t>02/20/1944,,China,China National Aviation Corporation,,,Douglas C-47,75,,2,0,2,2,0,2,0,The cargo plane flew into a mountain</t>
  </si>
  <si>
    <t>02/21/1944,17:10,"Eubeoa, Greece",Deutsche Lufthansa,,,Junkers JU-52/3m,D-ABAS,6561,16,13,3,16,13,3,0,"After radioing they were returning , the plane went missing and was never found."</t>
  </si>
  <si>
    <t>03/22/1944,,New Guinea,Military - U.S. Army,,Port Moreaby - Nadzab,Consolidated B-24 Liberator,,,21,NULL,NULL,21,NULL,NULL,NULL,Disappeared while en route on a non-combat mission. Wreckage found 39 years later on 4/30/1983.</t>
  </si>
  <si>
    <t>04/06/1944,15:48,"Near Nome, Alaska",Pan American World Airways,,Nome - Fairbanks,Pilgrim 100B,NC742N,,6,3,3,6,3,3,0,Crashed shortly after takeoff in a snow storm. Failure of the pilot to recognize his proximity to the ground due to heavy snow which entirely covered the terrain.</t>
  </si>
  <si>
    <t>04/17/1944,,"Belgrad, Yugoslavia",Deutsche Lufthansa,,Vienna - Belgrade - Sofia - Thessaloniki - Athens,Junkers JU-52/3m,D-AOCA,640996,7,4,3,5,4,1,0,Shot down by allied fighters.</t>
  </si>
  <si>
    <t>04/21/1944,,"Frederikstad, Norway",Deutsche Lufthansa,,Copenhagen - Oslo,Douglas DC-3,D-AAIG,2095,20,17,3,9,6,3,0,Crashed  50 miles from its destination after a signal flare started an onboard fire causing the plane to ditch.</t>
  </si>
  <si>
    <t>04/25/1944,,"Montreal, Canada",Military - Royal Air Force,,"Montreal, Canada - European air base",Consolidated Liberator,,,16,11,5,16,11,5,0,Crashed into a row of houses shortly after taking off from Dorval Airport.</t>
  </si>
  <si>
    <t>05/26/1944,,"Between Calcutta to Dinjan, China",China National Aviation Corporation,,Calcutta - Dinjan,Douglas C-47,82,,12,9,3,12,9,3,0,"While enroute the crew got lost and crashed into 22,000 foot mountain in Tibet. Bad weather prevented the pilot from getting a bearing on any radio station."</t>
  </si>
  <si>
    <t>05/27/1944,,"Off Calcutta, India",China National Aviation Corporation,,,Douglas DC-3,,,14,NULL,NULL,14,NULL,NULL,0,Crashed at sea in poor weather conditions.</t>
  </si>
  <si>
    <t>06/06/1944,01:15,"Barneville, France",Military - U.S. Army Air Forces,,,Douglas C-47A,42-93095,112969,22,18,4,22,18,4,0,Shot down by anti-aircraft fire during the Normandy invasion.</t>
  </si>
  <si>
    <t>06/06/1944,02:00,"Flamanville, France",Military - U.S. Army Air Forces,,,Douglas C-47A,42-100905,19368,22,17,5,22,17,5,0,Shot down by anti-aircraft fire during the Normandy invasion.</t>
  </si>
  <si>
    <t>06/06/1944,01:30,"Carentan, France",Military - U.S. Army Air Forces,,,Douglas C-47A-DL,42-101035,19498,22,18,4,22,18,4,0,Shot down by anti-aircraft fire during the Normandy invasion.</t>
  </si>
  <si>
    <t>06/08/1944,,"Kunming, China",China National Aviation Corporation,,Dijan - Kunming,Douglas C-47,85,,6,0,6,6,0,6,0,"The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</si>
  <si>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06/18/1944,,"Kweilin, China",China National Aviation Corporation,,"Kunming - Chungking,",Douglas C-47,71,,4,1,3,2,1,1,0,"Diverted to Kweilin after Chunking was below minimums. After holding over Kweilin for 3 hours, the aircraft ran out of gas, hit mountain and was demolished."</t>
  </si>
  <si>
    <t>06/20/1944,,"Porto Alegre, Brazil",Varig,,,Lockheed 10C Electra,PP-VAG,1008,10,8,2,10,8,2,0,While on approach the aircraft crashed into the river Guiaba</t>
  </si>
  <si>
    <t>07/11/1944,16:40,"Portland, Maine",Military - U.S. Army,,Barksdale - Portland,Douglas A-26B Invader, 43-22253,18400,2,0,2,2,0,2,19,Smoke and fire was seen coming out of one engine before the aircraft crashed. A wing hit the ground and the plane cartwheeled into the Redbank trailer park.</t>
  </si>
  <si>
    <t>07/23/1944,,"Nineteen miles W of Kokoda, Papua New Guinea",Military - US Navy,,"Cairns or Mareeba, Australia - Los Negros Island",R4D-5,39090, 13859,17,15,2,17,15,2,0,"The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</si>
  <si>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07/26/1944,03:00,North Atlantic Ocean,Military - U.S. Army Air Forces,,"England - Long Island, N.Y.",Douglas C-54A-DO (DC-4),42-107470,7489,26,20,6,26,20,6,0,Disappeared while en route from Iceland to Newfoundland.</t>
  </si>
  <si>
    <t>07/27/1944,16:00,"Port Logan, Scotland",Military - U.S. Army Air Forces,,Bristol - Preswick,Douglas C-47A-DK,42-93038,12905,22,17,5,22,17,5,0,"As the aircraft approached land, it began a climb but was not able to gain sufficient altitude to clear a cloud shrouded cliff."</t>
  </si>
  <si>
    <t>07/31/1944,,"Funafuti, Gilbert Islands, Pacific Ocean",Pan American Airways,,,Consolidated Catalina PB2Y-3R,7233,,24,17,7,22,16,6,0,"While taking off in the dark, the aircraft's wingtip collided with the jackpole mast of an anchored liberty ship which had slipped anchor and drifted, unlighted, into the seaplane area.  The aircraft then spun out of control, and crashed into the ocean and sank."</t>
  </si>
  <si>
    <t>08/03/1944,20:30,"Naper, Nebraska",Military - U.S. Army Air Forces,,"Bruning, NB - Pierre, SD",Douglas C-47A-DL,42-23652,9514,28,24,4,28,24,4,0,Crashed in a severe thunderstorm after possibly being hit by lightning and losing both engines.</t>
  </si>
  <si>
    <t>08/08/1944,13:20,"Off Antilla, Cuba",Pan American World Airways,218,San Juan - Antilla - Miami,Sikorsky S-42 (flying boat),NC823M,4201,31,26,5,17,17,0,0,"Crashed during the third attempt to lift from the water and sank into the ocean. Loss of control due to the captain's inexperience in handling the particular type of aircraft. The aircraft was named ""Hong Kong Clipper."""</t>
  </si>
  <si>
    <t>08/12/1944,18:20,"Blythburgh, England",Military - U.S. Navy,-,,Consolidated PB4Y-1,32271,,2,0,2,2,0,2,0,"Navy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</si>
  <si>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 xml:space="preserve"> it apparently exploded when he armed the switches.  The photographic chase plane had President Franklin Roosevelt's son, Elliot Roosevelt, on board."</t>
  </si>
  <si>
    <t>08/23/1944,10:45,"Freckelton, England",Military - U.S. Air Force,,,Consolidated B-24H,42-50291,,3,0,3,3,0,3,58,The bomber crashed into a school and a cafe while attempting to land at Warton Air Depot in poor weather. The crash occurred during a thunderstorm with heavy rain and winds. Windshear.</t>
  </si>
  <si>
    <t>08/28/1944,01:00,"Preswick, Scotland",Military - U.S. Army Air Forces,,Boston - Gander - Keflavik - Prestwick,Douglas C-54A-DC (DC-4),42-72171,10276,20,14,6,20,14,6,5,Crashed into a roof of a residence in poor visiblility while attemping to land after a trans-Atlantic flilght.</t>
  </si>
  <si>
    <t>08/29/1944,00:02,"Near LidkÃ¶ping, VÃ¤stergÃ¶tland, Swden",British Overseas Airways,,Stockholm - Leuchars,Lockheed 18-56 Loadstar,G-AGIH,2491,15,12,3,11,8,3,0,"While cruising at night, the aircraft crashed into the slopes of Mt. Kinnekulle after diverting towards Gothenburg due to radio problems."</t>
  </si>
  <si>
    <t>08/30/1944,00:00,"Sao Paulo, Brazil",Panair do Brasil,,Rio de Janeiro - Sao Paulo,Lockheed 18 Lodestar,PP-PBI,2114,18,14,4,18,14,4,0,"Crashed in fog, short of the runway, while attempting to land at Congonhas Airport."</t>
  </si>
  <si>
    <t>09/02/1944,,"Belgrad, Yugoslavia",Deutsche Lufthansa,,Athens - Sofia - Belgrade - Vienna,Junkers JU52/3m,D-AUAW,641039,5,2,3,5,2,3,0,Shot down by allied fighters.</t>
  </si>
  <si>
    <t>09/07/1944,,"Near Mossman, Queensland, Australia",Military - Royal Netherlands East Indies Air Force,,Merauke -- Cairns,C-47 Dakota DT-941,VH-RDK,12880,20,16,4,20,16,4,0,"The plane went missing while en route from Merauke to Cairns. The last radio contact was 15 minutes before ETA.  A scientific expedition found the wreckage in January 1989, 65 km northwest from Cairns at a height of 1,200 meters."</t>
  </si>
  <si>
    <t>09/17/1944,21:20,"Copeland, Kansas",Military - U.S. Army,,,Consolidated B-24 Liberator,,,13,0,13,13,0,13,2,The bomber crashed into a farmhouse.</t>
  </si>
  <si>
    <t>09/18/1944,07:42,Alaska,U. S. Air Force,,"Elmindorf AFB, Anchorage - Ladd Field, Fairbanks",Douglas C-47A-90-DL,43-15738,20204,19,16,3,19,16,3,0,Struck the side of a mountain while in full flight. Cause unknown but weather conditions suspected.</t>
  </si>
  <si>
    <t>09/21/1944,,"Rio Doce, Brazil",Panair do Brasil,,Rio de Janeiro - Belem,Lockheed 18 Lodestar,PP-PBH,2113,17,13,4,17,13,4,0,"While en route, the right engine failed, forcing the crew to reduce their altitude in an attempt to make an emergency landing. Eventually, the aircraft went out of control and crashed."</t>
  </si>
  <si>
    <t>09/27/1944,20:30,"Near Dijon, France",Deutsche Lufthansa,,Stuttgart - Barcelona,Focke-Wulf FW 200,D-AMHL,200021,9,5,4,9,5,4,0,Missing on a flight from France to Spain. Shot down by an American Bristol Beau allied night fighter.</t>
  </si>
  <si>
    <t>10/07/1944,,"Near Sadiya, India",China National Aviation Corporation,,Dinjan - Suifu,Douglas C-47,101,,3,0,3,3,0,3,0,Both wing of the cargo plane separated from the fuselage after the aircraft penetrated a thunderstorm.</t>
  </si>
  <si>
    <t>10/10/1944,,Bosnia,Deutsche Lufthansa,,,Junkers JU-52/3m,D-AUSS,641382,7,4,3,7,4,3,0,</t>
  </si>
  <si>
    <t>10/11/1944,,"Sydney, Australia",Qantas,,,Short S-23 (flying boat),VH-ABB,S-877,30,NULL,NULL,1,NULL,NULL,0,"On final approach with one engine shut-down, stalled 10 ft above the water and hull ruptured on impact."</t>
  </si>
  <si>
    <t>10/11/1944,07:30,"Sydney, Australia",Qantas,,Sydney - Townsville,Short S.23 Empire Flying Boat,VH-ABB,S-877,29,22,7,1,1,0,0,While landing on the water the plane broke up and sank. One passenger drowned.</t>
  </si>
  <si>
    <t>10/16/1944,20:25,"Telemark, Norway",Deutsche Lufthansa,,Frankfurt - Berlin - Hamburg - Copenhagen - Oslo,Junkers JU-52/3m,D-ADQV,640608,15,12,3,15,12,3,0,Crashed into Mt Skorvefjell in poor weather conditions.</t>
  </si>
  <si>
    <t>10/17/1944,07:40," Komarom,, Hungary",Deutsche Lufthansa,,,Junkers JU-52/3m,D-ASHE,640601,9,6,3,1,1,0,0,Shot down by British Mosquito fighters.</t>
  </si>
  <si>
    <t>10/18/1944,15:40,"Birkenhead, England",Military - U.S. Army Air Forces,,Liverpool - New York,Consolidated B24H,42-50347,,24,19,5,24,19,5,0,Broke-up in flight either due to an explosion or catastrophic structural failure of the aircraft.</t>
  </si>
  <si>
    <t>11/04/1944,17:15,"Hanford, California",Trans Continental and Western Air,8,San Francisco - New York City,Douglas DC-3,NC28310,2251,24,21,3,24,21,3,0,"The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</si>
  <si>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11/06/1944,,"Jacksonville, Florida",Military - US Navy,,,Douglas C-47 Skytrain (DC-3),39063,9941,17,14,3,17,14,3,0,Colllided with a Navy Goodyear FG-1A Corsair airship.</t>
  </si>
  <si>
    <t>11/09/1944,,"Seljord, Norway",Military - U.S. Army Air Corps,,,NULL,42-52196,,NULL,NULL,NULL,NULL,NULL,NULL,NULL,</t>
  </si>
  <si>
    <t>11/10/1944,,"Near Kumming, Yunan, China",CATC,,,Lockheed Hudson,,,20,17,3,20,17,3,0,Crashed while attempting to land.</t>
  </si>
  <si>
    <t>11/19/1944,15:10,"Lewes, England",Military - U.S. Army Air Forces,,Chateaudun - Greenham Common,Douglas C-47A-DL,43-15046,19512,30,25,5,25,20,5,0,"Flying in low overcast, the aircraft struck a hill, exploded and burned."</t>
  </si>
  <si>
    <t>11/29/1944,,"Nairobi, Kenya",BOAC,,Cairo - Juba - Nairobi - Salisbury,Lockheed 18 LodeStar,G-AGBW,,11,7,4,11,7,4,0,"Crashed in the Aberdare Mountains, 50 miles from it's destination after entering a thunderstorm. The wreckage was not located for a month."</t>
  </si>
  <si>
    <t>11/29/1944,15:00,"Tegucigalpa, Nicaragua",TACA,,Near Tegucigalpa - San Pedro Sula,Ford 5-AT-B Tri-Motor,XH-TAN,,16,14,2,16,14,2,0,Crashed while en route. Failure of a wing probably having been weakened by viabration turbulence and constant operation on rough fields.</t>
  </si>
  <si>
    <t>11/29/1944,10:25,"Off Falsterbo, Sweden",Deutsche Lufthansa,,"Stockholm, Sweden - Berlin Germany",Focke-Wulf FW 200,D-ARHW,2994,10,6,4,10,6,4,0,Shot down by a German patrol boat.</t>
  </si>
  <si>
    <t>11/30/1944,,"Dinjan, China",China National Aviation Corporation,,,Douglas C-47,56,,3,0,3,3,0,3,0,The cargo plane flew into Digboi Mountain after losing both engines.</t>
  </si>
  <si>
    <t>12/01/1944,00:54,"Van Nuys, California",Trans Continental and Western Air,13,San Francisco - Burbank - New York City,Douglas DC-3,NC17322,1965,17,14,3,9,6,3,0,The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</si>
  <si>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12/03/1944,,Atlantic Ocean,Trans-Canada Air Lines,,,Avro 683 Lancaster,CF-CMU,,5,NULL,NULL,5,NULL,NULL,0,</t>
  </si>
  <si>
    <t>12/07/1944,15:15," Orlivka, Ukraine",Aeroflot,,Chisinau - Kiev - Moscow,Lisunov LI-2,CCCP-L4161,1849106,16,11,5,16,11,5,0,Crashed in a revine in fog. Wrong decision on part of the crew to reduce their altitude and flying in minima weather conditions.</t>
  </si>
  <si>
    <t>12/15/1944,14:00,English Channel,Military - U.S. Army Air Forces,,"Twinwood, England - Villacoublay, France",UC-64A Noorduyn Norseman,44-70286,550,3,2,1,3,2,1,0,"Disappeared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</si>
  <si>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01/06/1945,,"Near Dinjan, India",China National Aviation Corporation,,Kunming - Tengchung,Douglas C-47,77,,4,0,4,4,0,4,0,The cargo plane crashed in strong winds</t>
  </si>
  <si>
    <t>01/08/1945,21:16,"Port of Spain, Trinidad",Pan American World Airways,161,Miami - Leopoldville,Martin M-130 (flying boat),NC14716,558,30,NULL,NULL,23,NULL,NULL,0,"The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</si>
  <si>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01/10/1945,04:10,"Burbank, California",American Airlines,6001,"New York City - Juarez, Mexico - Burbank",Douglas DC-3,NC25684,2215,24,21,3,24,21,3,0,"The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</si>
  <si>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01/14/1945,,China,China National Aviation Corporation,,,Douglas C-47,70,,6,0,6,4,0,4,0,The cargo plane struck a mountain.</t>
  </si>
  <si>
    <t>01/16/1945,,"Near Kunming, China",China National Aviation Corporation,,Chongqing - Kunming,Douglas C-47,,,3,0,3,3,0,3,0,</t>
  </si>
  <si>
    <t>01/23/1945,,"Timor, Indonesia",Military - Royal Australian Air Force,,,Consolidated Liberator,A72-70,,11,NULL,NULL,11,NULL,NULL,0,</t>
  </si>
  <si>
    <t>01/31/1945,08:25,"Redesdale, Australia",Australian National Airways,,Melbourne - Kerang - Mildura - Broken Hill,Stinson Model A,VH-UYY,9130,10,8,2,10,8,2,0,Crashed while en route from Melbourne to Broken Hill. Believed caused by metal fatigue in the outer port wing which broke off during severe turbulence.</t>
  </si>
  <si>
    <t>02/02/1945,10:15,"Near Montieri, Italy",Military - U.S. Army Air Forces,,Florence - Rome,Douglas C-47-DL,41-18603,4728,26,22,4,23,21,2,0,Crashed into a mountain after encountering a fog bank and not climbing in sufficient time to avoid the terrain.</t>
  </si>
  <si>
    <t>02/06/1945,10:05,"Nunters Burgh, England",Military -Royal Air Force,,Thorney Island - Amiens,Douglas C-47 Dakota,KG630,13390,23,19,4,23,19,4,0,Struck a mountain while flying in low clouds and poor visibility.</t>
  </si>
  <si>
    <t>02/13/1945,06:30,"Off Oakland, California",Military - U.S. Navy,,,Douglas R4D-6,50765,14848/26293,24,21,3,24,21,3,0,Crashed into San Francisco bay shortly after taking off. The right wing struck to water as the plane made a wide turn. Malfunction of the gyro.</t>
  </si>
  <si>
    <t>02/15/1945,,"Lagoa Santa, Brazil",Navegacao Aerea Brasileira,,,Lockheed 18 Loadstar,PP-NAE,2149,11,7,4,11,7,4,0,Crashed while en route.</t>
  </si>
  <si>
    <t>02/23/1945,,"Snezka mountains, Poland",Military - German Army,,,Junkers 52/3m, 4V+DR, 6820,8,8,0,8,8,0,0,Crashed in the Snezka mountains during an ice storm.</t>
  </si>
  <si>
    <t>02/23/1945,,"Casablanca, Morocco",Military - United States Army Air Force,,,Curtiss C-46A,42-107377,27064,30,26,4,13,13,0,0,</t>
  </si>
  <si>
    <t>02/23/1945,02:25,"Marion, Virginia",American Airlines,9,New York City - Los Angeles,Douglas DC-3,NC18142,2138,22,19,3,17,15,2,0,"The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</si>
  <si>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03/27/1945,,"Coral Sea, off Australia",Military - U.S. Air Force,,Cooktown - Finschafen,Douglas C-47A-90-DL,43-16011,20477,24,20,4,24,20,4,0,Disappeared en route.</t>
  </si>
  <si>
    <t>04/09/1945,,"Kunming, China",China National Aviation Corporation,,Kunming - Sichang,Douglas C-47,88,,3,0,3,3,0,3,0,The cargo plane struck a mountain in the Himalayas under poor weather conditions.</t>
  </si>
  <si>
    <t>04/14/1945,16:58,"Morgantown, West Virginia",Pennsylvania Central Airlines,142,Pittsburgh - Morgantown,Douglas DC-3,NC25692,2262,20,17,3,20,17,3,0,"The aircraft crashed against the slope of Cheat Mountain at 2,100 ft., 7 miles east northeast of Morgantown. The action of the pilot in continuing flight over mountainous terrain under instrument conditions, below the minimum authorized instrument altitude."</t>
  </si>
  <si>
    <t>04/19/1945,05:35,"Near Perth, Australia",Military - U.S. Navy,,Perth - Adelaide,Douglas DC-3,39067, 10017,13,11,2,13,11,2,0,Failed to gain altitude while taking off. The transport crashed into a hillside as it took off in heavy fog at Guildford Airport.</t>
  </si>
  <si>
    <t>04/20/1945,06:40,"Sweetwater, Texas",Military - U.S. Army Air Forces,,"Midland, TX - Nashville, TN",Douglas C-47-DL,41-18451,4513,25,22,3,25,22,3,0,Broke-up after entering an area of thunderstorms. Initial structural failure involved the elevator followed by the entire aircraft.</t>
  </si>
  <si>
    <t>04/20/1945,,"Near Steinreich, Germany",Lufthansa,,Berlin - Prague - Vienna - Munich,Junkers JU-53/3m,D-ANAJ,,20,17,3,18,15,3,0,Missing on an evacuation flight from Berlin to Munich. Shot down by Soviet forces south of Berlin.</t>
  </si>
  <si>
    <t>04/21/1945,22:05,"Near Piesenkofen, Germany",Deutsche Lufthansa,,Berlin - Munich,Focke-Wulf FW 200,D-ASHH,,21,16,5,21,16,5,0,Shot down by Allied forces 50 miles from its destination.</t>
  </si>
  <si>
    <t>04/23/1945,,"North Barrule, Isle of Man, England",Military - U.S. Air Force,,Ridgewell - Nutts Corner,B17G Flying Fortress,43-38856,9834,31,26,5,31,26,5,0,"While cruising at an altitude of 2,000 feet, the aircraft hit the slope of Mt North Barrule located 2 miles south of Ramsey."</t>
  </si>
  <si>
    <t>04/27/1945,12:40,Washington D.C.,Page Airways,,Washington - New York,Lockheed 18 Lodestar,NC33328,2221,13,11,2,6,6,0,0,"Lost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</si>
  <si>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05/05/1945,22:26,"Manus Island, New Guinea",Military - U.S. Army Air Forces,,Lorengau - Biak,Douglas C-54E-DO (DC-4),44-9043,27269,21,15,6,21,15,6,0,Crashed into a wooded area shortly after taking off from Sorido airstrip at night. Cause unknown.</t>
  </si>
  <si>
    <t>05/06/1945,12:55,"Hindhead, England",Military - U.S. Army Air Forces,,,Curtiss-Wright C-46D-CU,44-77839,33235,30,25,5,30,25,5,1,"Flying low because of poor visiblity, the aircraft struck a radar tower, lost its right wing, crashed and burned. Pilot error. Flying VFR in IFR conditions."</t>
  </si>
  <si>
    <t>05/09/1945,01:30,"Roye, France",Military -Royal Air Force,,England - Brussels,Avro Lancaster,RF230,,31,25,6,31,25,6,0,The aircraft went in to a spin and crashed in a wooded area and caught fire.</t>
  </si>
  <si>
    <t>05/13/1945,15:00,"Iran Jayas, New Guinea",Military - U.S. Army Air Forces,,,Douglas C-47B-DK,43-49788,27049,23,19,4,20,16,4,0,"Crashed into a mountain at 7,000 feet. Three passengers rescued two weeks later. All occupants were members of the women's military corps of the US Army."</t>
  </si>
  <si>
    <t>05/30/1945,09:20,"Off Drewin, Ivory Coast",Military - U.S. Army Air Forces,,"Accra, Ghana - Monrovia, Liberia",Douglas C-47B-dK,44-76406,32738,21,18,3,21,18,3,0,Disappeared off the Atlantic coast after sending a distress message. A witness observed the plane hit the water at a 45 degree angle. No wreckage or bodies were ever found.</t>
  </si>
  <si>
    <t>06/15/1945,,China,China National Aviation Corporation,,,Douglas C-47,81,,3,0,3,3,0,3,0,"The aircraft crashed into a mountain in the Carstenz Range at an altitude of 14,200 ft. The wreckage was discovered in December 1970."</t>
  </si>
  <si>
    <t>06/24/1945,10:30,"Gealdton, Australia",Mac Robertson Miller Airlines,,Perth - Geraldton - Carnarvon - Port Hedland,de Havilland DH-86A,VH-USF,2310,11,9,2,2,1,1,0,"The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</si>
  <si>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06/25/1945,07:50,"Swanage, England",Military -Royal Air Force,,,Consolidated LB-30A Liberator,JT985,,27,NULL,NULL,27,NULL,NULL,0,Crashed and burned on a hillside after experiencing engine failure.</t>
  </si>
  <si>
    <t>06/29/1945,,"Bangalore, India",Military - Royal Indian Air Force,,,NULL,,,2,NULL,NULL,2,NULL,NULL,36,Crashed into a village exploding and destoying several houses.</t>
  </si>
  <si>
    <t>06/30/1945,,Texas,Military - U.S. Air Force,,,Boeing TB-29A Super Fortress,44-69943,,12,NULL,NULL,12,NULL,NULL,0,</t>
  </si>
  <si>
    <t>07/04/1945,,North Atlantic Ocean,Military -Royal Air Force,,Montreal - Gander - Keflavik - Prestwick - Northolt,Consolidated LB-30A Liberator,JT982, 90030,15,NULL,NULL,15,NULL,NULL,0,Disappeared on a trans-Atlantic flight from Montreal to England.</t>
  </si>
  <si>
    <t>07/11/1945,,"Near Kisumu, Kenya",Military - South African Air Force,,Kisumu - Durban,Douglas C-47,6812,6812,28,24,4,28,24,4,0,Crashed  on an island  located in Winam Bay shortly after take off Kismu.</t>
  </si>
  <si>
    <t>07/12/1945,14:36,"Near Florence, South Carolina",Eastern Air Lines / Military - U.S. Army Air Corps,45,Boston - NY - Washington DC - Jacksonville - Miami,Douglas DC-3-201C /  Army A-26,NC25647,2235,10,4,6,3,1,2,0,"After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</si>
  <si>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07/28/1945,09:49,"New York, New York",Military - U.S. Army Air Forces,,Bedford - New York,North American B-25D bomber,43-0577,87-8742,3,1,2,3,1,2,11,"A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</si>
  <si>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08/01/1945,09:50,"Near San Luis Potosi, Mexico",Lineas Aereas Mineras,,Mexico City - Nogales,Boeing 247D,XA-DUY,1723,12,9,3,12,9,3,0,Crashed into mountainous terrain after encountering engine failure..</t>
  </si>
  <si>
    <t>08/03/1945,10:11,"Fort de France, Martinique",Pan American World Airways,216,Port of Spain - Fort de France,Sikorsky S-43 (flying boat),NC15066,4306,14,10,4,4,4,0,0,The aircraft crashed while landing at Fort de France. The plane sank and 4 passengers drowned. The attempt by the pilot to land the aircraft in conditions of water surface not suitable for landing of a flying boat.</t>
  </si>
  <si>
    <t>08/11/1945,16:00,"Ixtaccihuati, Mexico",Mexicana,,Tapachula - Mexico City,Douglas DC-2-243,XA-DOT,2075,16,12,4,16,12,4,0,Crashed in Ixtaccihuatl mountain 40 miles east-sout-east of Mexico City. Navigational error as the crew's last message stated they were in an entirely different area.</t>
  </si>
  <si>
    <t>09/07/1945,02:13,"Florence, South Carolina",Eastern Air Lines,42,Miami - New York City,Douglas DC-3,NC33631,4137,22,19,3,22,19,3,0,"Fire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</si>
  <si>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09/11/1945,10:15,"Near Milne Bay, New Guinea",Military - Royal Australian Air Force,,Milne Bay - Dobodura,Douglas C-47A,A6556,25365,11,7,4,11,7,4,0,Left Milne Bay on routine flight  to Dobodura at 10:15. Crashed into sea near Milne Bay.</t>
  </si>
  <si>
    <t>09/15/1945,00:08,"Near Kansas, Missouri",Military - U.S. Army Air Forces,,,Douglas C-47B-DK,45-1011,34277,24,21,3,23,20,3,0,"Failed to gain altitude while taking off, struck trees, lost both wings, exploded and burned. Engine failure."</t>
  </si>
  <si>
    <t>09/18/1945,,"Puncak Jaya, Papua New Guinea",Military - Royal Australian Air Force,,Pitu - Merauke - Bamaga - Townsville,Douglas C-47B-5-DK,A65-61,14554/25999,29,26,3,29,26,3,0,"A month later the wreckage was found  on the slope of a mountain located near Mt Puncak Jaya, southwest of Mulia, 100 feet from the summit. It"</t>
  </si>
  <si>
    <t>09/28/1945,,"Near Chihkiang, China",Military - United States Army Air Force,,,Curtiss C-46D,42-101183,30638,20,17,3,20,17,3,0,Crash 32 km southeast of Chinkiang under unknown circumstances.</t>
  </si>
  <si>
    <t>10/05/1945,01:05,"Lakeland, Florida",National Airlines,16,Miami - Jacksonville,Lockheed 18 Lodestar,NC18199,2265,15,12,3,2,2,0,0,Crashed into a lake while attempting to execute a missed approach. The faulty execution of a missed approach procedure resulting in settling of the aircraft into a water area beyond the landing runway.</t>
  </si>
  <si>
    <t>10/05/1945,12:50,"Elvetham, England",Military -Royal Air Force,,England - Prague,Consolidated LB-40-A Liberator,,,23,18,5,23,18,5,0,Cashed and burned shortly after takeoff after experiencing an engine fire in the No. 2 engine.</t>
  </si>
  <si>
    <t>10/07/1945,00:30,"Rennes, France",Military - Royal Air Force,,London - Cairo,Short Stirling IV,LJ668,,26,20,6,26,20,6,0,Lost altitude while in a turn and attempting to land and crashed and burned short of the runway.</t>
  </si>
  <si>
    <t>10/13/1945,20:45,"Melsbroek, Belgium",Military -Royal Air Force,,London - Brussels - New Delhi,Consolidated LB-30-A Liberator,KL595,,31,25,6,31,25,6,0,The aircraft failed to gain speed or altitude and struck a hill at the end of the runway.</t>
  </si>
  <si>
    <t>10/16/1945,11:30,"Near Peking, China",Military - U.S. Army Air Forces,,Hankou - Peking,Curtiss-Wright C-46F-CU,44-78591,22414,59,55,4,59,55,4,0,Struck a radio transmission tower while on approach for landing at Nanyman field after encountering low clouds and poor visibility.</t>
  </si>
  <si>
    <t>10/20/1945,,"Between Shanghi and Canton, China",China National Aviation Corporation,,Shanghai - Canton,Douglas C-47,,,31,28,3,31,28,3,0,"Crashed into a mountain while en route, flying at a low altitude in adverse meteorological conditions."</t>
  </si>
  <si>
    <t>10/20/1945,,"Timor Sea, Atlantic Ocean",Military - Royal Australian Air Force,,"Ambon, Indonesia - Darwin, Australia",Douglas C-47B,A65-83,16127/32875,25,21,4,25,21,4,0,Disappeared en route.</t>
  </si>
  <si>
    <t>10/23/1945,,"Near Chiringa, India",Military - Royal Air Force,,,Douglas C-47B,KJ957,14804/26249,14,12,2,14,12,2,0,Penetrated a thunderstorm and broke-up.</t>
  </si>
  <si>
    <t>10/24/1945,,"Valetta, Malta",BOAC,,London - Valetta - Cairo,Douglas C-47 Skytrain (DC-3),G-AGHR,10097,16,13,3,9,9,0,0,The engine failed on takeoff and the plane stalled and crashed.</t>
  </si>
  <si>
    <t>10/24/1945,,"Tarapoto, Peru",Faucett,,,Faucett F-19,OB-PAG-139,24,5,4,1,5,4,1,0,Crashed on takeoff.</t>
  </si>
  <si>
    <t>10/30/1945,19:15,"Chihchiang, China",Military - U.S. Army Air Forces,,Zhijiang - Shanghai,Curtiss-Wright C-46A-CK,43-47228,299,50,46,4,45,44,1,0,Crashed and burned on takeoff striking a hill.  Possible engine failure or overloading.</t>
  </si>
  <si>
    <t>11/01/1945,15:30,"Herrenalb, Germany",Military - U.S. Army Air Forces,,Bovingdon - Schleissheim,Douglas C-47A-DK,42-93041,12909,30,26,4,26,22,4,0,The crew descended through low overcast to obtain their position.  Followed an river and crashed into wooded mountainside.  Navigator error in not informing the pilot of high terrain.</t>
  </si>
  <si>
    <t>11/03/1945,02:00,"Near Chuka, India",Military - U.S. Army Air Forces,,Chabua - Karachi,Douglas C-54G,45528A,35981,44,40,4,44,40,4,0,Crashed into the Himalaysas and burned while en route. Wreckage found a month later.</t>
  </si>
  <si>
    <t>11/07/1945,11:15,"Near Grants, New Mexico",National Skyway Freight Co.,,Alberquerque -,Budd RB-1 Conestoga,,,3,0,3,1,0,1,0,"After refueling in Alberquerque, the plane, carrying magazins to the west coast, crashed and burned after encountering snow and strong winds. The flight engineer survived."</t>
  </si>
  <si>
    <t>11/08/1945,20:00,"Off Corpus Christi, Texas",Military - U.S. Navy / Military - U.S. Navy,,,Martin PBM-3S  / Martin PBM-5,01710 / 69113,,27,NULL,NULL,22,NULL,NULL,0,The aircraft expierence a midair collision over Corpus Christi Bay while on a training flight.</t>
  </si>
  <si>
    <t>11/09/1945,20:00,"Near Boccadi, Italy",Military - U.S. Army Air Forces,,Athens - Naples,Douglas C-47A-DL,42-24363,10225,24,20,4,24,20,4,0,"The pilot radioed he was lost, shortly before impacting the ground while attempting to land in poor visibility."</t>
  </si>
  <si>
    <t>11/11/1945,23:45,"Near Castel, Libya",Military -Royal Air Force,,,Short Stirling,PJ950,,29,22,7,29,22,7,0,"While taking off the aircraft experienced an engine fire, stalled and crashed and burned."</t>
  </si>
  <si>
    <t>11/11/1945,,Himalayas,Military - U.S. Army,,"Chabau, India - Karachi, Pakistan",Douglas C-54,,,44,NULL,NULL,44,NULL,NULL,0,"Crashed into a mountain ridge 200 ft. short of the summit, bounced over the top and crashed down the other side while  en route."</t>
  </si>
  <si>
    <t>11/11/1945,12:00,"Near Picinisco, Italy",Military - U.S. Army Air Forces,,France - Athens,Boeing B-17G,43-9197,10175,20,16,4,20,16,4,0,The plane disappeared after the pilot radioed he was exeriencing heavy icing and asked to divert to Rome.  The plane was found 5 months later on Mt. Meta.</t>
  </si>
  <si>
    <t>11/13/1945,20:15,"Near Tacloban, Philippines",Australian National Airways,,,Douglas C-48,VH-CDC,,17,14,3,16,13,3,NULL,"Crashed into the sea afte an aborted landing at the island of Leyte. The plane touched down hard, pulled up, circled and crashed into the sea. Pilot error. Decision to land in unfavorable weather."</t>
  </si>
  <si>
    <t>11/15/1945,09:14,Near Jacquinot Bay  New Guinea,Military - Royal Australian Air Force,,Lae - Finschhafen - Jacquinot Bay - Rabaul,Douglas C-47 Dakota-DK,A6554,26640,28,25,3,28,25,3,0,"Crashed into a 7,598 ft. mountain in the region of Wide Bay, 150 feet below the ridge, shortly after taking off. There were Australian and Indian soldiers on board."</t>
  </si>
  <si>
    <t>11/22/1945,10:00,"White's Farm, England",Military -Royal Air Force,,Merryfield - Bombay,Consolidated LB-30A Liberator,KH126,,27,22,5,27,22,5,0,"The aircraft crashed into a hill shortly after takeoff after and  making a turn, before reaching the prescribed altitude."</t>
  </si>
  <si>
    <t>12/03/1945,13:30,"Near Rochefort , France",Military -Royal Air Force,,"India - Cambridge, England",Consolidated LB-30A Liberator,KH125,,28,23,5,28,23,5,0,Crashed in severe turbulence in thunderstorms after losing the right wing and breaking up.</t>
  </si>
  <si>
    <t>12/05/1945,20:00,Off the Florida coast,Military - U.S. Navy,19,,Five Grumman TBM Avengers,,,14,0,14,14,0,14,0,"The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</si>
  <si>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12/08/1945,01:13,"Near Billings, Montana",Military - U.S. Army,,Minneapolis - Fargo - Billings,Douglas C-47,45-0922,16925/34183,21,19,2,17,15,2,0,Crashed into a field after hitting trees while attempting to land in a snowstorm.</t>
  </si>
  <si>
    <t>12/18/1945,10:10,"Voksenkollen, Norway",Military - Royal Air Force,,Down Ampney - Copenhagen - Oslo,Douglas C-47B,KN413,16090/32838,17,13,4,17,13,4,0,Flew into the side of a hill after icing caused loss of power while attempting to land.</t>
  </si>
  <si>
    <t>12/25/1945,19:30,"Bangui, French Equatorial Africa",Air France,, Paris - Nâ€™Djamena - Bangui - Antananarivo,Lockheed 18 Lodestar,F-BALV,2380,8,5,3,8,5,3,0,The aircraft went out of control and crashed in a wooded area located about 60 km west of Bangui Airport.</t>
  </si>
  <si>
    <t>12/25/1945,,"Near Dudinka, Russia",Polyarnya Aviatsiya,,,Douglas DC-3,,,10,6,4,10,6,4,0,Crashed 50 miles northwest of Norilsk after catching fire in the air.</t>
  </si>
  <si>
    <t>12/30/1945,21:13,"New York City, New York",Eastern Air Lines,14,Philadelphia - New York City,Douglas DC-3,NC18l23,1999,12,9,3,1,1,0,0,"The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</si>
  <si>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01/06/1946,03:59,"Birmingham, Alabama",Pennsylvania Central Airlines,105,"New York City - Birmingham, AL",Douglas DC-3,N21786,4131,11,7,4,3,0,3,0,"In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</si>
  <si>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01/09/1946,,"Changchun, China",Military - Chinese Air Force,,,Douglas C-47,,,18,NULL,NULL,18,NULL,NULL,0,</t>
  </si>
  <si>
    <t>01/14/1946,,"Near Netrubezh, Russia",Aeroflot,,"Kharkov, Ukraine - Moscow",Lisunov Li-2,SSSR-4150,,22,17,5,22,17,5,0,Experienced severe icing resulting in buffeting and structural failure.</t>
  </si>
  <si>
    <t>01/15/1946,18:25,"Marseilles, France",Military -Royal Air Force,,,Douglas C-47 Dakota,KN557,33171,25,21,4,23,19,4,0,Crashed into a mountainside in a snowstorm.</t>
  </si>
  <si>
    <t>01/18/1946,11:03,"Cheshire, Connecticut",Eastern Air Lines,16B,New York - Boston,Douglas DC-3-201E,NC19970,3254,17,14,3,17,14,3,0,"The aircraft lost control and spiraled into the ground after the No. 1 engine caught on fire and the left wing separated from the aircraft. The fire, caused by the failure of a fuel line or fuel line connection, led to failure of the left wing."</t>
  </si>
  <si>
    <t>01/19/1946,,"Crowsnest Pass, Alberta, Canada",Mililtary - Royal Canadian Air Force,,"Comox, BC - Greenwood,NS",Douglas DC-3 Dakota,,,7,0,7,7,0,7,0,Collided with Mt. Ptolemy while en route.</t>
  </si>
  <si>
    <t>01/30/1946,,"Near Le Mans, France",Military - Royal Air Force,,,Douglas C-47B,KN500,16277/33025,11,NULL,NULL,11,NULL,NULL,0,</t>
  </si>
  <si>
    <t>01/31/1946,02:47,"Mt. Elk, Wyoming",United Air Lines,14,Boise - Denver,Douglas DC-3-194H,NC25675,2147,21,18,3,21,18,3,0,"The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</si>
  <si>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02/05/1946,,"Negros, Philippines",Military - U.S. Army Air Forces,,Iloilo - Cebu,Douglas C-47,,,20,16,4,20,16,4,0,Crashed into mountainous terrain while en route.</t>
  </si>
  <si>
    <t>02/21/1946,,"Charlottetown, PE, Canada",British Overseas Airways,,,Consolidated 32-2 Liberator II,G-AGEM,26,14,NULL,NULL,1,NULL,NULL,0,Crashed while attempting to land. Icing.</t>
  </si>
  <si>
    <t>03/03/1946,08:12,"Live Oak Springs, California",American Airlines,6-103,Dallas - Tucon - San Diego,Douglas DC-3-227B,NC21799,2203,27,24,3,27,24,3,0,"While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</si>
  <si>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03/05/1946,17:00,"Near Prague, Czechoslovakia",Ceskoslovenske Aerolinie,,Paris - Prauge,Junkers JU-52/3m,OK-ZDN,,15,11,4,12,10,2,0,Crashed and burned while approaching Ruzyne Aerodome to land after experiencing engine problems.</t>
  </si>
  <si>
    <t>03/10/1946,20:55,"Off Hobart, Tasmania",Australian National Airways,,Hobart - Melbourne,Douglas DC-3 (C-47DL),VH-AET,6013,25,21,4,25,21,4,0,The aircraft crashed 10 mins after takeoff from Hobart. Inadvertent engagement of the autopilot instead of the fuel crossfeed.</t>
  </si>
  <si>
    <t>03/17/1946,,"Near Nanking, China",Military - Chinese Air Force,,Shanghai - Nanking,NULL,,,20,NULL,NULL,20,NULL,NULL,0,Crashed into mountainous terrain in low visibility while en route.</t>
  </si>
  <si>
    <t>03/18/1946,,"Between Chungking and Shanghai, China",China National Aviation Corporation,,Chunking - Shanghai,NULL,139,,NULL,NULL,NULL,NULL,NULL,NULL,NULL,Disappeared while en route. Plane never located.</t>
  </si>
  <si>
    <t>03/19/1946,11:45,"Hobart Mills, California",Military - U.S. Army Air Forces,,"Stockton, CA - Ogden, UT",Douglas C-47B,45-1085,,26,23,3,26,23,3,0,The aircraft lost its right wing and disintegrated over Donner Summit for reasons unknown.</t>
  </si>
  <si>
    <t>03/23/1946,,"Off Ceylon, Cocos Islands, Indian Ocean",British Overseas Airways /Qantas,,Karachi - Australia,Avro 691 Lancastrian 1,G-AGLX,1178,10,5,5,10,5,5,0,Disappeared between Ceylon and the Cocos Islands while en route. Aircraft owned by BOAC and operated by both airlines on Sydney-London services (BOAC crews operated London-Karachi and Qantas crews Karachi-Sydney).</t>
  </si>
  <si>
    <t>04/01/1946,10:00,"near Craigavad, Northern Ireland",Railway Air Services Ltd.,,Liverpool - Belfast,de Hvilland 89A Dragon Rapide,G-AERZ,,6,4,2,6,4,2,0,Crashed 5 miles north northeast of belfast while attempting to land in advese weather. Pilot error. The pilot failed to maintain a course necessary to avoid higher terrain.</t>
  </si>
  <si>
    <t>04/05/1946,11:15,"Rabat, Malta",Military - Royal British Navy,,,Vickers Wellington bomber,HE-274,,4,0,4,4,0,4,16,"The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</si>
  <si>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04/08/1946,,"Near Shensi, China",,,Shensi - Yenan,NULL,,,14,11,3,14,11,3,0,</t>
  </si>
  <si>
    <t>04/22/1946,,"La Liberiad, Nicaragua",TACA,,La Liberiad - Managua,Lockheed 14 Super Electra,AN-ACC,,21,18,3,20,17,3,0,Crashed on takeoff.</t>
  </si>
  <si>
    <t>04/30/1946,,"Pindi-Khut ,India",Military - Royal Air Force,,,Douglas C-47A, FZ559,12094,12,NULL,NULL,12,NULL,NULL,0,Broke up in midair and crashed.</t>
  </si>
  <si>
    <t>05/10/1946,,"Munson, Florida",Military U.S. Navy / Military - U.S. Navy,,,PBY4-2 Privateer / PB4Y-2 Privateer,,,28,NULL,NULL,28,NULL,NULL,0,Collided in midair while a fighter made practice diving maneuvers on the formation.</t>
  </si>
  <si>
    <t>05/16/1946,01:00,"Richmond, Virginia",Viking Air Transport,,Richmond - Atlanta,Douglas DC-3,NC53218,19626,27,25,2,27,25,2,0,"Engine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</si>
  <si>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05/22/1946,13:00,"Oslo, Norway",DNL Norwegian Air Lines,,Oslo - Stockholm,Junkers JU-52/3m,LN-LAB,6048,14,11,3,13,10,3,0,Crashed into Oslo Fjord shortly after takeoff. Engine trouble forced the plane back but it stalled and crashed into trees and a house.</t>
  </si>
  <si>
    <t>06/01/1946,07:40,"Off Amalfi, Italy",Military - U.S. Army Air Forces,,Cairo - Rome,Douglas C-54-DO (DC-4),44-9078,27304,38,30,8,30,26,4,0,"A fire of undetermined origin erupted in the cockpit. The crew  was unable to control the smoke and flames, lost control and the aircraft and crashed. Eight aboard parachuted to safety."</t>
  </si>
  <si>
    <t>06/09/1946,10:30,"Taboga Island, Panama",Military - U.S. Army Air Forces,,,Douglas C-54D-DC (DC-4),43-17231,22181,23,17,6,23,17,6,0,Crashed into a summit after flying below the prescribed altitude.</t>
  </si>
  <si>
    <t>06/09/1946,13:15,"Near Abeokuta, Nigeria",Military -Royal Air Force,,Kano - Ikeja,Douglas C-47 Dakota,KG747,25291,18,12,6,18,12,6,0,"Flying low to avoid poor weather, the aircraft crashed while en route from Kano to Ikeja."</t>
  </si>
  <si>
    <t>06/29/1946,,Off Malaya,Military - Royal Air Force,,,Douglas C-47B,KJ918,14641/26086,18,NULL,NULL,18,NULL,NULL,0,Disappeared.</t>
  </si>
  <si>
    <t>06/29/1946,,"Pau, France",Air France,,,Junkers Ju-52/3m,F-BAJS,AAC020,3,0,3,2,0,2,0,The cargo  plane struck power lines and crashed while attempting to take off.</t>
  </si>
  <si>
    <t>07/09/1946,20:10,"Holyoke, Massachusetts",Military - U.S. Army Air Forces,,,Boeing B17G,43-39136,,25,21,4,25,21,4,0,Struck a slope on Mt. Tom during an approach to land at Westover Field.</t>
  </si>
  <si>
    <t>07/11/1946,,"Reading, Pennsylvania",Trans Continental and Western Air,513,Training flight,Lockheed L-049 Constellation,NC86513,2040,6,0,6,5,0,5,0,"The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</si>
  <si>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07/13/1946,,"Tsinan, China",Central Air Transport,,,Curtiss C-46,,,49,47,2,13,11,2,0,The aircraft crashed 1 mile from the airfield shortly after takeoff due to engine failure.</t>
  </si>
  <si>
    <t>07/17/1946,,"Cuenca, Ecuador",ANDESA,,Guayaquil - Cuenca,Curtiss C-46D-10-CU,HC-SCA,32982,30,27,3,30,27,3,0,Overshot the runway. The pilot was unable to regain altitude and the plane crashed into a hill and burst into flames.</t>
  </si>
  <si>
    <t>07/18/1946,21:10,"Goodland, Kansas",Military - U.S. Army Air Corps,,Topeka - Denver,Douglas C-47,,,13,10,3,13,10,3,0,Crashed into a field during a thunder and lightning storm.</t>
  </si>
  <si>
    <t>07/20/1946,12:15,Off the Panama coast,Military -  (2) U.S. Army Air Forces,,,Boeing B-17G / Boeing B-17G,4485624/4485626,,20,NULL,NULL,20,NULL,NULL,0,"The two aircraft collided in midair, 20 miles north of the Panamanian island of Coiba while searching for a missing plane. Ten died aboard each aircraft."</t>
  </si>
  <si>
    <t>07/25/1946,,"Bassein, Burma",Military -Royal Air Force,,,Douglas C-47 Dakota,KN585,33219,22,18,4,22,18,4,0,Crashed into a swamp soon after taking off after suffering structural failure of the left wing in adverse weather conditions.</t>
  </si>
  <si>
    <t>07/26/1946,08:30,"Near Huatesco, Veracruz, Mexico",Communicaciones Aereos de veracruz,,Jalapa - Cordoba,Fairchild Pilgrim 100A,XA-DEJ,,9,NULL,NULL,9,NULL,NULL,0,"Returned to the airport after suffering engine failure, the plane crashed 40 miles southeast of Jalapa."</t>
  </si>
  <si>
    <t>08/07/1946,,"Oslo, Norway",British European Airways,,Northolt - Oslo,Douglas C-47A-10-DK,G-AHCS,12348,16,11,5,3,0,3,0,"Flew into trees on Mistberget mountain at 2,000ft. while on approach to Oslo. Pilot error. Descended too early.  Inexperience in radio range flying and inadequate equipment."</t>
  </si>
  <si>
    <t>08/09/1946,,"Lakehurst, New Jersey",Atlantic Central Airlines,,Atlantic City - Newark,Lockheed 18-56 Lodestar,,,6,4,2,4,2,2,0,Crashed and burned while attempting to glide in for an emergency landing at Lakhurst Field.</t>
  </si>
  <si>
    <t>08/14/1946,,"Malta-Luqa, Malta",BOAC,,,Douglas C-47A,G-AGHT,10103,5,0,5,1,0,1,0,"The port engine and, later, the starboard engine failed as the result of fuel starvation. Circumstantial evidence suggests strongly that this was caused by the inadvertent selection of the auxiliary fuel tanks which at that time contained only a small amount of fuel."</t>
  </si>
  <si>
    <t>08/20/1946,06:15,"Rouen, France",British Overseas Airways,,Palestine - London,Avro 691 Lancastrian 1,G-AGMF,1186,9,0,9,8,0,8,0,Descended through clouds and crashed. Premature descent by the crew without establishing their position.  Training flight.</t>
  </si>
  <si>
    <t>08/21/1946,04:19,"Moline, Illinois",Trans Luxury Airlines,878,Teterboro - Chicago - San Francisco,Douglas C-47-DL,N51878,4542,25,22,3,2,0,2,0,"While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</si>
  <si>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08/24/1946,,"Cairo, Egypt",Misrair,,,Avro Anson,SU-ADJ,1272,9,NULL,NULL,6,NULL,NULL,0,Crashed and caught fire.</t>
  </si>
  <si>
    <t>08/31/1946,,"Near Prince Rupert, British Columbia, Canada",Queen Charlotte Airlines,,Stewart - Prince Rupert,Supermarine Stranraer (flying boat),CF-BYL,,7,3,4,7,3,4,0,Crashed in Chatham Sound while preparing to land in heavy fog.</t>
  </si>
  <si>
    <t>09/03/1946,17:00,"Holtug, Denmark",Air France,,Copenhagen - Paris,Douglas DC-3 (C-53D-DO),F-BADB,11714,22,17,5,22,17,5,0,"Shortly after takeoff, the aircraft crashed into a field 40 miles south of Copenhagen, exploding and bursting into flames. One of the engines had caught fire prior to the crash resulting from a fuel leak."</t>
  </si>
  <si>
    <t>09/04/1946,09:15,"Le Bourget, France",Air France,,Paris - Croydon,Douglas DC-3,F-BAXD,42975,26,21,5,20,18,2,1,Lost altitude after losing an engine on takeoff  and crashed into a factory yard.</t>
  </si>
  <si>
    <t>09/05/1946,02:00,"Elko, Nevada",Trans-Luxury Airlines,850,New York City - San Francisco,Douglas DC-3 (C-47-A5-DL),NC57850,9214,22,19,3,21,18,3,0,The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</si>
  <si>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09/07/1946,,"Bathurst, Gambia",British South American Airways,,"Bathrust, - Argentina",Avro 685 York I,G-AHEW,1300,24,20,4,24,20,4,0,"The aircraft crashed shortly after takeoff after a loss of control by  the captain.  Loss of control by the captain for unknown reasons with mishandling of the controls the most likely explanation. The aircraft was named ""Star Leader."""</t>
  </si>
  <si>
    <t>09/07/1946,,"Nome, Alaska",Mt. McKinley Airfreight,,,Douglas C-47A,,,4,2,2,4,2,2,0,The cargo plane went off course and struck a fog covered mountain as it circled to land.</t>
  </si>
  <si>
    <t>09/15/1946,,"Estevan, Saskatchewan, Canada",Military - Royal Canadian Air Force,,,Douglas C-47A Dakota,962,12544,21,NULL,NULL,21,NULL,NULL,0,The pilot lost control of the aircraft after attempting a go-around maneuver.</t>
  </si>
  <si>
    <t>09/17/1946,01:17,"Brussels, Belgium",Sabena,,Brussels - Croydon,Douglas C-47-DL,OO-AUR,4549,7,4,3,1,0,1,0,During its climb the plane rolled and crashed into hangers. Loss of airspeed for undetermined reasons.</t>
  </si>
  <si>
    <t>09/18/1946,04:15,"Near Gander, Newfoundland",Sabena,,Brussels - Shannon - Gander - New York City,Douglas DC-4-1009,OO-CBG,42986,44,37,7,27,21,6,0,The aircraft crashed 24 mi SW of the runway at Gander. Improper approach procedures by the pilot in poor weather.</t>
  </si>
  <si>
    <t>09/19/1946,,"Near Tripoli, Libya",Military -Royal Air Force,,"St. Mawan, England - Almaza, Egypt",Avro Lancaster,NX690,,25,19,6,25,19,6,0,Crashed after possibly being hit by lightning.</t>
  </si>
  <si>
    <t>09/20/1946,,"Lochi Mountain, China",China National Aviation Corporation,,"Sichang - Kunming, Yunnan",Curtiss Wright C-46,,,28,25,3,28,25,3,0,"Crashed into a 15,000 ft. mountain shortly after taking off from Sichang."</t>
  </si>
  <si>
    <t>09/25/1946,09:31,Near Hong Kong International Airport,Military - Royal Air Force,,Hong Kong - Singapore,Douglas C-47B-25-DK,KN414,16091/32839,19,14,5,19,14,5,0,"The aircraft departed Hong Kong, Runway 31, climbing to a height of 700-800 feet. At that point the airplane lost control and crashed. The Dakota possibly stalled after encountering turbulence from the foothills."</t>
  </si>
  <si>
    <t>09/27/1946,,"Near Milngavie, Stirlingshire, Scotland",Railway Air Service Ltd.,,Islay - Glascow,de Havilland 89A Dragon Rapide,G-AFFF,,7,5,2,7,5,2,0,Crashed into a hill in low overcast weather. Navigation error.</t>
  </si>
  <si>
    <t>09/27/1946,17:30,"Rio Doce, Brazil",Panair do Brasil,,Belo Horizonte  - Rio de Janerio,Douglas DC-3A-228D,PP-PCH,4087,25,22,3,25,22,3,0,Crashed into a mountainside north of Rio de Janerio after being possibly struck by lightning.</t>
  </si>
  <si>
    <t>10/03/1946,03:30,"Stephenville, Newfoundland",American Overseas Airlines,,Gander - Shannon,Douglas C-54E-5-DO,NC90904,27290,39,31,8,39,31,8,0,"Took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</si>
  <si>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10/06/1946,07:30,"Off Penang, Malaya",Military -Royal Air Force,,,Avro 685 York 1,MW125,,21,15,6,21,15,6,0,Crashed in the Strait of Malacca while en route.</t>
  </si>
  <si>
    <t>10/07/1946,11:20,"Apeldoorn, The Netherlands",Military - Royal Netherlands Naval Air Service,,,Fairey Firefly MK1,PP526,,1,0,1,1,0,1,22,The pilot of the single engine fighter made an unauthorized flight to Apeldoorn and began flying low to attract attention. The aircraft lost altitude during a maneuver and crashed into a high school killing 22 on the ground.</t>
  </si>
  <si>
    <t>10/08/1946,04:33,"Cheyenne, Wyoming",United Air Lines,28,San Francisco - Cheyenne - Chicago,Douglas DC-4,N30051,10471,41,37,4,2,2,0,0,"After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</si>
  <si>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10/10/1946,20:00,"Near Sefrou, Morocco",Air Ocean,,Paris - Casablanca,Junkers Ju-52/3m,F-BCAA,AAC281,16,11,5,16,11,5,0,Crashed into a mountain while en route. Navigation error.</t>
  </si>
  <si>
    <t>10/17/1946,00:57,"Laramie, Wyoming",National Air Transport Services,942,Oakland - Chicago,Douglas DC-3,NC38942,12971,13,10,3,13,10,3,0,Crashed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</si>
  <si>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10/17/1946,,"Near Chitral, India",Military - Royal Air Force,,,Douglas C-47B,KN236,15659/27104,11,NULL,NULL,11,NULL,NULL,0,"Struck an 11,000 ft. mountain."</t>
  </si>
  <si>
    <t>10/23/1946,,"Gebel Kalamoun, Egypt",Socotra,,Paris - Cairo,Junkers JU-52/3m,F-BCHD,AAC311,24,22,2,1,1,0,0,The plane crashed into a hill after attempting to make a forced landing after running out of fuel.</t>
  </si>
  <si>
    <t>11/01/1946,,"St Leger-la-Montagne, France",CTA Languedoc Roussillon,,Paris - Toulouse - Casablanca,AAC-1 Toucan,F-BCAD,284,27,24,3,23,20,3,0,Crashed into mountains while en route. The pilot descended to lower altitiude to rid the plane of ice.</t>
  </si>
  <si>
    <t>11/05/1946,18:30,"Near Moscow, Russia",Aeroflot,,"Riga, Latvia - Moscow",Douglas C-47,SSSR-L946,,26,NULL,NULL,13,NULL,NULL,NULL,Stalled after a overshoot  in heavy fog. Crew error.</t>
  </si>
  <si>
    <t>11/11/1946,03:30,"Cleveland, Ohio",United Air Lines,404,Chicago - Cleveland,Douglas DC-3 (C-53D-DO),N19947,4873,20,17,3,2,0,2,0,Struck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</si>
  <si>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11/13/1946,03:41,"Lebec, California",Western Airlines,23,Palmdale - Burbank,Douglas C-53D-DO (DC-3),NC18645,11662,11,8,3,11,8,3,0,"The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</si>
  <si>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11/13/1946,08:18,"Near Cofre de Perote, Mexico",Empressa Commun. AÃ©reas de Veracruz,,Mexico City - Veracruz,Douglas DC-3,XA-FOZ,,15,12,3,15,12,3,0,"Crashed into an 11,000 ft. mountain obscured by clouds."</t>
  </si>
  <si>
    <t>11/14/1946,20:15,"Amsterdam, Netherlands",KLM Royal Dutch Airlines,,London - Amsterdam,Douglas C-47A-90 DL (DC-3),PH-TBW,20122,26,21,5,26,21,5,0,"The flight crashed during a third landing attempt in inclement weather. The pilot, not lined up with the runway, made a sharp left turn. The wing hit the ground and the aircraft exploded in flames."</t>
  </si>
  <si>
    <t>11/16/1946,23:30,North Pacific Ocean,Military - U.S. Army Air Forces,,Guam - Iwo Jima,Douglas C-47,,,23,15,8,23,15,8,0,"Made a 360 degree turn and dove into the sea, 15 miles off Iwo Jima ."</t>
  </si>
  <si>
    <t>11/26/1946,10:30,"San Jose, Costa Rica",Lineas AÃ©reas Costarricenses  LACSA,,,Douglas DC-3 (C-47A-90-DL),RX-76,20590,22,20,2,22,20,2,0,Struck Cedrel mountain while making an approach to San Jose.</t>
  </si>
  <si>
    <t>11/30/1946,,"El Palomar, Argentina",Fuerza AÃ©rea Argentina,,,Vickers 620 Viking 1,T-1,113,18,15,3,5,2,3,0,"Following engine failure, the captain lost control and crashed while trying to land."</t>
  </si>
  <si>
    <t>12/04/1946,,"Meshed, Iran",Aeroflot,,Meshed - Teheran,Lisunov Li-2,,,24,NULL,NULL,24,NULL,NULL,0,Crashed shortly after takeoff from Meshed airport.</t>
  </si>
  <si>
    <t>12/10/1946,13:10,"Near Osaka, Japan",Military - U.S. Army Air Forces,,,Curtiss-Wright C-46F-CU,44-78604,22427,24,19,5,24,19,5,0,Crashed 3 miles southwest of Itami Air Base shortly after taking off.  Loss of engine power for reasons unknown.</t>
  </si>
  <si>
    <t>12/10/1946,,"Toledo, Washington",Military - U.S. Marine Corps,,"Miramar NAS, California - Sand Point NB, Seattle",Curtiss-Wright R5C-1,39528,,32,29,3,32,29,3,0,"The crew reported picking up ice before disappearing without a trace while en route. The last reported positon was 30 miles south of Toledo, Washington. Found 11 months later at Mt. Rainer."</t>
  </si>
  <si>
    <t>12/14/1946,,"Mt. Banahaur, Philippines",Far Eastern Air Transport,,Grace Park AF - Lucena,Douglas DC-3 (C-47-B-1-DK),PI-C-1,25436/13991,14,10,4,12,9,3,0,Crashed into tree tops on Mt. Banahaur. The pilot and 1 passenger survived.</t>
  </si>
  <si>
    <t>12/17/1946,,"Caribbean, Atlantic Ocean",Winged Cargo Inc.,,"Kingston, Jamaca - San Jose",Douglas C-47A,NC88876,9249,7,5,2,7,5,2,0,Disappeared en route. Never found.</t>
  </si>
  <si>
    <t>12/23/1946,14:30,"Near Rio de Janeiro, Brazil",FAMA (Argentina),,London - Buenos Aires.,Avro  685 York I,LV-XIG,1365,21,15,6,21,15,6,0,"Poor weather at the destination airport forced the crew to divert to Rio de Janeiro. While approaching to land the aircraft flew into a mountain, 14 miles from the airport."</t>
  </si>
  <si>
    <t>12/24/1946,19:19,"Near San Diego, California",Western Airlines,44,Holtville - San Diego,Douglas DC-3 ( C-53D-DO),NC45395,42-68715,12,9,3,12,9,3,0,"Crashed east slope of Cuyapaipe Mountain at 6,120 ft. in San Diego County in poor weather conditions. The conduct of the flight at an altitude which would not clear obstructions, due to an error by the pilot in determining his position with respect to Laguna Mountain."</t>
  </si>
  <si>
    <t>12/25/1946,17:00,"Near Wusong, Jiangsu, China",CNAC,115,Chunking - Shanghi,Curtiss C-47,,,34,31,3,13,10,3,3,Crashed after a failed landing attempt at Kiangwan Airport in rain fog and overcast. The plan overshot the runway and crashed into a residential area.</t>
  </si>
  <si>
    <t>12/25/1946,17:00,"Near Shanghai, China",CNAC,140,Chunking - Shanghi,Douglas DC-3,,,30,27,3,20,17,3,0,"While attempting to land in rain and fog, the aircraft ran out of fuel, stalled and crashed at Lunghwa field."</t>
  </si>
  <si>
    <t>12/25/1946,17:45,"Shanghai, China",CATA,48,Chunking - Shanghai,Douglas C-47,,,11,7,4,11,7,4,5,"In heavy fog, the aircraft struck the roof of a nearby building and cartwheeled into a neighborhood 1 mile from Lunghwa Airport killing some on the ground."</t>
  </si>
  <si>
    <t>12/28/1946,,"Walshville, Illinois",Kansas City Southern Skyways,,"Flint, MI - Washville, IL",Douglas C-47A,NC58024,9378,2,0,2,2,0,2,0,The cargo plane crashed after both engines failed. Fuel exhaustion.</t>
  </si>
  <si>
    <t>12/28/1946,02:09,"Near Shannon, Ireland",Trans Continental and Western Air,6963,Paris - Shannon,Lockheed 049 Consellation,NC86505,2026,23,14,9,13,9,4,0,"Crashed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</si>
  <si>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12/28/1946,09:19,"Michigan City, Indiana",American Airlines,2207,Buffalo - Chicago,Douglas DC-3 (C-50A-DO),N15577,4805,21,18,3,2,0,2,0,Crashed after loosing power in both engines due to fuel starvation. The accumulation of carburetor ice following the loss of power in both engines as a result of fuel starvation. The reason for fuel starvation could not be determined.</t>
  </si>
  <si>
    <t>01/03/1947,,"Sao Paulo, Brazil",Panair do Brasil,,,Sikorsky S-43B (flying boat),PP-PBN,4315,14,11,3,11,8,3,0,"Crashed into the Solimoes River, an extension of the Amazon river."</t>
  </si>
  <si>
    <t>01/05/1947,,"Tsingtao, China",China National Aviation Corporation,,Shanghai - Tsingtao - Beijing,Curtis C-46,XT-T51,,43,38,5,43,38,5,0,Crashed into  a mountain while on approach in low overcast.</t>
  </si>
  <si>
    <t>01/05/1947,20:00,"Carmel, New Jersey",Nationwide Air Transport,,Miami - Raleigh - Washington,Douglas DC-3,N50046,34373,23,20,3,3,2,1,0,"The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</si>
  <si>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01/11/1947,17:30,"Near Lympne, England",British Overseas Airways,, London - Bordeaux  - Lagos,Douglas C-47A-1-DK,G-AGJX,12014,16,11,5,8,4,4,0,Ran out of fuel and crashed after not being able to land at Bordeaux or Paris and attempting to land at Lympne.  Poor planning and operation by the crew. Poor weather conditions encountered throughout the flight. Crew unfamilar with route.</t>
  </si>
  <si>
    <t>01/11/1947,,"Off Laoag, China",Far Eastern Air Transport,,Shanghai - Manila,Douglas DC-4 (C-54A-DO),PI-C100,3106,42,37,5,7,7,0,0,The plane ditched into the Pacific Ocean 80 miles west of Laoaq after a fire broke out in the No. 2 engine.</t>
  </si>
  <si>
    <t>01/12/1947,01:38,"Near Galax, Virginia",Eastern Air Lines,665,"Akron, OH - Winston/Salem, NC",Douglas DC-3,NC88872,3274,19,16,3,18,15,3,0,"The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</si>
  <si>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01/14/1947,09:00,"Near Puebla, Mexico",Military - Mexican Air Force,,Puebla - Oaxaca,Lockheed C-60 Lodestar,60-03,182607,21,17,4,21,17,4,0,Crashed and burned moments after takeoff. Failure of the right engine.</t>
  </si>
  <si>
    <t>01/22/1947,,"Puesto Araujo, Colombia",AVIANCA,,Bogota - Barrancabermeja,Douglas DC-3 ( C-47-DO),C-108,4829,17,13,4,17,13,4,0,Crashed in the jungles of the Magdalena river valley. Wreckage found a week later.</t>
  </si>
  <si>
    <t>01/25/1947,11:40,"Croydon, Surrey, England",Spencer Airways / Ceskoslovenske Aerolinie,,Croydon - Rome - Salisbury,Douglas C-47 / Douglas DC-3,VP-YFD/OK-WDB,19979 / 9503,23,18,5,12,11,1,0,"Just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</si>
  <si>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01/25/1947,14:00,"Chongqing, China",China National Aviation Corporation,,Canton - Chungking - Hong Kong,Douglas DC-3,,,19,16,3,19,16,3,0,Crashed into mountains 120 miles south of Chunking.</t>
  </si>
  <si>
    <t>01/25/1947,,Hong Kong,Philippine Air Lines,,,Douglas C-47A,PI-C12,13508,4,0,4,4,0,4,0,The cargo plane struck Mt. Parker on approach.</t>
  </si>
  <si>
    <t>01/26/1947,15:30,"Copenhagen, Denmark",KLM Royal Dutch Airlines,,Kobenhavn - Stockholm,Douglas C- C47A-30DK,PH-TCR,25479,22,18,4,22,18,4,0,"During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</si>
  <si>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01/28/1947,12:00,"Near Hankow, China",China National Aviation Corporation,,Shanghai - Hankow - Chungking,Curtiss C-46,,,26,24,2,25,23,2,0,Crashed while en route about 30 minutes after takeoff. A four-year-old boy survived. Fire in the left wing leading to separation of the wing.</t>
  </si>
  <si>
    <t>02/01/1947,18:45,"Near Lisbon, Portugal",Air France,,Paris - Bordeaux - Lisbon,Douglas DC-3C,F-BAXQ,13806/25251,20,15,5,19,14,5,0,Crashed into Cintra mountain while on approach in poor weather condtions.</t>
  </si>
  <si>
    <t>02/05/1947,,"Harrington, Delaware",International Air Freight,,"New York, NY - Raleigh, NC",Douglas DC-3,NC54451,13873/25318,3,0,3,1,0,1,0,"The cargo plane diverted to Harrington after a No. 2 engine rpm reduction. The plane approached downwind, overshot and struck some trees. Fuel contamination."</t>
  </si>
  <si>
    <t>02/06/1947,17:00,"Pedro Bernardo, Spain",Aerovias Cuba International,,Havana - Lisbon - Madrid,Douglas C-54B-15-DO,NC44567,18386,11,8,3,11,8,2,0,"Crashed in Gredos mountain range about 100 miles west of Madrid while en route and in adverse weather conditions.  The plane was named ""Ruta de Colon."""</t>
  </si>
  <si>
    <t>02/14/1947,04:20,"Denver, Colorado",Slick Airways,,"Omaha, NE - Denver, CO",Curtiss C-46E,NC59486,2944,2,0,2,2,0,2,0,Cargo flight. The momentary loss of control or overcontrol by the pilot at a critically low altitude in the final stages of an ILS approach. A contributing factor was the failure of the safety pilot to remain alert to the altitude of the aircraft.</t>
  </si>
  <si>
    <t>02/15/1947,12:18,"Near Bogota, Colombia",AVIANCA,,Barranquilla - Bogota,Douglas DC-4,C-114,10439,53,49,4,53,49,4,0,"The plane crashed into Mt. El Tabalazo at 10,500 feet in fog while en route. Pilot error. Conducting the flight below a safe altitude and off the designated airway."</t>
  </si>
  <si>
    <t>02/15/1947,09:30,"Off Terracina, Italy",Military - Corrieri Aerei Militari,,Rome - Cairo,Savoia-Marchetti SM-95,I-ABQH,41003,16,10,6,16,10,6,0,Disappeared and crashed into the ocean just off the coast of Terracina in clear weather. On board were an Egyptian Princess and her court. The cause remains unknown although sabotage is a possibility.</t>
  </si>
  <si>
    <t>02/21/1947,16:00,"Chungking, China",Military - Chinese Air Force,,Sichang - Chungking,Douglas C-47,,,21,17,4,21,17,NULL,0,Crashed while attempting to land. Ran into heavy icing. One wing broke off.</t>
  </si>
  <si>
    <t>02/26/1947,,"China Sea, Pacific Ocean",Military - Royal Air Force,,Singapore - Siagon,Douglas C-47B,KK120,15129/26574,12,9,3,12,9,3,0,Disappeared while en route. Never found.</t>
  </si>
  <si>
    <t>03/05/1947,09:53,"Near Georgia, USSR",Aeroflot,,Tbilisi - Moscow - Vnoukovo,Doublas C-47,CCCP-L952,14874/26319,23,19,4,23,19,4,0,"Crashed in the Cacasus mountains,Nizhnesvanetsky Range, while en route. Pilot error. Pilot in command changed the route of flight"</t>
  </si>
  <si>
    <t>03/08/1947,,"L'isola di Ischia, Italy",Military - Royal Air Force,,Hassani - Rome - Northolt,Douglas C-47B,KK122,15131/26576,13,10,3,13,10,3,0,"Due to low visibility, the crew did not realize they were off course when the aircraft hit the slope of Mt Epomeo on Ischia Island."</t>
  </si>
  <si>
    <t>03/08/1947,14:59,"Cordillera, Colombia",VIARCO,,Villavicencio - Bogota,Douglas C-47-DL,C-400,4792,9,5,4,9,5,4,0,Crashed in the Cordillera mountain range shortly after taking off and climbing.</t>
  </si>
  <si>
    <t>03/14/1947,15:30,"Mt. Moucherolles, France",Air France,,Lyons - Nice - Paris,Douglas DC-3 (C-47A-90-DL),F-BAXO,20488,23,18,5,23,18,5,0,"Flew into 4,000 foot Mt. Moucherolles, 25 miles south of Grenoble in poor weather. The crash started an avalanche which buried most of the wreckage. Naviation error."</t>
  </si>
  <si>
    <t>03/17/1947,08:05,"Near Medellin, Colombia",TACA,,"Medellin, Colombia - San Jose, Costa Rica",Lockheed 18 Lodestar,YS-28,2450,8,5,3,8,5,3,0,Crashed shortly after taking off. Hit the slope of Cerro del Padre Amaya located 12 km northwest of the airport.</t>
  </si>
  <si>
    <t>03/18/1947,,"Negombo, Sri Lanka",Military - Royal Air Force,,Negombo - Northolt,Avro York C1,MW198,MW198,15,9,6,11,7,4,0,"Failed engine on takeoff. Could not maintain altitude, lost control, struck trees and crashed."</t>
  </si>
  <si>
    <t>04/08/1947,10:30,"Near Caracas, Venezuela",Linea Aeropostal Venezolana,,Cumana - Caracas,Douglas C-47A,YV-C-ALO,,27,24,3,27,24,3,0,Crashed 40 miles east of Caracas while en route.</t>
  </si>
  <si>
    <t>04/13/1947,02:40,"Off Dakar, Senegal",British South American Airways,,Lisbon - Dakar,Avro 685 York I,G-AHEZ,1303,15,9,6,6,6,0,0,The plane crashed while making a third landing attempt. Unwise decision to try a third landing attempt. No approach lights. No radio facilities.</t>
  </si>
  <si>
    <t>04/22/1947,10:40,"Columbus, Georgia",Delta Air Lines,, Macon - Columbus,Douglas DC-3 (C-47DL) /Vultee BT-13,N49657 / N55312,9066,10,8,2,10,8,2,0,"A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</si>
  <si>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04/28/1947,23:13,"Near Vancouver, British Columbia, Canada",Trans Canada Air Lines,3,Lethbridge - Vancouver,Lockheed 18 Loadstar,CF-TDF,18-2248,15,12,3,15,12,3,0,"The aircraft disappeared while en route from Lethbridge, Alberta to Vancouver, British Columbia. The last known position was over Vancouver Airport. The wreckage was discovered and identified in September 1994 in a remote area, 10 miles north of Vancouver near Mt. Seymour."</t>
  </si>
  <si>
    <t>05/04/1947,,"Near Nicoya, Guanacaste, Costa Rica",TACA,,Nicoya - San Jose,Lockheed 18 Loadstar,TI-84,18-2374,11,9,2,11,9,2,0,Crashed 100 miles west of San Jose. Possible act of sabotage on one of the engines.</t>
  </si>
  <si>
    <t>05/11/1947,09:39,"Delaware Bay, New Jersey",Trans Continental and Western Air,,Training,Lockheed L-049 Constellation,NC86508,2029,4,0,4,4,0,4,0,"Went into a turn and lost control, spiraled into the ground. Loss of control of the aircraft for reasons undetermined."</t>
  </si>
  <si>
    <t>05/16/1947,16:25,"Near Khabarovsk, Russia",Aeroflot,,Nikolayevsk-on-Amur - Khabarovsk,Douglas DC-47,CCCP-L1048,11936,22,17,5,22,17,5,0,"The plane was attempting to land in poor visibility, below weather minimumns the plane hit a broadcast radio mast, crashed and burned. Crew error, ATC error."</t>
  </si>
  <si>
    <t>05/29/1947,19:05,"La Guardia Airport, Queens, New York",United Air Lines,521,New York City - Cleveland,Douglas C-54B,NC30046,18324,48,44,4,43,41,2,0,"The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</si>
  <si>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05/29/1947,22:45,"Atsugi, Japan",Military - U.S. Army Air Forces,,Seoul - Tachikawa,Douglas C-54D-DC (DC-4),42-72553,10658,40,33,7,40,33,7,0,"Turned the wrong way while attempting to land and slammed into a mountain, bursting into flames."</t>
  </si>
  <si>
    <t>05/29/1947,12:48,"Hjedinsfjordur, Iceland",Flugefelag,,ReykjavÃ­k - Akureyri,Douglas DC-3,TF-ISI,13389,25,21,4,25,21,4,0,Crashed on the north coast of Iceland in poor weather. the aircraft hit the slope of Mt Hestfjall located on the west coast of HÃ©Ã°insfjÃ¶rÃ°ur Bay.</t>
  </si>
  <si>
    <t>05/30/1947,17:41,"Port Deposit, Maryland",Eastern Air Lines,605,Newark - Baltimore - Miami,Douglas C-54B-15-DO,NC88814,18380,53,49,4,53,49,4,0,"While on approach to Baltimore at 4,000 ft., the plane suddenly went into a nose dive, inverted and crashed.  Possible problems with the elevator. The official cause was never determined."</t>
  </si>
  <si>
    <t>06/04/1947,23:00,"Near Gemenos, France",Air France,,Marseille - Lyon,Junkers Ju-52,F-BANB,AAC136,2,0,2,2,0,2,0,The cargo plane struck high ground while en route.</t>
  </si>
  <si>
    <t>06/11/1947,23:07,"Near Natal, Brazil",Flota AÃ©rea Mercante Argentina,,Buenos Aires - Natal - London,Avro 691 Lancastrian,LV-ACS,,18,13,5,5,3,2,0,"Veered off runway, struck a building while landing."</t>
  </si>
  <si>
    <t>06/13/1947,18:16,"Leesburg, Virginia",Pennsylvania Central Airlines,410,Pittsburgh - Washington D.C.,Douglas DC-4 (C-54-DO),NC88842,3112,50,47,3,50,47,3,0,"The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</si>
  <si>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06/19/1947,23:40,"Al Mayadin, Syria",Pan American World Airways,121,Karachi - Istanbul,Lockheed 049-46-21 Constellation,NC88845,2045,36,27,9,14,7,7,0,"While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</si>
  <si>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06/21/1947,,"Black Sea, Gulf of Karkinitsky",Aeroflot,,,Li-2,CCCP-L4138,,29,25,4,8,6,2,0, The plane ditched in the Black Sea. Engine failure due to disconnection of traction altitude corrector.</t>
  </si>
  <si>
    <t>07/01/1947,,"Near Eaeka, French Cameroons",Air France,,Bangu i- YaoundÃ© - Douala,Junkers JU-52/3m,F-BALF,091,13,10,3,13,10,3,0,Crashed into the slope of a mountain while en route in reduced visibility.</t>
  </si>
  <si>
    <t>07/13/1947,04:30,"Melbourne, Florida",Burke Air Transport,,Newark - Miami,Douglas DC-3,NC79024,9887,36,33,3,14,12,2,0,"The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</si>
  <si>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07/15/1947,,"Vichy ,France",Aero Cargo,,Paris - Vichy,Junkers Ju-52/3m,F-BCHH,AAC323,19,NULL,NULL,1,NULL,NULL,0,Lost control while landing and crashed.</t>
  </si>
  <si>
    <t>07/16/1947,22:40,"Az-Zubair, Iran",British Overseas Airways,,Cairo - Basrah,Avro 685 York,G-AGMR,1219,6,0,6,6,0,6,0,"During a fourth landing attempt the plane touched down, power was applied but the plane crashed in a wooded area beyond the runway. An error on the part of the pilot in continuing the flight in unsuitable weather conditions coupled with lack of cooperation by the ATC."</t>
  </si>
  <si>
    <t>07/25/1947,,"Moron, Argentina",Flota AÃ©rea Mercante Argentina,,Test flight,Avro 685 York I,LV-XIH,1366,6,0,6,2,0,2,2,Struck a truck while attempting to land.</t>
  </si>
  <si>
    <t>07/31/1947,,"Near Yumen, China",Military - Chinese Air Force,,Tihua - Lanzhou,Douglas C-47,,,26,22,4,26,22,4,0,Crashed in a mountainous area.</t>
  </si>
  <si>
    <t>08/02/1947,17:40,"Andes, Argentina",British South American Airways,,Buenos Aires - Santiago,Avro 691 Lancastrian 3,G-AGWH,1280,11,6,5,11,6,5,0,"Crash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</si>
  <si>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08/06/1947,,North Pacific Ocean,Military - U.S. Navy,,Kodiak - Dutch Harbor,Consolidated PBY-5A Catalina,34032,,20,15,5,20,15,5,0,Disappeared while en route. The last message from the aircraft was it was 150 miles from its destination and battling strong head winds.</t>
  </si>
  <si>
    <t>08/08/1947,18:49,"New York, New York",American Airlines,,New York - Buffalo,Douglas DC-3C,NX88787,19639,5,3,2,3,1,2,0,"Cargo flight. Lost an engine on takeoff and decided to return to the airport. Following an attempted landing, a miss approach procedure was attempted for a second landing without sufficient air speed for single engine operation."</t>
  </si>
  <si>
    <t>08/09/1947,,"Malmo, Sweden",AB Aerotransport,,Amsterdam - Malmo,Douglas DC-3F,SE-BAY,19559,5,0,5,1,0,1,0,The cargo plane overran the runway and crashed into high ground.</t>
  </si>
  <si>
    <t>08/13/1947,,"Bucharest, Romania",Transporturile Aeriene Romano-Sovietice,,Constanta - Bucharest,Lisunov Li-2,YR-TAV,18423801,8,5,3,3,3,0,0,</t>
  </si>
  <si>
    <t>08/21/1947,06:11,"Hanksville, Utah",Slick Airways,,,Curtiss C-46E,NC59488,2935,3,1,2,3,1,2,0,The cargo plane entered a thunderstorm and struck Blue Bell Knoll Mountain. The continuation of the flight into instrument weather conditions over mountainous terrain at an altitude too low to clear the mountains en route.</t>
  </si>
  <si>
    <t>08/23/1947,04:00,"Bahrain, Persian Gulf",British Overseas Airways,,Karachi - Bahrain,Short Sandringham 5 (flying boat),G-AHZB,SH-38C,26,18,8,10,7,3,0,"Heavy water landing. The captain misjudged the approach and allowed the aircraft to touchdown heavily, short of the flarepath. He then failed to maintain control during the bounce and the aircraft struck the water in a nose-down attitude."</t>
  </si>
  <si>
    <t>08/28/1947,09:00,"Harsiad, Norway",Norwegian Airlines,,Tromso - Oslo,Short Sandringham (flying boat),LN-IAV,SH-48C,35,27,8,35,27,8,0,"Crashed into 13,000 foot mountain. Navigational error by the crew."</t>
  </si>
  <si>
    <t>10/08/1947,07:55,"Near El Paso, Texas",American Airlines,311,New York City - Dallas - Los Angeles,Douglas DC-4,NC90432,10314/DC45,54,49,5,0,0,0,0,"While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</si>
  <si>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10/14/1947,10:04,"Ocean, 800 miles east of Newfoundland",American International Airways,,"Foynes, Ireland - Botwood, Newfoundland - New York",Boeing 314A, NC18612,2086,69,62,7,0,0,0,0,"The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</si>
  <si>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10/16/1947,14:50,"Off Cartegena, Spain",Societe Aerienne du Littoral,,Marseille - Oran,Bristol 170 Freighter I,F-BCJN,12788,43,39,4,41,38,4,0,Crashed into the sea following engine failure. The mechanic and a passenger survived.</t>
  </si>
  <si>
    <t>10/16/1947,,"Sylva, North Carolina",Stratofreight,,"Charlotte, NC - Gainsville, GA",Douglas DC-3,,,3,1,2,3,1,2,0,The cargo plane struck a mountain en route.</t>
  </si>
  <si>
    <t>10/24/1947,12:29,"Bryce Canyon, Utah",United Air Lines,608,Los Angeles - New York City,Douglas DC-6,NC37510,42875/17,53,48,5,53,48,5,0,"Fire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</si>
  <si>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10/26/1947,19:30,"Near Mt. Hymettus, Greece",AB Aerotransport,1629,Istanbul-Athens-Rome-Geneve-Copenhagen-Stockholm,Douglas DC-4-1009,SE-BBG,42930/45,44,36,8,44,36,8,0,"The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</si>
  <si>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10/26/1947,13:45,"Annette Island, Alaska",Pan American World Airways,923,Seattle - Juneau,Douglas DC-4A,NC88920,10317,18,13,5,18,13,5,0,The aircraft crashed into Tamgas Mountain after abandoning an approach to Annette Island because of extreme turbulence and radioing its intentions to proceed to Juneau. Possible severe turbulence or icing. Official cause unknown. The aircraft was named Clipper Talisman II.</t>
  </si>
  <si>
    <t>10/31/1947,,"Near Srinagar, India",Military - Royal Indian Air Force,,,Douglas C-47B,M965, 12819,25,22,3,25,22,3,0,Took off and went missing. The wreckage was located in June 1980 in the Pir Panjal hills near Srinagar.</t>
  </si>
  <si>
    <t>11/02/1947,,"Off Barrio Rizal, Philippines",Philippine Air Express,,,Douglas DC-3,,,5,3,2,5,3,2,0,The cargo plane crashed into the ocean.</t>
  </si>
  <si>
    <t>11/11/1947,,"Gallup, New Mexico",American Airlines,10,San Francisco - Chicago - New York,Douglas DC-6,NC90741,43046/92,25,21,4,0,NULL,NULL,0,"The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</si>
  <si>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11/13/1947,,"Near Bouchox, France",SociÃ©tÃ© Auxiliare de Navigation AÃ©rienne,,,Junkers Ju-52/3m,F-BDYH,AAC401,2,0,2,2,0,2,0,The cargo plane struck a mountain en route.</t>
  </si>
  <si>
    <t>11/18/1947,13:00,"Newcastle, Delaware",Trans Continental and Western Air,,Training,Lockheed L-049-46-26 Constellation,NC86507,2028,5,0,5,5,0,5,0,"Crashed short of the runway and burst into flames. The inadvertent landing of the aircraft short of the runway. Inadequate air speed, improper use of power, and the adoption of an incorrect glide path."</t>
  </si>
  <si>
    <t>11/18/1947,15:00,"Ravello, Italy",Trafik-Turist-Transportflyg,,Catania - Rome,Bristol 170 Freighter XI,SE-BNG,12792,25,21,4,20,16,4,0,"Strayed off course, stuck tree tops and then crashed into Mt. Santa Maria del Monte. Pilot's failure to realize the plane strayed off course and was in mountainous territory."</t>
  </si>
  <si>
    <t>11/21/1947,18:00,"Phouznicie, Romania",TARS,,Bucurest - Prague,Lisunov Li-2,YR-TAI,18423509,26,21,5,13,8,5,0,"Crashed and burned on 2,000 ft. Tabor Peak in fog. The crew became lost after radio failure."</t>
  </si>
  <si>
    <t>11/27/1947,,,China National Aviation Corporation,,,Douglas DC-3,,,3,0,3,2,0,2,0,The cargo plane was shot down by communist anti -aircraft fire.</t>
  </si>
  <si>
    <t>11/27/1947,,"Yakutat, Alaska",Columbia Air Cargo,,Fairbanks - Yakutat,Douglas DC-3C,NC95486,6065,13,11,2,13,11,2,0,Crashed into trees while on approach to Yakutat. Failure to follow the approved instrument approach procedures while making an initial approach at an altitude insufficient to clear trees along the flight path.</t>
  </si>
  <si>
    <t>11/27/1947,04:20,"Montenegrin Mountains, Yugoslavia",JAT Yugoslav Airlines,, Zagreb - Titograd,Lisunov LI-2,YU-BAD,184 270 09,22,19,3,22,19,3,0,The aircraft crashed and burned 2 miles from Titograd airport while attempting to land in a snowstorm.</t>
  </si>
  <si>
    <t>11/28/1947,14:10,"Near Trappa, Italy",Military - U.S. Air Force,,,Douglas C-47B,43-48736,14552/25997,20,15,5,20,15,5,0,"Drifting 30 miles off the prescribed course, the aircraft crashed into snow covered mountains. The wreckage was discovered 8 months later."</t>
  </si>
  <si>
    <t>11/30/1947,14:25,"Seattle, Washington",Alaska Airlines,009,Anchorage - Seattle,Douglas C-54A,NC-91009,7453,28,25,3,8,7,1,1,"The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</si>
  <si>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12/10/1947,00:20,"Near Goose Bay, Labrador",Military - U.S. Air Force,,"Goose Bay - Westover Field, MS",Douglas C-54D-DC (DC-4),42-72572,10677,29,25,4,23,22,1,0,The aircraft crashed and burned in a wooded area shortly after taking off from Goose Bay. Snow falling at the time of the accident was a factor.</t>
  </si>
  <si>
    <t>12/11/1947,18:10,"Near Memphis, Tennessee",Military - U.S. Air Force,,El Paso - Memphis,Douglas C-47-DK,44-76366,15950/32698,20,16,4,20,16,4,0,"After preparing to land, the aircraft went into a right-hand spiral and crashed  for reasons unknown."</t>
  </si>
  <si>
    <t>12/18/1947,09:30,"Krasnoyarsk, Russia",Aeroflot,6,Krasnoyarsk - Omsk,Ilyushin IL-12,CCCP-L1343,30 049,25,20,5,9,3,4,0,Crash landed due to engine failure after an attempted go-around.</t>
  </si>
  <si>
    <t>12/23/1947,,"Kunming, China",Air Transport,,,Short  S-29 Stirling V,OO-XAC,,30,NULL,NULL,25,NULL,NULL,0,</t>
  </si>
  <si>
    <t>12/27/1947,,"Korangi Creek, India",Air India,,Karachi - Bombay,Douglas DC-3 (C-47),VT-AUG,4175,23,19,4,23,19,4,0,"The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</si>
  <si>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12/28/1947,,"Leon, Mexico",Servicio AÃ©reo Panini,,Dorango - Leon - Mexico City,Douglas DC-2-172,XA-GEE,1408,10,7,3,5,3,2,3,Crashed near the Leon public square and destroyed 3 homes. Lost an engine while taking off. Attempting to return to the airport.</t>
  </si>
  <si>
    <t>01/06/1948,19:30,"Paris, France",Air France,,Brussels - Paris,Douglas DC-3D,F-BAXC,42972,16,11,5,16,11,5,0,Crashed into trees a few hundred yards away from the runway while attempting to land at Le Bourget Airport. Both weather and pilot error were considered as causative factors in the accident.</t>
  </si>
  <si>
    <t>01/06/1948,,"Ruislip, England",British European Airways,,Renfrew - Northolt,Vickers 610 Viking 1B,G-AHPK,148,18,14,4,1,0,1,0,"After two or three failed approaches, the plane struck trees and crashed into a field. Poor judgment on the part of the pilot attempting to land in VFR conditions in limited visibility and poor weather conditions and not diverting to another airport."</t>
  </si>
  <si>
    <t>01/07/1948,07:45,"Near Savannah, Georgia",Coastal Air Lines,,Charlston - Savannah,Douglas DC-3,N60331,12968,27,25,2,18,17,1,0,"After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</si>
  <si>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01/08/1948,,"Near Palestro, Algeria",Transport Comp. Algerienne de T.A.,,Algiers - Biskra,Douglas DC-3,F-BDLG,0275,9,7,2,9,7,2,0,Crashed into a mountainside 50 miles south of Algiers after an engine failed.</t>
  </si>
  <si>
    <t>01/11/1948,,"Ciudad Havajillo, Dominican Republic",Dominicana,,Santa Cruz de Barahona - Santiago de los Caballeros,Douglas DC-3,HI-6,4735,32,29,3,32,29,3,0,Crashed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</si>
  <si>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01/13/1948,04:36,"Oxon Hill, Maryland",Eastern Air Lines,572,Atlanta - Washington D.C.,Douglas DC-3-201F,NC28384,4092,9,6,3,5,3,2,0,"The aircraft crashed during approach, 5.2 miles short of the runway, in poor weather conditions. Failure of the crew to follow prescribed  procedures and maintain a safe altitude during an ILS approach."</t>
  </si>
  <si>
    <t>01/20/1948,,"Near Mukden, China",China National Aviation Corporation,,,Curtiss C-46,,,54,51,3,11,11,0,0,"The heavily loaded plane rose 50 ft. into the air, nosed down and crashed in a snowstorm"</t>
  </si>
  <si>
    <t>01/28/1948,10:50,"Diablo Mts., California",Airline Transport Carriers,,Burbank - Oakland,Douglas DC-3 (C-47B-DK),NC36480,16850/33598,32,29,3,32,29,3,0,"The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</si>
  <si>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01/30/1948,03:00,"Atlantic Ocean, NE of Bermuda",British South American Airways,,London - Havana,Avro 688 Tudor I,G-AHNP,1349,31,25,6,31,25,6,0,"The aircraft ran out of fuel and crashed into the Atlantic Ocean, 340 miles from Bermuda, after running into strong headwinds and being blown off course while flying the leg from  the Azores to Bermuda. Official cause unknown. The aircraft was named ""Star Tiger."""</t>
  </si>
  <si>
    <t>02/07/1948,13:27,"Off Jacksonville, Florida",Eastern Air Lines,611,,Lockheed L-649 Constellation,NC112A,2533,69,63,6,1,0,1,0,The No. 3 propeller failed and penetrated the fuselage killing a purser.The failure of a propeller blade due to high stresses induced by accumulative engine malfunctioning.</t>
  </si>
  <si>
    <t>02/10/1948,16:30,"Near Padalarang, Indonesia",KLM Royal Dutch Airlines,,Bandung - Jakarta - Banjoemans - Semarang,Douglas DC-3,PK-REA,16380/33128,19,15,4,19,15,4,0,Crashed and burned on the island of Java. The crew reported they lost an engine. While trying to return the plane crashed and exploded.</t>
  </si>
  <si>
    <t>02/12/1948,13:25,"Ubrichstein, Germany",Det Danske Luftfartselskab,,Giessen - Bad Homberg,Douglas DC-3,OY-DCI,7330,21,17,4,12,8,4,0,"In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</si>
  <si>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02/20/1948,13:40,"Collesalvetti,  Italy",SocietÃ  Aerea Teseo,,Florence - Pisa - Rome,Douglas C-47-DL,I-REGI,4312,10,7,3,7,4,3,0,"The pilot chose to fly the short distance between Florence and  Rome below the cloud base. The weather suddenly became worse and the plane entered clouds at low level, drifted off course and struck a hill."</t>
  </si>
  <si>
    <t>02/21/1948,14:00,"Off St. Marcouf, France",Latecoere Airlines,,,Latecoere 631 (flying boat),F-BDRD,07,14,7,7,14,7,7,0,"The aircraft was seen at Ste. Mere l'Eglise where it passed very low in poor weather and snow showers before crashing into the English Channel, 50 miles west of La Harvre. It had turned back after encountering adverse weather conditions."</t>
  </si>
  <si>
    <t>02/23/1948,,"Davao, Philippines",Commercial Airways,,,Douglas DC-3,PI-C262,,12,9,3,12,9,3,0,Crashed  5 minutes after taking off from Mati.</t>
  </si>
  <si>
    <t>02/25/1948,06:00,"Columbus, Ohio",Bruning Aviation,,"Pittsburgh, PA - Columbus, OH",Douglas C-47A,NC36498,12527,2,0,2,2,0,2,0,The cargo plane struck trees while attempting to land.The continuation of an instrument approach below an altitude sufficient to clear the terrain en route.</t>
  </si>
  <si>
    <t>02/27/1948,,"Near Belem, Brazil",Military - Brazilian Air Force,,Rio de Janeiro - Bele - Cayenne,Douglas C-47,2040,20048,26,20,6,23,17,6,0,"The plane, carrying Brazilian service personnel and their dependents crashed and burned after stalling short of the runway while attempting to land."</t>
  </si>
  <si>
    <t>03/02/1948,,"Off Perpignan, France",SociÃ©tÃ© de Transports AÃ©riens,,Oran - Perpignan - Lyon,Junkers Ju-52/3m,F-BBYC,AAC223,4,0,4,4,0,4,0,The cargo flight crashed into the Gulf of Lion</t>
  </si>
  <si>
    <t>03/02/1948,21:14,"Heathrow Airport, London, England",Sabena,,Brussels - London,Douglas DC-3,OO-AWH,43154,22,19,3,20,17,3,0,The plane crashed during a ground control approach in poor weather conditions. Misjudgement by the pilot when attempting to land at night in conditions of low visibility. Last DC-3 built.</t>
  </si>
  <si>
    <t>03/07/1948,,"Near Skalafell, Iceland",Loftleidir Icelandic Airlines,,Vestmannaeyjar - Reykjavik,Avro Anson,TF-RVL,4185,4,2,2,4,2,2,0,Crashed into a slope of Mt Skalafell located near Hellisheioi in poor weather condtions.</t>
  </si>
  <si>
    <t>03/10/1948,22:58,"Chicago, Illinois",Delta Air Lines,700,Chicago - Miami,Douglas DC-4,NC37478,18390,13,9,4,12,8,4,0,"During takeoff, the aircraft went into a near vertical climb to an altitude of 500 - 800 feet, stalled and crashed.  Loss of longitudinal control of the airplane for reasons undetermined."</t>
  </si>
  <si>
    <t>03/12/1948,21:14,"Mt. Sanford, Alaska",Northwest Orient Airlines,4422,Anchorage - New York City,Douglas DC-4 (C-54G-1-DO),NC95422,35966/DO360,30,24,6,30,24,6,0,"On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</si>
  <si>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03/13/1948,,"Sierra Cristais, Brazil",Cruzeiro,,,Douglas DC-3,PP-CBX,11658,6,3,3,6,3,3,0,Struck a mountain peak in the Sierra Cristais.</t>
  </si>
  <si>
    <t>03/15/1948,,"Villa Pinzon, Colombia",Agencia Interamericana de Aviada,,El Secreto - Bogota,Douglas DC-3 (C47-DL),C-1002,6252,14,10,4,14,10,4,0,Crashed into the slope of Alto El Arrastradero mountain located 50 miles from Bogota.</t>
  </si>
  <si>
    <t>03/27/1948,07:30,"Monte Cardo, Corsica, France",Indian National Airlines,,Delhi - Rome - London,Vickers 604 Viking 1B,VT-CEL,166,19,15,4,19,15,4,0,"Crashed into a 7,800 ft. mountain obscured by clouds while en route."</t>
  </si>
  <si>
    <t>04/05/1948,14:30,"Near Berlin, Germany",British European Airways / Military - Soviet Air Force,,London - Berlin,Vickers Viking 1B &amp; Soviet YAK-3 fighter,G-AIVP,229,14,10,4,14,10,4,0,"The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</si>
  <si>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04/15/1948,02:35,"Shannon, Ireland",Pan American World Airways,1-10,Belgium - Shannon,Lockheed L-049-46 Constellation,NC-88858,2058,31,21,10,30,20,10,0,"While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</si>
  <si>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04/18/1948,09:20,Territory of New Guinea,New Guinea Air Traders,, Lae - Bulolo,Lockheed Hudson IIIA,VH-ALA,4146460,37,33,4,37,33,4,0,"The aircraft climbed to 500 ft. when its left engine failed, whereupon the plane plunged nose first into the ground on an island on the Markham River. Poor technique by the pilot during an emergency situation."</t>
  </si>
  <si>
    <t>04/24/1948,09:30,Near Irkutsk Russia,Aeroflot,,Kirensk - Badaybo,Lisnov Li-2,CCCP-L4460,3704,29,25,4,28,24,4,0,"Crashed in an icy river, 20 miles from its destination. The flight crew who had been drinking the previous night, diverted from the correct route and had been flying at an altitude of about 300 ft. when they crashed."</t>
  </si>
  <si>
    <t>05/13/1948,17:30,"Mount Coron, France",Skyways of London,,Croydon - Paris - Cannes,de Havilland Dove 1,G-AJOU,04058,4,2,2,4,2,2,0,"The aircraft crashed in a storm.  Kathleen Kennedy Cavendish, 28, sister of  President John F. Kennedy, killed."</t>
  </si>
  <si>
    <t>05/13/1948,11:00,"Near Magazini, Belgian Congo (Zaire)",Sabena,,Leopoldville - Libenga,Douglas DC-4-1009,OO-CBE,42932,32,25,7,31,24,7,0,"While cruising, the aircraft penetrated a very turbulent line of clouds, lost height and crashed into a forest. The aircraft apparently flew into a tornado at low altitude."</t>
  </si>
  <si>
    <t>05/15/1948,07:20,"Vrede, South Africa",Mercury Aviation,,Durban - Johannesburg - London,Douglas DC-3-455,ZS-BWY,6341,13,8,5,13,8,5,0,"Crashed into Spitzkop mountain after drifting off course in poor weather. The aircraft was named ""Miss France."""</t>
  </si>
  <si>
    <t>05/16/1948,20:42,"Columbus, Ohio",Slick Airways,,"Newark, NJ - Chicago, IL",Curtiss C-46E,NC59489,2938,2,0,2,2,0,2,0,"Cargo flight. The in-flight failure of the fuselage carry-in structure beneath the fin, due to extreme turbulence."</t>
  </si>
  <si>
    <t>05/20/1948,23:30,"Near Bovingdon, England",Air Transport Charter,,Valence - Bovingdon,Douglas C-47A,G-AJBG,14003/25448,4,0,4,3,0,3,0,"Cargo flight. While maneuvering at night under the base of low cloud prepatory to landing, the aircraft lost height and struck the ground. The cause of the accident was not determined."</t>
  </si>
  <si>
    <t>05/22/1948,18:40,"Khabarovsk, Russia",Aeroflot,,Petropavlovsk-Kamchatsky - Magadan,Douglas C-47, CCCP-L1073,17054/34321,9,5,4,8,4,4,0,"The aircraft collided with the western slope of  Marchekanskoy  hill, 70 m from the top. ATC error."</t>
  </si>
  <si>
    <t>05/25/1948,,"Albacete, Spain",Alpha Airways,,Albacete - Albacete,Handley Page Halifax C-8,G-AKBA,1303,4,0,4,4,0,4,1,Crashed on takeoff during a training flight after hitting a private aircraft.</t>
  </si>
  <si>
    <t>06/10/1948,20:00,Isle of Man,Hargreaves Airways,,"Birmingham, England - Isle of Man",de Havilland DH-89A Dragon Rapide,G-AIUI,6675,8,7,1,6,5,1,0,Crashed into a hill near Port Erin while attempting to land. The plane had failed to maintain both the proper course to the homing beacon and suffiecient altitude to clear the terrain.</t>
  </si>
  <si>
    <t>06/17/1948,12:41,"Mount Carmel, Pennsylvania",United Air Lines,624,Chicago - New York City,Douglas DC-6,NC37506,42871/12,43,39,4,43,39,4,0,"The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</si>
  <si>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06/17/1948,,"Over the Pearl River, China",Cathy Pacific,,Macau - Hong Kong,PBY Catalina,,,26,23,3,25,22,3,0,"A Catalina seaplane was hijacked by a group attempting to rob the passengers</t>
  </si>
  <si>
    <t xml:space="preserve"> following a struggle in the cockpit, the plane crashed killing all on board except one passenger who was later identified as the lead hijacker. This is the earliest known airliner hijacking."</t>
  </si>
  <si>
    <t>06/26/1948,,"Maiquetia, Venezuela",Linea Aeropostal Venezolana,,,Douglas DC-3,YV-C-AHI,16992/34254,17,14,3,1,0,1,0,Crashed during a landing attempt.</t>
  </si>
  <si>
    <t>07/01/1948,12:00,"Keerbergen, Belgium",Avio Linee Italiane,,Milano - Brussels,Fiat G.212CP,I-ELSA,04,12,7,5,8,4,4,0,Crashed after overrunning the runway in heavy rain.</t>
  </si>
  <si>
    <t>07/04/1948,16:00,"Northolt, Middlesex, England",Scandinavian Airlines (SAS),,Stockholm - Amsterdam - Northolt,Douglas DC-6 / RAF York,SE-BDA/ MW248,43119/111,39,26,13,39,26,13,0,"A midair collision occurred between a SAS DC-6 and a Royal Air Force Avro York MW248. Twenty-five passengers and 7 crew on the DC-6,  one passenger and six crew on the York. The accident was caused by human fallibility on the part of both ground and flilght personnel."</t>
  </si>
  <si>
    <t>07/07/1948,09:50,"Djiring, French Indo-China",Aigle Azur,,Saigon - Da Lat,Douglas DC-3,F-BCYP,9158,16,13,3,16,13,3,0,Crashed into mountains 50 miles southwest of Da Lat in adverse meteriological conditions and absence of adequate ground facililities.</t>
  </si>
  <si>
    <t>07/14/1948,,"Belem, Brazil",Aerovias Brasil,,,Douglas C-47A,PP-AVO,19113,5,2,3,5,2,3,0,The cargo plane lost control and crashed shortly after leaving the runway. The pilot did not apply the procedure recommended by the airline and attempted to make a turn after takeoff below the specified altitude of 100 meters.</t>
  </si>
  <si>
    <t>07/16/1948,18:00,Pacific Ocean between Hong Kong and Macao,Cathay Pacific Airways,,Macau - Hong Kong,Consolidated OA-10 Catalina,VR-HDT,,26,23,3,25,22,3,0,"The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</si>
  <si>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07/24/1948,17:30,"Cap-des-Rosiers, Quebec, Canada",Rimouski Airlines,,Port Meunier - GaspÃ©,Douglas DC-3,CF-FKY,6246,29,27,2,29,27,2,0,"The aircraft hit a mountain top at Cap-des-Rosiers, 12 miles from its destination in fog and burned."</t>
  </si>
  <si>
    <t>07/29/1948,,"Tsingtao, China",Civil Air Transport,,Qingdao - Jinan,Curtiss C-46D-20-CU,XT-822,22355,19,16,3,19,16,3,0,Crashed while attempting to take off. Went into a spin after taking off and plunged into the ground from about 300 ft.</t>
  </si>
  <si>
    <t>07/29/1948,09:15,"Buenos Aires, Argentina",ALFA,343,Rosario - Bueno Aires,Short Sandringham 2 (flying boat),LV-AAP,SH-02C,24,18,6,18,16,2,0,Crashed and sank near the shore of the River Plate while attempting to land in fog. Pilot error. Attempting to land atop water in conditions of fog and poor visibility which were below the prescribed minima.</t>
  </si>
  <si>
    <t>08/01/1948,09:40,"Karachi, Pakistan",Onzeair,,Chaklala â€“ Mauripur,Avro 691 Lancastrian (flying boat),AP-ACM,37031,4,0,4,4,0,4,0,"Cargo flight. An error in judgement on the part of the pilot in allowing the aircraft to stall while coming in to land. The contributory causes were probably overload, badly loaded with CG too far aft, movement of load due to it not being secured."</t>
  </si>
  <si>
    <t>08/01/1948,23:55,"1,200 miles off Dakar, Atlantic Ocean",Air France,072,Fort-de-France - Port-Etienne - Paris,Latecoere 631 (flying boat),F-BDRC,06,52,40,12,52,40,12,0,"Disappeared in the Atlantic on a flight from Fort. de France, Martinique to Port Etienne, Mauritania. The United States Coast Guard cutter Campbell reported finding debris on August 4 with no survivors."</t>
  </si>
  <si>
    <t>08/09/1948,08:45,"Port Underwood, New Zealand",New Zealand National Airways,,Blenheim - Paraparaumu,Douglas C-47B,ZK-AOE,16383/33131,2,0,2,2,0,2,0,"The cargo fllight hit the slope of a mountain located in Rununder Point, near Port Underwood, 32 km northeast of Blenheim in poor weather."</t>
  </si>
  <si>
    <t>08/20/1948,,"La Guaira, Venezuela",Avensa,,MaiquetÃ­a - Las Piedras - Maracaibo,Douglas C-47A,YV-C-AVN,19985,3,0,3,3,0,3,0,The cargo plane disappeared en route  over the Caribbean Sea.</t>
  </si>
  <si>
    <t>08/29/1948,17:05,"Near Winona, Minnesota",Northwest Orient Airlines,421,Chicago - Minneapolis,Martin 202,NC93044,9165,37,33,4,37,33,4,0,"Crashed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</si>
  <si>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08/31/1948,,"Near Elizabethville, Belgium Congo",Sabena,,Manono - Elizabethville,Douglas DC-3 (Douglas C-47A-10-DK),OO-CBL,12420,13,10,3,13,10,3,0,Crashed en route. Reasons undetermined.</t>
  </si>
  <si>
    <t>09/02/1948,20:15,"Near Quirindi, Australia",Australian National Airways,331,Brisbane - Sidney,Douglas DC-3,VH-ANK,9999,13,10,3,13,10,3,0,"Strayed off course and struck Square Peak Mountain at an altitude of 4,600 feet."</t>
  </si>
  <si>
    <t>09/30/1948,12:50," Balkhash, Kazakhstan",Aeroflot,060,Alma Ata - Balkhash - Karaganda - Moscow,Lisunov LI-2,CCCP-L4304,18423902,15,11,4,15,11,4,0,"A few minutes after takeoff, while climbing, the aircraft flew into clouds and control was lost. The aircraft banked right and lost altitude crashing in an isolated area located about 39 km northwest of Balkhash"</t>
  </si>
  <si>
    <t>10/02/1948,10:30,"Near Trondheim, Norway",Norwegian Airlines,,Fornebu - Hommelvik,Short Sandringham 6 (flying boat),LN-IWA,SH-52C,45,38,7,19,16,3,0,Crashed in Hommelvika Bay  while attempting to land in crosswinds and high seas.</t>
  </si>
  <si>
    <t>10/12/1948,13:00,"Near Yevlakh, Azerbaijan, USSR",Aeroflot,, Tashkent - Baku - Tbilisi - Sochi,Ilyushin Il12,CCCP-L1450, 8302517,10,4,6,10,4,6,0,"Crashed after turning back towards its point of departure afer encounteing low clouds, rain and icing conditions as well as poor navigational difficulties due to poor reception of radio beacons."</t>
  </si>
  <si>
    <t>10/21/1948,00:35,"Prestwick Airport, Scotland",KLM Royal Dutch Airlines,,Amsterdam - Prestwick - New York City,Lockheed 049-46-25 Constellation,PH-TEN,2083,40,30,10,40,30,10,0,"The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</si>
  <si>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10/23/1948,14:15,"Mt. Ruapehu, New Zealand",New Zealand National Airways,,Palmerston - Hamilton,Lockheed 10A Electra,ZK-AGK,1128,13,10,3,13,10,3,0,Crashed 700 feet from the summit of a mountain while en route in low visibility. Lack of navigational aids in the area contributed to the accident cause.</t>
  </si>
  <si>
    <t>10/25/1948,14:00,"Georgian SSR, USSR",Aerflot,,Krasnodar - Karachayevsk - Sukhumi - Tbilisi,Lisunov Li-2,CCCP-L4500,1401,18,14,4,18,14,4,0,Crashed in the Caucasus Mountains in adverse weather while en route. The crew deviated from its prescribed course. Poor flight planning. Crew drank alcohol before the flight.</t>
  </si>
  <si>
    <t>10/27/1948,16:50,"Near Edmonton, Alberta, Canada",Northwest Orient Airlines,6427,Minneapolis - Edmonton - Anchorage - Tokyo,Douglas C-54A,NC88785,10406,5,0,5,2,0,2,0,Cargo flight. The captain's action in undertaking simulated emergency procedures at a dangerously low altitude.</t>
  </si>
  <si>
    <t>11/03/1948,10:50,"Near Glossop, England",Military - U.S. Air Force,,RAF Scrampton - Burtonwood AFB,Boeing B-29A Superfortress,44-61999,11476,13,0,13,13,0,13,0,"Twenty-five minutes into the flight, the pilot descended prematurely and collided with a cloud covered mountain."</t>
  </si>
  <si>
    <t>11/04/1948,04:45,"Cape Spencer, Alaska",Pacific Alaska Air Freight,,Anchorage - Homer - Yakutat - Annette Island - Seattle,Douglas DC-3,N66637,11800,17,15,2,17,15,2,0,Lost contact with the aircraft after the crew reported passing Cape Spencer. The wreckage was never found.  Cause undetermined.</t>
  </si>
  <si>
    <t>11/08/1948,07:40,"Mt. Macedon, Australia",Australian National Airways,,Melbourne - Denilquin,Douglas DC-3,VH-UZK,2003,23,19,4,3,0,3,0,Crashed into Mt. Macedon hidden in fog. The pilot deviated off course from his flight plan and failed to follow VFR flight rules.</t>
  </si>
  <si>
    <t>11/11/1948,18:15,"Liverpool, England",Mannin Airways,,"Isle of Man - Dublin, Ireland",de Havilland DH-89A Dragon Rapide,G-AKOF,6538,8,6,2,7,5,2,0,Crashed after running out of fuel when diverted to Liverpool because of adverse weather.</t>
  </si>
  <si>
    <t>11/22/1948,,"Near Ryzhovo, Russia",Aeroflot,,Zyryanka - Srednekymsk,Lisunov Li-2,CCCP L-4463,,26,21,5,23,18,5,NULL,"After experiencing communication problems the crew attempted to land at a small airport, stalled and crashed into the ice-covered Kolyma River. Crew error."</t>
  </si>
  <si>
    <t>11/26/1948,11:15,"Vehari, Pakistan",Pakistan Airways,,Karachi - Lohore,Douglas DC-3,AP-ACE,12775,21,16,5,21,16,5,0,"The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</si>
  <si>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12/05/1948,,"Kiangwan, China",Central Air Transport,,Chengdu - Shanghai,Curtiss C-46,XT-538,,40,37,3,9,7,2,0,"Overshot runway, crashed and burned."</t>
  </si>
  <si>
    <t>12/06/1948,10:30,"Milan, Italy",Avio Linee Italiane Avio Linee Italiane,,Milan - Brussels,Douglas C-47,I-ETNA,4396,7,6,1,7,6,1,0,The aircraft crashed during takeoff in fog.</t>
  </si>
  <si>
    <t>12/12/1948,,"Taipei, Taiwan",China National Aviation Corporation,,Shanghai - Taipei,Douglas DC-3,,,10,8,2,2,0,2,0,Crashed while attempting to land.</t>
  </si>
  <si>
    <t>12/15/1948,06:00,"Near Bogata, Colombia",LANSA,,Bogota - Barranquilla,Douglas C-47,C-310,13807,30,27,3,30,27,3,0,Crashed shortly after taking off from Bogota. Possible accidental detonation of fire works being carried aboard leading to the in-flight separation of the wing.</t>
  </si>
  <si>
    <t>12/21/1948,14:00,"Basalt Island, Hong Kong",China National Aviation Corporation,,Shanghai - Hong Konk,Douglas C-54B-5-DO,XT-104,18348,33,29,4,33,29,4,0,"Crashed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</si>
  <si>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12/21/1948,16:37,"Near Pilos, Greece",Ceskoslovenske Aerolinie,,Rome - Athens,Douglas DC-3,OK-WDE,12894,24,19,5,24,19,5,0,Crashed in the Taigetos Mountains while en route after being shot down by Greek insurgents.</t>
  </si>
  <si>
    <t>12/23/1948,09:30,"Near Madrid, Spain",Iberia Airlines,,Madrid - Barcelona,Douglas DC-3 (C-47-DL),EC-ABK,4256,27,24,3,27,24,3,0,Crashed into Pandols Mountain while en route in poor weather conditions.</t>
  </si>
  <si>
    <t>12/28/1948,04:13,"Off San Juan, Puerto Rico",Airborne Transport,,San Juan - Miami,Douglas DC-3DST,N16002,1496,32,29,3,32,29,3,0,Radio contact was lost after the crew reported being 50 nm south of Miami. Departure from San Juan with known electrical problems and discharged batteries. Ditched in the Gulf of Mexico after it ran out of fuel. Offical cause unknown.</t>
  </si>
  <si>
    <t>12/31/1948,17:52,"Mt. Argentari, Italy",Pan African Air Charter,,Athens - Rome - Nice,Douglas DC-3,ZS-BYX,12587,13,8,5,13,8,5,0,Crashed into Mt. Arbetello in poor visibility. Poor visibility and geographical features made recognition of terrain difficult and likely mislead the pilot into believing he was out at sea.</t>
  </si>
  <si>
    <t>01/02/1949,22:05,"Seattle, Washington",Seattle Air Charter,,Seattle - New Haven,Douglas DC-3 (C-47A-DL),NC79025,10181,30,27,3,14,11,3,0,"The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</si>
  <si>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01/05/1949,,"Caravelas Bay, Brazil",British South American Airways,,,Avro 685 York 1,G-AHEX,1301,17,11,6,3,3,0,0,"A blown tire during takeoff led to damage to the landing gear, engine and oil line. Lack of oil caused loss of the engine and the crew was not able to feather the prop. This led to overspeeding and an engine fire. The plane made a spiral descent and crashed to the ground."</t>
  </si>
  <si>
    <t>01/06/1949,07:20,"Brandywine, Maryland",Coastal Cargo,,"Raleigh, NC - Boston, MA",Douglas C-47A,NC53210,13777,2,0,2,2,0,2,0,"Cargo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</si>
  <si>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01/11/1949,,"Near Pelotas, Brazil",Viacao Aerea Gaucha S.A.,,Porto Alegre - Sao Borja,Lockheed 18 Lodestar,PP-SAC,,12,8,4,12,8,4,0,The aircraft crashed shortly after taking off. Engine failure due to fuel contamination.</t>
  </si>
  <si>
    <t>01/15/1949,,"Ras-el-Tin, Egypt",Pan African Air Charter,,,Douglas C-54 Skymaster,ZS-AYB,19584,30,NULL,NULL,30,NULL,NULL,0,Ditched in a lagoon.</t>
  </si>
  <si>
    <t>01/16/1949,,"Near Srinagar, India",Dalmia Jain Airways,,,Douglas DC-3,VT-CDZ,14145/25590,13,4,9,13,4,9,0,Crashed en route.</t>
  </si>
  <si>
    <t>01/17/1949,13:40,"Atlantic Ocean, off Bermuda",British South American Airways,,Bermuda - Kingston,Avro 688 Tudor 4B,G-AGRE,1253,20,13,7,20,13,7,0,"Lost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</si>
  <si>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01/17/1949,09:50,"Near Succoth Glen, Lochgoilhead, Scotland",Military - U.S. Air Force,,RAF Scampton - Keflavik - Kansas,Boeing B-29A Superfortress,44-62276,,20,16,4,20,16,4,0,"The aircraft, part of the 301st BG  15 AFW, cashed into mountains after encountering icing conditions.  The aircraft lost height, clipped the summit of Beinn Tharsuinn in Argyll, and crashed in flames in Succoth Glen below."</t>
  </si>
  <si>
    <t>01/20/1949,20:05,"Homer, Alaska",Alaska Airlines,8,Homer - Anchorage,Douglas DC-3C,N91006,20208,6,3,3,5,3,2,0,"The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</si>
  <si>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01/30/1949,16:22,"Port Washington, New York",Pan American World Airways,100,,Lockheed L-749 / Cessna 140,NC86530/NC76981,2528 /?,35,23,12,2,1,1,0,"Midair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</si>
  <si>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02/02/1949,16:00,"Trinity Bay, Newfoundland",Saint Lawrence Airways,,Trinity - Rimouski,Avro Anson,CF-FEO,3708,10,NULL,NULL,6,NULL,NULL,0,Crashed shortly after taking off.</t>
  </si>
  <si>
    <t>02/04/1949,,"Castel Benito, Libya",Skyways of London,,Khartoum - Castel Benito,Douglas C-54A-1-DO Skymaster,G-AJPL,7464,53,44,9,1,0,1,0,"The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</si>
  <si>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02/05/1949,,"Buenaventura Bay, Colombia",AVIANCA,,,Consolidated PBY-5A Catalina,HK-134,,14,10,4,3,1,2,0,Crashed while attempting to land.</t>
  </si>
  <si>
    <t>02/08/1949,19:56,"Off Copenhagen, Denmark",Scandinavian Airlines (SAS),,Paris - Copenhagen,Vickers 628 Viking 1B,OY-DLU,199,27,23,4,27,23,4,0,"Crashed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</si>
  <si>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02/10/1949,,"Near Huanuco, Peru",Faucett,,Tingo Maria - Huanuco,Douglas DC-3,OB-PAV-223,15374/26819,16,13,3,16,13,3,0,Struck a mountain as the plane approached Huanuco.</t>
  </si>
  <si>
    <t>02/19/1949,09:45,"Near Coventry, Warks, England",British European Airways / Military - British,,London - Glasgow,Douglas DC-3 / Avro Anson,G-AHCW/VV243,13308,14,6,8,14,6,8,0,"Midair collision between a DC-3 and a RAF Avro Anson at 4,500 feet.  Both planes disintegrated and fell to the ground. Ten killed on the DC-3, four on the Avro Anson. Failure on the part of the pilot of each aircraft to ensure the maintenance of an effective lookout."</t>
  </si>
  <si>
    <t>02/24/1949,08:00,"Near Cuzco, Peru",TAM (Peru),,Cuzco - Lima,Douglas C-47,,,26,22,4,22,20,2,0,The aircraft lost control and crashed following a blown tire on takeoff.</t>
  </si>
  <si>
    <t>02/24/1949,11:00,"Braemar Resevoir, Hong Kong",Cathay Pacific Airways,,"Manila, Philippines - Hong Kong",Douglas DC-3,VR-HDG,20576,23,19,4,23,19,4,0,Crashed near Braemar Resevoir after a go-around in poor weather. The crash was attributed to pilot error.</t>
  </si>
  <si>
    <t>03/10/1949,09:50,"Coolangatta, Australia",Queensland Airlines,,Coolangatta - Brisbane,Lockheed 18 Lodestar,VH-BAG,2194,22,19,3,22,19,3,0,"Crashed on takeoff from Coolangatta.  After becoming airborne, the aircraft was seen to climb very steeply and stall when at a height of 300 ft., roll to the left and crash."</t>
  </si>
  <si>
    <t>03/15/1949,,"Berlin, Germany",Skyways,,,Avro 685 York I,G-AHFI,1316,3,0,3,3,0,3,0,The cargo plane crashed while attempting to land.</t>
  </si>
  <si>
    <t>03/18/1949,09:40,"Near Waikanae, New Zealand",New Zealand National Airways,,Auckland - Wellington,Lockheed 18 Lodestar,ZK-AKX,2382,15,13,2,15,13,2,0,Crashed into a hill while on approach in low overcast. A navigational error by the pilot-in-command..</t>
  </si>
  <si>
    <t>04/29/1949,12:20,"Near Mironovo, Russia",Aeroflot,,Yakutsk - Kirensk,Lisunov Li-2,SSSR-L4464,,24,18,6,14,11,3,0,"The flight deviated 60 miles off the proper course, the crew initiated a descent without either establishing their position or making  visual contact with the ground. The plane crashed into a mountain."</t>
  </si>
  <si>
    <t>05/04/1949,17:04,"Superga, Italy",Avio Linee Italiane,,Barcelona - Torino,FIAT G-212CP,I-ELCE,5,31,27,4,31,27,4,0,"The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</si>
  <si>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05/04/1949,12:10,"Near Portland, Dorset, England",Bristop Aeroplane Company,,Test Flight,Bristol 170 Freighter 31 Mark II,G-AIFF,,7,0,7,7,0,7,0,Crashed in the English Channel. Cause unknown.</t>
  </si>
  <si>
    <t>05/07/1949,16:00,"Sibuyan Sea, off the Philippine island of Elalat",Philippine Air Lines,,Daet - Manila,Douglas DC-3,PI-C-98,16743/33491,13,10,3,13,10,3,0,"The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</si>
  <si>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05/13/1949,14:10,"Near  Novosibirsk, Russia",Aeroflot,,Novosibirsk - Moscow,Ilyushin IL-12,L1791,93013208,25,20,5,25,20,5,0,Crashed after penetrating a thunderstorm.</t>
  </si>
  <si>
    <t>06/06/1949,19:00,"Malahasa Attica, Greece",Tech - Aeronautical Explotiation,,Kavallo - Athens,Douglas DC-3,SX-BAI,12162,22,18,4,22,18,4,0,Crashed into a mountainside 30 miles northeast of Athens. Structural failure while flying through an area of thunderstorm activity.</t>
  </si>
  <si>
    <t>06/07/1949,14:00,"Near Florianpolis, Brazil",Military - Brazilian Air Force,,Florianpolis - Porto Alegre,Douglas C-47B,C-47-2023,,27,21,6,27,21,6,0,The aircraft crashed into a mountain shortly after taking off from Florianpolis.</t>
  </si>
  <si>
    <t>06/07/1949,00:25,"San Juan, Puerto Rico",Strato Freight,,San Juan - Miami,Curtiss C-46D-5-CU,N92857,30506,81,75,6,53,52,1,0,"The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</si>
  <si>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06/23/1949,10:55,"Off Bari, Italy",KLM Royal Dutch Airlines,,Batavia - Amsterdam,Lockheed 749-79-33 Constellation,PH-TER,2541,33,23,10,33,23,10,0,Crashed into Bari Harbor while en route from Cairo via Athens to Rome. Witnesses observed smoke from an engine followed by smoke from the other engines and fuselage prior to the crash. The plane broke-up in flight.</t>
  </si>
  <si>
    <t>07/02/1949,02:15,"Near Guildford, Australia",Mac Roberston-Miller Airlines,,Guildford - Darwin,Douglas C-47A-20-DL,VH-MME,9350,18,14,4,18,14,4,0,The plane rose to 600 ft. then nosed down and crashed into a housing camp south of Guildford shortly after taking off. Caused by a stall attributed to improper loading of the DC-3 which resuled in its center of gravity being beyond the permissible limit.</t>
  </si>
  <si>
    <t>07/12/1949,07:43,"Chatsworth, California",Standard Airlines,897R,Albuquerque - Burbank,Curtiss C-46E-1-CS,N79978,2936,48,44,4,35,32,3,0,The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</si>
  <si>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07/12/1949,03:50,"Near Bombay, India",KLM Royal Dutch Airlines,,Delhi - Bombay,Lockheed L-749-79-33 Constellation,PH-TDF,2558,45,34,11,45,34,11,0,"While circling in a blinding monsoon rainstorm, the aircraft crashed into 674 ft. high Ghatkopar hill, 3 miles ENE of the airport. Crew error. Pilots decision to land in weather below prescribed minimums in an area he was not familiar with."</t>
  </si>
  <si>
    <t>07/13/1949,,"Jamnagar, Gujarat state, India",Indian Air Force,,Training,Hawker Hunter,,,0,1,1,0,1,1,14,"Crashed into a garage near Jamnagar railway station while on a training flight. Apart from the pilot, at least 14 on the ground were killed and about 60 were injured."</t>
  </si>
  <si>
    <t>07/19/1949,21:01,"Seattle, Washington",Air Transport Associates,,Seattle - Chicago,Curtiss C-46F-1-CU,N5075N,22463,32,28,4,2,2,0,4,A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</si>
  <si>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07/21/1949,11:35,"Marga, Russia",Aeroflot,5,Krasnoyarsk - Irkutsk,Ilyushin IL-12,L1714,83012811,14,8,6,13,8,5,0,The plane crashed after the left engine caught fire.</t>
  </si>
  <si>
    <t>07/30/1949,10:45,"Chesterfield, New Jersey",Eastern Air Lines / Military - USN,557,New York City - Wilmington,Douglas DC-3 -201D/ F-6-F- 5 Hellcat,N19963/BU72887,2260 /,16,12,4,16,12,4,0,"Midair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</si>
  <si>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08/02/1949,11:30,"Jaquirana, Brazil",Varig,,Sao Paulo - Porto Alegre,Curtiss C-46D-10-CU,PP-VBI,33100,36,30,6,5,4,1,0,"Twenty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</si>
  <si>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08/03/1949,,"Sao Francisco Bay, Brazil",Lineas AÃ©reas Brasil,,,Douglas DC-3,PP-AJB,9971,30,NULL,NULL,5,NULL,NULL,0,Both the No. 1 and No. 2 propellers detached in flight which led to the crew ditching the plane close to shore.</t>
  </si>
  <si>
    <t>08/06/1949,,"Salasaca, Ecuador",Shell Co of Ecuador,,Mers Nueva - Ambato,Bristol 170 Freighter 21,HC-SBU,12739,34,31,3,34,31,3,0,The aircraft was part of relief efforts of the Ecuador earthquake.</t>
  </si>
  <si>
    <t>08/09/1949,,"Salalah, Oman",Military - Royal Air Force,,,Douglas C-47B,KN336,15901/32649,12,NULL,NULL,12,NULL,NULL,0,Crashed short of the runway.</t>
  </si>
  <si>
    <t>08/13/1949,13:30,"Near Bogota, Colombia",SAETA,,Bogota - Ibague,Douglas C-47,HK-1200,,32,29,3,32,29,3,0,Crashed in the Andes mountains while  en route.</t>
  </si>
  <si>
    <t>08/15/1949,03:40,"Off Lurga Point, Ireland",Transocean Air Lines,,Rome - Shannon,Douglas DC-3 (C-54A-DO),N79989,3076,58,49,9,8,7,1,0,"Fuel exhaustion forced the plane to ditch in the Atlantic Ocean, 15 km off the coast of Ireland. The plane stayed afloat for 15 minutes but 8 occupants died due to exposure or drowning. Failure of the captain to properly supervise the crew while en route."</t>
  </si>
  <si>
    <t>08/19/1949,13:02,"Near Oldham, England",British European Airways,,Belfast - Manchester,Douglas DC-3,G-AHCY,12355,32,29,3,24,21,3,0,"Crashed into Wimberry Rocks, Dovestones, Greenfield, near Oldham at 1,700 feet, 15 nm short of its destination.  Navigational error and improper approach procedure. Failure to check the position of the aircraft accurately before descent from a safe altitude."</t>
  </si>
  <si>
    <t>08/21/1949,23:30,"Near Bigstone Lake, Manitoba",Military - Royal Canadian Air Force,,Churchhill - Winnipeg,Consolidated Canso (amphibian),11057,,21,14,7,21,14,7,0,Crashed and burned in a wooded area after entering an area of thunderstorms.</t>
  </si>
  <si>
    <t>08/27/1949,08:00,"Leopoldville, Zaire",Sabena,,Leopoldville - Elizabethville,Douglas C-47B-5-DK,OO-CBK,14600/26045,20,17,3,5,3,2,0,The aircraft did not achieve a proper climb rate after taking off and crashed while making a low altitude right turn. Water in the fuel and excessive lead on the spark plugs.</t>
  </si>
  <si>
    <t>09/09/1949,10:45,"Sault-aux-Cochons, PQ, Canada",Canadian Pacific Air Lines,,Montreal - Comeau Bay,Douglas DC-3,CF-CUA,4518,23,19,4,23,19,4,0,"The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</si>
  <si>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09/26/1949,13:30,"Mt. Popocatepetl, Mexico",Mexicana,,Tapacula - Mexico City,Douglas DC-3,XA-DUH,11725,24,21,3,24,21,3,0,"Crashed into a 15,000 ft. snow covered volcano, Mt. Popocatepetl. Flying VFR in IFR conditions."</t>
  </si>
  <si>
    <t>09/27/1949,,"Near Castilla, Argentina",Flota AÃ©rea Mercante Argentina,,,Douglas C-54A-1-DO,LV-ABI,7445,27,20,7,5,2,3,0,Crashed after an in-flight fire. The plane tried to make a forced landing but crashed before reaching the air strip. Returning from a mercy mission in Ecuador for earthquake relief.</t>
  </si>
  <si>
    <t>10/09/1949,,"Cheyenne, Wyoming",Slick Airways,11-8,Las Vegas - Denver,Curtiss C-46E-1-CS,N59485,2939,4,2,2,4,2,2,0,"Diverted to Cheyenne, while on approach, the aircraft crashed 2.5 miles short of the runway after encountering severe turbulence and icing. Loss of control of the aircraft during an instrument approach to Cheyenne, under conditions of heavy icing and severe turbulence."</t>
  </si>
  <si>
    <t>10/28/1949,02:50,"San Miguel Island, Azores",Air France,,Paris - Santa Maria - New York City,Lockheed 749-79-33 Constellation,F-BAZN,2546,48,37,11,48,37,11,0,"While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</si>
  <si>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11/01/1949,11:45,"Arlington, Virginia",Eastern Air Lines / Military - Bolivian Air Force,537,Boston - Washington D.C. - New Orleans,Douglas C-54B / P-38,N88727/NX26927,18365 /,55,51,4,55,51,4,0,"Midair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</si>
  <si>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11/04/1949,21:34,"Akron, Ohio",Harrington's Inc,,Philadelphia - Cleveland,Douglas DC-3,NC29086,4304,3,0,3,3,0,3,0,The cargo plane collided with trees short of the runway while attempting to land. The improper execution of an instrument approach which resulted in the aircraft being flown to the right of the proper approach path at an altitude too low to clear the terrain.</t>
  </si>
  <si>
    <t>11/16/1949,,"Calcutta, India",Royal Indian Air Force,,,Tempest,,,2,0,2,1,0,1,14,A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</si>
  <si>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11/20/1949,16:56,"Near Oslo, Norway",Aero Holland,,Brussels - Oslo,Douglas C-47A,PH-TFA,13462,35,31,4,34,30,4,0,Crashed into a hill during the approach. Pilot continued VFR in IFR condtions.</t>
  </si>
  <si>
    <t>11/26/1949,12:00,"Near Bucaramanga, Colombia",LANSA,,Bucaramanga - Cucuta,Douglas DC-3,HK-305,,12,9,3,12,9,3,0,Struck a mountain shortly after taking off.</t>
  </si>
  <si>
    <t>11/29/1949,05:49,"Dallas, Texas",American Airlines,157,New York City - Mexico City,Douglas DC-6,N90728,42895/58,46,41,5,28,26,2,0,"During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</si>
  <si>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11/29/1949,16:45,"Chaleyssin, France",Air France,,Paris - Lyons - Tunis,Douglas DC-4,F-BELO,10391,38,33,5,5,1,4,0,Crashed while on approach to Lyons.</t>
  </si>
  <si>
    <t>12/01/1949,19:00,"Taquaracucu, Brazil",REAL,,"Sao Palo, Brazil - Jacarezinho, Panama",Douglas DC-3 (C-47-DL),PP-YPM,4241,22,18,4,20,16,4,0,Crashed into a mountainside while circling to land. Crew error. Lack of flight discipline.  Poor decision by Chief of Operations in allowing the aircraft to continue flight in poor weather conditions.</t>
  </si>
  <si>
    <t>12/07/1949,17:15,"Vallejo, California",Arrow Airlines,,Burbank - Oakland - Sacramento,Douglas DC-3,NC60256,9201,9,6,3,9,6,3,0,"Struck a 1,200 ft. hill obscured by clouds, during a rainstorm, 6 miles east of Vallejo, California. The pilot failed to fly at the assigned altitude of 4,000 feet on his flight plan."</t>
  </si>
  <si>
    <t>12/09/1949,,"Near Lanchow, China",Civil Air Transport,,,Curtiss C-46D-CU,XT-820,22354,38,36,2,38,36,2,0,Crashed while en route.</t>
  </si>
  <si>
    <t>12/10/1949,,"Near Hoikow, China",Civil Air Transport,,Chengdu - Hoikow,Curtiss C-46D-CU,XT-814,22347,40,NULL,NULL,17,NULL,NULL,0,"Crashed on the outskirts of Hoikow, Hainan Island."</t>
  </si>
  <si>
    <t>12/12/1949,20:45,"Washington, D.C.",Capital Airlines,500,New Port News - Washington D.C.,Douglas DC-3-313A,NC-25691,2556,23,20,3,6,4,2,0,"The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</si>
  <si>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12/12/1949,21:51,"Jungshahi, Pakistan",Pakair,,,Douglas DC-3,AP-ADI,4841,26,22,4,26,22,4,0,Hit a mountain and burned 30 miles north of  Karachi airport. Navigational error.</t>
  </si>
  <si>
    <t>12/16/1949,06:00,"Orizaba, Mexico",Mexicana,,Mexico City - Merida,Douglas DC-3,XA-DUK,11721,17,13,4,17,13,4,0,Crashed into a mountain while en route.</t>
  </si>
  <si>
    <t>12/18/1949,20:30,"Aulnay-sous-Bois, France",Sabena,,,Douglas C-47A-60-DL,OO-AUQ,10241,8,4,4,8,4,4,0,Crashed after the wing failed during takeoff.</t>
  </si>
  <si>
    <t>12/30/1949,,"Comilla, Pakistan",Bharat Airways,,Agartala - Calcutta,Douglas C-54A-DO,VT-CYK,3089,7,6,1,7,6,1,0,Crashed and burned after attempting an emergency landing.</t>
  </si>
  <si>
    <t>01/05/1950,,"Sverdlovsk, Russia",Military - Soviet Air Force,,, Lisunov Li-2,,,19,NULL,NULL,19,NULL,NULL,0,"During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</si>
  <si>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01/18/1950,,"Albacete, Spain",Ejercito del Aire,,,Junkers JU-52/3m,,,16,NULL,NULL,16,NULL,NULL,0,The military plane crashed on the southeast coast of Spain.</t>
  </si>
  <si>
    <t>01/20/1950,12:00,"Near Vacas, Bolivia",Military - Bolivian Air Force,,Valle grande - Cochabamba,Douglas C-47,TAM-10,,32,28,4,32,28,4,0,Crashed while en route in the Andes mountains after encountering a thunderstorm.</t>
  </si>
  <si>
    <t>01/24/1950,,"Near Tamatave, Madagascar",Societe Transatlantique Aerienne,,Antananarivo - Tamatave,Douglas C-47A-50-DL,F-BFGD,10046,14,11,3,14,11,3,0,Crashed into a mountain 30 miles west of Tamatave.</t>
  </si>
  <si>
    <t>01/24/1950,,"Iloilo,Philippines",Philippine Air Lines,,Iloilo - Manila,Douglas DC-3,PI-C22,,4,1,3,4,1,3,0,Cargo plane.</t>
  </si>
  <si>
    <t>01/26/1950,,"Near Snag, Yukon Territory",Military - U.S. Air Force,,"Elmendorf - Great Falls, MT",Douglas C-54D-DC (DC-4),42-72469,10574,44,36,8,44,36,8,0,"Operated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</si>
  <si>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02/02/1950,04:45,North Sea,KLM Royal Dutch Airlines,,Amsterdam - London,Douglas DC-3,PH-TEU,13396,7,0,7,7,0,7,0,"Crash into the North Sea during a night mail flight shortly after takeoff, 40 miles off the Dutch coast."</t>
  </si>
  <si>
    <t>02/27/1950,,"Near Prague, Czechoslovakia",Ceskoslovenske Aerolinie,,Ostrava - Prague,Douglas C-47A-15-DK,OK-WDY,12725,5,3,2,5,3,2,0,The aircraft crashed into a mountain while en route.</t>
  </si>
  <si>
    <t>03/07/1950,20:59,"Minneapolis, Minnesota",Northwest Orient Airlines,307,Rochester Minn. - Minneapolis,Martin 202,N93050,9134,13,10,3,13,10,3,2,"Crashed into a flag pole, well marked by red neon obstruction lights, on approach in blowing snow.  Pilot's attempt to land visual rather than ILS after visual reference to the ground was lost."</t>
  </si>
  <si>
    <t>03/10/1950,,"Saigon, Vietnam",Societe Indochinoise de Transport Aeriens,,Hue - Tourane,Bristol 170 Freighter 21,F-BECR,12782,4,1,3,4,1,3,0,Cargo plane.</t>
  </si>
  <si>
    <t>03/12/1950,14:50,"Llandow Airport, Cardiff, Wales",Fairflight Ltd.,,Llandow - Dublin,Avro 689 Tudor 5,G-AKBY,1417,83,78,5,80,75,5,0,"During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</si>
  <si>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03/25/1950,,"Ankara, Turkey",Devlet Hava Yollairi,,,Douglas DC-3,TC-BAL,19423,15,11,4,15,11,4,0,Crashed and caught fire during landing at Etimeagut airport.</t>
  </si>
  <si>
    <t>03/28/1950,,"Off Cap-Ferret, France",SEMAF,,,Latecoere 631 (sea plane),F-WANU,03,12,0,12,12,0,12,0,Loss of control after mechanical failure and crashed into the sea. Failure of the aileron control couplings resulting from severe vibration.</t>
  </si>
  <si>
    <t>04/05/1950,,"Hatiara, India",Deccan Airways,,,Douglas C-47A,VT-CJD,12826,3,0,3,3,0,3,0,The cargo plane lost an engine on takeoff and attempted an emergency return but crashed. Overloaded.</t>
  </si>
  <si>
    <t>04/13/1950,,"Near Hastings, England",British European Airways,,London - Paris,Vickers 610 Viking 1B,G-AIVL,225,32,28,4,0,0,0,0,"While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</si>
  <si>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04/15/1950,,"Santa Ana, Colombia",Lineas AÃ©reas Nacionales,,,Douglas C-47 (DC-3),HK-309,,25,23,2,25,23,2,0,</t>
  </si>
  <si>
    <t>04/21/1950,23:25,"Near Atsugi, Japan",Military - U.S. Air Force,,Philippines - Japan,Douglas C-54D,42-72704,,35,27,8,35,27,8,0,Flew off its prescribed course and crashed into Mt. Tanzawa in a rainstorm.</t>
  </si>
  <si>
    <t>05/02/1950,,"Chimborazo, Ecuador",AVIANCA,,Quito - Guayaquil,Douglas C-47DL,HK-120,4314,15,12,3,15,12,3,0,Flew into a mountain.</t>
  </si>
  <si>
    <t>05/17/1950,20:59,"Lagens Air Force Base, Azores",Military - U.S. Air Force,,Bermuda - England,Boeing B-29,,,16,5,11,16,5,11,0,Crashed while attempting to land after being diverted to Lagens due to engine trouble.</t>
  </si>
  <si>
    <t>05/23/1950,10:20,"Myrtle Beach, South Carolina",Military - U.S. Air Force,,,Curtiss C-46D,44-77577,32973,39,35,4,39,35,4,0,"Lost the left aileron after taking off, lost control and crashed."</t>
  </si>
  <si>
    <t>05/24/1950,,"Near Pasto, Colombia",LANSA,,Popayan - Ipiales,Douglas C-47,HK-307,10194,26,23,3,25,22,3,0,Struck the side of Galeras Volcano.</t>
  </si>
  <si>
    <t>05/27/1950,17:30,"Teterboro, New Jersey",Regina Cargo Airlines,,,Curtiss C-46F-1-CU,N9406H,22582,2,0,2,1,0,1,0,The cargo plane lost an engine on takeoff and crashed. Overloading of the aircraft due to faulty loading and dispatch procedures coupled with engine malfunctioning due to inadequate maintenance.</t>
  </si>
  <si>
    <t>05/30/1950,,"Near Ilheus, Brazil",Aerovias Brasil,,Victoria - Salvador,Douglas DC-3,PP-AVZ,9156,15,11,4,13,9,4,0,"During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</si>
  <si>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06/05/1950,22:03,Atlantic Ocean off Florida,Westair Transport,,San Juan - Wilmington NC,Curtiss C-46-F-1-CU,N1248N,22496,65,62,3,28,28,0,0,"Ditched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</si>
  <si>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06/09/1950,19:00,"Near Fonseca, Colombia",New Tribes Mission,,"Kingston, Jamacia - Maracaibo, Venezuela",Douglas DC-3-178,N16030,1546,15,12,3,15,12,3,0,Crashed and burned 19 miles east northeast of Fonseca well off course. Cause unknown.</t>
  </si>
  <si>
    <t>06/12/1950,21:52,Off Bahrain,Air France,,Saigon - Paris,Douglas DC-4-1009,F-BBDE,42937,52,44,8,46,40,6,0,"While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</si>
  <si>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06/14/1950,21:55,Off Bahrain,Air France,,Saigon - Paris,Douglas DC-4-1009,F-BBDM,42990,53,45,8,40,37,3,0,"The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</si>
  <si>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06/23/1950,23:25,"Lake Michigan, 18 NNW of Benton Harbor, Michigan",Northwest Orient Airlines,2501,New York City - Minneapolis-St. Paul,Douglas DC-4,N95425,10270,58,55,3,58,55,3,0,"En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</si>
  <si>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06/26/1950,23:00,"York, Australia",Ansett ANA,,Guildford - Melbourne,Douglas DC-4-1009,VH-ANA,42910,29,24,5,29,24,5,0,"The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</si>
  <si>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07/07/1950,,"Busan, South Korea",Military - U.S. Air Force,,,Douglas C-54G,45-0518,35971,23,NULL,NULL,23,NULL,NULL,0,Struck a mountain.</t>
  </si>
  <si>
    <t>07/09/1950,,"Casablanca, Morocco",Aigle Azur,,Paris - Dakar,Douglas DC-3,F-BFGL,13824,29,25,4,22,18,4,0,Crashed on climb-out.</t>
  </si>
  <si>
    <t>07/17/1950,,"Near Pathankot, India",Indian National Airlines,,Delhi - Sringagar,Douglas DC-3,VT-ATS,20359,22,18,4,22,18,4,0,The left wing separated from the plane in extreme turbulence from a thunderstorm.</t>
  </si>
  <si>
    <t>07/18/1950,,"Near Bocoio, Angola",DTA Angola Airlines,,Nova Lisboa - Lobito,Douglas DC-3,CR-LBK,13769,9,6,3,9,6,3,0,</t>
  </si>
  <si>
    <t>07/27/1950,04:30,"Off O-shima Island, Japan",Military - U.S. Air Force,,,Douglas C-47D,44-76439A,,26,23,3,25,22,3,0,"The aircraft took off from O-shima and reached an altitude of 3,500 feet after which a sudden unexplained descent was made until it crashed into the sea. The surviving witness stated the aircraft hit two moderate bumps followed by dimming of the lights before the descent."</t>
  </si>
  <si>
    <t>07/28/1950,,"Porte Alegre, Brazil",Panair do Brasil,,Rio de Janeiro - Porte Algegre,Lockheed 049 Constellation,PP-PCG,2962,50,43,7,50,43,7,0,The aircraft flew into power lines during a landing attempt after running out of fuel while in a holding pattern.</t>
  </si>
  <si>
    <t>07/29/1950,,"Tunbukta, Algeria",Cie Air Transport,,Algiers - Gao,Bristol 170 Freighter 21,F-BENF,12738,26,22,4,26,22,4,0,An explosion in the left wing fuel tank tore off the upper wing surface leading to loss of control of the aircraft.</t>
  </si>
  <si>
    <t>07/30/1950,,"Algrete, Brazil","SAVG (S.A. Viacao Gaucha, ) SAVG",,,NULL,,,NULL,NULL,NULL,10,NULL,NULL,NULL,</t>
  </si>
  <si>
    <t>07/30/1950,05:44,"Karaganda, Russia",Aeroflot,,,Ilyushin IL-12,L-1803,93013302,25,19,6,25,19,6,0,The plane crashed shortly after taking off when the left engine failed.</t>
  </si>
  <si>
    <t>08/05/1950,22:00,"Near Fairfield, California",Military - U.S. Air Force,,,Boeing B-29MR,46-87651,,20,NULL,NULL,12,NULL,NULL,7,"The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</si>
  <si>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08/22/1950,02:37,"Near Eagle, Colorado",American Airlines,14,Los Angeles - Chicago,Douglas DC-6,N90705,42858/9,59,54,5,1,1,0,0,"En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</si>
  <si>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08/25/1950,,"Kampong Jenera, Malaysia",Military - Royal Air Force,,"Changi, Singapore - Kota Baru",Douglas C-47B,KN630,16538/33286,12,NULL,12,12,NULL,12,0,The plane crashed in the steep forested foothills in the Gua Musang district.</t>
  </si>
  <si>
    <t>08/31/1950,00:03,"Near Wadi Natrun, Egypt",Trans World Airlines,903,Cairo - Rome,Lockheed 749A Constellation,N6004C,2636,55,48,7,55,48,7,0,"While en route from Cairo to Rome, witnesses observed the aircraft on fire. After turning back toward Cairo, it crashed and burned. Failure of the rear master rod bearing in the No. 3 engine that led to an uncontrollable fire. The aircraft was named ""Star of Maryland."""</t>
  </si>
  <si>
    <t>09/04/1950,14:10,"Utica, New York",Robinson Airlines,32,"Utica, NY - Newark, NJ",Douglas DC-3,N18936,2011,23,20,3,16,13,3,0,"Engine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</si>
  <si>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09/14/1950,,"Tehran, Iran",Iran Air,,,Douglas DC-3,EP-AAG,9813,8,5,3,8,5,3,0,Crashed during takeoff.</t>
  </si>
  <si>
    <t>09/20/1950,05:20,"Kwajalein, Marshall Islands",Military - U.S. Navy,,Kwajzalein - Tokyo,Douglas R5D-3,56496,10624,26,19,7,26,19,7,0,Crashed into the sea and exploded 3 minutes after taking off from Kwajalein. Possible vertigo experienced by the pilot or malfunction of the instruments.</t>
  </si>
  <si>
    <t>09/21/1950,,"Near Zagreb, Yugoslavia",JAT Yugoslav Airlines,,Belgrad - Paula,Douglas DC-3,YU-ABD,13311,11,7,4,10,6,4,0,Crashed during landing.</t>
  </si>
  <si>
    <t>09/23/1950,,"Karlstad, Sweden",Svenska Aero,,Karlstad - Stockholm,Avro Ninteen I,SE-BRS,1321,10,9,1,10,9,1,0,"Reached an altitude of 200 feet, stalled and crashed to the ground."</t>
  </si>
  <si>
    <t>09/26/1950,01:00,"Near Kyushu Island, Japan",Military - U.S. Air Force,,Ashiya AB - Kimpo AB,Douglas C-54D-DC (DC-4),42-72457,10562,51,43,8,23,18,5,0,Crashed in the Korea strait 1mile from the end of the runway after taking off from Ashiya Air Base.</t>
  </si>
  <si>
    <t>10/13/1950,,"Almelund, Minnisota",Northwest Orient Airlines,,Training,Martin 202,NC93037,9158,6,3,3,6,3,3,0,"Crashed after making a steep right turn. The unwanted reversal of the right propeller during flight, as a result of which the crew was unable to maintain control of the aircraft."</t>
  </si>
  <si>
    <t>10/13/1950,,"Casablanca, Morocco",Air Atlas,,Casablanca -  Algiers,Douglas DC-3,F-BAXM,20245,7,4,3,4,1,3,0,</t>
  </si>
  <si>
    <t>10/17/1950,,"London, England",British European Airways,,London - Glasgow,Douglas C-47A,G-AGIW,12186,29,24,5,28,24,4,0,Crashed into trees on Mill Hill after engine failure during takeoff. Everyone except one flight attendant was killed.</t>
  </si>
  <si>
    <t>10/31/1950,19:54,"London Heathrow, England",British European Airways,,Paris - London,Vickers 610 Viking-1B,G-AHPN,155,30,26,4,28,24,4,0,"Crashed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</si>
  <si>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11/03/1950,09:43,"Mont Blanc, France",Air India,245,Bombay - Cairo - Geneva - London,Lockheed 749 Constellation,VT-CQP,2506,48,40,8,48,40,8,0,"The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</si>
  <si>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11/07/1950,08:15,"Near Butte, Montana",Northwest Orient Airlines,115,Helena - Butte,Martin 202,N93040,9161,21,17,4,21,17,4,0,"The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</si>
  <si>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11/13/1950,18:00,"Mt.  Tete de L'Obiou, France",Curtiss-Reid Flying Services Ltd. (Canada),,Rome - Paris,Douglas C-54B-1-DC,CF-EDN,10518,52,45,7,52,45,7,0,"The aircraft drifted 50 miles off the prescribed route and struck Mt. Tete de l'Obiou at 6,740 feet. The pilot probably realized the deviation and tried to take corrective action but did not see the mountain in time."</t>
  </si>
  <si>
    <t>11/17/1950,,"Surabaya, Indonesia",Garuda Indonesia Airlines,,,Douglas DC-3,PK-DPB,19005,23,20,3,2,0,2,0,Veered off the runway and crashed into a ditch..</t>
  </si>
  <si>
    <t>11/21/1950,,"Near Moran Junction, Wyoming",New Tribes Mission,,"Chico, CA - Billings, WY",Douglas DC-3,N74586,19711,21,18,3,21,18,3,0,"The aircraft  crashed into Mt. Moran at 11,200 ft., in a snowstorm while flying in IMC conditions. The accident was attributed to flight into IMC conditions with probable electrical failure due to a malfunctioning voltage regulator."</t>
  </si>
  <si>
    <t>11/23/1950,,"Cuzco, Peru",Faucett,,Maldorado - Quincemil,Douglas DC-3,OB-PAU-201,15992/32740,9,5,4,9,5,4,0,Crashed into a hill in poor weather conditions while en route.</t>
  </si>
  <si>
    <t>11/25/1950,,"Khitka, Bhutan",Indamer,,,Douglas C-47A,VT-COI,14037/25482,3,0,3,3,0,3,0,Failure of the pilots to remain alert and maintain a proper look out resulting in the aircraft flying into the side of a hill.</t>
  </si>
  <si>
    <t>12/01/1950,,"Near Chamaran, Iran",Iran Air,,,Douglas DC-3,EP-AAJ,13572,8,7,1,8,7,1,0,Flew into a mountain.</t>
  </si>
  <si>
    <t>12/08/1950,,"Ruig Piner, France",Air Atlas,,Casablanca - Perpignan,Douglas DC-3,F-BAXY,16100/32848,7,4,3,5,2,3,0,Flew into a mountain in the Pyrenees.</t>
  </si>
  <si>
    <t>12/08/1950,,"Bangui, French Equatorial Africa",T.A. Intercontinentaux,,,Douglas C-54A,F-BELB,3084,56,50,6,46,43,3,0,Crashed into a mountain in the Pyrenees 5 minutes after takeoff. Crew error. Excessive low rate of climb at night in an unknown region and premature change of heading.</t>
  </si>
  <si>
    <t>12/13/1950,,"Katagiri, India",Air India,,,Douglas DC-3,VT-CFK,14604/2604,21,17,4,21,17,4,0,Flew into a mountain due to a navigational error.</t>
  </si>
  <si>
    <t>12/13/1950,,"Londrina, Brazil",VASP,,,Douglas DC-3,PP-SPT,20543,9,NULL,NULL,9,NULL,NULL,3,The aircraft crashed after losing its No. 1 engine on takeoff. Engine failure during takeoff. Pilot error. Short takeoff procedure used on an airfield where such a maneuver was not necessary.</t>
  </si>
  <si>
    <t>12/14/1950,,"Ribeirao, Brazil",VASP,,,Douglas DC-3,,,1,0,1,1,0,1,3,Crashed into a house while attempting to take off.</t>
  </si>
  <si>
    <t>12/15/1950,13:30,"Valera, Venezuela",Avensa,,Merida - Caracas,Douglas C-47-DL,YC-C-AVU,4432,31,28,3,31,28,3,0,"The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</si>
  <si>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12/19/1950,07:30,"Near Baguio, Philippines",Military - U.S. Air Force,,Naha AB - Clark AB,Douglas C54E-DO (DC-4),44-9096,27322,38,31,7,38,31,7,0,"Proceeding on instruments, the aircraft crashed into Mt. Tabayoc while en route.  Navigation error."</t>
  </si>
  <si>
    <t>12/22/1950,13:53,"Penticton, British Columbia, Canada",Canadian Pacific Air Lines,4,Vancouver - Penticton,Douglas DC-3,CF-CUF,12855,18,15,3,2,0,2,0,Struck trees on  Mt. Okanagan while making an approach to Penticton. Drifted below the minimum altitude permissible.</t>
  </si>
  <si>
    <t>12/30/1950,,"Santiago del Estado, Argentina",Aerolineas Argentinas,,Mar del Plata - Buenos,Douglas DC-3,LV-ACH,13027,18,13,5,17,12,5,0,Crashed 60 miles north of the airport after taking off from Mar del Plata.</t>
  </si>
  <si>
    <t>01/12/1951,14:50,"Ixopo, South Africa",United Airways,,Margate - Ladysmith - Johannesburg,de Havilland Dove 1,ZS-DDW,04017,12,10,2,12,10,2,0,Broke up in turbulence.</t>
  </si>
  <si>
    <t>01/13/1951,,"Mt. Bukit, Besar,Thailand",Air Carriers,,Butterworth - Kota Bharu,Douglas DC-3,VR-HEP,15782/32530,10,7,3,10,7,3,0,Crashed into Bukit Besar Mountain while en route.</t>
  </si>
  <si>
    <t>01/14/1951,14:13,"Philadelphia, Pennsylvania",National Airlines,83,Newark - Philadelphia,Douglas DC-4-1009,N74685,43102,28,25,3,7,6,1,0,"The plane overshot the landing, ran into a ditch and caught fire. Pilot error in electing to land long, on a wet and snow covered runway instead of executing a missed approach."</t>
  </si>
  <si>
    <t>01/16/1951,12:14,"Near Reardan, Washington",Northwest Orient Airlines,115,Minneapolis - Seattle,Martin 202,N93054,9144,10,7,3,10,7,3,0,"While cruising at 6,000 ft.,  the aircraft when out of control and into a dive, hitting the ground at 340 mph.  Officially the cause was never determined.  Possible in-flight fire, explosion, structural failure or conrol system failure."</t>
  </si>
  <si>
    <t>01/17/1951,14:36,"Near Civitavecchia, Italy",Alitalia,,Paris - Rome,Savoia Marchetti SM-95,I-DALO,10,17,12,5,14,10,4,0,"The aircraft plunged to the ground from 6,500 feet after being struck by lightning. Lightning ignited a mixture of air and fuel fumes in the fuel tank."</t>
  </si>
  <si>
    <t>01/20/1951,,"Huilyo, Peru",Military - TAM,,,Douglas DC-3,,,NULL,NULL,NULL,16,NULL,NULL,NULL,</t>
  </si>
  <si>
    <t>01/28/1951,08:40,"Near An tung, Taiwan",Military -Royal Air Force,,Hong Kong - Iwakuni,Short Sunderland 9 (flying boat),PP107,,14,7,7,14,7,7,0,Crashed into mountainous terrain while en route. Most likely weather related.</t>
  </si>
  <si>
    <t>01/31/1951,16:45,"Off Hafnarfjorour, Iceland",Icelandair,,Vestmannaeyar Island - ReykjavÃ­k,Douglas DC-3,TF-ISG,12482,20,17,3,20,17,3,0,Crashed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</si>
  <si>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02/01/1951,,"Off Terceira, Portugal",Military - Portuguese Air Force,,,Douglas C-54,282,,14,NULL,NULL,14,NULL,NULL,0,Ditched in the ocean while on approach.</t>
  </si>
  <si>
    <t>02/03/1951,14:30,"Near Mt. Cameroun, Buea, Nigeria",Air France,,Douala - Niamey,Douglas DC-4,F-BBDO,42992,29,23,6,29,23,6,0,"Crashed into a mountain at 8,500 feet. Navigation error. Incorrect procedures followed by crew. The crew followed a different and inaccurate course."</t>
  </si>
  <si>
    <t>02/14/1951,,"Yali, Colombia",Lineas AÃ©reas Nacionales,,MedellÃ­n - Barranquilla,Curtiss C-46A,HK-333,49,2,0,2,2,0,2,0,"En route, the cargo plane hit the slope of a mountain located 12 km from YalÃ­."</t>
  </si>
  <si>
    <t>03/02/1951,09:12,"Sioux City, Iowa",Mid Continent Airlines,16,"Kansas City, MO - Omaha, NB - Sioux City, Iowa",Douglas DC-3,N19928,7400,25,21,4,16,13,3,0,"After a missed ILS approach , the pilot stalled the plane and crashed in poor weather conditions. A stall during a left turn too close to the ground to effect a recovery. Pilot error."</t>
  </si>
  <si>
    <t>03/11/1951,,"Mt. Butler, Hong Kong",Pacific Overseas Airways,,Hong Kong - Bangkok,Douglas DC-4,HS-POS,10396,24,20,4,24,20,4,0,"Crashed into hills shortly after takeoff. Crew error. The pilot taking off under VFR, lost visual contact with the ground and attempted to return to IFR procedure too late to avoid the hills. The aircraft was named ""City of Ayudhya."""</t>
  </si>
  <si>
    <t>03/21/1951,17:20,"Corozal, Colombia",LANSA,,San Marcos - Cartagena,Douglas C-47,HK-315,9073,29,26,3,29,26,3,0,aircraft later crashed in an uninhabited area located near Hato Nuevo after encountering thunderstorms.</t>
  </si>
  <si>
    <t>03/22/1951,17:30,"Off Florianopolis, Brazil",Cruzeiro,, Rio de Janeiro - SÃ£o Paulo - Curitiba - FlorianÃ³polis,Douglas DC-3,PP-CCX,7341,14,10,4,3,3,0,0,The No. 2 engine failed on a go-around in reduced visibility and rain and the aircraft crashed into the ocean.</t>
  </si>
  <si>
    <t>03/23/1951,00:50,Over the North Atlantic,Military - U.S. Air Force,,Loring AFB - Lakeheath AFB,Douglas C-124A Globemaster,49-0244,43173,53,48,5,53,48,5,0,"The aircraft may have suffered an catastrophic explosion and crashed into the sea approximately 450 miles west of Limerick, Ireland. Early report of life rafts and survivors turned out to be incorrect. Cause unknown."</t>
  </si>
  <si>
    <t>03/25/1951,04:42," Irkutsk, Russia",Aeroflot,,Irkutsk - Chita - Yakutsk,Lisunov LI-2,CCCP-L4790,184 341 04,13,9,4,12,8,4,0,"The third cylinder of the right engine failed in flight, causing the engine to catch fire. With one engine inoperative and flying in icing conditions and turbulence, the aircraft was unable to maintain height, hit trees and crashed."</t>
  </si>
  <si>
    <t>03/26/1951,,"Rio Grande, Argentina",Aerolineas Argentinas,,Ushuaia - RÃ­o Grande - Buenos Aires,Douglas DC-3,LV-ACY,12291,24,20,4,11,8,3,2,"On final approach to RÃ­o Grande Airport, the aircraft stalled and crashed in a fieldlshort of runway."</t>
  </si>
  <si>
    <t>03/27/1951,,"Manchester, England",Air Transport Charter,,Manchester - Belfast,Douglas C-47A-75-DL Dakota 3,G-AJVZ,19361,3,0,3,2,0,2,0,"The inability of the aircraft to gain height shortly after becoming airborne, due to loss of engine power caused by ice formation in the carburetor intakes attributable to the captain's failure to make use of the heat controls."</t>
  </si>
  <si>
    <t>04/02/1951,,"Bogota, Colombia",AVIANCA,,,Douglas DC-3,HK-142,1957,26,24,2,26,24,2,0,"On final approach to Techo Airport, the aircraft went out of control and crashed in an explosion short of runway."</t>
  </si>
  <si>
    <t>04/06/1951,20:30,"Refugio Pass, near Santa Barbara, California",Southwest Airways,7,Santa Maria - Santa Barbara - Oxnard - Los Angeles,Douglas DC-3,N63439,20229,22,19,3,22,19,3,0,"The plane crashed into the north slope of Santa Ynez peak, 23 miles northwest of Santa Barbara, in poor weather. Failure of the crew to maintain minimum altitude for the route being flown for reasons unknown."</t>
  </si>
  <si>
    <t>04/08/1951,11:35,"Near Charleston, West Virginia",Military - U.S. Air Force,,"Godman AFB - Charleston, WV",Douglas C-47B-DK,43-48298,25559,21,18,3,21,18,3,0,"The aircraft crashed into a wooded area, 8 miles NE of Charlston, after making a final turn to land at Kanawha County Airport. Both wings were sheared off and the aircraft burst into flames."</t>
  </si>
  <si>
    <t>04/09/1951,,"Cape d'Arguilar, Hong Kong",Siamese Airways,,Bangkok - Hong Kong,Douglas DC-3,HS-SAE,,16,11,5,16,11,5,0,The pilot lost control of the aircraft while attempting too steep a turn and too  low a speed while making an approach at night in dense fog and rain and struck the ground.</t>
  </si>
  <si>
    <t>04/25/1951,11:49,"Key West, Florida",Cubana de Aviacion / Military -  US Navy,493,Miami - Havana,Douglas DC-4 /Beechcraft SMB-1,CU-T188/39939,10368,43,34,9,43,34,9,0,"The plane, on a flight from Miami to Cuba, collided with a US Navy Beechcraft at 4,000 feet. Thirty-nine killed on the DC-4, four killed on the Beechcraft.  Failure of both crews to maintain sufficient vigilance under VFR conditions to prevent a collision."</t>
  </si>
  <si>
    <t>04/28/1951,19:32,"Fort Wayne, Indiana",United Air Lines,129,Cleveland - Fort Wayne - South Bend - Chicago,Douglas DC-3,N16088,1927,11,8,3,11,8,3,0,The aircraft crashed after being caught in a squall line with 65-85 mph winds and heavy rain. Windshear. The severe downdraft encountered which caused the aircraft to strike the ground in a near level attitude.</t>
  </si>
  <si>
    <t>05/06/1951,12:30,"Near Albuquerque, New Mexico",Military - U.S. Air Force,,Carswell - Kirtland,Convair B-36D,49-2660,117,25,0,25,23,0,23,0,"The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</si>
  <si>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05/08/1951,14:12,"Bordeaux, France",Hunting Air Travel,,Gibraltar - Bordeaux - Bovingdon,Vickers 639 Viking 1,G-AHPD,134,32,27,5,2,0,2,0,No.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</si>
  <si>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05/18/1951,19:10,"Rancharia,  Brazil",VASP,,Santa Cruz de Rio Prado - Presidente Prudent,Douglas DC-3,PP-SPL,17011/34274,7,4,3,7,4,3,0,Hit a mountain in fog about 8 km from Rancheria.. Pilot's decision to fly VFR in unfavorable weather conditions.</t>
  </si>
  <si>
    <t>06/03/1951,13:45,"New Boston, Texas",Military - U.S. Air Force,,Fort Campbell - Lawton,Fairchild C-82,45-57761,10131,10,0,10,10,0,10,0,Struck by lightning and crashed.</t>
  </si>
  <si>
    <t>06/06/1951,17:40,"Rio de Janeiro, Brazil",Lineas AÃ©reas Trans. Brasileira,,Vitoria - Rio de Janeiro,Douglas DC-3D,PP-NAL,42979,19,16,3,2,1,1,0,"Crashed into high ground while on a VFR apporach in IFR conditions. The pilot attempted a descent over an area where the minimum safe altitude was 1,200 ft."</t>
  </si>
  <si>
    <t>06/13/1951,06:00,"Medellin, Colombia",Sociedad Aeronautica Medellin,,MedellÃ­n - Cartagena,Douglas C-47A,HK-504,10062,3,0,3,3,0,3,0," While approaching the airfield for an emergency landing, the airplane hit the chimney of the TejÃ­condor factory located in the suburb of BelÃ©n, stalled and crashed in a huge explosion."</t>
  </si>
  <si>
    <t>06/22/1951,03:25,"Near Sanoyea, Liberia",Pan American World Airways,151,Johannesburg - Accra - Monrovia - New York,Lockheed 049 Constellation,N88846,2046,40,31,9,40,31,9,0,"The plane crashed into a hill at 1000 ft. in a level descending attitude, 54 miles from the airport. The pilot descended below en route minimum altitude without knowing the aircraft's position. The aircraft was named Clipper Great Republic."</t>
  </si>
  <si>
    <t>06/29/1951,,"Near Rijeka, Yugoslavia",JAT Yugoslav Airlines,,Rejeka - Zagreb,Junkers 52/3m,YU-ACE,316,14,11,3,14,11,3,0,The plane encountered poor weather conditions with thunderstorm activity and turbulence leading to loss of control and crash.</t>
  </si>
  <si>
    <t>06/30/1951,02:00,"Rocky Mountain Nat. Park, near Ft. Collins, Colorado",United Air Lines,610,Salt Lake City - Denver,Douglas DC-6B,N37543,43144/155,50,45,5,50,45,5,0,"En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</si>
  <si>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07/12/1951,22:45,"Lyneham AFB, England",Military - Royal Air Force,,Luqa - Lyneham - Dishforth,Vickers Valetta C-1,VW194,350,10,0,10,10,0,10,0,One engine caught fire. The propellers of the working engine were feathered in error. The plane crashed.</t>
  </si>
  <si>
    <t>07/12/1951,,"Near Tezpur, India",Indamer,,Calcutta - Tezpur,Douglas C-47B,VT-CHT,20662,3,0,3,3,0,3,0,The cargo plane hit the slope of a mountain.</t>
  </si>
  <si>
    <t>07/12/1951,,"Aracaju, Brazil",Loide Aereo Nacional,,Natal - Recife - MaceiÃ³ - Aracaju,Douglas DC-3,PP-LPG,14822/26267,33,28,5,33,28,5,0,Crashed during a landing attempt in adverse weather conditions under VFR and hit high ground. The pilot attempted a visual approach and made a turn at low altitude in adverse weather conditions.</t>
  </si>
  <si>
    <t>07/16/1951,09:07,"Off Lae, New Guinea",Qantas,,Wau - Bulolo - Lae,de Havilland DHA-3 Drover II,VH-EBQ,5003,7,5,2,7,5,2,0,Crashed into the Huon Gulf after the center propeller failed.</t>
  </si>
  <si>
    <t>07/20/1951,,"Thudamot, China",Air Outre-Mer,,Pakse - Saigon,Douglas C-47A,F-OABX,19634,3,0,3,3,0,3,0,The cargo plane crashed in a field while attempting to land..</t>
  </si>
  <si>
    <t>07/21/1951,22:55,"Near Sitka, Alaska",Canadian Pacific Air Lines,,Vancouver - Tokyo,Douglas C-54A,CF-CPC,10327,37,31,6,37,31,6,0,"Disappeared with no trace over the Pacific Ocean while flying from Vancouver to Tokyo. The last message was received while the aircraft was near Yakutat, Alaska with no reports of probems. Cause undetermined."</t>
  </si>
  <si>
    <t>07/24/1951,05:45,"Gao, Mali",Sabena,,Brussels - Gao - LÃ©opoldville,Douglas DC-3,OO-CBA,6327,3,0,3,3,0,3,0,The failure of the right engine during takeoff. A rupture of the hydraulic circuit with oil projection in the cockpit would have increased maneuver difficulties by restricting visibility in the cockpit</t>
  </si>
  <si>
    <t>07/29/1951,,"Cochabamba, Bolivia",Loide AÃ©reo Nacional,,Cochabamba - Rio de Janeiro,Curtiss C-46A,CB-39,26488,7,4,3,7,4,3,0,Hit a tree while taking off and crashed.</t>
  </si>
  <si>
    <t>08/08/1951,21:00,"Barilla Bay, Australia",Trans Australia Airlines,,Hobart Melbourne,NULL,VH-TAT,13083,2,0,2,2,0,2,0,Cargo plane. Loss of lateral control during a turn at low altitude soon after takeoff. The probable cause of the loss of lateral control was the presence of ice on the aircraft surface.</t>
  </si>
  <si>
    <t>08/11/1951,09:25,"Moisville, France",Air France,,Training,Douglas DC-3D,F-BAXB,42971,5,0,5,5,0,5,0,"Abnormal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</si>
  <si>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08/17/1951,,"Ubatuba, Brazil",REAL,,,Douglas DC-3,PP-YPX,9154,10,NULL,NULL,10,NULL,NULL,0,</t>
  </si>
  <si>
    <t>08/24/1951,04:28,"Decoto, California",United Air Lines,615,Boston - Hartford - Cleveland - Chicago - Oakland,Douglas DC-6B,N37550,43260/180,50,44,6,50,44,6,0,"Cleared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</si>
  <si>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09/08/1951,19:00,"Sao Paulo, Brazil",VASP,,Sao Paulo - Rio de Janeiro,Douglas DC-3,PP-SPQ,1559/27036,13,9,4,13,9,4,3,Crashed into a houses shortly after taking off from Congonhas Airport. Failure of several instruments.</t>
  </si>
  <si>
    <t>09/12/1951,12:30,"Off Ialas Baeares, Spain",Societe Alpes Provence,,Perpignan - Oran,Douglas DC-3,F-BEIZ,15985/32733,39,36,3,39,36,3,0,Crashed into the Mediterranean due to structural failure following loss of control in severe weather.</t>
  </si>
  <si>
    <t>09/12/1951,11:46,"Off Redwood City, California",United Air Lines,,San Francisco - Oakland - San Francisco,Boeing 377 Stratocruiser 10-34,N31230,15970,3,0,3,3,0,3,0,"The aircraft, with the No. 4 propeller feathered, stalled and dived into San Francisco Bay. An inadvertent stall at a low altitude from which recovery was not effected."</t>
  </si>
  <si>
    <t>09/15/1951,,"Bangalore, India",Air India,,Bangalore - Trivandrum,Douglas C-47A-30-DK Dakota III,VT-CCA,13853/25298,28,24,4,22,21,1,0,Lost control and crashed when attempting to take off. Attempted to take off  with the autopilot engaged.</t>
  </si>
  <si>
    <t>09/27/1951,,Near Tachikawa Air Base,Military - US Air Force,,Ashiya - Tachikawa AB,	Fairchild C-119C-15-FA Flying Boxcar,	49-169,	10406,14,0,14,14,0,14,0,"Crashed into the slope of Mt Tanazawa, 28 km northwest of the airbase while operating with the 314th Troop Carrier Wing."</t>
  </si>
  <si>
    <t>09/29/1951,,"La Paz, Bolivia",Frigorifico Cooperativo Los Andes,,,Curtiss C-46D-15-CU,CB-43,33346,27,24,3,27,24,3,0,Crashed shortly after takeoff from La Paz-El Alto Airport.</t>
  </si>
  <si>
    <t>10/08/1951,,"Cerro Blanco, Mexico",Aero Transportes,,Mexico City - MinatitlÃ¡n - Villahermosa,Douglas DC-3,XA-GOR,14007/25452,8,5,3,8,5,3,0,"While en route, the aircraft hit the slope of the Cerro Blanco."</t>
  </si>
  <si>
    <t>10/15/1951,,North Atlantic,Military - U.S. Air Force,,Azores - Westover AFB,Boeing C-97A Stratofreighter,49-2602,16224,12,9,3,12,9,3,0,Went missing en route. No trace of the aircraft was ever found.</t>
  </si>
  <si>
    <t>10/15/1951,,"East Griqualand, South Africa",South African Airways,,Port Elizabeth - Durbin,Douglas DC-3,ZS-AVJ,6891,17,13,4,17,13,4,0,"While en route in clouds, the airplane crashed on Mt Ingeli  about 17 km southeast of Kokstad."</t>
  </si>
  <si>
    <t>10/17/1951,18:55,"Mt. Benson, BC, Canada",Queen Charlotte Airlines,,Kildala - Vancouver,Consolidated PBY-5A Catalina,CF-FOQ,400,23,20,3,23,20,3,0,"While flying VFR in adverse weather conditions, the pilot mistook Nanaimo for Vancouver.  The plane crashed into Mt. Benson, 20 miles west of Vancouver."</t>
  </si>
  <si>
    <t>10/22/1951,,"Skopje, Yugoslavia",JAT Yugoslav Airlines,,Belgrad - Skopje,Douglas DC-3,YU-ACC,13014,12,9,3,12,9,3,0,Crashed while en route.</t>
  </si>
  <si>
    <t>10/27/1951,19:00,"Near Flores, Guatemala",Military - Guatemalan Air Force,,Flores - Guatemala City,Douglas C-47,FAGO961,,29,25,4,27,23,4,0,Crashed and burned in jungle 170 miles north northeast of Guatemala City.  It is theorized a passenger may have started a fire in the aircraft's cabin with a cigarette.</t>
  </si>
  <si>
    <t>11/05/1951,09:29,"Near Tucumcari, New Mexico",Transocean Air Lines,CAM5763,Oakland - Albuquerque,Martin 202,N93039,9160,29,26,3,1,1,0,0,"Crashed while attempting to land at Albuquerque in marginal weather conditions. The captain's attempt to land during less than minimum visibility, rather than proceed to his alternate.  A military contract flight."</t>
  </si>
  <si>
    <t>11/13/1951,13:00,"Puy-de-DÃ´me, France",Military - U. S. Air Force,,Frankfort - Bordeaux,Fairchild C-82 Packet,45-57801A,10171,36,32,4,36,32,4,0,"While cruising in marginal weather conditions, the aircraft hit the slope of Mt. Dore, about 32 km southwest of Clermont-Ferrand.Flew into Mt. Dore."</t>
  </si>
  <si>
    <t>11/15/1951,09:00,"Near Lodz, Poland",LOT Polish Airlines,,Lodz - Krakow,Lisunov Li-2P,SP-KLA,	18438505,18,14,4,18,14,4,0,Shortly after taking off the aircraft flew into high voltage cable and crashed.</t>
  </si>
  <si>
    <t>11/17/1951,16:23,"Near  Novosibirsk, Russia",Aeroflot,,Novosibirsk - Moscow,Ilyushin IL-12,CCCP-L1775,93013112,23,19,4,23,19,4,0,The plane crashed shortly after taking off due to icing.</t>
  </si>
  <si>
    <t>11/19/1951,,"Cairo, Egypt",Devlet Hava Yollari,,Ankara - Cairo,Douglas DC-3,TC-ACA,7352,5,4,1,5,4,1,0,Crashed into a sand dune while attempting to land in poor weather condtions.</t>
  </si>
  <si>
    <t>11/21/1951,07:45,"Calcutta, India",Deccan Airways,,Nagpur - Calcutta,Douglas DC-3,VT-AUO,13265,17,13,4,16,12,4,0,The aircraft struck trees in fog during a missed approach 3 miles north of Dum Dum airport as the crew descended too low in poor visibility.</t>
  </si>
  <si>
    <t>11/24/1951,06:00,"Zurich, Switzerland",El Al,,Tel Aviv - Rome - Zurich - Amsterdam,Douglas DC-4,4X-AND,10512,7,0,7,6,0,6,0,The cargo plane crashed on approach when flying too low in poor visibility</t>
  </si>
  <si>
    <t>11/27/1951,,"San Luis Acatlan, Mexico",Lineas Aereas Unidas,,San Luis AcatlÃ¡n - Acapulco,DC-2-243,XA-DOQ,2077,21,18,3,13,11,2,0,"Shortly after taking and while in an initial climb, the plane hit an obstacle and crashed."</t>
  </si>
  <si>
    <t>12/04/1951,07:25,"Denver, Colorado",United Air Lines,,Training,Douglas DC-3A,N17109,4999,3,0,3,3,0,3,0,"Stalled, entered a spin and crashed. An inadvertent spin at an altitude too low for recovery."</t>
  </si>
  <si>
    <t>12/13/1951,,"Yaramunda, Papua, New Guinea",Qantas,,Mount Hagen - Madang,de Havilland DH-84 Dragon,VH-UR,,3,2,1,3,2,1,0,"While flying in a narrow valley, the pilot elected to gain height when the aircraft hit trees and crashed in flames. Pilot error."</t>
  </si>
  <si>
    <t>12/16/1951,15:09,"Elizabeth, New Jersey",Miami Airlines,,Fort Smith - Newark - Tampa,Curtiss Wright C-46F,N1678M,22572,56,52,4,56,52,4,1,"Shortly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</si>
  <si>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12/23/1951,,"Tehran, Iran",Misrair,,Cairo - Baghdad - Tehran,SNCASE Languedoc,SU-AHH,41,22,18,4,22,18,4,0,Crashed at Mehrabad airport during a third landing attempt. The pilot attempted to land despite warnings of poor visibility and snow.</t>
  </si>
  <si>
    <t>12/27/1951,04:26,"Near Namtso, Russia",Aeroflot,,Yakutsk - Vilyuisk, Lisunov LI-2,L4228,18421601,20,14,6,20,14,6,0,Crashed after running out of fuel. Fuel starvaion. Crew switched to the wrong fuel tank.</t>
  </si>
  <si>
    <t>12/29/1951,22:25,"Near Little Valley, New York",Continental Charters,44-2,Miami - Pittsburgh - Buffalo,Curtiss C-46A-50-CU,N3944C,30466,40,36,4,26,23,3,0,"Proceeding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</si>
  <si>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12/30/1951,22:07,"Near Fairbanks, Alaska",Transocean Air Lines,501,Point Barrow - Umiat - Fairbanks,Curtiss C 46F-CU,N68963,22485,4,2,2,4,2,2,0,"The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</si>
  <si>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12/30/1951,15:40,"Near Phoenix, Arizona",Military - U.S. Air Force,,New York - Williams AFB,Douglas C-47D,47-76266,15850/32598,28,24,4,28,24,4,0,"Crashed into a mountainside at an altitude of 7,000 ft., 66 miles northeast of Williams AFB."</t>
  </si>
  <si>
    <t>12/31/1951,,"Calcutta, India",Kalinga Airlines,,,Douglas C-47A,VT-COA,13859/25304,3,0,3,3,0,3,0,The cargo plane crashed on takeoff after hitting trees.</t>
  </si>
  <si>
    <t>01/02/1952,,"Andapa, Madagascar",Air France,,,Junkers JU-52/3m,F-BAMQ,106,11,8,3,6,NULL,NULL,0,</t>
  </si>
  <si>
    <t>01/10/1952,19:15,"Com Edno, Ireland",Aer Lingus,,Northolt - Dublin,Douglas DC-3,EI-AFL,16699/33447,23,20,3,23,20,3,0,The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</si>
  <si>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01/19/1952,01:38,"Off Sandspit, BC, Canada",Northwest Orient Airlines,324,Tokyo - Elmendorf AFB,Douglas DC-4,N45342,27279,43,40,3,36,33,3,0,"The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</si>
  <si>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01/22/1952,15:43,"Elizabeth, New Jersey",American Airlines,6780,Buffalo - Newark,Convair CV-240-0,N94229,054,23,20,3,23,20,3,7,"The aircraft crashed into an apartment house during its approach, 3 miles short and right of the runway.  The plane crashed while level laterally but in a steep descending attitude.  Most likely cause was carburetor icing. Official cause unknown."</t>
  </si>
  <si>
    <t>02/04/1952,,"Kikwit, Belgian Congo",Sabena,,Costermansville - Leopoldville,Douglas DC-3,OO-CBN,13450,15,11,4,15,11,4,0,In-flight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</si>
  <si>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02/07/1952,,"Kaneko, Japan",Military - U.S. Air Force,,,Boeing B-29,,,13,NULL,13,13,NULL,13,5,The military plane crashed into several houses in a snowstorm after taking from Yokota AFB and hitting  power lines.</t>
  </si>
  <si>
    <t>02/11/1952,00:20,"Elizabeth, New Jersey",National Airlines,101,"Newark, NJ - Miami, FL",Douglas DC-6,N90891,43055/37,63,59,4,29,26,3,4,"The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</si>
  <si>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02/16/1952,17:34,"Near Burgio, Italy",Hunting Air Travel,,Nice - Malta,Vickers 614 Viking 1,G-AHPI,142,31,26,5,31,26,5,0,Hit the north slope of La Cinta mountain range while en route.  Pilot did not maintain a safe altitude. The pilots ignorance of wind conditions which allowed the aircraft to drift 3 degrees off course.</t>
  </si>
  <si>
    <t>02/19/1952,02:23,"Nagpur, India",Deccan Airways,,Madras - Nagpur - Delhi,Douglas DC-3,VT-AXE,19160,16,12,4,3,1,2,0,"Banked left and struck trees 2,000 ft. short of the runway. Pilot error. The pilot misjudged the approach, undershot and hit the tops trees. A contributing factor was the setting of the pilot's altimeter to QNH, rather than the customary QFE during the final approach."</t>
  </si>
  <si>
    <t>02/19/1952,,"Near Yaounde, Cameroon",STAAP,,,Consolidated  32 Liberator II,F-BEFX,12,9,5,4,9,5,4,0,</t>
  </si>
  <si>
    <t>02/28/1952,,"Uberlandia,  Brazil",Panair do Brasil,,Rio de Janeiro - Guiana,Douglas DC-3A,PP-PCN,3284,8,6,2,8,6,2,0,The right wing struck trees after attempting a go-around. Pilot error.</t>
  </si>
  <si>
    <t>03/03/1952,08:10,"Nice, France",Air France,,Nice - Paris,SNCASE Languedoc,F-BCUM,43,38,34,4,38,34,4,0,"After taking off, the plane was observed turning to the left until it turned on its back and crashed. Malfunction of ailerons. The gear chain of the co-pilot's control column slipped off the sprocket and jammed the aileron controls."</t>
  </si>
  <si>
    <t>03/10/1952,,"Cebu, Philippines",Philippine Air Lines,,Cebu - Hoilo,Douglas C-47A-35-DL,PI-C5,9754,3,0,3,3,0,3,0,"While taking off, the cargo plane, carrying a light load of freight, lost altitude and crashed into a house."</t>
  </si>
  <si>
    <t>03/12/1952,,"Near Sequin, Texas",Military - U.S. Air Force / U.S. Air Force,,Training,Boeing B-29 / Boeing B-29,,,15,0,15,15,0,15,NULL,"While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</si>
  <si>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03/22/1952,14:00,"Near Gaspe, Quebec, Canada",Maritime Central Airways,,St. Johns - Goose Bay,Douglas C-47-DL,CF-BXZ,4695,4,3,1,4,3,1,0,"The cargo plane disappeared en route. Found on August 27, 1953."</t>
  </si>
  <si>
    <t>03/22/1952,10:45,"Frankfurt, Germany",KLM Royal Dutch Airlines,,Rome - Frankfort,Douglas DC-6,PH-TPJ,43111/102,47,37,10,45,36,9,0,"Crashed and burst into flames two miles short of the runway in rain and fog during the approach. Cause unknown. The aircraft was named ""Koningin Juliana."""</t>
  </si>
  <si>
    <t>03/24/1952,03:10,"Near Gao, French West Africa",SociÃ©tÃ© AÃ©rienne de Tr. Tropicaux,,"Gao, FWA - Nice, France",Lockheed 18 Lodestar,F-ARTE,2005,21,18,3,17,14,3,0,Crashed after taking off. Pilot failed to maintain altitude after taking off for reasons unknown. May have been pilot fatigue.</t>
  </si>
  <si>
    <t>03/26/1952,,"Moscow, Russia",Aeroflot,,,NULL,,,70,NULL,NULL,70,NULL,NULL,0,The plane overshot the runway and collided with a military aircraft killing at least 70 people.</t>
  </si>
  <si>
    <t>03/29/1952,,"Near San Felipe, Venezuela",TACA,,Maiquetia - San Felipe,Douglas DC-3,YV-C-AZU,,12,9,3,12,9,3,0,Crashed into the summit on Cerro Grande Mountain.</t>
  </si>
  <si>
    <t>03/30/1952,,"Baguio, Philippines",Philippine Air Lines,,,Douglas DC-3,PI-C270,13808,29,26,3,10,8,2,0,Crashed during takeoff. The plane hit an unidentified obstruction on the runway and the wheels collapsed.</t>
  </si>
  <si>
    <t>04/05/1952,08:25,"New York, New York",US Airlines,4-2,"Raliegh, NC - New York, NY",Curtiss C-46F-1-CU,N1911M,22464,2,0,2,2,0,2,3,Violent engine surges and turbulence during a missed ILS approach caused the crew to loose control of the aircraft and crash at 171st St. and 89th Ave. in Queens. The no.1 engine fuel feed valve diaphragm  failed due to deterioration.</t>
  </si>
  <si>
    <t>04/09/1952,08:07,"Mihara Volcano, Japan",Japan Air Lines,,Tokyo - Osaka,Martin 202,N93043,9164,37,33,4,37,33,4,0,"On an early morning flight, under instrument conditions, the crew flew the route segment from Tokyo to Oshima Island 1,000 ft. below the minimum instrument altitude.  At Oshima Island the aircraft crashed into the side of Mihara volcano."</t>
  </si>
  <si>
    <t>04/10/1952,,"Agartala, India",Kalinga Airlines,,,Douglas C-47A,VT-DFN,13628,4,0,4,4,0,4,0,"The cargo plane, carrying a load of tea,  crashed while taking off after losing an engine and attempting an emergency landing."</t>
  </si>
  <si>
    <t>04/11/1952,12:20,"North of San Juan, Puerto Rico",Pan American World Airways,526A,San Juan - New York City,Douglas DC-4,N88899,10503,69,64,5,52,52,0,0,"After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</si>
  <si>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04/18/1952,03:34,"Near Whittier, California",North Continental Airlines (Robin Airlines),416W,"Kansas City, MO - Phoenix - Burbank",Curtiss C-46F-1CU,N8404C,22466,29,26,3,29,26,3,0,"The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</si>
  <si>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04/29/1952,04:40,"Near Carolina, Brazil",Pan American World Airways,202,Rio de Janeiro - New York City,Boeing 377-10-26 Stratocruiser,N1039V,15939/12,50,41,9,50,41,9,0,"The flight crashed into the jungle about 887 nm NNW of Rio de Janerio. Separation of the propeller blade leading to separation of the No. 2 engine due to highly unbalance forces, leading to the distintegration of the aircraft. The aircraft was named ""Clipper Good Hope."""</t>
  </si>
  <si>
    <t>04/30/1952,,"Delhi,  India",Deccan Airways,,Madras - Delhi,Douglas DC-3,VT-AUN,13405,9,5,4,9,5,4,0,Lost an engine while on approach and crashed. Fuel starvation caused when the plane banked to make a turn and the tank being used had very little fuel in it.</t>
  </si>
  <si>
    <t>05/05/1952,,"Near Skien, Norway",Fred Olsen Flyveselskap,,"Amsterdam, Netherlands - Jarsberg, Norway",Douglas C-47A,LN-NAD,12148,29,26,3,11,8,3,0,"Crashed on a mountain slope while en route. There were mainly whaling crews aboard, returning from the antarctic. Crew navigational error."</t>
  </si>
  <si>
    <t>05/09/1952,,"Ipoh, Malaysia",Garuda Indonesia Airlines,,,Douglas DC-3,PK-DPA,42954,17,NULL,NULL,17,NULL,NULL,0,Crashed shortly after taking off.</t>
  </si>
  <si>
    <t>05/13/1952,,"Sao Paulo, Brazil",VASP,,Sao Paulo - Bauru,Douglas DC-3,PP-SPM,16894/34151,22,19,3,5,3,2,0,Crashed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</si>
  <si>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05/24/1952,,"Near Manaus, Brazil",Loide AÃ©reo Nacional,,,Curtiss C-46A,PP-LDE,446,6,0,6,6,0,6,0,"The cargo plane lost an engine while taking off, stalled and crashed. Failure of maintenance staff to remove the flying control locks.  Failure of one engine for reason undetermined."</t>
  </si>
  <si>
    <t>05/26/1952,08:45,"Near Atar, Mauritania",British Overseas Airways,251,Tripoli - Kano,Handley Page HP-81 Hermes IV,G-ALDN,HP-81/15,18,10,8,1,0,1,0,"The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</si>
  <si>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06/13/1952,11:29,Baltic Sea,Swedish Air Force,,Radio surveillance mission,Douglas DC-3,79001,9001,8,5,3,8,5,3,0,"Shot down by  a Mig-15 Russian Air Force fighter over the Baltic Sea in international waters while on a radio surveillance mission. Wreckage found 06/17/2003, recovered 03/19/2004."</t>
  </si>
  <si>
    <t>06/14/1952,09:49,"Near Brighton, East Sussex, England",Morton Air Services,,Croydon - Le Mans,Airspeed AS-65 Consul,G-AHFT,2593,8,7,1,6,5,1,NULL,Ditched into the English Channel after losing the starboard engine possible due to carborateur icing.</t>
  </si>
  <si>
    <t>06/24/1952,,"Lakenheath AFB, England",Military - U.S. Air Force,,,Boeing B-50 Superfortress,,,11,NULL,NULL,11,NULL,NULL,0,"After taking off from Larkenhealth AFB, the plane dropped out of a fortress of 10 aircraft and crashed and burned in the countryside between two farms."</t>
  </si>
  <si>
    <t>06/25/1952,,"Off Northumberland, North Sea",Military - Royal Air Force,,"Scrampton RAF Station, England",Avro Shackleton MR-1,VP261,,13,11,2,11,9,2,0,Crashed into the North Sea near Holy Island while participating in North Atlantic Treaty maneuvers.</t>
  </si>
  <si>
    <t>07/18/1952,00:0,"Whiting Field, near Milton, Florida",Military - Navy,,Corpus Christi - Norfork,Fairchild packet (C119 flying boxcar),,,46,40,6,41,37,4,0,"The Marine cargo plane, carrying ROTC students taking part in summer training crashed while taking off after a refueling stop."</t>
  </si>
  <si>
    <t>07/27/1952,11:46,"Off Rio de Janeiro, Brazil",Pan American World Airways,201,Rio de Janeiro - Buenos Aires,Boeing 377 Stratocruiser,N1030V,15939,27,19,8,1,1,0,0,A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</si>
  <si>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08/12/1952,,"Palmeira de Goias, Brazil",Transportes Areos Nacionales,,Rio Verde - Goiania,Douglas DC-3,PP-ANH,20187,24,20,4,24,20,4,0,Exploded in midair. A bomb exploded aboard.</t>
  </si>
  <si>
    <t>08/21/1952,01:00,"Off Trapani, Italy",Airwork,,Blackbushe - Malta - Khartoum,Handley Page HP-81 Hermes 4A,G-ALDF,HP-81/7,57,51,6,7,1,6,0,After failure of all four engines the plane ditched into the Mediterranean Sea. The initial failure of the No. 1 and 2 engines for reasons unknown.</t>
  </si>
  <si>
    <t>08/26/1952,07:00,"Near Khewra, West Pakistan",Military - Pakistan Air Force,,Khewra - Peshawar,Bristol 170 Freighter,G783,,18,NULL,NULL,18,NULL,NULL,0,Crashed shortly after taking off from Khewra. Possible engine failure.</t>
  </si>
  <si>
    <t>08/29/1952,21:05,"Kosti, Sudan",Phoenix Airlines,,Juba - Wadi Halfa,Douglas DC-2-115B,ZS-DFW,1322,4,0,4,2,0,2,0,Extremely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</si>
  <si>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09/06/1952,15:40,"Near Farnsborough, England",Private - de Havilland Aircraft,,,de Havilland 110,WG235,,1,0,1,1,0,1,29,"One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</si>
  <si>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09/10/1952,,"San Blas, Panama",SAM Colombia,,,Curtiss C-46,,,46,NULL,NULL,46,NULL,NULL,0,</t>
  </si>
  <si>
    <t>09/15/1952,,"Wadi Halfa, Sudan",Kalinga Airlines,,,Douglas C-47A,VT-CGB,9945,3,0,3,3,0,3,0,"A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</si>
  <si>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10/05/1952,16:02,"Skvoritsy, Russia",Aeroflot,376,Minsk - Leningrad,Ilyushin IL-12,L1328,30054,21,19,5,21,19,5,0,Midair collision with a TC-62 aircraft. ATC error.</t>
  </si>
  <si>
    <t>10/08/1952,,"Off Tarbat Ness, Scotland",Military - Royal Air Force,,,Avro Shackleton MR-1,VP286,,14,2,12,14,2,12,0,Was on air-sea practice when it crashed near Tarbat Ness.</t>
  </si>
  <si>
    <t>10/14/1952,,"San Fransisco do Paula, Brazil",Aero Brasil,,Sao Paulo - Porto Alegre,Douglas DC-3,PP-AXJ,6177,28,NULL,NULL,14,NULL,NULL,0,After being cleared to land the aircraft struck high ground and burst int flames. Navigational error in not knowing where the aircraft was located. Poor weather.</t>
  </si>
  <si>
    <t>10/16/1952,,"Off Kangnung, South Korea",Military - U.S. Air Force,,,Curtiss-Wright C-46D-CU,44-77538,32934,25,21,4,25,21,4,0,The aircraft crashed into the Sea of Japan while en route. No signs of the wreckage were ever found and only two bodies were recovered when they washed ashore.</t>
  </si>
  <si>
    <t>10/29/1952,08:30,"Near Flagstaff, Arizona",Military - U.S. Air Force,,,Boeing KC-97G Stratofreighter,52-2711,16733,16,NULL,NULL,16,NULL,NULL,0,Struck Gray Mountain in poor visibility while en route.</t>
  </si>
  <si>
    <t>11/06/1952,,"Lake Chad, Chad",Union Aeromaritime de Transport,,Fort Lamy - Beirut,Douglas C-54B-1-DC,F-BFVO,10498,6,1,5,5,1,4,0,</t>
  </si>
  <si>
    <t>11/07/1952,03:00,"Near Summit, Alaska",Military - U.S. Air Force,,Elmendorf AFB - Big Delta,Fairchild C-119C,51-2560A,10518,19,14,5,19,14,5,0,"A course deviation led to the aircraft crashing into Mt. McKinley at an elevation of 12,000 ft."</t>
  </si>
  <si>
    <t>11/14/1952,14:45,"Near Seoul, South Korea",Military - U.S. Air Force,,,Fairchild C-119C,51-2551A,,44,37,7,44,37,7,0,"Struck a mountain at an elevation of 2,000 ft. as it prepared to land at U.S. military base K-16. The mountains were obscured by low clouds."</t>
  </si>
  <si>
    <t>11/15/1952,,"Near Anchorage, Alaska",Military - U.S. Air Force,,Elemndorf AFB - Kodiak NAS,Fairchild C-119C,51-2570,10528,20,15,5,20,15,5,0,Disappeared while en route. No trace of the aircraft was ever found.</t>
  </si>
  <si>
    <t>11/17/1952,,"Shepard, Montana",Military - U.S. Air Force,,"Great Falls - Denver, Colorado",Fairchild C-119C-23-FA Flying Boxcar,,,16,NULL,NULL,9,NULL,NULL,0,"While en route, a propeller failed and punctured the fuselage after which vibrations caused the No. 1 engine to fall off. The pilot attempted to make an emergency landing. The plane crashed and came to rest in a muddy field."</t>
  </si>
  <si>
    <t>11/22/1952,20:15,"Mount Gannett, Alaska",Military - U.S. Air Force,,,Douglas C-124A Globemaster,51-107A,464096,52,41,11,52,41,11,0,"Bound for Elmendorf Air Force Base, the aircraft struck the south slope of Mount Gannett. The plane drifted off course due to high winds. Wreckage found in 06/26/2012"</t>
  </si>
  <si>
    <t>11/28/1952,00:50,"Near Tacoma, Washington",Military - U.S. Air Force,,,Douglas C-54G (DC-4),,,38,31,7,37,30,7,0,Crashed in poor visibility and fog after diverting to Great Falls. The No. 3 engine failed and the plane crashed into trees approximately 1 mile southwest of the airport. An 8-year old boy was the only survivor.</t>
  </si>
  <si>
    <t>12/06/1952,,"Near Sofia, Bugaria",TABSO,,Sofia - Varna,Lisunov Li-2,,,18,NULL,NULL,18,NULL,NULL,0,Crashed en route.</t>
  </si>
  <si>
    <t>12/06/1952,04:40,"Off Bermuda-Kindley Field, Bermuda",Cubana de Aviacion,,Madrid - Azores - Bermuda - Havana,Douglas DC-4,CU-T397,10319,41,33,8,37,30,7,0,"Crashed dived into the sea approximately 5 miles from the airport shortly after taking off. Cause unknown. The plane was called ""The Star of the East."""</t>
  </si>
  <si>
    <t>12/20/1952,06:30,"Moses Lake, Washington",Military - U.S. Air Force,,,Douglas C-124A Globemaster,50-100,43238,115,105,10,87,82,5,0,Within two minutes after takeoff the aircraft began to lose altitude. It crashed and burned into a snow laden field at the end of the airstrip. Failure of the pilot to remove the rudder and elevator locking pin prior to taking off.</t>
  </si>
  <si>
    <t>12/21/1952,,"Off Miami, Florida",Rutas AÃ©reas Nacionales SA,,,Curtiss C-46D,YV-C-ARC,33486,3,0,3,3,0,3,0,Disappeared over the Atlantic. Never found.</t>
  </si>
  <si>
    <t>12/22/1952,,"Damascus, Syria",Syrian Air,,,Douglas DC-3,,,NULL,NULL,NULL,9,NULL,NULL,NULL,</t>
  </si>
  <si>
    <t>12/25/1952,,"Off Caracas, Venezuela",Avensa,,,Douglas DC-3,YV-C-AVX,7391,5,NULL,NULL,3,NULL,NULL,0,Lost altitude and ditched near shore after taking off.</t>
  </si>
  <si>
    <t>12/25/1952,,"Tehran, Iran",Iran Air,,Abadan - Tehran,Douglas DC-3,EP-ACJ,9692,29,25,4,27,23,4,0,Crashed while landing.</t>
  </si>
  <si>
    <t>12/30/1952,,"Chinmen Island, Taiwan",Philippine Air Lines,,,Douglas DC-3,PI-C38,,10,7,3,2,0,2,0,"After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</si>
  <si>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01/05/1953,21:39,"Belfast, Northern Ireland",British European Airways,,Northolt - Belfast,Vickers Viking 610-1B,G-AJDL,262,35,31,4,27,24,3,0,Crashed into approach lights while attempting to land.  Error of judgement on the part of the pilot.</t>
  </si>
  <si>
    <t>01/07/1953,20:55,"Issaquah, Washington",Flying Tiger Line,841,Seattle - Cheyenne - Fort Jackson,Douglas C-54B-10-DO,N86574,18350,7,3,4,7,3,4,0,"The plane struck a tree on a mountain ridge at an elevation of 1,620 feet. Following impact with the tree the aircraft continued flying and finally struck the ground in a canyon 1,500 feet below and caught fire. The flight's deviation from the established approach procedure."</t>
  </si>
  <si>
    <t>01/07/1953,04:12,"Fish Haven, Idaho",Associated Air Transport,1-6-6A,Boeing Field - Cheyenne,Curtiss C-46,N1648M,22395,40,37,3,40,37,3,0,"The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</si>
  <si>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01/15/1953,04:48,"25 nm off Agrigento, Italy",Military -Royal Air Force,-,,Vickers Valetta Mk1 / Avero Lancaster,VX562 / TX270,,26,16,10,26,16,10,0,"Both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</si>
  <si>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01/26/1953,11:44,"Sinnai, Sardinia, Italy",Linee Aeree Italiane,,Cagliari - Rome,Douglas DC-3,I-LAIL,4308,19,15,4,19,15,4,0,Crashed 10 miles east of Cagliari in the Sinnai mountains after a wing failed due to overstressing.</t>
  </si>
  <si>
    <t>02/02/1953,05:30,"Off Newfoundland, Canada",Lancashire Aircraft Corporation (Skyways),,"Lajes, Azores - Gander",Avro 685 York 1,G-AHFA,1304,39,33,6,39,33,6,0,"Last know coordinates 46' 15"" N, 46'31""W, over the North Atlantic. A distress message was received. No trace of the aircraft or its occupants were ever found."</t>
  </si>
  <si>
    <t>02/03/1953,,"Lai Chau, Vietnam",Air Outremer,,,Douglas C-47B-15-DK,F-OAFR,15283/26728,18,15,3,18,15,3,0,Destroyed by detonation of a bomb.</t>
  </si>
  <si>
    <t>02/07/1953,10:28,"Bordeaux, France",UTA,,Abidjan - Bordeaux,Douglas C-54A-5-DC,F-BFGR,10290,19,13,6,9,3,6,0,Crashed into a grove of small trees and burst into flames while trying to land in heavy fog. Misjudgement by the pilot. Wrong altimeter setting.</t>
  </si>
  <si>
    <t>02/09/1953,19:00,"Cairo, Egypt",Military - Egyptian Air Force,,Al Arish - Cairo,Curtiss-Wright C-46,1001,,40,35,5,29,24,5,0,Crashed into a hill during a sandstorm 50 km northeast of Cairo.</t>
  </si>
  <si>
    <t>02/14/1953,17:10,"Off Mobile, Alabama",National Airlines,470,Miami - Orlando - New Orleans,Douglas DC-6,N90893,43057/73,46,41,5,46,41,5,0,"The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</si>
  <si>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03/03/1953,03:35,"Karachi, Pakistan",Canadian Pacific Air Lines,,Karachi - Rangoon,de Havilland DH106 Comet 1A,CF-CUN,06014,11,6,5,11,6,5,0,"The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</si>
  <si>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03/04/1953,01:50,"Windsor Locks, Connecticut",Slick Airways,162,"New York, NY - Winsor Locks, CT",Curtiss C-46F,N4717N,22400,2,0,2,2,0,2,0,"After missing his first approach to the airport, the pilot displayed poor judgement in attempting a circle under the overcast in rain and at night, rather than execute a standard instrument approach."</t>
  </si>
  <si>
    <t>03/14/1953,,"Kalasahar, India",Orient Airways,,Delhi - Dacca,Convair CV-240-7,AP-AEG,082,16,11,5,16,11,5,0,Crashed into a mountain while en route in severe weather. The pilot descended in poor visibility in order to find his position.</t>
  </si>
  <si>
    <t>03/17/1953,,"Off Da Nang, Vietnam",Aigle Azur,,Hue - Da Nang,Douglas DC-3,F-BEFG,19105,8,NULL,NULL,8,NULL,NULL,0,Crashed into the sea in poor weather conditions.</t>
  </si>
  <si>
    <t>03/18/1953,04:10,"Random Island, Newfoundland",Military - U.S. Air Force,,Lajes - Saint Johnâ€™s - Rapid City,Convair RB-36H,51-13721A,,23,18,5,23,18,5,0,"The aircraft, flying low over the Atlantic Ocean, was to have flown higher when it reached the coast. Tail-winds caused the aircraft to arrive earlier and the plane hit a hill in low cloud cover."</t>
  </si>
  <si>
    <t>03/20/1953,18:38,"Alvarado, California",Transocean Air Lines,942,Roswell - Oakland - Guam,Douglas DC-4  (C-54-10-DO),N88942,36076,35,30,5,35,30,5,0,"The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</si>
  <si>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03/27/1953,,"Itapebi, Brazil",Transportes AÃ©reos Salvador,,,de Havilland DH-114 Heron 1B,PP-SLG,14004,14,12,2,14,12,2,0,The pilot aborted the takeoff after loosing the No. 2 engine and was unable to stop on the remaining runway. Error of judgment on the part of the pilot in not continuing the takeoff with three engines still operating</t>
  </si>
  <si>
    <t>03/29/1953,,"Mtara, Tanganyika",Central African Airways,,Nairobi - Dar-es-Salaam,Vickers 616 Viking 1B,VP-YEY,168,13,8,5,13,8,5,0,"Crashed after a wing failed due to metal fatigue cracks after the aircraft encountered strong winds. A wrong type of grease used when fitting press fit bolts to the booms caused corrosion, thus weakening the lower starboard boom at the outboard bolt hole."</t>
  </si>
  <si>
    <t>04/10/1953,,"Near Anchieta Island, Brazil",REAL,,,Doublas Dc-3,,,NULL,NULL,NULL,26,NULL,NULL,NULL,</t>
  </si>
  <si>
    <t>04/10/1953,,"Off Kingston, Jamaica",Caribbean International Airways,,Kingston - George Town,Lockheed 18-56 LodeStar,VP-JBC,2568,13,10,3,13,10,3,0,"Lost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</si>
  <si>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04/10/1953,,"Miandivazo, Madagascar",Air France,,Miandrivazo - Antananarivo,Junkers JU-5/-3m,F-BALE,090,15,12,3,4,1,3,0,The cargo plane crashed on take off after experiencing duel engine failure.</t>
  </si>
  <si>
    <t>04/14/1953,02:22,"Selleck, Washington",Miami Airlines,,Spokane - Ellenburgh,Douglas DC-3 (C-47-DL),N65743,20432,25,22,3,7,5,2,0,"The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</si>
  <si>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04/14/1953,,"Near Guwahati, India",Airways,,Guwahati - Calcutta,Douglas C-47A,VT-AUJ,19149,3,0,3,3,0,3,0,The cargo plane broke apart in midair and crashed in the Khasi hills. The port wing failed in the air due to an upload as a result of being subjected to loads greater than those for which it was designed.</t>
  </si>
  <si>
    <t>04/16/1953,,"NW of Hanoi, Vietnam",Aigle Azur,,Hanoi - Na San,Douglas DC-3,F-BESS,19498,30,27,3,30,27,3,0,Crashed after takeoff due to wing failure.</t>
  </si>
  <si>
    <t>04/20/1953,23:08,"San Francisco Bay, California",Western Airlines,636,Los Angeles - San Francisco - Oakland,Douglas DC-6B,N91303,43823,10,5,5,8,4,4,0,The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</si>
  <si>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05/02/1953,16:35,"Near Jalalogori, West Bengal, India",British Overseas Airways,783/057,Calcutta - Delhi,de Havilland DH106 Comet 1,G-ALYV,06008,43,37,6,43,37,6,0,"The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</si>
  <si>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05/07/1953,,"Off Hartland Point, England",Military - Royal Air Force,,Training,Vickers Valetta T-3,WG258,506,10,0,10,10,0,10,0,Crashed into the sea. Unknown cause.</t>
  </si>
  <si>
    <t>05/09/1953,01:28,"New Delhi, India",Air India,,Delh - Ahmedabad - Bombay,Douglas DC-3,VT-AUD,13716,18,13,5,18,13,5,0,"Stalled following takeoff. An error of judgement by the pilot, who executed a steep starboard turn. He could not come out of the overbanked turn in time because of the low altitude. Inexperience of the pilot with the type of the aircraft which he was flying."</t>
  </si>
  <si>
    <t>05/11/1953,,"Prince Rupert, BC, Canada",Canadian Pacific Air Lines,,Sandpit - Prince Rupert,Consolidated PBY-5A Catalina,CF-CRV,21984,19,16,3,2,1,1,0,Crashed while attempting to land.  Misuse of controls after the aircraft touched down on the water. The aircraft  bounced several times with the final bounce being so severe the nose section was torn off.</t>
  </si>
  <si>
    <t>05/17/1953,14:15,"Near Marshall, Texas",Delta Air Lines,318,Dallas - Shreveport,Douglas DC-3,N28345,2224,20,17,3,19,16,3,0,"The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</si>
  <si>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05/24/1953,04:18,"St. Louis, Missouri",Meteor Air,,Teterboro - Saint Louis,Douglas DC-3,N53596,20433,7,2,5,6,1,5,NULL,Mismanagement of fuel resulting in loss of power and control while circling the field preparatory to an approach for landing.</t>
  </si>
  <si>
    <t>05/25/1953,15:30,"Amsterdam, Netherlands",KLM Royal Dutch Airlines,,Amsterdam - Paris,Convair CV-240-4,PH-TEI,125,34,28,6,0,0,0,2,"While taking off the plane reached a height of about  50 ft. after which flaps were retracted. The plane began to lose height and crash landed into a meadow. While no one on the plane died, two girls on a bicycle path were killed."</t>
  </si>
  <si>
    <t>05/27/1953,03:50,"Goose Wade, Russia",Aeroflot,18,Krasnoyarsk - Novosibirsk,Li-2 / Li-2T,CCCP-L4534,18429005,20,16,11,20,16,11,0,Midair collision. Crew did not follow the prescribed route. Inadequate preparation for flight. Tweny killed on the Li-2 and seven crew on the Li-2T</t>
  </si>
  <si>
    <t>06/14/1953,16:35,"Near  Zugdidi, Georgia",Aeroflot,229,Krasnodar - Tbilisi,Ilyushin IL-2,CCCP-L1375,30103,18,12,6,18,12,6,0,Crashed after being struck by lightning. Poor planning by the crew in entering an area of deteriorating weather conditions.</t>
  </si>
  <si>
    <t>06/15/1953,,"Near Reo Copiapo, Chile",LAN Chile,,CopiapÃ³ - Santiago,Lockheed 18 Loadstar,CC-CLD-0100,2617,7,5,2,7,5,2,0,Crashed after taking off. Engine fire.</t>
  </si>
  <si>
    <t>06/15/1953,,"San Ramon Mtns., Costa Rica",LACSA,,Palmar Sur - San Isidoro,Douglas DC-3,TI-1002,14633/26078,17,14,3,9,6,3,0,Crashed into the San Ramone mountains while attempting to land in poor weather.</t>
  </si>
  <si>
    <t>06/16/1953,,"Mount Phou-Lassy, French Indo-China",Aigle Azur,,Vientiane - Saigon,Douglas DC-3,F-BEST,19100,34,31,3,34,31,3,0,Crashed after on-board fire.  Possibly shot down.</t>
  </si>
  <si>
    <t>06/17/1953,22:00,"Sao Paulo, Brazil",Panair do Brasil,,London - Bueno Aires,Lockheed 049-46-21 Constellation,PP-PDA,2066,17,10,7,17,10,7,0,Crashed while on final approach to Sao Paulo. Error of judgement by the crew during poor visibility at night.</t>
  </si>
  <si>
    <t>06/18/1953,16:34,"Tachikawa AFB, Tokyo, Japan",Military - U.S. Air Force,,Tachikawa AB - Kimpo AB,Douglas C-124A Globemaster II,51-137A,43471,129,122,7,129,122,7,0,Crashed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</si>
  <si>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07/12/1953,08:41,"Pacific Ocean, 325 miles east of Wake Island",Transocean Air Lines,512,Wake Island - Honolulu - Oakland,Douglas DC-6A,N90806,42901/153,58,50,8,58,50,8,0,"Lost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</si>
  <si>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07/17/1953,23:15,"Near Milton, Florida",Military - U.S. Navy,,Whitting NAS - Norfolk NB,Fairchild R4Q-2,131663,10830,46,40,6,44,39,5,0,"The co-pilot failed to maintain a sufficient rate of climb after becoming airborne, struck obstacles and crashed into a wooded area. The pilot suffered from spatial disorientation immediately after liftoff."</t>
  </si>
  <si>
    <t>07/27/1953,12:30,"Near Kanggye, North Korea",Aeroflot,,,Ilyushin IL-12,,,21,15,6,21,15,6,0,Shot down by a U.S. Air Force F-86 jet fighter towards the end of the Korean War. The Russian government claimed the plane was over Chinese air space.</t>
  </si>
  <si>
    <t>08/03/1953,02:28,"Off Fethiye Point, Turkey",Air France,,Rome - Beirut,Lockheed L- 749A Constellation,F-BAZS,2628,42,34,8,4,4,0,0,The No. 3 engine broke away from the aircraft following severe vibrations causing loss of control of the No. 4 engine and necessitating a ditching 1.5 miles from the coast. Failure in flight of a propeller blade. Four passengers drowned.</t>
  </si>
  <si>
    <t>08/03/1953,22:37,"Sharjah, United Arab Emirates",Orient Airways,,Karachi - Jeddah,Douglas DC-3,AP-AAD,9143,25,21,4,1,1,0,0,"Shortly after taking off, the aircraft entered a turn and crashed to the ground. The failure of the captain to supervise the first officer in flying the plane who was not able to fly on instruments in the dark."</t>
  </si>
  <si>
    <t>08/05/1953,,Off Irish coast,Military - U.S. Air Force,, Travis - Lakenheath, Convair B-36,52-1369,303,23,0,23,19,0,19,0,"Crashed into the Atlantic Ocean after two of itâ€™s engines caught fire, 500 miles off the Irish coast."</t>
  </si>
  <si>
    <t>08/18/1953,,"Near San Diego, California",Aerovias Contreras,,,Curtiss C-46A,XA-GOT,26403,2,0,2,2,0,2,0,The cargo plane flew into a mountain east of San Diego.</t>
  </si>
  <si>
    <t>09/01/1953,23:30,"Near Barcelonnette, France",Air France,,Paris - Nice - Beirut - Baghdad - Karachi - Calcutta,Lockheed 749A Constellation,F-BAZZ,2674,42,33,9,42,33,9,0,"While on approach to land at Nice-Cote d' Azur Airport the aircraft crashed into Mt. Cemet in the French Alps. French violinist Jacques Tribaud, 72, among those killed. Navigational error. Pilot deviated from the prescribled route for reasons unknown."</t>
  </si>
  <si>
    <t>09/01/1953,18:42,"Vail, Washington",Regina Cargo Airlines,,Fort Ord - McChord,Douglas DC-3,N19941,6333,21,19,2,21,19,2,0,"Crashed on the fringe of the Cascade mountains, 26 nm short of McChord AFB. The pilot's attempt to continue flight under the provisions of VFR during IFR conditions."</t>
  </si>
  <si>
    <t>09/08/1953,13:16,"San Andres, Honduras",TACA,,San Pedro - San Andres,Douglas C-47A,XH-TAR,13817/25262,3,0,3,3,0,3,0,After a missed approach the No. 2 engine of the cargo plane failed. Failure of the right engine when the pilot wished to obtain maximum power from both engines after a missed landing.</t>
  </si>
  <si>
    <t>09/14/1953,,"Chablekal, Mexico",Transportes AÃ©reos Mexicanos,,Campeche - MÃ©rida,Douglas C-47A,XA-GIC,13113,2,0,2,1,0,1,0,The cargo plane struck a tower in fog while attempting to land. Too low approach.</t>
  </si>
  <si>
    <t>09/16/1953,08:34,"Albany, New York",American Airlines,723,Boston - Hartford - Albany - Chicago,Convair CV-240-0,N94255,116,28,25,3,28,25,3,0,"After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</si>
  <si>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09/25/1953,10:10,"Ankara, Turkey",Devlet Hava Yollari,,Ankara - Van,Douglas DC-3,TC-EGE,9694,21,16,5,5,1,4,0,"Crashed to the ground after an engine fire during takeoff. As the plane returned, it stalled and crashed."</t>
  </si>
  <si>
    <t>09/28/1953,16:18,"Louisville, Kentucky",Resort Airlines,,Philadelphia - Louisville,Curtiss C-46F-1-CU,N66534,22384,41,38,3,25,22,3,0,"While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</si>
  <si>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10/14/1953,14:54,"Frankfurt, Germany",Sabena,,Salzburg - Frankfurt - Brussels,Convair CV-240-12,OO-AWQ,154,44,40,4,44,40,4,0,Crashed while attempting to take off. Loss of engine power on takeoff. The loss of power may possibly be attributed to the heavy deposit of lead on the spark plugs.</t>
  </si>
  <si>
    <t>10/17/1953,,"Lai Chau, Vietnam",Compagnie Sila,,,Douglas C-47B,F-VNAE,25591,7,0,7,2,0,2,0,The cargo plane crashed under unknown circumstances.</t>
  </si>
  <si>
    <t>10/19/1953,00:56,"New York City, New York",Eastern Air Lines,627,New York City - San Juan,Lockheed 749A Constellation,N119A,2616,27,22,5,2,2,0,0,The aircraft crashed a few seconds after becoming airborne. The captain's loss of visual reference and orientation when he encountered drifting fog shortly after becoming airborne on take-off and the resultant inadvertent assumption of a descending flight path.</t>
  </si>
  <si>
    <t>10/19/1953,07:10,"Near Monterrey, Mexico",Aerovias Contreras,,Monterrey - Falcon Dam,Douglas C-46A-CU ( DC-3),XA-GOT,26403,21,18,3,21,18,3,0,Crashed into a ravine while carring reporters and officials to the inauguration of Falcon Dam.</t>
  </si>
  <si>
    <t>10/27/1953,11:18,"Near Magadan, Russia",Aeroflot,783,Magadan - Okhotsk - Nikolayevsk-on-Amur - Khabarovsk,Ilyushin IL-12,L1765,93013102,32,27,5,22,17,5,NULL,Stalled and crashed 6 km from the airport. Overloaded. Snow not removed from the wings. Icing.</t>
  </si>
  <si>
    <t>10/29/1953,08:44,"Near Half Moon Bay, California",British Commonwealth Pacific Airlines,304/44,Sydney - Honolulu - San Francisco,Douglas DC-6,VH-BPE,43125/131,19,11,8,19,11,8,0,"While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</si>
  <si>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10/31/1953,00:30,"Kharkov. Ukraine, Russia",Aeroflot,270,Rostov-on-Don - Kharkiv - Moscow,Li-2,L4732,18432509,16,11,5,15,10,5,0,The plane stalled while landing due to improperly set controls. Poor approach techniques on part of the flying crew and against the published procedures according to the weather conditions.</t>
  </si>
  <si>
    <t>11/03/1953,,"Tarabuco, Bolivia",Lloyd Aereo Boliviano,,Camiri - Sucre,Douglas DC-3,CP-600,2181,28,25,3,28,25,3,0,"Crashed into the Rodeo Pampa mountains during an approach to Sucre, 18 miles from its destination."</t>
  </si>
  <si>
    <t>11/11/1953,17:30,"Off Argyll, Scotland",Military - Royal Air Force,,Training,Avro Shackleton MR-2,WL746,,10,0,10,10,0,10,0,Crashed in the Atlantic during a training exercise.</t>
  </si>
  <si>
    <t>12/04/1953,17:00,"Near Guaderrama, Spain",Aviaco,,Bilbao - Madrid,Bristol 170 Freighter 21,EC-AEG,12797,33,28,5,23,22,1,0,Crashed into Mt. Somosierra in poor weather conditions. It is believed the aircraft suffered downdraft and lost altitude before colliding with a mountain.</t>
  </si>
  <si>
    <t>12/12/1953,03:25,"Nagpur, India",Indian Airlines,,New Delhi - Nagpur - Madras,Douglas DC-3,VT-CHF,11810,14,10,4,13,10,3,0,"Shortly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</si>
  <si>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12/15/1953,,"	Tecpan Mt., Guatemala",Aviateca,,Brownsville - Guatemala City,Curtiss C-46D,TG-AQA,33589,2,0,2,2,0,2,0,"The cargo plane with a load of citrus fruit flew into a 8,000 ft. mountain."</t>
  </si>
  <si>
    <t>12/15/1953,,"Near Cairo, Egypt",Misair,,Cairo - Luxor,VC-Viking,SU-AFK,213,6,5,1,6,5,1,NULL,Crashed on takeoff from Cairo-Almaza Airport.</t>
  </si>
  <si>
    <t>12/17/1953,06:50,"Guam, Mariana Islands",Military - U.S. Air Force,,,Boeing B-29,44-87741,,16,6,10,11,5,6,8,"The aircraft crashed into an officer's housing area after attemping to make an emergency landing with an engine out,at Anderson Air Force Base on Guam."</t>
  </si>
  <si>
    <t>12/19/1953,18:55,"Zurich, Switzerland",Sabena,,Brussels - Zurich,Convair CV-240,OO-AWO,128,44,41,3,1,1,0,0,Descended below the glide path in poor weather and darkness and crashed 1.5 miles short of the runway. Poor approach procedures performed by the pilot.</t>
  </si>
  <si>
    <t>12/21/1953,,"Dah-el-Kadeeb, Syria",Syrian Airways,,,Douglas DC-3,YK-AAF,TDB,15,NULL,NULL,9,NULL,NULL,0,</t>
  </si>
  <si>
    <t>01/02/1954,,"Herat, Afghanistan",Ariana Afghan Airlines,,,Douglas DC-3,,,21,NULL,NULL,21,NULL,NULL,0,Two Russian trade delegates were killed when the plane crashed near Herat in a showstorm.</t>
  </si>
  <si>
    <t>01/05/1954,,"Lapseki, Turkey",Devlet Hava Yollari,,Istanbull - Bandirma - Canakkal7,Douglas DC-3,TC-BAG,19616,10,5,5,4,2,2,0,Flew into a mountain near Lapseki.</t>
  </si>
  <si>
    <t>01/06/1954,17:20,"Near Aldbury, England",Military -Royal Air Force,,Bovingdon AF - Thorney Island,Vickers Valetta,WJ474,599,17,13,4,16,12,4,0,The aircraft crashed 4 minutes after taking off in a snow shower. The aircraft lost altitude and crashed to the ground for reasons unknown.</t>
  </si>
  <si>
    <t>01/10/1954,11:05,"Off Elba, Italy",British Overseas Airways,781,Rome - London,de Havilland DH106 Comet 1,G-ALYP,06003,35,29,6,35,29,6,0,"The aircraft broke up in-flight while en route from Rome to London. Metal fatigue due to a design flaw caused a breakup of the aircraft. One of two accidents with the same cause. The aircraft was nicknamed ""Yoke Peter."""</t>
  </si>
  <si>
    <t>01/11/1954,06:15,"Manizales, Colombia",AVIANCA,,Medellin  - Armenia,Douglas DC-3,HK-160,19540,21,18,3,21,18,3,0,"While descending to Manizales by night and poor weather conditions, the aircraft collided with a mountain shrouded by clouds and disintegrated on impact."</t>
  </si>
  <si>
    <t>01/12/1954,13:55,"Prague, Czech Republic",Czech Airlines,,Prague - Ostrava,Douglas C-47 Skytrain (DC-3),OK-WDS,11854,18,14,4,13,9,4,0,"The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</si>
  <si>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01/13/1954,,"Signal Hill, California",Military - U.S. Air Force,,Williams AFB  - Long Beach,F-88 Sabre Jet,,,1,0,1,1,0,1,6,The jet fighter crashed into homes killing 6 people and destroying 3 homes while attempting to land at Long Beach Airport..</t>
  </si>
  <si>
    <t>01/14/1954,11:50,"Rome, Italy",Philippine Air Lines,,"Beirut, Lebanon - Rome, Italy",Douglas DC-6,PI-C294,42903/150,16,9,7,16,9,7,0,While descending to make an IFR landing the aircraft went into a steep dive and crashed. There was a possibility of both right engines being on fire. There was turbulence in the area.. The aircraft possibly  lost a wing during a pull out from the steep dive.</t>
  </si>
  <si>
    <t>01/20/1954,07:08,"Kansas City, Missouri",Zantop Air Transport,,Jackson  - Kansas City,Douglas DC-3A,N49551,4940,3,0,3,3,0,3,0,The cargo plane crashed while on approach. The loss of control of the aircraft at an altitude too low to effect recovery. The loss of control resulted from an accumulation of ice and the use of de-icer boots at low air speeds.</t>
  </si>
  <si>
    <t>02/01/1954,13:50,"Off Hokkaido, Japan",Military - U.S. Air Force,,Misawa - Chitose,Curtiss-Wright C46D-CU,44-78027A,33423,35,30,5,35,30,5,0,"After reporting a fire in the cargo hold and that a ditching was imminent,  the last message from the aircraft was ""I've lost control of the aircraft we're going in."" The plane crashed 30 km south of Tomakomai."</t>
  </si>
  <si>
    <t>02/05/1954,,"Susitna Valley, Alaska",Military - U.S. Air Force,,Ladd AFB - Elemndorf AFB,Douglas C-47,5895,,16,0,16,10,0,10,0,"The plane broke apart over the Susitna Valley of South Central Alaska and the scattered parts fell onto Kesugi Ridge, which is now within Denali State Park. Six servicemen wearing parachutes escaped by being thrown from the disintegrating aircraft."</t>
  </si>
  <si>
    <t>02/12/1954,,"Off Gozo, Malta",Military - Royal Air Force,,Military exercise,Avro Shackleton MR-2,WL794,,10,0,10,10,0,10,0,Crashed at sea while on manuvers.</t>
  </si>
  <si>
    <t>02/25/1954,11:00,"New Delhi, India",Indian Airlines,,Test flight,Douglas DC-3,VT-ATU,20358,3,0,3,3,0,3,0,The test flight crashed after attempting to determine the cause of a crash at Nagpur on 12/12/1953.</t>
  </si>
  <si>
    <t>02/26/1954,10:32,"Wright, Wyoming",Western Airlines,314,Salt Lake City - Cedar City - Rapid City,Convair CV-240,N8407H,37,9,6,3,9,6,3,0,"After entering an area of severe turbulence and icing, the plane made a rapid descent and struck the ground at high speed. A sudden emergency of undetermined origin under adverse weather conditions resulting in rapid descent and impact with the ground at high speed."</t>
  </si>
  <si>
    <t>03/04/1954,14:30,"Near St. Etienne de Tinee, France",Military - U.S. Air Force,,"Tripoli, Libya - Hahn, W Germany",Douglas C-47A-DL,42-24096A,9958,20,18,2,20,18,2,0,"The aircraft struck a mountain and disintegrated at an altitude of 8,000 ft. while en route. The accident occurred in snow and low overcast conditions. The plane had drifted off the prescribed course and no wind drift correction had been made."</t>
  </si>
  <si>
    <t>03/13/1954,,"Dien Bien Phu, South Vietnam",Aigle Azur,,,C-46,,,NULL,NULL,NULL,NULL,NULL,NULL,NULL,Shot down.</t>
  </si>
  <si>
    <t>03/13/1954,14:34,"Kallang Airport, Singapore",British Overseas Airways,,Australia - London,Lockheed 749A-79-33 Constellation,G-ALAM,2554,40,31,9,33,31,2,0,"Crashed short of the runway, hit a wall, overturned and caught fire. Improper procedures used in landing.  Pilot fatigue."</t>
  </si>
  <si>
    <t>03/14/1954,04:20,"Off Mackay, Australia",Queensland Airlines,,Mackay - Rockhampton,Douglas C-47A,VH-BBV,12360,2,0,2,2,0,2,0,"One minute after taking off, the cargo plane crashed into the sea off Mackay."</t>
  </si>
  <si>
    <t>03/19/1954,22:30,"Near Lothian, Maryland",Military - U.S. Air Force,,"Oklahoma - Long Island, NY",Fairchild C-110F,51-7993,10732,18,12,6,18,12,6,0,Crashed to the ground about 20 minutes after leaving Bolling Air Force Base. The aircraft was circling a radio beacon under VFR waiting for IFR clearance. An attempt to maintain VFR flight at night and in poor visibility.  Possible crew fatigue.</t>
  </si>
  <si>
    <t>03/26/1954,,"Monterrey, Mexico",Aeronaves de Mexico,,Mazatlan - Monterey,Douglas DC-3,XA-GUN,7358,18,15,3,18,15,3,0,Crashed and burned on Friar's Peak in the Salinas mountains after being waved off for landing due to a dust storm.</t>
  </si>
  <si>
    <t>04/03/1954,13:40,"Kabassaak, Turkey",Devlet Hava Yollari,,Adana - Istanbul,Douglas DC-3,TC-ARK,19509,25,20,5,25,20,5,0,"Exploded in midair about 25 miles from Adana, 15 minutes after takeoff from Adana."</t>
  </si>
  <si>
    <t>04/04/1954,,"Hanoi, Vietnam",Autrex,,,Douglas C-54A,F-BFGQ,10341,4,0,4,4,0,4,0,The cargo plane crashed into the Red River while on final approach.</t>
  </si>
  <si>
    <t>04/08/1954,20:04,"Off Stromboli, Italy","South African Airways, leased from British Overseas Airways",201,Rome - Cairo,de Havilland DH106 Comet 1,G-ALYY,06011,21,14,7,21,14,7,0,"The aircraft broke up in-flight and crashed into the sea en route from Rome to Cairo. Metal fatigue due to a design flaw led to the breakup of the aircraft.  This is the second accident with the same cause. The aircraft was nicknamed ""Yoke Yoke."""</t>
  </si>
  <si>
    <t>04/08/1954,10:03,"Moose Jaw, SK, Canada",Trans Canada Air Lines / RCAF,,Montreal - Vancouver,Canadair C-4-1Argonaut / Harvard Mark II,CF-TFW/RCAF3309,150,36,31,5,36,31,5,1,"Midair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</si>
  <si>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04/13/1954,,"Xieng Kouang, Laos",Societe Indochinoise de Raviteillement,,,Lockheed 18 Lodestar,F-OALK,2603,23,20,3,16,13,3,0,Stalled and crashed and burned during takeoff.</t>
  </si>
  <si>
    <t>04/13/1954,13:10,"Batuco, Chile",LAN,,Santiago - Iquique,Douglas DC-3,956,4470,14,9,5,14,9,5,0,Shortly after taking off and climbing the plane crashed near Lake Batuco.</t>
  </si>
  <si>
    <t>04/23/1954,21:25,"Sierra del Vilgo, Argentina",Aerolineas Argentinas,,Mendoza - Cordoba,Douglas DC-3,LV-ACX,12387,25,21,4,25,21,4,0,Crashed into a mountain during an approach. Deviation from prescribed course for unknown reasons. Crew fatigue may have played a part. The captain acted contrary to company policy regarding a required IFR approach.</t>
  </si>
  <si>
    <t>04/30/1954,09:18,"Near Calcutta, India",Darbhanga Aviation,,,Douglas C-47A-30-DK,VT-DEM,13792,11,8,3,5,3,2,0,"The aircraft tried to return to the airport after the No. 1 engine failed on takeoff but was unable to maintain airspeed, stalled and crashed into a tree. Delay in feathering the No. 1 engine after failure. Improper emergency procedural errors by the pilot."</t>
  </si>
  <si>
    <t>05/22/1954,09:23,"Paraparaumu, New Zealand",New Zealand National Airways,,Churchchrist - Paraparaumu,Douglas DC-3,ZK-AQT,15948/32696,28,26,2,3,3,0,0,Crashed onto a roadway from a height of 500 ft. and into a clump of trees.The crew used the wrong fuel selection configueration and the engines failed due to fuel starvation.</t>
  </si>
  <si>
    <t>05/31/1954,,"Cipo Mountain, Brazil",Transportes Aereos Nacionales,,Governador Valadares - Belo Horizonte,Douglas DC-3,PP-ANO,19830,19,16,3,19,16,3,0,The aircraft deviated from its normal course by 30 miles and struck the slope of Mt CipÃ³a. Navigational error. The minimum safety height for the route was not complied with.</t>
  </si>
  <si>
    <t>06/03/1954,,"Near Maribor, Slovenia",Sabena,,"Blackbushe, UK - Beogard, Serbia",Douglas C-47A,OO-CBY,11982,4,0,4,1,0,1,0,The cargo plane ran off the end of the runway and crashed after being attacked by a fighter jet.</t>
  </si>
  <si>
    <t>06/04/1954,11:00,"Sao Paulo, Brazil",Varig,,Sao Paulo - Porto Alegre,Curtiss C-46A,PP-VBZ,30400,3,0,3,3,0,3,0,The cargo plane crashed on takeoff. Elevator lock was not removed prior to takeoff.</t>
  </si>
  <si>
    <t>06/08/1954,,"Da Nang, Vietnam",Soc. de Tr. AÃ©riens d'ExtrÃªme Orient,,Tourane - Saigon,Douglas C-47-DL,F-BCCL,4464,4,2,2,4,2,2,0,Crashed en route under unknown circumstances..</t>
  </si>
  <si>
    <t>06/19/1954,23:00,"Off Folkestone, England",Swissair,,Geneva - London,Convair CV-240-4,HB-IRW,61,9,5,4,3,3,0,0,The plane ditched into the Atlantic Ocean after running out of fuel. Three non-swimming passengers drowned due to lack of lifesaving equipment aboard. Negligence of the crew in not monitoring the fuel situation as the flight progressed.</t>
  </si>
  <si>
    <t>07/02/1954,12:00,"Near Salvador, Brazil",Military - Brazilian Air Force,,,Lockheed C-28,C-28-2901,,24,20,4,24,20,4,0,The aircraft crashed while attempting to take off. Engine failure at a critical stage in takeoff.</t>
  </si>
  <si>
    <t>07/23/1954,08:45,"Off Hainan Island, China",Cathay Pacific Airways,,Singapore - Hong Kong - Bangkok,Douglas DC-4,VR-HEU,10310,18,12,6,10,8,2,0,Ditched into the sea after being shot down by Chinese Lachovlin  La-7 military fighter aircraft. The survivors were rescued by the U.S. Air Force.</t>
  </si>
  <si>
    <t>08/08/1954,15:40,"Near McGrath, Alaska",Alaska Airlines,,McGrath - Colorado Creek,Douglas DC-2,N91008,13977/25422,2,0,2,2,0,2,0,"The cargo plane flew into a mountain, 35 miles northeast of McGrath."</t>
  </si>
  <si>
    <t>08/09/1954,02:40,"Terceira Island, Azores, Portugal",AVIANCA,,"Lajes, Azores - Bermuda",Lockheed 749A-79 Constellation,HK-163,2664,30,21,9,30,21,9,0,"Crashed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</si>
  <si>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08/12/1954,,Vietnam,Autrex,,Saigon - Hanoi,Douglas DC-3,F-BSGS,,3,0,3,3,0,3,0,The cargo plane crashed en route.</t>
  </si>
  <si>
    <t>08/16/1954,,"Near Pakse, Laos",Air Vietnam (South Vietnam),,Red River delta - Saigon,Bristol 170 Freighter 21E,F-VNAI,12809,55,51,4,47,46,1,0,Crashed into the Mekong River while making an emergency landing after encountering engine failure. The aircraft was being used to evacuate families.</t>
  </si>
  <si>
    <t>08/22/1954,17:03,"Near Mason City, Iowa",Braniff Airlines,152,Memphis - Minneapolis,Douglas DC-3,N61451,4630,19,16,3,12,10,2,0,"The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</si>
  <si>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08/23/1954,11:35,"Off IJuuiden, North Sea",KLM Royal Dutch Airlines,,Shannon - Amsterdam,Douglas DC-6B,PH-DFO,43556/257,21,12,9,21,12,9,0,Crashed into the North Sea in rain showers and heavy seas. Cause not determined.</t>
  </si>
  <si>
    <t>08/26/1954,10:50,"Sakhalin Oblast, Russia",Aeroflot,971,Khabarovsk - Yuzhno-Sakhalinsk,Lisunov LI-2,CCCP-L4679,6803,27,22,5,26,21,5,1,The plane crashed in the mountains. Crew did not properly use the navigation equipment.</t>
  </si>
  <si>
    <t>08/27/1954,22:11,"Near Rapid City, South Dekota",Military - U.S. Air Force,,Training,Convair RB-36H,51-13722,,27,23,4,26,23,3,0,Crashed while making practice approaches to Ellsworth Air Force Base during its sixth attempt. The plane slammed into to ground with landing gear retracted and flaps set at 20 degrees.</t>
  </si>
  <si>
    <t>09/05/1954,02:39,"Foynes, Ireland",KLM Royal Dutch Airlines,633,Amsterdam - Shannon - New York,Lockheed 1049C-55-81 S Constellation,PH-LKY,4509,56,46,10,28,25,3,0,"Less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</si>
  <si>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09/12/1954,20:08,"Off Rio de Janeiro, Brazil",Cruzeiro,,Sao Paulo - Rio de Janeiro,Douglas DC-3,PP-CDJ,19278,26,22,4,6,6,0,0,The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</si>
  <si>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09/15/1954,,"Cairo, Egypt",Misrair,,Test,Vickers 634 Viking,SU-AFO,212,4,0,4,3,0,3,0,Stalled and crashed during a test flight.</t>
  </si>
  <si>
    <t>09/27/1954,00:57," Novosibirsk, Russia",Aeroflot,10,Krasnoyarsk - Novosibirsk,Ilyushin IL-12,CCCP-L1365, 30 086,29,24,5,29,24,5,0,"Crashed in fog while attempting to land. Crew error, landing in conditions below minimums."</t>
  </si>
  <si>
    <t>10/24/1954,17:50,"Near Nice, Italy",Military - U.S. Air Force,,Rome - Lyons,Douglas C-47A-DL,43-16044,20510,21,18,3,21,18,3,0,"Crashed in the Alps, 25 miles northeast of Nice, on the French/Italian border while en route. The instrument flight plan the pilot filed indicated a cruising height that was lower than the authorized minimum altitude required to clear the mountains."</t>
  </si>
  <si>
    <t>10/28/1954,00:10," Krasnoyarsk Territory, Russia",Aeroflot,136,Krasnoyarsk - Irkutsk,Ilyushin IL -12, CCCP-L1789,93013206,16,13,3,16,13,3,0,Hit the east slope of Mt Sivukha  located 30 km from the Mana River in strong winds while en route. Crew error.</t>
  </si>
  <si>
    <t>10/30/1954,01:00,"Off Ocean City, Maryland",Military - U.S. Navy,57,"Patuxent River NAS - Kenitra, Morocco",Lockheed R7V-1,128441,4108,42,21,21,42,21,21,0,"The aircraft disappeared approximately 300 miles east of Ocean City, Maryland and no trace of the wreckage or bodies was ever found."</t>
  </si>
  <si>
    <t>10/31/1954,15:10,"Mangalore, Australia",TAA,,Training,Vickers 720 Viscount,VH-TVA,44,8,0,8,3,0,3,0,"Crashed during takeoff. An error of judgement on the part of the pilot-in-command in that he took the aircraft into the air at a speed below the minimum control speed, following loss of directional control during the ground run."</t>
  </si>
  <si>
    <t>11/16/1954,,"Jirishanga,Cerro de Pasco, Peru",TAM (Brazil),,Pucallpa - Lima,Douglas DC-3,FAP-403,,24,21,3,24,21,3,0,Disappeared over the Andes while en route. Wreckage found 12/04/1954.</t>
  </si>
  <si>
    <t>11/30/1954,11:15,"Berlin, New Hampshire",Northeast Airlines,792,"Boston - Concord - Laconia - Berlin, NH",Douglas DC-3,N17891,11745,7,3,4,2,0,2,0,The aircraft crashed during an ILS approach to Berlin. Premature and unauthorized instrument descent to an altitude that did not permit terrain clearance.</t>
  </si>
  <si>
    <t>12/04/1954,,"Near Luang Pragang, Laos",Air Laos,,Luang Prabang - Nam Tha,Douglas DC-3,F-BEIA,19211,29,25,4,29,25,4,0,Crashed in the jungle about 30 km north of Luang Prabang on the company's first commercial flight.</t>
  </si>
  <si>
    <t>12/12/1954,23:04,"Bratislava, Slovakia",CeskoslovenskÃ© Aerolinie,,Prague - Brno - Bratislava,Douglas C-47A,OK-WDK,12549,4,0,4,4,0,4,0,"Hit the ground while making an approach to land. It is believed that the Pitot tubes heater system was OFF at the time of the accident, which cause several instruments to display wrong parameters, such the altimeters and the speed indicators."</t>
  </si>
  <si>
    <t>12/18/1954,14:00,"New York, New York",Linee Aeree Italiane,451,Rome - New York City,Douglas DC-6B,I-LINE,44418/487,32,22,10,26,16,10,0,"The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</si>
  <si>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12/18/1954,,"Near Bolivar, Venezuela",Linea Aeropostal Venezolana,,Bolivar - Tumeremo,Douglas C-47A,YV-C-AMP,19292,2,0,2,2,0,2,0,The cargo plane crashed into a mountain while en route.</t>
  </si>
  <si>
    <t>12/22/1954,23:00,"Pittsburgh, Pennsylvania",Johnson Flying Service,4844-C,Newark - Pittsburgh - Colorado Springs,Douglas DC-3,N24320,20197,28,23,5,10,9,1,0,Ditched into the Monongahela River after running out of fuel. Inadequate flight planning. Contributing factors were inadequate crew supervision and training.</t>
  </si>
  <si>
    <t>12/25/1954,,"Prestwick, Ayrshire, Scotland",British Overseas Airways,,London - Prestwick - Shannon - Gander - New York,Boeing B377-10-28 Stratocruiser,G-ALSA,15943,36,25,11,28,24,4,0,"Crashed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</si>
  <si>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12/31/1954,,"Irkutsk, Russia",Aeroflot,,Beijing- Irkutsk - Tashkent - Nicosia,Ilyushin II-14,,,17,14,3,17,14,3,0,Crashed shortly after takeoff from Irkutsk-Magan Airport.</t>
  </si>
  <si>
    <t>01/01/1955,,"Near Anchorage, Alaska",Military - US Air Force,,Anchorage - Nome,Douglas C47,,,12,NULL,NULL,12,NULL,NULL,0,The pilot turned back to make an emergency landing at Skwentna Airport but hit a ridge a mile short of the runway.</t>
  </si>
  <si>
    <t>01/11/1955,21:00,"Off Skellings, Ireland",Military -Royal Air Force,,,Avro Shackleton M-2 / Avro Shakleton M-2,WG531 / Wl743,,18,NULL,NULL,18,NULL,NULL,0,Disappeared while on a training mission. Two planes collided in midair.</t>
  </si>
  <si>
    <t>01/12/1955,09:05,"Greater Cincinnati Airport, Covington, Kentucky",Trans World Airlines / Castleton Inc.,,Cincinnati - Cleveland,Martin 202A / DC-3,N93211/N999B,14081 / 4255,15,10,5,15,10,5,0,"Midair collision at 700-900 feet. The DC-3 entered the airport's control space without clearance or communication with the tower. Thirteen killed on the Martin, two crew on the DC-3."</t>
  </si>
  <si>
    <t>01/15/1955,00:05,"London, Ontario, Canada",Ontario Hydro,,Windsor - Toronto,Grumman G-73 Mallard,CF-GEU,,5,3,2,1,1,0,0,"The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</si>
  <si>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01/19/1955,16:25,"Des Moines, Iowa",United Air Lines,329,Newark - Des Moines - Lincoln,Convair CV-340,N73154,180,39,36,3,0,0,0,0,Almost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</si>
  <si>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01/31/1955,,"Lapadrera, Colombia",Interamericana de Aviacion,,Bogota - Villavicencio - Mitu - La Pedrera,Consolidated PBY-5 Catalina,HK-1000E,,5,4,1,5,4,1,0,The cargo plane crashed into the Caqueta river while attempting to land.</t>
  </si>
  <si>
    <t>02/02/1955,03:50,"Nagpur, India",Indian Airlines,,Nagpur - Delhi,Douglas DC-3,VT-CVB,13037,10,6,4,10,6,4,0,"Crashed into a field shortly after takeoff. The aircraft crashed as a result of slipping into the ground in the course of a poorly executed steep turn to port, carried out at night at a low altitude."</t>
  </si>
  <si>
    <t>02/05/1955,10:04,"Near Calabar, Nigeria",West African Airways,,Enugu - Calabar,Bristol 170 Freighter 21E,VR-NAD,12779,13,9,4,13,9,4,0,Crashed shortly after taking off after a wing failed. A design flaw in the wing led to fatigue cracks and wing failure.</t>
  </si>
  <si>
    <t>02/13/1955,19:53,"Abruzzio Mountains, Italy",Sabena,,Brussels - Rome,Douglas DC-6,OO-SDB,43063/60,29,21,8,29,21,8,0,Crashed into a mountain while on approach. Navigational error due to failure to use radio equipment.</t>
  </si>
  <si>
    <t>02/19/1955,07:31,"Albuquerque, New Mexico",Trans World Airlines,260,Albuquerque - Sante Fe,Martin 404,N40416,14120,16,13,3,16,13,3,0,"After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</si>
  <si>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02/23/1955,09:20,"Salisbury,  Zimbabwe",Central African Airways,626,Salisbury - Lusaka,Douglas DC-3,VP-YKO,15109/26554,26,21,5,1,0,1,0,The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</si>
  <si>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02/26/1955,15:50,"Formosa, Argentina",de Havilland Dove,,,de Havilland DH.104 Dove, LQ-XWW,04094,7,4,3,6,4,2,NULL,The aircraft was not able to get airborne and hit the end marker of the runway then hit the airport fence. Use of spark plugs inappropriate to the engine type. Overloaded.</t>
  </si>
  <si>
    <t>03/06/1955,,"Vitoria da Conquista, Brazil",REAL,,,Douglas DC-3,PP-YPZ,11699,21,18,3,5,4,1,0,"After an aborted landing attempt due to a unlocked landing gear, the plane made a left turn, hit a pole, crashed and burned. Pilot error. Improper use of the throttles by the crew following the go-around. Failure of the landing gear locking mechanism."</t>
  </si>
  <si>
    <t>03/07/1955,,"Near Cuidad de Valles, Mexic",Private,,Tampico - Mexico City, Lockheed 18 LodeStar,XB-ZEH,,6,4,2,6,4,2,NULL,"While cruising by night, the twin engine aircraft hit the slope of the Cerro El Sabino located near Ciudad Valles."</t>
  </si>
  <si>
    <t>03/08/1955,13:40,"Mascota, Mexico",Mexicana,591,Puerto Vallarta - Talpa de Allende - Mascota - Guadalajara,Douglas DC-3,XA-DIK,3992,26,23,3,26,23,3,0,the airplane hit the slope of the Cerro del Cabre located about 20 km northwest of the airport.</t>
  </si>
  <si>
    <t>03/09/1955,15:15,"Trujillo, Colombia",AVIANCA,,Condoto - Cali,Douglas C-47A,HK-328,20224,8,5,3,8,5,3,0,The cargo plane crashed with a gold and platinum shipment aboard. Wreckage found one month later.</t>
  </si>
  <si>
    <t>03/20/1955,22:36,"Springfield, Missouri",American Airlines,711,Newark - Chicago - St. Louis - Springfield - Tulsa,Convair CV-240-0,N94234,066,35,32,3,13,11,2,0,The plane crashed 1.25 miles short of the runway while attempting to land. Crew's inattention to flight instruments during approach. Pilot sensory illusion which gave a  false impression of the aircraft's altitude.</t>
  </si>
  <si>
    <t>03/22/1955,02:03,"Oahu, Hawaii",Military - U.S. Navy,,Tokyo - Hickam - Travis,Douglas R6D-1 (C-118B),131612,43715,66,57,9,66,57,9,0,"The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</si>
  <si>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03/26/1955,11:12,Off the Oregon coast,Pan American World Airways,845/26,Portland - Honolulu,Boeing 377 Stratocruiser 10-26,N1032V,15932,23,15,8,4,2,2,0,"The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</si>
  <si>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04/02/1955,,"Off Pensacola, Florida",Aaxico Airlines,,"Mobile, AL - Macon, GA",Curtiss C-46A,N51424,30430,2,0,2,2,0,2,0,The cargo plane flew into a thunderstorm and crashed into the sea  in the Gulf of Mexico while en route.</t>
  </si>
  <si>
    <t>04/04/1955,15:55,"Islip, New York",United Air Lines,,Training,Douglas DC-6,N37512,43001/32,3,0,3,3,0,3,0,"Suddenly dove into the ground. Unintentional movement of no.4 throttle into the reverse range just before breaking ground, with the other three engines operating at high power output, which resulted in the aircraft very quickly becoming uncontrollable once airborne."</t>
  </si>
  <si>
    <t>04/11/1955,17:30,"Off Great Natuna Island, Sarawak",Air India,,Hong Kong - Jakarta,Lockheed 749A Constellation,VT-DEP,2666,19,11,8,19,11,8,0,"An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</si>
  <si>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04/18/1955,,"Kupe Mountains, Cameroons",Union des Transportes Aeriens,,Yaounde - Douala,de Havilland DH-114 Heron 1B,F-BGOI,14010,14,10,4,12,9,3,0,The aircraft hit the slope of Mt KoupÃ© located about 80 km north of Douala. Wreckage found after 10 months.</t>
  </si>
  <si>
    <t>05/18/1955,11:56,"Mt. Kilimanjaro, Kenya",East African Airways,,Dar-es-Salaam - Nairobi,Douglas DC-3,VP-KKH,16820/33568,20,16,4,20,16,4,0,Crashed after reporting being over Jipe Lake on the slopes of Mt. Kilimanjaro. Failure to follow prescribed route and procedures.</t>
  </si>
  <si>
    <t>05/21/1955,,"Off Barcelona, Venezuela",Linea Aeropostal Venezolana,,Caracas - Barcelona,Douglas C-47-DL,YV-C-ALU,4791,16,13,3,4,4,0,0,Ditched into the sea a few km from shore.</t>
  </si>
  <si>
    <t>05/26/1955,14:27,"Edmonton, Alberta, Canada",Associated Airways,,,Avro 685 York C-1,CF-HMY,MW237,2,0,2,2,0,2,0,"The attempt of the pilot to takeoff under the prevailing unfavorable conditions. As a result, the aircraft hit an instrument landing building and crashed into a rail yard."</t>
  </si>
  <si>
    <t>06/03/1955,,"Fort Lamy, Cameroon",Union AÃ©romaritime de Transport,,Douala - Fort Lamy,Douglas C-54A,F-BFVT,10292,3,0,3,3,0,3,0,The cargo plane crashed while attempting to land.</t>
  </si>
  <si>
    <t>06/16/1955,01:15,"Near Asuncion, Paraguay",Panair do Brasil,,Sao Paulo - Asuncion,Lockheed 049-46-21 Constellation,PP-PDJ,2032,24,14,10,16,9,7,0,Crashed on final approach. Pilot fatigue. The pilot did not follow the recommended procedure for instrument final approach and he descended below the height prescribed in the final approach chart.</t>
  </si>
  <si>
    <t>06/18/1955,,"Leon, Mexico",Tigres Voladores,,Leon - Mexico City,Curtiss C-46,XA-LID,,39,36,3,18,18,0,0,Lost an engine on takeoff and crashed into trees and caught fire.</t>
  </si>
  <si>
    <t>07/14/1955,15:45,"Oaxaca, Mexico",Lineas Areas Unidas,,Acapulco - Oaxaca,Douglas DC-2-243,XA-DOB,2088,22,19,3,22,19,3,0,Crashed in a mountainous area located 39 km from the airport in the Zimathan district while en route.</t>
  </si>
  <si>
    <t>07/17/1955,06:24,"Chicago, Illinois",Braniff Airlines,560,"Kansas City, MO - Chicago",Convair CV-340-32,N3422,071,43,40,3,22,20,2,0,"While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</si>
  <si>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07/27/1955,07:38,"Near Petrich, Bulgaria",El Al,402/46,London - Paris - Vienna - Tel Aviv,Lockheed 049 Constellation,4X-AKC,1968,58,51,7,58,51,7,0,"On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</si>
  <si>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08/04/1955,12:23,"Fort Leonard Wood, Missouri",American Airlines,476,"Springfield, IL - St. Louis, MO",Convair CV-240-0,N94221,040,30,27,3,30,27,3,0,The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</si>
  <si>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08/05/1955,15:18,"Near Voronezh, Russia",Aeroflot,214,Starllingrad - Moscow.,Aeroflot,L5057,4340408,25,20,5,25,20,5,0,The right engine caught on fire due to a fuel leak leading to distruction of the plane in the air.</t>
  </si>
  <si>
    <t>08/11/1955,14:20,"Near Edelweiler, West Germany",Military - U.S. Air Force / Military - U.S. Air Force,,Dreux - Stuttgart,Fairchild C119G / Fairchild C119G,53-3222/53-7841,11258,67,57,10,67,57,10,0,"Participating in a U.S. military exercise, the two planes collided in midair while in formation after one of the planes pulled out of formation because of engine trouble. The accident occurred at an altitude of 4,000 feet.  Forty-six aboard 7841 and 20 aboard 3222 were killed."</t>
  </si>
  <si>
    <t>08/26/1955,08:00,"Caparao Mountain, Brazil",Cruzeiro,,Rio de Janeiro - Caravelas,Douglas DC-3,PP-CBY,11692,13,9,4,13,9,4,0,"Hit Caparao Mountain while en route, 1 hour after taking off.  Failure to follow flight plan."</t>
  </si>
  <si>
    <t>08/30/1955,,"Simra, Nepal",Kalinga Airlines,,,Douglas C-47A,VT-AZX,13285,3,0,3,2,0,2,0,"The cargo plane lifted off too early, stalled and crashed. The pilot tried to avoid a person on the runway."</t>
  </si>
  <si>
    <t>09/02/1955,,"Lanywa, Burma (Myanmar)",Union of Burma Airways,,Meiktila - Lanywa,Douglas DC-3,XY-ACQ,12579,12,9,3,12,9,3,0,Flew into Mount Popa located about 45 km east of Lanywa.</t>
  </si>
  <si>
    <t>09/08/1955,07:57,"Burbank, California",Currey Air Transport,24,Burbank - Oakland,Douglas DC-3,N74663,6257,33,30,3,2,0,2,1,"The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</si>
  <si>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09/10/1955,,"Near Banyo, Cameroon",Societe France Hydro,,Lac LÃ©rÃ¨ - Douala,Latecoere 631 (flying boat),F-BDRE,8,16,8,8,16,8,8,0,Crashed into the Cameroon mountains after the wing separated due to severe turbulence.</t>
  </si>
  <si>
    <t>09/17/1955,00:50,"Near Thorhild, Alberta, Canada",Pacific Western Airlines,,Edmonton - Yellowknife,Bristol 170 Freighter 31,CF-GBT,12831,6,4,2,2,1,1,0,"For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</si>
  <si>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09/22/1955,00:23,"Idris, Libya",British Overseas Airways,,Rome - Tripoli,Canadair C-4 Argonaut,G-ALHL,158,47,40,7,15,13,2,0,"Crash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</si>
  <si>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09/24/1955,20:48,"Pacific Ocean (1,000 miles west of Honolulu, HI)",Flying Tiger Line,,Wake Island - Honolulu,Douglas C-54A,N90433,10410,5,0,5,3,0,3,0,The cargo plane lost 3 engines and ditched into the Pacific Ocean. The loss of power in three engines due to incorrect fuel system management and faulty restarting methods which resulted in the ditching of the aircraft.</t>
  </si>
  <si>
    <t>09/29/1955,13:10,"Yellowknife, Northwest Territory, Canada",Associated Airways,,Shepard Bay -Yellowknife,Avro 685 York C-1,CF-HMV,,2,0,2,1,0,1,0,The cargo plane ditched into the Thoa river. The pilot radioed he was going down and was ditching into a lake. Fuel exhaustion.</t>
  </si>
  <si>
    <t>10/02/1955,,"Pico Oiriruma-Vinac, Peru",Faucett,,Lima - Cuzco,Douglas C54A,OB-PAZ-228,10277,35,31,4,19,15,4,0,Crashed in adjacent mountains while attempting an emergency landing following an engine fire.</t>
  </si>
  <si>
    <t>10/06/1955,07:26,"Near Centennial, Wyoming",United Air Lines,409,Denver - Salt Lake City - San Francisco,Douglas DC-4,N30062,18389,66,63,3,66,63,3,0,"The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</si>
  <si>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10/10/1955,15:40," Near Vienna, Austria",JAT Yugoslav Airlines,,Beograd - Wien,Convair CV-340-58,YU-ADC,178,29,25,4,7,6,1,0,Crashed into Kahlenberg Hill while on approach to Wien.  The aircraft flew for a longer time on the outbound track and descended below the prescribed minimum altitutde. Pilot error.</t>
  </si>
  <si>
    <t>11/01/1955,19:03,"Longmont, Colorado",United Air Lines,629,Denver - Portland,Douglas DC-6B,N37559,43538,44,39,5,44,39,5,0,"The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</si>
  <si>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11/17/1955,,"Near Las Vegas, Nevada",Military - U.S. Air Force,,Burbank - Groom Dry Lake,Douglas MC-54M,44-9068,27294,14,10,4,14,10,4,0,Crashed into the  peak of Mount Charleston 30 miles WNW of Las Vegas during a storm.</t>
  </si>
  <si>
    <t>11/17/1955,23:59,"Seattle, Washingon",Peninsular,17K,Seattle - Newark,Douglas C-54,N88852,3123,74,70,4,28,27,1,0,Crashed on takeoff. In-flight prop failure.  Maintenance error.  The excessively high drag resulting from the improperly indexed propeller blades and inability to feather.</t>
  </si>
  <si>
    <t>11/20/1955,18:59,"Iwo Jima, Japan",Military - US Air Force,,Iwo Jima AFB - Tachikawa AFB,Douglas C124-DL Globemaster II,51-0149,43483,11,2,9,10,2,8,0,The military transport crashed seconds after taking off from Central Airport in Iwo Jima. Malfunction of the number one engine propeller that went into reverse after an electrical short-circuit occurred.</t>
  </si>
  <si>
    <t>11/30/1955,22:00,"Near Ballico, California",Military - U.S. Air Force,,,Boeing RB-52B,52-8716,,10,0,10,10,0,10,0,The aircraft crashed into a wooded area in 5 degree nose-down attitude.  Abnormal nose-down trim condition which could not be corrected due to an unknown malfunction.</t>
  </si>
  <si>
    <t>12/01/1955,06:57,"Belem, Brazil",Cruzeiro,,Belem - Barreiras,Douglas DC-3,PP-CCC,15845/32593,6,4,2,6,4,2,0,"Shortly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</si>
  <si>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12/09/1955,12:07,"Khabarovsk Territory, Russia",Aeroflot,976,Yuzhno-Sakhalinsk - Khabarovsk,Li-2,CCCP-L4993,23443306,21,16,5,21,16,5,0,Flew into a mountain wave in the Sikhote-Alin Mountain Range while en route.</t>
  </si>
  <si>
    <t>12/17/1955,20:40,"Hollywood, South Carolina",Riddle Airlines,,New York - Miami,Curtiss C-46A,N9904F,30262,2,0,2,2,0,2,0,The cargo plane was carrying mail . An in-flight structural failure resulting from a violent pitch-down induced by the erratic action of nonconforming elevator tab controls.</t>
  </si>
  <si>
    <t>12/19/1955,,"Sao Paulo, Brazil",Cruzeiro Do Sud,,Sao Paulo - Belem,Douglas DC-3,,,26,NULL,NULL,26,NULL,NULL,0,Crashed on takeoff.</t>
  </si>
  <si>
    <t>12/21/1955,03:43,"Jacksonville, Florida",Eastern Air Lines,642,Miami - Jacksonville - Boston,Lockheed 749C-79-12 Constellation,N112A,2533,17,12,5,17,12,5,0,The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</si>
  <si>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01/12/1956,03:40,"Frederick Henry Bay,  Australia",Ansett ANA,,Melbourne - Hobart,Douglas C-47,VH-BZA,4651,2,0,2,1,0,1,0,"The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</si>
  <si>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01/17/1956,00:52,"Oreway, Newfoundland, Canada",Quebecair,,Knob Lake - Oreway,Douglas DC-3,CF-GVZ,15552/26997,18,15,3,4,1,3,0,Loss of the No. 2 engine necessitated a forced crash landing near a railway station.  Failure to maintain height at night due to the loss of the starboard engine in icing conditions.  The aircraft was also overloaded.</t>
  </si>
  <si>
    <t>01/18/1956,14:49,"Torysa, Czechoslovakia",Ceskoslovenske Aerolinie,,Bratislava - Kosice,Douglas DC-3,OK-WDZ,9385,26,23,3,22,19,3,0,"After being diverted, while cruising in bad weather conditions, the aircraft hit trees and crashed in a snow covered and wooded area located in the Tatra Mountain Range."</t>
  </si>
  <si>
    <t>01/28/1956,00:17,"Lyon, France",Air France,,Nice - Marseille - Lyon - Paris,Douglas C-47,F-BCYK,4509,3,0,3,3,0,3,0,"While in heavy fog and on final approach, the airplane was too low and hit telephone lines before crashing in a field  about 2 km short of the runway."</t>
  </si>
  <si>
    <t>02/13/1956,,"Frobisher Bay, Canada",Maritime Central Airways,,"Frobisher Bay, Baffin Island - Fort Chimo, Quebec",Bristol 170 Freighter 31,CF-FZU,,2,0,2,2,0,2,0,Loss of control due to improperly secured heavy cargo breaking loose and sliding to the rear of the aircraft during takeoff.</t>
  </si>
  <si>
    <t>02/14/1956,,"Near Fort Chimo, Quebec, Canada",Spartan Air Services,,"Frobisher Bay, Baffin Island - Fort Chimo, Quebec",Douglas C-47-DL,CF-BZH,6079,3,0,3,2,0,2,0,Crashed on a ferrying flight. Soldier-of-fortune Harold (Whitey) Dahl killed.</t>
  </si>
  <si>
    <t>02/17/1956,13:42,"Near Niles, California",Military - U.S. Marine Corps,,El Toro MAS - Alameda NAS,Douglas R5D2,39116,18331,40,35,5,40,35,5,0,Crashed into Sunol Ridge after circling for half-an-hour while attempting to land at Alameda Naval Air Station.  Non adherence of the crew to the holding pattern and departure from the radio beacon and descent in a unprescribed manner.</t>
  </si>
  <si>
    <t>02/18/1956,13:23,"Near Zurrieg, Malta",Scottish Airlines,, Luqa -Stansted,Avro 685 York C-1,G-ANSY,MW193,50,45,5,50,45,5,0,The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</si>
  <si>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02/20/1956,03:45,"Near Cairo, Egypt",Transport Aerien Intercontinentaux (France),,Karachi - Bahrain - Cairo - Paris,Douglas DC-6B,F-BGOD,43835/380,64,55,9,52,49,3,0,The flight crashed while on approach 18 miles SE of Cairo.  Pilot's inexperience in ILS approaches.  Improper approach.  Crew error. Crew fatigue.</t>
  </si>
  <si>
    <t>02/24/1956,,"Near Aleppo, Syria",Syrian Airways,,Aleppo - Damascus,Douglas DC-3,YK-AAE,14918/2636,19,16,3,19,16,3,0,Crashed shortly after taking off 15 miles from Aleppo.  Double engine failure during a thunderstorm.</t>
  </si>
  <si>
    <t>02/25/1956,14:55,"Jalkot, Pakistan",Pakistan International Airlines,,Gilgit  - Islamabad,Douglas C-47B,AP-ACZ,16813/33561,3,0,3,3,0,3,0,Struck  Lash Golath Mountain while en route. Pilot error while he was attempting a flight beyond his ability or experience.</t>
  </si>
  <si>
    <t>03/21/1956,,"Tezpur, India",Indian Airlines,,Gaughail - Tezpur,Douglas DC-3,VT-CGN,12989,21,18,3,2,2,0,0,An improper flare on landing caused the aircraft to bounce causing the right wing to strike the runway after which the plane veered off the runway.</t>
  </si>
  <si>
    <t>03/28/1956,,"Largs, England",Starways,,Liverpool - Glasgow,Douglas C-47B,G-AMRB,16670/33418,3,0,3,1,0,1,0,During an instrument approach at night the pilot of the cargo plane permitted the aircraft to descend below the approved safety height and this resulted in the aircraft striking the ground.</t>
  </si>
  <si>
    <t>03/31/1956,05:20,"Indapur, India",National Air Operators,,Asansol - Bagdogra,Douglas C-47A,VT-DCM,10230,3,0,3,3,0,3,0,The cargo plane crashed en route. A downdraft which forced down the fully loaded aircraft to the ground when it was flying under exceptionally severe weather conditions below 1000 ft. and possibly at a few hundred feet above the terrain.</t>
  </si>
  <si>
    <t>03/31/1956,,"Korat ,Thailand",Military - Royal Thai Air Force,,Korat AFB - Bangkok,Douglas C-47A,L2-14/96,12667,19,17,2,19,17,2,0,Crashed shortly after taking off.</t>
  </si>
  <si>
    <t>04/01/1956,19:20,"Pittsburgh, Pennsylvania",Trans World Airlines,400,Pittsburgh - Newark,Martin 404,N40403,14103,36,33,3,22,21,1,0,"The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</si>
  <si>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04/02/1956,08:10,"Seattle, Washington",Northwest Orient Airlines,2,Seattle - Portland,Boeing 377 Stratocruiser 10-30,N74608,15954,38,32,6,5,4,1,0,The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</si>
  <si>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 xml:space="preserve"> the analysis having been made under conditions of urgency and within an extremely short period of time available for decision.</t>
  </si>
  <si>
    <t>04/09/1956,09:51,"Skilak Lake, Alaska",Cordova Airlines,6,Anchorage - Seward,Aero Commander  520,B5386N,520-7,6,5,1,6,5,1,0,Crashed en route from Anchorage to Seward. The pilot's action in continuing flight during instrument weather conditions on a planned VFR flight through a mountain pass and striking a mountainside while attempting to climb out.</t>
  </si>
  <si>
    <t>04/18/1956,,"Parintins, Brazil",Panair do Brasil,,Belem - Parintins,Consolidated PBY-5A Catalina,PP-PDB,22021,12,7,5,3,1,2,0,The plane struck an object in the water while landing and broke up.</t>
  </si>
  <si>
    <t>04/30/1956,09:30,"London, England",Scottish Airlines,,Stansted - Luqa - Habbaniya,Avro 685 York C-1,G-AMUL,MW308,54,49,5,2,2,0,0,The aircraft made a sudden turn to the right while talking off from Stansted. Overcorrection by the pilot in command which caused the aircraft to veer to the right.</t>
  </si>
  <si>
    <t>05/15/1956,,"Kathmandu, Nepal",Indian Airlines,,Shimla - Kathmandu,Douglas DC-3,VT-DBA,13165,31,28,3,14,14,0,1,"The aircraft touched down at an excessive speed, bounced and stalled. Go-around power was applied, but the remaining runway length was insufficient and the plane overran the end of the runway and went down a steep slope and crashed."</t>
  </si>
  <si>
    <t>05/15/1956,22:17,"Orleans, Ontario, Canada",Military - Royal Canadian Air Force,,Ottawa - Ottawa,CF-100 Mark 4B,18367,C-100/4/267,2,0,2,2,0,2,13,"The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</si>
  <si>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05/24/1956,10:20,"Guatemala City, Guatemala",Aviateca,,Guatemala City - La Tinta,Douglas C-47-DL (DC-3),TG-AHA,6052,31,28,3,30,27,3,0,"The plane struck trees on a mountainside and crashed at an altitude of 8,500 ft. The sole survivor, Roberto Obando, was found and rescued on May 30."</t>
  </si>
  <si>
    <t>06/13/1956,,Over North Carolina,Piedmont,,,Douglas DC-3,,,NULL,NULL,NULL,1,1,NULL,0,A passenger fell to his death after the door of the plane opened.</t>
  </si>
  <si>
    <t>06/20/1956,01:32,"Asbury Park, New Jersey",Linea Aeropostal Venezolana,253,New York City - Caracas,Lockheed 1049E-55 Super Constellation,YV-C-AMS,4561,74,64,10,74,64,10,0,"About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</si>
  <si>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06/24/1956,17:25,"Kano, Nigeria",British Overseas Airways,,Lagos - Kano - Tripoli - London,Canadair C-4 Argonaut,G-ALHE,151,45,38,7,32,29,3,0,"Loss of height and airspeed caused by the aircraft encountering an unpredictable thunderstorm cell which gave rise to a sudden reversal of wind direction, heavy rain, and possible downdraft conditions."</t>
  </si>
  <si>
    <t>06/30/1956,10:32,"Grand Canyon, Arizona",United Air Lines / Trans World Airlines,718 / 2,Los Angeles - Chicago / Los Angeles - Kansas City,Douglas DC-7 / Lockheed S Constellation,N6902C/N6324C,44288 / 4016,128,117,11,128,117,11,0,"The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</si>
  <si>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07/09/1956,13:53,"Near Flat Rock, Michigan",Trans Canada Air Lines,304,Chicago - Montreal,Vickers Viscount,CF-TGR,55,35,31,4,1,1,0,0,"While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</si>
  <si>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07/13/1956,15:35,"Near Brows Mills, New Jersey",Military - U.S. Air Force,,McGuire AFB - Harmon AFB,Douglas C-118A,53-3301A, 44672,66,56,10,46,38,8,0,Crashed into a wooded area 2 minutes after taking off from McGuire Air Force Base. There was thunderstorm activity at the time. Microburst windshear.</t>
  </si>
  <si>
    <t>07/15/1956,01:35,"Shannon, Ireland",Swissair,,Gander - Shannon,Convair CV-440-11,HB-IMD,335,4,0,4,4,0,4,0,"The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</si>
  <si>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07/16/1956,07:15,"Rio Cuarto, Argentina",Aerolineas Argentinas,,Buenos Aires - Rio Cuarto,Douglas DC-3,LV-ACD,13328,18,14,4,18,14,4,0,"Crashed while making an approach to Rio Cuarto. The decision of the pilot to descend en route, without justifiable reason, below the minimum altitude prescribed for a night flight and in weather conditions which made it his duty to follow IFR procedure."</t>
  </si>
  <si>
    <t>08/08/1956,,"Thazi, Burma",Union of Burma Airways,,Rangoon - Mandalay,Douglas DC-3,XY-ADC,14348/2579,22,18,4,12,9,3,0,Struck Mt Pindaya near Thazi .</t>
  </si>
  <si>
    <t>08/29/1956,20:45,"Cold Bay, Alaska",Canadian Pacific Air Lines,307,Vancouver - Cold Bay - Tokyo - Hong Kong,Douglas DC-6B,CF-CUP,43843/324,22,14,8,15,11,4,0,The aircraft crashed after a missed approach. The crew executing full retraction of flaps without increasing power or changing attitude resulting in loss of lift after the missed approach.</t>
  </si>
  <si>
    <t>09/09/1956,14:32,"Bartlesville, Oklahoma",Continental Airlines,190,Tulsa - Bartlesville,Douglas DC-3 / Cessna 170B,N33315 / N8143A,4978 / 20995,18,14,4,0,0,0,0,Midair collision. Both planes landed safely. Failure of both aircraft to observe and avoid the other aircraft.</t>
  </si>
  <si>
    <t>09/09/1956,,"Amman, Jordan",Jordan International Airlines,,Amman - Kuwait,Curtiss C-46A-45-CU,JY-ABV,27069,57,53,4,1,1,0,0,"The aircraft had to return to Amman for an emergency landing. The landing took place with the gear retracted. The plane bounced, went up a hill and down the other side and burst into flames."</t>
  </si>
  <si>
    <t>10/02/1956,18:25,"Near Nome, Alaska",Alaska Airlines,701,Unalakleet and Nome,Stinson AT-19,N 79069,FK-975,5,4,1,5,4,1,0,Crashed while en route. The action of the pilot in flying into conditions of darkness and adverse weather in which he could not maintain adequate control of the aircraft.</t>
  </si>
  <si>
    <t>10/10/1956,22:10,"Off Land's End, England",Military - U.S. Navy,,RAF Lakenheath - McGuire AFB,Douglas C188-B,1311588,43691/321,59,50,9,59,50,9,0,The plane disappeared over the Atlantic while on a flight from Royal Air Force Base in England to McGuire Air Force Base in New Jersey. Cause unknown.</t>
  </si>
  <si>
    <t>10/16/1956,06:15,Over the Pacific Ocean,Pan American World Airways,943,Honolulu - San Francisco,Boeing  377 Stratocruiser,N90943,15959,31,24,7,0,0,0,0,"The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</si>
  <si>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10/19/1956,,"Agartala, India",Indian Airlines,,,Douglas DC-3,VT-DGK,KAL-2,3,0,3,3,0,3,0,"The cargo plane crashed after an attempted go-around. On final, as the pilot-in-command was unable to locate the runway, he decided to make a new go around when the aircraft struck trees and crashed in flames few km short of runway."</t>
  </si>
  <si>
    <t>10/28/1956,22:00,Over the Mediterranean Sea,Military - Egyptian Air Force,,Damascus- Cairo,Curtiss C-46,SU-AAB,,16,12,4,16,12,4,0,Shot down by the Israeli Air Force.</t>
  </si>
  <si>
    <t>11/05/1956,23:52,"Blackbushe, England",Britavia,,Tripoli - Blackbushe,Handley Page HP-1 Hermes,G-ALDJ,HP-81/11,80,74,6,7,5,2,0,While attempting to land the aircraft descended below the ILS glideslope and hit a tree. Using the lights of the airport the captain misjudged the height he was flying.</t>
  </si>
  <si>
    <t>11/07/1956,09:50,"Hommelfjell, Norway",Braathens,,Trondheim - Oslo,de Havilland DH-114 Heron 2B,LN-SUR,14093,12,10,2,2,1,1,0,"The aircraft took off, experienced icing, lost altitude and crashed into Hommelfjell Mountain. Unusually heavy icing which the aircraft encountered. Severe downdraft immediately prior to the crash may have been a contributing factor."</t>
  </si>
  <si>
    <t>11/15/1956,14:53,"Puerto Somoza, Nicaragua",Aerovias Guest,,Tocumen - Guatemala City,Douglas C-54A-10-DC,XA-HEG,10324,25,20,5,25,20,5,0,An unsuccessful belly landing was attempted on flat terrain following a fire in the fuel system.</t>
  </si>
  <si>
    <t>11/17/1956,16:45,"El Rucio Mountain, Colombia",Empresa Aviacion del Pacifico,,Buenaventura - Cali,Douglas DC-3,HK-385,1971,36,33,3,36,33,3,0,"Hit El Rucio Mountain at 6,200 ft. which was obscured by clouds. Lack of cockpit discipline. Flight on instruments at an excessively low altitude for the route."</t>
  </si>
  <si>
    <t>11/24/1956,00:18,"Paris, France",Linee Aeree Italiane,,Rome - Paris -  Shannon - New York City,Douglas DC-6B,I-LEAD,45075,35,25,10,34,24,10,8,"Lost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</si>
  <si>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11/24/1956,18:20,"Near Eglisau, Switzerland",Ceskoslovenske Aerolinie,,Eglisau - Prague,Ilyushin IL-12B,OK-DBP,93013517,23,18,5,23,18,5,0,Crashed into a field shortly after taking off about 12 km north of the airport.</t>
  </si>
  <si>
    <t>11/27/1956,08:15,"Caracas, Venezuela",Linea Aeropostal Venezolana,253,New York - Caracas,Lockheed 749-79-34 Constellation,YV-C-AMA,2560,25,18,7,25,18,7,0,"Struck Silla de Caracas Mountain at 6,700 feet while approaching to land at Maiquetia. Navigation error. The pilot did not follow prescribed approach procedures. St. Louis Cardinal outfielder, Charlie Peete, 27, killed."</t>
  </si>
  <si>
    <t>12/08/1956,07:05,"Caqueta, Colombia",AIDA,,Bogota - Medellin - Quibdo,Consolidated PBY-5A Catalina,HK-133,,16,11,5,14,10,4,0,"The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</si>
  <si>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12/09/1956,19:10,"Near Chilliwack, British Columbia, Canada",Trans Canada Air Lines,810-9,Vancouver - Calgary - Toronto - Montreal,Canadair DC-4M-2 Northstar,CF-TFD,128,62,59,3,62,59,3,0,"The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</si>
  <si>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12/12/1956,09:00,"Dannemois, France",Air France,,Training,Vickers 708 Viscount,F-BGNK,8,5,0,5,5,0,5,0,Crashed in a steep angle of attack.</t>
  </si>
  <si>
    <t>12/22/1956,21:03,"Grub, Germany",JAT Yugoslav Airlines,,Wien - Munchen,Convair CV-340-58,YU-ADA,162,30,27,3,3,1,2,0,"The co-pilot acting as pilot-in-command and under the instruction of the captain began a descent to land until the aircraft hit the ground, left wing first. Both wings detached and the fuselage slid 1,200 feet."</t>
  </si>
  <si>
    <t>12/22/1956,18:20,"Mt. Giner, Italy",Linee Aeree Italiane,,Rome - Milan,Douglas DC-3,I-LINC,9101,21,17,4,21,17,4,0,The aircraft strayed off the assigned airway and hit a mountain. The pilot did not follow the airways assigned in the flight plan. He did not check his direction and position along the new route. Pilot error.</t>
  </si>
  <si>
    <t>12/31/1956,00:04,"Dhahran, Saudi Arabia",Military - U.S. Air Force,,Charleston - Hamilton - Horta - Lisbon - Tripoli - Dhahran,Lockheed C-121C Super Constellation,54-0165,4184,38,31,7,12,12,0,0,Crashed and burned while attempting to land in heavy fog at night.</t>
  </si>
  <si>
    <t>01/06/1957,00:01,"Owasso, Oklahoma",American Airlines,327,Joplin - Owasso,Convair CV-240-0,N94247,104,10,7,3,1,1,0,0,"Struck trees, hit the ground, and slid 500 ft. after landing short of the runway in rapidly deteriorating condtions.  The captain's lack of alertness in allowing the first officer to continue an instrument descent to an altitude too low to permit terrain clearance."</t>
  </si>
  <si>
    <t>01/11/1957,09:00,"Near Buenos Aires, Argentina",Lineas Aereas del Estado,,Buenos Aires - Mar Del Plata - Mendoza,Vickers 615 Viking 1B,T-11,188,33,29,4,17,15,2,1,The domestic flight crashed and burned immediately after takeoff from Buenos Aires after overrunning the runway. Too short a runway and excessive cross-winds for the type of aircraft.</t>
  </si>
  <si>
    <t>01/23/1957,11:18,"Ometepe Island, Nicaragua",Lanica,,San Carlos - Managua,Douglas DC-3,AN-AEC,12312,16,13,3,16,13,3,0,"The aircraft hit Concepcion volcano while en route. The aircraft made a left turn towards the volcano, banked sharply in descent, enered a rapid climb and then crashed. Unexplained loss of control."</t>
  </si>
  <si>
    <t>01/29/1957,19:24,"Paris, France",Air France,,Tunis - Paris,SNCASE SE.2010 Armagnac,F-BAVG,06,70,60,10,2,1,1,0,"A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</si>
  <si>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01/31/1957,11:18,"Near Sunland, California",Douglas Aircraft,,Santa Monica - Santa Monica,Douglas DC-7B / U.S. Air Force F-89J,N8210H/52-187OA,45192 / 4447,6,0,6,5,0,5,3,"Midair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</si>
  <si>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02/01/1957,18:02,"New York, New York",Northeast Airlines,823,New York City - Miami,Douglas DC-6A,N34954,44678/543,101,95,6,21,21,0,0,"Shortly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</si>
  <si>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02/22/1957,20:00,"Kimpo Air Base, South Korea",Military - U.S. Air Force,,"Kimpo AB - Tokyo, Japan",Douglas C-124C,51-141A,43475,159,149,10,22,19,3,0,"The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</si>
  <si>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03/02/1957,17:19,"Blyn, Washington",Alaska Airlines,100,Fairbanks - Seattle,Douglas C-54B,N90449,27239,5,2,3,5,2,3,0,"Crashed into a densly wooded mountain, 3 miles east of Blyn, while en route to Seattle. Navigation error and poor judgement by the pilot in entering an overcast mountainous area at too low an altitude."</t>
  </si>
  <si>
    <t>03/04/1957,,"Near Miho AB, Japan",Japanese Air Force,,,Curtiss C-46D-15--CU,51-1110,33737,17,15,2,17,15,2,0,"While attempting to land, the plane lost air speed and crashed into the sea, 400 yards offshore."</t>
  </si>
  <si>
    <t>03/05/1957,11:00,"Drayton, England",Military -Royal Air Force,,Drayton - Multa,Blackburn Beverley C Mark 1,XH117,1023,22,17,5,18,15,3,2,The aircraft crashed into trees and farm buildings about a half-an-hour after taking off from Abingdon airfield.  Fuel starvation due to an valve being installed backwards.</t>
  </si>
  <si>
    <t>03/09/1957,10:00,"El Soldado, Colombia",AVIANCA,,Condoto - Buenaventura - Cali,Douglas DC-3,HK-155,4338,15,12,3,15,12,3,0,Crashed into mountains  located 32 km west of TuluÃ¡ while en route. Pilot did not follow prescribed route nor follow prescribed IFR procedures.</t>
  </si>
  <si>
    <t>03/14/1957,13:46,"Manchester, England",British European Airways,411,Amsterdam - Manchester,Vickers Viscount 701,G-ALWE,004,20,15,5,20,15,5,2,"The plane suddenly veered and banked to the right while making an approach to land. The plane crashed into houses. Fracture of a 9/16"" bolt on the starboard flap due to fatigue led to loss of control of the aircraft."</t>
  </si>
  <si>
    <t>03/17/1957,01:40,"Near Cebu, Philippines",Military - Philippine Air Force,,Cebu - Manila,Douglas C-47-A-75-DL Skytrain,2100925,19388,25,22,3,24,21,3,0,"The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</si>
  <si>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03/18/1957,,"Near Sayari, Bolivia",Lloyd Aereo Boliviano,,Cochabamba - Oruro,Douglas DC-3,CP-535,4867,19,16,3,19,16,3,0,Crashed into Andies peak while en route. Wreckage found 100 miles northeast of Cochabamba.</t>
  </si>
  <si>
    <t>03/22/1957,00:37,Over the North Pacific Ocean,Military - U.S. Air Force,,Travis AFB - Tokyo,Boeing C-97C,50-702A,16246,67,57,10,67,57,10,0,"Disappeared in  a storm 200 miles southeast of Tokyo, Japan while on a flight from Travis Air Force Base to Tokyo.  Cause unknown."</t>
  </si>
  <si>
    <t>04/07/1957,,"Bage, Brazil",Varig,,Bage - Porto Alegra,Curtiss C-46A-45-CU,PP-VCF,30283,40,35,5,40,35,5,0,"Shortly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</si>
  <si>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04/08/1957,,"Algiers, Algeria",Air France,,El Oued - Biskra - Alger - Marseille - Paris,Douglas DC-3,F-BEIK,14411/25856,34,30,4,34,30,4,0,"Crashed just after takeoff, one mile from the airfield. Left engine failure."</t>
  </si>
  <si>
    <t>04/10/1957,15:20,"Anchieta Island, Brazil",REAL,1800,Rio de Janerio - Sao Paulo,Douglas DC-3,PP-ANX,13048,30,26,4,26,23,3,0,"While en route, fire broke out in the starboard engine. As the plane lost altitude and because of reduced visibility, the pilot did not see the peak of a mountain. When he tried to pull up the plane stalled and crashed. Engine failure."</t>
  </si>
  <si>
    <t>04/15/1957,07:53,"Merida, Mexico",Transportes AÃ©reos Mexicanos,,Medrida - Mexico City,Consolidated B-24J,XA-KUN,,3,0,3,3,0,3,1,The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</si>
  <si>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04/17/1957,08:30,"Near El Quweira, Jordan",Military -Royal Air Force,,"Aqaba AFB - Habbaniya, Iraq",Vickers Valetta C-Mk.1,VW832,393,24,21,3,24,21,3,0,Crashed and burned 5 minutes after taking off from Aqaba. The aircraft lost it's left wing after encountering clear air turbulence.</t>
  </si>
  <si>
    <t>04/20/1957,,"Jirkouk, Iraq",Air France,,"Tehran, Iran - Istanbul, Turkey",Lockheed Super Constellation,F-BGNE,4514,NULL,NULL,NULL,1,1,0,0,"Explosive decompression. A passenger was sucked out of a window at 18,000 feet when the window he was sitting next to shattered. The body was never recovered."</t>
  </si>
  <si>
    <t>05/01/1957,21:20,"Blackbushe, Hants, England",Eagle Aviation,,Blackbushe - Tripoli,Vickers Viking 1B,G-AJBO,241,35,30,5,34,29,5,0,Crashed while attemting an emergency return to the airport shortly after taking off. Engine failure. The failure of the captain to maintain height and a safe flying speed when approaching to land on one engine after the failure of the left engine for reasons unknown.</t>
  </si>
  <si>
    <t>05/05/1957,,"Santoshpur, India",Indian Airlines,,Silhcar - Calcutta,Douglas C-47A,VT-AUV,20318,3,0,3,1,0,1,0,"The accident is attributed to the insufficient altitude at which the aircraft was flown during an attempt to fly through a thunderstorm. Downdrafts and divergent winds encountered, forced the aircraft to the ground."</t>
  </si>
  <si>
    <t>05/09/1957,19:04,"Barajas, Madrid, Spain",Aviaco,111,Santiago de Compostella - Madrid,Bristol 170 Freighter,EC-ADI,12757,37,32,5,37,32,5,0,"Crashed while attemping to land. The aircraft hit the ground with the front part of the fuselage, the right wing and the right engine propeller and caught fire. Procedural errors by the pilot."</t>
  </si>
  <si>
    <t>05/13/1957,03:35,"Narsarressuak, Greenland",U.S. Overseas Airways,,Broughton Island - Narsarsuaq,Douglas DC-4,N68736,7449,3,0,3,2,0,2,0,Crashed into an ice cap. White-out conditions. Incorrect indication on navigation charts.</t>
  </si>
  <si>
    <t>05/13/1957,,"Near San Carlos de Bariloche, Argentina",Lineas Aereas del Estado,,San - Carlos,Vickers 615 Viking 1B,T-3,151,16,11,5,16,11,5,0,"The pilot lost in rain and fog searched for a landing area until the plane ran out of fuel and crashed into a 4,500 foot mountain."</t>
  </si>
  <si>
    <t>05/13/1957,,"New Delhi, India",Indian Airlines,,Training,Douglas DC-3,VT-CFB,13626,2,0,2,2,0,2,3,"During a training exercise the aircraft approached a stall entered a spin, partially recovered but crashed."</t>
  </si>
  <si>
    <t>06/14/1957,23:10,"Near Moscow, Russia",LOT Polish Airlines,232,Warsaw - Moscow,Ilyushin P-14,SP-LNF,6341407,13,8,5,9,5,4,0,The aircraft descended below safe altitude and struck the ground in rain and poor visibility. The crew's application of an approach procedure other than that prescribed by the airport authority.</t>
  </si>
  <si>
    <t>06/18/1957,10:20,"Bodensee, Switzerland",Swissair,,Training,Douglas C-47B,HB-IRK,20737,9,0,9,9,0,9,0,"The stalling of the aircraft following a loss of airspeed, whereupon it unintentionally went into a spin and crashed into the water. In view of insufficient altitude, it was not possible to level off the aircraft."</t>
  </si>
  <si>
    <t>06/22/1957,07:50,"Near Clarksburg, Maryland",Capital Airlines,,Training,Douglas C-47A,N88835,19448,3,0,3,3,0,3,0,"Loss of airspeed while executing maneuvers during a training flight, resulting in a stall followed immediately by a spin from an altitude too low to effect recovery."</t>
  </si>
  <si>
    <t>06/23/1957,14:20,"Port Hardy, BC, Canada",Pacific Western,,Port Hardy - Vancouver,Douglas DC-3,CF-EPI,7408,18,15,3,14,12,2,0,Crashed while attempting an emergency landing after taking off with control difficulties. Jammed elevator. Crew forgot to remove the ground locks.</t>
  </si>
  <si>
    <t>06/24/1957,,"Horn Island, Queensland, Australia",Adastra Airways,,,L-Hudson,,,NULL,NULL,NULL,6,NULL,NULL,NULL,Crashed on approach.</t>
  </si>
  <si>
    <t>07/01/1957,,"Bay of Bengal, Pakistan",Pakistan International Airlines,,Chittagong - Dhaka,Douglas DC-3,AP-AJS,12501,24,20,4,24,20,4,0,Went into a spin and cashed onto tidal flats off Charlakhi Island during a storm.</t>
  </si>
  <si>
    <t>07/03/1957,,"Near Fort Rupert, Quebec, Canada",Kenting Air,,Great Whale River â€“ Val-dâ€™Or, Lockheed L-414 Hudson,CF-CRL,414-7546,4,2,2,4,2,2,NULL,"Crashed on takeoff. The pilot took off in weather conditions below permissible limits, in an area sparsely served with aids to navigation, in an aircraft not equipped with de- icing equipment."</t>
  </si>
  <si>
    <t>07/16/1957,21:20,"Near Hsinchu, Taiwan (Formosa)",Military - United States Air Force,,"Clark Field, Philippines - Taipei, Taiwan",Douglas C-47A-90 (DC-3),43-15867,20333,16,9,7,16,9,7,0,"The Air Foce transport was en route when it crashed at Mount Chaiopeng between, Hisinchu and Taipei."</t>
  </si>
  <si>
    <t>07/16/1957,03:36,"Near Biak, Indonesia",KLM Royal Dutch Airlines,844,Mokmer - Manila,Lockheed 1049C Super Constellation,PH-LKT,4504,68,59,9,58,49,9,0,"The pilot asked for clearance to make a low pass over Mokmer to give the passengers a final glimpse of the island. The plane gradually descended over the sea, crashed, burst into flames, broke apart and sank. Crew did not properly monitor their altitude."</t>
  </si>
  <si>
    <t>07/25/1957,03:37,"Daggett, California",Western Airlines,39,Minneapolis -- Salt Lake - Cedar City - Las Vegas- LA,Convair CV-240,N8405H,22,16,13,3,1,1,0,0,"The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</si>
  <si>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08/11/1957,14:15,"Near Issoudun, Quebec, Canada",Maritime Central Airways,,ReykjavÃ­k - Montreal,Douglas DC-4,CF-MCF,18374,79,73,6,79,73,6,0,"The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</si>
  <si>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08/15/1957,06:30,"Copenhagen, Denmark",Aeroflot,103,Riga - Copenhagen,Ilyushin IL-14P,CCCP-L1874,146000607,23,18,5,23,18,5,0,Crashed into the harbor after hitting the chimney of a factory. Crew error. ATC error.</t>
  </si>
  <si>
    <t>08/20/1957,,"Assam, India",Indamer,,Supply mission,Douglas DC-3,VT-ARH,04851,8,0,8,8,0,8,0,While making a sharp turn the cargo plane stalled and crashed.</t>
  </si>
  <si>
    <t>08/29/1957,,"Near Juticalpa, Honduras",Sahsa Airlines,,Catacamas - Juticalpa - Tegucigalpa,Douglas DC-3,XH-SAF,17139/3440,12,9,3,12,9,3,0,Blew up and burned in flight after taking off.</t>
  </si>
  <si>
    <t>09/03/1957,,"Niquitao, Venezuela",Avensa,,Maiquetia - Barinas,Douglas DC-3,YV-C-AVG,4754,8,5,3,8,5,3,0,Strayed off course and collided with a mountain in the Penas Blancas hills. Pilot error.  Weather's influence on radio communications. Leaving the prescribed route and flying at too low an altitude.</t>
  </si>
  <si>
    <t>09/15/1957,20:46,"New Bedford, Massachusetts",Northeast Airlines,285,Martha's Vineyard - New Bedford,Douglas DC-3,N33417,7337,24,21,3,12,10,2,0,The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</si>
  <si>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09/18/1957,21:20,"Montevideo,  Uruguay",REAL,,San Pablo - Porto Alegre - Montevideo,Convair CV-440-62,PP-AQE,456,35,30,5,1,0,1,0,"Flying VFR, the aircraft encountered fog during the approach, undershot the runway and crashed. Pilot error."</t>
  </si>
  <si>
    <t>09/27/1957,11:30,"Bhiwandi, Maharashtra, India",Ã¨koda (India) Ltd,,Bombay - Indore,Let Aero 45S,VT-DHO,51198,3,0,3,3,0,3,0,"While in it's initial climb, the ferry /positioning  flight crashed soon after."</t>
  </si>
  <si>
    <t>09/28/1957,,"Islay-Glenegedale Airport, Scotland",British European Airways,,14099,de Havilland DH-114 Heron,G-AOFY,14099,3,0,3,3,0,3,0,"The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</si>
  <si>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10/01/1957,18:55,"Akshi, Russia",Aeroflot,11,Irkutsk - Chita,Ilyushin IL-12, CCCP-L1389, 30 123,27,22,5,27,22,5,0,"While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</si>
  <si>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10/03/1957,01:55,"Beirut, Lebanon",Lebanese International Airways,,Beirut - Kuwait City,Curtiss C-46A-45-CU,OD-ACK,30249,27,23,4,27,23,4,0,"A few minutes after takeoff the crew informed ATC about a fire on board and elected to return. More than thirty minutes later, while at altitude of 2,000 meters, the aircraft lost height and crashed into the sea some 18 km off Beirut."</t>
  </si>
  <si>
    <t>10/18/1957,,"Porto Alegre, Brazil",Varig,,Porto Alegre - Sao Paulo,Douglas C-47A,PP-VCS,19757,2,0,2,2,0,2,0,"During the takeoff roll, the airplane started to skid and deviated from the centerline to the right. Incorrect use of flying controls during the takeoff roll.  Possible failure of left engine. Turbulent conditions close to ground."</t>
  </si>
  <si>
    <t>10/23/1957,16:51,"Belfast, Ireland",British European Airways,,London - Belfast,Vickers 802 Viscount,G-AOJA,150,7,5,2,7,5,2,0,"While attempting to land at Belfast, in poor weather, the plane drifted to the right of the runway, overshot the runway and crashed. Cause unknown."</t>
  </si>
  <si>
    <t>10/28/1957,18:05,"Madrid, Spain",Iberia Airlines,,Tanger - Madrid,Douglas DC-3,EC-ACH,19332,21,17,4,21,17,4,0,"Intense fire in the No.1 engine while en route, caused by foreign objects entering from the nacelle."</t>
  </si>
  <si>
    <t>10/30/1957,,"Near Campeche, Mexico",Transportes Aereos Mexicanos,,test flight,Fairchild C-82A,XA-LIW,,3,0,3,3,0,3,0,The cargo plane crashed en route.</t>
  </si>
  <si>
    <t>11/03/1957,07:03,"Dusseldorf, West Germany",Herfurtner Company,,DÃ¼sseldorf - Reykjavik - New York,Douglas DC-4,D-ALAF,459,10,3,7,7,0,6,1,"Crashed shortly after taking off. The aircraft plunged into the suburb of Derendorf, setting afire an office building and crushing a small house. The lone occupant of the the house, an elderly woman, was killed"</t>
  </si>
  <si>
    <t>11/04/1957,17:58,"Moscow, Russia",TAROM,,Bucharest - Kiev - Moscow,Ilushin Il-14,YR-PCC,1460 010 10,16,10,6,4,1,3,0,"The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</si>
  <si>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11/06/1957,,"Bristol, England",Bristol Aeroplane Co.,,Test flight,Bristol Britannia 175,G-ANCA,12917,15,0,15,15,0,15,0,Crashed on a training flight. The right wing suddenly dropped and the aircraft went into a very steeply banked right hand turn and crashed. Instrument failure leading to loss of control. Undetermined cause. Possible failure of the auto-pilot.</t>
  </si>
  <si>
    <t>11/08/1957,01:27,"900 miles E of Honolulu, Hawaii, Pacific Ocean",Pan American World Airways,7,San Fransisco - Honolulu,Boeing - 377-10-29 Stratocruiser,N90944,15960/40,44,36,8,44,36,8,0,"The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</si>
  <si>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11/15/1957,20:08,"Near Palma de Mallorca, Spain",Aviaco,,Barcelona - Palma de Mallorca,de Havilland DH-114 Heron 2D,EC-ANZ,14117,4,2,2,4,2,2,0,"The aircraft hit a mountain at 1,500 feet while on approach after the pilot turned the wrong way. Weather was rain and turbulence. Pilot error."</t>
  </si>
  <si>
    <t>11/15/1957,22:54,"Chessell Down, England",Aquilla Airways,,thampton - Lisbon - Funchal,Short Solent 3 (flying boat),G-AKNU,S-1299,58,50,8,43,35,8,0,"The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</si>
  <si>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11/21/1957,11:33,"Christchurch, New Zealand",Straits Air Freight Express,,Paraparaumu - Timaru,Bristol 170 Freighter 31,ZK-AYH,12828,4,2,2,4,2,2,0,The cargo plane lost a wing in flight and crashed into farmlands. In-flight structural fatigue failure of the starboard front lower spar boom.</t>
  </si>
  <si>
    <t>12/08/1957,16:45,"Bolivar, Argentina",Aerolineas Argentinas,,Buenos Aires - San Carlos,Douglas DC-4,LV-AHZ,27227,61,55,6,61,55,6,0,The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</si>
  <si>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12/10/1957,,"Jeannine Lake, Quebec, Canada",Northern Wings,,Seven Islands - Jeannine Lake,Douglas C-47A,CF-GKV,13837/25282,10,7,3,3,3,0,0,Crashed during a landing attempt.</t>
  </si>
  <si>
    <t>12/11/1957,13:12,"Ozamis City, Philippines",Philippine Air Lines,,Ozamis City - Pagadian,de Havilland Canada DHC-3 Otter,PI-C55,168,12,11,1,2,1,1,0,While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</si>
  <si>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12/18/1957,12:35,"Near Birobidzhan, Russia",Aeroflot,10,Khabarovsk - Magdagachi - Irkutsk - Moscow,Ilyushin IL-12,CCCP-L1309, 30 015,27,22,5,27,22,5,0," In June 1958 the aircraft was found on the northwest slope of Mount Poktoy 30 km west of Birobidzhan completely destroyed and burned. Crews, ATC error."</t>
  </si>
  <si>
    <t>12/23/1957,16:00,"Off Oahu, Hawaii",Military - U.S. Navy,,,Lockheed WV-2,143197,4471,23,19,4,19,16,3,0,"The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</si>
  <si>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12/23/1957,,"Stansted, England",Scottish Airlines,,Malta - London,Avro 685 York C-1,G-AMUN,MW321,4,0,4,4,0,4,0,The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</si>
  <si>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12/31/1957,12:57,"Buenos Aires, Argentina",Aerolineas Argentinas,,Buenos Aires - Rosario - Corrientes,Short Sunderland,LV-AAR,3,50,44,6,9,1,8,0,The flying boat sank in Buenos Aires harbor while trying to make an emergency landing after losing an engine.</t>
  </si>
  <si>
    <t>01/16/1958,,"Belem, Brazil",Cruzeiro,,,Fairchild C-82A,PP-CEF,10200,3,0,3,3,0,3,0,"The cargo plane lost the No. 1 engine on takeoff, dove into the ground and crashed and burned."</t>
  </si>
  <si>
    <t>01/20/1958,,"Near La Paz, Bolivia",TAM (Bolivia),,Tipuani - La Paz,Douglas DC-3,TAM-04,,11,8,3,11,8,3,0,Crashed in mountainous terrain while en route.</t>
  </si>
  <si>
    <t>02/01/1958,,"Rio de Janeiro, Brazil",Loide AÃ©reo Nacional,,Rio de Janerio - Fortaleza,Douglas DC-4,PP-LEM,18336,73,68,5,5,3,2,0,The plane abandoned the takeoff after an engine failed. The plane was unable to stop and slid off the runway striking rocks and catching fire. Failure of No. 4 engine. Malfunctioning of the starboard brakes.</t>
  </si>
  <si>
    <t>02/01/1958,19:15,"Norwalk, California",Military - U.S.  Air Force / Military - U.S. Navy,,Long Beach - McGuire AFB,Douglas C-118A / Lockheed P2V-5F,53-3277A/127723,44622/,41,35,6,41,35,6,1,"The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</si>
  <si>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02/06/1958,16:03,"Munich, Germany",British European Airways,609,Belgrade - Munich - Manchester,Airspeed Ambassador AS-57,G-ALZU,5217,44,38,6,23,21,2,0,"The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</si>
  <si>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02/15/1958,22:24,"Mount Vesuvius, Italy",Military - US Air Force,,Ramstein - Naples - Turkey,Douglas VC-47A,42-93817,13771,16,14,2,16,14,2,0,"Radio contact was lost with the military aircraft  thirty minutes after taking off from Naples after the crew reported en route at 6,500 feet and switching to the Rome ATC. The plane crashed on the northern slopes of Mt. Vesuvius."</t>
  </si>
  <si>
    <t>02/19/1958,,"Raiatea, French Polynesia",RÃ©seau AÃ©rien Interinsulaire,,"Papeete, French Polynesia - Raiatea",Consolidated PBY-5A  Catalina,F-AOVV,296,15,12,3,15,12,3,0,Struck the water and sank after the right wing tip float contacted the water during a shallow turn for final approach.</t>
  </si>
  <si>
    <t>02/19/1958,01:14,"Cairo, Egypt",KLM Royal Dutch Airlines,543,,Douglas DC-6B,PH-DFK,43552,21,13,8,1,0,1,0,During the approach the aircraft hit a hill in front of R34 and crash landed with a damaged landing gear onto  the runway. An off duty  pilot opened an emergency exit before aircraft stopped and was thrown out into a still turning propeller and killed.</t>
  </si>
  <si>
    <t>02/20/1958,05:35,"Off Corvo Island, Azores",Military - U.S. Navy,,Argentina - Azores,Lockheed WV-2,BU-141310,4434,22,0,22,22,0,22,0,Disappeared while on patrol about 100 miles from the Azores. No trace of the aircraft was ever found.</t>
  </si>
  <si>
    <t>02/27/1958,09:45,"Horwich, Lancs, England",Silver City Airways,,Isle of Man - Manchester,Bristol 170 Freighter 21,G-AICS,12762,42,39,3,35,35,0,0,Crashed into a mountain near Winter Hill during an approach. The First Officer used the wrong radio beacon (Oldham Becaon instead of on Wigan Beacon).</t>
  </si>
  <si>
    <t>03/07/1958,,"Menzalah Lake, Egypt",Misrair,,Athens - Cairo,Vickers 628 Viking 1B,SU-AGN,196,26,22,4,8,4,4,0,"While approaching Cairo, the aircraft was diverted to Port Said where it ditched into Menzalah Lake."</t>
  </si>
  <si>
    <t>03/07/1958,19:45,"Off Ryukyu Islands, Okinawa",Military - U.S. Marine Corps/Military - U.S. Marine Corps,,Subic Bay - Naha,Fairchild R4Q / Dougas AD-6 skyraider,129741/135350,10570,26,19,7,26,19,7,0,The aircraft collided after descending from a holding pattern while  attempting to land at Naha Air Base.  Failure of the AD-6 pilot to maintain his position. One killed aboard the AD-6. Poor judgement on the part of the R4Q Plane Commander.</t>
  </si>
  <si>
    <t>03/22/1958,02:05,"Grants, New Mexico",Private,,Los Angeles - New York,Lockheed 18 Lodestar,N300E,2312,4,2,2,4,2,2,0,"The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</si>
  <si>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03/24/1958,,"Near Kathmandu, Nepal",Indian Airlines,,Simrla - Kathmandu,Douglas DC-3,VT-CYN,19988,20,16,4,20,16,4,0,"Due to a navigational error the aircraft flew the wrong route into a valley. While maneuvering to make a turn, the aircraft stalled and crashed. Wreckage was found 16 miles from Kathmandu."</t>
  </si>
  <si>
    <t>03/25/1958,00:06,"Miami, Florida",Braniff Airlines,971,Dallas - Miami - Panama City - Rio de Janeiro,Douglas DC-7-C,N5904,45072/793,24,19,5,9,9,0,0,The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</si>
  <si>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03/27/1958,16:15,"Bridgeport, Texas",Military - U.S. Air Force/Military - U.S. Air Force,,San Antionio - OK City / Wichita Falls - Forth Worth,Douglas C-124C / Fairchild C-119C,52-981A/49-195A, 43890 /10432,18,13,5,18,13,5,0,"Collided in midair while cruising at 6,000 ft. Both aircraft crashed into farmlands killing all aboard. The pilot of the 49-195A was flying at the wrong altitude."</t>
  </si>
  <si>
    <t>04/02/1958,,"Quito, Ecuador",Transportes Aereos Orientales,,Quito - Esmeraldas,Junkers JU-52/3m,HC-SND,J5109,14,12,2,3,3,0,0,Crashed after experiencing engine trouble.</t>
  </si>
  <si>
    <t>04/06/1958,23:19,"Freeland, Michigan",Capital Airlines,67,New York - Detroit - Saginaw - Chicago,Vickers Viscount 745D,N7437,135,47,44,3,47,44,3,0,"The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</si>
  <si>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04/07/1958,09:00,"Mt. Illiniza, Ecuador",AREA,222,Guayaquil - Quito,Douglas DC-3,HC-ACL,19779,32,29,3,32,29,3,0,Flew into a mountain 15 minutes after leaving Guayaquil. Procedural error. The pilot did not maintain IFR until clear of the cloud cover.</t>
  </si>
  <si>
    <t>04/14/1958,21:07,"Off Castell de Fels, Spain",Aviaco,,Zaragoza - Barcelona,de Havilland DH-114 Heron 2D,EC-ANJ,14113,16,14,2,16,14,2,0,Crashed into the ocean after a sudden avoidance manuver. ATC error. Another aircraft was permitted to takeoff without the exact position of the plane being known.</t>
  </si>
  <si>
    <t>04/21/1958,08:30,"Near Sloan, 10 miles SW of Las Vegas, Nevada",United Air Lines / Military - U.S. Air Force,736,Los Angeles - New York City,Douglas DC-7 / F-100F,N6328C/56-3755,45142 /243-31,49,42,7,49,42,7,0,"The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</si>
  <si>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05/15/1958,20:18,"New Delhi, India",Pakistan International Airlines,205,Dehli - Karachi,Convair CV-240-7,AP-AEH,052,38,32,6,21,17,4,2,Crashed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</si>
  <si>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05/16/1958,,"Chatenoy, France",British European Airways,,,Douglas C-47A,G-AGHP,9408,3,0,3,3,0,3,0,The cargo plane broke up in midair while flying through a thunderstorm.</t>
  </si>
  <si>
    <t>05/18/1958,04:25,"Near Casablanca, Morocco",Sabena,,Brussels - Lisbon - LÃ©opoldville,Douglas DC-7C,OO-SFA,45157/737,69,60,9,65,56,9,0,"The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</si>
  <si>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05/20/1958,11:29,"Brunswick, Maryland",Capital Airlines / Military - Air National Guard,300,Pittsburgh - Baltimore,Vickers Viscount 745D / T-33A,N7410/53-5966,108,13,7,6,12,7,5,0,"Midair collision at 8,000 ft., four miles ENE of Brunswick. Failure of the T-33A pilot to exercise a proper see and avoid procedure to avoid other traffic. One of two aboard the T-33 ejected safely, all aboard the Viscount were killed."</t>
  </si>
  <si>
    <t>05/25/1958,,"Gurgaon, India",Dan-Air Services,,Karachi - Dehli,Avro 685 York C-1,G-AMUV,MW226,5,0,5,4,0,4,0,A fire in fligth caused by a failure of the No. 1 engine. During the ensuing forced landing on rough terrain the aircraft broke up and was consumed by fire.</t>
  </si>
  <si>
    <t>05/31/1958,,"Rio de Janeiro, Brazil",Paraense Transportes AÃ©reos,,Rio de Janeiro - BelÃ©m,Curtiss C-46D,PP-BTB,33304,4,0,4,4,0,4,0,"The cargo plane plunged into the water when, a front wheel glanced off a freighter when it was taking off."</t>
  </si>
  <si>
    <t>05/31/1958,,"SW of Algiers, Algeria",Air France,,Algier - Colomb-Bechar - Tindouf,Douglas DC-3,F-BHKV,20001,15,12,3,15,12,3,0,Crashed into mountains 100 miles southwest of Algiers.</t>
  </si>
  <si>
    <t>06/02/1958,05:23,"Manila, Philippines",Pan American World Airways,,San Francisco - Singapore,Boeing 377 Stratocruiser 10-26,N1023V,15923,57,49,8,1,1,0,0,"A hard landing in heavy rain and gusty winds at Manila caused the collapse of the right main landing gear. A prop broke off the No. 3 engine, penetrated the cabin and killed one passenger. The aircraft was named ""Clipper Golden Gate."""</t>
  </si>
  <si>
    <t>06/02/1958,22:06,"Near Guadalajara, Mexico",Aeronaves de Mexico,,Guadalajara - Mexico City,Lockheed 749A Constellation,XA-MEV,2665,45,38,7,45,38,7,0,The plane crashed into La Latilla mountain 13 km west of Guadalajara. The aircraft did not climb out in accordance with approved procedures.</t>
  </si>
  <si>
    <t>06/04/1958,13:58,"Martinsburg, West Virginia",Capital Airlines,,Training,Douglas DC-3,N49553,4820,3,0,3,1,0,1,0,"Following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</si>
  <si>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06/09/1958,11:50,"Magadan Oblast, Russia",Aeroflot,105,Okhotsk - Magadan,Ilyushin IL-12,CCCP-L1364, 30 082,24,20,4,24,20,4,0,Crashed into the tops of trees while attempting to land. Crew error in attempting to land in weather conditiions below the minimum.</t>
  </si>
  <si>
    <t>06/16/1958,17:45,"Curitiba, Brazil",Cruzeiro,,Florianopolis - Curitiba,Convair CV-440-59,PP-CEP,493,26,21,5,21,16,5,0,Crashed during approach after encountering a downdraft. Missed the runway and collided with a tree. Windshear.</t>
  </si>
  <si>
    <t>06/25/1958,11:00,"Mohanbari, India",Indian Airlines,,Mohanbari - Damroh,Douglas C-47A,VT-COJ,10051,7,4,3,5,3,2,0,While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</si>
  <si>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06/27/1958,00:30,"Near Chicopee Falls, Massachusetts",Military - U.S. Air Force,,Westover AFB - London,Boeing KC-135A,56-3599A,17348,15,8,7,15,8,7,0,"The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</si>
  <si>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07/09/1958,14:05,"Dhaka, Baangladesh",Indian Airlines,,Agartala - Dhaka,Douglas C-47A,VT-CYM,19317,3,0,3,3,0,3,0,The cargo plane suffered structural failure in thunderstorm activity.</t>
  </si>
  <si>
    <t>08/09/1958,01:14,"Benghazi, Libya",Central African Airways,,Wadi Halfa - Benina,Vickers Viscount 748D,VP-YNE,102,54,47,7,36,32,4,0,Crashed into high ground during approach. Misinterpreted or misread altimeter reading. Possible fatigue.</t>
  </si>
  <si>
    <t>08/11/1958,19:00,"Near Belem, Brazil",	Loide AÃ©reo Nacional,,Manaus - Belem,Douglas DC-4,PP-LEQ,10544,11,5,6,10,4,6,0,Crashed on approach 10 minutes from the airport. Cause unknown.</t>
  </si>
  <si>
    <t>08/12/1958,,"Sakiya Saugye, Japan",All Nippon Airways,,Tokyo - Nagoya,Douglas DC-3,JA5045,7336,33,30,3,33,30,3,0,Ditched into the sea near Izu Island appoximately 1 hour after taking off after experiencing engine trouble.</t>
  </si>
  <si>
    <t>08/14/1958,03:45,"North Atlantic Ocean, 100 miles W of Galway Bay, Ireland",KLM Royal Dutch Airlines,607E,Amsterdam - Shannon - Gander - New York,Lockheed 1049H Super Constellation,PH-LKM,4841,99,91,8,99,91,8,0,"The aircraft crashed into the sea while en route from Shannon to Gander, Newfoundland. Possible overspeeding of outer propeller."</t>
  </si>
  <si>
    <t>08/15/1958,23:34,"Nantucket, Massachusetts",Northeast Airlines,258,New York City - Nantucket,Convair CV-240-2,N90670,090,34,31,3,25,22,3,0,"The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</si>
  <si>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08/15/1958,22:20,"Near Chita, Russia",Aeroflot,,Khabarovsk - Irkutsk,Tupolev TU-104-A,CCCP-L5442,7350303,64,54,10,64,54,10,0,The aircraft stalled after flying over a thunderstorm. The aircraft climbed in excess of its operational ceiling considering its weight.</t>
  </si>
  <si>
    <t>09/02/1958,14:00,"Sasnashen, Russia",Military - U.S. Air Force,,Survey flight,Lockheed C-130A-II Hercules,56-0528,3136,17,0,17,17,0,17,0,Shot down by Soviet Mig fighters.</t>
  </si>
  <si>
    <t>09/02/1958,06:10,Off Guam,Military - U.S. Air Force,,Guam - Clark AB,Douglas C-124C Globemaster,52-1081A,43990,19,12,7,19,12,7,0,The aircraft crashed 35 miles west of Agana Naval Air Station. In-flight fire of unknown origin.</t>
  </si>
  <si>
    <t>09/02/1958,06:32,"London, England",Independent Air Travel,,"London, England - Nice, France",Vickers 621 Viking 1,G-AIJE,127,3,0,3,3,0,3,4,The cargo plane lost an engine on the initial climb and was not able to maintain altitude and crashed.</t>
  </si>
  <si>
    <t>09/05/1958,17:30,"Campina Grande, Brazil",Loide Aereo Nacional,,Paraiba - Rio de Janerio,Curtiss C-46A-CU,PP-LDX,30288,18,14,4,14,12,2,0,The aircraft crashed after a second landing attempt. Improper approach procedure. Pilot error. A contributing cause was incorrect forcast provided to the crew.</t>
  </si>
  <si>
    <t>09/07/1958,03:18,"  Kazakh, Russia",Aeroflot,164,Frunze - Aktyubinsk - Uralsk - Moscow,Aeroflot,CCCP-L1692,7342304,27,22,5,27,22,5,0,The aircraft crashed shortly after being struck by lightning in a thunderstorm.</t>
  </si>
  <si>
    <t>09/08/1958,19:20,"Near Fairchild AFB, Washington DC",Military - U.S. Air Force / U.S. Air Force,,Training,Boeing B-52 / Boeing B-52,56-661 / 56-681,464033 / 464052,16,0,16,13,0,13,0,"In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</si>
  <si>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09/09/1958,,"Mount Oyama, Japan",Flying Tiger Line,, Travis - Hickam - Wake Island - Tachikawa,Lockheed L-1049H Super Constellation,N6920C,4822,8,2,6,8,2,6,0,"Crashed into Mount Oyama 15 miles southwest of Tokyo. The crew continued the approach below the minimum safe altitude, maybe following a wrong altimeter setting."</t>
  </si>
  <si>
    <t>09/19/1958,,"Triel, France",Military - U.S. Air Force,,Evreux - Spangdahlem,Lockheed C-130A Hercules,56-0526,3134,15,0,15,15,0,15,0,"Collided with a French Air Force Dassault MystÃ¨re IV. Both aircraft dove into the ground and crashed in a field located in Triel-sur-Seine, west of Paris."</t>
  </si>
  <si>
    <t>09/19/1958,16:15,"Near Lazo, Russia",Aeroflot,,Magadan - Okhotsk - Khabarovsk,Ilyushin IL-12,CCCP-L3904,30 073,28,24,4,28,24,4,0,Crashed in a mountainous area.  The loss of orientation during the flight at night.</t>
  </si>
  <si>
    <t>09/29/1958,,Over the Mediterranean Sea,Middle East Airlines,,Beirut - Rome - London,Avro 685 York I,OD-ADB,1307,5,0,5,5,0,5,0,The cargo plane disappeared over the Mediterranean Sea and was never found.</t>
  </si>
  <si>
    <t>10/09/1958,18:25,"Payette, Idaho",Military - U.S. Air Force,,Ogden Hill AFB - McChord AFB,Fairchild C-123 Provider,55-4521A,20182,19,14,5,19,14,5,0,Crashed and exploded on flat terrain east of Payette. A loss of control or the incapacitation of one of the pilots may have factored in the accident.</t>
  </si>
  <si>
    <t>10/14/1958,00:22,"Mt. Alto del Cedro, Venezuela",Linea Aeropostal Venezolana,,Panama City - Maracaibo,Lockheed 1049E Super Constellation,YV-C-ANC,4575,23,17,6,23,17,6,0,Crashed into the Alto del Cedro mountain. Premature descent. Navigation error. Lack of navigation facilities in the area.</t>
  </si>
  <si>
    <t>10/15/1958,17:30,"Villa Montes, Bolivia",Military - TAM (Bolivia),,Fortin Campero - Tarija,Douglas C-47A,TAM-03,13839,20,17,3,20,17,3,0,Crashed into mountain while en route.</t>
  </si>
  <si>
    <t>10/17/1958,21:30,"Near Kanash, Russia",Aeroflot,,Peking - Moscow,Tupolev TU-104A,CCCP-42362,86601002,80,71,9,80,71,9,0,"The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</si>
  <si>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10/18/1958,,"NAS Argentia, Placentia Bay,  Newfoundland,  Canada",Military - U.S. Navy,,"Patuxent River, NAS - Argentia,NAS",Lockheed WV-2 Super Constellation,141294,4418,29,NULL,NULL,11,NULL,NULL,0,"Crashed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</si>
  <si>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10/22/1958,11:50,"Anzio, Italy",British European Airways,142,London - Napoli,Vickers Viscount 701C,G-ANHC,063,31,26,5,31,26,5,0,Midair collision with an Italian Air Force F-86. The airliner drifted off course. Neither pilot saw each other before they collided.</t>
  </si>
  <si>
    <t>11/01/1958,02:01,"Nipe Bay, Cuba",Cubana de Aviacion,495,Miami - Varadero,Vickers Viscount 755D,CU-T603,091,20,16,4,17,13,4,0,"Hijacked by 4 Cuban rebels, the plane crashed after running out of fuel while attempting to land at Preston Airport."</t>
  </si>
  <si>
    <t>11/03/1958,20:00,"Near Roccatamburo di Poggiodomo, Italy",Yemen Airlines,,Rome - Belgrade,Douglas C-47-DL,YE-AAB,4345,8,4,4,8,4,4,0,"The DC-3 was to fly the Yemenite Under Secretary of Foreign Affairs from Rome to Belgrade. The aircraft The aircraft crashed on the western slopes of Mount Porretta at an elevation of 2,690 feet due to a navagation error. Pilot error."</t>
  </si>
  <si>
    <t>11/08/1958,,"La Paz, Bolivia",TAM (Bolivia),,San Borja - La Paz,Douglas DC-3,TAM-05,,3,0,3,3,0,3,0,The cargo plane disappeared en route.</t>
  </si>
  <si>
    <t>11/09/1958,13:21,North Atlantic Ocean,ARTOP Aerotopografica LDA,,Cabo Ruivo - Funchal,Martin Mariner,CS-THB,59144,36,30,6,36,30,6,0,The aircraft was missing on a flight from Cabo Ruivo to Funchal over the North Atlantic after transmitting an emergency message positioning the aircraft at  36 degrees 40 minutes N 12 degrees W.</t>
  </si>
  <si>
    <t>11/16/1958,,"Fort Collins, Colorado",Capitol Airways,,"Denver - Ogden Hill AFB, Utah",Curtiss C-46F,N1301N,22480,2,0,2,2,0,2,0,"The cargo plane lost an engine while enroute and crashed. Icing, turbulence."</t>
  </si>
  <si>
    <t>12/04/1958,17:15,"Guadarrama Mountains, Spain",Aviaco,,Vigo - Madrid,SNCASE Languedoc,EC-ANR,28,21,16,5,21,16,5,0,Crashed into La Rodilla de la Mujer Muerta while on approach to Madrid. Loss of control due to icing and turbulence.</t>
  </si>
  <si>
    <t>12/23/1958,03:10," Tashkent, Uzbekstan",Aeroflot,466,Ashgabat - Tashkent,Ilyushin IL-14,CCCP-61663,6342007,21,15,6,21,15,6,0,Missed the approach and crashed in a snowy field. Landing below weather minimums.</t>
  </si>
  <si>
    <t>12/24/1958,11:58,"Winkton, England",BOAC,,Test,Bristol 175 Britannia 312,G-AOVD,13235,12,9,3,9,7,2,0,While descending the aircraft struck the ground in heavy fog.</t>
  </si>
  <si>
    <t>12/26/1958,12:52,"Salisbury, Zimbabwe (Harare, Zimbabwe)",Union Aeromaritime de Transport,736,Johannesberg - Salisbury - Brazzaville - Nice - Paris,Douglas DC-6B,F-BGTZ,43827/337,70,63,7,3,3,0,0,"The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</si>
  <si>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12/30/1958,12:09,"Rio de Janeiro, Brazil",VASP,,Rio de Janeiro - Sao Paulo,Saab Scandia,PP-SQE,103,37,33,4,21,17,4,0,Crashed on takeoff after the No.1 engine failed. Pilot error. Pilot's incorrect handling of controls in flight.</t>
  </si>
  <si>
    <t>01/06/1959,11:20,"Mt. Pena Blanca, Guatemala",Sahsa Airlines,,Copan - Nuovo Octopeque,Douglas DC-3,XH-SAA,19667,5,2,3,5,2,3,0,Crashed into Mt. Pena Blanca while en route. The pilot's attempt to fly over mountainous terrain by visual reference to the ground under weather conditions restricting visibility which forced him to descend to a dangerously low altitude.</t>
  </si>
  <si>
    <t>01/08/1959,20:32,"Mt. Holston, Tennessee",Southeast Airlines,308,Nashville - Knoxville - Tri-City Aport,Douglas DC-3,N18941,2007,10,7,3,10,7,3,0,"The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</si>
  <si>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01/11/1959,11:17,"Rio de Janerio, Brazil",Lufthansa,502,Hamburg-Frankfurt-Paris-Lisbon-Dakar-Senegal-Rio Janerio,Lockheed L 1049G Super Constillation,D-ALAK,4602,39,29,10,36,29,7,0,"Twenty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</si>
  <si>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01/14/1959,,"Panther Peak, California",California Air Freight,,Burbank - Seattle,Curtiss C-46F,N1240N,22404,2,0,2,2,0,2,0,"The cargo plane crashed into Panther Peak at 8,500 ft. while en route."</t>
  </si>
  <si>
    <t>01/16/1959,21:40,"Off Mar del Plata, Argentina",Austral Lineas Aeras (Argentina),205,Buenos Aires - Mar del Plata,Curtiss C-46A-50-CU,LV-GED,30514,52,47,5,51,46,5,0,"The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</si>
  <si>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01/18/1959,03:33,"Stalingrad, Russia",Aeroflot,205,Voronezh - Stalingrad,Ilyushin IL-14P,CCCP-41863,146000701,25,20,5,25,20,5,0,Crashed in a snow covered field while attempting to land. Cause undetermined. Possibly hit by machine gun fire.</t>
  </si>
  <si>
    <t>01/21/1959,15:30,"Near Merida, Venezuela",Linea Expresa Bolivar,,MÃ©rida - Lagunillas - Maracaibo, Curtiss C-46D-15-CU,YV-C-LBI,33411,4,2,2,4,2,2,0,"While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</si>
  <si>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01/22/1959,17:00,"Dabouk, Jordan",Air Jordan,601,Jerusalem - Amman,Convair CV-240-2,JY-ACB,055,15,11,4,10,6,4,0,Struck trees during approach and crashed 2.8 miles northwest of Wadi-Es-Sir. Adverse weather conditions.</t>
  </si>
  <si>
    <t>01/27/1959,06:09,"Brindisi, Italy",Air Charter,,England to Australia,Avro 688,G-AGRG,1255,6,0,6,2,0,2,0,"The cargo plane overran the runway while taking off, cashed and burst into flames. Windshear."</t>
  </si>
  <si>
    <t>02/01/1959,23:50,"Kerrville, Texas",General Airways,,"Pueblo, CO - San Antoonio, TX",Douglas DC-3,N17314,1924,28,30,2,3,1,2,0,The aircraft crashed into a hill while attempting an emergency landing after experiencing icing. The captain's poor judgment in continuing into known and dangerous icing conditions.</t>
  </si>
  <si>
    <t>02/03/1959,01:00,"Mason City, Iowa",Dwyer Flying Service - Private Charter,,Mason City - Fargo,Beechcraft Bonanza 35,N3794N,D- 1019,4,3,1,4,3,1,0,"Buddy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</si>
  <si>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02/03/1959,23:56,"La Guardia Airport, New York, NY",American Airlines,320,Chicago - New York City,Lockheed  188A Electra,N6101A,1015,73,68,5,65,63,2,0,"While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</si>
  <si>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02/17/1959,16:47,"Gatwick, Surrey, England",Turkish Airlines (THY),,Ankara - Rome -  London,Vickers Viscount 794D,TC-SEV,429,24,16,8,14,9,5,0,"While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</si>
  <si>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02/18/1959,,"Belen, Chile",Southern Cross Airways,,Arica - Puerto Suarez,Curtiss C-46A,N68823,26818,5,0,5,5,0,5,0,The cargo plane was overloaded and could not maintain altitude after losing an engine. Crashed while attempting an emergency landing.</t>
  </si>
  <si>
    <t>03/05/1959,13:35,"Managua, Nicaragua",TACA,,Las Mercedes - Tegucigalpa,Vickers Viscount 763,YS-09C,082,19,15,4,15,13,2,0,"Crashed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</si>
  <si>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03/12/1959,14:10,"Tobu, India",Indian Airlines,,Jorhat - Noklok - Jorhat,Douglas C-47A,VT-CYH,12493,7,4,3,5,2,3,0,The cargo plane crashed during an attempt by the pilot to clear high terrain under poor visibility conditions. He had previously descended to a low altitude in order to determine his position.</t>
  </si>
  <si>
    <t>03/13/1959,09:02,"Mahon, Spain",Aviaco,,Palma de Mallorca - Mahon,Bristol 170 Freighter 21E,EC-ADH,12776,18,15,3,1,1,0,0,"The plane banked to the right soon after leaving the ground and crashed to the ground. Strong gust of wind which tilted the aircraft to the right during final approach to land, causing it to crash to the ground"</t>
  </si>
  <si>
    <t>03/29/1959,,"Near Bangui, Central African Republic",Union Aeromaritime de Transport,,BerbÃ©rati - Bangui - Bambari,Nord 2501 Noratlas,F-BGZB,2,9,5,4,9,5,4,0,Crashed while en route in the jungle. The right wing detached in flight due to a structural failure caused by severe vibrations due to additional engines that were installed on this special model.</t>
  </si>
  <si>
    <t>03/29/1959,10:45,"Near Silchar, India",Indian Airlines,,Calcutta - Agartala - Silchar - Imphal,Douglas DC-3,VT-CGI,20176,24,20,4,24,20,4,0,Sustained structural failure while flying through a thunderstorm.</t>
  </si>
  <si>
    <t>03/30/1959,23:46,"Alma, Georgia",Riddle Airlines,402,"Orlando, FL - Atlanta, GA",Curtiss C-46A,N7840B,30242,2,0,2,2,0,2,0,"The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</si>
  <si>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04/17/1959,06:39,"Puerto Kino, Mexico",Tigres Voladores,,Mexicale - Guaymas,Curtiss C-46F-1-CU,XA-MIS,22586,26,21,5,26,21,5,0,Exlpoded and caught fire near Bahia de Kino.  A bomb is believed to have exploded onboard.</t>
  </si>
  <si>
    <t>04/23/1959,09:46,"Van, Turkey",Air Charter,,London - Ankara - Bahrain,Avro 688 Super Trader,G-AGRH,1256,12,0,12,12,0,12,0,"The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</si>
  <si>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04/29/1959,17:00,"Valdemeca, Spain",Iberia Airlines,,Barcelona - Madrid,Douglas DC-3,EC-ABC,19334,28,25,3,28,25,3,0,"Crashed into the east slopes of Sierra de Valdemeca after being diverted due to poor weather. Joaquin Blume, Spain's European gymnastics champion, killed. Unfavorable weather made it necessary to deviate from the planned route."</t>
  </si>
  <si>
    <t>05/02/1959,22:12,"Mallorca, Spain",Austria-Flugdienst,,Palma de Mallorca - Wien,Douglas DC-3,OE-FDA,12210,5,2,3,5,2,3,0,"Two minutes after reporting at 3,000feet the aircraft struck Alfabia peak at 3,300 feet. Insufficient altitude while flying at normal climb power."</t>
  </si>
  <si>
    <t>05/12/1959,16:13,"Chase, Maryland",Capital Airlines,75,New York City - Atlanta,Vickers Viscount 745D,N7463,287,31,27,4,31,27,4,0,"Disintegrated in-flight due to severe turbulence after penetrating a thunderstorm. Icing. A farmhand observed a large chuck of ice fall from the plane seconds before the crash. A second plane crash involving Capital Airlines occurred at Charleston, WV on this same day."</t>
  </si>
  <si>
    <t>05/12/1959,15:29,"Charleston, West Virginia",Capital Airlines,983,Pittsburg - Charleston,Lockheed C-69 Constellation,N2735A,1978,44,38,6,2,1,1,0,"The pilot intentionally ground looped the aircraft, which slid down a steep embankment caught fire and burned. Landing too fast on a wet runway under conditions conductive to aquaplaning."</t>
  </si>
  <si>
    <t>05/13/1959,,"Near Toumavista, Peru",Transportes Aereos Peruanos,,Lima - Pucallpa,Curtiss C-46A,OB-WBP-507,26829,12,10,2,12,10,2,0,Crashed into the slope of a mountain while en route.</t>
  </si>
  <si>
    <t>05/15/1959,20:42,"Off Mar del Plata, Aregntina",Aerolineas Argentinas,,Mar del Plata - Bahia Blanca,Douglas DC-3,LV-AFW,19790,10,6,4,10,6,4,0,Crashed into the sea during a steep turn following a takeoff at night. Undetermined cause.</t>
  </si>
  <si>
    <t>05/21/1959,,"Moro, Peru",Lineas AÃ©reas Interpolar,,Miami - Panama City - Talara - Arica,Curtiss C-46A-50-CU,CC-CIA-497,30482,8,4,4,8,4,4,0,Crashed into a  mountain while en route..</t>
  </si>
  <si>
    <t>06/01/1959,,Nicaragua,Aerolineas Nacionales,,,Curtiss C-46,TI-1020,,60,55,5,60,55,5,0,"The plane, carrying Nicaraguan rebels was shot down by a Nicaraguan Air Force fighter."</t>
  </si>
  <si>
    <t>06/05/1959,,"Near Sheyma, Alaska",Militiary - US Air Force,,Reconnaissance,Boeing RC-135E,,,19,NULL,NULL,19,NULL,NULL,0,"Thirty minutes after taking off from Sheyma, ""Rivit Amber"" radioed ""experiencing  vibration in flilght. Not certain of emergency. This was the last radio contact with the plane. The aircraft crashed at sea."</t>
  </si>
  <si>
    <t>06/12/1959,,"Sandy Lake, Ontario",Tranair,,,Noorduyn Norseman,CF-BHX,N29-12,8,7,1,8,7,1,0,"Shortly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</si>
  <si>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06/23/1959,19:30,"Cerros Baco, Peru",AVIANCA,,Bogota - Lima,Douglas DC-4,HK-135,10418,14,10,4,14,10,4,0,Crashed  into the slope of Cerro Baco located about 12 km northwest of Huaricanga.</t>
  </si>
  <si>
    <t>06/26/1959,17:35,"Near Varese, Lombardia, 20 miles NW of Milan, Italy",Trans World Airlines,891,Milan - Paris,Lockheed 1649A Starliner,N7313C,1015,68,59,9,68,59,9,0,"While flying from Athens to Chicago, the No. 6 and 7 fuel tanks in the right wing exploded during a storm.  Ignition of gasoline vapors emanating from fuel tank vent pipes by static discharge after the airliner was hit by lightning."</t>
  </si>
  <si>
    <t>06/30/1959,10:35,"Ishikawa City, Ryukyu Island, Okinawa",Military - U.S. Air Force,,,North American F-100D-25NA,55-3633A,,1,0,1,0,0,0,17,"The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</si>
  <si>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07/15/1959,,"Kuwait City, Kuwait",PAS,,Kuwait City - Tehran,Avro 685 York,EP-ADE,MW295,32,27,5,32,27,5,NULL,"Shortly after takeoff from Kuwait City Airport and while climbing, the aircraft stalled and crashed in the desert  6 km from the airfield."</t>
  </si>
  <si>
    <t>08/03/1959,10:30,"Sagone, India",Kalinga Airlines,,Mohanbari - Along,Douglas DC-3,VT-DGP,9549,6,3,3,6,3,3,0,The cargo plane crashed while en route. Navigational error. The pilot entered a wrong valley and stalled the fully loaded aircraft while attempting to turn back.</t>
  </si>
  <si>
    <t>08/14/1959,22:14,"Karachi, Pakistan",Pakistan International Airlines,,Training,Vickers 815 Viscount,AP-AJE,337,3,0,3,2,0,2,0,"The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</si>
  <si>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08/15/1959,16:42,"Calverton, New York",American Airlines,514,Training,Boeing 707-123,N7514A,17641/36,5,0,5,5,0,5,0,The crew failed to recognize and correct the development of excessive yaw which caused an unintentional rolling maneuver at an altitude too low to permit complete recovery.</t>
  </si>
  <si>
    <t>08/19/1959,17:10,"Near Barcelona, Spain",Transair,,Barcelona - London,Douglas DC-3,G-AMZD,16112/3286,32,29,3,32,29,3,0,"Nineteen minutes after taking off and while climbing, the aircraft entered a cloud and struck Mt. Monseny. Pilot did not follow prescribed regulations."</t>
  </si>
  <si>
    <t>08/27/1959,,"Near Asuncion, Paraguay",Aerolineas Argentinas,,Buenos Aires - AsunciÃ³n,de Havilland DH-106 Comet 4,LV-AHP,6411,50,44,6,2,1,1,0,"The aircraft descended below MDA and crashed 5 miles short of the runway while on approach to Asuncion. The crew led the aircraft pass below the glide in marginal weather conditions and continued the approach at an insufficient altitude, against published procedures."</t>
  </si>
  <si>
    <t>09/02/1959,17:16,"Abilene, Texas",Aaxico Airlines,,"Abilene, TX - Forth Worth, TX",Curtiss C-46A,N5140B,26809,2,0,2,2,0,2,0,"The cargo plane took off, rose to 200 ft., stalled and crashed. Elevator control lost. The aft link assembly became disconnected from the clevis in the elevator control horn assembly when an improperly secured bolt backed out."</t>
  </si>
  <si>
    <t>09/08/1959,,"Poza Rica, Mexico",Mexicana,,Mexico City - Merida,Douglas DC-3,,,16,13,3,1,1,0,0,"An in-flight explosion occurred in the passenger cabin. A male passenger, who was believed to have been carrying a bomb, fell from the airplane from an altitude of 11,000ft.  A forced landing was made at Poza Rica after a fire broke out in the cabin."</t>
  </si>
  <si>
    <t>09/12/1959,04:15,"Near Tegucigalpa, Honduras",Pan American World Airways,,San Salvador - Miami,Douglas DC-4,N88900,10504,3,0,3,3,0,3,0,"Shortly after taking off, the cargo plane deviated from it's intended course and struck a mountain, for reasons unknown."</t>
  </si>
  <si>
    <t>09/23/1959,18:40,"Sao Paulo, Brazil",VASP,,Sao Paulo - Rio de Janeiro,Saab Scandia 90A-1,PP-SQV,106,20,16,4,20,16,4,0,Crashed a few minutes after taking off from Sao Paulo Airport. Cause undetermined.</t>
  </si>
  <si>
    <t>09/24/1959,17:20,"Great Sitkin Island, Alaska",Reeve Aleutian Airlines,3,Shemya - Cold Bay - Adak - Anchorage,Douglas C-54B,N63396,10486,16,11,5,16,11,5,0,Crashed into a mountain while on approach to Adak. Improper approach. Crew error. Pilot did not fly in accordance with visual flight rules over hazardous terrain.</t>
  </si>
  <si>
    <t>09/24/1959,23:24,"Bordeaux, France",T.A. Intercontinentaux (France),,Paris - Bordeaux - Bamako - Abidjan,Douglas DC-7C,F-BIAP,45366/892,65,56,9,54,45,9,0,"Crashed shortly after takeoff, not gaining altitude and colliding with trees. Loss of an engine. Crew did not properly monitor altimeter."</t>
  </si>
  <si>
    <t>09/29/1959,23:09,"Buffalo, Texas",Braniff Airlines,542,Houston - Dallas,Lockheed 188A Electra,N9705C,1090,34,28,6,34,28,6,0,"In-flight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</si>
  <si>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10/06/1959,,"Paloemeu, Suriname",Kappel-Van Eyck Airways,,"Paramaribo, Suriname - Paloemeu, Suriname",Aero Commander AC 520,,,2,0,2,2,0,2,0,"The aircraft was on a government mission to supply contractors near Paloemeu with food and equipment.  While searching for a drop point in the jungle, in heavy fog,  the plane crashed into a hill."</t>
  </si>
  <si>
    <t>10/23/1959,22:10,"Near Moscow, Russia",Aeroflot,200,Baku - Moscow,Ilyushin IL-14P,CCCP-41806,6341709,28,23,5,28,23,5,0,"Crashed on approach. Crew's handling of the plane led to a premature loss of altitude and collision with obstacles. Crew fatigue,"</t>
  </si>
  <si>
    <t>10/26/1959,20:18,"Santa Maria, California",Pacific Air Lines,308,Los Angeles - Oxnard - Santa Maria - Paso Robles,Douglas C-47A-DL,N67589,19656,19,17,2,1,0,1,1,"Moments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</si>
  <si>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10/30/1959,20:40,"Waynesborough, Virginia",Piedmont Airlines,1349,"Washington DC - Charlottsville, VA",Douglas DC-3,N55V,20447,27,24,3,26,23,3,0,Crashed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</si>
  <si>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10/30/1959,15:25,"Athens, Greece",Olympic Airways,214,Athens - Thessaloniki,Douglas DC-3,SX-BAD,9491,18,15,3,18,15,3,0,Engine failure on takeoff. The plane crashed 5 minutes later. Failure of the gudgeon pin bearing of the No.6 piston of the left engine.</t>
  </si>
  <si>
    <t>11/04/1959,23:07,"St. Cleophas, Quebec, Canada",Wheeler Airlines,1658,Montreal - Hall Lake,Douglas C-54A,CF-ILI,10360,5,0,5,5,0,5,0,The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</si>
  <si>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11/16/1959,19:06,"Lvov, Ukraine, USSR",Aeroflot,315,Moscow - Kiev - Lvov,Antonov AN-10,CCCP-11167,9401402,40,32,8,40,32,8,0,"Loss of control in icing conditions when the flaps were downed to 45Â° on approach, apparently due to an excessive accumulation of ice on wings and stabs. The distance between the aircraft and the ground was insufficient to expect a recovery."</t>
  </si>
  <si>
    <t>11/16/1959,00:55,Gulf of Mexico,National Airlines,967,Tampa - New Orleans,Douglas DC-7B,N4891C,45355,42,36,6,42,36,6,0,"The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</si>
  <si>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11/21/1959,,"Beirut, Lebanon",Ariana Afghan Airlines,202,Beirut - Tehran,Douglas DC-4,YA-BAG,18367,27,22,5,24,19,5,0,"Crashed shortly after takeoff, 2.5 miles from Beirut Airport. Navigation error. Possible in-flight fire in the No. 1 engine which induced the pilot to start fire emergency action with a resulting reduction in the rate of turn and the rate of climb."</t>
  </si>
  <si>
    <t>11/24/1959,05:35,"Chicago, Illinois",Trans World Airlines,595,Chicago - Denver - Los Angeles,Lockheed L-1049H Super Constellation,N102R,4824,3,0,3,3,0,3,8,"Shortly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</si>
  <si>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12/01/1959,09:47,"Willamsport, Pennsylvania",Allegheny Airlines,371,Harrisburg - Willamsport,Martin 202,N174A,9159,26,22,4,25,21,4,0,"Crashed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</si>
  <si>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12/08/1959,16:57,"Off Cartagena, Colombia",Sociedad Aeronautica Medellin,,San Andres Island - Cartagena,Curtiss C-46A,HK-515,26941,45,42,3,45,42,3,0,Disappeared en route. Right landing gear found on Moron Island.  Cause undetermined.</t>
  </si>
  <si>
    <t>12/13/1959,09:28,"Near Tashkent, Uzbekistan, USSR",Aeroflot,,Kabul - Tashkent,Ilyushin IL-18,CCCP-91577,147001416,29,24,5,29,24,5,0,"Crashed into a mountain while en route. Crew error. The crew deviated from prescribe route. The captain decided to continue under VFR in IMC conditions and at the time of the accident, the aircraft was about 40 to 50 km off course to the right of the intended route."</t>
  </si>
  <si>
    <t>12/17/1959,16:20,"Ketchikan, Alaska",California Aircraft,,Juneau - Annette Island,Consolidated PBY-5A Catalina,N64T,2102,3,0,3,3,0,3,0,The cargo plane cashed en route after reporting engine trouble.</t>
  </si>
  <si>
    <t>12/21/1959,08:16,"Rome, Italy",Alitalia,,Training,Vickers 785D Viscount,I-LIZT,378,2,0,2,2,0,2,0,Crashed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</si>
  <si>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12/22/1959,13:40,"Rio de Janeiro, Brazil",VASP,233,Rio de Janeiro - Sao Paulo,Vickers Viscount 827 / Fokker T-21,PP-SRG / 0742,401,32,26,6,32,26,6,10,"A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</si>
  <si>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12/24/1959,05:00,"Palembang, Indonesia",Garuda Indonesia Airlines,330,Palembang - Jakarta,Douglas C-47A,PK-GDV,13535,2,0,2,1,0,1,0,"Shortly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</si>
  <si>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12/31/1959,,"Near San Jose de Chiquitos, Bolivia",Lloyd Aereo Boliviano,,San JosÃ© de Chiquitos - La Paz,Douglas DC-3,CP-584,19226,11,7,4,11,7,4,0,Crashed on takeoff.</t>
  </si>
  <si>
    <t>01/03/1960,10:40,"Taksing, India",Indian Airlines,,,Douglas C-47A,VT-CGG,12821,9,5,4,9,5,4,0,"The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</si>
  <si>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01/06/1960,02:38,"Wilmington/Bolivia, North Carolina",National Airlines,2511,New York - Miami,Douglas DC-6B,N8225H,43742/300,34,29,5,34,29,5,0,"The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</si>
  <si>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01/10/1960,15:38,Gulf of Sirte,Military - U.S. Army,,Misurata - Benghazi,de Havilland Canada U-1A Otter,55-2974,47,10,9,1,10,9,1,0,"Missing, never found."</t>
  </si>
  <si>
    <t>01/18/1960,22:19,"Charles City, Virginia",Capital Airlines,20,Washington D.C. - Norfolk,Vickers Viscount 745D,N7462,217,50,46,4,50,46,4,0,"The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</si>
  <si>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01/19/1960,18:47,"Ankara, Turkey",Scandinavian Airlines (SAS),871,Istanbul - Ankara,Sud Aviation Caravelle 1,OY-KRB,014/14,42,35,7,42,35,7,0,"While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</si>
  <si>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01/21/1960,,"Montego Bay, Jamacia",AVIANCA,671,Miami - Montigo Bay,Lockheed 1049E Super Constellation,HK-177,4556,46,39,7,37,35,2,0,A heavy landing led to structural failure and a fire. The adoption of a final approach path resulting in a heavy landing during which a major structural failure occurred in the port wing. Crew fatigue. Lack of proper training.</t>
  </si>
  <si>
    <t>01/26/1960,12:30,"Off Bathurst Island, Australia",Transportes AÃ©reos de Timor,,Darwin - Baucau,de Havilland DH-114 Heron 2D,CR-TAI,14132,9,7,2,9,7,2,0,Radio contact was lost with the aircraft before it crashed into the ocean. Poor weather.  Unqualified pilot.</t>
  </si>
  <si>
    <t>02/05/1960,07:20,"Cochabamba, Bolivia",Lloyd Aereo Boliviano,,Cochabamba - La Paz,Douglas DC-4,CP-609,10510,59,55,4,59,55,4,0,"Few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</si>
  <si>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02/25/1960,13:07,"Rio de Janeiro, Brazil",REAL / Military - U.S. Navy,,Campos - Rio de Janeiro,Douglas DC-3 / USN R4-D6,PP-AXD/131582,13326 / 43685-307,64,53,11,61,50,11,0,"Midair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</si>
  <si>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02/26/1960,16:57,"Lvov-Snilow,  Ukraine",Aeroflot,315,Moscow - Kiev - Lviv,Antonov 10A,CCCP-11180,9401801,33,25,8,32,24,8,0,The plane crashed into a swamp short of the runway threshold. Icing of the horizontal stabilizer.</t>
  </si>
  <si>
    <t>02/26/1960,,"Shannon, Ireland",Alitalia,,Rome - Shannon - Gander -New York City,Douglas DC-7C,I-DUVO,45231/945,52,40,12,34,23,11,0,Lost altitude shortly after taking off and crashed. Cause unknown.</t>
  </si>
  <si>
    <t>03/15/1960,,"El Refugio, Colombia",Agencia Interamericana de Aviada,,Aracacuara - Villavicencio,Consolidated PBY-5A Catalina,HK-1001E,,13,10,3,6,4,2,0,Crashed in the jungle  en route.</t>
  </si>
  <si>
    <t>03/16/1960,19:40,"Nagoya, Japan",All Nippon Airways,,Tokyo - Nagoya,Douglas DC-3,JA-5018,6006,40,35,5,5,3,2,0,Mid-air collision with a Japan Air Self Defence Force F-86 fighter which was taking off from Nagoya. Both planes crashed but the F-86 pilot ejected safely.</t>
  </si>
  <si>
    <t>03/17/1960,15:25,"Near Cannelton, 10 mile SE of Tell City, Indiana",Northwest Orient Airlines,710,Chicago - Miami,Lockheed 188C Electra,N121US,1057,63,57,6,63,57,6,0,An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</si>
  <si>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03/19/1960,11:10,"Cordoba, Colombia",SAMSA,901,San Andres - Medellin,Curtiss C-46,HK-516,2927/384,46,42,4,25,22,3,0,"Forced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</si>
  <si>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04/05/1960,14:39,"Siuna, Nicaragua",Lanica,,Siuna - Bonanza,Curtiss C-46A-40-CU,AN-AIN,26945,18,14,4,2,1,1,0,Flew into a hill shortly after taking off. Engine failure due to a  fatigue crack at a valve.</t>
  </si>
  <si>
    <t>04/12/1960,14:20,"Pelotas, Brazil",Cruzeiro,,JaguarÃ£o - Rio Grande - Pelotas - Porto Alegre,Douglas DC-3,PP-CDS,4823,22,19,3,10,8,2,0,"While taking off, the plane drifted to the right, overcorrected to the left and struck two other aircraft. Pilot error.  Incorrect use of the brakes and controls while on the ground."</t>
  </si>
  <si>
    <t>04/14/1960,,"Taipei,Taiwan",Military - Royal Thai Air Force,,Taipei - Bangkok,Douglas DC-4,,42919,18,NULL,NULL,18,NULL,NULL,0,Struck Mt Wuzhi located 8 km northeast of the airport.</t>
  </si>
  <si>
    <t>04/18/1960,,"Stephenville, Newfoundland",Military - U.S. Air Force,,Dover-Stephenville - Lajes - Mildenhall,Douglas C-124C Globemaster,52-1062,43971,9,NULL,9,9,NULL,9,0,Failed to gain altitude on take off and struck a hill.</t>
  </si>
  <si>
    <t>04/19/1960,20:48,"Bogota, Colombia",Lloyd Aereo Colombiano,503,Miami - Medellin - Bogota,Curtiss C-46,HK-390,32954,51,44,7,37,31,6,0,Crashed during final approach. The pilot failed to take proper action to counteract the loss of speed and height in the final approach turn. Lack of pilot experience.</t>
  </si>
  <si>
    <t>04/20/1960,13:06,"Hickory, North Carolina",Piedmont Airlines / Private,,"Cincinnati, OH - Hickory, NC",Fairchild F-27 / Cessna 310,N2704R/N1807H,17,44,39,5,4,3,1,0,"The aircraft were involved in a midair collision while both were making an approach to land. The pilot of the Cessna, the over-taking aircraft, failed to see and avoid the F-27 during the landing appoach. Four died aboard the Cessna, none aboard the Fairchild."</t>
  </si>
  <si>
    <t>04/22/1960,07:55,"Bunia, Belgian Congo",Sobelair SA (Belgium),,Brussels - Rome - Cairo - Bunia,Douglas C-54B,OO-SBL,3099,35,28,7,35,28,7,0,Crashed into the slope of Bogoro Peak located about 8 km short of runway.while on approach. Crew error. The decision by the pilot in descending below the minimum ceiling prescribed.</t>
  </si>
  <si>
    <t>04/28/1960,08:22,"Near Calabozo, Venezuela",Linea Aeropostal Venezolana,,Maiquetia - Calabozo,Douglas DC-3,YV-C-AFE,15353/26798,13,9,4,13,9,4,0,The aircraft crashed after an explosion aboard. Detonation of a hand-grenade brought aboard by a Russian immigrant. The explosion occurred after the captain tried to disarm the man.</t>
  </si>
  <si>
    <t>05/15/1960,22:57,"Jebel Marra, Sudan",Balair,,Niamey - Khartoum,Douglas DC-4-1009,HB-ILA,43072,12,5,7,12,5,7,0,"Crashed into 8,000 ft. Mt. Marra. Navigation error by the crew who were using an astrofix to estimate their position."</t>
  </si>
  <si>
    <t>05/18/1960,15:30,"El Sosneado, Argentina",Transamerican Air Transport,,Buenos Aires - Santiago de Chile - Lima,Curtiss C-46,LV-GGJ,22554,9,5,4,9,5,4,0,Crashed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</si>
  <si>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05/23/1960,11:52,"Atlanta, Georgia",Delta Air Lines,,Training,Convair CV-880,N8804E,22-00-16,4,0,4,4,0,4,0,"The aircraft stalled for reasons undetermined, at an altitude too low to effect recovery."</t>
  </si>
  <si>
    <t>06/10/1960,10:55,"Nea Tkvarcheli, Georgia",Aeroflot,207,Kutaisi - Rostov-on-Don,Ilyushin IL-14P,CCCP-91571,7343107,31,24,7,31,24,7,0,The plane crashed in hillside woods while en route. Poor organization and overseeing the preparation of the flight by the crew.</t>
  </si>
  <si>
    <t>06/10/1960,22:05,"Off  Mackay, Qld. Australia",Trans Australia Airlines,538,Rockhampton - MacKay,Fokker F-27 Friendship 100,VH-TFB,10112,29,25,4,29,25,4,0,"The flight crashed into the sea, 7.5 miles from the airport after being in a holding pattern waiting for fog to lift.  Cause could not be determined."</t>
  </si>
  <si>
    <t>06/14/1960,04:47,"Mt. Gilbert, Alaska",Pacific Northern Airlines,201,Cordova - Anchorage,Lockheed 749A-79-32 Constellation,N1554V,2555,14,9,5,14,9,5,0,"The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</si>
  <si>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06/24/1960,18:30,"Rio de Janeiro, Brazil",REAL,,Belo Horizonte - Rio de Janeiro,Convair CV-340-62,PP-YRB,191,54,49,5,54,49,5,0,Crashed into Guanabara Bay during approach. Cause undetermined.</t>
  </si>
  <si>
    <t>07/06/1960,14:30,"Off Barnegat City, New Jersey",Military - U.S. Navy,,,Goodyear ZPG-3W (airship),144242,,21,NULL,NULL,18,NULL,NULL,0,"The airship crashed nose-first into the Atlantic Ocean, 10 miles off the coast of New Jersey. The  failure of a seam due to some unknown factor that degraded the adhesive."</t>
  </si>
  <si>
    <t>07/10/1960,10:30,Persian Gulf,Gulf Aviation (Kalinga Airways),,BahraÃ¯n - Doha - Sharjah,Douglas DC-3,VT-DGS,4273,20,16,4,20,16,4,0,Crashed into the Persian Gulf while en route. Cause undetermined. Wreckage never found.</t>
  </si>
  <si>
    <t>07/11/1960,11:45,"Near Quito, Ecuador",Military - U.S. Misson,,Bogota - Quito,Douglas C-47B-DK,45-1109A,34379,18,14,4,18,14,4,0,Crashed and burned on Mt. Pichincha as it prepared to land at Quito.</t>
  </si>
  <si>
    <t>07/14/1960,04:30,"Off Manila, Philippines",Northwest Orient Airlines,1-11,Okinawa - Manila,Douglas DC-7C,N292,45462/925,58,51,7,1,1,0,0,"After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</si>
  <si>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07/15/1960,09:40,"Near Jima, Ethiopia",Ethiopian Airlines,372,Bulchi - Jimma,Douglas DC-3,ET-T-18,12926,11,8,3,1,0,1,0,"Crashed onto a mountainside at 9,000 ft. The pilot misjudged the weather conditions and continued to fly into deteriorating weather conditions while trying to maintain VFR. The pilot attempted to climb at a speed below the minimum safe climbing speed of the aircraft."</t>
  </si>
  <si>
    <t>07/16/1960,15:38,"Copenhagen, Denmark",Flyve Tjenesten,,Copenhagen - Herning,de Havilland DH-89 Dragon Rapide,OY-DZY,6956,9,8,1,8,8,0,0,"The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</si>
  <si>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07/19/1960,13:45,"Near Goma, Zaire",Military - Royal Belgian Air Force,,,Fairchild C-119G,CP-36,,41,37,4,37,33,4,0,Crashed into mountainous terrain north of Lake Kivu after experiencing engine failure.</t>
  </si>
  <si>
    <t>07/20/1960,12:30,"Near Syktyvkar, Russia",Aeroflot,613,Leningrad - Syktyvkar,Ilushin IL-14,CCCP-61696,147001035,23,19,4,23,19,4,0,Broke up in mid air after flying through a thunderstorm and experiencing heavy g loads.</t>
  </si>
  <si>
    <t>07/27/1960,22:38,"Forest Park, Illinois",Chicago Helicopter Airways,698,,Sikorsky S-58C helicopter,N879,58420,13,11,2,13,11,2,0,"The helicopter crashed into Forest Home Cemetery. The structural disintegration in flight, initiated by a fatigue fracture of a main rotor blade."</t>
  </si>
  <si>
    <t>07/31/1960,11:56,"Near Rimini, Italy",Deutsche Flugdienst,,Frankfort - Rimini,Convair CV-240-4, D-BELU,78,34,30,4,1,1,0,0,"While descending through 5,000ft, the crew lost the No.1 engine. At 1,500 ft. the other engine was also lost. The aircraft crashed 3,300 ft. short of the runway. Failure of both engines on the aircraft."</t>
  </si>
  <si>
    <t>08/01/1960,,"Near Tipuani, Bolivia",TAM (Bolivia),,La Paz - Tipuani,Douglas C-47,TAM-09,9030,6,4,2,6,4,2,0,The DC-3 crashed into Hayti Mountain while en route.</t>
  </si>
  <si>
    <t>08/17/1960,15:58,"Near Kiev, Ukraine",Aeroflot,36,Cairo - Moscow,Ilyushin IL-18B,CCCP-75705,189001702,34,27,7,34,27,7,0,While en route the No. 4.engine caught fire.  The fire extinguishing system was ineffective and the fire spread to the wing after which the fuel tanks exploded and the plane crashed.</t>
  </si>
  <si>
    <t>08/17/1960,23:45,"Near El Kelaa, Morocco",Military - French Naval Aviation,,,Avro Lancaster 1,WU-26,,20,15,5,20,15,5,0,"Cashed while en route to Casablanca after experiencing an engine fire. Shortly after, the plane crashed in flames on a hilly terrain near El KelÃ¢a des Sraghna."</t>
  </si>
  <si>
    <t>08/24/1960,,"Off Heraklion, Greece",Don Everall Aviation,,"Heraklion, Greece - Cairo, Egypt",Vickers 634 Viking 1B,G-AMNK,210,3,0,3,3,0,3,0,"The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</si>
  <si>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08/29/1960,06:47,"Off Dakar, Senegal",Air France,343,Paris - Dakar - Monrovia - Abidjan,Lockheed 1049G Super Constellation,F-BHBC,4622,63,55,8,63,55,8,0,"The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</si>
  <si>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09/02/1960,17:10,"Near Zikhnovo, Russia",Aeroflot,804,	Arkhangelsk - 	Cherepovets,Ilyushin IL-14P,CCCP-04200,1470 014 18,18,13,5,18,13,5,0,The plane flew into the side of Mt. Belaya in poor weather. Crew flew below minimums.</t>
  </si>
  <si>
    <t>09/07/1960,09:40,"Near Salto, Uruguay",Aerolineas Argentinas,205,Asuncion - Buenos Aires,Douglas DC-6,LV-ADS,43031/127,31,25,6,31,25,6,0,"Crashed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</si>
  <si>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09/19/1960,06:02,"Agana, Guam, Mariana Islands",World Airways,830/18,Guam - Wake Island,Douglas DC-6AB,N90779,44914/646,94,86,8,80,73,7,0,"The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</si>
  <si>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09/22/1960,14:10,"Off Naha, Okinawa",Military - U.S. Navy,,"Atsugi, Japan - Subi Point, Philippines",Douglas R5D-3,56541,,29,26,3,29,26,3,0,The plane crashed after transmitting a message that the No. 3 engine was on fire and they were diverting to Okinawa. The fire in the No. 3 engine was extinguished but a residual fire continued in a tire until it ignited the fuel tank resulting in an explosion.</t>
  </si>
  <si>
    <t>09/22/1960,,"Campbell Lake, Quebec Canada",Wheeler Airlines,,Campbell Lake - St Jovite,Noorduyn Norseman,CF-FOJ,N29-32,4,3,1,3,2,1,0,"Shortly after takeoff from Campbell Lake, while climbing, the single engine aircraft stalled and crashed in flames in a wooded area. The pilot and two passengers were killed while a third passenger was seriously injured.  Engine failure."</t>
  </si>
  <si>
    <t>09/26/1960,23:40,"Moscow, Russia",Austrian Airlines,901,Warsaw - Moscow,Vickers Viscount 837,OE-LAF,437,37,31,6,31,26,5,0,"Crashed on approach to Moscow, 11 nm short of the runway. Malfunctioning or misread altimeter."</t>
  </si>
  <si>
    <t>09/28/1960,,"Near Juchetipec, Mexico",Mexicana,,Tapachula - Mexico City,Douglas DC-3 (C-53-DO),XA-HUS,7388,18,15,3,8,5,3,0,"Crashed on the slopes of a mountain near Juchitepec, about 40 km south of Mexico City Airport in dense fog."</t>
  </si>
  <si>
    <t>09/29/1960,12:15,"Off Elba, Italy",United Arab Airlines,738,Geneva - Rome,Vickers Viscount 739B,SU-AKW,427,21,17,4,21,17,4,0,Crashed  into the Tyrrhenian Sea off Elba after penetrating severe thunderstorm.</t>
  </si>
  <si>
    <t>10/04/1960,17:40,"Boston, Massachusetts",Eastern Air Lines,375,Boston - Philadelphia,Lockheed 188A Electra,N5533,1062,72,67,5,62,59,3,0,"A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</si>
  <si>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 xml:space="preserve"> the left wing dropped, the nose pitched up, and the aircraft rolled left into a spin and fell almost vertically into the water. An altitude of less than 150 feet precluded recovery."</t>
  </si>
  <si>
    <t>10/14/1960,15:50,"Elba, Italy",Itavia,115,Rome - Genoa,de Havilland DH-114 Heron 2,I-AOMA,14090,11,7,4,11,7,4,0,Hit Mt. Capanne while en route.  Cause unknown.</t>
  </si>
  <si>
    <t>10/15/1960,,"Plain City, Utah",Capitol Airways,,Rapid City - Ogden,Curtiss C-46F,N1300N,22481,2,0,2,2,0,2,0,"The right wing of the cargo plane separated from the aircraft at 6,500 ft. Fatigue of the right wing lower attach angle bolts resulting in an in-flight wing failure."</t>
  </si>
  <si>
    <t>10/21/1960,21:14,"Ust-Orda, Russia",Aeroflot,0005,Moscow - Omsk - Irkutsk - Khabarovsk,Tupolev Tu-104A,CCCP-42452,96601701,3,0,3,3,0,3,0,Crashed after a premature descent. The decision by the captain to perform a go-around was ccrrect but the very low pass above the runway was unacceptable.</t>
  </si>
  <si>
    <t>10/28/1960,11:39,"Near Missoula, Montana",Northwest Orient Airlines,104,Spokane - Missoula,Douglas C-54A-DC,N48762,10320,12,8,4,12,8,4,0,"Crashed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</si>
  <si>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10/29/1960,22:02,"Toledo, Ohio",Arctic Pacific,,"Toledo - Kansas City, MO",Curtiss C-46F-1-CU,N1244N,22458,48,45,3,22,20,2,0,"Crashed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</si>
  <si>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10/29/1960,,"Key West, Florida",Cubana de Aviacion,,"Havana, Cuba - 	Nueva Gerona",Douglas DC-3,,,37,34,3,1,1,0,0,Ten minutes into the flight the copilot grabbing the air marshall and forcing the pilot at gunpoint to head to Key West. A shooting erupted and the air marshall was killed. A total of nine persons were involved in the hijacking.</t>
  </si>
  <si>
    <t>11/05/1960,,"Bhairawa, Nepal",Royal Nepal Airlines,,Bairahawa - Kathmandu,Douglas C-47A,9N-AAD,19792,4,0,4,4,0,4,0,"While in  the initial climb, the plane stalled and crashed in a huge explosion."</t>
  </si>
  <si>
    <t>11/07/1960,,"Near Quito, Ecuador",AREA,,Guayaquil - Quito,Fairchild F-27A,HC-ADV,0001A,37,34,3,37,34,3,0,Crashed into a mountain 20 miles south of the airport while on approoach to Quito-Mariscal Sucre Airport.</t>
  </si>
  <si>
    <t>11/23/1960,18:45,"Manila, Philippines",Philippine Air Lines,26,Iloilo - Manila,Douglas DC-3,PI-C133,13397,33,29,4,33,29,4,0,Crashed into Mt. Baco while en route. Navigational error under adverse weather conditions.</t>
  </si>
  <si>
    <t>12/04/1960,22:53," Chernovo, Russia",Aeroflot,081,	Syktyvkar - Moscow,Ilyushin 14M,	 CCCP-52091,7342905,14,9,5,14,9,5,0,The right engine caught fire. The crew initiated an emergency  descent from which the right wing broke off  causing the aircraft to crash.</t>
  </si>
  <si>
    <t>12/07/1960,,"Cachimbo, Brazil",REAL,,Cuiaba - Manaus,Curtiss C-46A-60-CK,PP-AKF,295,15,13,2,15,13,2,0,"The No.2 engine failed while en route. The aircraft lost altitude, crashed in a jungle and burned. Starboard engine failed to feather for reasons unknown."</t>
  </si>
  <si>
    <t>12/11/1960,19:50,"San Andres de Giles, Argentina",Military - Argentine Air Force,,Lima - Antofagasta - El Palomar,Avro 691 Lancastrian IV,T-102,,31,23,8,31,23,8,0,"The domestic flight cashed and burned in heavy rain, 100 miles from it's destination. Pilot error. Flying VFR in adverse weather conditions."</t>
  </si>
  <si>
    <t>12/16/1960,10:33,"Staten Island / Brooklyn, New York",United Air Lines / Trans World Airlines,826/266,Chicago - New York City / Columbus - New York City,MD DC-8-11 / Lockheed  1049 S Const,N8013U/N6907C,45290 /4021,128,116,12,128,116,12,6,"A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</si>
  <si>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12/17/1960,14:10,"Munich, West Germany",Military - U.S. Air Force,,"Munich - Northolt AB, England",Convair C-131D (CV-340-79),55-291,212,20,13,7,20,13,7,31,"The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</si>
  <si>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12/22/1960,12:31,"Cebu City, Philippines",Philippine Air Lines,S85,Cebu - Davao,Douglas DC-3,PI-C126,20593,37,34,3,28,26,2,0,Crashed on takeoff. Failure of the No. 1 engine shortly after take-off but after V2. Inappropriate emergency procedures by crew.</t>
  </si>
  <si>
    <t>12/26/1960,19:42,"Near Ulyanovsk, Russia",Aeroflot,651,Kuibyshev - Ulyanovsk,Ilyushin IL-18A,CCCP-75651,188000405,17,13,4,17,13,4,0,Loss of control resulted after 40 degrees flaps was selected causing the plane to crash. Icing.</t>
  </si>
  <si>
    <t>01/02/1961,,"Ruzyne, Czechoslovakia",Ceskoslovenske Aerolinie,,Training,Avia 14,OK-MCZ,105807110,10,5,5,10,5,5,0,"Unable to gain altitude, the aircraft crashed into power cables during takeoff."</t>
  </si>
  <si>
    <t>01/03/1961,07:40,"Koivulahti, Finland",Finnair,311,Kokkola - Vaasa,Douglas DC-3,OH-LCC,14066/25511,25,22,3,25,22,3,0,"Crashed into woods while attempting to land. Both pilots tested positive for alcohol.  In addition, the pilot did not have enough sleep the night before and was not considered to be in satisfactory mental and physical condition to undertake the flight."</t>
  </si>
  <si>
    <t>01/19/1961,20:25,"New York, New York (Idlewild)",Aeronaves de Mexico,401,New York - Mexico City,McDonnell Douglas DC-8-21,XA-XAX,45432/105,106,97,9,4,0,4,0,"An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</si>
  <si>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01/22/1961,03:04,Midway Island Naval Air Station,Military - U.S. Navy,,Survey,Lockheed WV-2 Super Constellation,BU143193,4467,22,0,22,6,0,6,3,"While returning from an aborted barrier mission, the aircraft hit a seawall at end of short runway. The main landing geart was sheared off and the aircraft cartwheeled, slid into a vehicle, exploded and burned."</t>
  </si>
  <si>
    <t>01/24/1961,10:48,"Mt. Burangrang, Indonesia",Garuda Indonesia Airlines,424,Jakarta - Bandung,Douglas DC-3,PK-GDI,19672,21,16,5,21,16,5,0,The aircraft struck Mt. Burangrang . Attempt by the pilot to fly over mountainous terrain when unsure of his position and in weather conditions which severely restricted visibility.</t>
  </si>
  <si>
    <t>01/26/1961,03:30,"Trinity Bay, Newfoundland",Military - U.S. Air Force,,Kenitra - Lajes - Argentia - Norfork,Douglas C-118A Liftmaster,51-17626,43670,23,13,10,23,13,10,0,"While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</si>
  <si>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01/28/1961,12:20,"Off Montauk Point, New York",American Airlines,,Training,Boeing 707-123,N7502A,17629/8,6,0,6,6,0,6,0,"The aircraaft banked left, entered a dive and eventually crashed into the ocean five miles off shore."</t>
  </si>
  <si>
    <t>02/03/1961,23:55,"Off Surabaya, Indonesia",Garuda Indonesia Airlines,542,Surabaya - Balikpapan,Douglas DC-3,PK-GDY,13052,26,21,5,26,21,5,0,Disappeared while en route. The wreckage was never found. It is believed the aircraft crashed into the sea off the island of Madura.</t>
  </si>
  <si>
    <t>02/15/1961,10:05,"Near Brussels, Belgium",Sabena,548,New York City - Brussels,Boeing B-707-320,OO-SJB,17624/92,72,61,11,72,61,11,1,"The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</si>
  <si>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03/09/1961,15:00,"Near Caracas, Venezuela",Linea Aeropostal Venezolana,,San Antonio-Maiquetia,Douglas DC-3,YV-C-AZQ,19986,12,8,4,12,8,4,0,Crashed into the slope of a mountain while en route. Navigation error. Failure of the crew to follow the prescribed route. Flying VFR in IFR conditions.</t>
  </si>
  <si>
    <t>03/25/1961,,"Near Natal, Brazil",Military - Brazilian Air Force,,Rio de Janerio - Belem,Douglas C-47DL,C-47-2055,4473,28,22,6,23,21,2,0,Crashed while attempting to land.</t>
  </si>
  <si>
    <t>03/28/1961,20:08,"Forcheim, Germany",Ceskoslovenske Aerolinie,,Prague - Zurich,Ilyushin IL-18,OK-OAD,180002102,52,44,8,52,44,8,0,The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</si>
  <si>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04/03/1961,23:57,"Llico, Chile",LAN,210,Temuco - Santiago,Douglas DC-3,CC-CLD-P210,9716,24,20,4,24,20,4,0,The plane crashed into La Gotera Hill while on approach to Santiago. The official cause is unknown.  Icing suspected. All members of the Green Cross Chilean soccer team killed. Wreckage found 54 years after the accident.</t>
  </si>
  <si>
    <t>04/18/1961,18:10,"Mount Parker, Hong Kong",Military - US Air Force,,Hong Kong - Tainan AFB,C-47(DC-3),43-49014,26275/14830,15,12,3,14,11,3,0,The aircraft impacted Mount Parker shortly after taking off in foggy weather conditions.</t>
  </si>
  <si>
    <t>05/10/1961,01:12,"Ghadames, Algeria",Air France,406,"Fort Lamy, Chad - Marseilles, France",Lockheed 1649A Starliner,F-BHBM,1027,78,69,9,78,69,9,0,"While en route from Fort Lamy, Chad to Marseilles, France, the airliner crashed and burned in the Sahara Desert on the Algeria / Libya border. Detonation of a nitrocellulose bomb."</t>
  </si>
  <si>
    <t>05/24/1961,02:22,"Near Tacoma, Washington",Military - U.S. Air Force,,McChord - Lawton,Douglas C-124A-DL,51-0174,43508,22,16,6,22,16,6,0,"After a night takeoff, while climbing to a height of 500 feet, the airplane went out of control and crashed in a wooded area."</t>
  </si>
  <si>
    <t>05/29/1961,14:36,Singapore,Military - Royal Air Force,,Traing,Handley Page Hastings C-2,WD497,125,13,8,5,13,8,5,0,"Lost an engine, stalled and crashed."</t>
  </si>
  <si>
    <t>05/30/1961,01:20,"Near Lisbon, Portugal",KLM Royal Dutch Airlines,897,"Rome  - Lisbon -  Madrid - Santa Maria, Azores -Caracas",McDonnell Douglas DC-8-53,PH-DCL,45615,61,47,14,61,47,14,0,"Five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</si>
  <si>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06/12/1961,04:11,"Cairo, Egypt",KLM Royal Dutch Airlines,823,Rome - Cairo,Lockheed L-188C Electra,PH-LLM,2019,36,29,7,20,17,3,0,"Crashed into a hill  at night during the approach, 4 km short of the runway. Crew's neglect to cockpit duties. Pilot's inattention to his instruments."</t>
  </si>
  <si>
    <t>06/13/1961,19:33,"Douala, Cameroon",Air Cameroon,,Training,Douglas DC-4,TJ-ABC,7473,5,3,2,5,3,2,0,"After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</si>
  <si>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06/17/1961,22:23,"Near Kano, Nigeria",Continentale Deutsche Luftreederei,,Tripoli - Kano,Douglas C-54B-1-DC,D-ABEB,10530,7,5,2,1,1,0,0,"Error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</si>
  <si>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06/30/1961,20:57,"Buenos Aires, Argentina",Transcontinental,,Salta - Cordoba - Buenos Aires,Curtiss C-46A,LV-FTO,193,35,30,5,24,22,2,0,Crashed into a trees and telegraph poles on final approach.The pilot failed to follow the instrument approach procedures during the approach.</t>
  </si>
  <si>
    <t>07/08/1961,19:00,"	Sverdlovsk, Russia",Aeroflot,411,	Kazan - 	Sverdlovsk,Ilyushin IL-14P,CCCP-41848,6341706,26,21,5,9,4,5,0,The plane ran out of fuel and crash landed. Crew did not refuel at Kazan.</t>
  </si>
  <si>
    <t>07/10/1961,10:43,"Odessa, Ukraine, USSR",Aeroflot,381,Leningrad - Odessa,Tupolev TU-104B,CCCP-42447,921004,85,76,9,1,1,0,0,Hit apporach lights while trying to land in heavy rain.</t>
  </si>
  <si>
    <t>07/11/1961,11:36,"Denver, Colorado",United Air Lines,859,Omaha - Denver,McDonnell Douglas DC-8-12,N8040U,45307,122,115,7,17,17,0,1,"Following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</si>
  <si>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07/12/1961,01:29,"Casablanca, Morocco",Ceskoslovenske Aerolinie,511,Zurich - Rabat,Ilyushin IL-18B,OK-PAF,181002904,72,64,8,72,64,8,0,"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</si>
  <si>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07/19/1961,08:00,"Near Azul, Argentina",Aerolineas Argentinas,,Buenos Aires - Comodoro,Douglas DC-6,LV-ADW,43136,67,60,7,67,60,7,0,The aircraft disintegrated in flight following the application of loads in excess of the design loads. The aircraft entered an area of extreme turbulence and was struck by lightning.</t>
  </si>
  <si>
    <t>07/21/1961,02:11,"Shemya, Alaska",Alaska Airlines,,Seattle - Shemya AFB,Douglas DC-6A,N6118C,45243/919,6,0,6,6,0,6,0,"Undershot the runway by 200 feet, crashed and burned. Absence of approach and runway lights. Lack of guidance from air traffic controller during last stages of flight."</t>
  </si>
  <si>
    <t>08/06/1961,,"Budapest, Hungary",Malev Hungarian Airlines,,Sightseeing,Douglas DC-3,HA-TSA,20492,27,23,4,27,23,4,3,The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</si>
  <si>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08/09/1961,17:30,"Sola, Norway",Cunard Eagle Airways,,London - Sola,Vickers Viking 3B,G-AHPM,152,39,36,3,39,36,3,0,Crashed into a mountain18 nm northeast of Stravanger Airport.  Deviation from prescribed course. Cause unknown.</t>
  </si>
  <si>
    <t>08/23/1961,20:02,"Ankara, Turkey",Turkish Airlines THY,,Nicosia - Adana - Ankara,Curtiss C-46F,TC-TAY,10182,29,25,4,28,24,4,0,Crashed during approach. During the approach to the airport the aircraft was not in the normal pattern and was below the normal altitude.</t>
  </si>
  <si>
    <t>08/29/1961,18:22,"SondrestrÃ¶mfjord, Greenland",Eastern Provincial Airways,,,de Havilland Canada DHC-3 Otter,CF-MEX,,6,4,2,1,0,1,0,"An in-flight fire, initiated and sustained by a severe fuel leak. The fuel leak was caused by the locking of a carburetor drain plug to unscrew."</t>
  </si>
  <si>
    <t>09/01/1961,02:05,"Near Hinsdale, Illinois",Trans World Airlines,529,Pittsburgh - Chicago - Las Vegas - Los Angeles,Lockheed 049 Constellation,N86511,2035,78,73,5,78,73,5,0,The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</si>
  <si>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09/05/1961,,"Near Sendafar, Ethiopia",Ethiopian Airlines,,Addis Ababa - Asmara,Douglas DC-3,ET-T-16,13305,19,16,3,5,4,1,0,Malfunctioning propeller. The pilot tried to turn back for an emergency landing but  the plane stalled and crashed.</t>
  </si>
  <si>
    <t>09/06/1961,,"Concordia, SC, Brazil",REAL Transportes Aereos,,Sao Paulo - Concordia,Douglas C-47A (DC-3),PP-AVL,9886,4,0,4,4,0,4,NULL,"The aircraft crashed into high terrain, 1,500 meters short of the runway in adverse weather conditions. Probable cause: Continuation of visual filght in adverse weather conditions."</t>
  </si>
  <si>
    <t>09/06/1961,,"Cerro del Aernal, Costa Rica",Lineas AÃ©reas Costarricenses,,,Douglas DC-3,TI-1006C,4960,2,0,2,2,0,2,0,Cargo plane crashed.</t>
  </si>
  <si>
    <t>09/10/1961,03:55,"Shannon, Ireland",President Airlines,,Shannon - Gander,Douglas DC-6B,N90773,44058/365,83,77,6,83,77,6,0,The aircraft crashed into the Shannon River shortly after taking off in fog. Possible fault with the artificial horizon or aircraft's aileron tabs. Contributing factor was the weather and crew fatigue.</t>
  </si>
  <si>
    <t>09/12/1961,22:09,"Near Rabat, Morocco",Air France,2005,Paris - Rabat,Sud-Aviation Caravelle III,F-BJTB,068,77,71,6,77,71,6,0,"The aircraft crashed and burned while attempting to land at Sale Airport. With its landing gear down and flaps partially extended, the plane struck the ground in a slight nose-down attitude. Possible misread altimeter."</t>
  </si>
  <si>
    <t>09/17/1961,08:57,"Chicago, Illinois",Northwest Orient Airlines,706,Chicago - Tampa,Lockheed 188C  Electra,N137US,1142,37,32,5,37,32,5,0,"Takeoff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</si>
  <si>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09/17/1961,22:13,"Ndola, Zambia",Transair Sweden,,Leopoldville - Ndola,Douglas DC-6B,SE-BDY,43559,16,11,5,16,11,5,0,"The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</si>
  <si>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09/23/1961,18:02,"Ankara, Turkey",Turkish Airlines (THY),,Adana - Ankara,Fokker F-27 Friendship 100,TC-TAY,10182,29,25,4,28,24,4,0,"Crashed into high terrain on approach, 18 kms from Ankara Airport. The aircraft was not in a normal flying  pattern and below normal altitude."</t>
  </si>
  <si>
    <t>10/07/1961,02:00,"Mt. Canigou, France",Derby Aviation,,London - Perpignan,Douglas DC-3,G-AMSW,16171/32919,34,31,3,34,31,3,0,Crashed into Mt. Canigou while descending to land. Navigational error.</t>
  </si>
  <si>
    <t>10/10/1961,,"El Adem, Libya",Military - Royal Air Force,,El Adem - Luqa,Handley Page Hastings C-2,WD498,126,37,34,3,17,16,1,0,The plane stalled and crashed during takeoff.</t>
  </si>
  <si>
    <t>11/01/1961,02:15,"Near Recife, Brazil",Panair do Brasil,,Lisbon - Ilha do Sal - Recife,Douglas DC-7C,PP-PDO,44872,88,79,9,45,38,7,0,"The flight crashed into a hill during approach. Pilot error. Improper evaluation of distance, flying a non-standard traffic pattern by night and failing to observe altitude minima during the final approach."</t>
  </si>
  <si>
    <t>11/01/1961,14:26,"Les Prevosts, Guernsey",Silver City Airways,,Cherboug - Les Prevosts,Bristol 170 Freighter 31M,G-ANWL,13260,10,7,3,2,0,2,0,Failed to gain altitude after a missed approach and crashed. The malfunctioning of the automatic pitch coarsening unit of the starboard propeller. This deprived the captain of the necessary degree of control of the aircraft at a critical stage of the flight.</t>
  </si>
  <si>
    <t>11/08/1961,21:24,"Near Richmond, Virginia",Imperial Airways,201/8,Baltimore - Columbia SC,Lockheed C-69 Constellation,N2737A,1976,79,74,5,76,74,2,0,"Flown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</si>
  <si>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11/11/1961,,Off Puerto Rico,Air Haiti International,,"San Juan, PR - Managua",Lockheed L-749A Constellation,HH-ABA,2615,3,0,3,3,0,3,0,Went missing en route in the Caribbean Sea.</t>
  </si>
  <si>
    <t>11/21/1961,11:55,"Mt Ruapehu, North Island, New Zealand",Bay of Plenty Airways,92, Wellington - Rotorua - Tauranga.,Aero Commander 680F,ZK-BWA,437-109,6,5,1,6,5,1,0,"The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</si>
  <si>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11/22/1961,," Harare, Zimbabwe",Rhodesian Air Services,,Salisbury - Livingstone - Elizabethville,NULL,VP-YRX,19351,3,0,3,3,0,3,0,"The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</si>
  <si>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11/23/1961,05:40,"Campinas, Brazil",Aerolineas Argentinas,,Sao Paulo - Trinidad,de Havilland Comet 4,LV-AHR,06430,52,40,12,52,40,12,0,"After reaching an altitude of about 100 m, the aircraft lost altitude, collided with a eucalyptus forest and was destroyed. Pilot error. Failure to operate under IFR in adverse weather conditions at night. Failure to follow the climb procedure."</t>
  </si>
  <si>
    <t>11/23/1961,,Sao TomÃ©,Military - ForÃ§a AÃ©rea Portuguesa,,,Douglas C-54 Skymaster,,,35,NULL,NULL,21,NULL,NULL,0,</t>
  </si>
  <si>
    <t>11/30/1961,19:25,"Sydney, NSW, Australia",Ansett ANA,,Sydney - Canberra,Vickers Viscount 720,VH-TVC,046,15,11,4,15,11,4,0,"Crashed 9 minutes after taking off, into Botany Bay, 3 miles south of the airport . In-flight structural failure due to turbulence."</t>
  </si>
  <si>
    <t>12/04/1961,12:30,"Mainz, Germany",Lufthansa,,Training,Boeing 720-030B,D-ABOK,18058/202,3,0,3,3,0,3,0,Crashed into an open field in a steep dive after attempting an emergency landing.</t>
  </si>
  <si>
    <t>12/12/1961,08:45,"Chievres, Belgium",Military - Belgian Air Force,,,Fairchild C-119G / Fairchild C-119,CP-23 / CP-25,10951/ 11082,13,0,13,13,0,13,8,Midair collision between two C-119s.</t>
  </si>
  <si>
    <t>12/15/1961,11:00,"Managua, Nicaragua",Lanica,,Managua - Miami,Curtiss C-46,AN-AOE,,2,0,2,2,0,2,0,The cargo plane cashed while attempting to land. Shifting cargo.</t>
  </si>
  <si>
    <t>12/17/1961,16:00,"Near Chebotovka, Russia",Aeroflot,245,Moscow - Adler,Ilyushin IL-18B,CCCP-75654,188000503,59,50,9,59,50,9,0,The plane made an unconcrolled dive and crashed into a snow covered field. The flight engineer inadvertently caused the flaps to be selected to 40 degrees.</t>
  </si>
  <si>
    <t>12/21/1961,23:34,"Ankara, Turkey",British European Airways,,Ankara - Nicosia,de Havilland Comet 4B,G-ARJM,06456,34,27,7,27,20,7,0,"Shortly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</si>
  <si>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12/24/1961,10:50,"Old Harbor, Kodiak Island, Alaska",Kodiak Airways,,Old Harbor - Kaguyak,Grumman G-21A Goose,N1503V,1020,5,4,1,1,1,0,0,Crashed shortly after initial lift-off while making a water takeoff from Old Harbor. Improperly executed takeoff   which resulted in an inadvertent descent into the water. This produced a high-speed low-angle porpoising from which the pilot was unable to recover.</t>
  </si>
  <si>
    <t>12/29/1961,,"Surabaya, Indonesia",Garuda Indonesia Airlines,,Jakarta -Surabaya,Douglas DC-3,PK-GDZ,12514,14,NULL,NULL,14,NULL,NULL,0,"On approach to Surabaya Airport, the plane struck a mountain."</t>
  </si>
  <si>
    <t>12/31/1961,17:58,"Near Mineral Waters, Russia",Aeroflot,,Tbilisi - Mineral Waters,Ilyushin IL-18B,CCCP-75757,181003202,119,110,9,32,30,2,0,The plane crashed about 3 km southwest of the airport on a second attempt to land at Mineral Waters. Inattention of the crew due to unnecessary interactions among the crew.</t>
  </si>
  <si>
    <t>01/13/1962,,"Near Tippi, Ethiopia",Ethiopian Airlines,,Tippi - Jimma,Douglas DC-3,ET-T-1,10053,18,15,3,5,3,2,1,Swerved off the runway while taking off and struck a structure.</t>
  </si>
  <si>
    <t>01/22/1962,15:16,"Caranavi ,Bolivia",Corporacion Boliviano de Fomento,,,Curtiss C-46D,CP-541,33579,6,2,4,6,2,4,0,"The cargo plane's right wing tip struck a wall and then the plane crashed into a tree. Pilot error in failing to discontinue takeoff, even after the right wing tip hit the well and broke off, while the aircraft was on the ground during the takeoff run."</t>
  </si>
  <si>
    <t>01/27/1962,18:17,"Batataevka, USSR",Aeroflot,,Training,Antonov AN-10A,CCCP-11148,	 9400801,14,0,14,13,0,13,0,"Crashed on take off due to engine failure. The No..4 propeller did not feather and the airplane banked to the right, lost speed and crashed."</t>
  </si>
  <si>
    <t>02/04/1962,10:05,"Near Tino Maria, Peru",Faucett,,Huanuco - Pucallpa,Douglas DC-3,OB-PBH-530,7331,18,15,3,18,15,3,0,"While flying at FL 150, the pilot radioed he was returning to Huanuco because of bad weather. Soon after, the plane was seen spiraling towards the ground and witnesses heard the engines accelerate before the aircraft hit a hill. Separation of the left elevator in flight."</t>
  </si>
  <si>
    <t>02/25/1962,,"Portlamar, Margarita Island, Venezuela",Avensa,,Porlamar - Cumana,Fairchild F-27,YV-C-EVH,0012,23,20,3,23,20,3,0,"Approximately 10 minutes after takeoff , for a scheduled flight to Cumana, the aircraft crashed into the San Juan Mountains."</t>
  </si>
  <si>
    <t>02/25/1962,14:35,"Municipio de Marulanda, Colombia",Avianca,,Manizales - Bogota,Douglas C-47A,HK-502,19653,2,0,2,2,0,2,0,"After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</si>
  <si>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03/01/1962,10:09,"Jamaica Bay, New York, New York",American Airlines,1,New York City - Los Angeles,Boeing B-707-123B,N7506A,17633/12,95,87,8,95,87,8,0,"After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</si>
  <si>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03/04/1962,18:20,"Douala, Cameroon",Caledonian Airways,153,Douala - Lisboa,Douglas DC-7C,G-ARUD,45160/754,111,101,10,111,101,10,0,The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</si>
  <si>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03/06/1962,14:15,"Near Seymour, South Africa",South African Airways,512,Grahamtown - Queentown,Douglas DC-3,ZS-DJC,16189/32937,7,3,4,2,0,2,0,"Crashed into a mountain. Error in judgement by the pilot-in-command who attempted a low visual flight, beneath the cloud base, near mountains, in deteriorating weather conditions."</t>
  </si>
  <si>
    <t>03/08/1962,23:00,"Rome, Italy",Societa Aerea Mediterranea,,Khartoum - Rome,Douglas DC-6B,I-DIMO,44254/456,5,0,5,5,0,5,0,The cargo plane crashed into Mt. Velino while en route.  Premature descent on part of the crew.</t>
  </si>
  <si>
    <t>03/08/1962,17:30,"Near Alencon, France",Military - U.S. Air Force,,Training exercise,Lockheed C-130A Hercules,55-0020,3047,15,13,2,15,13,2,0,The transport was taking part in a parachute drop mission with five other aircraft when it crashed.</t>
  </si>
  <si>
    <t>03/08/1962,17:43,"Mt. Medetsiz, Turkey",Turkish Airlines (THY),,Ankara - Adana,Fairchild F-27,TC-KOP,0083,11,8,3,11,8,3,0,"Crashed into a mountain at an altitude of 6,800 ft. while en route in poor weather. In avoiding cumulus clouds and turbulent conditions the pilot was not able to keep track of his exact position or maintain exact altitude."</t>
  </si>
  <si>
    <t>03/15/1962,00:30,"Western Pacific Ocean, Philippine Sea",Flying Tiger Line,739/14,"Travis AFB - Honolulu - Agana, Guam - Clark AFB -Saigon",Lockheed 1049H Super Constellation,N6921C,4817,107,96,11,107,96,11,0,"Lost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</si>
  <si>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03/15/1962,01:14,"Adak, Alaska",Flying Tiger Line,7816,"Cold Bay, AK - Adak, AK",Lockheed 1049H Super Constellation,N6911C,4804,7,0,7,1,0,1,0,"Crashed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</si>
  <si>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03/20/1962,20:30,Algeria,Military - French Air Force,,Ouargla - Boufarik,Nord 2501 Noratlas,204,204,11,8,3,11,8,3,0,"While approaching Boufarik AFB by night and poor weather conditions, the plane struck the slope of a mountain located near Col des Deux Bassins, about 38 km southeast of Boufarik Airfield."</t>
  </si>
  <si>
    <t>03/27/1962,17:45,"Santiago de Cuba, Cuba",Cubana de Aviacion,,Santiago de Cuba - Havana,Ilyushin IL-14,CU-T819,,22,18,4,22,18,4,0,Crashed shortly after takeoff into the sea 1 mile offshore and sank. The weather was clear.</t>
  </si>
  <si>
    <t>04/06/1962,15:00,"Near Villavicencio, Colombia",Military - Colombian Air Force,,Bogota - Araracuara - Villavicencio,Douglas C-47,FAC-563,,31,26,5,31,26,5,0,"Due to winds, the aircraft was 10 degrees off course as it prepared to land at Villavicencio and crashed into a 11,500 ft. mountain."</t>
  </si>
  <si>
    <t>04/19/1962,,Near Hong Kong,Military - U.S. Air Force,,Hong Kong - Formosa,Douglas C-47,,,16,10,6,15,10,5,0,Crashed into a fog-shrouded mountain minutes after taking off from Hong Kong airport.</t>
  </si>
  <si>
    <t>04/22/1962,10:45,"Serrania del Baudo, Colombia",AVISPA,,Bahia Solano - Quibdo,Douglas C-47A-1,HK-524,12075,40,36,4,40,36,4,0,"Nothing was heard from the aircraft after departing Bahia Solano. The wreckage was found 4 days later, 31 miles from the airport on Bonito Peak at an elevation of 2,400ft."</t>
  </si>
  <si>
    <t>05/06/1962,13:29,"	St. Boniface Down, England",Channel Airways,,"Jersey, Channel Islands - Portsmouth, England",Douglas C-47A,G-AGZB,12180,18,15,3,12,9,3,0,"The plane descended to 1,000 ft while approaching Portsmouth in low clouds and drizzle and stuck St. Boniface and bust into flames. Pilot error. Crew flew below minimum safe altitude."</t>
  </si>
  <si>
    <t>05/08/1962,,"Near Mong Pa Liao, Burma",Military - Union of Burma Air Force,, Tachilek - Mandalay,Douglas C-47,UB-BG-707,,32,28,4,32,28,4,0,The plane crashed and burned in a ravine after experiencing engine failue minutes after taking off.</t>
  </si>
  <si>
    <t>05/09/1962,19:30,"Vitoria, Brazil",Cruzeiro,,Rio de Janerio - Vitoria,Convair CV-240-0,PP-CEZ,025,25,22,3,23,20,3,0,Crashed into trees short of the runway while on approach. Approach not carried out in accordance with company procedures and misjudgement of his distance from the runway.</t>
  </si>
  <si>
    <t>05/12/1962,10:55,"Godthaab, Greenland",East Provincial Airways,,Sondre Stromfjord - Godthab,Consolidated Catalina,CF-IHA,CV-365,21,18,3,15,15,0,0,"While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</si>
  <si>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05/15/1962,,"Near Cairo, Egypt",United Arab Airlines,,"Cairo, Egypt  - Beirut, Lebanon",Douglas DC-3,SU-AJM,,3,0,3,3,0,3,0,The cargo plane crashed shortly after taking off.</t>
  </si>
  <si>
    <t>05/17/1962,,"Near Nairobi, Kenya",Military - U.S. Air Force,, Tripoli - Nairobi,Lockheed C-130A Hercules,56-0546,3154,13,7,6,13,7,6,0,Struck a mountain in poor weather conditons.</t>
  </si>
  <si>
    <t>05/22/1962,11:40,"Near Markt Schwaben, West Germany",Military - U.S. Navy,,,Lockheed C121J,131390,4310,26,22,4,26,22,4,0,"After departing Rhein-Main Air Base, the pilot sent a distress message requesting an emergency landing.  Soon after, the aircraft disintegrated losing it's left wing. Some sort of undetermined emergency led to explosive decompression which led to the destruction of the plane."</t>
  </si>
  <si>
    <t>05/22/1962,21:21,"Near Unionville, Missouri",Continental Airlines,11,"Chicago - Kansas City, MO",Boeing B-707-124,N70775,17611/49,45,37,8,45,37,8,0,"While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</si>
  <si>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05/24/1962,18:53,"Bitter, Russia",Aeroflot,56,Bitter - Moscow,Li-2,CCCP-54997,23443509,21,17,4,20,16,4,0,The plane lost an engine on take off and crashed 7 km southeast of the Airport.</t>
  </si>
  <si>
    <t>06/03/1962,12:35,"Villeneuve-le-Roi, Val-de-Marne, France",Air France,007,Paris - New York City,Boeing B-707-328,F-BHSM,17920/159,132,122,10,130,122,8,0,"During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</si>
  <si>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06/04/1962,05:33,"Sofia, Bulgaria",Aeroflot,,Sofia - Moscow,Tupolev Tu-104B,CCCP-42491,021604,5,0,5,5,0,5,0,The cargo plane struck a mountain after losing an engine.</t>
  </si>
  <si>
    <t>06/22/1962,04:01,"Basse-Terre, Guadaloupe, West Indies",Air France,117,Paris - Pointe-a Pitre - Santaigo,Boeing B-707-328,F-BHST,18247/274,112,102,10,112,102,10,0,"The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</si>
  <si>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06/28/1962,,"Near Adler, Russia",Aeroflot,,Lvov - Sochi,Antonov AN-10A,CCCP11186,,81,74,7,81,74,7,0,The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</si>
  <si>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06/30/1962,20:53,"Near Krasnoyarsk, USSR",Aeroflot,902,Irkutsk - Omsk,Tupolev TU-104A,CCCP-42370,86601301,84,76,8,84,76,8,0,The aircraft went into an uncontrollable dive from FL 290.</t>
  </si>
  <si>
    <t>07/06/1962,12:15,"Near Tashkent, Uzbekistan, USSR",Aeroflot,40,Bukhara - Tashkent,Ilyushin IL-14,CCCP-91554,	147001216,38,33,5,11,11,0,0,"The crew reported losing the right engine. The plane lost altitude as the crew tried to make it to Tashkent. The aircraft  crashed into a cotton field, broke in three and caught fire."</t>
  </si>
  <si>
    <t>07/07/1962,00:10,"Near Junnar, Maharashtra, India",Alitalia,771,Bangkok - Bombay,McDonnell Douglas DC-8-43,I-DIWD,45631/160,94,85,9,94,85,9,0,"The aircraft crashed into a hill near Bombay, India, at an elevation of 3,600 ft. 50 miles ENE of the airport. Navigational error.  Premature descent. Crew did not use navigational facilities available."</t>
  </si>
  <si>
    <t>07/09/1962,23:42,"Off Brindisi, Italy",Trans Mediterranean Airways,,,Douglas DC-4,OD-AEC,42918,6,0,6,6,0,6,0,"The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</si>
  <si>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07/15/1962,,"Near Lahore, Pakistan",Indian Airlines,,"Kabul  - Amritsar, India",Douglas C-47A,VT-AUS,20289,3,0,3,1,0,1,0,A vulture crashed through the cockpit window and killed the copilot.</t>
  </si>
  <si>
    <t>07/16/1962,,"Near Loheshyphn, India",Kalinga Airlines,, Jorhat - Jorhat,Douglas C-47,VT-DFZ,4647,9,6,3,9,6,3,0,"En route, he encountered poor weather conditions and the airplane entered a narrow valley in low visibility. The pilot realized the situation and attempted a sharp turn to return when the airplane stalled, struck the ground and crashed.."</t>
  </si>
  <si>
    <t>07/19/1962,15:45,"Near Bangkok, Thailand",United Arab Airlines,869,Hong Kong - Bangkok,de Havilland Comet 4C,SU-AMW,06464,26,18,8,26,18,8,0,"Crashed into a jungle on the side of a mountain, 52 nm from the Bangkok airport while on approach. Premature descent. Navigational error."</t>
  </si>
  <si>
    <t>07/22/1962,23:19,"Honolulu, Hawaii",Canadian Pacific Air Lines,323,"Honolulu - Nadi, Fiji",Bristol Britannia 314,CF-CZB,13394,40,29,11,27,20,7,0,"Shortly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</si>
  <si>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07/28/1962,15:41,"Sochi, Russia",Aeroflot,415,Lviv - Simferopol - Sochi,Antonov An-10A,CCCP-11186,0402003,81,74,7,81,74,7,0,"Struck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</si>
  <si>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07/30/1962,,"Coulommiers, France",Air France,,Training,Douglas DC-3,F-BAOE,11769,8,0,8,4,0,4,0,"After rotation, the airplane encountered difficulties in gaining height and struck a truck with one of its wing."</t>
  </si>
  <si>
    <t>08/01/1962,13:15,"Near Kathmandu, Nepal",Royal Nepal Airlines,,Katmandu - New Deli,Douglas DC-3,9N-AAH,6216,10,6,4,10,6,4,0,"Crashed into a 11,200 ft. mountain, 100 miles from New Deli. Dirfted off course to the north of the intended track."</t>
  </si>
  <si>
    <t>08/20/1962,22:08,"Rio de Janeiro, Brazil",Panair do Brazil,,Rio de Janeiro - Lisbon,McDonnell Douglas DC-8-33,PP-PDT,45273/121,105,94,11,15,14,1,0,Rejected takeoff. Overran runway into the sea. Incorrect stabilizer setting. Stablizer setting changed from nose-up to nose-down position. Delayed decision to abort takeoff.</t>
  </si>
  <si>
    <t>08/23/1962,15:57,"Barrancabermeja, Colombia",Taxader Airlines,,Berranca Bermeja - Bucaramanga,Douglas DC-3,HK-794,4551,32,29,3,20,18,2,0,"While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</si>
  <si>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08/24/1962,,"Cerro Puena Paz, Peru",Faucett,,,Douglas DC-3,OB-PBN-659,25839,9,6,3,9,6,3,0,Crashed into the jungle near San Ramon.</t>
  </si>
  <si>
    <t>09/03/1962,16:55,"Yanoyaki, Japan",Military - Japan Maritime Self Defense Force,,,Lockheed P2V-7,KA-4628,,12,0,12,12,0,12,1,"On a disaster relief mission, the plane clipped tree tops and crashed."</t>
  </si>
  <si>
    <t>09/03/1962,04:52,"Near Khabarovsk, USSR",Aeroflot,3,Khabarovk - Petropavlovsk,Tupolev TU-104A,CCCP-42366,86601103,86,79,7,86,79,7,0,The airliner crashed and burned 10 minutes after taking off from Khabarovsk Airport.The crew reported that they were experiencing shaking and uncontrollable roll and yaw.</t>
  </si>
  <si>
    <t>09/04/1962,21:00,"Near Lake Milton, Ohio",Private - Ashland Oil Company,, Buffalo - Ashland,Lockheed 18 Lodestar,N1000F,2463,13,11,2,13,11,2,0,"The aircraft lost its right wing in flight, crashed and burned in a field. Malfunction of the electric elevator trim tab unit which resulted in aircraft uncontrollability and subsequent structural failure of the wing."</t>
  </si>
  <si>
    <t>09/10/1962,09:10,"Brno, Czechoslovakia",Ceskoslovenske Aerolinie,,Bratislava - Brno,Avia 14,OK-MCT,90807103,34,31,3,11,8,3,0,Crashed on approach.</t>
  </si>
  <si>
    <t>09/10/1962,11:05,"Near Milan, Washington",Military - U.S. Air Force,,Ellsworth AFB - Fairchild AFB,Boeing KC-135A,60-0352,18127,44,40,4,44,40,4,0,Crashed into a fog shrouded wooded ravine in broken overcast  while attempting to land at Fairchild Air Force Base. Navigational error.</t>
  </si>
  <si>
    <t>09/10/1962,11:05,"Near Alcoche, Bolivia",Aerolineas Abaroa,,Caranavi - Rurrenabaque,Douglas C-47A,CP-710,20230,4,2,2,4,2,2,0,"The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</si>
  <si>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09/18/1962,06:32,"Yakut, Russia",Aeroflot,213,Chersky - Bilibino,Aeroflot,CCCP-61628,146000929,32,27,5,32,27,5,0,Collided with a mountain while en route. Crew error. Flew below minimums into a cloud covered mountainous area.</t>
  </si>
  <si>
    <t>09/21/1962,,"Sela Pass, India",Kalinga Airlines,,,Douglas C-47A,VT-DGX,12142,8,5,3,8,5,3,0,"While en route in bad weather conditions, the airplane struck the slope of a mountain located in the region of the Sela Pass."</t>
  </si>
  <si>
    <t>09/23/1962,21:00,North Atlantic Ocean,Flying Tiger Line,923,"Gander, Newfoundland - Frankfurt, Germany",Lockheed 1049H-82 Super Constellation,N6923C,4827,76,68,8,28,23,5,0,"A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</si>
  <si>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10/10/1962,08:57,"Brno, Czechoslovakia",Czechoslovak Airlinex,306,Bratislava - Brno,Avia 14,OK-MCT,908 071 03,42,38,4,13,10,3,0,"On final, the airplane struck the top of a hill and crashed by a house located near the village of Slavkov, about 6 km from the runway 28 threshold."</t>
  </si>
  <si>
    <t>10/10/1962,18:30,"Bagotville, Quebec, Canada",Trans Canada Air Lines,,	Sept-ÃŽles- Bagotville,Vickers 757 Viscount,CF-THA,218,19,15,4,2,1,1,0,"Collided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</si>
  <si>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10/12/1962,,"Near Carmona, Spain",Iberia Airlines,,Madrid - Barcelona - Valencia - Seville,Convair CV-440 -62,EC-ATB,443,18,14,4,18,14,4,0,"While on final approach to Seville-San Pablo Airport, the crew was able to send a brief mayday message, reporting that the aircraft caught fire. Shortly later, the airplane went out of control and crashed onto a hill located 4 km short of runway threshold."</t>
  </si>
  <si>
    <t>10/12/1962,,"Manila, Philippines",Philippine Air Lines,,Training,Fokker F-27 Friendship 100,PI-C503,10191,3,0,3,3,0,3,0,Crashed while practicing take offs and landings.</t>
  </si>
  <si>
    <t>10/19/1962,20:52,"Windsor Locks, Connecticut",Allegheny Airlines,928,"Washington D.C. - Providence, RI",Convair CV-340/440,N8415N,125,52,48,4,1,0,1,0,"Following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</si>
  <si>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10/25/1962,10:33,"Near Moscow, Russia",Aeroflot,,Maintenance flight,Tupolev TU-104B,CCCP-42495,021703,11,6,5,11,6,5,0,Crashed on takeoff on a test flight. Rudder controls improperly installed.</t>
  </si>
  <si>
    <t>11/10/1962,14:37,"Near Tourane, South Vietnam",Air Vietnam (South Vietnam),,Hue - Da Nang,Douglas DC-3,XV-NID,16074/3282,27,24,3,27,24,3,0,"Crashed into 1,800 ft. mountain, 12 miles from the Da Nang airport. Navigational error in poor weather conditions."</t>
  </si>
  <si>
    <t>11/19/1962,,"Near Nagoya, Japan",All Nippon Airways,,Training,Vickers 828 Viscount,JA8202,444,4,0,4,4,0,4,0,"Made a sharp turn, nosed up and hit the ground."</t>
  </si>
  <si>
    <t>11/23/1962,,Sao TomÃ© &amp; Principe,Military - Portuguese Air Force,,,Douglas C-54D,7502,10773,37,NULL,NULL,23,NULL,NULL,0,Crashed while taking off in a storm.</t>
  </si>
  <si>
    <t>11/23/1962,14:10,"Le Bourget, France",Malev Hungarian Airlines,355,Frankfurt - Paris,Ilyushin IL-18D,HA-MOD,180002002,21,13,8,21,13,8,0,"Stalled and crashed during approach, 0.5 miles from the outer marker. Cause undetermined."</t>
  </si>
  <si>
    <t>11/23/1962,12:24,"Ellicott City, Maryland",United Air Lines,297,Newark - Washington D.C.,Vickers Viscount 745D,N7430,128,18,14,4,18,14,4,0,"The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</si>
  <si>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11/26/1962,12:09,"Paraibuna, Brazil",VASP / Private,,Sao Paulo - Rio de Janeiro,Saab Scandia / Cessna 310,PP-SRA,107,26,21,5,26,21,5,0,"Midair collision with a Cessna at 2,400 m. Twenty-three killed on the Saab, three on the Cessna. Both pilots failed to maintain adequate lookouts for other aircraft."</t>
  </si>
  <si>
    <t>11/27/1962,03:40,"Lima, Peru",Varig,810,Porto Alegre - Lima,Boeing B-707-441,PP-VJB,17906/129,97,80,17,97,80,17,0,"After initiating an overshoot procedure, at the suggestion of the control tower, because it was too high, the aircraft proceded to start another approach when it crashed into La Cruz Peak. Possible misinterpretation of navigation instruments."</t>
  </si>
  <si>
    <t>11/30/1962,21:45,"New York, New York",Eastern Air Lines,512,Charlotte - New York City,Douglas DC-7B,N815D,45084/711,51,45,6,25,21,4,0,"The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</si>
  <si>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12/06/1962,17:00,"Barrancabermeja, Colombia",Taxader Airlines,209,Bucaramanga - Barrancabermeja,Douglas C-47,HK-437E,4697,26,23,3,24,21,3,0,Crashed in heavy rain while en route. Pilot error. Flight under VFR in IFR conditions.</t>
  </si>
  <si>
    <t>12/14/1962,02:19,"Near Manaus, Brazil",Panair do Brasil,,Belem - Manaus,Lockheed 049-46-21 Constellation,PP-PDE,2047,50,43,7,50,43,7,0,"Crashed 9 miles short of its destination. Cause unknown. The aircraft was named ""Estevao Ribeiro Baiao Parente."""</t>
  </si>
  <si>
    <t>12/14/1962,22:12,"Burbank, California",Flying Tiger Line,183,Chicago - Burbank,Lockheed 1049H Super Constellation,N6913C,4810,5,3,2,5,3,2,3,The aircraft crashed during an ILS approach to Burbank Airport. Incapacitation of the captain with a heart attack at a critical point in the approach from which the co-pilot could not recover.</t>
  </si>
  <si>
    <t>12/19/1962,19:30,"Warsaw, Poland",LOT Polish Airlines,,Berlin - Warsaw,Vickers Viscount 804,SP-LVB,395,33,28,5,33,28,5,0,Stalled and crashed 8 miles from the threshold after being struck by lightning.</t>
  </si>
  <si>
    <t>12/20/1962,,"Kadena AB, Okinawa",Military - U.S. Air Force,,,KB-50,,,12,NULL,NULL,12,NULL,NULL,0,"Twelve killed, including civilians. Two civilian houses burnt."</t>
  </si>
  <si>
    <t>12/22/1962,01:00,"Near Brasilia, Brazil",Varig,,Rio de Janeiro - Brasilia,Convair CV-240-2,PP-VCQ,103,40,35,5,1,0,1,0,"Crashed short of the runway, striking trees. The aircraft descended below the prescribed altitude for undetermined reasons."</t>
  </si>
  <si>
    <t>12/28/1962,10:55,"Rotterdam, The Netherlands",Carvair ATL-98,,"Southend, England - Rotterdam, The Netherlands",Channel Air Bridge,G-ARSF,18339,18,14,4,1,0,1,0,"The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</si>
  <si>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12/29/1962,01:11,"Monte Renoso, Corsica, France",Air Nautic,,Bastia - Ajaccio,Boeing B307-1 Stratoliner,F-BELZ,2001,25,22,3,25,22,3,0,"Crashed into Mt. Renoso at 7,450 ft. Crew fatigue. Inadequate preparation for the flight. Entered cruise at a high rate of speed. Navigational errors. Failed to maintain safe altitude. Decent started prematurely."</t>
  </si>
  <si>
    <t>01/14/1963,08:41," Tazovskoye, Russia",Aeroflot,,Tazovskoye - Salekhard,Lisunov LI-2,CCCP-71186,184 293 09,25,21,4,12,8,4,0,"After the takeoff roll, the pilot pulled up and started the rotation when the aircraft banked right and crashed. The flight was dispatched despite the fact that the visibility and weather conditions were below minima at the time of the accident."</t>
  </si>
  <si>
    <t>01/15/1963,16:12,"Sao Paulo, Brazil",Cruzeiro,403, Rio de Janeiro - SÃ£o Paulo,Convair CV-240-0,PP-CEV,006,45,40,5,6,5,1,7,The crippled airliner crashed into houses and burst into flames as it was coming in for an emergency landing in steady rain. Control was lost while attempting a go around manoeuvre due top the failure of the left engine.</t>
  </si>
  <si>
    <t>01/17/1963,15:53,"Great Salt Lake, Utah",West Coast Airlines,703,Training,Fairchild F-27,N2703,6,3,0,3,3,0,3,0,Crashed into the Great Salt Lake while practicing an emergency decent during training. Crews lack of vigilance for undetermined reason.</t>
  </si>
  <si>
    <t>01/26/1963,,"Kotzebue, Alaska",Skyvan Airways,,Kotzebue - Cape Lisburne,Curtiss C-46F,N67933,22380,2,0,2,1,0,1,0,The cargo plane crashed after a go-around was attempted.  An uncontrollable loss of altitude caused by adverse wind conditions during an attempted go-around.</t>
  </si>
  <si>
    <t>01/29/1963,22:44,"Kansas City, Missouri",Continental Airlines,290,"Midland, TX - Kansas City, MO",Vickers Viscount 812,N242V,356,8,5,3,8,5,3,0,"While making a straight in approach, the aircraft continued flying over the runway to the south end and while at a height of 90 feet, suddenly pitched down and struck the ground. Icing of the horizontal stabilizer which led to loss of pitch control."</t>
  </si>
  <si>
    <t>01/30/1963,02:00,"Off Patuxent River, Maryland",Military - U.S. Navy,,Training,Lockheed P-3A Orion,149672,5013,14,0,14,14,0,14,0,"Crashed en route into the ocean, 231 miles east of Atlantic City, New Jersey.."</t>
  </si>
  <si>
    <t>02/01/1963,17:15,"Ankara, Turkey",Middle East Airlines / Military - Turkish Air ForceC-47,265,Nicosia - Ankara,Vickers Viscount 754D / Douglas C-47,OD-ADE/ CBK-28,244/?,17,11,6,17,11,6,87,"Midair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</si>
  <si>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02/03/1963,12:07,"San Francisco, California",Slick Airways,40,Norfolk - Dallas - China Lake,Lockheed 1049H Super Constellation,N9740Z,4851,8,5,3,4,2,2,0,"The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</si>
  <si>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02/08/1963,17:37,"Syktyvkar ,Russia",Aeroflot,,Training,Antonov An-10A,CCCP-11193,0402104,7,0,7,7,0,7,0,The plane stalled and crashed.</t>
  </si>
  <si>
    <t>02/12/1963,13:48,"Near Miami, Florida",Northwest Orient Airlines,705,Miami - Chicago,Boeing B-720-051B,N724US,18354/224,43,35,8,43,35,8,0,"The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</si>
  <si>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02/28/1963,21:29,"Boston, Massachusetts",Eastern Air Lines,,,Douglas DC-7,N842D,454448/944,26,21,5,0,0,0,1,"With engines idling, a girl ran into the No. 2 propeller despite warnings of ramp personnel. Suicide."</t>
  </si>
  <si>
    <t>03/02/1963,10:02,"Near Davao City, Philippines",Philippine Air Lines,984,Cotabato - Davao,Douglas DC-3,PI-C489,16115/32863,27,24,3,27,24,3,0,"Crashed into Mt. Boca during descent for landing. Limited visibility, crosswinds contributing to navigational error."</t>
  </si>
  <si>
    <t>03/05/1963,19:35,"Ashgabat, Turkmenistan",Aeroflot,191,	Krasnovodsk - Ashgabat,Ilyushin IL-18V,CCCP-75765,181003404,54,43,11,12,4,8,0,Crashed 200 m short of the runway threshold in a dust storm.  The plane broke apart and caught fire. Crew error. Attempted to land below weather minimums.</t>
  </si>
  <si>
    <t>03/05/1963,18:20,"Camden, Tennesee",Private,-,Kansas City - Dyersburg - Nashville,Piper PA-24-250 Comanche,N7000P,24-2144,4,3,1,4,3,1,0,"The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</si>
  <si>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03/15/1963,13:55,"Near Tacora, Volcano, Peru",Lloyd Aereo Boliviano,915,Arica - La Paz,Douglas DC-6B,CP-707,43547/204,39,36,3,39,36,3,0,"Struck 14,250 ft. Chachacomani Peak. Flight under VFR in IFR conditions in marginal weather conditions with severe turbulence."</t>
  </si>
  <si>
    <t>03/15/1963,05:40,"Near Karai, Iran",Middle East Airlines,,Tehran - Beirut,Avro 685 York C1,OD-ACZ,1218,4,0,4,4,0,4,0,The cargo plane crashed after experiencing engine trouble.</t>
  </si>
  <si>
    <t>03/20/1963,03:23,"Monte Matto, Italy",Saudi Arabian Royal Flight,,Geneva - Nice,de Havilland Comet 4C,SA-R-7,06461,18,9,9,18,9,9,0,Tthe airplane struck the slope of Mt Matto located 28 km southwest of Cuneo.</t>
  </si>
  <si>
    <t>03/23/1963,11:00,"Misaki Mountain, Japan",Military - Japan Air Self Defense Force,,,H-21B,,,10,0,10,10,0,10,0,</t>
  </si>
  <si>
    <t>03/30/1963,18:37,"Near Sora, Italy",Itavia,703,Pescara - Rome,Douglas DC-3,I-TAVI,16477/33225,11,8,3,11,8,3,0,"Crashed into Monte Vale Rotonote, 53 miles southeast of Rome, where the plane was scheduled to land.  Navigation error. Descending too low in order to maintain visual contact with the ground. Poor weather conditions. Failure to notify ATC of the changes made during the flight."</t>
  </si>
  <si>
    <t>04/04/1963,04:30,"Tatarstan, Russia",Aeroflot,25,Moscow - :	Krasnoyarsk,Ilyushin IL-18,	 CCCP-75866,183005901,67,59,8,67,59,8,0,"Crashed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</si>
  <si>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04/14/1963,12:18,"Oslo, Norway",Icelandair,,Copenhagen - Oslo,Vickers Viscount 759D,TF-ISU,149,12,7,5,12,7,5,0,"Crashed on approach, 6 km west of the runway. Possible icing of the stabilizer."</t>
  </si>
  <si>
    <t>05/03/1963,19:40,"Sao Paulo, Brazil",Cruzeiro,,Sao Paulo - Rio de Janeiro,Convair CV-340-59,PP-CDW,159,50,45,5,37,33,4,0,"The aircraft returned to airport after the No. 2 caught fire. The crew feathered the prop, made a left turn, stalled and crashed into a house. Improper feathering procedure."</t>
  </si>
  <si>
    <t>05/03/1963,14:27,"Near Buca, Cameroon",Air Afrique,,Douala - Lagos,Douglas DC-6B,F-BIAO,45479/996,55,48,7,55,48,7,0,"The aircraft flew into a mountain at 6,500 ft. Navigation error. Crew choose to fly a prohibited route at too low an altitude."</t>
  </si>
  <si>
    <t>05/12/1963,,"Near Ayayda, Egypt",United Arab Airlines,,Cairo - Alexandria,Douglas DC-3,SU-AJX,,34,30,4,34,30,4,0,Crashed into an orange grove while climbing in a sand storm.</t>
  </si>
  <si>
    <t>06/03/1963,10:16,"Pacific Ocean, 116 miles WSW of Annette Island, Alaska",Northwest Orient Airlines,293,McChord AFB - Elmendorf AFB,Douglas DC-7CF,N290,45209/861,101,95,6,101,95,6,0,"The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</si>
  <si>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06/03/1963,11:30,"Pathankot, India",Indian Airlines,,Amritsar - Srinagar,Douglas C-47,VT-AUL,20265,29,26,3,29,26,3,0,"Cashed 25 miles from Amritsar. Structural failure of the aircraft in the air, following overstressing, as a result of loss of control. The loss of control was caused by improper rigging of the rudder bungee system."</t>
  </si>
  <si>
    <t>06/10/1963,,"Mt. Kaolokung, Burma",Union of Burma Airways,,Rangoon - Putao,Douglas DC-3,XY-ACS,9877,20,15,5,20,15,5,0,Crashed  into Mt. Kaolokung while attempting to land.</t>
  </si>
  <si>
    <t>06/16/1963,15:00,"Near Aysen, Chile",Military - Chilean Air Force,,Coihaique - Pueto AysÃ©n,Douglas C-47A,FAC-953,19461,20,17,3,19,16,3,0,"While descending, the aircraft struck the slope of Mt PÃ©rez located 42 km from the airport."</t>
  </si>
  <si>
    <t>06/16/1963,,"Bekkessamson, Hungary",Tarom,,Munchen - Constanta,VEB 14P,YR-ILL,14803072,31,27,4,31,27,4,0,Crashed between Totkomlos Bekessamson while en route.</t>
  </si>
  <si>
    <t>06/23/1963,12:00,"Near Augustdorf, West Germany",Military - Royal Belgian Air Force,,Brussels - GÃ¼tersloh,Fairchild C-119,CP-45,246,47,42,5,38,33,5,0,The aircraft was accidentally hit in the wing by a phosphorus mortar shell fired by a British Army unit setting the aircraft on fire. Nine paratroopers were able to jump to safety before the plane crashed.</t>
  </si>
  <si>
    <t>07/01/1963,,"Passo Fundo, Brazil",Varig,,Carazinbo - Passo Fundo,Douglas DC-3,PP-VBV,15444/26889,18,15,3,15,13,2,0,Crashed into trees during initial approach in heavy fog. Error in judgment by the pilot in attempting to fly visually in unfavorable weather conditions during twilight.</t>
  </si>
  <si>
    <t>07/02/1963,15:49,"Rochester, New York",Mohawk Airlines,112,Rochester - Newark,Martin 404,N449A,14140,43,40,3,7,5,2,0,The pilot lost control of the aircraft while attempting to take off in a thunderstorm and crashed.  Poor decision by pilot-in-command  to take off during a severe thunderstorm.</t>
  </si>
  <si>
    <t>07/03/1963,09:09,"Mt. Ngatamahinerua, New Zealand",New Zealand National Airways,441,Auckland - Whenuapai - Tauranga,Douglas DC-3,ZK-AYZ,15204/26889,23,20,3,23,20,3,0,"Crashed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</si>
  <si>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07/13/1963,05:06,"Near Irkutsk, Russia",Aeroflot,12,Moscow - Irkutsk,Tupolev TU-104B,CCCP42492,021605,32,24,8,32,24,8,0,Crashed 2 miles short of the runway during approach. Premature descent.</t>
  </si>
  <si>
    <t>07/15/1963,,"Farafangana, Madagascar",Air Madagascar,,,Douglas C-47,5R-MAJ,12813,12,8,4,6,2,4,0,Crashed while taking off.</t>
  </si>
  <si>
    <t>07/17/1963,,"Pak Tha, Laos",Air America,,,Curtiss C-46F,B-148,22510,6,0,6,6,0,6,0,The cargo plane crashed into a fog shrouded mountain.</t>
  </si>
  <si>
    <t>07/27/1963,01:50,"Off Bandra, Maharashtra, India",United Arab Airlines,869,Bangkok - Bombay,de Havilland Comet 4C,SU-ALD,06441,63,55,8,63,55,8,0,"The aircraft crashed into the Arabian Sea while on a flight from Tokyo, Japan to Egypt while preparing to land in rain and turbulence. The pilot may have lost control while turning into an area of severe turbulence and heavy rain."</t>
  </si>
  <si>
    <t>08/04/1963,,"IbicarÃ©, Brazil",Sadai,,JoaÃ§aba - Videira,Douglas DC-3,PP-SLL,01500,10,7,3,10,7,3,0,"While flying under VFR rules, the airplane struck the slope of a mountain located near IbicarÃ©, 25 km southwest of Videira."</t>
  </si>
  <si>
    <t>08/12/1963,14:19,"Lyon, France",Air Inter,2611,Lille - Lyon,Vickers Viscount 708,F-BGNV,039,20,16,4,20,16,4,1,Struck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</si>
  <si>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08/14/1963,15:00,"Near Great Falls, Montana",American Air  Export &amp; Import Co.,1814,,Curtiss C-46F-1-CU,N67941,22391,2,0,2,1,0,1,0,"The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</si>
  <si>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08/17/1963,14:11,"Hachijo-Jima Island, Japan",Fujita Koku Kabushki Kai,,Hachijo-jima - Tokyo,de Havilland DH-114 Heron,JA6155,14026,19,16,3,19,16,3,0,Crashed into mountains shortly after taking off from Hachijo. Navigation error. Followed wrong departure route.</t>
  </si>
  <si>
    <t>08/21/1963,12:15,"Near Leningrad , Russia",Aeroflot,,Tallinn - Moscow,Tupolev Tu-124,CCCP-45021,2350701,52,45,7,0,0,0,0,After the landing gear did not retract  after takeoff the flight was diverted to Leningrad because of fog.  After circling for a long time the plane began to lose it's engines because of fuel starvation and a ditch was carried out in River Neva.</t>
  </si>
  <si>
    <t>08/24/1963,10:53,"Near Kutaisa, Russia",Aeroflot,663,	Kutaisi - 	Sukhumi,Ilyushin Il-14P,CCCP-61617,	 014 602107,32,27,5,32,27,5,0,"Shortly after taking off the aircraft crashed in 	a wooded hillside, 32 km northwes of Kutaisa. Crew error. VFR flight into IMC."</t>
  </si>
  <si>
    <t>08/28/1963,12:30,"Off Miami, Florida",Military - U.S. Air Force / Military -  U.S. Air Force,,,Boeing KC-135A / Boeing KC-135A,61-0319/61-0322,18226/18229,11,0,11,11,0,11,0,"A mid-air collision occurred approximately 700 miles east of Miami, Florida."</t>
  </si>
  <si>
    <t>09/02/1963,,Northeast Laos,,,,Curtiss C-46 Commando,,,16,13,3,15,12,3,NULL,Refugee flight.</t>
  </si>
  <si>
    <t>09/04/1963,06:22,"Durrenasch, Aargau, Switzerland",Swissair,306,Zurich - Geneva,Sud-Aviation Caravelle III,HG-ICV,147,80,74,6,80,74,6,0,"Prior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</si>
  <si>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09/11/1963,04:00,"Near Patti, India",Indian Airlines,,Madras - Nagpur - Delhi.,Vickers Viscount 768D,VT-DIO,192,18,13,5,18,13,5,0,Went into a steep dive and crashed into a field. Cause unknown.</t>
  </si>
  <si>
    <t>09/12/1963,00:30,"Perpignan, France",Air Nautic,,London - Perpignan,Vickers Viking 1B,F-BJER,216,40,36,4,40,36,4,0,"Crashed into Pic de la Roquette while descending for an approach to Perpignan. Navigational error. It was noted that the crew continued to the south at an altitude of 6,000 feet without knowing his real position. It is possible that fatigue may contribute to the accident."</t>
  </si>
  <si>
    <t>09/22/1963,,"Off Dover, Deleware",Military - U.S. Air Force,,"Dover AFB - Lajes, Azores",Douglas C-133A,56-2002,45167,10,0,10,10,0,10,0,"About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</si>
  <si>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10/09/1963,,"Near Marseilles, France",Aeronaves de Panama,,"Marseilles, France - Dhah, Saudi Arabia",Douglas C-74,HP-385,13915,6,0,6,6,0,6,0,Crashed shortly after taking off with a cargo of 30 dairy cows.</t>
  </si>
  <si>
    <t>10/14/1963,11:33,"Jamaica, New York",New York Airways,600,Idlewild - Newark,Boeing Vetrol 107 II helicopter,N6673D,3,6,3,3,6,3,3,0,The helicopter crashed to the ground and burned. Fatigue failure of the drive quill shaft due to contamination of the lubrication system in the aft transmission assembly.</t>
  </si>
  <si>
    <t>10/18/1963,,"Near Aswan, Egypt",Military - Soviet Air Force,,Cairo - Aswan,Antonov AN-12,,,31,25,6,31,25,6,0,Crashed and  burned in a sandstorm while attempting to land at Aswan.</t>
  </si>
  <si>
    <t>10/20/1963,,"Hayes Island, Russia",Aeroflot,,Survey flight,Ilyushin IL-14,CCCP-04188,6341301,7,5,2,7,5,2,0,Failure of the crew to follow the published procedure while cruising at an insufficient altitude in limited visibility.</t>
  </si>
  <si>
    <t>10/22/1963,10:40,"Near Tisbury, England",British Aircraft Corporation,,Test flight,BAC One-Eleven 200AB,G-ASHG,4,7,0,7,7,0,7,0,During a stalling test the aircraft entered a stable stalled condition from which recovery was not possible.</t>
  </si>
  <si>
    <t>11/08/1963,17:59,"Mariehamn, Aaland Island, Finland",Finnair,217,Turku - Mariehamn,Douglas DC-3,OH-LCA,9799,24,21,3,22,19,3,0, The aircraft flew below the safe flying altitude and hit trees on the approach line in fog. Wrong indication of the pilot's altimeter during the instrument approach. Landing carried out in below minimum conditions.</t>
  </si>
  <si>
    <t>11/29/1963,18:33,"Ste. Therese de Blainville, Canada",Trans Canada Air Lines,831,Montreal - Toronto,McDonnell Douglas DC-8F-54F,CF-TJN,45654/179,118,111,7,118,111,7,0,The aircraft crashed about 5 minutes after leaving Dorval Airport in Montreal. Icing of the pitot system or failure of the vertical gyro or an unprogrammed and unnoticed extension of the Pitch Trim Compensator.</t>
  </si>
  <si>
    <t>12/07/1963,19:19,"Near Nederland, Colorado",Zantop Air Transport,,Lowery AFB - Ogden Hill AFB,Curtis C-46A-20-CU,N609,26571,3,1,2,3,1,2,0,"The cargo plane impacted a vertical rock face at 12,500 ft. Pilot in command executed improper in-flight decisions and planning and exercised poor judgment."</t>
  </si>
  <si>
    <t>12/08/1963,20:59,"Elkton, Maryland",Pan American World Airways,214,Washington - Baltimore - Philadelphia,Boeing B-707-121,N709PA,17588/3,81,73,8,81,73,8,0,"The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</si>
  <si>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12/12/1963,14:45,"Gazni, Afghanistan",Trans Mediterranean Airways,,Kawait - Kabul,Douglas C-54A,OD-AEB,10424,3,0,3,3,0,3,0,"The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</si>
  <si>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12/15/1963,,"Cairo, Egypt",Misrair,,Cairo - Luxor,Vickers 634 Viking 1B,SU-AFK,213,6,1,5,6,1,5,0,Crashed shortly after taking off.</t>
  </si>
  <si>
    <t>12/17/1963,23:41,"Los Angeles, California",Western Airlines,,,Douglas DC-6B,N93131,45536,46,40,6,0,0,0,0,The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</si>
  <si>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01/09/1964,09:50,"Zarate, Argentina",Aerolineas Litoral Argentina,,Rosario - Buenos Aires,Douglas DC-3,LV-FYJ,14713/26158,30,27,3,28,25,3,0,"The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</si>
  <si>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02/03/1964,20:30,"Near Ankara, Turkey",Turkish Airlines (THY),,Istanbul - Ankara,Douglas C-47A,TC-ETI,12319,3,0,3,3,0,3,0,The cargo plane crashed short of the runway while on approach. Improper IFR procedure. Descended below MDA.</t>
  </si>
  <si>
    <t>02/03/1964,08:00,"Gainsville, Florida",South Central Airlines,510/3,Gainsville - Jacksonville,Beech D18S,N2999,A-811,10,9,1,10,9,1,0,"The aircraft made a steep climb to 200 ft., stalled and crashed striking the departure end of Runway 6. Pilot's failure to properly load the aircraft, resulting  in insufficient elevator effectiveness to reverse an unwanted pitching motion."</t>
  </si>
  <si>
    <t>02/04/1964,,"Yacuiba, Bolivia",Lloyd AÃ©reo Boliviano,,Yacuiba - La Paz,Douglas DC-3,CP- 568,19024,29,26,3,2,NULL,NULL,0,The aircraft stalled and  crashed at the end of the runway after liftoff.</t>
  </si>
  <si>
    <t>02/18/1964,15:40,"Banihal Pass, India",Military - Indian Air Force,,Srinagar - Udhampur,Ilyushin IL-14,,,13,8,5,13,8,5,0,Crashed into a mountain while en route.</t>
  </si>
  <si>
    <t>02/21/1964,16:00,"Marawi, Philippines",Philippine Air Lines,946,Cotabato - Malabang - Iligan - Cayagan de Oro,Douglas DC-3,PI-C97,14944/2638,32,29,3,31,28,3,0,Struck trees on a mountain ridge and crashed while attempting to land. Continued flight under VFR into IFR conditions.</t>
  </si>
  <si>
    <t>02/25/1964,02:06,"Lake Pontchartrain, New Orleans, Louisiana",Eastern Air Lines,304,Mexico City - New Orleans - New York City,McDonnell Douglas DC-8-21,N8607,45428/61,58,51,7,58,51,7,0,"The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</si>
  <si>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02/27/1964,06:15,"Oita, Japan",Fuji Airlines,902,Kagoshima - Oita,Convair CV-240-0,JA5098,053,42,37,5,20,18,2,0,"Ran past end of runway when landing and ran into a river dike, broke in three and burst into flames. Malfunctioning propeller reverser, excessive speed and insufficient  braking."</t>
  </si>
  <si>
    <t>02/29/1964,14:44,"Near Innsbruck, Austria",British Eagle International Airlines,802,London - Innsbruck,Bristol Britannia 312,G-AOVO,13423,83,75,8,83,75,8,0,"The aircraft crashed into Mt. Glungezer and then slid down a gorge, 10 miles ESE of the airport while in a holding pattern. The pilot descended below the minimum safe altitude in an apparent attempt to penetrate the overcast flying VFR in IFR conditions."</t>
  </si>
  <si>
    <t>03/01/1964,11:29,"Near Zephyr Cove, Nevada",Paradise Airlines,901A,"San Jose, CA - Lake Tahoe",Lockheed 049 Constellation,N86504,2025,85,81,4,85,81,4,0,"The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</si>
  <si>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03/04/1964,,"Barrackpore, India",Military - Indian Air Force,,Barrackpore - Bagdogra,Fairchild C-119,,,22,17,5,22,17,5,0,"While flying from Barrackpore AFS (near Calcutta) to Bagdogra AFS (near Siliguri), the aircraft crashed into the Hooghly River."</t>
  </si>
  <si>
    <t>03/08/1964,23:56,Near Chicago Illinois,Snow Valley Ski Lines,,,Douglas DC-3,N410D,4970,30,28,2,1,0,1,0,Crashed after executing a missed apporach. Improper operation of powerplant and powerplant controls.</t>
  </si>
  <si>
    <t>03/08/1964,18:45,"Bogota, Colombia",Taxi Aereo de Santander,,Pereira - Bogota,Douglas DC-3,HK-862,12374,28,25,3,28,25,3,0,Crashed during final approach. Evasive maneuver to avoid a mid-air collision with another aircraft caused the pilot to lose control of the aircraft.</t>
  </si>
  <si>
    <t>03/10/1964,08:22,"Boston, Massachutes",Slick Airways - Cargo,12,New York - Winsor Locks - Boston,Douglas DC-4,N384,18379,3,0,3,3,0,3,0,"While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</si>
  <si>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03/12/1964,20:50,"Miles City, Montana",Frontier Airlines,32,Billings - Miles City - Glendive - Sidney,Douglas DC-3C,N61442,9642,5,2,3,5,2,3,0,"Struck a ridge while approaching Miles City in sleet and freezing rain while on a VOR instrument approach. The descent below obstructing terrain, for reasons undetermined, during an instrument approach in adverse weather conditions."</t>
  </si>
  <si>
    <t>03/20/1964,07:20,"Near Danbury, North Carolina",Commercial Air Taxi,,,Piper PA-23,N4320P,,3,2,1,3,2,1,0,The aircraft suffered engine failure in flight and crashed. Carburetor icing. Improper emergency procedures. Alcohol impairment.</t>
  </si>
  <si>
    <t>03/28/1964,22:39,"Mt. Vesuvius, Italy",Alitalia,045,Rome - Napoli,Vickers Viscount 785D,I-LAKE,328,45,40,5,45,40,5,0,The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</si>
  <si>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03/28/1964,06:00,North Pacific Ocean,Private - Facilities Management Co.,,Honolulu - San Francisco,Douglas C-54A-10-DC,N4726V,10315,9,6,3,9,6,3,0,"Disappeared while en route, 1,120 nm W of San Francisco, after the pilot reported he had a bad fire in the No. 2 engine."</t>
  </si>
  <si>
    <t>04/12/1964,,"Hargeisa, Somalia",Aden Airways,,Aden - Hargeisa,Douglas DC-3,VR-AAM,15530/26975,15,12,3,15,12,3,0,Crashed while approaching the airport.</t>
  </si>
  <si>
    <t>04/17/1964,15:14,"Elim, Alaska",Wein Alaska Airlines Inc.,,,Cessna 185,N9984X,,2,1,1,2,1,1,0,Flew into whiteout conditions and crashed.  ATC did not advise of unsafe weather conditions.</t>
  </si>
  <si>
    <t>04/17/1964,19:32,"Dhahran, Saudi Arabia",Middle East Airlines,444,Beirut - Dhahran,Sud Aviation Caravelle 3,OD-AEM,023/21,49,42,7,49,42,7,0,"Crashed into the sea, 4 nm off shore while on approach to Dhahran Airport in a sandstorm."</t>
  </si>
  <si>
    <t>05/07/1964,06:49,"San Ramon, California",Pacific Air Lines,773,Stockton - San Fransisco,Fairchild F-27A,N2770R,0036,44,41,3,44,41,3,0,"The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</si>
  <si>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05/08/1964,20:20,"Near Lima, Peru",Fuerza AÃ©rea Argentina,,Buenos Aires - Lima,Douglas C-54,T-47,3082,49,42,7,46,40,6,0,Crashed into a sand dune while attempting to land at Lima in heavy fog. Improper IFR procedures by the crew.</t>
  </si>
  <si>
    <t>05/11/1964,19:20,"Papanga, Philippines",Military - U.S. Air Force,,Travis - Hickam - Clark,Boeing C-135B,62-0332,18239,84,74,10,79,74,5,0,"While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</si>
  <si>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05/20/1964,10:00,"Sibuco Point ,Philippines",Philippine Air Lines,,Siocon - Zamboanga,de Havilland Canada DHC-3 Otter,PI-C51,68,11,10,1,11,10,1,0,"Struck a hill while taking off. The pilot continued to fly VFR into unfavourable weather over the jagged shoreline with practically zero visibility due to heavy rain. At the time of the accident, the visibility was below minima."</t>
  </si>
  <si>
    <t>05/27/1964,15:00,"Itapecerica da Serra, Brazil",VASP,,Training,Douglas C-47-DL (DC-3),PP-SPZ,4649,3,0,3,3,0,3,0,The plane was being used for training. Witnesses reported the plane exploded in the air  and broke in three parts before reaching the ground. The body of one of the crew was seen being thrown out of the cabin.</t>
  </si>
  <si>
    <t>06/13/1964,,"Jeddah, Saudia Arabia Jeddah, Saudia Arabia",Saudi Arabian Airlines,,Training,Douglas C-47A,HZ-AAN,12899,2,0,2,2,0,2,0,Crashed into the Red Sea.</t>
  </si>
  <si>
    <t>06/20/1964,17:40,"Taichung, Taiwan",Civil Air Transport,,Taichung - Tainan,Curtiss C-46-CU,B-908,2950,57,52,5,57,52,5,0,"The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</si>
  <si>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06/21/1964,04:00,"Off Palma de Mallorca, Spain",TASSA,,Palma de Mallorca - Ibiza,Douglas DC-3,EC-AQH,20072,28,25,3,1,1,0,0,Both engines failed and the plane ditched 1 mile offshore and sank.</t>
  </si>
  <si>
    <t>07/08/1964,12:10,"Knoxville, Tennessee",United Air Lines,,,Caravelle VIR,N1007U,092,53,48,5,1,1,0,0,"While climbing to cruise altitude the plane hit turbulence, downdrafts and updrafts. One passenger's seat belt  failed, killing the passenger."</t>
  </si>
  <si>
    <t>07/09/1964,18:15,"Parrottsville, Tennesee",United Air Lines,823,Philidelphia - Washington - Knoxville - Huntsville,Vickers Viscount 745D,N7405,103,39,35,4,39,35,4,0,"The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</si>
  <si>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07/16/1964,18:29,"Richmond, Virginia",Eastern Air Lines,,New York City - Richmond - Jacksonville,Douglas DC-7B,N809D,44860/616,76,71,5,0,0,0,0,"Landed 17 feet short of the runway threshold, tore off the landing gear, slid and caught fire. Pilot misjudged altitude and distance and undershot during landing."</t>
  </si>
  <si>
    <t>07/31/1964,16:52,"Near Nashville, Tennesee",Private,-,Batesville - Nashville,Beechcraft 35-B33 Debonair,N8972M,,2,1,1,2,1,1,0,"The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</si>
  <si>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08/22/1964,,"Near Tipuani, Bolivia",Servicios AÃ©reos Cochabamba,,La Paz - Tipuani,Douglas C-47A-25-DK,CP-680,13371,4,2,2,4,2,2,0,Struck Huayna Hill in poor weather. The flight was conducted in IMC conditions at an altitude unsafe for operations of that nature through the Huayna Pass.</t>
  </si>
  <si>
    <t>09/02/1964,21:11,"Island of Sakhalin, Russia",Aeroflot,721,Krasnoyarsk - Yuzhno,Ilyushin IL-18B,CCCP-75531,180002402,87,78,9,87,78,9,0,"After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</si>
  <si>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09/04/1964,19:00,"Near Vaong Nong, Thailand",Military - Royal Thai Air Force,,Khoke Kathiam - Vaong Nong,Douglas C-47,,,34,NULL,NULL,28,NULL,NULL,0,Struck a tree and crashed during a nighttime landing attempt.</t>
  </si>
  <si>
    <t>09/04/1964,16:34,"Pico da Caledonia, Brazil",VASP,,Vitoria - Rio de Janeiro,Vickers Viscount 710C,PP-SRR,066,39,34,5,39,34,5,0,Crashed into Mt. Nova. Deviated off course for unknown reasons.</t>
  </si>
  <si>
    <t>09/15/1964,17:51,"Near Condoto, Colombia",AVIANCA,,Condoto - Medellin,Douglas C-47A,HK-319,19680,2,0,2,2,0,2,0,"The cargo plane touched down, bounced twice, climbed and crashed. Improperly loaded cargo."</t>
  </si>
  <si>
    <t>10/02/1964,,"Addis Ababa, Ethiopia",Interocean,,"Dublin, Ireland - Addis Ababa",Lockheed L-749A-79 Constellation,LX-IOK,2562,7,0,7,1,0,1,0,The cargo plane left the runway and crashed while landing.</t>
  </si>
  <si>
    <t>10/02/1964,05:45,"Near Trevelez, Granada, Spain",Union des Transportes Aeriens,,Palma de Mallorca - Port Etienne,Douglas DC-6B,F-BHMS,44062/384,80,73,7,80,73,7,0,"About an hour and a half after departing Palma de Mallorca the airliner crashed into Mt. Alcazaba, 20 miles SSE of Granada. Deviated off course. Cause unknown."</t>
  </si>
  <si>
    <t>10/09/1964,20:26,"Near Sibiu, Romania",Tarom,,Timisoara - Bucharest,Ilyushin IL-14,YR-ILB,146000926,32,28,4,32,28,4,0,"En route, the airplane encountered strong downdrafts and severe turbulences, causing the fuselage to fail."</t>
  </si>
  <si>
    <t>10/19/1964,11:35,"Near Belgrade, Yugoslavia",Military - Soviet Air Force,,Moscow - Belgrade,Ilyushin IL-18,CCCP-75668,183 0057 04,33,29,4,33,29,4,0,"Instructed to land at Belgrade from the west, the aircraft was too low and off course when it hit Avala Hill, 600 ft. below the peak, exploding in flames."</t>
  </si>
  <si>
    <t>11/03/1964,11:10,"Branson, Colorado",Mustang Aviati,,,Beechcraft C45G,N2849G, AF-383,5,4,1,5,4,1,0,Crashed while en route after pilot continued VFR flight into adverse weather conditions.</t>
  </si>
  <si>
    <t>11/15/1964,20:25,"Las Vegas, Nevada",Bonanza Airlines,114,Phoenix - Las Vegas,Fairchild F-27A,N745L,0029,29,26,3,29,26,3,0,"The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</si>
  <si>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11/17/1964,18:55,"Off Argentia, Newfoundland, Canada",Military - U.S. Navy,,Training,Lockheed P-3A,151362,185-5075,10,0,10,10,0,10,0,Crashed into the ocean while on maneuvers.</t>
  </si>
  <si>
    <t>11/20/1964,21:14,"Angelholm, Sweden",Linjeflyg,,Stockholm - Hultsfred - Halmstad - Ã„ngelholm,Convair CV-440,SE-CCK,195,43,39,4,31,29,2,0,Descended prematurely struck the ground 2 km short of  the runway. Crew mistook lights perpendicular to the runway for runway lights and descended prematurely.</t>
  </si>
  <si>
    <t>11/23/1964,14:09,"Rome, Italy",Trans World Airlines,800,Rome - Athens,Boeing B-707-331,N769TW,17685/123,73,62,11,50,45,5,0,The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</si>
  <si>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11/29/1964,19:20,"Leopoldville, Democratic Republic of the Congo",Air Congo (BIAS)?,,Stanleyville - Kamina,Douglas DC-4,OO-DEP,18384,14,11,3,6,3,3,0,"While taking off, the aircraft struck an empty fuel drum on the runway which tore away the right stabilizer. The plane lifted off the ground but lost control and crashed."</t>
  </si>
  <si>
    <t>12/08/1964,10:48,"Tripuani, Bolivia",Aerolineas Abaroa,,Tipuani - La Paz,Douglas DC-3,CP-639,7375,17,13,4,17,13,4,0,The plane crashed in the Andes Mountains after an explosion blew off the tail of the aircraft. Detonation of a bomb in the tail section of the passenger cabin. A suicide-for-insurance plot was suspected.</t>
  </si>
  <si>
    <t>12/11/1964,,"Near Da Nang, South Vietnam",Military - Vietnamese Air Force,,,Fairchild C-123,,,38,32,6,38,32,6,0,Hit a mountain shortly after taking off exploding in flames.</t>
  </si>
  <si>
    <t>12/21/1964,18:40,"Near Kaliba, Philippines",Fleming Airways System Transport,,Kalibo - Manila,Douglas DC-3,PI-C569,20396,39,36,3,1,1,0,0,"After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</si>
  <si>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12/24/1964,00:31,"Near San Francisco, California",Flying Tiger Line,,San Francisco - New York,Lockheed L-1049H Super Constellation,N6915C,4812,3,0,3,3,0,3,0,"The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</si>
  <si>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12/24/1964,,"Yurimaguas, Peru",SATCO,,,Douglas DC-3,OB-XAU,14541/25986,23,22,1,1,0,1,0,Cashed on takeoff.</t>
  </si>
  <si>
    <t>12/29/1964,,"Near Turrialba, Costa Rica",Lineas AÃ©reas Sud Americana,,Guatemala City - Panama City,Curtiss C-46,CC-CAN,,5,0,5,5,0,5,0,The cargo plane crashed on slope of the Turrialba Volcano while en route.</t>
  </si>
  <si>
    <t>12/30/1964,02:14,"Detroit, Michigan",Zantop Air Transport,,Cleveland - Detroit - Denver,Curtis C-46A,N608Z,30328,4,2,2,4,2,2,0,The cargo plane veered off course and struck trees while attempting to land.  Loss of control during night instrument approach in adverse weather for undetermined reasons.</t>
  </si>
  <si>
    <t>01/02/1965,09:57,"Near Darwaza, Russia",Aeroflot,, Darwaza - Ashgabat,Lisunov LI-2,CCCP-63842,6401,24,22,2,24,22,2,0,The plane took off and crashed. Fuel starvation. Fuel selector positioned to an empty tank.</t>
  </si>
  <si>
    <t>01/03/1965,21:03,"Alma-Ata, Kazakhstan",Aeroflot / Kazakhstan,101,Semipalatinsk - Alma-Ata,Ilyushin IL-18B,CCCP-75685,189001105,103,95,8,64,61,3,0,"During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</si>
  <si>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01/16/1965,09:30,"Wichita, Kansas",Military - U.S. Air Force,,,Boeing KC-135A,57-1442,17513,7,0,7,7,0,7,23,"Shortly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</si>
  <si>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01/17/1965,90:0,"Near Durango, Mexico",Aerovias del Norte,,Durango  Zapotes,Curtiss C-46,XA-NUT,5960,10,7,3,10,7,3,0,Crashed while attempting to land and caught fire.</t>
  </si>
  <si>
    <t>01/22/1965,,Mt. Helmos. Greece,Military - U.S. Air Force,,Aviano - Athens,Douglas C-124C,52-1058,43967,10,0,10,10,0,10,0,"In poor visibility, struck Mt Helmos located near KalÃ¡vryta, 40 km southeast of Patras."</t>
  </si>
  <si>
    <t>02/06/1965,08:36,"San Jose Volcano, Chile",LAN,107,Santiago - Buenos Aires,Douglas DC-6B,CC-CCG-104,45513/1004,87,80,7,87,80,7,0,"After an improper climb, the aircraft flew into a 12,000 ft. mountain in the La Melosas area of the Andes. Crew did not follow flight plan for climbing out of Santiago."</t>
  </si>
  <si>
    <t>02/08/1965,18:26,"Off Jones Beach, New York, New York",Eastern Air Lines,663,New York City - Richmond VA,Douglas DC-7B,N849D,45455/981,84,79,5,84,79,5,0,"The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</si>
  <si>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02/13/1965,04:20,"Miami, Florida",Aerolineas El Salvador,,,Curtiss C-46A,YS-012C,127,2,0,2,2,0,2,0,The cargo plane lost the No. 1 engine on takeoff. The prop could not be feathered and the plane crashed. Fatigue fracture of the crankshaft. Inadequate maintenance and inspection.</t>
  </si>
  <si>
    <t>02/13/1965,10:22,"Near Shirinbulak, Azerbaijan",Aeroflot,A-3,Yevlakh - Nuha,Ilyushin IL-14P,CCCP-52003,602112,23,19,4,23,19,4,0,Crashed. Crew error. Premature descent.</t>
  </si>
  <si>
    <t>03/02/1965,07:45,"Near Aradan, Russia",Aeroflot,542,,Li-2,CCCP-54971,23442810,31,27,4,31,27,4,0,Crashed into mountainous area while en route. Failure of the rudder assembly.</t>
  </si>
  <si>
    <t>03/08/1965,10:30,"Libmanan, Philippines",Fairways (Filipinas Orient Airways),43,Manila - Naga,Douglas DC-3,PI-C948,4892,12,9,3,10,7,3,0,Crashed and burned on a forested mountain slope on Mt. Tangcong Vaca. Misjudgment of clearance with the ground by the crew which resulted in collision with trees.</t>
  </si>
  <si>
    <t>03/08/1965,11:35," Kuibyshev , Russia",Aeroflot,513,Kuibyshev - Rostov-on-Don,Tupolev Tu-124V,CCCP-45028,2350803,30,21,9,30,21,9,0,The plane crashed in a snowy field after taking off. Jamming of the elevator control and engine trouble.</t>
  </si>
  <si>
    <t>03/17/1965,09:22,"Musquodoboit, Nova Scotia, Canada",Eastern Provincial Airways,102,Halifax - Sidney NS,Handley Page HPR-7 Herald 211,CF-NAF,160,8,5,3,8,5,3,0,Communication was lost with the aircraft soon after takeoff. Failure of corroded skin along the bottom center line of the aircraft which resulted in structural failure of the fuselage and aerial disintegration.</t>
  </si>
  <si>
    <t>03/20/1965,13:13,"Khanty, Russia",Aeroflot,CCCP-46764,Tyumen - Khanty,Antonov AN-24,CCCP-46764,47301301,47,42,5,43,42,1,0,"While attempting to land the plane  undershot the runway, hit a snowdrift, broke up and caught fire."</t>
  </si>
  <si>
    <t>03/22/1965,14:55,"Sugar Loaf Mountain, Colombia",AVIANCA,676,Bogota - Bucaramanga,Douglas C-47,HK-109,4753,28,26,2,28,26,2,0,"Crashed into Pan de Azucar Peak, 35 nm from Bucaramanga. Flying under VFR in IFR conditions."</t>
  </si>
  <si>
    <t>03/23/1965,,"Off San Juan, Puerto Rico",Military - Royal Canadian Air Force,,Training exercise,Canadair CP-107 MK-2,20727,18,16,14,2,16,14,2,0,The plane was participating in U.S. - Canadian maneuvers.</t>
  </si>
  <si>
    <t>03/26/1965,,"Lowery Pass, Pakistan",Pakistan International Airlines,,Peshawar - Chitral,Douglas C-47,AP-AAH,12089,26,22,4,22,18,4,0,Crashed into a mountain  near the Lowari Pass.</t>
  </si>
  <si>
    <t>03/31/1965,08:04,"Off Tangier, Morocco",Iberia Airlines,,Malaga - Tangiers,Convair CV-440-62,EC-ATH,388,53,48,5,50,45,5,0,Stalled and crashed into the sea 10 nm off the coast of Tangier. Reason unknown.</t>
  </si>
  <si>
    <t>04/10/1965,23:20,"Near Damascus, Syria",Alia Royal Jordanian Airlines,,Beirut  - Amman,Handley Page Dart Herald 207,JY-ACQ,170,54,50,4,54,50,4,0,"The plane flew into a mountain at 4,200 ft after taking off from Beirut. Structural failure of the fuselage."</t>
  </si>
  <si>
    <t>04/14/1965,18:06,"Jersey, Channel Islands, UK",British United Airways,1030X,"Paris - Jersey , Channel Islands",Douglas C-47B,G-ANTB,15762/27207,27,23,4,26,23,3,0,"The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</si>
  <si>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04/23/1965,14:23,"Near Seattle, Washington",Aaxico Airlines,1422,"Seattle, WA - Ogden, UT",Douglas DC-6A,N6541C,45369/984,5,0,5,5,0,5,0,"The cargo plane flew into Mt. Rainier at 10,200 ft.  The improper correlation of the aircraft position with respect to obstructing terrain while continuing the flight on a VFR flight plan in instrument weather conditions."</t>
  </si>
  <si>
    <t>05/05/1965,21:17,"Tenerife, Canary Islands, Spain Canary Islands",Iberia Airlines,401,Madrid - Tenerife,Lockheed 1049G-55 Super Constellation,EC-AIN,4550,49,40,9,30,24,6,0,"The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</si>
  <si>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05/20/1965,23:48,"Cairo, Egypt",Pakistan International Airlines,705,Karachi - Dhahran - Cairo - Geneva - London,Boeing B-720-040B,AP-AMH,18379,127,114,13,121,108,13,0,The aircraft  crashed during its approach.The plane descended during the approach at triple the normal rate until the aircraft struck the ground. The aircraft exceeded the recommended descent rate during the final stages of landing for reasons unknown.</t>
  </si>
  <si>
    <t>06/15/1965,09:50,"Near Colombus, Georgia",Military - U.S. Army / Military - U.S. Army,,,Bell UH-1D / Bell UH1D (helicopters),63-8760/63-8840,,18,NULL,NULL,18,NULL,NULL,0,"Two helicopters flying in formation, crashed in mid-air at Benning military base. Ten aboard 8760 and 8 aboard 8840 killed."</t>
  </si>
  <si>
    <t>06/25/1965,01:46,"Near Santa Ana, California",Military - U.S. Air Force,,El Toro -  Honolulu - Okinawa,Boeing C-135A,60-0373,18148,85,73,12,85,73,12,0,"Crashed shortly after taking off from El Toro Marine Corps Air Station bound for Okinawa. After attaining an altitude of 1,000 feet, the plane failed to make a left turn and flew into rising terrain. Cause unknown."</t>
  </si>
  <si>
    <t>06/28/1965,13:10,"San Francisco, California",Pan American World Airways,,San Francisco - Hawaii,Boeing B-707-321B,N761PA,18336,153,143,10,0,0,0,0,"Just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</si>
  <si>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07/01/1965,05:29,"Kansas City, Missouri",Continental Airlines,12,"Los Angeles - Kansas City, MO",Boeing B-707-124,N70773,17609/25,66,60,6,0,0,0,0,The aircraft slid off the end of the runway while landing and broke in two. Hydroplaning of the landing gear wheels which led to braking ineffectiveness.</t>
  </si>
  <si>
    <t>07/06/1965,16:00,"Near Oxford, England",Military -Royal Air Force,,,Handley Page Hastings C Mark 1,TG577,,41,35,6,41,35,6,0,"The plane, carrying paratroopers, climbed to 2,000 ft., made a left turn and crashed. Fatigue fracture of 2 bolts that attached the elevator to the horizontal stabilizer resulted in an abnormal pitch-up attitude and stall."</t>
  </si>
  <si>
    <t>07/07/1965,01:30,"Cairo, Egypt",Military - Soviet Air Force,,Cairo - Yamen,Antonov AN-12,,,31,22,9,30,21,9,0,Crashed and burned after taking off from Almaza Airport.</t>
  </si>
  <si>
    <t>07/08/1965,15:40,"Dog Creek, British Columbia, Canada",Canadian Pacific Air Lines,21,Vancouver - Whitehorse,Douglas DC-6B,CF-CUQ,43844/334,52,46,6,52,46,6,0,The tail section separated from the fuselage after a bomb exploded in the passenger compartment.  It was believed a saboteur ignited a mixture of acid and gunpowder which may have been poured into the toilet in a suicide-for-insurance scheme.</t>
  </si>
  <si>
    <t>07/11/1965,22:22,"Off Nantucket, Massachusetts",Military - U.S. Air Force,-,Otis AFB,EC-121H (Super Constellation),55-1036,4409,19,15,4,16,13,3,0,"The aircraft experienced a lost of the No. 2 engine followed by a fire in the No. 3 engine and ditched in the North Atlantic, 100 miles northeast of Nantucket, in zero-zero weather."</t>
  </si>
  <si>
    <t>07/15/1965,17:05,"St. Thomas, Virgin Islands",Virgin Islands Airways,,,de Havilland 106A,N6503D,,12,11,1,8,7,1,0,The plane crashed into the water shortly after taking off. The pilot failed to maintain flying speed after lifting off prematurely. Failed to abort takeoff. Selected wrong runway relative to wind. Improperly loaded aircraft.</t>
  </si>
  <si>
    <t>07/25/1965,07:40,"Near Libacao, Philippines",Military - Philippine Air Force,,Hong Kong - Da Nang,Douglas C-47,777,,37,30,7,37,30,7,0,"Crashed and burned on Penay Island on a domestic flight. The plane hit Mt. Madiac at 7,000 ft. in rain, wind and low clouds."</t>
  </si>
  <si>
    <t>08/04/1965,23:34,"Panama City, Panama",Rutas Internacionales Peruanes,,Panama City - Miami,Douglas C-54D,OB-R-769,10826,7,4,3,7,4,3,0,The No. 2 engine of the cargo plane caught fire while it was taking off. A fire and a fuel tank explosion caused the plane to descend uncontrollably and crash.</t>
  </si>
  <si>
    <t>08/12/1965,11:00,"Near Cuiaba, Brazil",Paraense Transportes AÃ©reos,,Mato Grosso - Porto Velho,Curtiss C-46A,PP-BTH,30571,13,10,3,13,10,3,0,"About 30 minutes after taking off, the aircraft turned back to Mato Grosso with its left engine on fire. While over Buracao, it's left wing and engine broke away from the fuselage and it crashed to the ground."</t>
  </si>
  <si>
    <t>08/16/1965,20:21,"Lake Michigan, near Chicago, Illinois",United Air Lines,389,New York City - Chicago,Boeing B-727-22,N7036U,18328/146,30,24,6,30,24,6,0,"The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</si>
  <si>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08/20/1965,13:08,"Jeuk, Belgium",LOT Polish Airlines,,Lille - Wroclaw,Vickers 804 Viscount,SP-LVA,249,4,0,4,4,0,4,0,After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</si>
  <si>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08/24/1965,10:10,Hong Kong,Military - U.S. Marine Corps,,Hong Kong - Da Nang,Lockheed KC-130F,149802,3693,72,66,6,59,57,2,0,The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</si>
  <si>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09/04/1965,09:40,"Lake Tustumena, Alaska",Cordova Airlines,,,Aero Commander 680,N6305U,,5,4,1,4,3,1,0,The pilot misjudged altitude and distance and crashed into the lake during a descent to land.  VFR flilght into adverse weather conditions.</t>
  </si>
  <si>
    <t>09/11/1965,16:25,"Near La Carlota, Phillipines",Filipinas Orient Airways,60,Cebu - Bacolod,Douglas DC-3A,PI-C942,1926,11,8,3,11,8,3,0,Hit tree tops and crashed into Mt. Kantakan.</t>
  </si>
  <si>
    <t>09/14/1965,,"Gore, Ethiopia",Ethiopian Airlines,,Addis Ababa - Gore,Douglas DC-3,ET-ABI,12000,17,14,3,17,14,3,0,</t>
  </si>
  <si>
    <t>09/16/1965,,"Quang Ngai, South Vietnam",Air Vietnam (South Vietnam),,Qu?ng NgÃ£i - Saigon,Douglas DC-3,XV-NIC,20301,39,36,3,38,35,3,0,Shot down by Communist ground fire.</t>
  </si>
  <si>
    <t>09/16/1965,11:02,"Near Pastaza, Ecuador",TAO,,Coca - Pastaza,Transportes AÃ©reos Orientales,HC-AFQ,17009/34272,11,8,3,9,6,3,0,Crashed while en route.</t>
  </si>
  <si>
    <t>09/17/1965,11:25,"Montserrat, Antigua",Pan American World Airways,292,"Fort de France - Saint Johns, Antigua",Boeing B-707-121B,N708PA,17586/1,30,21,9,30,21,9,0,"Crashed into mountains 32 miles southwest of its destination while descending for a landing. Pilot became lost and disoriented. Crew did not determine their position before descending. Navigation error. The aircraft was named ""Clipper Constitution."""</t>
  </si>
  <si>
    <t>09/27/1965,15:10,"Bao Trai, Vietnam",Air America,,,Beechcraft C-45H,N9574Z,AF-45,3,1,2,3,1,2,0,Collided with houses during an uncontrolled descent.</t>
  </si>
  <si>
    <t>10/08/1965,06:30,"Near Patian, Pakistan",Pakistan International Airlines,,Rawalpindi - Skardu,Fokker F-27 Friendship 200,AP-ATT,10279,4,0,4,4,0,4,0,The cago plane did not clear a ridge and crashed.</t>
  </si>
  <si>
    <t>10/17/1965,,"Bucaramanga, Colombia",AVIANCA,,Bogota - Bucaramanga,Douglas DC-3 / Piper PA-18A,HK-118/HK-922F,6182,19,15,4,19,15,4,0,"Midair collision between a Douglas DC-3 and Piper PA-18.  Eighteen killed on the DC-3, one on the Piper."</t>
  </si>
  <si>
    <t>10/18/1965,16:30,"Near Hanoi, Vietnam",International Control Commision,,Vientiane - Hanoi,Boeing 307 Stratoliner B-1,F-BELV,1996,13,9,4,13,9,4,0,Shot down by Communist ground fire.</t>
  </si>
  <si>
    <t>10/20/1965,10:33,"Near Manila, Philippines",Philippine Air Lines,741,Manila - Tacloban,Douglas DC-3,PI-C-144,13403,37,34,3,1,1,0,0,The aircraft veered to the left after taking off. The pilot lost control and crashed. Failure of the pilot to set the rudder trim tab to the proper position before takeoff and during the flight. Undetected deflection of the rudder trim tab.</t>
  </si>
  <si>
    <t>10/27/1965,01:23,"London, England",British European Airways,,Edinburgh - London,Vickers Vanguard 951,G-APEE,708,36,30,6,36,30,6,0,"The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</si>
  <si>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11/02/1965,,"Obock, French Somaliland",Military - French Air Force,,Djibouti - Obock,Douglas C-47A,316410,20876,30,25,5,30,25,5,0,The plane crashed and exploded as it attempted to land at Obock. The civilians aboard included a hand-ball team.</t>
  </si>
  <si>
    <t>11/03/1965,07:30,"Off Puerto Lemon, Costa Rica",Military - Argentine Air Force,,Buenos Aires - Howard - San Salvador,Douglas C-54,TC-48,983,68,59,9,68,59,9,0,Disappeared over the Gulf after the pilot sent a distress message reporting a fire in the No. 3 engine. Cause unknown.</t>
  </si>
  <si>
    <t>11/08/1965,19:02,"Cincinnati Airport, near Covington, Kentucky",American Airlines,383,New York City - Cincinnati,Boeing B-727-23,N1996,18901/153,62,56,6,58,53,5,0,"The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</si>
  <si>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11/08/1965,12:25,"Near Boqueron, Colombia",Aerolineas TAO,,Neiva - San Vicente del Caguan,Douglas C-47DL,HK-1202,4402,30,25,5,30,25,5,0,The plane crashed while en route. Flight on an prohibited route in adverse weather. Flight VFR in IFR conditions.</t>
  </si>
  <si>
    <t>11/10/1965,15:57,"Murmansk, Russia",Aeroflot,99,,Tupolev TU-124,CCCP-45086,5351801,64,57,7,32,30,2,0, Crashed on the ice-covered Lake Kilp-Yavr while attempting to land . Premature descent during approach. Sudden change in the weather.</t>
  </si>
  <si>
    <t>11/11/1965,17:52,"Salt Lake City, Utah",United Air Lines,227,Denver - Salt Lake City,Boeing B-727-22,N7030U,18322/130,91,85,6,43,43,0,0,"The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</si>
  <si>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11/14/1965,17:21,"Near Palm Springs, California",Paul Kelly Flying Service Inc.,,Palm Springs - Burbank,Learjet 23,N243F,23-063,8,6,2,8,6,2,0,"The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</si>
  <si>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11/27/1965,07:15,"Salt Lake City , Utah",Edde Airlines,65/75,Salt Lake - Albuquerque,Douglas C-53-DO (DC-3A),N485,4848,13,9,4,13,9,4,0,Crashed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</si>
  <si>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12/04/1965,16:18,"Carmel, New York",Trans World Airlines / Eastern Air Lines,42 / 853,Boston - Newark,Boeing B-707-131B / L1049C Constellation,N748TW/N6218C,18387/286  / 4526,112,100,12,4,3,1,0,"Midair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</si>
  <si>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12/07/1965,18:40,"Tenerife, Canary Islands",Spantax,,"Tenerife - Manchester, England",Douglas DC-3,EC-ARZ,13474,32,28,4,32,28,4,0,Crashed into high terrain shortly after takeoff. Cause undetermined. Mechanical failure suspected.</t>
  </si>
  <si>
    <t>12/11/1965,15:00,"Near Tuy Hoa, South Vietnam",Military - U.S. Air Force,,Pleiku - Tuy Hoa,Fairchild C-123C,56-4376,20260,85,81,4,85,81,4,0,"While en route in poor weather, the plane struck trees on a mountain slope and then went into a flat spin, crashed and burned."</t>
  </si>
  <si>
    <t>12/16/1965,17:22,"Legaspi, Philippines",Air Manila,101,Manila - Legazpi,Douglas DC-3A,PI-C856,18,21,18,3,2,0,2,0,Power stall during a tight turn manoeuvre at too low an altitude from which successful recovery was impossible.</t>
  </si>
  <si>
    <t>01/01/1966,,"Near Palembang, Sumatra, Indonesia",Garuda  Indonesia Airlines / Garuda Indonesia Airlines,,Medan - Palembang,Douglas DC-3 / Douglas DC-3,PK-GDU/PK-GDE,13463 / 19719,34,26,8,34,26,8,0,Midair collision between two Garuda aircraft. Both crashed into a swamp while approaching Palembang. Seventeen died on each aircraft.</t>
  </si>
  <si>
    <t>01/01/1966,05:30,"Kamchatsky, Russia",Aeroflot,,Magadan - Petropavlovsk-Kamchatsky,Ilyushin IL-14P,CCCP-61618,602108,23,18,5,23,18,5,0,Crashed due to engine failure due to the destruction of the cylinder head number 12</t>
  </si>
  <si>
    <t>01/09/1966,18:22,"Chipaque, Cundinamarca, Colombia",Satena,,Tres Esquinas - Bogota,DC3(C47),FAC-675,,11,11,2,11,11,2,0,</t>
  </si>
  <si>
    <t>01/14/1966,15:07," Shamurat, Uzbekistan",Aeroflot,,Nurata - Samarkand,Antonov AN-2,CCCP-02185,1122 473 05,11,9,2,11,9,2,0,The aircraft hit the slope of a mountain 3.4 km from Shamurat. Crew who decided to continue the flight in below-minima weather conditions.</t>
  </si>
  <si>
    <t>01/15/1966,20:55,"Off Cartagena, Colombia",AVIANCA,4,Bogata - Crespo,Douglas DC-6-54B,HK-730,18325,64,60,4,56,52,4,0,Crashed shortly after taking off. The plane rose less than 100 ft. and then crashed into shallow water.  Possible engine failure. Maintenance error and inadequate inspections.</t>
  </si>
  <si>
    <t>01/22/1966,,"Port-au-Prince, Haiti",COHATA,,Les Cayes -JÃ©rÃ©mie,Douglas DC-3,N4662,,35,28,7,30,23,7,0,Crashed into a mountain  5 minutes after taking off from Las Cayee.</t>
  </si>
  <si>
    <t>01/24/1966,08:02,"Mont Blanc, French Alps, Switzerland",Air India,101,Bombay - Beirut  - Geneva - Paris - London -New York,Boeing B-707-437,VT-DMN,18055/200,117,106,11,117,106,11,0,"The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</si>
  <si>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01/25/1966,10:15,"Near Binh Khe, South Vietnam",Military - U.S. Air Force,,,Fairchild C-123B,54-0702,20151,46,42,4,46,42,4,0,"Struck trees inverted, 10 minutes after taking off from An Khe airfield. Evidence was found of a fire in the No. 2 engine."</t>
  </si>
  <si>
    <t>01/28/1966,17:50,"Bremen, Germany",Lufthansa,005,Frankfurt - Bremen,Convair CV-440-0,D-ACAT,464,46,42,4,46,42,4,0,Crashed on approach in heavy fog. The aircraft stalled while making a turn at low altitude. Instrument malfunction.</t>
  </si>
  <si>
    <t>02/04/1966,19:00,"Tokyo Bay, Japan",All Nippon Airways,60,Chitose - Tokyo,Boeing B-727-81,JA8302,18822/126,133,126,7,133,126,7,0,"The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</si>
  <si>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02/07/1966,11:55,"Srinagar, India",Indian Airlines,,Srinngar - Jammu - Amritsar - Delhi,Fokker F-27 Friendship 200,PH-SAB,10271,37,33,4,37,33,4,0,"Crashed into high terrain, 12 miles west of its proper course, due to a navigation error. Abandonment of the ILS approach at too early a stage during an attempt to land under conditions of poor visibility in fog."</t>
  </si>
  <si>
    <t>02/15/1966,,"Delhi, India",Indian Airlines,,Calcutta - Delhi,Sud Aviation SE-210 Caravelle VIN,VT-DPP,130,80,73,7,2,2,0,0,Undershot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</si>
  <si>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02/16/1966,16:35," Pechora, Russia",Aeroflot,302,Vorkuta - Syktyvkar,Ilyushin II-14,CCCP-52058,7343609,26,18,8,26,18,8,0,"An hour after he departed Vorkuta Airport bound for Syktyvkar, the crew reported a fire on the right engine. After the engine detached, the plane crashed in a lake."</t>
  </si>
  <si>
    <t>02/16/1966,16:35,"Near Pechora, Russia",Aeroflot,302,	Vorkuta - 	Syktyvkar,Ilyushin IL-18M,CCCP-52058,7343609,35,28,7,35,28,7,0,"Approximately 1 hour into a flight, the plane's right engine failed and a fire erupted which could not be extinguished. The crew attempted to divert to Pechora but did not make it. The engine fell off, te plane rolled to the left and the plane crashed into a forest."</t>
  </si>
  <si>
    <t>02/16/1966,01:38,"Moscow, Russia",Aeroflot,,CCCP-76491,Tupolev Tu-114,CCCP-76491,64M472,66,47,19,21,8,13,0,The crew was attempted a night takeoff in heavy snow. The plane veered off the runway to the right and crashed in flames. The crew attempted a takeoff in what was well below the minima.</t>
  </si>
  <si>
    <t>02/17/1966,01:38,"Moscow, Russia",Aeroflot, SU-065,Moscow - Conakry,Tupolev Tu-114D,CCCP-76491,64M472,66,47,19,21,8,13,0,"While taking off, the aircraft struck a snow drift with the left main landing gear. The pilot banked the plane to the right, causing the No..3 propeller to strike the runway. The airplane crashed and caught fire. The runway was not entirely cleared and the visibility was poor."</t>
  </si>
  <si>
    <t>02/18/1966,02:04,"Near Milan, Italy",Belgian International Air Services,,Brussels - Milan,Douglas DC-6B,OO-ABG,43829/351,4,1,3,4,1,3,0,The cargo plane struck trees to the right of the runway while attempting to land. Failure of the pilot to comply with the Company's minima. Subsequent belated decision to execute the missed approach procedure.</t>
  </si>
  <si>
    <t>03/04/1966,20:15,"Near Tokyo, Japan",Canadian Pacific Air Lines,402,Hong Kong - Tokyo,McDonnell Douglas DC-8-43,CF-CPK,45761/237,72,62,10,64,54,10,0,The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</si>
  <si>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03/05/1966,14:15,"Near Gotemba City, Mt. Fuji, Japan",British Overseas Airways,911,Tokyo - Hong Kong,Boeing B-707-436,G-APFE,17706/113,124,113,11,124,113,11,0,The aircraft crashed into Mt. Fuji after encountering severe turbulence when the pilot decided to give the passengers a view of the mountain. The aircraft encountered severe clear air turbulence and started to come apart in the air before crashing.</t>
  </si>
  <si>
    <t>03/10/1966,,"Athens, Greece",Trans Mediterranean Airways,,Beirut - Frankfurt,Douglas DC-6A,OD-AEL,45504/1009,5,0,5,5,0,5,0,The cargo plane flew into Mt. Parnon about 27 km east of Sparta.</t>
  </si>
  <si>
    <t>03/10/1966,17:14,"Reef Island, Alaska",Pacific Western,,,Grumman G-21A,CF-MSK,B-32,7,6,1,6,6,0,0,"On approach, the aircraft struck power cables, stalled and crashed into the Portland Canal. after the pilot misjudged altitude and clearance. VFR flight into adverse weather conditiions."</t>
  </si>
  <si>
    <t>03/18/1966,18:40,"Cairo, Egypt",United Arab Airlines,749,Nicosia - Cairo,Antonov AN-24B,SU-AOA,57302009,30,25,5,30,25,5,0,Crashed into sand dunes. Improper approach during a sandstorm with turbulence and icing. Descent of the aircraft below the safe flight altitude in the final approach.</t>
  </si>
  <si>
    <t>03/20/1966,,"Asuncion, Paraguay",Servicios Americanos,,AsunciÃ³n â€“ Montevideo,Curtiss C-46F,N1245N,22473,2,0,2,2,0,2,0,The cargo plane crashed on takeoff.</t>
  </si>
  <si>
    <t>04/22/1966,20:30,"Near Ardmore, Oklahoma",American Flyers Airline,280D,Monterey - Ardmore,Lockheed 188C Electra,N183H,1136,98,93,5,83,78,5,0,"The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</si>
  <si>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04/23/1966,08:03,"Off Baku, Azerbaijan",Aeroflot,2723,"Baku, Azerbaijan - 	Makhachkala, Russia",Ilyushin IL-14,CCCP-61772,146000310,33,28,5,33,28,5,0,The pilot reported both engine were losing power and he was going to ditch the plane into the ocean. Engine failure cause unknown. The wreckage was never found.</t>
  </si>
  <si>
    <t>04/27/1966,08:05,"Tomas, Peru",LANSA,501,Lima - Cuzco,Lockheed 749A Constellation,OB-R-771,2521,49,43,6,49,43,6,0,"Crashed into 12,600 ft. Mt. Talsula. Pilot error. Incorrectly selected the route. Incorrectly calculated the climb performance of the aircraft in relation to its total weight of takeoff. Underestimated the elevation of peaks he had to clear along the route."</t>
  </si>
  <si>
    <t>05/04/1966,08:00,"Near Di Linh, South Vietnam",Military - U.S. Army,,,Boeing CH47A (helicopter),64-13138,,20,17,3,20,17,3,0,Engine failure caused the helicopter to crash shortly after taking off. Failure of the aircraft's No. 2 pinion drive shaft thrust bearing.</t>
  </si>
  <si>
    <t>06/29/1966,12:04,"Sablayan, Philippines",Philippine Air Lines,785,Mamburao - San Jose,Douglas DC-3,PI-C17,20573,26,24,2,24,22,2,0,"Cashed in poor weather. Misjudgment of the terrain clearance, which resulted in the collision with trees in severe turbulence and strong gusty winds."</t>
  </si>
  <si>
    <t>07/04/1966,15:59,"Auckland, New Zealand",Air New Zealand,,Training,Douglas DC-8-52,ZK-NZB,45751/231,5,0,5,2,0,2,0,"The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</si>
  <si>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07/11/1966,20:50,"Hideaway Park, Colorado",Alamo Airways,,,de Havilland 104-6A,N1563V,04449,3,2,1,3,2,1,0,"Struck mountain slope while in level flight. VFR flight into adverse weather conditions. Weather conditions were poor with low ceiling, rain showers, thunderstorm activity and turbulences."</t>
  </si>
  <si>
    <t>07/11/1966,,"Cerro el Planchon, Chile",Aeropesca Colombia,,BogotÃ¡ - La Paz - Santiago - Buenos Aires,Curtiss C-46D,HK-527,33215,8,0,8,8,0,8,0,"While cruising in poor weather conditions, the cargo plane struck the slope of Mt PlanchÃ³n-Peteroa  located about 200 km south of Santiago.plane. The wreckage was never found."</t>
  </si>
  <si>
    <t>07/15/1966,,Pakistan,Military - Pakistan Air Force,,,Lockheed C-130B Hercules,24142,3768,10,0,10,10,0,10,0,Struck a mountain.</t>
  </si>
  <si>
    <t>07/24/1966,18:27,"Near Munster, Indiana",Private - Mainline Aviation,-,,Beechcraft H50,N538B,,4,3,1,4,3,1,0,"The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</si>
  <si>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08/03/1966,,"Benito, Bolivia",Lloyd AÃ©reo Boliviano,,Riberalta - Cochabamba,Curtiss C-46D,CP-730,33457,3,0,3,3,0,3,0,"The cargo  aircraft was not being flown at the recommended altitude when it reached mountains to be crossed, nor whas it at the proper crossing point. A secondary factor was the lack of navigational aids in the area."</t>
  </si>
  <si>
    <t>08/06/1966,23:12,"Near Falls City, Nebraska",Braniff Airlines,250,"Kansas City, MO - Omaha",BAC One-Eleven 203AE,N1553,070,42,38,4,42,38,4,0,The aircraft broke up in flight due to turbulence after entering a squall line. Right tailplane and wing failed. Pilot operated aircraft in area of avoidable weather hazard.</t>
  </si>
  <si>
    <t>08/11/1966,,"Near Sibiu, Romania",Tarom,, Bra?ov - Constanta,Ilyushin IL-14,YR-TAN,18428005,24,20,4,24,20,4,0,Crashed on a flight while en route.</t>
  </si>
  <si>
    <t>08/17/1966,18:30,"Puertos Lobos, Argentina",Aerovias Halcon,,Rio Gallegos -  Buenos Aires,Curtiss C-46F-1-CU,LV-GLA,22534,16,12,4,1,0,1,0,"Ditched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</si>
  <si>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08/17/1966,,"Near Da Nang, South Vietnam",Military - U.S. Marine Corps,,,Chance Vought F-8E,150321,,1,0,1,0,0,0,33,"Following engine failure, the jet fighter crashed into a village."</t>
  </si>
  <si>
    <t>08/21/1966,10:35,"Near Juneau, Alaska",Alaska Coastal Airlines,,,Grumman G-21 Goose,N88820,1114,9,8,1,9,8,1,0,Crashed into a glacial crevasse near Juneau. Undetermined cause.</t>
  </si>
  <si>
    <t>09/01/1966,00:47,"Near Ljubljana, Slovenia, Yugoslavia",Britannia Airways,105,Luton - Ljubljana,Bristol Britannia 102,G-ANBB,12903,117,110,7,98,92,6,0,The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</si>
  <si>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09/04/1966,,"Mumbai, Indian",Indian Airlines,,Training,Sud Aviation SE-210 Caravelle,VT-DSB,134,4,0,4,4,0,4,0,Struck a hill while simulating an engine failure.</t>
  </si>
  <si>
    <t>09/16/1966,08:25,"Off Tenerife, Canary Islands, Spain",Iberia Airlines,,,Douglas DC-3,EC-AXC,19410,27,24,3,1,1,0,0,An overspeeding and failed attempt to feather the No. 1 engine necessitated ditching the plane. The plane sank after 5 minutes.  One passenger refused to leave the aircraft and drowned.</t>
  </si>
  <si>
    <t>09/22/1966,03:15,"Bogota, Colombia",Avianca,,Bogota - Barranquilla,Douglas DC-4,HK-174,42929,2,0,2,2,0,2,0,"The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</si>
  <si>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09/22/1966,13:03,"Winton, Australia",Ansett ANA,149,Mount Isa - Longreach,Vickers Viscount 832,VH-RMI,416,24,20,4,24,20,4,0,"About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</si>
  <si>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10/01/1966,19:10,"Near Wemme, Oregon",West Coast Airlines,956,Eugene - Portland,McDonnell Douglas DC-9-14,N9101,45794/52,18,13,5,18,13,5,0,"The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</si>
  <si>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10/04/1966,,"An Khe, Vietnam",Military - U.S. Army,,Hammond - An Khe,de Havilland Canada CV-2B Caribou,63-9751,209,32,28,4,14,10,4,0,While attempting a go-around the plane hit Hong Kong mountain.</t>
  </si>
  <si>
    <t>10/08/1966,13:30,"Off Morgan City, Louisiana",Petroleum Helicopter,,,Bell 204B helicopter,N1187W,  2041,11,10,1,11,10,1,0,The helicopter crashed into the Gulf of Mexico after a tail rotor failure.  Fatigue fracture.</t>
  </si>
  <si>
    <t>11/11/1966,01:43,"Off Chatham, Massachusetts",Military - U.S. Air Force,-,Survey flight,Lockheed EC-121H,55-5262,4413,19,15,4,19,15,4,0,"The aircraft was observed flying low and emitting smoke from one of its engines before crashing into the sea and exploding, 125 miles east of Nantucket."</t>
  </si>
  <si>
    <t>11/13/1966,20:30,"Off Matsuyama, Japan",All Nippon Airways,533,Osaka - Matsuyama,NAMC-YS-11-111,JA8658,2023,50,45,5,50,45,5,0,The plane crashed into the sea after overshooting the runway and during a go-around. Undetermined cause.</t>
  </si>
  <si>
    <t>11/15/1966,02:42,"Near Dallgow, Germany",Pan American Airways,,Frankfurt - Berlin,Boeing 727-21,N317PA,18995/221,3,0,3,3,0,3,0,The cargo plane crashed while landing. The descent of the flight below its altitude clearance limit for reasons unknown.</t>
  </si>
  <si>
    <t>11/20/1966,06:06,"Near New Bern, North Carolina",Piedmont Airlines,101,Wilmington - New Bern,Martin 404,N40406,14170,3,0,3,3,0,3,0,Crashed while on approach. Descent below obstructing terrain.</t>
  </si>
  <si>
    <t>11/22/1966,12:20,"Near Aden, Yemen",Aden Airways,,"Aden - Maifa'a Mayfa'ah - Arden, Yemen",Douglas DC-3,VR-AAN,4284,30,27,3,30,27,3,0,The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</si>
  <si>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11/24/1966,16:30,"Near Bratislava, Czechoslovakia",Transportno Aviatsionno Bulgaro-Soviet Obshchestvo,101,Bratislava - Praha,Ilyushin IL-18B,LZ-BEN,184007101/356,82,74,8,82,74,8,0,"Following takeoff, the aircraft did not follow assigned route and crashed into wooded hillside. Insufficient evaluation of the weather conditions and relief of the terrain by the crew."</t>
  </si>
  <si>
    <t>11/26/1966,19:20,"Near Saigon, South Vietnam",Military - U.S. Air Force,,Saigon - Korat AB,Douglas C-47D,4476574,,31,25,6,31,25,6,0,Crashed and burst into flames into a rice paddy after experiencing a malfunction of the left engine.</t>
  </si>
  <si>
    <t>11/26/1966,14:24,"Near La Pedrera, Colombia",Satena,,La Pedrera -Leticia,Consolidated  PBY-5A Catalina,FAC-621,,13,10,3,12,9,3,0," Shortly after takeoff from  La Pedrera Airport, while in an initial climb, the seaplane stalled and crashed into the Rio CaquetÃ¡."</t>
  </si>
  <si>
    <t>12/02/1966,,"Moscow, Russia",Aeroflot,,Moscow - Brazzaville,Tupolev TU-114B,CCCP-76457,88411,21,13,8,21,13,8,0,Crashed into a snowbank on the takeoff roll in poor visibility.</t>
  </si>
  <si>
    <t>12/18/1966,02:55,"Bogota, Colombia",Aerocondor de Colombia,,Miami - Bogota,Lockheed L-1649A Starliner,N7301C,1002,59,52,7,17,13,4,0,Crash landed short of the runway on approach in fog. Pilot error. Presence of unauthorized person in the cockpit distracting the pilot. Lack of cockpit supervision. Poor weather.</t>
  </si>
  <si>
    <t>12/24/1966,09:56,"Cascubel River, Colombia",AVIANCA,729,Bogota - Cali,Douglas C-47A-80-DL,HK-161,19630,29,26,3,29,26,3,0,"Crashed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</si>
  <si>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12/24/1966,19:15,"Binh Tahi, Da Nang, Vietnam",Flying Tiger Line,,,Canadair CL-44D4-1,N228SW,31,4,0,4,4,0,4,125,The cargo plane undershot runway by 1 mile while making a radar approach in fog at night. Crashed into numerous thatched roof houses.</t>
  </si>
  <si>
    <t>02/06/1967,,"Aleppo, Syria",Syrian Arab Airlines,,Damascus - Aleppo,Douglas DC-3,YK-ACB,33559,19,NULL,NULL,1,NULL,NULL,0,Crashed into building while landing in marginal weather and limited visibility.</t>
  </si>
  <si>
    <t>02/07/1967,,"Near Hourghada, UAR",Misrair,,,Antonov AN-24,,,30,NULL,NULL,30,NULL,NULL,0,Crashed after an explosion aboard the aircraft.</t>
  </si>
  <si>
    <t>02/09/1967,05:15,"Near Mexico City, Mexico",Cubana de Aviacion,,Havana - Mexico City,Antonov AN-12,CU-T827,401504,10,6,4,10,6,4,0,"Crashed due to 18 km from the runway. Pilot error,"</t>
  </si>
  <si>
    <t>02/16/1967,13:21,"Manado, Indonesia",Garuda Indonesia Airlines,708,Jakarta - Menado via Surabaya,Lockheed L-188C Electra,PK-GLB,2021,63,55,8,22,22,0,0,"Crashed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</si>
  <si>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02/20/1967,08:45,"Tegucigalpa, Honduras",Sahsa Airlines,,San Pedro Sula - Tegucigalpa,Douglas DC-6,HR-SAG,42894/56,55,50,5,4,4,0,0,"While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</si>
  <si>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02/28/1967,19:18,"Mactan, Philippines",Philippine Air Lines,345,Manila - Mactan,Fokker F-27 Friendship 100,PI-C501,10147,20,16,4,12,8,4,0,Crashed after undershooting the runway. Loss of control at low altitude. Improper loading which placed the center of gravity in back of the center of gravity limits of the plane.</t>
  </si>
  <si>
    <t>03/05/1967,20:07,"Near Marseille, Ohio",Lake Central Airlines,527,Colombus - Toledo,Convair CV-580,N73130,023,38,35,3,38,35,3,0,The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</si>
  <si>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03/05/1967,02:56,"Monrovia, Liberia",Varig,837,Rome - Monrovia,McDonnell Douglas DC-8-33,PP-PEA,45253/5,90,71,19,51,50,1,5,Crashed on short of  the runway during approach. Crew error. The failure of the pilot to arrest the fast descent at a low altitude upon which he had erroneously decided after coming in too high.</t>
  </si>
  <si>
    <t>03/08/1967,,"Karachi, Pakistan",Compagnie Air Transport,,Karachi - Tokyo,AT L98 Carvair,F-BMHU,4,6,0,6,4,0,4,7,Failed to climb on takeoff and crashed into a bridge and some houses. Failure of the right engine.</t>
  </si>
  <si>
    <t>03/09/1967,11:54,"Urbana, Ohio",Trans World Airlines / Private,553,Pittsburgh - Dayton,MD Douglas DC-9-15 / Beechcraft Baron-55,N1063T/N6127V,45777/80 / N6127V,26,21,5,26,21,5,0,"Midair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</si>
  <si>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03/10/1967,16:20,"Near Phan Rang, South Vietnam",Military - U.S. Navy,,Siagon - Cam Ranh Bay AB,Douglas C-47J,99844,33262,25,21,4,25,21,4,0,Crashed and exploded  while en route.</t>
  </si>
  <si>
    <t>03/10/1967,05:03,"Near Klamath Falls, Oregon",West Coast Airlines,720,Klamath Falls - Medford - North Bend - Portland - Seattle,Fairchild F-27,N2712,73,4,1,3,4,1,3,0,The aircraft struck the northwestern slope of Stukel Mountain just after takeoff. Loss of control due to ice accretion on airframe surfaces. The pilot should have required that de-icing fluid be applied prior to takeoff.</t>
  </si>
  <si>
    <t>03/11/1967,16:00,"Mt Visenti, Italy",Aeralpi,,Venezia - Belluno,de Havilland Canada DHC-6 Twin Otter 100,I-CLAI,30,5,3,2,4,2,2,0,Flew into Colcanin Mountain in heavy fog while en route.</t>
  </si>
  <si>
    <t>03/12/1967,14:28,"Near Yakutsk, Russia",Aeroflot,1799,	Olyokminsk - Yakutsk,Ilyushin IL-14P,CCCP-61657,6341801,19,15,4,15,11,4,0,The aircraft collided with trees and caught fire  50 miles from Yakutsk after the right engine caught fire.</t>
  </si>
  <si>
    <t>03/13/1967,17:10,"Off East London, South Africa",South African Airways,406,Port Elizabeth - East London,Vickers Viscount 818,ZS-CVA,317,25,20,5,25,20,5,0,Crashed into the sea. Most probably the captain suffered a heart attack and the first officer could not regain control of aircraft.</t>
  </si>
  <si>
    <t>03/30/1967,00:50,"New Orleans, Louisiana",Delta Air Lines,9877,New Orleans AP - New Orleans AP,McDonnell Douglas DC-8-51,N802E,45409/19,6,0,6,6,0,6,13,"Flight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</si>
  <si>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04/02/1967,,"Off Lima, Peru",Caribbean Airlines,,Miami - Lima - AsunciÃ³n,Lockheed 18 Lodestar,N706G,2625,5,2,3,5,2,3,0,Ditched in the ocean 2 km  off shore.</t>
  </si>
  <si>
    <t>04/11/1967,20:14,"Tamanrasset, Algeria",Air Algerie,,Algiers - Tamanrasset,Douglas DC-4,7T-VAU,3065,39,33,6,35,29,6,0,Crashed into a mountainside while descending to land at Tamanrasset. Cause unknown.</t>
  </si>
  <si>
    <t>04/17/1967,17:40,"Near Mamuniyeh, Iran",Military - Imperial Iranian Air Force,,Shiraz - TerhanI,Lockheed C-130B,5-107,4118,23,14,9,23,14,9,0,Crashed after flying through thunderstorm activity and being struck by lightning.</t>
  </si>
  <si>
    <t>04/20/1967,01:13,"Near Nicosia, Cyprus",Globe Air,,Bombay - Cairo,Bristol Britannia 175,HB-ITB,13232,130,120,10,126,117,9,0,The flight crashed while making a second landing attempt. Misjudgement by the pilot during approach. Both pilots exceeded their duty time by 3 hours at the time of the crash. The first officer had less than 50 hours flying time in a Britannia.</t>
  </si>
  <si>
    <t>04/26/1967,,"Near Sogamosa, Colombia",AVIANCA,, Sogamoso - Trinidad,Douglas DC-3,HK-326,4631,18,16,2,17,15,2,0,Stalled and crashed shortly after taking off.</t>
  </si>
  <si>
    <t>04/27/1967,17:10,"Malaybalay, Philippines",Pelita Air Service,,Demonstration,Fokker F-27 Friendship 400,PK-PFB,10306,21,18,3,19,16,3,0,The plane crashed at the west end of of the runway on takeoff while on a demonstration flight. Overloaded.</t>
  </si>
  <si>
    <t>05/01/1967,16:20,"Flushing, New York",Greylock Airways / Private,,,de Havilland DH-104 / Piper PA-28,N80013 / N5836W,,14,11,3,3,1,2,0,The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</si>
  <si>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05/15/1967,,"Cape Dyer, Northwest Territories Canada",Nordair,,,Curtiss C-46T,CF-NAD,30200,4,2,2,4,2,2,0,Crashed short of the runway in whiteout conditions. Improper  procedures by crew in whiteout weather conditions.</t>
  </si>
  <si>
    <t>05/19/1967,18:37,"Ottawa, Ontario, Canada",Air Canada,,Training -Montreal - Ottawa,Douglas DC-8-54F,CF-TJM,45653/178,3,0,3,3,0,3,0,The plane rolled to the right and crashed inverted. Failure to abandon a training maneuver under conditions which precluded the availability of adequate flight control.</t>
  </si>
  <si>
    <t>06/03/1967,23:06,"Mt. Canigou, near Roussillon, France",Air Ferry Ltd,,Manston - Perpignan,Douglas C54A,G-APYK,10279,88,83,5,88,83,5,0,Crashed into a mountain while attempting to land. Series of errors by the crew due to intoxication by carbon monoxide fumes. Difficulty in communication between the ATC and crew due to lack of phraseology.</t>
  </si>
  <si>
    <t>06/04/1967,10:09,"Stockport, Cheshire, England",British Midland Airways,,Palma de Mallorca - Manchester,Canadair C-4 Argonaut,G-ALHG,153,84,79,5,72,69,3,0,"The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</si>
  <si>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06/11/1967,,"Jedda, Saudi Arabia",Saudi Arabian Airlines,,Madinah - Jeddah,Douglas DC-3,HZ-AAJ,15235/26680,18,15,3,17,14,3,0,Crashed on final approach.</t>
  </si>
  <si>
    <t>06/12/1967,,"Near La Paz, Mexico",Aeronaves de Mexico,,La Paz - Mazatlan,Douglas DC-3A-197D,XA-FUW,3260,4,0,4,3,0,3,2,Crashed into a residential neighborhood while attempting to return to the airport following an engine failure.</t>
  </si>
  <si>
    <t>06/12/1967,17:58,"Dublin, Ireland",Aer Turas,,Glasgow - Dublin,Bristol 170 Freighter 31E,EI-APM,13076,2,0,2,2,0,2,0,"The pilot attempted an overshoot maneuver, following the stoppage of the port engine, at too low a speed (below the minimum control speed) resulting in an uncontrollable turn towards the Airport buildings."</t>
  </si>
  <si>
    <t>06/15/1967,05:00,"Near Coari, Brazil",Military - Brazilian Air Force,,Belem - Cachimbo,Douglas C-47,C-47-268,,25,20,5,20,16,4,0,The pilot became lost and ran out of fuel crashing into a swamp. Wreckage was found in the jungle 10 days later.</t>
  </si>
  <si>
    <t>06/17/1967,19:30,"An Khe, South Vietnam",Military - U.S. Air Force,,An Khe - Tan Son Nhut,Lockheed C-130B,60-0293,3591,56,49,7,35,35,0,0,The plane crashed after an aborted takeoff caused the plane to break apart and catch fire.</t>
  </si>
  <si>
    <t>06/23/1967,13:47,"Blossburg, Pennsylvania",Mohawk Airlines,40,Elmira - Washington DC,BAC One Eleven 204AF,N1116J,098,34,30,4,34,30,4,0,"The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</si>
  <si>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06/23/1967,09:00,"Near Jacksonville, North Carolina",Military - U.S. Marine Corps/Military - U.S. Marine Corps,,,Bell UH-1B / Sikorsky CH53A helicopters,638572/153305,,35,NULL,NULL,22,NULL,NULL,0,A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</si>
  <si>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06/24/1967,,"Khamis Mushait, Saudi Arabia",Saudi Arabian Airlines,,Nejran - Jeddah,Douglas DC-3,HZ-AAM,,17,14,3,16,13,3,0,Crashed while en route.</t>
  </si>
  <si>
    <t>06/30/1967,16:10,"Kai Tak, Hong Kong",Thai International,601,Seoul - Hong Kong,Sud Aviation SE-210 Caravelle III,HS-TGI,025/24,80,73,7,24,24,0,0,Ditched into the sea while on approach during a typhoon. Crew did not follow proper approach procedures.  The captain did not monitor the approach properly and the co-pilot mishandled the aircraft after descending below minimum altitude.</t>
  </si>
  <si>
    <t>07/06/1967,18:43,"Bacolod, Philippines",Philippine Air Lines,385,Bacolod - Mactan,Fokker F-27 Friendship 100,PI-C527,10285,21,17,4,21,17,4,0,Crashed into a mountain in poor weather. Pilot error. Decision to fly VFR over rugged terrain in IFR conditions.</t>
  </si>
  <si>
    <t>07/19/1967,11:01,"Near Hendersonville, North Carolina",Piedmont Airlines / Private,22,Ashville - Roanoke,Boeing B-727-22 / Cessna 310,N68650/N3121S,18295/4 / ?,82,77,5,82,77,5,0,"Midair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</si>
  <si>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07/19/1967,12:01,"Tananarive, Malagasy Republic",Air Madagascar,,Atlanta - Asheville - Roanoke - Washington DC,Douglas DC-4-1009,5R-MAD,42991,42,39,3,42,39,3,0,"Crashed 2,500 feet beyond the runway while taking off from Ivato airport in fog. Lost power to both left engines and struck high ground while trying to return for an emergency landing in poor visibility."</t>
  </si>
  <si>
    <t>07/25/1967,10:30,"Near Luang Prabang, Laos",Vehu Akat,,Vientiane - Luang Prabang,Douglas DC-3,XW-PDL,,16,13,3,16,13,3,0,Struck a mountain in the Phou Pha Bon range while in a holding pattern. Encountered strong turbulence and downdrafts.</t>
  </si>
  <si>
    <t>07/25/1967,,"Near Luang Prabang, Laos",Taiwan Aviation,,Vientiane - Luang Prabang,Douglas DC-3,B-112,,18,15,3,18,15,3,0,Crashed en route.</t>
  </si>
  <si>
    <t>09/05/1967,02:40,"Near Gander, Newfoundland, Canada",Ceskoslovenske Aerolinie,523,Gander - Havana,Ilyushin IL-18,OK-WAI,187009705,69,61,8,37,33,4,0,"Unable to maintain altitude after taking off, the aircraft crashed 4,000 feet past the runway and burned. Cause unknown."</t>
  </si>
  <si>
    <t>10/08/1967,09:40,"Near Huong Thuy, South Vietnam",Military - U.S. Air Force,,Hue - Da Nang,Lockheed C130B,61-2649,3692,23,18,5,23,18,5,0,"The aircraft struck a mountain at 1,700 ft., exploded and disintegrated 10 minutes after taking off from Da Nang."</t>
  </si>
  <si>
    <t>10/12/1967,07:25,"Off Rhodes, Greece",British European Airways,284,Athens - Nicosia,de Havilland Comet 4B,G-ARCO,06449,66,59,7,66,59,7,0,While flying at FL 290 the aircraft was destroyed by a detonation of a high explosive device within the cabin under seat 4A or 5A which severly damaged the aircraft causing it to go out of control and structurally break up at FL150.</t>
  </si>
  <si>
    <t>10/24/1967,,South Vietnam,China Airlines (Taiwan),,Phan Rang - Pleiku,Douglas DC-3,B-1541,,16,13,3,16,13,3,0,Crashed en route.</t>
  </si>
  <si>
    <t>11/03/1967,11:30,"Near Curitiba, Brazil",Sadia,,Sao Paulo - Curitiba,Handley Page HPR-7 Herald 214,PP-SDJ,190,25,20,5,21,16,5,0,Crashed into hill while on approach. Improper procedures used by crew.</t>
  </si>
  <si>
    <t>11/04/1967,22:02,"Fernhurst, Sussex, England",Iberia Airlines,062,Malaga - London,Sud Aviation Caravelle 10R,EC-BDD,202/204,37,30,7,37,30,7,0,"The aircraft descended too low and flew into the southern slope of Black Down Hill.  Descended through its assigned altitude for reasons unknown. Actress June Thorburn, 36,  killed."</t>
  </si>
  <si>
    <t>11/05/1967,10:35,"Hong Kong, China",Cathay Pacific Airways,033,Hong Kong - Saigon,Convair CV-880-22M-3,VR-HFX,22-00-37,127,116,11,1,1,0,0,"Shortly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</si>
  <si>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11/06/1967,18:41,"Cincinnati, Ohio",Trans World Airlines,159,Cincinnati - Los Angeles,Boeing B-707-131,N742TW,17669/43,36,29,7,1,1,0,0,"While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</si>
  <si>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11/16/1967,21:03,"Near Sverdlovsk, Russia",Aeroflot,2230,Sverdlovsk  - Tashken,Ilyushin IL-18B,CCCP-75538,184007002,107,99,8,107,99,8,0,The plane climbed to 700 ft. and crashed into the ground. Malfunctioning artificial horizon and compass.</t>
  </si>
  <si>
    <t>11/20/1967,20:57,"Cincinnati International Airport, Covington/Hebron, Kentucky",Trans World Airlines,128,Los Angeles - Cincinnati,Convair CV-880-22-1,N821TW,22-00-27,82,75,7,70,65,5,0,The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</si>
  <si>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11/30/1967,14:30,"Near Qui Nhon, South Vietnam",Military - U.S. Air Force,,Pleiku  Qui Nhon,de Havilland Canada C-7A Caribou,62-4175,,26,22,4,26,22,4,0,The aircraft crashed and burned on a slope of a mountain in light rain and low visibility as it diverted to Nha.Trang from it scheduled landing at Qui Nhon.</t>
  </si>
  <si>
    <t>12/07/1967,,"Muong Soui, Laos",Lao Cathay Airlines,,,Douglas DC-3,XW-PFM,,12,2,10,10,2,8,0,The cargo plane crashed inverted into a river.</t>
  </si>
  <si>
    <t>12/08/1967,,"Carpich Huanuco Mt., Peru",Faucett,,Huanuco - Tingo Maria,Douglas DC-C-54A,OB-R-148,10284,72,66,6,72,66,6,0,"The plane flew into 10,500 ft. Carpish Mountain,30 miles from Tingo Maria."</t>
  </si>
  <si>
    <t>12/10/1967,15:25,"Near Madison, Wisconsin",Private,-,"Cleveland, OH - Madison WI",Beechcraft 18H,N390R,BA-623,8,7,1,7,6,1,0,"The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</si>
  <si>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12/21/1967,16:00,"Denver, Colorado",Frontier Airlines,,"Denver, CO - Scottsbluff, NE",Douglas C-47A,N65276,19202,2,0,2,2,0,2,0,The cargo plane crashed on takeoff. The failure of the crew to perform a pre-takeoff control check resulting in takeoff with the elevators immobilized by a control batten.</t>
  </si>
  <si>
    <t>12/25/1967,13:49,"Chiang Mai, Thailand",Thai Airways,002,Bangkok - Chiang Mai,Douglas DC-3,HS-TDH,9189,31,28,3,4,2,2,0,"During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</si>
  <si>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12/30/1967,08:28,"Liepaja, Latvia",Aeroflot,A-51,Riga - Liepaja,Antonov AN-24B,CCCP-46215,67302909,51,46,5,44,41,3,0,"During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</si>
  <si>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01/06/1968,18:27,"Near Olekminsk, Russia",Aeroflot,1668,	Olekminsk - 	Lensk,Antonov An-24B,CCCP-47733,	 69901001,46,39,6,45,39,6,0,Entered an uncontrolled descent and crashed 92 km from Olekminsk. The cause of the accident could not be determined.</t>
  </si>
  <si>
    <t>01/08/1968,17:00,"Near Quang Tri, South Vietnam",Military - U.S. Marine Corps,,,Sikorsky CH-53A (helicopter),153710,,42,37,5,42,37,5,0,Crashed into a mountain south of Dong Ha airfield.</t>
  </si>
  <si>
    <t>01/10/1968,14:00,"Near Copper Canyon, Nevada",Military - U.S. Marine Corps,,Buckley ANGB - Seattle NAS,Douglas C-54P,50850,10427,19,12,7,19,12,7,0,"The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</si>
  <si>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01/15/1968,07:54,"Zifta, Egypt",United Arab Airlines,,Cairo - Beirut,Douglas DC-3,SU-AJG,,4,0,4,4,0,4,0,"Ice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</si>
  <si>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01/27/1968,,"Moroni, Comoro Islands",Air Comores,,Dar es-Salaam - Moroni,de Havilland DH-114 Heron 1B,F-OECD,14040,16,15,1,15,14,1,0,"Touched down on the right side of the runway, bounced, crashed into landing lights and into the sea.  Inadequate supervision of the flight by the pilot-in-command. While attempting to go-around, the flaps were fully extended."</t>
  </si>
  <si>
    <t>02/07/1968,05:58,"Vancouver, Canada",Canadian Pacific Air Lines,322,Honolulu - Vancouver,Boeing B-707-138B,N791SA,17698/44,61,52,9,1,0,1,1,"Visual reference was lost in fog after the flare and prior to touchdown. The aircraft overran the runway and collided with a parked aircraft, some vehicles and two buildings. Failure to evaluate existing terminal weather information and to discontinue the attempt to land."</t>
  </si>
  <si>
    <t>02/07/1968,15:00,"Rohtang Pass, Northern India",Military - Indian Air Force,202,"Leh, Kashmir - Chandigarh, Punjab",Antonov AN-12BP,BL534,024003,102,98,4,102,98,4,0,"Vanished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</si>
  <si>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02/16/1968,21:20,"Linkuo, Taiwan",Civil Air Transport,10,Hong Kong - Taipei,Boeing B-727-92C,B-1018,19175/339,63,52,11,21,18,3,1,"The aircraft descended below the glideslope, struck trees and  a house, short of runway, at night, in poor weather. Pilot was not qualified to fly."</t>
  </si>
  <si>
    <t>02/24/1968,,"Ban Napa, Laos",Royal Air Lao,,Vientiane - Sayaboury,Douglas DC-3,XW-TAD,26696,37,34,3,37,34,3,0,Crashed into the Mekong River. Engine failure.</t>
  </si>
  <si>
    <t>02/29/1968,22:43,"Near Bratsk, Russia",Aeroflot,15,	Krasnoyarsk - 	Petropavlovsk,Ilyushin IL-18D,CCCP-74252,187010601,84,75,9,83,74,9,0,After an emergency situation and emergency descent the plane broke apart at FL100 and crashed. One passenger survived. Fuel leak.</t>
  </si>
  <si>
    <t>03/05/1968,08:00,"Near Khe Sanh, South Vietnam",Military - U.S. Air Force,,Hue - Khe Sanh,Fairchild C-123K,54-0590,20039,49,45,4,49,45,4,0,The aircraft attempted a go-around after a small plane landed in front of it but was shot down by enemy ground fire. The plane was hit in the right turbine and crashed in flames.</t>
  </si>
  <si>
    <t>03/06/1968,20:32,"Basse-Terre, Guadeloupe, West Indies",Air France,212,Caracas - Pointe a Pitre,Boeing B-707-328C,F-BLCJ,19724,63,52,11,63,52,11,0,"After reporting the field in sight, the aircraft struck the ridge of a dormant volcano. The crew initiated a descent from an incorrectly identified point while flying VFR."</t>
  </si>
  <si>
    <t>03/08/1968,19:18,"Off Panay Island, Philippines",Air Manila,507,Manila - Lapu Lapu,Fairchild F-27,PI-C871,0019,14,10,4,14,10,4,0,"Cashed into the sea. In-flight structural failure due to air loads exceeding the design strength, while flying into a thunderstorm cell."</t>
  </si>
  <si>
    <t>03/09/1968,23:17,"Near Saint Denis, Reunion",Military - French Air Force,,Saint Denis - Paris,Douglas DC6B,43748,43748/314,20,12,8,19,12,7,0,Crashed into a hill shortly after taking off from the Indian Ocean island. The pilot did not follow the correct departure procedure of turning out towards the ocean after takeoff.</t>
  </si>
  <si>
    <t>03/24/1968,10:59,"Off Wexford Harbor, Ireland",Aer Lingus,712,Cork - London,Vickers Viscount 803,EI-AOM,178,61,57,4,61,57,4,0,"The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</si>
  <si>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03/27/1968,17:57,"St. Louis, Missouri",Ozark Air Lines / Private,,"Peoria, IL - St. Louis, MO",McDonnell Douglas DC-9 and Cessna 150F,N970Z/N8669G,45772/30,51,45,6,2,1,1,0,"Midair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</si>
  <si>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03/27/1968,10:31,"Near Moscow, Russia",Military - Russian Air Force,,,MiG-15 UTI,,,2,0,2,2,0,2,0,"Soviet cosmonaut Yuri Gagarin, 34, the first man in space, was killed along with his instructor, when the military fighter they were training in crashed approximately 30 miles east of Moscow."</t>
  </si>
  <si>
    <t>04/08/1968,15:35,"Heathrow Airport, London, England",British Overseas Airways,712,London - Zurich,Boeing B-707-465,G-ARWE,18373,127,116,11,5,4,1,0,"Shortly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</si>
  <si>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04/08/1968,,"Near Coyhaique, Chile",Ladeco,,Santiago - Coihaique,Douglas DC-3,CC-CBM,6330,36,33,3,36,33,3,0,Crashed while on approach 5 minutes from its destination. Failure of the right wing due to turbulence.</t>
  </si>
  <si>
    <t>04/10/1968,," Near Mexico City, Mexico",Aerovias Rojas,,Aguascalientes - Mexico City,Douglas DC-3,XA-GEV,7339,18,14,4,18,14,4,0,While operating on its inaugural flight the aircraft crashed into a mountain en route after getting lost.</t>
  </si>
  <si>
    <t>04/19/1968,10:45,"Near Cheo Reo, South Vietnam",Military - U.S. Army / Military - U.S. Army,,,Bell UH-1H / Bell UH-1H (helicopter),6616441/6717255,,26,NULL,NULL,26,NULL,NULL,0,"A mid-air collision occurred between the two helicopters at about 1,000 ft. altitude."</t>
  </si>
  <si>
    <t>04/20/1968,20:50,"Near Windhoek, South-West  Africa (Namibia)",South African Airways,228/129,Windhoek - Luanda,Boeing B-707-344C,ZS-EUW,19705,128,116,12,123,111,12,0,"The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</si>
  <si>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04/30/1968,,"Near Chaklala, West Pakistan",Military - Pakistan Air Force,,,Lockheed Martin L-100-10,64145,,22,18,4,22,18,4,0,"Crashed while en route after encountering turbulence, possibly leading to a break-up of the aircraft."</t>
  </si>
  <si>
    <t>05/03/1968,15:48,"Near Dawson, Texas",Braniff Airlines,352,Houston - Dallas-Fort Worth,Lockheed L188A Electra,N9707C,1099,85,80,5,85,80,5,0,"On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</si>
  <si>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05/12/1968,07:20,"Kham Duc, Vietnam",Military - U.S. Air Force,,Kham Duc  - Saigon,Lockheed C-130B Hercules,60-0297,3600,155,149,6,155,149,6,0,"Shot down by enemy fire while attempting to evacuate Kham Duc civilians.  The aircraft shook  violently, crashed and burst into flames in a ravine at the end of the airstrip."</t>
  </si>
  <si>
    <t>05/22/1968,16:51,"Paramount, California",Los Angeles Airways,841,Anaheim - LAX,Sikorsky S-61L helicopter,N303Y,,23,20,3,23,20,3,0,The helicopter suddenly descended to the ground with an erratic action of the main rotor blades and burst into flames. A faulty main rotor blade damper caused one of the rotor blades to detach for reasons undetermined and strike the fuselage.</t>
  </si>
  <si>
    <t>05/28/1968,02:44,"Near Bombay, India",Garuda Indonesia Airlines,,Jakarta - Bombay - Karachi - Cairo - Rome - Amsterdam,Convair CV-990-30A-5,PK-GJA,30-10-3,29,15,14,29,15,14,1,"The aircraft crashed in a nearly vertical attitude, 5 minutes after takeoff, 20 nm from the airport."</t>
  </si>
  <si>
    <t>06/12/1968,00:58,"Calcutta, India",Pan American World Airways,,Bangkok - Karachi,Boeing B-707-321C,N798PA,18790/394,63,53,10,6,5,1,0,"Crashed  1,200 meters short of the runway and hit a tree and caught fire in heavy rain on a night approach. Improper IFR operation. Misused or failed to use flaps. Descended below decision height. The aircraft was named ""Clipper Caribbean."""</t>
  </si>
  <si>
    <t>06/18/1968,16:50,"San Sebastian, Spain",Rinaldo Piaggio,,,Piaggio PD-808,I-PIAI,503,6,5,1,6,5,1,0,The aircraft flew into the side of Mt. Jaiskibel after turning in the wrong direction.</t>
  </si>
  <si>
    <t>06/25/1968,07:30,"Near Bearcat, South Vietnam",Military - U.S. Army,,,Bell UH-1H / Bell UH-1H / Bell UH-1H,,,29,NULL,NULL,29,NULL,NULL,0,A mid-air collision between three helicopters at 900 ft. (66-16202) (66-16592) (66-16601).</t>
  </si>
  <si>
    <t>06/28/1968,12:46,"Vichy, Missouri",Purdue Airlines Inc.,,,Douglas DC-3 (C-47-DL),N6898D,20082,27,23,4,1,1,0,0,"Passenger inadvertentlly opened air stair door in flight, safety chain failed and passenger fell out."</t>
  </si>
  <si>
    <t>07/03/1968,,"London, England",BKS Air Transport,,"Deauville, France - London, England",Airspeed AS.57 Ambassador 2,G-AMAD,5211,8,0,8,6,0,6,0,"The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</si>
  <si>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07/08/1968,,"Near Dhahran, Saudi Arabia",Saudi Arabian Airlines,,,Convair CV-340-68B,HZ-AAZ,219,11,8,3,11,8,3,0,Crashed after a third aborted landing attempt in poor visibility and blowing dust. Failure of the captain to maintain minimum altitude for reasons unknown. Poor judgement by the pilot in attempting a fourth landing.</t>
  </si>
  <si>
    <t>07/13/1968,,"Near Lagos, Nigeria",Sabena,,Brussels - Lagos,Boeing 707-329C,OO-SJK,19211/518,7,2,5,7,2,5,0,The cargo plane descended below mimimum safe altitude and struck trees and crashed.</t>
  </si>
  <si>
    <t>07/15/1968,,"Gravata, Brazil",Varig,,SÃ£o Paulo - Recife,Curtiss C-46C,PP-VBJ,33481,3,0,3,3,0,3,0,Struck a mountain.</t>
  </si>
  <si>
    <t>07/18/1968,,Off Chili,Aerolineas Flecha Austral,,,Curtiss C-46D,CC-CDI,33445,5,0,5,5,0,5,0,Lost at sea.</t>
  </si>
  <si>
    <t>08/02/1968,14:06,"Near Milan, Italy",Alitalia,,Rome - Milan - Montreal,McDonnell Douglas DC-8,I-DIWF,45630,95,85,10,13,13,0,0,"Crashed on approach, 7 miles north of the runway. Positioning for final approach by means of a non-standard procedure. Delayed detection of the VOR radial."</t>
  </si>
  <si>
    <t>08/04/1968,08:48,"Milwaukee, Wisconsin",North Central Airlines / Private,,,Convair CV-580 / Cessna 150,N4634S / N8742S,176 / ?,15,10,5,3,2,1,0,"Midair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</si>
  <si>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08/09/1968,13:05,"Pfaffenhofen, Germany",British Eagle International Airlines,,London - Innsbruck,Vickers Viscount 739A,G-ATFN,394,48,44,4,48,44,4,0,"The aircraft broke up in-flight after plunging from 21,000 ft. Failure of the aircraft's electrical DC generator control system."</t>
  </si>
  <si>
    <t>08/10/1968,07:57,"Charleston, West Virginia",Piedmont Airlines,230,"Cincinnati - Charleston, WV",Fairchild-Hiller FH-227B,N712U,557,37,34,3,35,32,3,0,"Crashed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</si>
  <si>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08/14/1968,09:35,"Compton, California",Los Angeles Airways,417,,Sikorsky S-61L helicopter,N300Y,,21,18,3,21,18,3,0,The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</si>
  <si>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08/18/1968,09:20,"Off Port Said, Egypt",United Arab Airlines,,Cairo - Damascus,Antonov AN-24V,SU-AOL,67302806,40,33,7,40,33,7,0,Ditched into the Mediterranean sea. Cause unknown.</t>
  </si>
  <si>
    <t>08/20/1968,01:30,"Near Maturin, Venezuela",Linea Aeropostal Venezolana,,MaturÃ­n - Tucupita,Hawker Siddeley HS-748-215-2,YV-C-AMY,1580,7,4,3,4,2,2,0,The plane crashed while returning to the airport for an emergency landing after the No. 1 engine failed on takeoff.</t>
  </si>
  <si>
    <t>08/31/1968,,"Near Odda, Norway",Westwing,,,de Havilland Canada DHC-3 Otter,LN-BFD,199,6,5,1,5,4,1,0,Crashed into a hill in poor weather conditons while flying raindeer hunters to a mountain location. One man survived by jumping from the plane seconds before it caught fire.</t>
  </si>
  <si>
    <t>09/03/1968,20:30,"Near Burgas, Bulgaria",Bulair TABSO,,Berlin - Sofia - Burgas,Ilyushin IL-18,LZ-BEG,187009101,89,82,7,47,42,5,0,Crashed on approach descending into the ground short of the runway. Deviation from the prescribed flight rules to accomplish a visual approach in adverse weather conditions.</t>
  </si>
  <si>
    <t>09/08/1968,14:55,"Flushing, New York",Far Aviation - Air Taxi / Speeds Flying - Air Taxi,,,Cessna 402 / Piper PA-28,N8283F / N8828W,,9,7,2,2,1,1,0,Midair collision. Pilot of Cessna failed to see and avoid other aircraft. Two aboard the Piper killed.</t>
  </si>
  <si>
    <t>09/11/1968,10:34,"Off Cap d'Antibes, France",Air France,1611,Ajaccio - Nice,Sud-Aviation Caravelle 3,F-BOHB,244,95,89,6,95,89,6,0,"The airliner crashed into the Mediterranean sea, 10 miles south of Nice Airport, while attempting an emergency landing 21 minutes after taking off. Prior to the crash a message was received that there was fire aboard in the rear of the cabin."</t>
  </si>
  <si>
    <t>09/28/1968,,"Port Harcourt, Biafra, Nigeria",Pan African Airlines,,Lagos - Port Harcourt,Douglas C-54B,N90427,10445,57,55,2,57,55,2,1,"While on final approach, the aircraft hit trees and crashed into a village and caught fire."</t>
  </si>
  <si>
    <t>10/08/1968,08:37,"Puerto Cortes, Costa Rica",Aerovias del Valle,,San JosÃ© - Paso Canoas,Britten-Norman BN-2 Islander,TI-1063C,14,10,9,1,10,9,1,0,"Crashed  into Rio Grande de Terraba, about 7 km west of the airfield. while attempting to land."</t>
  </si>
  <si>
    <t>10/11/1968,16:20,"Near Prague, Czechoslovakia",Ceskoslovenske Aerolinie,,Praha - Kosice,Avia 14-40,OK-MCY,805120,40,36,4,11,8,3,0,After taking off he airplane went out of control and crashed in an open field located 7 km southwest from the airport. Engine failure.</t>
  </si>
  <si>
    <t>10/20/1968,,"FeijÃ³, Brazil",Cruzeiro,,,Douglas C-47A-25,PP-SAD,13764,19,16,3,19,16,3,0,"Tried to return to the airport for an emergency landing after an engine failed. While completing a last turn to join the approach path, control was lost and the airplane crashed in a field located few km from the airport."</t>
  </si>
  <si>
    <t>10/21/1968,06:00,"Near Ban Me Thuot, South Vietnam",Military - U.S. Air Force,,Saigon - Da Nang,Douglas C-47D,450934,16937/34196,23,12,11,23,12,11,0,The aircraft crashed en route after the pilot transmitted a Mayday reporting the failure of the No. 2 engine and inability to feather the propeller. It crashed 20 miles from the airfield it intended to make an emergency landing at.</t>
  </si>
  <si>
    <t>10/25/1968,17:17,"Hanover, New Hampshire",Northeast Airlines,946,"Boston, MA - Montpelier, VT - Lebanon, NH",Fairchild-Hiller FH227C,N380NE,517,42,39,3,32,30,2,0,The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</si>
  <si>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11/22/1968,01:24,"Off San Francisco, California",Japan Air Lines,2,Tokyo - San Francisco,McDonnell Douglas DC-8-62,JA8032,45954/362,107,96,11,0,0,0,0,"The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</si>
  <si>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11/23/1968,19:59,"Santa Ana, California",Cable Commuter,544,Los Angeles - Santa Ana,de Havilland Canada DHC-6 Twin Otter 200,N7666,148,9,7,2,9,7,2,0,"While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</si>
  <si>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11/25/1968,15:33,"Savannakhet, Laos",Air America,, SavannakhÃ©t - Vientiane,Curtiss C-46D-20-CU,N1386N,22265,28,25,3,26,23,3,0,Crashed shortly after taking off after one of the engines failed.</t>
  </si>
  <si>
    <t>12/02/1968,09:36,"Pedro Bay, Alaska",Wien Consolidated Airlines,55,Anchorage - Iliamna,Fairchild F-27B,N4905,0049,39,36,3,39,36,3,0,"Broke up in severe turbulence at 11,500 feet. Failure of the right wing that was weakened by pre-existing fatigue cracks.  The turbulence was not forcast and not known to the flight crew.  Improper maintenance. Incorrect weather forcast."</t>
  </si>
  <si>
    <t>12/12/1968,22:02,"Near Caracas, Venezuela",Pan American World Airways,217,New York City - Caracas,Boeing B-707-321B,N494PA,19696/688,51,42,9,51,42,9,0,"En route from New York City, the airliner crashed in the Caribbean sea and exploded while descending for a landing  at Maiquetia Airport. Possible sensory illusion produced by the town lights on upslope. The aircraft was named ""Clipper Malay."""</t>
  </si>
  <si>
    <t>12/24/1968,20:12,"Bradford, Pennsylvania",Allegheny Airlines,736,Detroit - Erie - Bradford - Washington D.C.,Convair CV-580,N5802,410,47,41,6,20,17,3,0,"The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</si>
  <si>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12/24/1968,04:30,"Prudhoe Bay, Alaska",Interior Airways,,Fairbanks - Prudhoe Bay,Lockheed L-100 Hercules,N760AL,4229,4,0,4,2,0,2,0,The cargo plane crashed after a go-around was attempted in a snowstorm. Pilot in command continued VFR flight into adverse weather conditions and delayed in initiating go around. Weather conditions - down and up drafts.</t>
  </si>
  <si>
    <t>12/26/1968,06:15,"Elmendorf Air Force Base, Alaska",Pan American World Airways,,"San Francisco - Anchorage - Cam Ranh Bay, Vietnam",Boeing 707-321CF,N799PA,,3,0,3,3,0,3,0,"The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</si>
  <si>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 xml:space="preserve"> b) a warning system inadequacy associated with cold weather operations</t>
  </si>
  <si>
    <t xml:space="preserve"> c) ineffective control practices regarding manufacturer's Service Bulletins</t>
  </si>
  <si>
    <t xml:space="preserve"> and d) stresses imposed upon the crew by their attempts to meet an air traffic control deadline."</t>
  </si>
  <si>
    <t>12/26/1968,23:20,"Ensenada, Mexico",Exportada De Sal S.A.,,Tijuana - Guerrero Negro,Douglas DC-3,,,12,10,2,12,10,2,0,Crashed into a mountain after being blown off course by a storm while en route.</t>
  </si>
  <si>
    <t>12/27/1968,20:22,"Chicago, Illinois",North Central Airlines,458,Minneapolis - Chicago - Milwaukee,Convair CV-580,N2045,369,45,41,4,27,24,3,1,"The aircraft crashed during an instrument approach after a go-around, nearly inverted, into a hangar. Spacial disorientation of the crew precipitated by refraction of the landing or approach lights during transition from flying IFR to visual reference to the ground."</t>
  </si>
  <si>
    <t>12/31/1968,,"Near Ciudad Victoria, Mexico",Servicios AÃ©reos Especiales,,Reynosa - Tampico,Douglas DC-3,XA-SAE,20554,26,22,4,26,22,4,0,"Struck the slope of a mountain west of Soto la Marina in marginal weather,"</t>
  </si>
  <si>
    <t>12/31/1968,08:30,"Port Hedland, WA, Australia",MacRobertson Miller Airlines,1750,Perth - Port Hedland,Vickers Viscount 720,VH-RMQ,045,26,21,5,26,21,5,0,"Last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</si>
  <si>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01/02/1969,12:43,"Tyonek, Alaska",ERA Helicopter,,,Bell 205A,N4048G,,2,1,1,2,1,1,0,The helicopter crashed into the water after a uncontrolled descent. Moisture in the servo cylinder vent ports froze causing the pilot valves ports to become inoperative causing the  pitch control to lock-up.</t>
  </si>
  <si>
    <t>01/02/1969,20:12,"Mt. Paku, Taiwan",China Airlines (Taiwan),227,Kaohsiung - Hualien,Douglas DC-3D,B-309,12541,24,19,5,24,19,5,0,Encountered extreme turbulence and downdrafts while en route near mountains.</t>
  </si>
  <si>
    <t>01/05/1969,01:34,"Gatwick Airport, Horley, Surrey,  England",Ariana Afghan Airlines,701,Frankfurt - London,Boeing B-727-113C,YA-FAR,19690/540,62,54,8,48,43,5,2,The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</si>
  <si>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01/06/1969,20:35,"Near Bradford, Pennsylvania",Allegheny Airlines,737,Washington - Harrisburgh - Bradford - Erie - Detroit,Convair CV-580,N5825,386,28,25,3,11,9,2,0,"Crashed, clipping tree tops short of the runway, in light snow while on approach. An excessive descent was not detected or corrected by the crew for reasons unknown. Possibilities include an altimeter failure or misreading of the instrument approach chart."</t>
  </si>
  <si>
    <t>01/13/1969,19:21,"Off Los Angeles, California",Scandinavian Airlines (SAS),933,Copenhagen - Los Angeles - Seattle,McDonnell Douglas DC-8-62,LN-MOO,45822/272,45,36,9,15,12,3,0,"The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</si>
  <si>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01/16/1969,13:45,"Near Hue, Vietnam",Air America,,Hue - da Nang,Douglas C-47 Skytrain (DC-3),949,20415,12,9,3,12,9,3,0,Struck a mountain in poor weather while en route.</t>
  </si>
  <si>
    <t>01/18/1969,18:21,"Off Los Angeles, California",United Air Lines,266,Los Angeles - Denver - Milwaukee,Boeing B-727-22QC,N7434U,19891/631,38,32,6,38,32,6,0,"The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</si>
  <si>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02/18/1969,05:10,"Near Lone Pine, California",Mineral County Airlines,708,"Hawthorne, NV - Burbank - Long Beach",Douglas DC-3,N15570,6320,35,32,3,35,32,3,0,"The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</si>
  <si>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02/24/1969,,"Tainan, Taiwan",Far Eastern Air Transport,,Kaohsiung - Taipei,Handley Page Dart Herald 201,B-2009,157,36,32,4,36,32,4,0,Crashed after experiencing an engine failure during takeoff. The plane passed over a wooded area and belly-landed in a small cleared and skidded into a creek.</t>
  </si>
  <si>
    <t>03/05/1969,17:38,"San Juan, Puerto Rico",Prinair,,Saint Thomas - San Juan,de Havilland DH-114 Heron 2D,N563PR,14125,19,17,2,19,17,2,0,Crashed into the Sierra de Luquillo mountains. The vectoring of the aircraft by a ATC trainee into mountainous terrain under IFR  conditions without adequate clearance altitude.</t>
  </si>
  <si>
    <t>03/08/1969,,Atlantic Ocean,Continental Air Transport,,"Halifax, NS - Santa Maria, Portugal",Douglas DC-4,N3821,10356,3,0,3,3,0,3,0,The cargo plane went missing en route between Santa Maria and the Azores Islands.</t>
  </si>
  <si>
    <t>03/13/1969,15:52,"Minchumina, Alaska",Wien Consolidated Airlines,,Fairbanks - Bethel - Minchumina,de Havilland DHC-6,N4901,3,5,4,1,1,1,0,0,Crashed after the pilot experienced spatial disorientation in a whiteout.</t>
  </si>
  <si>
    <t>03/16/1969,14:00,"Maracaibo, Zulia, Venezuela",Venezolana Internacional de Aviacion,742,Maracaibo - Miami,McDonnell Douglas DC-9-32,YV-C-AVD,47243/448,84,74,10,84,74,10,71,"Seconds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</si>
  <si>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03/20/1969,02:00,"Near Aswan, Egypt",United Arab Airlines,,Jeddah - Aswan,Ilyushin IL-18D,SU-APC,188011301,105,98,7,100,93,7,0,A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</si>
  <si>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03/20/1969,06:55,"New Orleans, Louisiana",Avion Airways,,Memphis - New Orleans,Douglas DC-3,N142D,1946,27,24,3,16,13,3,0,Crashed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</si>
  <si>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04/02/1969,16:08,"Zawoja, Poland",LOT Polish Airlines,165,Warsaw - Cracow,Antonov AN-24V,SP-LTF,67302406,53,48,5,53,48,5,0,The aircraft was on a flight from Warsaw to Cracow when it crashed into the Babia Gora mountains. The aircraft deviated from its normal route in heavy fog for unknown reasons.</t>
  </si>
  <si>
    <t>04/02/1969,12:40,"Near Quang Tri, South Vietnam",Military - U.S. Army,,,Boeing Vertol CH47C (helicopter),67-18523,,78,73,5,24,23,1,0,"As the helicopter was taking off in a vertical climb, there was a loss in rotor speed and the aircraft touched down on the edge of a ravine and rolled over causing the rotor blades to strike the ground and a fire to erupt."</t>
  </si>
  <si>
    <t>04/02/1969,12:50,"Off New Providence Island, Bahamas",Islands of the Bahamas Inc,,,Curtiss C-46F,N3914,22445,2,0,2,2,0,2,0,The cargo aircraft crashed into the ocean after a reported fire.</t>
  </si>
  <si>
    <t>04/07/1969,,"Sept-ÃŽles, Quebec, Canada",Air Canada,,Seven Islands - Montreal,Vickers 757 Viscount,CF-THK,271,21,17,4,1,1,0,0,"A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</si>
  <si>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04/15/1969,13:50,"Off Chongjin, North Korea",Military - U.S. Navy,,Atsuji - Atsuji,Lockheed EC-121M,135749,4318,31,25,6,31,25,6,0,The aircraft was shot down over the Sea of Japan by two North Korean MiG jet fighters while making a reconnaissance flight.</t>
  </si>
  <si>
    <t>04/16/1969,08:20,"Kinshasa, Zaire",Wigmo,,Kinshasa - Kananga - Mbuji-Mayi,Curtiss C-46,9T-PLJ,26710,45,42,3,45,42,3,0,"The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</si>
  <si>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04/21/1969,14:59,"Khulna, East Pakistan",Indian Airlines,,"Silchar, India - Khulna, Bangladesh",Fokker F-27 Friendship 100,VT-DOJ,10214,44,40,4,44,40,4,0,The aircraft crashed in adverse weather conditions. Windshear. The crew tried to fly through thunderstorms at a low level but lost control in severe downdrafts.</t>
  </si>
  <si>
    <t>04/24/1969,,"Near Takoradi, Ghana",Ghana Airways,,,Douglas DC-3,9G-AAF,9407,33,30,3,1,1,0,0,The aircraft struck high ground after engine problems required  a forced landing.</t>
  </si>
  <si>
    <t>05/06/1969,13:20,"Near Chon Thanh, South Vietnam",Military - U.S. Army,,,Boeing Vertol CH47A (helicopter),66-19029,,74,69,5,30,29,1,0,"As the helicopter was taking off, the landing gear became entangled in some wire which dragged the aircraft down and caused it to fall over a cliff."</t>
  </si>
  <si>
    <t>05/07/1969,12:45,"Medford, New Jersey",Flying W Airways,,"Medford, NJ - Allentown, PA",Curtiss C-46F,N1243N,22456,2,0,2,2,0,2,0,Lifted off prematurely to avoid a parked aircraft and struck trees.</t>
  </si>
  <si>
    <t>05/23/1969,,"Near Lashio, Burma",Union of Burma Airways,,,Douglas C-47,XY-ACR,9629,6,4,2,6,4,2,0,Lost control on approach and nosed into the ground in a field. Flap asymmetry in the final stages of the flight.</t>
  </si>
  <si>
    <t>05/25/1969,09:52,"Reggio di Calabria, Italy",Aero Transporti Italiani,,Rome - Reggio di Calabria,Fokker F-27 Friendship 600,I-ATIT,10363,36,31,5,1,1,0,0,Landed short of the runway and hit a wall. Misjudgement by the pilots of the distance between the aircraft and the ground during the final phase of the landing approach.</t>
  </si>
  <si>
    <t>06/04/1969,08:42,"Near Salinas Victoria, Nuevo Leon, Mexico",Compania Mexicana de Aviacion,704,Mexico City - Monterey,Boeing B-727-64,XA-SEL,19256/355,79,72,7,79,72,7,0,"While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</si>
  <si>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06/05/1969,,"Off Andreanof Islands, Alaska",Military - U.S. Air Force,,"Shemya, AK - Eielson, AK",Boeing RC-135E,62-4137,18477,19,0,19,19,0,19,0,"Vanished en route. A message was received from the aircraft stating they were experiencing a vibration but not declaring an emergency followed by ""crew go to oxygen."""</t>
  </si>
  <si>
    <t>06/23/1969,14:52,"Near Poroslitsy, Russia",Aeroflot,831,Moscow - Chernihiv,Ilyushin IL-14M / Antonov An-12BP,CCCP-52018,	 7343208/402503,120,110,10,120,110,10,0,"A soviet air force plane carrying 91 paratroopers collided with a passenger airliner at 3,000 m. The IL-14 pilot changed altitude without permission to avoid storm clouds. Twenty-four killed on the IL-14 and 96 on the An12."</t>
  </si>
  <si>
    <t>06/28/1969,19:50," Near Talas, Kyrgyzstan",Aeroflot,F-28,"Talas, Kyrgyzstan - Frunze, Russia",Ilyushin IL-14,CCCP-91495,7343306,40,35,5,40,35,5,0,The passenger plane struck a mountian 34 km from Talas. Crew error. The crew made a right turn  towards the mountains instead of  a left turn.</t>
  </si>
  <si>
    <t>07/06/1969,20:22,"Near Monroe, Georgia",Air South,168,"Atlanta, GA - Sumpter, SC - Greer, SC",Beechcraft B-99,N844NS,U16,14,12,2,14,12,2,0,"The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</si>
  <si>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07/12/1969,,"Hitauda, Nepal",Royal Nepal Airlines,,Katmandu - Simra,Douglas DC-3,9N-AAP,42956,35,31,4,35,31,4,0,Collided with trees on a cloud covered mountain summit. The plane was 10 miles from its destination when it crashed. Weather was poor at the time of the accident.</t>
  </si>
  <si>
    <t>07/15/1969,06:57,"New York City, New York",New York Airways,901,New York - Newark,de Havilland Canada DHC-6 Twin Otter 200,N558MA,175,14,11,3,3,1,2,0,The plane flew into wake turbulence and crashed.  The pilot was 12 minutes behind schedule and made an intersection takeoff. The tower warned him of wake turbulence from a recently departing jet.</t>
  </si>
  <si>
    <t>07/25/1969,17:45,"Kekaha, Hawaii",Trans Isle Air,,Kalaupapa - Lihue,De Havilland DH-104 Dove,N88G,  826,13,11,2,1,1,0,0,The sightseeing flight collided with trees after experiencing an engine failure. Failure of valve assembly. Pilot-in-command exercised poor judgment. Unwarranted low flying.</t>
  </si>
  <si>
    <t>07/26/1969,01:30,"Biskra, Algeria",Air Algerie,,Marseille- Algiers - Hassi Messaoud,Sud Aviation SE-210 Caravelle 6N,7T-VAK,073/73,37,30,7,33,30,3,0,Crash landed while attempting an emergency landing after a fire in an electrical panel led to a cabin fire.</t>
  </si>
  <si>
    <t>07/26/1969,12:33,"Atlantic City, New Jersey",Trans World Airlines,,Training,Boeing 707-331C,N787TW,18712/373,5,0,5,5,0,5,0,"Crashed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</si>
  <si>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08/03/1969,16:00,"	Preobrazhenka, Ukraine",Aeroflot,H926,	Dnepropetrovsk - 	Vinnitsa,Antonov An-24B,	 CCCP-46248,	 77303206,55,51,4,55,51,4,0,"At an altitude of 4,000 m the propeller separated from the left engine.The blade punctured the fuselage, severing elevator and aileron controls. The crew could not control the plane  anymore. It went into a spin and crashed."</t>
  </si>
  <si>
    <t>08/03/1969,,"Uli , Nigeria",Canairelief Air,,,Lockheed L-1049H Super Constellation,CF-NAJ,4828,4,0,4,4,0,4,0,The cargo plane crashed while attempting to land.</t>
  </si>
  <si>
    <t>08/19/1969,17:00,"Near Long Tieng, Laos",Air America,,"Long Tieng, Laos - Sam Thong, Laos",Pilatus Pc-6C,N196X,596,13,12,1,13,12,1,0,The plane crashed into a hillside as it was about to come in for a landing and after the pilot was shot.</t>
  </si>
  <si>
    <t>08/25/1969,,"Sucre, Ecuador",TAO,,,Douglas C-47B,HC-ALK,15777/27222,1,0,4,1,0,1,0,The cargo plane crashed under unknown circumstances.</t>
  </si>
  <si>
    <t>08/26/1969,20:31,"Moscow, Russia",Aeroflot,1770,	Noril'sk - Moscow,Ilyushin IL-18,	 CCCP-75708,189001705,102,94,8,16,16,0,0,"On final approach to Moscow-Vnukovo, the flying crew failed to lower the landing gear."</t>
  </si>
  <si>
    <t>08/26/1969,09:45," Khovu-Aksy, Russia",Aeroflot,545,Kyzyl - Khovu-Aksy,Antonov AN-2,CCCP-41971,1 33 473 11,14,11,3,14,11,3,0,The crew encountered below-minima weather conditions with low clouds over the mountains.The airplane struck the slope of a mountain</t>
  </si>
  <si>
    <t>08/31/1969,20:05,"Newton, Iowa",Private Charter,-,Chicago - Des Moines.,Cessna 172H,N3149X,55299,3,2,1,3,2,1,0,"The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</si>
  <si>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09/01/1969,13:05,"Cross Bay, Russia",Aeroflot,55,Anadyr - Cross Bay,Ilyushin IL-14P,CCCP-61731,146000205,27,22,5,22,17,5,0,The plane crashed into a hillside 24 km from the airport in poor weather while on approach.  Failure of the crew  to reduce speed and approach in weather worse than the specified minimum.</t>
  </si>
  <si>
    <t>09/02/1969,11:15,"Near Pakse, Laos",Military - Royal Lao Air Force,,Savannakhet - Pakse,Douglas C-47,248,32580,35,31,4,35,31,4,0,Crashed near the Meking River after being unable to land because of lowe clouds and  running out of fuel.</t>
  </si>
  <si>
    <t>09/06/1969,,"Quito, Ecuador",TAME Ecuador,,,Douglas DC-3,,,16,NULL,NULL,1,NULL,NULL,NULL,"Twelve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</si>
  <si>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09/08/1969,14:00,"Near Medina, Colombia",SATENA,742,Bogota - Villavicencio,Douglas DC-3,FAC-685,,32,29,3,32,29,3,0,"Flew into a mountain, 30 miles from its destination after being diverted because of a severe storm."</t>
  </si>
  <si>
    <t>09/09/1969,14:29,"Near Fairland, Indiana",Allegheny Airlines / Forth Corporation,853,Indianapolis - Bakalar AFB,MD Douglas DC-9-31/Piper Cherokee PA-28,N988VJ/N7374J,47211/357 / ?,83,79,4,83,79,4,0,"Midair collision at 2,500 ft. The Piper crashed into the tail of the DC-9 as it prepared to land. Eighty-two killed aboard the DC-9, one aboard the Piper.  Inadequate VFR separation and deficiencies in the ATC system in the terminal area with mixed VFR/IFR traffic."</t>
  </si>
  <si>
    <t>09/12/1969,,"Near Antipolo, Philippines",Philippine Air Lines,158,Mactan - Manilla,BAC One-Eleven 402AP,PI-C1131,092,47,42,5,45,41,4,0,Landed short and crashed into a tree during it's approach. Possible faulty altimiter. The weather was clear.</t>
  </si>
  <si>
    <t>09/14/1969,20:33,"Londrina-Parana, Brazil",VASP,,Camp Grande - Londrina - Sao Palo,Douglas DC-3,PP-SPP,15618/27063,21,15,6,20,15,5,0,"Fifteen minutes after leaving Londina, the port engine was feathered and aircraft returned to Londrina. The plane crashed while attempting a go-around after a failed landing attempt. The only survivor was a crew member thrown clear of the accident."</t>
  </si>
  <si>
    <t>09/17/1969,17:09,"Campbell River, Canada",Pacific Western Airlines,627,Vancouver - Campbell River,Convair CV-640,CF-PWR,440,15,11,4,4,2,2,0,Crashed into a hill  while attempting to land in inclement weather. Non-compliance with the instrument approach procedures. Pilot error.</t>
  </si>
  <si>
    <t>09/20/1969,16:00,"Near Hoi An, Vietnam",Air Vietnam (South Vietnam),,Pleiku - Da Nang,Douglas DC-4 / USAF F-4E,XV-NUG,10860,76,71,5,74,69,5,2,"Midair collision. The F-4E landed safely. The DC-4 crashed, killing all seventy-five aboard and two on the ground. Misconstrued instructions on landing by the DC-4."</t>
  </si>
  <si>
    <t>09/21/1969,17:20,"Mexico City, Mexico",Mexicana,,Chicago - Mexico City,Boeing B-727-64,XA-SEJ,19255/331,118,111,7,27,22,5,0,"During an approach, the plane undershot the runway and landed about a mile short, hitting an embankment . The plane became airborne again until the undercarriage and forward fuselage struck a railway embankment and broke up. Undetermined cause."</t>
  </si>
  <si>
    <t>09/26/1969,15:10,"Near La Paz, Bolivia",Lloyd Aereo Boliviano,,Santa Cruz - La Paz,Douglas DC-6B,CP-698,43273/191,74,69,5,74,69,5,0,"Hit 15,500 ft. Mt. Choquetanga. Cause unknown. All members of the Bolivian soccer team The Strongest, killed."</t>
  </si>
  <si>
    <t>09/26/1969,18:40,"Uli, Nigeria",Nordchurchaid,,SÃ£o TomÃ© - Uli,Boeing C-97,N52676,16707,5,0,5,5,0,5,0,The cargo plane crashed  into trees on approach short of the runway.</t>
  </si>
  <si>
    <t>10/02/1969,07:10,Gulf of Tonkin,Military - U.S. Navy,,Subi Point - USS Constellation,Grumman C-2A,152796,13,26,21,5,26,21,5,0,Crashed while flying from Subi Point in the Philippines to an aircraft carrier. Possible engine failure.</t>
  </si>
  <si>
    <t>10/13/1969,17:27,"Nizhnevartovsk, Russia",Aeroflot,227,Surgut - Nizhnevartovsk,Antonov An-24B,CCCP-47772,79901404,56,52,4,24,22,2,0,"The plane crashed 1,090 mshort of the runway while on approach A propeller accidently feathered when the de-icing system was activated causing the plane to lose altitude and crash."</t>
  </si>
  <si>
    <t>11/09/1969,,"Timmins, Ontario ,Canada",Austin Airways,,Winisk - Timmins,Douglas C-47B,CF-AAL,15383/26828,4,2,2,2,2,0,0,Crashed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</si>
  <si>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11/13/1969,02:33,"Near Anderma, Russia",Aeroflot,5009,Amderma - Moscow,Antonov An-12TB,CCCP-11376,402406,12,9,3,12,9,3,0,Crashed on approach. Icing.</t>
  </si>
  <si>
    <t>11/19/1969,20:20,"Mt. Pilot Knob, Glens Falls, New York",Mohawk Airlines,411,Albany - Glenn Falls,Fairchild-Hiller FH-227B,N7811M,531,14,11,3,14,11,3,0,"Struck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</si>
  <si>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11/20/1969,08:30,"Near Ikeja, Nigeria",Nigeria Airways,825,Kano - Lagos,BAC VC-10-1101,5N-ABD,804,87,76,11,87,76,11,0,The aircraft crashed and burned 8 miles from Lagos Airport where it was to have landed. Cause unknown.  Possibly insufficient monitoring of equipment. Allowing the aircraft to come down to an unsafe altitude without contact with the ground.</t>
  </si>
  <si>
    <t>12/03/1969,18:05,"Off Caracas, Venezuela",Air France,212,"Caracas - Pointe a Pitre, Guadeloupe",Boeing B-707-328B,F-BHSZ,18459/335,62,41,21,62,41,21,0,"At a height of 3,000 ft., the aircraft suddenly nosed  into the sea, 3 minutes after taking off. Cause unknown.  It appears that the report has been classified by the French Authorities until 2029."</t>
  </si>
  <si>
    <t>12/05/1969,15:00,"Nnear Albuquerque, New Mexico",Private,,,Lockheed 18-08 Lodestar,	N410M,	18-2203,9,9,2,9,9,2,0,The VFR rated pilot continued flight in poor weather. Airframe icing caused the left wing to fail in flight. The aircraft lost control and crashed. The Lodestar was not equipped with deicing boots.</t>
  </si>
  <si>
    <t>12/06/1969,07:07,"Near Khantanga, Russia",Aeroflot,5135,Syktyvkar - Khatanga,Antonov An-12PL,CCCP-11381,402807,8,2,6,8,2,6,0,Crashed short of the runway on approach. Icing.</t>
  </si>
  <si>
    <t>12/08/1969,20:46,"Near Keratea, Greece",Olympic Airways,,Chania - Athens,Douglas DC-6B,SX-DAE,45540/1016,90,85,5,90,85,5,0,"The aircraft crashed into Mt. Pan, 25 miles SW of Athens while preparing to land. The flight crew deviated from the proper track and descended below the minimum safe altitude during approach."</t>
  </si>
  <si>
    <t>12/10/1969,18:33,"Off Makhachkala , Russia",Aeroflot,2953,Makhachkala - Astrakhan,Ilyushin 14P,CCCP-52010,703101,17,12,5,17,12,5,0,ATC lost contact with the aircraft shortly after it took off crashing into the ocean. Cause unknown. Possible collision with a flock of birds.</t>
  </si>
  <si>
    <t>12/22/1969,,"Nha Trang, Vietnam",Air Vietnam (South Vietnam),,Saigon - Nha Trang,Douglas DC-6B,B-2005,44694,77,70,7,10,10,0,24,"An explosive device was detonated in the cabin just as the aircraft was about to land. The blast damaged the aircraft's hydraulics. The aircraft became airborne, overran the runway and crashed into a school."</t>
  </si>
  <si>
    <t>12/23/1969,,"Near Luang Prabang, Laos",Laos Air,,Vientiane - Luang Prabang,Douglas C-47A-25-DK,XW-TDJ,13529,6,4,2,6,4,2,0,Crashed while approaching Luang Prabang Airport in thick fog.</t>
  </si>
  <si>
    <t>01/05/1970,22:25,"Stockholm, Sweden",Spantax,,Stockholm - Zurich,Convair CV-990-30A-5,EC-BNM,30-10-32,10,7,3,5,5,0,0,"The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</si>
  <si>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01/12/1970,12:00,Near Villia Greece,Military - Royal Hellenic Air Force,,Military exercise,Douglas C-47,,,27,22,5,23,19,4,0,"The aircraft, carrying paratroopers, crashed into a mountain in fog."</t>
  </si>
  <si>
    <t>01/13/1970,06:00,"Faleolo, Western Samoa",Polynesian Airlines,208B,"Apia, Western Samoa - Pago Pago, American Samoa",Douglas DC-3,5W-FAC,16964,32,29,3,32,29,3,0,"Crashed into a lagoon 400 yards past the end of the runway, seconds after taking off after the plane pitched up and stalled. Windshear, precipitation and turbulence."</t>
  </si>
  <si>
    <t>01/14/1970,,"Mt. Pumacona, Peru",Faucett,,Trujillo - Juanjui,Douglas DC-4,OB-R-776,10591,28,24,4,28,24,4,0,"Flew into a 10,500 ft. mountain. The mental state of the pilot-in-command adversely affected his judgement and efficiency. Contributing factors  ATC error, navigational aids not functional."</t>
  </si>
  <si>
    <t>01/25/1970,19:13,"Near Delhi, India",Royal Nepal Airlines,,Kathmandu - Delhi,Fokker F-27 Friendship 200,9N-AAR,1965,23,18,5,1,0,1,0,The aircraft crashed short of the runway after entering a thunderstorm and encountering windshear.</t>
  </si>
  <si>
    <t>01/25/1970,,"Near Poza Rica, Mexico",Charter -Federal Electricity Commission,,Mexico City - Poza Rica,Convair CV-240-2,XB-DOK,071,19,15,4,18,14,4,0,Crashed into Vega Hill located six km east of the airfield while on approach. The plane was carrying Mexican journalists covering the presidential campaign.</t>
  </si>
  <si>
    <t>01/28/1970,20:53,"Near Batagai, Russia",Aeroflot,,Chokurdakh - Batagay,Antonov AN-24,CCCP-47701,59900202,34,28,6,34,28,6,0,Crashed into a mountain while on approach after executing a premature descent.</t>
  </si>
  <si>
    <t>01/28/1970,07:49,"Cleveland, Ohio",TAG Airlines,,Cleveland - Detroit,De Havilland Dove,N2300H, 04444,9,7,2,9,7,2,0,The aircraft suffered an airframe failure while en route. Fatigue fracture of wing attachment fitting bolts. FAA replacement time exceeded.</t>
  </si>
  <si>
    <t>01/29/1970,19:27,"Near Murmansk, Russia",Aeroflot,145,Leningrad - Murmansk,Tupolev TU-124,CCCP-45083,5351706,11,32,6,11,8,3,0,Collided with a snow-covered rocky mountain slope 40 km northeast of Batagay Airport at an altitude of 1020 meters. The crew had initiated a descent prematurely.</t>
  </si>
  <si>
    <t>02/04/1970,13:45,"Apuseni mountains, Romania",Tarom,,Bucharest - Oradea,Antonov AN-24V,YR-AMT,77303310,22,18,4,21,17,4,0," While descending in poor weather conditions, the airplane struck tree tops, stalled and crashed in a snow covered hill located in the Vladeasa Mountain Range, about 73 km southeast of Oradea Airport."</t>
  </si>
  <si>
    <t>02/04/1970,20:55,"Near Corrientes, Argentina",Aerolineas Argentinas,,Corrientes - Rosario,Hawker Siddeley HS-748 1,LV-HGW,1539,37,33,4,37,33,4,0,Crashed in a storm 8 minutes after taking off. Went into a dive and crashed at a high rate of speed into the ground. Severe turbulence and adverse weather conditions.</t>
  </si>
  <si>
    <t>02/06/1970,15:42,"Near Samarkand, USSR",Aeroflot,045,Tashkent - Samarkand,Ilyushin IL-18V,CCCP-75798,182004303,106,98,8,92,85,7,0,"Crashed into a mountain at an elevation of 5,000 ft. 32 km northeast of Samarkand Airport.  Misidentification of the aircraft by the air traffic controller."</t>
  </si>
  <si>
    <t>02/10/1970,18:37,"Long Island Sound, Connecticut",Pilgrim Airlines,203,"Groton, CT - New York, NY",de Havilland Canada DHC-6 Twin Otter 100,N124PM,41,5,3,2,5,3,2,0,Crashed into Long Island Sound while on a flight from Groton to New York.  Fuel exhaustion resulting from inadequate flight preparation and erroneous in-flight decisions by the pilot-in-command.</t>
  </si>
  <si>
    <t>02/12/1970,07:38,"Puerto Infrida, Colombia",Lineas AÃ©reas La Urraca,,Villavicencio - Puerto InÃ­rida,Douglas DC-3 (C-47-DL),HK-1270,4544,12,8,4,12,8,4,2,Crashed while attempting to return to the airport after reporting an overspeeding propeller.</t>
  </si>
  <si>
    <t>02/15/1970,18:30,"Off Santo Domingo, Dominican Republic",Compania Dominicana de Aviacion,,Santo Domingo - San Juan,McDonnell Douglas DC-9-32,HI-177,47500/546,102,97,5,102,97,5,0,"Two minutes after taking off , the crew reported losing an engine and turned back towards the airport. The plane then descended rapidly and crashed into the sea. Featherweight boxer Carlos Cruz and members of  the Puerto Rican women's national volleyball team killed."</t>
  </si>
  <si>
    <t>02/19/1970,,Congo,Air Congo,,,Douglas DC-3,9Q-CUD,9780,17,14,3,17,14,3,0,Crashed under unknown circumstances.</t>
  </si>
  <si>
    <t>02/21/1970,13:34,"Zurich, Switzerland",Swissair,330,Zurich - Tel Aviv,Convair CV-990-30A-6,HB-ICD,301015,47,38,9,47,38,9,0,"About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</si>
  <si>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03/06/1970,,"St. Moritz, Switzerland",Bavaria Flug,,Munchen - St. Moritz,Handley Page Jetstream 1,D-INAH,205,11,9,2,11,9,2,0,Crashed 3 km short of the runway into a snow bank. Disintegration of the No. 1 engine turbine wheel.</t>
  </si>
  <si>
    <t>03/14/1970,17:30,"Belem Bay, Brazil",Paraense Transportes Aereos,,Reclife - Belem,Fairchild-Hiller FH-227B,PP-BUF,556,40,35,5,38,34,4,0,"Crashed into Guajara Bay, short of the runway while on approach during a storm."</t>
  </si>
  <si>
    <t>03/16/1970,11:30,"Near Da Nang, South Vietnam",Military - U.S. Navy,,Taiwan - Da Nang,Lockheed EC-121P,145927,5508,31,0,31,23,0,23,0,"The pilot tried to stretch the approach to avoid workers on the runway, ran out of runway, attempted a go-around, was unable to gain altitude and crashed into several structures, trucks and a U.S. Navy Jet."</t>
  </si>
  <si>
    <t>03/26/1970,19:53,"Colorado City, Arizona",Grand Canyon Airlines,,Grand Canyon - Las Vegas,Piper PA-32,N4121R,,6,5,1,6,5,1,0,"Flew into thunderstorms and turbulence, crashed while en route. Continued VFR flight into adverse weather conditions. Spatial disorientation."</t>
  </si>
  <si>
    <t>04/01/1970,04:07,"Novosibirsk, Russia",Aeroflot,1661,Krasnoyarsk - Novosibirs,Antonov AN-24V,CCCP-47751,79901204,45,40,5,45,40,5,0,The aircraft crashed after colliding with a radiosonde weather balloon and disintegrated in the air.</t>
  </si>
  <si>
    <t>04/01/1970,09:45,"Casablanca, Morocco",Royal Air Maroc,,Agadir - Casablanca,Aerospatiale Caravelle 3,CN-CCV,032/33,82,76,6,61,56,5,0,"The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</si>
  <si>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04/04/1970,20:47,"Zaporozhye, Ukraine",Aeroflot,2903,	Rostov - Zaporozhye,Ilyushin IL-14P,CCCP-52002,602111,35,30,5,7,6,1,0,The plane was destroyed when it crashed while on approach. The crew descended prematurely and was not monitored.</t>
  </si>
  <si>
    <t>04/21/1970,11:30,"Manila, Philippines",Philippine Air Lines,215,Cuayan - Manila,Hawker Siddeley HS-748-209,PI-C-1022,1643,36,32,4,36,32,4,0,"The aircraft was on a flight from Cauayan, Isabela to Manila when it crashed into mountainous terrain after a bomb explosion in the rear lavatory of the aircraft  broke off the tail section."</t>
  </si>
  <si>
    <t>04/25/1970,10:23,"Rivolto, Italy",Military - Italian Air Force,,Rivolto - Grazzanise,Fairchild C-119G,MM52-6018,10948,19,12,7,17,10,7,0,Crashed after experiencing engine problems during the initial climb.</t>
  </si>
  <si>
    <t>04/28/1970,09:12,"Kainatu,  New Guinea",Trans Australia Airlines,,Mount Hagen - Goroka - Kainantu,de Havilland Canada DHC-6 Twin Otter 100,VH-TGR,6,11,9,2,8,6,2,0,"Crashed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</si>
  <si>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05/02/1970,15:49,"Near St. Croix, US Virgin Islands",Antillean Airlines,980,New York City - St. Maarten,McDonnell Douglas DC-9-33CF,N935F,47407/457,63,57,6,23,22,1,0,"The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</si>
  <si>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05/04/1970,08:04,"Hamilton AFB, California",Military - U.S. Air Force,,Hamilton - Spokane,Convair CV-240,52-5822,5221,14,0,14,13,0,13,0,The airplane struck trees and crashed on a mountain slope located eight miles from the airbase.</t>
  </si>
  <si>
    <t>05/06/1970,,"Mogadishu, Somalia",Somali Airlines,,,Vickers 785D Viscount,6O-AAJ,379,30,26,4,5,5,0,0,"After losing all flight controls on approach, the aircraft hit the runway hard, collapsing the nose gear and sliding off the runway. In-flight fire of unknown origin which resulted in loss of the flight controls."</t>
  </si>
  <si>
    <t>05/09/1970,,"Iligan, Philippines",Philippine Air Lines,,Iligan - Manila,Fokker F-27 Friendship 100,PI-C532,10311,33,29,4,1,0,1,0,"In almost zero visibility, control was lost during takeoff. The plane ran off the runway, the wing tip struck a rock pile and the plane cartwheeled."</t>
  </si>
  <si>
    <t>05/09/1970,21:28,"Pellston, Michigan",Executive Jet Sales Inc.,,Detroit - Pellston,Gates Learjet 23,N434EJ,23-046,6,4,2,6,4,2,0,"The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</si>
  <si>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05/15/1970,11:49,"Kishiniev, Moldavia, USSR",Aeroflot,,Training,Antonov AN-10,CCCP11149,9 4 008 02,11,0,11,11,0,11,0,"On final, the airplane banked left, lost height and crashed in a large explosion a few km short of runway threshold. Pilot error."</t>
  </si>
  <si>
    <t>05/26/1970,,"Near Tegucigalpa, Honduras",Aeroservicios,,,de Havilland DH-114 Heron 1B,HR-ASN,14009,6,4,2,6,4,2,0,"While on approach, the plane banked to the left and crashed to the ground. The pilot stalled the plane in turbulence at a low altitude."</t>
  </si>
  <si>
    <t>05/30/1970,09:30,"Chamblee, Georgia",Lehigh Acres Development Inc.,701,"Chamblee, GA - Fort Myers,FL",Martin 404,N40412,14116,33,29,4,1,1,0,5,There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</si>
  <si>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06/01/1970,05:12,"Tripoli, Libya",Ceskoslovenske Aerolinie,,Prague - Tripoli,Tupolev TU-104A,OK-NDO,96601803,13,10,3,13,10,3,0,Undershot runway in fog and crashed after two failed landing attempts. Crew error.</t>
  </si>
  <si>
    <t>06/02/1970,,"Roxas, Philippines",Philippine Air Lines,,Manila - Bacolod,Fokker F-27 Friendship 100,PI-C507,10246,44,40,4,1,1,0,0,A hand grenade exploded inside the passenger cabin at FL130 . A safe emergency landing was made despite a 9 sq. ft. hole in the fuselage.</t>
  </si>
  <si>
    <t>06/10/1970,,"Near Huaricanga, Peru",Military - LADE,,Quito - Lima - Salta - Buenos Aires,Fokker F-27 Friendship 400M,TC-75,10411,8,5,3,5,3,2,0," Struck a 15,000 ft  mountain located in the region of Huaricanga."</t>
  </si>
  <si>
    <t>07/03/1970,14:00,"McGrath, Alakska",Reeder Flying Service,,"McGrath AK - Galena, AK",Douglas DC-3,N154R,6156,27,25,2,5,4,1,0,"Crashed into trees shortly after taking off. The pilot rotated at V2 speed and then reduced power when the copilot raised the landing gear.The right main gear was still on the ground when retracted, causing the propeller to strike the runway surface."</t>
  </si>
  <si>
    <t>07/03/1970,19:05,"Near Arbucias, Gerona, Spain",Dan Air Services,1903,Manchester - Barcelona,de Havilland Comet 4,G-APDN,06415,112,105,7,112,105,7,0,"Due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</si>
  <si>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07/05/1970,08:09,"Toronto, Canada",Air Canada,621,Montreal - Toronto - Los Angeles,McDonnell Douglas DC-8-63,CF-TIW,46114/526,109,100,9,109,100,9,0,"While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</si>
  <si>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07/18/1970,17:20,North Atlantic Ocean,Military - Soviet Air Force,,Reykjavik - Halifax - Sidney,Antonov AN-22,CCCP-09303,9340207,23,15,8,23,15,8,0,"Disappeared without a trace while en route with a final destination of Peru, 40 minutes after takeoff. The plane was carrying a field hospital to earthquake stricken Peru."</t>
  </si>
  <si>
    <t>07/27/1970,11:35,"Tokyo, Japan",Flying Tiger Line,45,Tokyo - Okinawa,McDonnell Douglas DC-8-63AF,N785FT,46005/412,4,0,4,4,0,4,0,Cargo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</si>
  <si>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08/03/1970,,"Near Las Vegas, Nevada",Military - United States Navy,,Nellis - North Island - Barbers Point,Lockheed P-3A Orion,152159,185-5129,10,0,10,10,0,10,0,Broke up and crashed after penetrating a thunderstorm 50 miles south of Las Vegas.</t>
  </si>
  <si>
    <t>08/06/1970,02:17,"Islamabad, Pakistan",Pakistan International Airlines,,Rawalpindi - Lahore,Fokker F-27 Friendship 200,AP-ALM,10163,30,26,4,30,26,4,0,Crashed into terrain after takeoff in thunderstorms and strong winds.</t>
  </si>
  <si>
    <t>08/09/1970,15:00,"Near Cuzco, Peru",Lineas Aereas Nacionales SA (Peru),502,Cuzco - Lima,Lockheed 188A Electra,OB-R939,1106,100,91,9,99,91,8,2,"The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</si>
  <si>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08/12/1970,03:44,"Taipei, Taiwan",China Airlines (Taiwan),,Hwa-Lien,NAMC YS-11A-219,B-156,2110,31,26,5,14,12,2,0,Crashed on Yuan mountain while on approach to Taipei during a thick fog and thunderstorm activity.</t>
  </si>
  <si>
    <t>08/26/1970,,"Near Tam Ky, South Vietnam",Military - U.S. Army,,,Boeing Vertol CH47B (helicopter),67-18445,,32,NULL,NULL,30,NULL,NULL,0,Shot down by a rocket grenade.</t>
  </si>
  <si>
    <t>08/29/1970,14:45,"Near Silchar, India",Indian Airlines,,Silchar - Gauhati,Fokker F-27 Friendship 400,VT-DWT,10336,39,34,5,39,34,5,0,Crashed in jungled hills shortly after takeoff. The pilot didn't climb to the minimum sector altitude and continued directly to Gauhati.</t>
  </si>
  <si>
    <t>08/30/1970,,"Haringvreter, Netherlands",Dutch Continental Airways,,Sightseeing,Britten-Norman BN-2A Islander,PH-NVA,111,10,9,1,3,2,1,0,Struck trees and crashed on Haringvreter Island. he pilot suffered spatial disorientation after entering a fog bank. The pilot was not IFR qualified.</t>
  </si>
  <si>
    <t>09/02/1970,15:41," Lihovka, Ukraine",Aeroflot,3630,Rostov-on-Don - Vilnius,Tupolev Tu-124,CCCP-45012,1350402,37,32,5,37,32,5,0,The plane lost control and crashed about 30 minutes after taking off. Cause undetermined.</t>
  </si>
  <si>
    <t>09/02/1970,,"Near Dnepropetrovsk, Ukraine, USSR",Aeroflot,,,Tupolev TU-124,CCCP-45012,1350502,37,NULL,NULL,37,NULL,NULL,0,Crashed while cruising at FL270.</t>
  </si>
  <si>
    <t>09/03/1970,21:26,"Near Leningrad, USSR",Aeroflot,W-4,"Frunze, Kyrgyzstan - Leninabad, Tajikistan",Yakovlev YAK-40,CCCP-87690,9910503,21,18,3,21,18,3,0,"Crashed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</si>
  <si>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09/08/1970,16:06,"New York, New York",Trans International Airlines,863,"Jamaica, NY - Washington D.C.",McDonnell Douglas DC-8-63CF,N4863T,45951/414,11,0,11,11,0,11,0,"Rejected takeoff. Lost control and crashed. Loss of pitch control caused by the entrapment of a pointed, asphalt-covered object between the leading edge of the right elevator and the right horizontal spar web access door in the aft part of the stabilizer."</t>
  </si>
  <si>
    <t>09/26/1970,10:56,"Near Vagar, Faeroe Islands, Denmark",Icelandair,,Reykjavik - VÃ¡gar,Fokker F-27 Friendship 300,TF-FIL,10356,34,30,4,8,7,1,0,"Crashed into the slope of Mt Knuku mountains on Mueggenaes Island at  an altitude of 1,500 ft., 2 miles off course, while descending, after holding for 20 minutes."</t>
  </si>
  <si>
    <t>09/30/1970,,"Near Da Nang, Vietnam",Air Vietnam (South Vietnam),,Pleiku - Hue,Douglas DC-3-DST,B- 305,3251,38,34,4,4,1,3,0,Flew into high ground after being diverted to Da Nang in poor weather conditions.</t>
  </si>
  <si>
    <t>10/02/1970,12:00,"Mt. Trelease, near Silver Plume, Colorado","Charter, Golden Eagle Aviation Inc.",108,"Wichita - Denver - Logan, Utah",Martin 404,N464M,14151,40,37,3,32,30,2,0,"Two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</si>
  <si>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10/02/1970,14:07,"Near Taipei, Taiwan",Military - U.S. Air Force,,Taipei - Ching Chuan Kang,Lockheed C-130E,64-0536,4025,43,37,6,43,37,6,0,The aircraft struck a mountain ridge 6 minutes after taking off from Taipei. Deviation off course while flying  IFR in zero visibility.</t>
  </si>
  <si>
    <t>10/04/1970,15:10,"Mahaffey, Pennsylvania",Private,,"Dubois, PA - Roanoak, VA",Aero Commander 500-B,N701X,,2,1,1,2,1,1,0,"The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</si>
  <si>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10/06/1970,,"Near Germiston, South Africa",National Airways,,"Johannesberg - Orapa Mine, Botswana",Douglas DC-3,ZS-DKR,16660/33408,11,9,2,3,2,1,0,"Shortly after takeoff, the No. 1 engine failed.  After feathering the prop, the crew tried to return to the airport but the plane crashed 1.2 miles from the airport. The plane was carrying employees of the Anglo American Corporation."</t>
  </si>
  <si>
    <t>10/10/1970,21:30,"Fort Dix, New Jersey",Saturn Airways,,"Dayton, OH - Ft. Dix, NJ",Lockheed L-100-20 Hercules,N9248R,4221,3,0,3,3,0,3,0,"The crew of the cargo plane became disoriented and struck the ground 5,000 ft. short of the runway. Fog, low ceiling, spatial disorientation, improper IFR operation."</t>
  </si>
  <si>
    <t>10/28/1970,,"Pointe-Ã -Pitre, Guadeloupe",Aerocosta Colombia,,,Curtiss C-46D,HK-792,33060,4,1,3,2,0,2,0,The cargo plane crashed while attempting to make an emergency landing.</t>
  </si>
  <si>
    <t>11/14/1970,19:36,"Near Huntington, West Virginia",Southern Airways,932,"Kingston, NC - Huntington, WV",McDonnell Douglas DC-9-31,N97S,47245/510,75,71,4,75,71,4,0,"While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</si>
  <si>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11/27/1970,13:30,"Near Nha Trang, South Vietnam",Military - U.S. Air Force,,Saigon - Nha Trang AB,Fairchild C-123K,55-4574,20236,79,73,6,79,73,6,0,Crashed into high ground on a mountainside while on a flight from Saigon to Nha Trang Air Base. Cause unknown.</t>
  </si>
  <si>
    <t>11/27/1970,17:05,"Anchorage, Alaska",Capitol Airlines,26,Anchorage - Yokota AFB,McDonnell Douglas DC-8-63CF,N4909C,46060/472,229,219,10,47,46,1,0,"The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</si>
  <si>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11/29/1970,14:30,"Near Cam Ranh, South Vietnam",Military - U.S. Air Force,,Cam Ranh Bay AB - Siagon,Fairchild C-123K,54-0649,,44,39,5,42,37,5,0,Crashed into the jungle 15 miles from it destination as the pilot prepared to land at Saigon in poor weather conditions.</t>
  </si>
  <si>
    <t>12/02/1970,16:00,"Dhaka, Bangladesh",Cargolux,,,Canadair CL-44J,TF-LLG,36,8,4,4,8,4,4,0,"The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</si>
  <si>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12/05/1970,06:43,"Delhi, India",Jamair,,New Delhi - Jaipur,Douglas DC-3,VT-CZC,12103,16,12,4,5,2,3,0,"The No. 2 engine failed on takeoff due to fuel starvation. The plane made a right turn, lost control and crashed."</t>
  </si>
  <si>
    <t>12/07/1970,,"Near Constanta, Romania",Tarom,,Tel Aviv - Bucharest,BAC One-Eleven  424EU,YR-BCA,130,27,20,7,19,16,3,0,"Crashed 4 kms short of the runway on approach in poor weather after being diverted to Bucurest. The visibility was limited due to fog and the crew continued the approach below the minimum descent altitude, in violation of the published procedures."</t>
  </si>
  <si>
    <t>12/28/1970,14:42,"St. Thomas, Virgin Islands",Trans Caribbean Airways,505,New York - St. Thomas,Boeing B-727-2A7,N8790R,20240,55,48,7,2,2,0,0,"The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</si>
  <si>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12/31/1970,23:09,"Near Shemshernagar,  Pakistan",Pakistan International Airlines,,Algiers - MahÃ³n,Fokker F-27 Friendship 200, AP-AUV,10330,35,31,4,7,7,0,0,The pilot declared an emergency and reported his position 65 nautical miles north of Algie. No trace of the aircraft nor the 31 occupants was found.</t>
  </si>
  <si>
    <t>12/31/1970,,"Off Algiers, Algeria",Rousseau Aviation,,Algiers - Menorca,Nord 262E,F-BNGB,002,31,28,3,31,28,3,0,Ditched in the ocean. Mayday received. No trace of the plane ever found.</t>
  </si>
  <si>
    <t>12/31/1970,16:37,"Leningrad, USSR",Aeroflot,3012,Leningrad - Erevan,Ilyushin IL-18B,CCCP-75773,181003603,93,90,3,93,90,3,0,"The plane crashed during takeoff on a flight to Erevan. Due to poor flight preparation and lack of coordination, the crew failed to follow the pre-takeoff checklist and failed to deploy the flaps prior to departure, according to the published procedures."</t>
  </si>
  <si>
    <t>01/02/1971,03:25,"Ben Gashir, Libya",United Arab Airlines,844,Algiers - Tripoli - Cairo,de Havilland Comet 4C,SU-ALC,6439,16,8,8,16,8,8,0,Crashed 7 kms from the runway in a sandstorm. Decision to land while visibility was below company minimums for that particular airport at night.</t>
  </si>
  <si>
    <t>01/09/1971,16:20,"Edison, New Jersey",American Airlines / Private,30,"San Francisco, CA - Newark, NJ",Boeing B-707-323 / Cessna 150,N7595A/N60942,19345 / ?,21,14,7,2,0,2,0,"Midair collision at 3,000 ft.  Failed to see and avoid other aircraft. The Boeing 707 landed safely. Two killed on the Cessna.  System permitted VFR operation in congested area in reduced visibility."</t>
  </si>
  <si>
    <t>01/18/1971,15:49,"Zurich, Switzerland",Balkan Bulgarian Airlines,LZ130,Paris - Zurich - Sofia,Ilyushin IL-18,LZ-BED,186009002,47,39,8,45,38,7,0,"The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</si>
  <si>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01/21/1971,07:35,"Near Pacae, Peru",Fuerza AÃ©rea del Peru,,Mazamari - Lima,Curtiss-Wright C-46,FAP-381,,35,30,5,35,30,5,0,Crashed in the Andes mountains after experiencing engine trouble.</t>
  </si>
  <si>
    <t>01/21/1971,09:40,"Near Privas, France",L'ArmÃ©e de L'Air,,Paris - Orange,Nord 262A-34,F-RBOA,44,21,17,4,21,17,4,0,"Crashed and exploded  in a snowstorm in mountainous terrain. Thirteen of France's nuclear weapons experts were killed. The crew may misunderstood and mixed both altitude clearances of 8,000 feet till MontÃ©limar and 5,000 feet till Orange, descending prematurely.  Controlled flight into terrain."</t>
  </si>
  <si>
    <t>01/22/1971,21:36,"Surgut, USSR",Aeroflot,,	Omsk - 	Surgut,Antonov AN-12B,CCCP 11000,5343610,14,12,2,14,12,2,0,Crashed 15 km short of the runway. Icing. The engine bleed valves were not open causing  the anti-icing system to become ineffective.</t>
  </si>
  <si>
    <t>01/23/1971,,"Near Sokcho, South Korea",Korean Airlines,,Kangnung - Seoul,Fokker F-27 Friendship 500,HL-5212,10428,60,55,5,2,1,1,0,Crash landed on a beach after a hijacker detonated grenades he was carrying. The hijacker and the co-pilot were killed by the grenade explosions.</t>
  </si>
  <si>
    <t>01/25/1971,11:45,"Merida, Venezuela",Linea Aeropostal Venezolana,,MÃ©rida - Caracas,Vickers Viscount 749,YV-C-AMV,94,47,43,4,13,12,1,0,Crash landed onto Cruces de Daji mountain in the Andes eight minutes after taking off off from Merida.</t>
  </si>
  <si>
    <t>01/31/1971,04:41,"Voroshilovgrad, Russia",Aeroflot,,Tyumen - Surgut,Antonov AN-10,CCCP-12996,00347403,7,6,1,7,6,1,0,Aileron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</si>
  <si>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02/17/1971,,"Mt. Cunatineuta, Ecuador",TAM (Transportes Aereos Militares),,La Paz - San Borja,Curtiss C-46,TAM-60,26683,12,8,4,12,8,4,0,Cashed into a mountain 15 minutes after taking off in poor weather conditions. Controlled flight into terrain.</t>
  </si>
  <si>
    <t>03/26/1971,20:39,"Gauhati, India",Jamair,,Guwahati - Bagdogra - Calcutta,Douglas DC-3,VT-ATT,20363,15,11,4,15,11,4,0,Hit  a mountain after deviating from the prescribed course. Wreckage found 6 days later. Controlled flight into terrain.</t>
  </si>
  <si>
    <t>03/31/1971,06:33,"Ontario, California",Western Airlines,366,Los Angeles - Ontairo,Boeing B-720-047B,N3166,19439,5,0,5,5,0,5,0,"The aircraft, during a training flight suddenly rolled to the left and  crashed after a missed, 3 engine, ILS approach. Failure of the aircraft rudder hydraulic actuator support fitting which led to the loss of left rudder control. Stress corrosion cracks."</t>
  </si>
  <si>
    <t>03/31/1971,12:59,"Vorochilovgrad, Ukraine",Aeroflot,1969,Kuibyshev - Lugansk,Antonov An-10,CCCP-11145,8400701,65,57,8,65,57,8,0,"Crashed on approach resulting from structural failure of the right outer wing. A portion of 13 m2 detached from the upper surface of the right wing during the approach, causing the aircraft to be uncontrollable."</t>
  </si>
  <si>
    <t>04/15/1971,07:00,"Near San Jose, Philippines",Military - Philippine Air Force,,Manila - Nichols AFB,Douglas C-47A,293246,13136,40,36,4,39,35,4,0,"Crashed into a rice field moments after taking off from Basa Air Base near Floridablanca. Climbed to 200 ft. banked to the left, stalled and crashed to the ground. Failure of the right engine. A young boy was the only survivor."</t>
  </si>
  <si>
    <t>04/22/1971,17:01,"Manchester, New Hampshire",New England Aviaiton,,"Manchester, NH - Boston, MS",Beechcraft C35,N144H,,4,3,1,4,3,1,0,The aircraft experienced engine failure during takeoff and crashed. Fuel starvation. Fuel selector positioned between tanks. Pilots unfamilarity with aircraft. Had only 1 hour in type aircraft.</t>
  </si>
  <si>
    <t>05/11/1971,,"Guatemala City, Guatemala",Aviateca,,Guatemala City - Tikal,Curtiss C-46A-55-CK,TG-ACA-A,121,35,32,3,5,2,3,0,"Shortly after takeoff from Guatemala City-La Aurora Airport, while climbing, the crew declared an emergency after an engine failed. The captain elected to return but the airplane lost height and crashed in a hilly terrain located 24 km south of the capital city."</t>
  </si>
  <si>
    <t>05/23/1971,20:00,"Near Rijeka, Yugoslavia",Aviogenex (Yugoslavia),130,London - Rijeka,Tupolev TU-134A,YU-AHZ,1351205,83,76,7,78,75,3,0,"The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</si>
  <si>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05/25/1971,04:26,"Santiago, Chile",	Aerolineas Flecha Austral - ALFA,,Santiago - Arica,	Curtiss C-46,	CC-CAZ,50,4,2,2,4,2,2,0,The cargo plane lost an engine while taking off and crashed 2 km from the airport..</t>
  </si>
  <si>
    <t>05/28/1971,11:08,"Roanoke, Virginia",Private,,"Atlanta, GA - Martinsville, VA",Aero Commander 680E,N601JJ,491-161,6,5,1,6,5,1,0,"The flight crashed into the side of a mountain during a thunderstorm. Continued VFR flight into adverse weather conditions.  Entered instrument weather at too low an altitude to clear mountain.  World War II hero and western movie star Audie Murphy, 46, killed."</t>
  </si>
  <si>
    <t>06/06/1971,17:11,"Near Duarte, California",Hughes Airwest  / Military - US Marine Air Corps,706,Los Angeles - Salt Lake City,McDonnell Douglas DC-9-31 / F4-B,N9345/151458,47441/503 / ?,51,44,7,50,44,6,0,"The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</si>
  <si>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06/07/1971,08:49,"New Haven, Connecticut",Allegheny Airlines,485,"Washington D.C. - Newport News, VA - Philadelphia",Convair CV-580,N5832,384,31,28,3,28,26,2,0,"The aircraft crashed into a row of beach houses, 4,980 feet short of the runway. Captain's intentional descent below minima under adverse weather conditions while trying to locate the runway despite advisories from 1st. officer."</t>
  </si>
  <si>
    <t>06/13/1971,13:30,North Pacific Ocean,Military - U.S. Air Force,,Hickam AFB - Pango Pango,Boeing - EC-135N,61-0331,18238,24,20,4,24,20,4,0,Disappeared while en route. Met with an undisclosed catastrophic event and plunged into the sea. Believed to  have struck the surface at high speed.</t>
  </si>
  <si>
    <t>06/17/1971,14:30,"Near Arica, Chile",SAVCO,,Santa Cruz - Arica,Douglas DC-6,CP-926,43043/83,6,4,2,6,4,2,0,"The aircraft struck Putre Mountain at an altitude of 18,000 feet.  Improper flight planning for IMC weather."</t>
  </si>
  <si>
    <t>06/28/1971,18:00,"Garberville, California",Shelter Cove Sea Park,,"Shelter Cove, CA - San Jose, CA",Douglas DC-3,N90627,4642,24,21,3,17,15,2,0,"The aircraft was unable to gain height on takeoff. It struck a transformer and a building, became airborne and went off a cliff into the ocean. Failure of the pilot to remove the rudder and elavator gust locks."</t>
  </si>
  <si>
    <t>07/03/1971,18:10,"Hokkaido, Japan",Toa Domestic Airline (Japan),63,Sapporo - Hakodate,NAMC YS-11A-227,JA8764,2134,68,64,4,68,64,4,0,The aircraft crashed into Yokotsu Mountain while on approach. Navigational error after strong winds caused flight to drift.</t>
  </si>
  <si>
    <t>07/24/1971,,"Near Bamako, Mali",Air Ivoire,,Bamako - Abidjan,Douglas DC-3,6V-AAP,20505,6,4,2,6,4,2,0,Crashed into high terrain during a right turn on takeoff at night.</t>
  </si>
  <si>
    <t>07/25/1971,13:21,"Manila, Philippines",Pan American World Airways,,San Francisco - Honolulu - Guam - Manila - Siagon,Boeing 707-321CF,N461PA,,4,0,4,4,0,4,0,"While on a VOR/DME approach to Manila runway 24, the cargo aircraft struck Mount Kamunay at an altitude of 2,525 feet, 20 miles east/northeast of the Manila VOR. The probable cause was improper crew coordination, which caused a premature descent."</t>
  </si>
  <si>
    <t>07/25/1971,08:35,"Near Irkutsk, Russia",Aeroflot,1912,Novosibirsk - Irkutsk,Tupolev TU-104B,CCCP-42405,820202,126,118,8,97,93,4,0,"While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</si>
  <si>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07/30/1971,15:00,"Near Pau, France",Military - French Air Force,,Exercises,Nord 2501 Noratlas,49,,39,36,3,37,34,3,0,"The plane, carrying parachute trainees, crashed in the flatlands of the Pyrenees during a final approach and after experiencing an engine fire. Two escaped by parachuting out of the plane before it crashed."</t>
  </si>
  <si>
    <t>07/30/1971,14:00,"Near Morioko, Japan",All Nippon Airways /  Japanese Air Force,58,Sapporo - Tokyo,Boeing B-727-281 / Air Force F86F,JA8329 / ?,20436/788,164,155,9,163,155,8,0,"A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</si>
  <si>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07/30/1971,14:29,"San Francisco, California",Pan American World Airways,845,San Francisco - Los Angeles,Boeing B-747-121,N747PA,19639/2,218,197,21,0,0,0,0,"The aircraft struck approach lights at the departure end of runway during takeoff. Miscalculation of available runway length and takeoff reference speed by crew. Erroneous information from the dispatcher. The aircraft was named ""Clipper America."""</t>
  </si>
  <si>
    <t>08/18/1971,09:40,"Near Pegnitz, West Germany",Military - U.S. Army,,Ludwigsburg - Grafenwohr,Boeing Vertol CH-47A (helicopter),66-19023,,37,32,5,37,32,5,0,"The helicopter, carrying American troops to an exercise, crashed into a hayfield and exploded in flames. Fatigue failure of the rotor blade led to its failure and structural failure of the aircraft."</t>
  </si>
  <si>
    <t>08/19/1971,20:40,"Augusta, Maine",Downeast Airlines,,"Boston, MA - Rockville, ME diverted to  Augusta ME",Piper PA-31,N595DE,31-422,8,7,1,3,2,1,0,"Crashed in dense fog while making an approach to Agusta State Airport. Discontinue VOR approach, attempted to maintain visual flight in IFR conditions at an altitude below obstructing terrain."</t>
  </si>
  <si>
    <t>08/28/1971,18:52,"Off Copenhagen, Denmark",Malev Hungarian Airlines,,"Oslo, Norway - East Berlin, German",Ilyushin IL-18D,HA-MOC,181992903,34,25,9,32,23,9,0,Disappeard from radar while eight miles short of the runway and crashed into the sea while on approach. Crew error. Crew flew below prescribed minimum altitiude.</t>
  </si>
  <si>
    <t>09/04/1971,11:15,"Near Juneau, Alaska",Alaska Airlines,1866,Anchorage - Seattle,Boeing B-727-193,N2969G,19304/287,111,104,7,111,104,7,0,The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</si>
  <si>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09/06/1971,18:21,"Near Hasloh, Germany",Pan International,112,"Hamburg, Germany - Malaga, Spain",BAC One-Eleven 515FB,D-ALAR,207,121,115,6,22,21,1,0,The aircraft collided with a bridge shearing off both wings after a double engine failure during takeoff.  A forced landing was attempted on a roadway. The water-injection system to cool the engines during takeoff was inadvertently filled with kerosene instead of water.</t>
  </si>
  <si>
    <t>09/16/1971,,"Presevo, Russia",Yemen Airlines,,Belgrade - Athens - Cairo - Jeddah - Aden,Douglas DC-3,4W-ABI,9334,5,3,2,5,3,2,0,The cargo plane crashed while taking off. Icing.</t>
  </si>
  <si>
    <t>09/16/1971,11:43,"Kiev, Ukraine, USSR",Malev Hungarian Airlines,,Budapest - Kiev,Tupolev TU-134A,HA-LBD,9350801,49,41,8,49,41,8,0,"While on approach to Kiev,   generator failed forcing the crew to switch to batteries. After two aborted attempts to land in fog, the plane crashed and broke up."</t>
  </si>
  <si>
    <t>09/17/1971,07:30,"Rila mountain, Bulgaria",Balkan Bulgarian Airlines,,Kardjali - Sofia,Antonov An-14,LZ-7005,601609,9,7,2,9,6,2,0,"Crashed on Sveti Duh peak in the Rila mountains while en route. While giving directions to the aircraft, the ATC confused the aircraft with another Turkish aircraft which was flying almost the same route, but at 9000 m altitude."</t>
  </si>
  <si>
    <t>09/28/1971,12:00,"Sena Madureira, Brazil",Cruzeiro,,Cruzerio do Sul - Rio Branco,Douglas DC-3,PP-CBV,4977,32,28,4,32,28,4,0,The aircraft tried to return to the airport after an engine fire during takeoff  but the right wing struck trees and it crashed in the Amazon jungle.</t>
  </si>
  <si>
    <t>10/02/1971,11:10,"Near Aarsele, West Vlaanderen, Belgium",British European Airways,706,London - Salzburg,Vickers Vanguard 951,G-APEC,706,63,55,8,63,55,8,0,"While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</si>
  <si>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10/10/1971,20:17,"Moscow, Russia",Aeroflot,773,	Moscow - Simferopol,Tupolev TU-104B,CCCP-42490,021603,25,18,7,25,18,7,0,"The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</si>
  <si>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10/16/1971,09:45,"Colorado City, Arizona",Scenic Air Lines,,Las Vegas - Grand Canyon,Cessna 402,N3250Q,,10,9,1,10,9,1,0,The sightseeing plane crashed in rain/snow.  Continued VFR flight into adverse weather conditions. Pilot transmitted he was turning around do to weather conditions.</t>
  </si>
  <si>
    <t>10/17/1971,,"San Vicente del Caguan, Colombia",Aerolineas TAO,,San Vicente del CaguÃ¡n  - Neiva,Douglas C-47A,HK- 595,19348,21,17,4,19,15,4,0,"The aircraft crashed and burned short of the runway. A girl, 6, and a boy 3, were the only survivors."</t>
  </si>
  <si>
    <t>10/21/1971,11:20,"Peoria, Illinois",Chicago and Southern Airlines,,"Chicago, IL - Peoria, IL",Beech E18S,N51CS,BA-211,16,14,2,16,14,2,0,Collided with wires/poles while attempting to land. Improper IFR operation. Descended below MDA.</t>
  </si>
  <si>
    <t>10/23/1971,,"Near Qui Nhon, South Vietnam",Military - Vietnamese Air Force,,,Douglas C-47,,,23,20,3,22,19,3,0,Crashed short of the after flying during a typhoon and landing in heavy rain.</t>
  </si>
  <si>
    <t>10/24/1971,22:15,"Bath, Pennsylvania",Monmouth Airways,,"Jamaica, NY - Allentown, PA",Beechcraft B99,N986MA,U-44,8,6,2,4,2,2,0,Collided with trees while attempting to land. Improper IFR operation. Descended below MDA. Pilot fatigue.</t>
  </si>
  <si>
    <t>11/09/1971,05:40,"Off Livorno, Italy",Military - Royal Air Force,,San Giusto - Sardinia,Lockheed C-130K Hercules,XV216,4243,52,46,6,52,46,6,0,"The plane, carrying paratroopers, crashed into the Ligurian Sea about 20 miles west of Pisa shortly after taking off from San Giusto Airport. In-flight structural failure. Cause undetermined."</t>
  </si>
  <si>
    <t>11/10/1971,,"Off Padang, Indonesia",Merpati Nusantara Airlines,,Jakarta - Padang - Medan - Kuala Lumpur,Vickers Viscount 828,PK-MVS,448,69,62,7,69,62,7,0,The plane crashed into the sea while on approach to Padang. Unknown cause.</t>
  </si>
  <si>
    <t>11/12/1971,11:25,"Vinnitsa, Russia",Aeroflot,H-63,Kiev - Vinnitsa,Antonov AN-24,CCCP-46809,67302306,48,43,5,48,43,5,0,The plane crashed  on a a go-around 850 m short of the runway. Stalled for unknown reasons.</t>
  </si>
  <si>
    <t>11/21/1971,21:50,"Near Penghu Island, Taiwan",China Airlines (Taiwan),,Taipei - Hong Kong,Sud Aviation SE-210 Caravelle III,B-1852,122,25,17,8,25,17,8,0,The plane crashed into the sea while on a flight from Taipei to Hong Kong.  Detonation of an explosive device.</t>
  </si>
  <si>
    <t>11/28/1971,13:30,"Near Hue, South Vietnam",Military - U.S. Army,,Da Nang - Camp Eagle,Boeing Vertol CH-47C,68-15866,,34,29,5,34,29,5,0,Crashed into a mountain after attempting to fly through a lowland area due to deteriorating weather conditions.</t>
  </si>
  <si>
    <t>12/01/1971,21:48,"Saratov, Russia",Aeroflot,2174,Ufa - Saratov,Antonov AN-24,CCCP-46788,57301801,57,53,4,57,53,4,0,During approach the plane made a large roll and vertical rate of descent and crashed. Icing.</t>
  </si>
  <si>
    <t>12/04/1971,13:46,"Raleigh, North Carolina",Eastern Air Lines,,"Miami, FL - Raleigh, NC",Douglas DC-9-31 /Cessna 206,N8943E / N2110F,47166/265 / ?,29,24,5,2,1,1,0,Midair collision.  The DC-9 descended onto the Cessna. Two killed aboard the Cessna. The DC-9 landed with no one aboard injured. Inadequacy of ATC facilities and services in the terminal area.</t>
  </si>
  <si>
    <t xml:space="preserve">12/06/1971,,"Tikaka, Sudan",Sudan Airways,,Khartoum - Malakal,Fokker F-27 Friendship 200,ST-AAY,10238,42,37,5,10,9,1,0,The aircraft experienced a forced landing after being hijacked and running out of fuel.      </t>
  </si>
  <si>
    <t>12/09/1971,12:25,"Chinnamanur, India",Indian Airlines,,Trivandrum - Madurai,HAL-748-224 Srs.2,VT-DXG,512,31,27,4,21,17,4,0,Strayed off course and flew into a mountain. Crew error.</t>
  </si>
  <si>
    <t>12/21/1971,23:32,"Sofia, Bulgaria",Balkan Bulgarian Airlines,,Sofia IAP - Algiers,Ilyushin IL-18B,LZ-BES,185008104,73,62,11,28,26,2,0,Crashed in adverse weather conditions shortly after taking off. Technicians failed to comply with maintenance procedure and it was determined that the aileron control cables were not properly connected.</t>
  </si>
  <si>
    <t>12/24/1971,12:36,"Near Puerto Inca, Huanuco, Peru",Lineas Aereas Nacionales SA (Peru),508,Lima - Pucallpa,Lockheed 188A Electra,OB-R-941,1086,92,86,6,91,85,6,0,"The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</si>
  <si>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she slept one more night in the jungle before the men took her on the final seven hour journey via canoe down the river to a lumber station where she was airlifted to a hospital."</t>
  </si>
  <si>
    <t>01/06/1972,15:35,"Near Chetumal, Mexico",SAESA,,Chetumel - Merida - Mexico City,Hawker Siddeley HS-748-230 Srs. 2A,XA-SEV,1598,23,18,5,23,18,5,0,The aircraft crashed about 40 km northwest of Chetumal. following a fire onboard while en route.</t>
  </si>
  <si>
    <t>01/07/1972,12:10,"Sierra de Atalayasa, Spain",Iberia Airlines,602,Valencia - Ibiza,Sud-Aviation Caravelle VI-R,EC-ATV,163,104,98,6,104,98,6,0,"The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</si>
  <si>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01/21/1972,,"Near Funza, Colombia",Lineas AÃ©reas la Urraca,,Bogota - San Andres,Vickers Viscount 837,HK-1347,442,20,15,5,20,15,5,0,Crashed shortly after leaving Bogota after an explosion aboard.</t>
  </si>
  <si>
    <t>01/21/1972,10:30,"Near Betania, Colombia",SATENA,661,MedellÃ­n - QuibdÃ³ - BahÃ­a Solano - Buenaventura - Cali,Douglas C-47,FAC-661,,39,36,3,39,36,3,0,The aircraft struck a mountain in rain and thunderstorms operating as a non-scheduled passenger airliner run by the military.</t>
  </si>
  <si>
    <t>01/26/1972,16:10,"Near SrbskÃ¡ Kamenice, Czech Republic",JAT Yugoslav Airlines,JU 367,Stockholm - Belgrade,McDonnell Douglas DC-9-32,YU-AHT,47482/592,28,23,5,27,23,4,0,"The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</si>
  <si>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02/01/1972,,"Near Tegal, Indonesia",Royal Air Laos/PENAS,,Singapore - Jakarta,Douglas DC-6,XW-PEH,43126/132,9,6,3,6,5,1,0,Due to a compass error the aircraft became lost and crashed during a forced landing due to fuel starvation.</t>
  </si>
  <si>
    <t>02/04/1972,,"Pha Khao, Laos",Air America,,Ban Xon - Pha Khao,de Havilland Canada C-7A Caribou,393,51,38,34,4,1,0,1,0,"After a go-around due to an obstruction on the runway, the aircraft crashed while attempting to land a second time. Overloaded"</t>
  </si>
  <si>
    <t>02/05/1972,,"Near Valledupar, Colombia",TAC Colombia,772,Bogota - Valledupar,Fairchild F-27,HK-1139,0075,19,15,4,19,15,4,0,Disappeared while en route. Wreckage found 3 days later. The accident was the result of a controlled flight into terrain due to a premature descent.</t>
  </si>
  <si>
    <t>02/11/1972,13:20,"Near Vientiane, Laos",Royal Air Lao,,Savannakhet - Vientiane,Douglas DC-4,XW-TDE,43126,23,17,6,23,17,6,0,Shot down while en route. Aircraft not found.</t>
  </si>
  <si>
    <t>03/03/1972,20:48,"Albany, New York",Mohawk Airlines,405,"New York City - Albany, NY",Fairchild-Hiller FH-227-B,N7818M,541,48,45,3,16,14,2,1,"The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</si>
  <si>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03/14/1972,22:00,"Near Al Fujayrah, United Arab Emirates",Sterling Airways,296,Colombo - Dubai,Aerospatiale Caravelle Super 10B,OY-STL,267,112,106,6,112,106,6,0,"The aircraft struck a mountain ridge during approach, 50 miles E of Dubai. Incorrect information from an outdated flight plan."</t>
  </si>
  <si>
    <t>03/19/1972,,"Shamsam Mountains, South Yemen",Egyptair,763,Cairo - Jeddah - Aden,McDonnell Douglas DC-9-32,YU-AHR,47503/587,22,13,9,22,13,9,0,"The aircraft crashed into Shamsam Mountain and exploded, during a visual approach, 4 miles SW of the airport. Controlled flight into terrain."</t>
  </si>
  <si>
    <t>04/12/1972,21:26," Near Rio de Janeiro, Brazil",VASP,,Sao Paulo - Rio de Janeiro,NAMC YS-11A-211,PP-SMI,2059,25,21,4,25,21,4,0,"Crashed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</si>
  <si>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04/16/1972,22:10,"Near Ardinello di Amaseno, Italy",Aero Transporti Italiani,,Rome - Foggia,Fokker F-27 Friendship 200,I-ATIP,10251,18,15,3,18,15,3,0,Crashed into high ground while en route in thunderstorm activity. Loss of control due to downdrafts and updrafts in thunderstorm activity.</t>
  </si>
  <si>
    <t>04/17/1972,17:18,"New York, New York",Helaire Helicopter,,Sightseeing,Bell 47J-2,N8467E,,3,2,1,3,2,1,0,Float equipped sightseeing helicopter encountered turbulence which led to the blades flapping and a steep nose down crash into the river.</t>
  </si>
  <si>
    <t>04/18/1972,09:39,"Addis Ababa, Ethiopia",East African Airways,720,Addis Ababa - Rome,BAC Super VC-10 1154,5X-UVA,881,107,96,11,43,35,8,0,The aircraft broke-up after overrunning the runway and an aborted takeoff. Partial loss of braking power due to the incorrect reassembly and repairs of the braking system.</t>
  </si>
  <si>
    <t>04/20/1972,16:20,"Near Moyobamba, Peru",SATCO,,,Douglas C-47D,OB-R-653,17102/34369,6,2,4,6,2,4,0,The cargo plane struck a mountain in poor weather conditions. The pilot elected to use a cruising altitude lower than stipulated in order to save time and continue flying in VFR conditions.</t>
  </si>
  <si>
    <t>04/24/1972,12:23,"Nyot Mo, Laos",Air America,,"Long Tieng, Laos - Moung Cha, Laos",Pilatus PC6CH2,N391R,,10,9,1,4,4,0,0,Hit trees while flying through a mountain pass in rain and fog.</t>
  </si>
  <si>
    <t>05/04/1972,23:34,"Bratsk, USSR",Aeroflot,608,	Irkutsk - 	Bratsk,Yakovlev YAK-40,CCCP-87778,9040314,18,14,4,18,14,4,0,Crashed on approach. The plane entered an area of severe wind. Windshear. ATC error. Current weather was not passed on to the plane.</t>
  </si>
  <si>
    <t>05/05/1972,22:24,"Near Carini, Sicily, Italy",Alitalia,112,Rome - Palermo,McDonnell Douglas DC-8-43,I-DIWB,45625/150,115,108,7,115,108,7,0,The plane cashed into Mt. Lunga during an approach to Palermo. The crew's non-adherence to airport traffic regulations. The aircraft was named Antonio Pigafetta.</t>
  </si>
  <si>
    <t>05/08/1972,, Venezuela,Aerotechnia,,Ciudad BolÃ­var - Cuchivero,Douglas C-47B,YV-C-GAI,26613,7,5,2,7,5,2,0,Struck a mountain near Rio Orinoco while en route.</t>
  </si>
  <si>
    <t>05/10/1972,10:25,"Near Gia Dinh, South Vietnam",Military - U.S. Army,,Bien Hoa - Vung Tau,Boeing Vertol CH47A (helicopter),,,34,32,2,34,32,2,0,Metal fatigue of the spar in a blade led to separation of the blade and loss of control of the aircraft.</t>
  </si>
  <si>
    <t>05/16/1972,12:30,"Svetlogorsk, Russia",Military - Russian Navy,,Kaliningrad - Kaliningrad,Antonov An-26,05, 9911302,9,0,9,9,0,9,25,"The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</si>
  <si>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05/18/1972,11:53,"Near Kharkov, Ukraine, USSR",Aeroflot,1491,Moscow - :	Kharkov,Antonov AN-10A,CCCP-11215,	 0402502,122,115,7,122,115,7,0,Structural failure and separation of both wings due to a fatigue crack in the center wing section.</t>
  </si>
  <si>
    <t>05/21/1972,,"Lobito, Angola",DTA Angola Airlines,,Luanda - Lobito - Lubango,Fokker F-27 Friendship 200,CR-LLD,10439,25,19,6,22,17,5,0,Overshot the runway in heavy fog and crashed into the ocean while landing.</t>
  </si>
  <si>
    <t>05/27/1972,15:10,"Near Helgoland, Germany",General Air,005,Helgoland - Wangerooge,de Havilland Canada DHC-6 Twin Otter,D-IDHC,31,13,10,3,8,6,2,0,Crashed after taking off from this North sea island for another island.</t>
  </si>
  <si>
    <t>05/29/1972,06:04,"Dulac, Louisiana",Petrolium Helicopter,,"Dulac, LA - Gulf oil platform",Bell 205A,N2256W,,11,10,1,11,10,1,0,Crashed into the water after the fatigue failure of both tail rotor blade grips.</t>
  </si>
  <si>
    <t>05/29/1972,,"Cruzeiro do Sul Acre, Brazil",Amazonese Importacao e Exportacao,,Cruzeiro do Sul - Rio Branco,Lockheed 049 Constellation,PP-PDG,2037,18,15,3,9,6,3,0,"The cargo plane cashed into trees shortly after taking off after two engines failed. Refueling directly from the trucks, without allowing sufficient time for the fuel to settle."</t>
  </si>
  <si>
    <t>05/30/1972,06:24,"Dallas/Ft. Worth, Texas",Delta Air Lines,9570,Training,McDonnell Douglas DC-9-14,N3305L,45700,4,0,4,4,0,4,0,"While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</si>
  <si>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06/05/1972,,"Near Pleiku, Vietnam",Air America,, Hue - Pleiku - BuÃ´n Ma Thuot - Saigon,Curtiss C-46A,EM2,30460,32,29,3,32,29,3,0,The crew failed to realize his altitude was too low when the airplane struck the slope of a mountain located few km from the airport.</t>
  </si>
  <si>
    <t>06/13/1972,,"Santiago, Chile",Aerolineas Flecha Austral,,,Curtiss C-46D,CC-CDU,33369,3,0,3,3,0,3,0,On approach the cargo plane struck El Ovejero mountain.</t>
  </si>
  <si>
    <t>06/13/1972,,"Near an Loc, South Vietnam",Military - Vietnamese Air Force,,,Boeing Vertol CH-47 (helicopter),,,47,NULL,NULL,47,NULL,NULL,0,"Shot down by enemy fire, 60 miles north of Saigon, shortly after taking off."</t>
  </si>
  <si>
    <t>06/14/1972,20:20,"Near New Delhi, India",Japan Air Lines,471,Bangkok - Delhi,McDonnell Douglas DC-8-53,JA8012,45860/213,87,76,11,82,72,10,4,The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</si>
  <si>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06/15/1972,14:00,"Near Pleiku, South Vietnam",Cathay Pacific Airways,700Z,Bangkok - Hong Kong,Convair CV-880-22M-21,VR-HFZ,22-7-1-53,81,71,10,81,71,10,0,"The plane crashed while en route from Singapore to Hong Kong. Detonation of an explosive device in the passenger cabin in a suitcase under a seat. A Thai police lieutenant, accused of planting the bomb, was acquitted due to lack of sufficient evidence."</t>
  </si>
  <si>
    <t>06/18/1972,16:11,"London Heathrow,  Staines, Surrey, England",British European Airways,548,London - Brussels,Hawker Siddeley Trident 1C,G-ARPI,2109,118,112,6,118,112,6,0,The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</si>
  <si>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06/24/1972,23:17,"Ponce, Puerto Rico",Prinair,191,San Juan - Ponce,de Havilland DH-114 Heron 2B,N554PR,14085,20,18,2,5,3,2,0,"The pilot over-rotated during a go-around from a landing attempt , lost control and crashed. Crew error. The reason for rejecting the landing is not known."</t>
  </si>
  <si>
    <t>06/29/1972,09:37,"Appleton, Wisconsin",North Central Airlines / Air Wisconsin,290 / 671,"Chicago, IL - Appleton, WI - Sheboygan, WI",Convair CV-580/De Hav. Twin Otter 100,N90858/N4043B,083 / 013,13,8,5,13,8,5,0,Both aircraft were proceeding under VFR getting ready to land when there was a midair collision. Both aircraft crashed into Lake Winnebago and sank. The failure of both flightcrews to detect visually the other aircraft in sufficient time to initiate evasive action.</t>
  </si>
  <si>
    <t>07/05/1972,,"San Francisco, California",Pacific Southwest Airlines,710,Sacramento - San Francisco,Boeing 737-200,,,86,79,7,3,3,0,0,Two hijackers and one passenger killed.</t>
  </si>
  <si>
    <t>07/06/1972,02:00,"Off Las Palmas, Canary Islands, Spain",Aviaco,331,Las Palmas - Hamberg,McDonnell Douglas DC-8-52,EC-ARA,45617/136,10,0,10,10,0,10,0,"The plane ditched into the sea, 14 miles from Gran Canana Island while on approach. Reasons unknown."</t>
  </si>
  <si>
    <t>07/11/1972,16:00,"Near Grytoya, Norway",Military - Royal Norwegian Air Force,,Bardufoss - Bodoe,de Havilland Canada DHC-6 Twin Otter 100,67-056,56,19,17,2,19,17,2,0,Crashed in rain and fog on the island of Hinno while preparing to land at Skagon Airport. Navigational error.  The pilot was found be under the influence of alcohol.</t>
  </si>
  <si>
    <t>07/11/1972,,"Near Quang Tri, South Vietnam",Military - U.S. Marine Corps,,,Sikorsky CH-53D (helicopter),156658,,67,60,7,52,50,2,0,"Shot down by enemy fire, 60 miles north of Siagon."</t>
  </si>
  <si>
    <t>07/20/1972,,"Corfu Island, Greece",Charter,,,Sud-Aviation SE210 Caravelle,,,84,NULL,NULL,1,1,0,0,"On the takeoff run, a loud explosion was heard and the takeoff was aborted. The aircraft never became airborne,  overran the runway and crashed into shallow water.  On passenger that did not have her seatbelt on was killed."</t>
  </si>
  <si>
    <t>07/29/1972,06:53,"Villavicencio, Colombia",AVIANCA / AVIANCA,,,Douglas DC-3 / Douglas DC-3,HK1341X/HK107,11716 / 11723,38,32,6,38,32,6,0,Midair collision. Seventeen aboard the HK-134 and twenty-one aboard the HK-107 killed.</t>
  </si>
  <si>
    <t>08/12/1972,22:42,"Near Delhi, India",Indian Airlines,,Gwalior - Delhi,Fokker F-27 Friendship 100,VT-DME,10175,18,14,4,18,14,4,0,Crashed on second approach after the pilot used the wrong flap setting and gears down after initiating a go-around.</t>
  </si>
  <si>
    <t>08/12/1972,04:00,"Near Soc Trang, South Vietnam",Military - U.S. Air Force,,,Lockheed C-130E,62-1853,3817,44,36,8,30,23,7,0,The aircraft was hit by small arms fire shortly after taking off from Soc Trang Air Base.</t>
  </si>
  <si>
    <t>08/14/1972,17:00,"Near Konigs Wusterausen, East Germany",Interflug,,Berlin - Birgas,Ilyushin IL-62,DM-SEA,00702,156,148,8,156,148,8,0,"In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</si>
  <si>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08/16/1972,,"Near Sandoway, Burma",Burma Airways,,Sandoway - Rangoon,Douglas DC-3 (C-47A-DK),XY-ACM,26979,31,27,4,26,22,4,0,Lost control soon after it took off and crashed into the sea.</t>
  </si>
  <si>
    <t>08/27/1972,,"Canaima, Venezuela",Lineas Areas Venezolanas,,Canaima - C iudad,Douglas C-47-DL,YV-C-AKE,4705,34,31,3,34,31,3,0,The aircraft crashed while the crew was returning to the airport after experiencing a No.1 engine failure.</t>
  </si>
  <si>
    <t>08/28/1972,14:30,"Papua, New Guinea",Military - Royal Australian Air Force,,Lae - Port Moresby,de Havilland Canada DHC-4 Caribou,A4-233,233,29,26,3,25,22,3,0,"While traveling through a valley, the pilot reversed his course after the weather deteriorated. He began to climb but clipped trees just below a ridge, lost control of the aircraft and crashed. The pilot's error in judgement in not flying about the poor weather in the valley."</t>
  </si>
  <si>
    <t>08/31/1972,10:19,"Near Magnitogorsk, Russia",Aeroflot,558,Karaganda - Moscow,Ilyushin IL-18,CCCP-74298,182004505,102,93,9,102,93,9,0,"The aircraft crashed, trailing heavy smoke. Fire caused by spontaneous ignition of passenger baggage."</t>
  </si>
  <si>
    <t>09/01/1972,,"Mt. Giluwe, Papua, New Guinea",Ansett Airlines of Papua New Guinea,,,Shorts SC-7 Skyvan 3-300,VH-PNI,SH-1840,4,3,1,4,3,1,0,"While on a VFR flight, the aircraft, struck  Mt. Giluwe at  14,346 feet. Cause undetermined."</t>
  </si>
  <si>
    <t>09/07/1972,17:57,"Trinidad, Bolivia",Servicios Aereas Virgen de Copacabana,,,Curtiss C-46A-40-CU,CP-959,26903,8,6,2,1,0,1,0,"The No.1 engine failed during takeoff, the aircraft banked left, lost height, touched down again and ran through small trees and a fence . The right gear collapsed and the nose hit the ground."</t>
  </si>
  <si>
    <t>09/10/1972,10:20,"Gondar, Ethiopia",Ethiopian Airlines,,Axum - Gondar,Douglas DC-3,ET-ABQ,4325,11,8,3,11,8,3,0,Crashed after a wing separated from the fuselage caused by the presence of fatigue cracks in the root.</t>
  </si>
  <si>
    <t>09/13/1972,12:00,"Near Dhulikhel, Nepal",Military - Royal Nepalese Air Force,,Panchkhal - Tribuvan,Douglas C-47,9N-RF10,9950,31,27,4,31,27,4,0,Crashed while en route with paratroopers in limited visibility</t>
  </si>
  <si>
    <t>09/24/1972,,"Sacramento, California",Private,,,F-86 Sabrejet,N275X,,1,0,1,0,0,0,22,"A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</si>
  <si>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09/24/1972,,"Near Ben Cat, South Vietnam",Air Vietnam (South Vietnam),,Vientiane - Saigon,Douglas C-54D-1-DC,XV-NUH,10588,13,8,5,10,6,4,0,Crashed 23 miles from Saigon while attempting an emergency landing.</t>
  </si>
  <si>
    <t>10/01/1972,19:25,"Near Adler, USSR",Aeroflot,1036,Adler - Moscow,Ilyushin IL-18B,CCCP-75507,183006405,108,108,8,108,100,8,0,"The flight ditched into Black Sea shortly after takeoff. The accident occurred in good weather and visibility, and ground controllers received no distress message prior to the crash. An investigation failed to reveal its cause."</t>
  </si>
  <si>
    <t>10/02/1972,,"Kampot, Cambodia",Cambodia Air,,,Douglas DC-3,XW-TDA,13729,9,7,2,9,7,2,0,Shot down by a mortar shell while approaching to land at Kampot.</t>
  </si>
  <si>
    <t>10/13/1972,15:30,"Near San Fernando, Chile",Uruguayan Air Force - TAMU,,Mendoza - Santiago,Fairchild-Hiller FH-227D/LCD,T-571,572,45,40,5,29,24,5,0,"The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</si>
  <si>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10/13/1972,21:50,"Near Moscow, USSR",Aeroflot,217,Leningrad - Moscow,Ilyushin IL-62,CCCP-86671,70301,174,164,10,174,164,10,0,"The aircraft crashed at the outer marker while attempting to land for the third time in poor weather conditions.  Sudden incapacitation of the crew for reasons unknown. Contributing to the accident, the airport's instrument landing system was not working."</t>
  </si>
  <si>
    <t>10/16/1972,09:00,Off the Alaska coast,Private,,"Anchorage, AK - Juneau, AK",Cessna 310C,N1812H,35912,4,3,1,4,3,1,0,"The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</si>
  <si>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10/21/1972,21:30,"Off Athens, Greece",Olympic Airways,,Kerkira - Athens,NAMC YS-11A-202,SX-BBQ,2155,53,49,4,37,36,1,0,Crashed into the sea just short of the runway while on approach in poor visibility. Controlled flight into water.</t>
  </si>
  <si>
    <t>10/23/1972,,"Tanna, Vanuatu",Air Melanesie,,Lenakel - Port Vila,Britten-Norman BN-2A-6 Islander,F-OCRH,221,8,7,1,1,1,0,0,"After takeoff from Lenakel Airport, en route to Port Vila, the pilot wanted to show cattle to a passenger and decided to reduce his altitude when the twin engine airplane struck trees. Pilot error."</t>
  </si>
  <si>
    <t>10/27/1972,19:18,"Near Noiretable, Loire, France",Air Inter,696,Lyon - Clermont,Vickers Viscount 724,F-BMCH,050,68,63,5,60,55,5,0,Crashed while landing in severe turbulence. Faulty indication by radio compass.</t>
  </si>
  <si>
    <t>10/30/1972,20:40,"Poggiorsini, Italy",Aero Transporti Italiani,,Napoli - Bari,Fokker F-27 Friendship 200,I-ATIR,10301,27,24,3,27,24,3,0,Plummeted to the ground and burst into flames near a farmhouse after losing control with the tower. Visual approach in descent below minima.</t>
  </si>
  <si>
    <t>10/31/1972,18:00,"Near My Tho, South Vietnam",Military - U.S. Army,,,Boeing Vertol CH-47 (helicopter),,,22,NULL,NULL,22,NULL,NULL,0,Shot down by enemy fire over the Mekong Delta region.</t>
  </si>
  <si>
    <t>11/04/1972,20:02,"Near Plovdiv, Bulgaria",Balkan Bulgarian Airlines,,Burgas - Sofia,Ilyushin IL-14P,LZ-ILA,146001046,35,31,4,35,31,4,0,"The crew elected to divert to Plovdiv due to fog. While on approach, the aircraft flew into a mountain. ATC error."</t>
  </si>
  <si>
    <t>11/17/1972,23:20,"Elkton, Kentucky",Metro Air Systems,,"Hopkinsville, KY - Lexington, KY",Beech G18S,N2700S,BA-567,11,10,1,11,10,1,0,"Improperly loaded aircraft, weight and center of gravity."</t>
  </si>
  <si>
    <t>11/28/1972,19:51,"Near Moscow, Russia",Japan Air Lines,446,Moscow - Tokyo,McDonnell Douglas DC-8-62,JA8040,46057/474,76,61,15,62,53,9,0,"The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</si>
  <si>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12/03/1972,07:33,"Tenerife,  Canary Islands",Spantax,,Tenerife - Munchen,Convair CV-990-30A-5 Coronado,EC-BZR,30-10-25,155,148,7,155,148,7,0,Reached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</si>
  <si>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12/08/1972,12:15,"Near Rawalpindi, Pakistan",Pakistan International Airlines,631,Gilgit - Rawalpindi,Fokker F-27 Friendship 400,AP-AUS,10314,26,22,4,26,22,4,0,Crashed into hilly area in poor weather conditions. Controlled flight into terrain.</t>
  </si>
  <si>
    <t>12/08/1972,14:28,"Midway Airport, Chicago, Illinois",United Air Lines,553,Washington - Chicago,Boeing B-737-222,N9031U,19069/75,61,55,6,43,40,3,2,"The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</si>
  <si>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12/20/1972,18:00,"Chicago, Illinois",Delta Air Lines/ North Central Airlines,954/575,Tampa - Chicago / Chicago - Madison,Convair CV-880 / McDonnell DC-9-31,N8897E/N954N,22-00-29 / 47159/231,133,122,11,10,10,0,0,"The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</si>
  <si>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12/21/1972,,"Off St. Maarten off, Netherlands Antilles",Air Guadeloupe,,Guadeloupe - St. Maarten,de Havilland Canada DHC-6 Twin Otter 300,F-OGFE,258,13,11,2,13,11,2,0,Crashed on approach into the sea at night.</t>
  </si>
  <si>
    <t>12/23/1972,16:34,"Skaugum, Norway",Braathens,,Alesund - Oslo,Fokker F-28 Fellowship 1000,LN-SUY,11011,45,42,3,40,37,3,0,"Hit high ground while on approach to Fornebu Airport in Oslo. The aircraft descended well below the MDA and was off course by 2,5Â° at the time of the accident.Pilot error."</t>
  </si>
  <si>
    <t>12/29/1972,23:42,"Everglades National Park, Florida",Eastern Air Lines,401,New York City - Miami,Lockheed L-1011 TriStar 1,N310EA,1011,176,163,13,103,97,6,0,"The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</si>
  <si>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12/31/1972,19:23,"San Juan, Puerto Rico",American Express Leasing,,"San Juan, PR - Managua, Nicaragua",Douglas DC-7CF,N500AE,45130/823,5,2,3,5,2,3,0,"The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</si>
  <si>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01/02/1973,08:34,"Edmonton, Alberta, Canada",Pacific Western Airlines,,Toronto - Edmonton,Boeing 707-321C,CF-PWZ,18826/389,5,0,5,5,0,5,0,"Landing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</si>
  <si>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01/19/1973,14:31,"Near Glasgow, Scotland",British European Airways,,Test flight,Vickers 802 Viscount,G-AOHI,158,4,2,2,4,2,2,0,Crashed into Ben More mountain. The pilot did not maintain a safe altitude and gave insufficient attention to navigation when flying VFR into an area of snow covered high ground in marginal weather conditions.</t>
  </si>
  <si>
    <t>01/21/1973,23:56,"Perm, Russia",Aeroflot,,Kazan - Perm,Antonov An-24B,CCCP-46276,77303609,39,34,5,39,34,5,0,"The plane went into a spiral dive. As the crew tried to pull the plane out, it broke up due to excesss g loads. Four survived the crash as the plane landed in a blanket of snow but succumbed to the cold before they could be rescued. Cause unknown."</t>
  </si>
  <si>
    <t>01/22/1973,09:30,"Kano, Nigeria",Alia Royal Jordanian Airlines,,Jeddah - Lagos,Boeing B-707-3D3C,JY-ADO,20494/850,202,193,9,176,170,6,0,The landing gear collapsed after hitting a depression in the runway while landing. The aircraft ran off the side of the runway and caught fire. Wake turbulence during the landing.</t>
  </si>
  <si>
    <t>01/27/1973,,"Near Tegucigalpa, Honduras",TAN,,Miami - Tegucigalpa,Douglas DC-6A,HR-TNO,45476/977,3,0,3,3,0,3,0,The cargo plane crashed and burned ten miles from the destination airport.</t>
  </si>
  <si>
    <t>01/29/1973,,"Near Kyrenia, Cyprus",Egyptair,741,Cairo - Nicosia,Ilyushin IL-18D,SU-AOY,188011101,37,30,7,37,30,7,0,Crashed into the Kyrenia Mountains while on approach. Controlled flight into terrain.</t>
  </si>
  <si>
    <t>02/19/1973,10:06,"Prague, Czechoslovakia",Aeroflot,,Moscow - Praha,Tupolev TU-154,CCCP-85023,023,100,87,13,66,62,4,0,The plane struck the ground short of the runway while landing. Possible windshear or jammed tailplane. Official cause unknown</t>
  </si>
  <si>
    <t>02/19/1973,09:15,"Morgan City, Louisiana",Petrolium Helo Inc.,,"Oil platform - Morgan City, LA",Bell 206B,N14831,,5,4,1,5,4,1,0,"Crashed after the failure of the main rotor.  Pylon support link failed due to fatigue, causing complete failure of the main rotor."</t>
  </si>
  <si>
    <t>02/21/1973,,"Cerro Horqueta, Panama",Aerovias Urraca,,David - Changuinola,Douglas DC-3,HP-560,19242,28,25,3,22,19,3,0,Flew into Cerro Horqueta Mountain. Controlled flight into terrain.</t>
  </si>
  <si>
    <t>02/21/1973,14:10,"Near Isma'iliya, Egypt",Libya Arab Airlines,114,Tripoli - Cairo,Boeing B-727-224,5A-DAH,20244/650,113,104,9,108,100,8,0,"While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</si>
  <si>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02/24/1973,07:37,"Near Leningrad, Russia",Aeroflot,630,	Dushanbe - 	Leninabad,Ilyushin IL-18,CCCP-75712,189001804,79,71,8,79,71,8,0,The aircraft entered a spin after the plane banked 60 degrees and then dove into the ground.</t>
  </si>
  <si>
    <t>02/28/1973,18:59,"Semipalatinsk, Kazakhstan",Aeroflot,256,Semipalatinsk - Karaganda,Yakovlev YAK-40,CCCP-87602,9120118,32,29,3,32,29,3,0,Crashed back on the the runway and broke apart. Official cause could not be determined.</t>
  </si>
  <si>
    <t>02/28/1973,,"Near Nabire, Indonesia",Merpati Nusantara Airlines,,,de Havilland Canada DHC-6 Twin Otter 100,PK-NUC,70,13,10,3,13,10,3,0,Crashed while en route 45 km east of Nabire.</t>
  </si>
  <si>
    <t>03/03/1973,12:45,"Moscow, USSR",Balkan Bulgarian Airlines,307,Sofia - Moscow,Ilyushin IL-18V,LZ-BEM,182005602,25,17,8,25,17,8,0,"Crashed, broke up and burst in flames while on second approach after descending below glide slope. Icing of tailplane."</t>
  </si>
  <si>
    <t>03/05/1973,13:50,"Near Nantes, France",Lineas Aereas de Espana/Spantax SA Transportes,504/400,Palma de Mallorca - London,MD Douglas DC-9-32/Convair CV-990A,EC-BII/EC-BJC,47077/148 /30-10-22,182,166,16,68,61,7,0,"Midair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</si>
  <si>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03/15/1973,,"Hyderabad, India",Indian Airlines,,Training,HAL-748-224,VT-EAU,541,3,0,3,3,0,3,0,While turning and aligning to land the right wing tip struck power lines and a tree. The aircraft then hit a house and caught fire. Multiple errors by the instructor as well as the trainees due to being under the influence of  alcohol.</t>
  </si>
  <si>
    <t>03/19/1973,10:05,"Ben Me Thuot, South Vietnam",Air Vietnam (South Vietnam),,Saigon - Ban Me,Douglas C-54D,XV-NUI,22174,62,57,5,62,57,5,0,Crashed after an explosion in the cargo hold.</t>
  </si>
  <si>
    <t>04/10/1973,10:13,"Near Basel,  Switzerland",Invicta International Airlines (UK),435,Bristol - Basel,Vickers Vanguard 952,G-AXOP,745,145,139,6,108,104,4,0,Crashed into a forest during a snowstorm. Malfunctioning navigation equipment. Navigational error by crew.</t>
  </si>
  <si>
    <t>04/12/1973,14:50,"Moffett AFB, California",Military - U.S. Navy / NASA,,,Lockheed P-3C / Convair CV-990-30A-5,157332/N711NA,5547 / 1,17,0,17,16,0,16,0,"A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</si>
  <si>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04/18/1973,,"Bamiyan, Afghanistan",Bakhtar Afghan Airlines,,Bamiyan - Kabul,de Havilland Canada DHC-6 Twin Otter 100,YA-GAT,111,19,16,3,4,2,2,0,The chartered American/Canadian tour group's plane crashed on takeoff.</t>
  </si>
  <si>
    <t>05/11/1973,04:37,"Near Semipalatinsk, USSR",Aeroflot,6551,"	Tashkent, Uzbekistan - 	Novosibirsk, Russia",Ilyushin IL-18B,SSR-75687,189001202,61,55,8,61,55,8,0,The plane disintegrated during an emergency descent and crashed 84km from Semipalatins. Collision with a foreign object causing damage to the wing.</t>
  </si>
  <si>
    <t>05/18/1973,09:38,"Chita, Siberia, USSR",Aeroflot,109,Moscow - Chita,Tupolev TU-104A,CCCP-42411,820303,81,72,9,81,72,9,0,The aircraft broke up at FL 300. Detonation of a bomb in the cabin being carried by a hijacker.</t>
  </si>
  <si>
    <t>05/19/1973,15:00,"Svay Rieng, Cambodia",Cambodia Air,,Svay Rieng - Phnom Penh,Douglas C-47A,XW-TDM,10078,11,9,2,11,9,2,0,Crashed shortly after taking off after being hit by ground fire.</t>
  </si>
  <si>
    <t>05/29/1973,,"Near Rimouski, Prov. Quebec, Canada",Air GaspÃ©,,,Douglas DC-3,CF-QBB,10081,4,1,3,4,1,3,0,"the crew failed to realize their altitude was too low when the plane struck a tree and crashed, 5 km southeast of Rimouski."</t>
  </si>
  <si>
    <t>05/31/1973,21:58,"Near New Delhi, India",Indian Airlines,440,Madras - Delhi,Boeing B-737-2A8,VT-EAM,20486/279,65,58,7,48,43,5,0,The plane crashed and caught fire after hitting power lines during a landing attempt. The landing was made despite visibility below minima. Crew error.</t>
  </si>
  <si>
    <t>06/01/1973,07:20,"Sao Luis, Brazil",Cruzeiro,,Belem - Sao Luis,Sud Aviation SE-210 Caravelle VIN,PP-PDX,126/127,23,16,7,23,16,7,0,"While on a go-around the aircraft attained a nose up attitude, stalled and crashed. Loss of power in the No.1 engine at a critical stage of the landing."</t>
  </si>
  <si>
    <t>06/03/1973,15:29,"Goussainville, France",Aeroflot,,Demonstration,Tupolev TU-144,CCCP-77102,01-2,6,0,6,6,0,6,8,"During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</si>
  <si>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06/09/1973,,"Rio de Janeiro, Brazil",Varig,,,Boeing 707-327C,PP-VLJ,19106/502,4,0,4,2,0,2,0,The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</si>
  <si>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06/20/1973,22:47,"Near Puerto Vallarta, Mexico",Aeromexico,,Houston - Monterrey - Puerto Vallarta - Mexico City,McDonnell Douglas DC-9-15,XA-SOC,47100/153,27,22,5,27,22,5,0,"The aircraft hit high ground during an approach, 32 kms from the airport."</t>
  </si>
  <si>
    <t>06/30/1973,13:39,"Amman, Jordan",Aeroflot,SU-512,"Amman, Jordan - Beirut, Lebanon - Yerevan, Armenia",Tupolev TU-134A,CCCP-65668,1351306,85,78,8,2,0,2,7,"The aircraft was not able to lift off during takeoff, overshot the runway and crashed into a house bursting into flames."</t>
  </si>
  <si>
    <t>07/04/1973,,"Near Shakhtyorsk, Russia",Aeroflot,,Yuzhno -Shakhtyorsk,Ilyushin IL-14,CCCP-91534,147001150,18,13,5,18,13,5,0,"Controlled flight into terrain, 53 km south of Shakhtyorsk. The crew descended below a safe altitude during the approach."</t>
  </si>
  <si>
    <t>07/09/1973,19:53,"Nnear Kuybyshev, Russia",Aeroflot,5385,Kuibyshev - Simferopol,Tupolev TU-124V,CCCP-45062,4351407,61,54,7,2,2,0,0,Made a forced landing after experiencing engine failure. Complete destruction of turbine and due to a design and manufacturing defect.</t>
  </si>
  <si>
    <t>07/11/1973,14:03,"Paris, Orly Airport, France",Varig,820,Rio - de Janerio - Paris,Boeing B-707-345C,PP-VJZ,19106/683,134,117,17,123,116,7,0,Fire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</si>
  <si>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07/22/1973,22:07,"Off Papeete, Tahiti",Pan American World Airways,816,"Auckland, NZ - Papeete, Tahiti - Honolulu - Los Angeles",Boeing B-707-321B,N417PA,18959/470,79,69,10,78,68,10,0,"The aircraft crashed 30 seconds after takeoff from Faaa Airport into the ocean. Cause unknown.  It is possible an instrument failure diverted the crews attention during a turn. The aircraft was named ""Clipper Winged Racer."""</t>
  </si>
  <si>
    <t>07/23/1973,16:43,"St. Louis, Missouri",Ozark Air Lines,809,"Marion, IL - St. Louis",Fairchild-Hiller FH-227B,N4215,513,44,41,3,38,37,1,0,"The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</si>
  <si>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07/24/1973,07:08,"Honolulu, HI",Air Hawaii,,Honolulu - Lihue,Volpar C45G,N234JC,,5,4,1,5,4,1,0,"The plane experienced engine faiure while taking off and crashed into the ocean. Fuel starvation. Rear auxillary tanks not serviced. Overloaded, improper center of gravity."</t>
  </si>
  <si>
    <t>07/31/1973,10:08,"Logan Airport, Boston, Massachusetts",Delta Air Lines,723,"Burlilngton, VT  - Boston, MA",McDonnell Douglas DC-9-31,N975NE,47075/166,89,83,6,89,83,6,0,The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</si>
  <si>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08/13/1973,11:40,"Near La  CoruÃ±a, Spain",Aviaco Condor,118,Madrid - La CoruÃ±a,Sud-Aviation Caravelle 10-R,EC-BIC,225,85,79,6,85,79,6,1,"The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</si>
  <si>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08/15/1973,14:50,"Don Don, Haiti",Private,,Port Au Prince - Cap Haitien,Norman BN-2A-6,N38JA,211,10,9,1,10,9,1,0,"While flying too low, the plane struck a mountain shrouded in clouds and located in Dondon, 21 km south of the airport. Controlled flight into terrain.."</t>
  </si>
  <si>
    <t>08/18/1973,18:51,"Baku, Azerbaijan, USSR",Aeroflot,A-13,Baku - Aktau,Antonov AN-24V,CCCP-46435,87304305,64,60,4,56,54,2,0,Crashed after after attemping a return to the airport for an emergency landing. Left engine failure.</t>
  </si>
  <si>
    <t>08/22/1973,11:40,"El Yopal, Colombia",AVIANCA,,Villavicencio - El Yopal,Douglas DC-3,HK-111,4105,17,14,3,16,13,3,0,Struck a hill in heavy fog. Flying VFR in IFR conditions.</t>
  </si>
  <si>
    <t>08/27/1973,12:45,"Bogota, Colombia",Aerocondor Colombia,,Bogota - Cartagena,Lockheed L-188A Electra,HK-777,1115,42,36,6,42,36,6,0,Crashed into El Cable Mountain after taking off in fog. Crew failed to follow departure procedures.</t>
  </si>
  <si>
    <t>08/28/1973,21:45,"Near Huete, Spain",Military - U.S. Air Force,,Athens - Madrid,Lockheed C-141A,63-8077,6008,25,17,8,24,17,7,0,"The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</si>
  <si>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08/28/1973,20:50,"Thirty-five miles west of Los Angeles, California",Trans World Airlines,742,Honolulu - Los Angeles,Boeing B-707-331B,N8705T,18916/455,149,141,8,1,1,0,0,"The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</si>
  <si>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09/08/1973,05:42,"King Cove, Alaska",World Airways,,Travis - Cold Bay - Yokota - Clark,McDonnell Douglas DC-8-63F,N802WA,46146,6,3,3,6,3,3,0,"Hit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</si>
  <si>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09/11/1973,,"Moganik, Yugoslavia",JAT Yugoslav Airlines,,Skopje - Titograd,Aerospatiale Caravelle 6N,YU-AHD,151/149,41,35,6,41,35,6,0,"The aircraft struck Moganik Mountain at 6,300 ft., while descending. Controlled flight into terrain."</t>
  </si>
  <si>
    <t>09/20/1973,22:45,"Natchitoches, Louisiana",Private Charter,-,"Natchitoches, La - Dallas, TX",Beechcraft E18S,N50JR,BA-176,6,5,1,6,5,1,0,"The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</si>
  <si>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09/27/1973,19:52,"Rich Mountain, Arkansas",Texas International Airlines,655,Memphis - El Dorado - Texarkana - Dallas,Convair 600,N94230,056,11,8,3,11,8,3,0,"The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</si>
  <si>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09/30/1973,,"Miritituba, Brazil",Aeronorte,,Itaituba - Jacareacanga,Douglas DC-3A,PT-CEV,20182,9,5,4,9,5,4,0,"The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</si>
  <si>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09/30/1973,20:37,"Near Sverdlovsk, Russia",Aeroflot,3932,	Sverdlovsk - Omsk,Tupolev TU-104B,CCCP-42506,21904,108,100,8,108,100,8,0,"The aircraft crashed shortly after takeoff while on a go-around. After reaching an altitude of 1,200 ft. the aircraft banked to the left which steepened until the plane began to descend and finally crashed. Malfunctioning artificial horizon."</t>
  </si>
  <si>
    <t>10/02/1973,23:36,"Magadan, Russia",Aeroflot,3932,Yakutsk - Magadan,Antonov AN-12V,CCCP-12967,9346502,10,8,2,10,8,2,0,The cargo plane struck high ground after going off course during a go-around. Crew error.</t>
  </si>
  <si>
    <t>10/13/1973,20:18,"Near  Domodedovo, Russia",Aeroflot,964,Tbilisi - Moscow,Tupolev TU-104B,CCCP-42486,021504,122,114,8,122,114,8,0,"After making a right turn, the aircraft plunged to earth from 1,500 ft.  Electrical failure of the compass and main gyro."</t>
  </si>
  <si>
    <t>10/23/1973,08:50,"Guanabara Bay, Brazil",VASP,,Rio de Janeiro - Belo Horizonte,NAMC YS-11A-211,PP-SMJ,2068,65,60,5,8,8,0,0,"The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</si>
  <si>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11/02/1973,,"Villavicencio, Colombia",Lineas AÃ©reas La Urraca,,Arauca - Cucuta,Handley Page HPR-7 Herald 101,HK- 718,150,16,12,4,6,3,3,0,The aircraft crashed after diverting to Villavicencio after experiencing hydraulic problems and having to feather the No. 1engine.</t>
  </si>
  <si>
    <t>11/03/1973,09:39,"Boston,: Massachusetts",Pan American World Airways,160,New York City - Prestwick,Boeing B-707-321C,N458PA,19368/640,3,0,3,3,0,3,0,"Smoke in the cockpit and uncontrollable fire in the cargo plane caused by spillage of nitric acid on sawdust packing in the cargo hold. The aircraft was named ""Clipper Titian."""</t>
  </si>
  <si>
    <t>11/03/1973,16:40,"Near Albuquerque,  New Mexico",National Airlines,27,"Miami, FL - San Francisco, CA",McDonnell Douglas DC-10-10,N60NA,46700/14,128,116,12,1,1,0,0,"Overspeeding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</si>
  <si>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11/17/1973,02:00,"Near Quang-Ngai, South Vietnam",Air Vietnam (South Vietnam),,on - Quang Ngai,Douglas DC-3,XV-NIE,14910/26355,27,24,3,27,24,3,0,Flew into a mountain while en route. Flying under VFR in IFR conditons.</t>
  </si>
  <si>
    <t>12/07/1973,22:29,"Moscow, USSR",Aeroflot,964,Mineral Waters - Moscow,Tupolev TU-104B,CCCP-42503,21901,75,68,7,13,11,5,0,The aircraft crashed after the wing touched the ground while landing short of the runway. Crew error in not executing a missed approach.</t>
  </si>
  <si>
    <t>12/16/1973,19:13,"Near Karacharovo, USSR",Aeroflot,2022,Vilnius - Moscow,Tupolev TU-124,CCCP-45061,3351406,51,45,6,51,45,6,0,Went into a sudden dive and crashed to the ground. A short circuit occurred in the elevator trim system.</t>
  </si>
  <si>
    <t>12/17/1973,13:00,"Rome, Italy",Pan American World Airways,110,Rome - Beirut,Boeing B-707-321B,N407PA,18838/412,177,167,10,30,29,1,0,"Two phosphorus bombs were thrown into the aircraft prior to its departure. The aircraft was named ""Clipper Celestial."""</t>
  </si>
  <si>
    <t>12/21/1973,,"Near Siagon, South Vietnam",Military - Vietnamese Air Force,,,Boeing Vertol CH-47 (helilcopter),,,20,NULL,NULL,20,NULL,NULL,0,Ammunition exploded while the aircraft was on the ground.</t>
  </si>
  <si>
    <t>12/22/1973,22:10,"Near Tetouan, Morocco",Royal Air Maroc,,Paris - Tanger,Sud-Aviation Caravelle VI-N,OO-SRD,069/84,106,99,7,106,99,7,0,"After missing the outer marker, the aircraft continued off course and crashed into Mt. Mellaline, 20 kms from the airport at an elevation of 2,300 feet in rain. Crew error. The pilot started his final turn too far east of the runway."</t>
  </si>
  <si>
    <t>12/23/1973,22:08,"Lvov, Ukraine, USSR",Aeroflot,,Lviv - Kiev - Kuybyshev,Tupolev TU-124,CCCP-45004,350202,17,11,6,17,11,6,0,Crashed after takeoff. Engine failure. A defective turbine blade failed resulting in violent vibration of the engine and rupturing of a fuel line and causing an in-flight fire.</t>
  </si>
  <si>
    <t>12/28/1973,,"Durban, South Africa",Executive Funds,,,Douglas DC-3,ZS-DAK,1498,25,22,3,1,1,0,0,"The No.1 engine failed while the DC-3  turned onto final approach.  Shortly thereafter,  the No.2 engine also failed. The aircraft was turned towards a beach and was ditched successfully. One  non-swimming passenger  drowned."</t>
  </si>
  <si>
    <t>01/01/1974,12:38,"Near Turin, Italy",Itavia,,Bologna - Torino,Fokker F-28 Fellowship 1000,I-TIDE,11015,42,38,4,38,35,3,0,Crashed 2 miles short of the runway upside down during an approach in fog and heavy rain.</t>
  </si>
  <si>
    <t>01/06/1974,18:05,"Johnstown, Pennsylvania",Air East,,"Pittsburgh, PA - Johnstown, PA",Beechcraft 99A,N125AE,U-125,17,15,2,12,11,1,0,Crashed short of the runway.  Failed to maintain flying speed. Improper IFR operation. Premature descent below safe approach slope for reasons undetermined.</t>
  </si>
  <si>
    <t>01/06/1974,,"Unduavi, Bolivia",Servicios AÃ©reos Boliviano,,San Borja - La Paz,Curtiss C-46F,CP-990,22490,4,1,3,4,1,3,0,The cargo plane hit a mountain en route.</t>
  </si>
  <si>
    <t>01/06/1974,15:25,"Mukachevo, Ukraine",Aeroflot,H-75,"	Ivano-Frankovsk, Ukraine - Uzhgorod, Ukraine",Antonov AN-24V,CCCP-46357,77303405,24,18,6,24,18,6,0,The plane dove into the ground 100 meters behind the outer marker while on approach.  Icing of the horizontal stabilizer.</t>
  </si>
  <si>
    <t>01/09/1974,16:36,"Near Nevia, Colombia",SATENA,,Florencia - Bogota,Hawker Siddeley HS 748-260,FAC-1103,1704,31,28,3,31,28,3,0,The domestic flight crashed into Mt Gabinete about 34 km northwest of Florencia while en route to Bogota.</t>
  </si>
  <si>
    <t>01/10/1974,16:30,"La Paz, Bolivia",TAM (Bolivia),,Santa Rose - La Paz,Douglas C-54,TAM-52,,24,21,3,24,21,3,0,The non-scheduled passenger flight crashed while en route to La Paz. Wreckage never found.</t>
  </si>
  <si>
    <t>01/17/1974,13:15,"Cigorodo, Colombia",Cessnyca,,ChigorodÃ³ - MedellÃ­n,Douglas DC-3A,HK-1216,1905,14,11,3,14,11,3,0,Crashed after climbing to cruising altitude.</t>
  </si>
  <si>
    <t>01/26/1974,07:30,"Izmir, Turkey",Turkish Airlines (THY),,Izmir - Istanbul,Fokker F-28 Fellowship 1000,TC-JAO,11057,73,68,5,66,62,4,0,"The plane yawed left, pitched nose down and crashed shortly after taking off. Icing. Frost on the wings along with over rotation resulted in a stall. Crew error."</t>
  </si>
  <si>
    <t>01/30/1974,23:41,"Pago Pago, American Samoa",Pan American World Airways,806,Auckland - Pago Pago,Boeing B-707-321B,N454PA,19376/661,101,91,10,97,87,10,0,"The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</si>
  <si>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02/02/1974,21:30,"Near Honolulu, HI",Pan American World Airways,,"San Francisco, CA - Honolulu, HI - Agana, Guam",Boeing B-747,N732PA,19638/3,298,279,19,1,1,0,0,A 16 month old child was asphyxiated by a seat belt while unattended.</t>
  </si>
  <si>
    <t>02/09/1974,17:30,"Near Souda, Crete",Military - West German Air Force,,,Transall C-160D,50-63,,40,35,5,35,30,5,0,"The twin-engine turboprop hit a mountain at an elevation of 5,000 ft. during an ILS approach."</t>
  </si>
  <si>
    <t>02/22/1974,,"Baltimore, Maryland",Delta Air Lines,523,Baltimore - Atlanta,Mc Donnell Dougals DC-9,,,15,10,5,1,0,1,0,"An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</si>
  <si>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02/23/1974,,"San Francisco de Moxos,  Bolivia",SAVCO,,Trinidad - Oruro,Curtiss C-46A-45-CU,CP-1052,30195,7,4,3,7,4,3,0,Severe turbulence possibly caused the failure of ropes securing cargo. The center of gravity shifted causing a loss of control. The wreckage was found 2 days later.</t>
  </si>
  <si>
    <t>03/03/1974,11:41,"Near Ermenonville, France",Turkish Airlines (THY),981,Paris - London,McDonnell Douglas DC-10-10,TC-JAV,46704/29,346,335,11,346,335,11,0,"The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</si>
  <si>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03/08/1974,,"Hanoi, Vietnam",Pathet Lao Airlines,,Saigon - Hanoi,Antonov An-24,XW-TCA,87304508,18,15,3,18,15,3,0,"Fifiteen journalists aboard for an Asian tour. On approach to Hanoi Airport, the aircraft crashed for unknown reasons."</t>
  </si>
  <si>
    <t>03/13/1974,19:28,"Bishop, California",Sierra Pacific Airlines,802,Bishop - Burbank,Convair CV-440,N4819C,138,36,32,4,36,32,4,0,"The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</si>
  <si>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03/15/1974,08:07,"Tehran, Iran",Sterling Airways,,Tehran - Kobenhavn,Aerospatiale Caravelle 10B3,OY-STK,266,96,92,4,15,15,0,0,Collapse of right main landing gear while taxing ruptured the wing fuel tank causing a fire.</t>
  </si>
  <si>
    <t>04/04/1974,02:35,"Francistown, Botswana",Wenela Air Services,,Francistown - Malawi,Douglas DC-4,A2-ZER,27242,84,80,4,78,75,3,0,The aircraft crashed into trees and burst into flames after the engines overheated resulting in loss of power. The plane was carrying gold miners. Fuel contamination. Jet A fuel contaminated the aviation gasoline.</t>
  </si>
  <si>
    <t>04/22/1974,15:26,"Grogak, Bali, Indonesia",Pan American World Airways,812,"Hong Kong - Bali, Indonesia - Sydney, Austrailia",Boeing B-707-321C,N446PA,19268/544,107,96,11,107,96,11,0,"The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</si>
  <si>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04/27/1974,18:07,"Near Leningrad, USSR",Aeroflot,,Leningrad - Zaporozhye,Ilyushin IL-18B,CCCP-75559,184007703,109,102,7,109,102,7,0,The aircraft crashed after report of a heavy vibration and fire in the No. 4 engine. Structural failure of turbine disc in No. 4 the engine.</t>
  </si>
  <si>
    <t>04/30/1974,13:47,"Galveston, Texas",Houston Metro Airlines,,"Galveston, TX - Houston, TX",Beechcraft 99,N853SA,U-41,12,10,2,6,5,1,0,Crashed during takeoff. Inadequate preflight preparation and planning. Lack of familarity with aircraft.  Misused  flaps. Gust lock engaged.</t>
  </si>
  <si>
    <t>05/02/1974,19:30,"Banos, Ecuador",Aero Taxis Equatorianos,,Pastaza - Ambato,Douglas C-47,HC-AUC,,24,21,3,22,19,3,0,Struck a mountain shortly after takeoff. Failure to climb to the minimum safety altitude. Overconfidence of the crew. Distraction by a tourist guide in the cockpit.</t>
  </si>
  <si>
    <t>05/06/1974,22:22,"Nurnberg, Germany",Fragtflug,,Nice - Nurnberg,Douglas DC-6A,TF-OAE,44069/396,3,0,3,3,0,3,0,The cargo plane struck trees and crashed while on final approach. Icing. Pilot blood alcohol above normal.</t>
  </si>
  <si>
    <t>05/23/1974,16:55,"Springfield, Illinois",Saturn Airways,,"Alameda, CA - Indianapolis, IN",Lockheed L-100-30 Hercules,N14ST,4225,3,1,2,3,1,2,0,"While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</si>
  <si>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05/23/1974,22:05,"Kiev, Ukraine, USSR",Aeroflot,H-166,	Khmelnitsky - Kiev,Yakovlev YAK-40,CCCP-87579,9221122,29,25,4,29,25,4,0,Crashed during approach. Incapacitation of the crew due to carbon monoxide.</t>
  </si>
  <si>
    <t>05/31/1974,,"Rankin Inlet, Canada",Lambair,,Thompson - Rankin Inlet,Bristol 170 Freighter 31E,CF-QWJ,13078,2,0,2,2,0,2,0,The cargo plane suffered an engine failure and spiraled into the ground.</t>
  </si>
  <si>
    <t>06/08/1974,17:30,"Monte San Isidro,  Colombia",Aerolineas TAO,514,Bucaramanga - Cucuta,Vickers Viscount 785D,HK-1058,380,44,38,6,44,38,6,0,The aircraft lost control and crashed after a tailplane failure. Failure in-flight of the tailplane spar causing the left tailplane and elevator the detach.</t>
  </si>
  <si>
    <t>06/27/1974,,"Battambang, Khmer Republic",Cambodia Air,1999,Battambang - Phnom Penh,Boeing 307B-1 Stratoliner,XW-TFR,1999,39,33,6,19,17,2,0,Crashed during takeoff and burned after 3 engines failed. Mechanical failure due to improper maintenance procedures. Insufficient training of cabin crew.</t>
  </si>
  <si>
    <t>06/30/1974,13:00,"Umiat, Alaska",Alaska Helicopter - Air Taxi,,"Umiat, AK - Local",Fairchild Hiller FH1100,N8679,,5,4,1,5,4,1,0,Crashed after the fatigue fracture of the swachplate assembly. Inadequate maintenance and inspection.</t>
  </si>
  <si>
    <t>07/24/1974,09:45,"Bogota, Colombia",Aeronorte Colombia,,,Douglas DC-4,HK-728,10507,3,0,3,3,0,3,0,"The cargo plane crashed into a mountain at 7,000 ft. shortly after taking off."</t>
  </si>
  <si>
    <t>07/27/1974,,"Near Moc Hoa, Vietnam",Air Amercia,,Phnom Penh - Siagon,Fairchild C-123K,ST-4,20304,5,1,4,5,1,4,0,The cargo plane was struck by a surface-to-air missile.</t>
  </si>
  <si>
    <t>08/05/1974,,"Mt. Apica, PQ, Canada",Laurentian Air Services,,LaTuque - St. Honore,Douglas DC-3,C-FTAT,11850,11,8,3,5,2,3,0,Struck  the slope of Mont-Apica located 67 km southwest of saint-HonorÃ© Airport.</t>
  </si>
  <si>
    <t>08/11/1974,,"Near Ouagadougou, Upper Volta",Air  Mali,,"Bamako, Mali - Kano, Nigeria",Ilyushin IL-18B,TZ-ABE,181003304,60,50,10,47,39,8,0,"The aircraft crashed after running out of fuel. After being diverted because of bad weather, a navigation error caused the crew to circle the wrong city."</t>
  </si>
  <si>
    <t>08/12/1974,14:50,"Cali, Colombia",AVIANCA,,Tumaco - Bogota,Douglas C-47-DL,HK-508,4527,27,24,3,27,24,3,0,The crew became lost in rainy weather and crashed into Trujillo Mountain. Wreckage found 2 months later.</t>
  </si>
  <si>
    <t>08/14/1974,09:20,"Margarita Island, Venezuela",Linea Aeropostal Venezolana,,Cumana - Porlamar,Vickers Viscount 749,YV-C-AMX,095,49,45,4,49,45,4,0,"In accordance with ATC, the crew divert to CumanÃ¡ Airport and while completing a turn to change heading, the plane struck the peak La Gloria located10 km northeast of Porlamar Airport."</t>
  </si>
  <si>
    <t>08/18/1974,,"Near Kisangani, Zaire",Military - Zairean Air Force,,Kinshasa - Kisangani,Lockheed C-130H,9T-TCD,4422,31,24,7,31,24,7,0,"During a night time approach to Kisangani Airport, the plane crashed in unknown circumstances few km from the runway threshold"</t>
  </si>
  <si>
    <t>09/07/1974,,"Tandjung-karang, Indonesia",Garuda Indonesia Airlines,,bang - Bandar Lampung - Jakarta,Fokker F-27 Friendship 600,PK-GFJ,10422,39,36,3,36,33,3,0,Crashed into a building while landing during poor weather conditions. The plane was blown against the building by a strong gust of wind.</t>
  </si>
  <si>
    <t>09/08/1974,11:40,"Ionian Sea , off Kefallinia, Greece",Trans World Airlines,841,Tel Aviv - Athens - Rome - New York,Boeing B-707-331B,N8734,20063/789,88,79,9,88,79,9,0,"The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</si>
  <si>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09/11/1974,07:34,"Near Charlotte, North Carolina",Eastern Air Lines,212,"Charleston, SC - Charlotte, NC - Chicago, IL",McDonnell Douglas DC-9-31,N8984E,47400/443,82,78,4,70,68,2,0,The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</si>
  <si>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09/15/1974,11:00,"Phan Rang, South Vietnam",Air Vietnam (South Vietnam),706,Da Nang - Saigon,Boeing B-727-121C,XV-NJC,19819,75,67,8,75,67,8,0,"Hijacked. Detonation of two hand grenades in the passenger compartment after the pilot refused to fly to Hanoi, North Vietnam. The aircraft attempted to land, executed a missed approach and dove into the ground from a height of 1,000 feet."</t>
  </si>
  <si>
    <t>10/19/1974,11:15,"Calapan, Philippines",Mabuhay Airways,,Roxas City - Calapan,Douglas DC-3,RP-C643,15551/26996,8,4,4,1,0,1,0,"One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</si>
  <si>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10/27/1974,23:36,"Old Man's Camp, Alaska",Alaska International Air,,Fairbanks - Bettles,Lockheed L-100 Hercules,N102AK,4234,4,0,4,4,0,4,0,"While en route, the cargo plane lost a wing and spiraled into the ground. Failure of the right wing in fight. Fatigue fracture. Inadequate maintenance and inspection."</t>
  </si>
  <si>
    <t>10/28/1974,16:45,"Pagosa Springs, Colorado",Hlavka Aviation - Air Taxi,,"Gallup, NM - Rapid City, SD",Beechcraft 95-B55,N414K,,2,1,1,2,1,1,0,Pilot refused weather briefing. Flew into blind canyon. Icing conditions. Continued VFR flight into adverse weather conditions.</t>
  </si>
  <si>
    <t>11/01/1974,14:56,"Near Surgut, Russia",Aeroflot,662,	Khanty - Surgut,Antonov An-2 / Mil Mi-8T,CCCP-70766,	 1G132-21,38,32,6,38,32,6,0,Midair collision between a An-2 and a Mil Mi-8T in poor weather.</t>
  </si>
  <si>
    <t>11/15/1974,,"Manila, Philippines",Orient Air System and Integrated Services,,,Douglas C-47A-30,RP-C570,25452/14007,8,5,3,1,1,0,0,The No.2 prop was feathered when the engine failed after taking off. The aircraft lost altitude during a 180 degree turn and a forced landing was made in a rice field.</t>
  </si>
  <si>
    <t>11/20/1974,07:54,"Near Nairobi, Kenya",Lufthansa,540,Frankfurt - Nairobi - Johannesburg,Boeing B-747-130,D-ABYB,19747/29,157,144,13,59,55,4,0,The aircraft stalled and crashed during takeoff. The wing flaps were not extended. First fatal Boeing 747 accident to occur.</t>
  </si>
  <si>
    <t>11/20/1974,09:30,"Soddu, Ethiopia",Ethiopian Airlines,,Soddu - Beica,Douglas DC-3,ET-AAR,9465,24,21,3,2,0,2,0,Stalled  on takoff and crashed.</t>
  </si>
  <si>
    <t>11/22/1974,,"Barcelona, Spain",Alpa Servicios AÃ©reos,,,Cessna 500 Citation I,EC-CGG,500-0108,4,0,4,4,0,4,0,Crashed during takeoff.</t>
  </si>
  <si>
    <t>12/01/1974,11:10,"Near Berryville, Virginia",Trans World Airlines,514,Columbus - Washington D.C.,Boeing B-727-231,N54328,20306/791,92,85,7,92,85,7,0,The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</si>
  <si>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12/01/1974,19:26,"Bear Mountain,  Thiells, New York",Northwest Orient Airlines,6231,"New York City, NY - Buffalo, NY",Boeing B-727-251,N274US,20296,3,0,3,3,0,3,0,"The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</si>
  <si>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12/04/1974,04:58,"Irkutsk, Russia",Aeroflot,,Irkutsk - Kazachinskoye,Antonov An-2 / Antonov An-12,49342/12985,1G12-26/00347110,18,11,7,13,11,2,0,The An-2 crashed after colliding with Antonov 12 over Irkutsk airport. The ATC cleared the An-2 for takeoff crossing An-12s flight path. The An-12 landed safely. Eleven passengers and 2 crew killed on the An-2</t>
  </si>
  <si>
    <t>12/04/1974,22:15,"Near Maskeliya, Sri Lanka",Martinair Holland NV,138,Surabaya - Jeddah,McDonnell Douglas DC-8-55F,PH-MBH,45818/242,191,182,9,191,182,9,0,"The aircraft impacted Mount Anjimalai at 4,355 ft. the during approach. The crew descended below a safe altitude due to a position error resulting from misinterpretation of Doppler and weather radar."</t>
  </si>
  <si>
    <t>12/11/1974,,"Near Old Harbors, Alaska",Kodiak Airways,,Old Harbor - Kodiac,Grumman G-21,N1583V,1125,5,4,1,5,4,1,0,Disappeared en route. Never found.</t>
  </si>
  <si>
    <t>12/12/1974,,"Near Moc Hoa, South Vietnam",Military - Vietnamese Air Force,,,Boeing Vertol CH-47 (helicopter),,,54,53,1,54,53,1,0,Shot down by a surface-to-air missile.</t>
  </si>
  <si>
    <t>12/14/1974,11:01,"Bukhara, Uzbekistan",Aeroflot,124,Bukhara - Dushanbe,Yakovlev 40,CCCP-87630,9131119,19,15,4,7,7,0,0,Overran the runway and hit a dyke while attempting to take off. Elevator lock not removed.</t>
  </si>
  <si>
    <t>12/22/1974,13:30,"Maturin, Venezuela",Aerovias Venezolanas SA (Venezuela),358,Ciudad Bolivar - Maturin - Caracas,McDonnell Douglas DC-9-14,YV-C-AVM,47056/89,77,71,6,77,71,6,0,"Four minutes after takeoff from runway 05 at Maturin Airport, while climbing , the plane struck the slope of Mt Zamuro,  20 km from the airport."</t>
  </si>
  <si>
    <t>12/29/1974,,"Near Sibiu, Romania",Tarom,,Oradea - Sibiu - Bucharest,Antonov AN-24RV,YR-AMD,27307606,33,28,5,33,28,5,0,"Crashed into Lotru mountains, 22 km south of Sibiu after drifting 20 km off course by winds and turbulence. Wrong decisions on part of the flying crew who adopted a wrong approach configuration, causing the aircraft to drift."</t>
  </si>
  <si>
    <t>12/29/1974,,"Tikal, Guatemala",Edwin Ortiz,,Tikal - Guatemala City,Lockheed 18 LodeStar,TG-HTM,582,24,21,3,24,213,3,0,"Few minutes after takeoff from Tikal Airport, while climbing, the airplane went out of control and crashed on the slope of a mountain located few km from the airport. Possible in-flight fire."</t>
  </si>
  <si>
    <t>01/03/1975,,"Near Nha Trang, Vietnam",Air America,,Da Lat - Nha Trang,Fairchild C-123K,ST-1,20074,9,6,3,9,6,3,0,Shot down with a SAM missile.</t>
  </si>
  <si>
    <t>01/08/1975,08:30,"Near Doncello, Colombia",SATENA,,San Vicente del Caguan - Florencia,Douglas DC-3,FAC-688,,21,17,4,21,17,4,0,Crashed and burned in mountains while en route. Improper flight planning by proceeding in mountainous terrain during adverse weather conditions which had reduced visibility along the route.</t>
  </si>
  <si>
    <t>01/09/1975,16:07,"Whittier, California",Golden West Airlines / Private,261,Ontario - Los Angeles,de Hav Can. DHC-6 Tw Otter 100/ Cessna,N6383,83,14,10,4,14,10,4,0,"Midair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</si>
  <si>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01/15/1975,17:21,"Budapest, Hunary",Malev Hungarian Airlines,,Berlin - Budapest,Ilyushin IL-18V,HA-MOH,184007104,9,0,9,9,0,9,0,"The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</si>
  <si>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01/16/1975,,"Xam Neua, Laos",Aeroflot,,Vientiane - Sam Neua,Antonov AN-12, CCCP-70417,1G141-71,16,14,2,16,14,2,0,"En route from Vientiane to Sam Neua, the crew encountered poor weather conditions when the airplane struck the slope of a mountain located in the region of Sam Neua. Flying VFR in IFR weather."</t>
  </si>
  <si>
    <t>01/30/1975,18:50,"Istanbul, Turkey",Turkish Airlines (THY),,Izmir - Istanbul,Fokker F-28 Fellowship 1000,TC-JAP,11058,42,38,4,42,38,4,0,"After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</si>
  <si>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01/30/1975,,"Santo Domingo, Dominican Republic",Linea AÃ©rea Nacional,,Santo Domingo - Port-au-Prince,Douglas DC-3-313,HI-222,2189,30,27,3,2,1,1,0,Crashed during take off. Failure of the right engine.</t>
  </si>
  <si>
    <t>02/01/1975,08:58,"Houston, Texas",Horizon Properties,,"Lawton, OK - Huntsville, TX",Douglas DC-3C,N15HC,43080,16,14,2,5,3,2,0,"The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</si>
  <si>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02/03/1975,23:10,"Manila, Philippines",Philippine Air Lines,,Manila - Iligan,Hawker Siddeley HS-748 2,RP-C1028,1590,33,29,4,33,29,4,0,The No. 2 engine caught fire shortly after takeoff.  The aircraft crashed into a rice field 3 miles short of the runway while making an emergency approach back to the airport.</t>
  </si>
  <si>
    <t>02/09/1975,17:30,"Souda, Crete",Military - Deutsche Luftwaffe,,Hohn - Chania,Transall C-160,5063,D-85,40,35,5,40,35,5,0,"Slammed into a mountain at an altitude of 5,000 ft. during an approach to Canea in a snow shower."</t>
  </si>
  <si>
    <t>02/16/1975,19:00,"Fairbanks, Alaska",Pacific Alaska Airlines,,Fairbanks - Happy Valley Camp,Douglas DC-6BF,N77DG,43520/222,3,0,3,3,0,3,0,The cargo plane lost three of four engines on takeoff. The crew tried to return to the airport but crashed short of the runway. Fuel contamination. Water in fuel.</t>
  </si>
  <si>
    <t>02/22/1975,22:12,"Medellin, Colombia",Aerocondor,,"Medellin, Colombia - Miami, Florida",Canadair CL-44,HK-1972,,5,0,5,5,0,5,0,Minutes after taking off in a rainstorm the right wing struck a tree. The crew lost control of the plane and crashed.</t>
  </si>
  <si>
    <t>02/27/1975,06:33,"Near Sao Paulo, Brazil",VASP,,Sao Paulo - Bauru,Embraer 110C Bandeirante,PP-SBE,110021,15,13,2,15,13,2,0,"The plane crashed into houses after taking off and burst into flames. The plane had engine trouble, attempted to return to the airport when it crashed into the houses."</t>
  </si>
  <si>
    <t>03/12/1975,18:30,"Pleiku, South Vietnam",Air Vietnam (South Vietnam),,,Douglas DC-4,XV-NUJ,10701,26,20,6,26,20,6,0,Shot down by a hand-held surface-to-air missile by North Vietnamese forces 25 miles SW of Pleiku.</t>
  </si>
  <si>
    <t>03/16/1975,13:40,"Near Barito, Argentina",Military - Argentine Air Force,,El Palomar AB - San Carlos de Bariloche,Fokker F-27 Friendship 400M,TC-72,10404,55,50,5,55,50,5,0,The aircraft struck a mountain while preparing for an ILS approach in poor weather. Crew error. Crew descended below the minimum safe altitude before knowing their position.</t>
  </si>
  <si>
    <t>03/18/1975,,"Singa, Sudan",Sudan Airways,,,de Havilland Canada DHC-6 Twin Otter 100,ST-ADB,85,6,4,2,5,3,2,0,Unknown circumstances.</t>
  </si>
  <si>
    <t>03/18/1975,10:04,"Near Terney, Russia",Aeroflot,,Terney - Amgu,Antonov An-2,CCCP-05655,,12,10,2,7,6,1,0,"Crashed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</si>
  <si>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03/20/1975,23:15,"Near Quilcene, Washington",Military - U.S. Air Force,,Clark AFB - Japan,Lockheed C-141A (L.300),64-0641,6054,16,12,4,16,12,4,0,The aircraft struck a ridge of  Mt. Constance in Olympic National Park. Faulty clearance by the ATC after misidentifying the C-141 as another aircraft.</t>
  </si>
  <si>
    <t>04/04/1975,16:30,"Saigon, South Vietnam",Military - U.S. Air Force,,Saigon - Clark - Los Angeles,Lockheed C-5A Galaxy,68-218,0021,330,314,16,155,150,5,0,"The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</si>
  <si>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05/13/1975,21:15,"Near Sakon Nakhon, Thailand",Military - U.S. Air Force,,Nakhom Phanom AB - Utapao AB,Sikorsky CH-53C (helicopter),68-10933,,23,19,4,23,19,4,0,The copter was observed in an uncontrollable descent to earth in an inverted attitude after which it crashed and burned. Cracking of a rotor spindle assembly  which led to separation of the main rotor.</t>
  </si>
  <si>
    <t>06/03/1975,,"Manila, Philippines",Philippine Air Lines,,Legaspi - Manilla,BAC One-Eleven 524FF,RP-C1184,190,64,59,5,1,1,0,0,A bomb exploded in the right rear lavatory causing a hole in the fuselage. The plane landed safely.</t>
  </si>
  <si>
    <t>06/17/1975,,"Pedro Alfonso, Brazil",Varig,,Sao Paulo - Porto Nacional - Pedro Afonso - BelÃ©m,Hawker Siddeley HS-748-235 Srs. 2A,PP-VDN,1625,15,11,4,1,0,1,3,"The aircraft landed with excessive speed and touched down on the last 300 meters of the runway, overran the runway, crossed a street and crashed into a house."</t>
  </si>
  <si>
    <t>06/24/1975,16:05,"JFK Airport, New York, New York",Eastern Air Lines,66,New Orleans - New York City,Boeing B-727-225,N8845E,20443/837,124,116,8,113,107,6,0,"The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</si>
  <si>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06/26/1975,22:28,"Toledo, Ohio",Hamilton Aviation,,"Detroit, MI - Peducah, KY",Beechcraft E18S,N791A,,2,1,1,2,1,1,0,Crashed in an emergency landing. Fatigue fracture of the cylinder head. Standpipe cutoff flush with bottom of oil tank. Improper maintenance.</t>
  </si>
  <si>
    <t>07/10/1975,,"Bogota, Colombia",Aerovias Condor,,Bogota  - Barranquilla,Lockheed L-188AF Electra,HK-1976,1087,4,0,4,2,0,2,0,The cargo plane barely took off when it settled back on the runway and crashed into a DC-6. Both planes destroyed.</t>
  </si>
  <si>
    <t>07/15/1975,12:34,"Near Batumi, Georgia, USSR",Aeroflot,E-15,Yerevan - Batumi,Yakovlev YAK-40,CCCP-87475,9442037,40,35,5,40,35,5,0,The aircraft struck a mountain after an attempted go-around. Deviation from the standard trajectory for a missed approach. Misinformation supplied to crew.</t>
  </si>
  <si>
    <t>07/31/1975,,"Taipei, Taiwan",Far Eastern Air Transport,134,Hualien - Taipei,Vickers 837 Viscount,B-2029,439,75,70,5,27,27,0,0,"Stalled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</si>
  <si>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08/03/1975,04:30,"Near Immouzer, Morocco",Alia Royal Jordanian Airlines,,Paris - Agadir,Boeing B-707-321C,JY-AEE,18767/376,188,181,7,188,181,7,0,"The aircraft was on approach when the right wing tip and No. 4 engine struck a mountain peak at 2,400 feet.  Part of the wing separated and the plane crashed into a ravine. Crew error."</t>
  </si>
  <si>
    <t>08/03/1975,19:30,"Off Amapala, Honduras",Military - Nicaraguan Air Force,,Veracruz - Managua,Douglas DC-47,412,,20,17,3,20,17,3,0,"The plane was unable to land at Ilopango, El Salvador to refuel because of adverse weather conditions. The plane most likely ran out of fuel and crashed into the Pacific Ocean."</t>
  </si>
  <si>
    <t>08/07/1975,16:11,"Denver, Colorado",Continental Airlines,426,Denver - Wichita,Boeing B-727-224,N88777,19798/608,131,124,7,0,0,0,0,"The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</si>
  <si>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08/09/1975,10:27,"Bagdarin, Russia",Aeroflot,,Chita - Bagdarin,Ilyushin IL-14M,	 CCCP-52056,7342804,11,6,5,11,6,5,0,The crew deviated from the approach pattern and collided with terrain obscured by clouds 28 km from Bagdarin.</t>
  </si>
  <si>
    <t>08/15/1975,22:01,"Krasnovodsk, USSR",Aeroflot,A-053,,Yakovlev YAK-40,CCCP-87323,9330230,38,34,4,23,21,2,0,The plane descended below the glidepath and crashed. Windshear.</t>
  </si>
  <si>
    <t>08/20/1975,01:15,"Near Damascus, Syria",Ceskoslovenske Aerolinie,542,"Prague, Czechoslovakia - Damascus, Syria",Ilyushin IL-62,OK-DBF,31502,128,117,11,126,115,11,0,"The airliner crashed into a sandy knoll, 10 miles NE of Damascus during an approach to Damascus International Airport. Failure of the crew to maintain the minimum flight altitude."</t>
  </si>
  <si>
    <t>08/30/1975,13:57,"Near Gambell, Alaska",Wien Air Alaska,99,Nome - Gambell,Fairchild F-27B,N4904,21,32,28,4,10,7,3,0,"After several landing attempts, the aircraft crashed into Sevuokuk Mountain, in fog, while attempting to land at Gambell Airport. The flightcrew's failure to adhere to prescribed company instrument approach procedures while attempting to land in adverse weather conditions."</t>
  </si>
  <si>
    <t>09/01/1975,08:00,"Leipzig-Halle, East Germany",Interflug,,Stuttgart - Leipzig,Tupolev TU-134,DM-SCD,9350702,34,28,6,27,24,3,0,"The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</si>
  <si>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09/11/1975,10:20,"Near Bahar Dar, Ethiopia",Ethiopian Airlines,,Bahar Dar - Debra Marcos,Douglas C-47-DL,ET-ABX,4292,9,6,3,1,1,0,0,"The plane was flying at FL 115 under VFR in scattered clouds. When breaking through a cloud bank a mountain was seen up ahead. A steep climbing turn was initiated, but the tail struck trees, control was lost and the aircraft crashed inverted."</t>
  </si>
  <si>
    <t>09/24/1975,,"Near Palembang, Indonesia",Garuda Indonesia Airlines,150,Jakarta - Palembang,Fokker F-28 Fellowship 1000,PK-GVC,11039,61,57,4,25,21,4,1,Landed short and struck trees while on approach in poor weather. VFR flight in weather conditions below minima.</t>
  </si>
  <si>
    <t>09/30/1975,02:40,"Off Beirut, Lebanon",Malev Hungarian Airlines,,"Budapest - Beirut, Lebanon",Tupolev TU-154B,HA-LCI,053,60,50,10,60,50,10,0,The aircraft crashed into the Mediterranean sea while on approach. The ILS localizer was down at the time but a visible approach was possible. Cause unknown.</t>
  </si>
  <si>
    <t>09/30/1975,,"Barranquilla, Colombia",AVIANCA,,Bogota - Barranquilla,Boeing 727-24C,HK-1272,19525/439,4,0,4,4,0,4,0,</t>
  </si>
  <si>
    <t>10/22/1975,16:53,"Novgorod, Russia",Aeroflot,098L,	Syktyvkar - Vologda - Novgorod - Riga,Yakovlev Yak-40,CCCP-87458,9431736,6,2,4,6,2,4,5,The crew attempted a straight-in approach in fog but the plane went off course after passing the Outer Marker.  The crew descended until the undercarriage and wing contacted a building. Crew error. Attempted to land below minimumns.</t>
  </si>
  <si>
    <t>10/23/1975,19:28,"Cairns Airport, Queensland, Australia",Connair,,Mount Isa - Cairns,de Havilland DH114 Heron 2E,VH-CLS,14067,11,8,3,11,8,3,0,Improper approach during a storm. Crew error. Misalignment of the aircraft with the runway and abandonment of the landing approach. The pilot-in-command did not immediately initiate a climb to a safe altitude for reasons unknown.</t>
  </si>
  <si>
    <t>10/27/1975,06:45,"Tomonoco, Bolivia",TAM (Bolivia),,Tomonoco - La Paz,Convair CV-440-12,TAM-44,328,67,63,4,67,63,4,0,The aircraft took off reaching a altitude of only 300 feet which was insufficient to clear the terrain surrounding the airport. Cause not determined. Overloaded.</t>
  </si>
  <si>
    <t>10/30/1975,09:20,"Near Prague, Czechoslovakia",Inex Adria Aviopromet,,Tivat - Praha,McDonnell Douglas DC-9-32,YU-AJO,47457/620,120,115,5,75,71,4,0,The aircraft landed short and hit high ground during an ILS approach in fog.</t>
  </si>
  <si>
    <t>11/03/1975,10:2,Gulf of Mexico,Petroleum Helicopter,,,Bell 212,N90057,,9,8,1,9,8,1,0,The helicopter crashed after the main rotor failed. No occupants ever found.</t>
  </si>
  <si>
    <t>11/17/1975,22:14,"Near Sukhumi, Georgia, USSR",Aeroflot,6274,Tbilisi - Sukhumi,Antonov AN-24,CCCP-46467,27307905,38,33,5,38,33,5,0,"The crew attempted to circumnavigate a thunderstorm but los track of their positon. They descended until the struck Mount Apshara at 2,250 meters."</t>
  </si>
  <si>
    <t>11/18/1975,,"Caoba, Guatemala",Aviateca,,Uaxactun - Flores,Douglas DC-3,TG-AGA,6142,22,18,4,15,11,4,0,Crashed into mountainous jungle in poor visibility and heavy rain.</t>
  </si>
  <si>
    <t>11/20/1975,19:38,"Kharkov, Ukraine, USSR",Aeroflot,7950,"	Rostov, Russia - 	Kharkov, Ukraine",Antonov AN-24,CCCP-46349,97305708,50,46,4,19,18,1,0,Crashed into trees on a slope of a hill near Kharkov Airport. Air traffic control reported a wrong QNH setting to the crew. Crew ignored ground proximity warnings.</t>
  </si>
  <si>
    <t>11/22/1975,,"Sofia, Bulgaria",Balkan Bulgarian Airlines,,Sofia - Varna,Antonov AN-24B,LZ-ANA,67302707,48,45,3,3,2,1,0,Crashed shortly after takeoff. Stalled crashed. Icing.</t>
  </si>
  <si>
    <t>11/25/1975,18:50,"Near Bir Lahfan, Egypt",Military - Israel  Air Force,,,Lockheed C-130 Hercules,011,,20,11,9,20,11,9,0,Crashed 15 ft. below the summit of cloud-obscured Jebel Hilal Mountain on the Israeli-occupied Sinai Peninsula.</t>
  </si>
  <si>
    <t>11/29/1975,,"Hertfordshire, England",Private,,,Piper PA-23-250 Aztec,N6645Y,27-3960,6,5,1,6,5,1,0,"Race car driver Graham Hill, 46, was killed when the plane he was piloting got lost in fog and crashed near Elstree Airport."</t>
  </si>
  <si>
    <t>12/26/1975,14:49,"Rollinsville, Colorado",Star Aviation,,"Denver, CO - Grandby, CO",Mitsubishi MU-2B,N133MA,,9,8,1,9,8,1,0,Crashed into mountains. Continued VFR flight into adverse weather conditions.</t>
  </si>
  <si>
    <t>01/01/1976,05:30,"Near Al Qaysumah, Saudi Arabia",Middle East Airlines,438,Beirut - Dubai,Boeing B-720B-023B,OD-AFT,18020/165,82,67,15,82,67,15,0,The aircraft broke-up at FL 370 and crashed in the desert. Detonation of an explosive device in the forward cargo compartment.</t>
  </si>
  <si>
    <t>01/03/1976,17:58,"Anchorage, Alaska",Winship Air,,"Anchorage, AK - Deadhorse, AK",Lear Jet 24A,N651LJ,125,6,4,2,6,4,2,0,Crashed short of the runway in fog. The pilot descended below published minimums because of low fuel.  Inadequate preflight planning. Improper IFR operation.</t>
  </si>
  <si>
    <t>01/03/1976,10:05,"Moscow, Russia",Aeroflot,2003,Moscow - Vnukovo,Tupolev TU-124,CCCP-45036,3351001,61,56,5,61,56,5,1,"After taking off the plane entered clouds. Both artificial horizons failed. The plane rolled to the left  until it reached an angle of 95 degrees, descended and crashed."</t>
  </si>
  <si>
    <t>01/08/1976,,"Mactan Island, Philippines",Philippine Aerotransport,,,Britten-Norman BN-2A-21 Islander,RP-C2135,439,7,6,1,7,6,1,0,Crashed under unknown circumstances.</t>
  </si>
  <si>
    <t>01/18/1976,15:44,"Near San Borja, Bolivia",Frigorifico Maniqui,,,Douglas C-47,CP- 573,4682,10,7,3,7,4,3,0,"The cargo plane was forced to return to San Borja after the No.2 engine failed.  After crossing the runway the plane crashed into trees 1.2 miles past the end of the runway. Malfunction or failure of the No. 2 engine, landing gear malfunction and an improper landing procedure."</t>
  </si>
  <si>
    <t>01/20/1976,07:15,"Near Loja, Ecuador",TAME,,Loja - Guayaquil,Hawker Siddeley HS-748-246,FAE-683,1683,42,36,6,34,28,6,0,The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</si>
  <si>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01/21/1976,,"Near Shanghai, China",CAAC,,Guangzhou - Changsha,Antonov AN-24,B-492,,40,36,4,40,36,4,0,Crashed during the approach. Reasons unknown.</t>
  </si>
  <si>
    <t>01/22/1976,,"Chapeco, Brazil",Transbrasil,,ChapecÃ³ - Erechim - Porto Alegre,Embraer 110C Bandeirante,PT-TBD,110011,11,9,2,9,7,2,0,Crashed during takeoff.</t>
  </si>
  <si>
    <t>02/04/1976,,"Off Santa Maria, Colombia",LAC Colombia,,Santa Maria - Curacao,Douglas DC-6A,HK-1389,43519/221,3,0,3,3,0,3,0,The cargo plane crashed into the ocean. Engine failure.</t>
  </si>
  <si>
    <t>02/08/1976,10:44,"Van Nuys, California",Mercer Airlines,,Burbank - Ontario,Douglas DC-6,N901MA,36326,6,1,5,3,1,2,0,"The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</si>
  <si>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02/09/1976,08:15,"Irkutsk, Russia",Aeroflot,3739,Irkutsk - Novosibirsk,Tupolev TU-104A,CCCP-42327,66600201,124,104,10,24,15,9,0,After taking off the plane began to bank to the right until it crashed. Asymmetrical refueling of the plane. Pilot error.</t>
  </si>
  <si>
    <t>02/21/1976,16:33,"St. Croix, Virgin Islands",Antilles Air,,"St. Thomas, VI - St. Croix, VI",Grumman G-21A seaplane,N4772C,B131,11,10,1,5,5,0,0,Crashed into the water and sank while attempting and emergency forced. Unscheduled feathering of right prop for undetermined reasons. Engine failure for undetermined reasons.</t>
  </si>
  <si>
    <t>03/01/1976,,"Sibiu, Romania",Tarom,,,Ilyushin II-14P,YR-ILO,14803061,9,5,4,6,3,3,0,Crashed short of the runway.</t>
  </si>
  <si>
    <t>03/02/1976,,Southeastern Bolivia,TAM (Bolivia),,Camiri - Itaguasurenda,IAI Arava 201,TAM-76,24,22,18,4,19,15,4,0,Crashed in the jungle while en route. Cause unknown</t>
  </si>
  <si>
    <t>03/06/1976,00:58,"Near Voronezh, Russia",Aeroflot,909,Moscow - Yerevan,Ilyushin IL-18E,CCCP-75408,186009201,111,100,11,111,100,11,7,"The aircraft plunged to earth from FL 260 in darkness. Electrical power failure of compass, gyros and auto pilot caused the crew to lose control of the plane."</t>
  </si>
  <si>
    <t>03/07/1976,11:07,"Igiugig, Alaska",Kodiak Western Alaska Airlines,,"South Nanek, AK - Dillingham, AK",Cessna 207,N91142,20700089,4,3,1,4,3,1,0,Continued VFR flight in to adverse weather.</t>
  </si>
  <si>
    <t>04/02/1976,,"Near Puerto Asis, Colombia",SATENA,,Florencia - Puerto Asis,Douglas DC-3,FAC-676,,16,14,2,5,4,1,0,Crashed into a lake while on approach in heavy rain.</t>
  </si>
  <si>
    <t>04/05/1976,08:19,"Ketchikan, Alaska",Alaska Airlines,60,Juneau - Ketchikan,Boeing B-727-81,N124AS,18821,50,45,5,1,1,0,0,The plane overran the runway after landing at excessive speed. The captain's faulty judgement in initiating a go-around after he was committed to a full stop landing following an excessively long and fast touchdown from an unstabilized approach.</t>
  </si>
  <si>
    <t>04/14/1976,,"Neuquen, Argentina",Yacimientos Petroliferos Fiscales,,,Hawker Siddeley HS-748 2,LV-HHB,1540,34,31,3,34,31,3,0,Structural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</si>
  <si>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04/23/1976,08:08,Gulf of Mexico,Petroleum Helicopter,,,Bell 205 A-1 helicopter,N8167J,30090,12,11,1,12,11,1,0,Fatigue fracture of tail boom fuselage attachment fitting. Pilot and 4 passengers not recovered.</t>
  </si>
  <si>
    <t>04/27/1976,15:10,"St. Thomas, Virgin Islands",American Airlines,625,New York City - Saint Thomas,Boeing B-727-95,N1963,19837/499,88,81,7,37,35,2,0,"After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</si>
  <si>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05/05/1976,,"Camuigan, Philippines",Philippine Aerotransport,,,Britten-Norman BN-2A-21 Islander,RP-C2140,450,10,8,2,4,4,0,0,Unknown cause.</t>
  </si>
  <si>
    <t>05/09/1976,16:30,"Near Cuneca, Spain",Military - Imperial Iranian Air Force,228,"Terhan, Iran - Madrid, Spain - McGuire AFB, New Jersey",Boeing B-747-131F,5-283,19677/73,17,7,10,17,7,10,0,The aircraft was struck by lightning while descending through FL100.  There was an explosion in the No. 1 fuel tank which caused the left wing to fail and the plane to crash. Ignition of fuel vapor in the No.1 tank in the vicinity of the motor drive fuel valve.</t>
  </si>
  <si>
    <t>05/15/1976,10:48,"Chernigov, Ukraine, USSR",Aeroflot,1802,,Antonov AN-24,CCCP-46534,57310108,52,46,6,52,46,6,0,"After entering the wake turbulence of a MiG fighter plane, the rudder deflected sharply and both propellers feathered causing the plane to go into a spin and crash."</t>
  </si>
  <si>
    <t>05/23/1976,12:30,"Zamboanga, Philipines",Philippine Air Lines,,Davao City - Manila,BAC One-Eleven 527FK,RP-C1161,213,87,77,10,14,14,0,3,The aircraft was destroyed after a hijacker set off grenades in the cabin. All three hijackers were killed.</t>
  </si>
  <si>
    <t>06/01/1976,07:48,"Nacias Nguema, Equatorial Guinea",Aeroflot,SU-418,	Luanda - Malabo - Nâ€™Djamena - Tripoli - Moscow,Tupolev TU-154A,CCCP-85102,102,45,35,10,45,35,10,0,After takeoff from Malabo the aircraft collided with Mount San Carlos. Cause unknown. Possible failure of radar equipment.</t>
  </si>
  <si>
    <t>06/04/1976,00:47,"Agana, Guam",Air Manila,702,Wake Island - Guam - Manila,Lockheed 188A Electra,RP-C1061,1007,45,33,12,45,33,12,1,The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</si>
  <si>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06/06/1976,15:41,"Off Kota Kinabalu, Malaysia",Sabah Air,,Labuan - Kota Kinabalu,GAF Nomad N-22B,9M-ATZ,14,11,10,1,11,10,1,0,Stalled and crashed into the sea during the approach two miles from the airport.</t>
  </si>
  <si>
    <t>06/27/1976,,"Entebbe, Uganda",Air France,139,Tel-Aviv - Athens - Paris,Airbus A300,F-BVGG,19,258,NULL,NULL,7,NULL,NULL,0,"The plane was hijacked ,in Athens, by Palestinian terrorists and flown to Entebbe Uganda. Seven passengers were killed during a commando raid by Israeli armed forces to free the hostages."</t>
  </si>
  <si>
    <t>07/05/1976,,"Daiku, Burma",Military - Burma Air Force,,,Douglas C-47,,,17,NULL,NULL,17,NULL,NULL,0,Caught fire and exploded.</t>
  </si>
  <si>
    <t>07/28/1976,09:37,"Bratislava, Czechoslovakia",Ceskoslovenske Aerolinie,001,Prague - Bratislava,Ilyushin IL-18L,OK-NAB,189001605,79,73,6,76,70,6,0,The No. 3 engine failed during the approach and the No. 4 engine was feathered by mistake. The No. 4 engine was restarted but  the aircraft lost control and crashed into ZlatÃ© piesky lake after a decision to go-around was made.</t>
  </si>
  <si>
    <t>08/02/1976,,"Near Tehran, Iran",Korean Airlines,,"Tehran, Iran - Seoul, Korea",Boeing 707-373,HL7412,19715/642,5,0,5,5,0,5,0,Instead of turning on course the cargo plane continued straight and hit a mountain.</t>
  </si>
  <si>
    <t>08/09/1976,12:30,"Moron AFB, Spain 	 Moron AFB, Spain 	 Moron AFB, Spain",Military - Spanish Air Force,,Moron - Canary Islands,Douglas C-54E,T4/11-352,27344,32,28,4,12,12,0,0,Crashed 15 minutes after taking off. An engine caught fire.</t>
  </si>
  <si>
    <t>08/15/1976,08:35,"Andes Mountains, Ecuador",SAETA,232,Quito - Cuenca,Vickers Viscount 785D,HC-ARS,377,59,55,4,59,55,4,0,Crashed while en route. Struck the slope of Mt Chimborazo. Controlled filght into terrain.</t>
  </si>
  <si>
    <t>08/28/1976,,"Ho Chi Minh City, Vietnam",Air France,,Ho Chi Minh City - Bangkok,Sud Aviation SE 210 Caravelle III,F-BSGZ,83,20,15,5,1,1,0,0,A hijacker set off two grenades in the cabin and was killed.</t>
  </si>
  <si>
    <t>08/28/1976,12:40,"Near Thorney, England",Military - U.S. Air Force,,McGuire AFB - Mildenhall RAF,Lockheed C-141A (L.300),67-0006,6257,18,4,14,18,4,14,0,"The aircraft suffered structural failure after flying into a severe thunderstorm. The starboard wing, horizontal stabilizer and vertical tail fin separated from the aircraft."</t>
  </si>
  <si>
    <t>09/02/1976,17:15,"Hawk Inlet, Alaska",Temsco Helicopter - Air Taxi,,,Hughes 369HS,N9172F,,4,3,1,3,2,1,0,Crashed while climbing to cruise altitude. Failed to maintain adequate rotor speed.</t>
  </si>
  <si>
    <t>09/03/1976,21:45,"Lajes, Azores, Portugal",Military - Venezuelan Air Force,,Caracas - Praira da Vitoria,Lockheed C-130H,7772,4408,68,58,10,68,58,10,0,Crashed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</si>
  <si>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09/09/1976,13:51,"Off Adler, Russia",Aeroflot / Aeroflot,7957 /31,Donetsk - Sochi /Rostov na Donu - Kerch,Antonov AN-24 / Yakovlev Yak-40,CCCP46518/87772,37308504 / 9030713,64,55,9,64,55,9,0,"Midair collision at FL187.  ATC error. Forty-six deaths on the Antonov, 18 on the Yak. Violation of separation rules. Contributing causes were insufficient visual alertness on the part of both crews and a lack of situation analysis based on air/ground radio communications."</t>
  </si>
  <si>
    <t>09/10/1976,10:15,"Near Gaj, Hrvatska, Yugoslavia",Inex Adria Aviopromet / British Airways,550/476,Split - Koln / London - Istanbul,McDonnell Douglas DC-9-31 / Trident 3B,YU-AJR/G-AWZT,47649741 / 2320,176,162,14,176,162,14,0,"Midair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</si>
  <si>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09/19/1976,23:15,"Karatepe Mountains, Turkey",Turkish Airlines (THY),452,Istanbul - Antalya,Boeing B-727-2F2,TC-JBH,20982/1087,154,146,8,154,146,8,0,"The aircraft struck Mt. Karatepa during an approach to land. The crew attempted to land at the wrong airport, landing at Isparta instead of Antalya."</t>
  </si>
  <si>
    <t>09/26/1976,08:30,"Near Alpena, Michigan",Military - U.S. Air Force,,Kenneth Ingalls Sawyer - Oscoda-Wurtsmith,Boeing KC-135A,61-0296,18203/518,20,15,5,15,12,3,0,Crash-landed in rugged terrain broke up and landed in a swamp. Possilbe cabin pressure problem causing the plane to disintegrate in the air.</t>
  </si>
  <si>
    <t>10/04/1976,,"Nairobi, Kenya",Emirates Air Transport,,Sharjah - Djibouti City - Nairobi,Douglas DC-7CF,TZ-ARC,45467/970,4,0,4,4,0,4,0,The cargo plane struck Mt. Kenya while descending to land. Descended prematurely.</t>
  </si>
  <si>
    <t>10/06/1976,13:24,"Off Bridgetown, Barbados",Cubana de Aviacion,455,Bridgetown - Kingston,McDonnell Douglas DC-8-43,CU-T1201,45611/48,73,48,25,73,48,25,0,Ten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</si>
  <si>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10/13/1976,13:32,"Santa Cruz, Bolivia",Lloyd AÃ©reo Boliviano,,Santa Cruz - Viru,Boeing B-707-31,N730JP,17671/48,3,0,3,3,0,3,113,"The cargo plane failed to climb and crashed into trees, poles and houses at the end of the runway and came to rest in a soccer field 560 meters beyond the runway. The failure of the crew to select enough thrust to achieve the necessary acceleration. Crew fatigue."</t>
  </si>
  <si>
    <t>10/13/1976,01:37,"Near Bombay, India",Indian Airlines,,Mumbai - Chennai,Sud-Aviation Caravelle VI-N,VT-DWN,231,95,89,6,95,89,6,0,"The aircraft crash landed in flames during an emergency landing. The right engine failed during takeoff. A fatigue crack in compressor led to engine destruction, severing of fuel lines and fire. The fire spread because the crew did not shut off the fuel supply."</t>
  </si>
  <si>
    <t>10/28/1976,,"Near Petrolia, Brazil",Nordeste Linhas AÃ©reas,,Petrolina - Recife,Embraer 110C Bandeirante,PT-TBA,110004,7,5,2,2,0,2,0,The airplane was seen to initiate a turn to the left when it stalled and crashed in a field.</t>
  </si>
  <si>
    <t>11/04/1976,,"Banjarmasin, Indonesia",Bali International Air Service,,Manado -Gorontalo - Palu - Balikpapan - Banjarmasin,Fokker F-27 Friendship 100,PK-KFR,10142,38,33,5,29,25,4,0,"After overshooting the runway, a go-around was initiated but abrupt application of power made an engine autofeather after which the plane crashed."</t>
  </si>
  <si>
    <t>11/05/1976,,Atlantic Ocean,Inair Panama,,Curacao - Port-au-Prince,Douglas DC-3,HP-671,43073,2,0,2,2,0,2,0,The cargo plane went missing between Curacao - Port-au-Prince.</t>
  </si>
  <si>
    <t>11/23/1976,09:45,"Kozani, Greece",Olympic Airways,,Athens - Larisa,NAMC YS-11A-500,SX-BBR,2156,50,46,4,50,46,4,0,The airliner crashed into mountainous terrain after being diverted to Kozani due to poor weather at Larissa. Controlled flight into terrain. Premature descent.</t>
  </si>
  <si>
    <t>11/28/1976,18:56,"Moscow, Russia",Aeroflot,2415,Moscow - Leningrad,Tupolev TU-104B,CCCP-42471,021204,73,67,6,73,67,6,0,After taking off an artificial horizon failure caused the crew to become disoriented and exceed bank angle limits and crash.</t>
  </si>
  <si>
    <t>12/12/1976,23:26,"Cape May, New Jersey",Atlantic City Airlines,977,Atlantic City - Cap May,de Havilland Canada DHC-6 Twin Otter 300,N101AC,262,10,8,2,3,3,1,0,The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</si>
  <si>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12/17/1976,19:40,"	Ust-Kut, Russia",Aeroflot,,Ust-Kut - Kirensk,Yakovlev 40,CCCP-88208,	 9631349,7,4,3,7,4,3,0,The cargo plane crashed into trees on takeoff. Deviation in preparation for the flight by the crew and pilot error in the technique used during the takeoff.</t>
  </si>
  <si>
    <t>12/17/1976,21:30,"Kiev, USSR",Aeroflot,H-36,	Chernivtsi - Kiev,Antonov AN-24RV,CCCP-46672,47309604,55,50,5,48,44,4,0,"In heavy fog  the crew continued their descend below decision height, although they had not obtained visual contact with the runway. The fact that visibility had decreased below minima (700 m) was not reported to the crew."</t>
  </si>
  <si>
    <t>12/18/1976,16:56,"Nnear Yuzhno-Sakhalinsk, Russia",Aeroflot,,	Petropavlovsk-Kamchatsky - Yuzhno-Sakhalinsk,	Ilyushin IL-14M,CCCP-61752,147001247,8,3,5,8,3,5,0,The survey fllight deviated from the approach pattern and crashed into Mount Ostraya.</t>
  </si>
  <si>
    <t>12/25/1976,03:45,"Near Bangkok, Thailand",EgyptAir,864,Cairo - Bangkok,Boeing B-707-366C,SU-AXA,20763,53,44,9,53,44,9,19,The aircraft crashed into an industrial area during a landing attempt. Lack of altitude awareness and disorientation leading to an uncontrolled descent. Crew did not make use of navigational aids.</t>
  </si>
  <si>
    <t>12/31/1976,,"Near Trujillo, Peru",Faucett,,Trujillo - Tarapoto,Douglas C-54A-1-DO,OB-R-247,7462,19,14,5,19,14,5,0,Struck the slope of Mt Pintado located 25 km north of the airport shortly after taking off from Trujillo.</t>
  </si>
  <si>
    <t>01/06/1977,17:05,"Near Palm Springs, California",Jet Avia Charter,,Palm Springs - Las Vegas,Gates Learjet 24B,N12MK,24B-192,4,2,2,4,2,2,0,"The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</si>
  <si>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01/13/1977,06:36,"Anchorage, Alaska",Japan Air Lines,,"Mosses Lake, WA - Tokyo, Japan",Douglas DC-8,JA8054,46148/553,5,0,5,5,0,5,0,The cargo plane crashed while attempting to take off. Alcoholic impairment of captain. Flightcrew members did not prevent captain from attempting to fly. Blood alcohol of 0.21.</t>
  </si>
  <si>
    <t>01/13/1977,18:14,"Near Alma Ata,  Kazakastan, USSR",Aeroflot,3843,Novosibirsk - Alma Ata,Tupolev TU-104A,CCCP-42369,86601203,90,82,8,90,82,8,0,"The aircraft was preparing to land when it was informed by the tower that its left engine was on fire. Shortly thereafter, the plane exploded and crashed 2 miles short of the runway."</t>
  </si>
  <si>
    <t>01/14/1977,,"Terrace, BC, Canada",Northern Thunderbird Air Ltd.,,Prince George - Prince Rupert,de Havilland Canada DHC-6 Twin Otter 300,C-GNTB,463,12,9,3,12,9,3,0,Crashed into Little Herman Mountain while on approach.</t>
  </si>
  <si>
    <t>01/15/1977,09:05,"Kalvesta, Sweden",Skyline Sweden,,Malmo - Bromma,Vickers Viscount 838,SE-FOZ,372,22,19,3,22,19,3,0,"The aircraft suddenly dove to the earth into an apartment parking lot from an altitude of 1,150 feet. Icing of the stabilizer leading to stabilizer stall. The No.2 and No.3 engines had been running with reduced power and the anti-icing system temperature was too low."</t>
  </si>
  <si>
    <t>01/20/1977,,,North Canada Air,,,Bristol 170 Freighter 31M,C-FWAD,13253,2,0,2,1,0,1,0,The cargo plane stalled nearly vertical and crashed. Shifting cargo.</t>
  </si>
  <si>
    <t>02/11/1977,,"Bratislava, Slovakia",CeskoslovenskÃ© Aerolinie,,,Avia 14T,OK-OCA,190013167,5,2,3,4,2,2,0,The cargo plane crashed short of the runway while attempting to land. Failure to follow the prescribed flight path and decision height in marginal weather.</t>
  </si>
  <si>
    <t>02/15/1977,23:17,"Mineralnye Vody, Russia",Aeroflot,5003,Tashkent - Mineralnyye Vody,Ilyushin IL-18V,CCCP-75520,183006703,98,92,6,77,76,1,0,"Stalled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</si>
  <si>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02/28/1977,,"Near Saglouc, Canada",Survair,,,Douglas DC-3,C-FNAR,13154,10,7,3,4,2,2,0,Crashed in whiteout conditions. Possible spatial disorientation on final.</t>
  </si>
  <si>
    <t>03/01/1977,,"Off Aden, Yemen",Alyemda,,Aden - Al Kari,Douglas DC-3,7O-ABF,13475,21,17,3,19,16,3,0,Crashed into the ocean. Engine failure.</t>
  </si>
  <si>
    <t>03/03/1977,15:00,"Near Cascina, Italy",Military - Italian Air Force,,Training,Lockheed C-130H,MM61995,4491,44,38,6,44,38,6,0,The aircraft crashed into cloud obscured  Mt. Serra shortly after taking off from San Giusto Airport at Pisa. The plane was seen making a evasive maneuver before slamming into the mountain peak.</t>
  </si>
  <si>
    <t>03/04/1977,03:35,"Niamey, Niger",Overseas National Airways,,"Paris, France - Niamey, Nigher",McDonnell Douglas DC-8-63CF,N8635,46050/430,4,0,4,2,0,2,0,The cargo plane crashed short of the runway while attempting to land.  The crew continued the approach below the glide until impact with ground.</t>
  </si>
  <si>
    <t>03/27/1977,17:07,"Tenerife, Canary Islands",Pan American World Airways / KLM,1736/4805,Tenerife - Las Palmas / Tenerife - Las Palmas,Boeing B-747-121 / Boeing B-747-206B,N736PA/PH-BUF,19643/11 / 20400/157,644,614,30,583,560,23,0,"Both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</si>
  <si>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03/29/1977,,"Bainaha Valley, Indonesia",Merpati Nusantara Airlines,,Palu - Toli Toli,de Havilland Canada DHC-6 Twin Otter 300,PK-NUP,486,23,20,3,15,13,2,0,"After spotting a mountain in front of him, the pilot applied full power and went into a steep climb. The plane stalled and crashed into trees."</t>
  </si>
  <si>
    <t>03/30/1977,08:39,"Near Zhadanof, Russia",Aeroflot,H-925,	Dnepropetrovsk - 	Zhdanov,Yakovlev YAK-40,CCCP-87738,9010310,27,23,4,8,5,3,0,"The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</si>
  <si>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04/04/1977,16:19,"New Hope, Georgia",Southern Airways,242,Huntsville - Atlanta,McDonnell Douglas DC-9-31,N1335U,47393/608,85,81,4,62,60,2,8,The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</si>
  <si>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04/10/1977,,"SW of Bogota, Colombia",El Venado,,Villavicencio - Bogota,Douglas DC-3-3A,HK-556,4958,35,31,4,35,31,4,0,Crashed on the slopes of the Rio Guape mountains. Found 1 month later. Deviation from course.</t>
  </si>
  <si>
    <t>04/19/1977,,"Tapa AFB, Estonia",Military - Soviet Air Force,,Parnu - Tapa,Antonov An-24,,,21,15,6,21,15,6,0,Crashed into a building while attempting to land in snow and poor visibility.</t>
  </si>
  <si>
    <t>04/27/1977,,"Guatemala City, Guatemala",Aviateca,,,Convair CV-440,TG-ACA,143,28,22,6,28,22,6,0,Failure of the No. 1 engine due to lack of oil. Mantenance error. Incorrectly connected high pressure oil hose.</t>
  </si>
  <si>
    <t>05/10/1977,20:30,"Near Jericho, Jordan",Military - Israel Air Force,,,Sikorsky CH-53D (helicopter),360,,54,50,4,54,50,4,0,Crashed and exploded in the desert shortly after taking off . Crew error. Flight at an unsafe altitude into an area of unfamiliar terrain.</t>
  </si>
  <si>
    <t>05/13/1977,08:45,"Beiruit, Lebanon",LOT Polish Airlines,,"Varna, Bulgaria  - Beiruit, Lebanon",Antonov An-12BP,SP-LZA,6344307,9,0,9,9,0,9,0,The cargo plane struck power lines and trees while attempting to land.</t>
  </si>
  <si>
    <t>05/14/1977,09:33,"Near Lusaka, Zambia",IAS Cargo,,"Nairobi, Kenya  - Luskaka, Zambia",Boeing 707-321C,G-BEBP,18579/332,6,1,5,6,1,5,0,"The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</si>
  <si>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05/16/1977,17:35,"New York, New York",New  York Helicopter,,Pan Am building - JFK Airport,Sikorsky S61L,N619PA,61427,25,22,3,4,4,0,1,"While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</si>
  <si>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05/27/1977,08:45,"Havana, Cuba",Aeroflot,SU-331,Lisbon - Havana,Ilyushin IL-62M,CCCP-86614,51903,69,59,10,67,57,10,0,Struck power lines and crashed 1 m from the runway while attempting to land.</t>
  </si>
  <si>
    <t>06/03/1977,,"Natal, Brazil",Military - Brazilian Air Force,,,Embraer C-95 Bandeirante,FAB2157,110057,18,16,2,18,16,2,0,</t>
  </si>
  <si>
    <t>06/20/1977,,"Salto-Nueva Hesperides, Uruguay",Fuerza AÃ©rea Uruguaya,,Carrasco - Salto-Nueva Hesperides,Embraer 110C Bandeirante,CX-BJE,110083,15,13,2,12,10,2,0,Crashed into trees while making an ILS approach.</t>
  </si>
  <si>
    <t>06/21/1977,22:30,Off Wake Island,Military - U.S. Navy,,Wake-Agana,Lockheed EC-130Q,156176,4280,16,0,16,16,0,16,0,Crashed into the Pacific Ocean and exploded moments after taking off from Wake Island Air Base. The plane rose no higher than 400 ft. before crashing one mile from the end of the runway.</t>
  </si>
  <si>
    <t>07/06/1977,23:30,"Saint Louis, Missouri",Fleming International Airways,,"Saint Louis, MO - Detroit, MI",Lockheed L-188AF Electra,N280F,1076,3,0,3,3,0,3,0,"After taking off the cargo plane's No. 2 engine did not develop power, the plane rolled to the right and crashed. Attempted operation with known deficiencies in equipment. Failed to follow approved procedures. Inadequate maintenance and inspection."</t>
  </si>
  <si>
    <t>07/08/1977,,"Off Kirovograd, Ukraine",Aeroflot,,,Antonov AN-24,CCCP-46847,27307505,7,NULL,NULL,6,NULL,NULL,0,Crashed into the Black Sea shortly after taking off from Kirovograd.</t>
  </si>
  <si>
    <t>07/14/1977,12:30,"Near Cuangar, Angola",Military - Angolan Air Force,,,Antonov AN-26,,,30,25,5,30,25,5,0,Shot down by rebels near the Namibia border as it took off.</t>
  </si>
  <si>
    <t>07/20/1977,,"	Vitim, Russia",Aeroflot,B-2,	Vitim - Irkutsk,Ilyushin IL-14M,CCCP-52096,086806109,40,34,6,40,34,6,0,"The crew attempted to take off in tailwind, stalled, contacted trees and crashed"</t>
  </si>
  <si>
    <t>07/20/1977,17:30,"Jima, Ethiopia",Ethiopian Airlines,,Tippi - Jima,Douglas DC-3,ET-ABF,6069,5,2,3,5,2,3,0,"The cargo plane crashed into a mountainside in poor weather, visibility and rain showers."</t>
  </si>
  <si>
    <t>07/24/1977,19:00,"Near Puerto Montt, Chile",Military - Chilean Air Force,,Punta Arenas - Santiago,Douglas DC-6B,FAC-989,45534,82,75,7,38,31,7,0,Crashed into a swamp and burst into flames as it attempted to land in heavy rain at night.</t>
  </si>
  <si>
    <t>07/25/1977,08:00,"Near Yoro, Honduras",Military - Honduran Air Force,,Yoro - Honduran,Douglas C-47,FAH-301,6096,40,36,4,25,NULL,NULL,0,The left engine exploded in flight and the plane crashed into mountainous terrain. Plane was overloaded with passengers.</t>
  </si>
  <si>
    <t>08/01/1977,12:36,"Encino, California",Private KNBC Los Angeles,,Burbank - Santa Barbara,Bell 206B JetRanger,N4TV,,2,1,1,2,1,1,0,"The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</si>
  <si>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08/20/1977,21:06,"San Jose, Costa Rica",Monarch Aviation,, Catalina Island-Long Beach,Convair CV-880,N8817E,,3,0,3,3,0,3,0,"The cargo plane took off struck trees, crashed and burned."</t>
  </si>
  <si>
    <t>08/25/1977,05:40,"Kona, Hawaii",Island Airways,,Honolulu-Kailua Kona,Shorts SC-7 Skyvan 3-200,N4917,SH-1850,2,0,2,2,0,2,0,"The cargo plane stalled, went into a spin and crashed short of the runway. Failure to maintain flying speed."</t>
  </si>
  <si>
    <t>09/02/1977,08:38,Off Hong Kong,Transmeridian Air Cargo,3751,Hong Kong-Bangkok,Canadair CL-44D4-2,G-ATZH,21,4,0,4,4,0,4,0,"The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</si>
  <si>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09/04/1977,,"Near Cuenca, Ecuador",Servicios Aereos Nacionales Airways,,Guayaquil - Cuenca,Vickers Viscount 764D,HC-BCL,185,33,29,4,33,29,4,0,Struck a mountain peak in the Cajas mountains  in poor weather . Flying VFR in IFR conditions.</t>
  </si>
  <si>
    <t>09/06/1977,14:52,"Mt. Iliamna, Alaska",Alaska Aeronautical Industries,302,Iliamna - Anchorage,de Havilland Canada DHC-6 Twin Otter 200,N563MA,196,13,11,2,13,11,2,0,"Crashed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</si>
  <si>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09/08/1977,,"Mt. Loi Hsam Hsao, Burma",Burma Airways,,Mongasat - Keng Tung,de Havilland Canada DHC-6 Twin Otter 300,XY-AEH,540,19,16,3,19,16,3,0,Crashed in the jungles of eastern Burma.</t>
  </si>
  <si>
    <t>09/12/1977,00:12,"Yakutat, Alaska",Safe Air Cargo,,Yakutat - Anchorage,Douglas DC-7BF,N6314J,45359/868,4,0,4,4,0,4,0,The cargo plane did not gain altitude after taking off and crashed into trees 2.5 miles from the runway. The aircraft was overloaded and lost an engine on takeoff.</t>
  </si>
  <si>
    <t>09/14/1977,23:48,"Near Albuquerque, New Mexico",Military - U.S. Air Force,,Kirtland AFB - Nellis AFB,Boeing - EC-135K,62-3536,,20,0,20,20,0,20,0,Crashed into a mountain peak in the Manzano range shortly after taking off and making a right bank. The aircraft was observed flying too low and did not heed the controller's warnings. Fatigue may have played a part in the accident.</t>
  </si>
  <si>
    <t>09/22/1977,16:59,"Bucharest, Romania",Malev Hungarian Airlines,,Istanbul - Bucharest,Tupolev TU-134,HA-LBC,8350605,53,45,8,29,21,8,0,Crashed short of the runway. The aircraft was being flown at reduced power and went unnoticed by the crew until it struck the ground in level flight..</t>
  </si>
  <si>
    <t>09/27/1977,,"Kuala Lumpur,  Malaysia",Japan Air Lines,715,Tokyo-Hong Kong-Kuala Lumpur,McDonnell Douglas DC-8-62H,JA-8051,46152/550,79,69,10,34,26,8,0,The aircraft struck a hill 4 miles short of the runway while on  a VOR approach during a thunderstorm. Crew error. Descended below MDA.</t>
  </si>
  <si>
    <t>10/20/1977,18:52,"Near Gillsburg, Mississippi",L &amp; J Company,,Greenville - Baton Rouge,Convair CV-300,N55VM,003,26,24,2,6,4,2,0,"The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</si>
  <si>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10/21/1977,10:30,"Mindoro, Philippines",Military - U.S. Marine Corps,,,Sikorksky CH-53 (helicopter),157139,,37,33,4,24,NULL,NULL,0,"After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</si>
  <si>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11/03/1977,,"San Cristobal de las Casas, Mexico",Servicios Aereos Martinez Leon,,Palenque - San Cristobal de las Casas,Britten-Norman BN-2A-8 Trislander,XA-FUA,0388,13,12,1,13,12,1,0,"Exploded, crashed and burned on approach."</t>
  </si>
  <si>
    <t>11/19/1977,04:12,"Rome, Italy",Ethiopian Airlines,,"Rome, Italy - Asmara, Ethiopia",Boeing 707-360C,ET-ACD,19736/696,5,2,3,5,2,3,0,The cargo plane failed to gain altitude and crashed into trees.</t>
  </si>
  <si>
    <t>11/19/1977,21:48,"Near Funchal, Island of Madeira, Portugal",TAP (Air Portugal),425,Brussels - Funchal,Boeing B-727-282,CS-TBR,20972/1096,164,156,8,131,125,6,0,"The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</si>
  <si>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11/21/1977,10:04,"Near Bariloche, Argentina",Austral Lineas Aeras (Argentina),,Buenos  Aires - San Carlos de Bariloche,BAC One-Eleven 420EL,LV-JGY,155,79,74,5,46,41,5,0,The flight crashed into high ground after a second landing attempt. Procedural error by the crew during the final approach in that they abandoned the ILS procedure. This was influenced by the interruption of the VOR signal.</t>
  </si>
  <si>
    <t>11/26/1977,02:30,"Near Beziers, France",Military - French Air Force,,Mont-de-Marsan-HyÃ¨res,Nord 2501 Noratlas,182,182,32,28,4,32,28,4,0,Crashed into mountains north of the city in fog and adverse weather conditions.</t>
  </si>
  <si>
    <t>12/02/1977,,"Near Al Bayda, Lebanon",Balkan Bulgarian Airlines,,Jeddah - Benghazi,Tupolev TU-154B,LZ-BTN,054,165,159,6,59,59,0,0,"After not being able to land at the scheduled airport due to fog, the crew could not find the alternate airport, ran out of fuel and crashed."</t>
  </si>
  <si>
    <t>12/04/1977,20:36,"Straits of Johore, near Kampung Ladang, Malaysia",Malaysia Airlines,653,Penang - Kuala Lumpur,Boeing B-737-2H6,9M-MBD,20585/306,100,93,7,100,93,7,0,"During a hijacking and while descending from 21,000 to 7,000 feet, both pilots were shot and the aircraft crashed into a swamp."</t>
  </si>
  <si>
    <t>12/08/1977,12:00,"Intracostal City, Louisiana",Petroleum Helicopter,,,SNIAS SA330J,N4730S,,19,18,1,17,16,1,0,Collided with cable crane. Crane operator failed to park crane boom in stowed position.</t>
  </si>
  <si>
    <t>12/09/1977,19:25,"Tarko-Saley, USSR",Aeroflot,134,Tarko-Sale - Surgut,Antonov AN-24,CCCP-47695,27307602,23,18,5,17,13,4,0,The plane took off at night and entered a steep attitude after the flaps were raised and crashed.</t>
  </si>
  <si>
    <t>12/11/1977,11:20,"Hierro, Canary Islands",Military - U.S. Navy,,Lajes-Lajes,Lockheed P-3B Orion,153428,185-5225,13,0,13,13,0,13,0,"While on patrol the plane flew into a 4,200 ft. mountain at 1,200 ft."</t>
  </si>
  <si>
    <t>12/13/1977,19:22,"Evansville, Indiana","National Jet Services Inc.,  (Air Indiana)",216,Evansville - Nashville,Douglas DC-3,N51071,4837,29,26,3,29,26,3,0,"The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</si>
  <si>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12/18/1977,01:38,"Near Salt Lake City, Utah",United Air Lines,2860,"San Francisco, CA - Salt Lake City, Utah",Douglas DC-8-54F,N8047U,45880/275,3,0,3,3,0,3,0,"While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</si>
  <si>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12/18/1977,20:14,"Off Madeira, Portugal",SATA,730,Zurich-GenÃ¨ve-Funchal,Aerospatiale Caravelle 10R,HB-ICK,200,57,52,5,36,35,1,0,Ditched into the ocean while on a second approach. Crew error. Sensory illusion.</t>
  </si>
  <si>
    <t>12/19/1977,07:48,"Vieques, Puerto Rico",Vieques Air Link,,"St Croix, VI - Vieques, PR",Britten-Norman BN-2A Islander,N862JA,184,10,9,1,5,5,0,0,The plane made a forced landing in the ocean. Fuel exhaustion. Inadequate preflight planning. Mismanagement of fuel.</t>
  </si>
  <si>
    <t>12/24/1977,,"Willemstad, Curacao, Netherlands Antilles",Valley Air Service,,Charlotte Amalie-Willemstad,Piper PA-31-350 Navajo,N9164Y,31-217,10,8,2,10,8,2,0,</t>
  </si>
  <si>
    <t>12/29/1977,,"Cuenca, Ecuador",Servicios Aereos Nacionales,,Guayaquil - Cuenca,Vickers Viscount 764 D,HC-BEM,183,24,20,4,24,20,4,0,Crashed into a hill while descending for a landing. Flying under VFR in IFR conditions.</t>
  </si>
  <si>
    <t>01/01/1978,20:41,"Off Bandra, Maharashtra, India",Air India,855,Bombay - Dubai,Boeing B-747-237B,VT-EBD,19959/124,213,190,23,213,190,23,0,"Following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</si>
  <si>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01/27/1978,13:55,"Near San Vincente, Colombia",SADELCA,,Neiva - San Vincente,Douglas DC-3,HK-1351X,42958,14,10,4,14,10,4,0,"Struck Cerro Granada, at 6800 feet in mountain fog."</t>
  </si>
  <si>
    <t>01/31/1978,,"Eirunepe, Brazil",TABA,,,Embraer 110P Bandeirante,PT-GKW,110128,14,12,2,2,0,2,0,Crashed during takeoff.</t>
  </si>
  <si>
    <t>02/10/1978,11:20,"Near Artigas, Uruguay",Uruguayan Air Force,,Artigas - Montevideo,Douglas C-47A-DL,T511,19301,44,40,4,44,40,4,0,The passenger flight attempted to make an emergency landing at Artigas Airport when it had taken off from.  An engine failure was followed by a wide banking turn and crash to the ground bursting into flames.</t>
  </si>
  <si>
    <t>02/10/1978,16:50,"Richland, Washington",Columbia Pacific Airlines,23,"Richland, WA - Seattle, WA",Beechcraft 99,N199EA,U037,17,15,2,17,15,2,0,The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</si>
  <si>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02/11/1978,12:55,"Cranbrook, British Columbia, Canada",Pacific Western Airlines,314,Calgary - Cranbrook,Boeing B-737-275,C-FPWC,20142/253,49,44,5,42,38,4,0,"The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</si>
  <si>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02/28/1978,10:30,"Solvang, California",Security Air,,Visalia - Santa Barbara - Santa Maria,Aero Commander 500A,N6143X,500-0931-26,7,4,3,7,4,3,0,Continued VFR flight into adverse weather conditions.</t>
  </si>
  <si>
    <t>03/01/1978,09:25,"LAX, Los Angeles, California",Continental Airlines,603,Los Angeles - Honolulu,McDonnell Douglas DC-10-10,N68045,46904,200,186,14,2,2,0,0,"While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</si>
  <si>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03/02/1978,12:43,"Kano, Nigeria",Nigeria Airways,,Abuja - Kano,Fokker F-28 Fellowship 1000 / MiG-21,5N-ANA / ?,11993,18,11,7,18,11,7,0,Midair collision. The Fokker collided with the MiG which was performing touch-and-go landings. Error by the MiG pilot. Sixteen killed on the Fokker and two on the MiG.</t>
  </si>
  <si>
    <t>03/03/1978,,"Off Caracas, Venezuela",LAV - Linea Aeropostal Venezolana,,Caracas - Cumana,British Aerospace 748 2A,YV-45C,1744,47,43,4,47,43,4,0,The aircraft crashed into the ocean shortly after takeoff due to problems with the artificial horizon. The pilot radioed he was having an instrument failure. The plane the banked to the left and crashed into the sea.</t>
  </si>
  <si>
    <t>03/16/1978,13:00,"Vrastsa, Bulgaria",Balkan Bulgarian Airlines,,Sofia - Warszawa,Tupolev TU-134,LZ-TUB,8350501,73,66,7,73,66,7,0,Crashed shortly after takeoff. An undetermined emergency of some kind occurred during the climb after takeoff resulting in loss of control of the aircraft.</t>
  </si>
  <si>
    <t>03/22/1978,20:42,"Near Riverside, California",Lake Havasu Air,,"Santa Ana, CA - Lake Havasu, AZ",Cessna T207A,N7354U,,6,5,1,6,5,1,0,Crashed into a mountain in fog.  Continued VFR flight into adverse weather conditions.</t>
  </si>
  <si>
    <t>03/25/1978,06:55,"Okaraba, Burma",Burma Airways,,Yangon - Myitkyina,Fokker F-27 Friendship 200,XY-ADK,10235,48,44,4,48,44,4,0,"After an explosion, the aircraft went spinning into the ground and crashed into a field."</t>
  </si>
  <si>
    <t>04/04/1978,23:20,"Off Galveston, Texas",Air Logistics,,,Bell 212,N140AL,,6,4,2,3,3,0,0,The helicopter was attempting to land on an oil drilling platform. The co-pilot suffered spatial disorientation and stalled helicopter and crashed.</t>
  </si>
  <si>
    <t>04/05/1978,16:45,"St. Thomas, Virgin Islands",Antilles Air,,"St. John, VI - St. Croix, VI",Grumman G-21,N877A,1152,9,7,2,2,0,2,0,Made a forced landing in water. Fuel starvation. Inattentiveness to fuel supply. Fuel selector positioned between tanks.</t>
  </si>
  <si>
    <t>04/20/1978,22:17,"Near Murmansk, Russia",Korean Airlines,902,Paris - Seoul,Boeing B-707-321B,HL-7429,19363/623,109,97,12,2,2,0,0,"The aircraft, which deviated off course, suffered rapid decompression after being fired upon by a Russian fighter. The aircraft made an emergency landing on a frozen lake."</t>
  </si>
  <si>
    <t>04/29/1978,,"Bogota, Colombia",LAC Colombia,,Bogota - Barranquilla,Douglas C-118A,HK-1705,43565/243,12,9,3,8,5,3,0,Crashed on farmland six miles outside of Bogota shortly after taking off.</t>
  </si>
  <si>
    <t>05/08/1978,21:20,"Pensacola, Florida",National Airlines,193,"Miami, FL - Pensacola, FL - Mobile, AL",Boeing B-727-235,N4744,19464,58,52,6,3,3,0,0,"The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</si>
  <si>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05/19/1978,13:32,"Pochinok, Russia",Aeroflot,6709,Baku - Leningrad,Tupolev TU-154B,CCCP-85169,76A-169,134,126,8,4,4,0,0,The flight engineer accidentally shut off the automatic transferring of fuel from the sump tank. Eventually all three engines stopped and the plane crashed. Fuel starvation.</t>
  </si>
  <si>
    <t>06/23/1978,,"Saint John's, Newfoundland",Gander Aviation,, Saint John's - Saint Anthony,Beech Queen Air A80,C-GGAL,LD-233,10,8,2,10,8,2,0,Crashed in heavy fog while attempting to take off.</t>
  </si>
  <si>
    <t>06/26/1978,,"Off Bergen, Norway",Helikopter Service,,Bergen - Stratjford-A,Sikorsky S-61N,LN-OQS,,18,16,2,18,16,2,0,The helicopter crashed 87 miles northwest of Bergen on a ferry run to an oil drillilng platform.</t>
  </si>
  <si>
    <t>06/26/1978,08:08,"Toronto, Canada",Air Canada,189,Toronto - Winnipeg,McDonnell Douglas DC-9-32,C-FTLV,47179/289,107,102,5,2,2,0,0,"The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</si>
  <si>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08/14/1978,,"Sogamoso, Bolivia",Aeropeca,,Bucaramanga-Leticia-La Paz,Curtiss C-46,HK-1350,22557,18,15,3,18,15,3,0,"The aircraft, flying VFR, collided with a mountain in deteriorating weather condtions after being blown off course which went unnoticed because of lacking navigational equipment."</t>
  </si>
  <si>
    <t>08/26/1978,,"Papun, Burma",Burma Airways,,Papun-Rangoon,de Havilland Canada DHC-6 Twin Otter 300,XY-AEI,541,14,11,3,14,11,3,0,Crashed shortly after taking off from runway 18.</t>
  </si>
  <si>
    <t>08/30/1978,07:47,"Las Vegas, Nevada",Las Vegas Airlines,,"Las Vegas, NV - Santa Ana, CA",Piper PA-31-350 Chieftain,N44LV,,10,9,1,10,9,1,0,"Crashed on takeoff. Down elevator control stop backed out, limiting down elevator travel to 1 1/2 degrees of normal 20 degrees."</t>
  </si>
  <si>
    <t>09/03/1978,,"Conakry, Guinea",Air Guinee,,Conakry - Bamako,Ilyushin IL-18,3X-GAX,187009803,17,9,8,15,8,7,0,Crashed in a swamp.</t>
  </si>
  <si>
    <t>09/03/1978,,"Coal Harbour, BC, Canada",AirWest Airlines,,Victoria harbor - Victoria Harbor Water Aerodome,de havilland Canada Twin Otter 200,C-FAIV,215,13,11,2,11,9,2,0,"While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</si>
  <si>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09/03/1978,17:30,"Near Kariba, Rhodesia (Zimbabwe)",Air Rhodesia,825,Kariba - Salisbury,Vickers Viscount 782D,VP-WAS,297,56,52,4,38,34,4,0,"The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</si>
  <si>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09/09/1978,14:47,"Wrangell, Alaska",Temesco Helicopter - Air Taxi,,"Wrangell, AK - Return",Soloy 12EJ3,N5384V,,3,2,1,3,2,1,0,The helicopter experienced rotor failure. Undersized threads on anti-node bar.</t>
  </si>
  <si>
    <t>09/09/1978,,"Near Mexico City, Mexico",Lineas Areas del Centro,,Mexico City - Morelia,de Havilland Canada DHC-6 Twin Otter 100,XA-BOP,18,21,19,2,18,17,1,0,Flew into a mountain.</t>
  </si>
  <si>
    <t>09/13/1978,11:30,"Whittier, AK",Alaska Travel,,"Anchorage, AK - Whittier, AK",de Havilland DHC-2,N37741,0269,6,5,1,6,5,1,0,The float plane flew into a blind canyon and crashed into water. Continued VFR flight into adverse weather conditions.</t>
  </si>
  <si>
    <t>09/14/1978,14:50,"Paranaque, Philippines",Philippine Air Force,,Laoag - Paranaque,Fokker F-27 Friendship 200,PH-FKY,10328,28,24,4,21,17,4,12,The domestic flight crashed while attempting to land at Paranaque in thunderstorms with heavy rain and wind gusts. Possible lightning strike.</t>
  </si>
  <si>
    <t>09/25/1978,09:02,"San Diego, California",Pacific Southwest Airlines / Private,182,Los Angeles - San Diego,Boeing B-727-214 / Cessna 172,N533PS/N7711G,19688/589 / ?,137,128,9,137,128,9,7,"Midair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</si>
  <si>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10/03/1978,,"Near Kuopio, Finland",Military - Finish Air Force,,Kuopio - Helsinki,Douglas C-47A-1-DK,DO-10,12050,15,12,3,15,12,3,0,"After taking off, one of engines stalled due to a damaged #5 cylinder exhaust. The pilot attempted to return to to Kuopio. He turned  but the plane lost control and crashed into Lake Juurusvesi."</t>
  </si>
  <si>
    <t>10/03/1978,,"Near Mandalay, Myanmar",Burma Airways,,,Fokker F-27 Friendship 600,XY-ADY,10572,44,40,4,2,1,1,0,Lost both engines on climbout and made an emergency landing on a sandbank of the Irrawaddy River.</t>
  </si>
  <si>
    <t>10/06/1978,,"Santiago de Chile, Chile",Military - US Navy,,Military exercises,Douglas R6D-1 (DC-6),131618,43721/375,18,NULL,NULL,18,NULL,NULL,NULL,"The military transport crashed into a fog-shrouded hill, 20 miles south of the city."</t>
  </si>
  <si>
    <t>10/07/1978,,"Sverdlovsk, Russia",Aeroflot,,Sverdlovsk - 	Kustanai,Yakovlev YAK-40,CCCP-87437,9431335,38,34,4,38,34,4,0,Crashed after the left engine flamed out on takeoff.</t>
  </si>
  <si>
    <t>10/08/1978,09:25,"Kenai, Alaska",Era Helicopter - Air Taxi,,"Kenai, AK - Return",Bell 205-1,N2215W,,7,6,1,2,2,0,0,The tail rotor pitch control system failed shortly after taking off. The helicopter tried to return and crashed.</t>
  </si>
  <si>
    <t>10/22/1978,,"Off Bellona, Solomon Islands",Solomon Islands Airlines,,,Britten Norman BN-2A Trislander,H4-AAC,0613,11,NULL,NULL,11,NULL,NULL,0,</t>
  </si>
  <si>
    <t>10/23/1978,19:41,"Gulf of Sivash, USSR",Aeroflot,6515,	Krasnodar - t:	Simferopol,Antonov AN-24B,CCCP-46327,97305504,26,21,5,26,21,5,0,Crashed following engine flame out in icing conditions.</t>
  </si>
  <si>
    <t>11/05/1978,,"Off Alexandria, Egypt",Nile Delta Air Services,,,Douglas DC-3,SU-AZM,,18,NULL,NULL,18,NULL,NULL,0,Crashed into the ocean.</t>
  </si>
  <si>
    <t>11/15/1978,23:30,"Near Katunayake, Sri Lanka",Loftleidir Icelandic Airlines,001,Jeddah - Colombo,McDonnell Douglas DC-8-Super 63CF,TF-FLA,46020/415,262,249,13,183,175,8,0,The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</si>
  <si>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11/18/1978,,"Off Marie Galante Island, West Indies",Air Guadeloupe,,,de Havilland Canada DHC-6 Twin Otter 300,F-OGHD,469,20,19,1,15,14,1,0,The aircraft sank in the sea after the left wing tip struck the water in heavy rain and wind.</t>
  </si>
  <si>
    <t>11/19/1978,11:00,"Near Leh, India",Military - Indian Air Force,,Chandigarh - Leh,Antonov An-12,,,77,70,7,77,70,7,1,Crashed into a mountain and burned short of the runway after experiencing engine failure.</t>
  </si>
  <si>
    <t>11/21/1978,,"Near Rubio, Venezuela",Aereo el Venado,,Cucuta - Arauca,Douglas C-47A,HK-1393,19053,27,24,3,27,24,3,0,Crashed in the Rubio mountains.</t>
  </si>
  <si>
    <t>11/25/1978,15:55,"Hydaburg, Alaska",Tyee Airlines,,Ketchikan - Hydaburg,de Havilland DHC-2,N37906,0600,5,4,1,5,4,1,0,"Crashed in rain, fog and low ceiling. Continued VFR flight into deteriorating weather conditions."</t>
  </si>
  <si>
    <t>12/04/1978,19:45,"Near Steamboat Springs, Coloado",Rocky Mountain Airways,217,Steamboat Springs - Denver,de Havilland Canada DHC-6 Twin Otter 300,N25RM,387,22,20,2,2,1,1,0,"Forced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</si>
  <si>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12/16/1978,,"Selvapiana, Italy",Air 70,,,Cessna 421 Golden Eagle,I-ASON,,10,9,1,10,9,1,0,</t>
  </si>
  <si>
    <t>12/17/1978,,"Hyderabad, India",Indian Airlines,,,Boeing B-737-2A8,VT-EAL,20485/277,132,126,6,1,1,0,3,"Couldn't climb on takeoff due to non-availability of leading edge slats, overran the runway and killed one passenger and  3 maintenance workers on the ground cutting grass. Nonavailability of leading edge devices immediately after rotation during take off."</t>
  </si>
  <si>
    <t>12/23/1978,00:39,"Off Cinisi, Sicily, Italy",Alitalia,4128,Rome - Palermo,McDonnell Douglas DC-9-32,I-DIKQ,47227/334,129,124,5,108,103,5,0,The aircraft crashed into ocean during a landing approach. Poor monitoring of altitudes and too early a transition from ILS to visual flight procedures.</t>
  </si>
  <si>
    <t>12/28/1978,18:15,"Portland, Oregon",United Air Lines,173,Denver - Portland,McDonnell Douglas DC-8-61,N8082U,45972/357,189,181,8,10,8,2,0,"While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</si>
  <si>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01/15/1979,13:05,"Minsk, Russia",Aeroflot,7502,Tallinn - Minsk,Antonov AN-24N,CCCP46807,67302207,13,9,5,13,8,5,0,The pilot switched off the de-icing system too early during the approach through clouds in icing conditions  which resulted in the aircraft losing longitudinal stability and pitching over and crashed.</t>
  </si>
  <si>
    <t>01/24/1979,19:40,"Bechar, Algeria",Air Algerie,,,Nord 262A-44,7T-VSU,19,23,20,3,14,14,0,0,"Crashed short of the runway on approach. Crew error. Non-compliance with proper procedure, lack of crew coordination, crew fatigue and faulty altimiter."</t>
  </si>
  <si>
    <t>01/27/1979,17:26,"Rodez, France",Air Rouergue,,,Fokker F-27 Friendship 500,F-BYAH,10570,6,4,2,5,3,2,0,Struck a mountain. Failure of the crew to level off at the prescribed altitude either due to inadequate monitoring or an altimeter setting error by confusion between QNH and QFE.</t>
  </si>
  <si>
    <t>01/30/1979,,"125 miles ENE of Tokyo, Japan",Varig,,Tokyo-Los Angeles-Rio de Janeiro,Boeing B-707-326C,PP-VLU,19235/519,6,0,6,6,0,6,0,"Contact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</si>
  <si>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02/08/1979,,"Near Agudos, Brazil",TAM Lineas AÃ©reas Regional,,Bauru - Sao Paulo,Embraer 110C Bandeirante,PP-SBB,100-010,18,16,2,18,16,2,0,Hit trees and burst into flames shortly after taking off.</t>
  </si>
  <si>
    <t>02/12/1979,17:00,"Near Kariba, Rhodesia",Air Rhodesia,,Kariba - Salisbury,Vickers Viscount 748D,VP-YND,101,59,54,5,59,54,5,0,Shot down by rebels with 2 surface-to-air missiles a few minutes after taking off from Kariba.</t>
  </si>
  <si>
    <t>02/12/1979,13:00,"Clarksburg, West Virginia",Allegheny Airlines,561,Clarksburg - Washington DC,Nord 262,N29824,48,25,22,3,2,1,1,0,The plane crashed  inverted shortly after lifting off the ground. The captain's decision to take off with snow on the aircraft's wing and empennage surfaces which resulted in a loss of lateral control and a loss of lift as the aircraft ascended out of ground effect.</t>
  </si>
  <si>
    <t>02/17/1979,13:5,"Manakau Harbor, New Zealand",Air New Zealand,,Gisborne - Auckland -Training,Fokker F-27 Friendship 500,ZK-NFC,10456,4,2,2,2,1,1,0,Flew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</si>
  <si>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02/19/1979,,"Barentu, Ethiopia",Ethiopian Airlines,,,Douglas DC-3,ET-AFW,16681/33429,5,2,3,5,2,3,0,The plane crashed after a bomb exploded aboard.</t>
  </si>
  <si>
    <t>03/01/1979,15:04,"Gulfport, Mississippi",Universal Airways,,Houston - Gulfport - New Orleans,Beech BE-70,N777AE,LB-034,8,7,1,8,7,1,0,The plane failed to maintain flying speed and crashed while attempting to take off.  Improperly loaded aircraft. Nose baggage door opened during takeoff. Flaps inoperative. Improper emergency procedures. Inadequate emergency training.</t>
  </si>
  <si>
    <t>03/10/1979,17:52,"Off Marina del Rey, California",Swift Aire Lines Inc.,235,New York - Santa Monica,Aerospatiale Nord 262A-33,N418SA,41,7,4,3,3,1,2,0,"The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</si>
  <si>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03/14/1979,08:52,"Bejing, China",CAAC,,,Hawker Siddeley Trident 2E,B-274,2172,12,0,12,12,0,12,32,The aircraft crashed into a factory after being stolen and flown by pilot who was not qualified to fly.</t>
  </si>
  <si>
    <t>03/14/1979,23:40,"Near Doha Airport, Qatar",Alia Royal Jordanian Airlines,600,Amman - Doha,Boeing B-727-2D3,JY-ADU,20886/1061,64,49,15,45,41,4,0,"Despite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</si>
  <si>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03/17/1979,19:44,"Near Moscow, Russia",Aeroflot,1691,Moscow - Odessa,Tupolev TU-104B,CCCP-42444,921001,119,113,6,58,57,1,0,The aircarft crashed in freezing rain and fog shortly after taking off. The aircraft was overloaded. The pilot had very little experience flying the aircraft type.</t>
  </si>
  <si>
    <t>03/26/1979,,"Luanda, Angola",Interflug,,Luanda-Berlin,Ilyushin IL-18D,DM-STL,186009402,10,6,4,10,6,4,0,"The cargo plane lost the No. 2 engine on takeoff, overran the runway, crashed into the ILS localizer antenna, broke up and caught fire."</t>
  </si>
  <si>
    <t>03/29/1979,,"Ste. Foy, PQ, Canada",Quebecair,255,Quebec - Montreal,Fairchild F-27,CF-QBL,0047,24,21,3,17,14,3,0,Engine failure shortly after takeoff caused damage so the landing gear could not be retracted and increasing drag during the critical climbout phase. Airspeed slowed until the aircraft crashed.</t>
  </si>
  <si>
    <t>04/14/1979,,"Off Avalon, California",Catalina Airlines,,"San Pedro, CA - Catalina, CA",Grumman G-21 Goose,N11CS,1166,11,10,1,1,1,0,0,"During an attempted go-around, the plane struck boat wakes and crashed. One passenger drowned."</t>
  </si>
  <si>
    <t>04/18/1979,18:23,"Newark, New Jersey",New York Airways,,"Newark, NJ - Flushing, NY",Sikorsky S61-L,N618PA,61426,18,15,3,3,3,0,0,Tail rotor separated in flight shortly after takeoff. The helicopter autorotated and crashed. Fatigue fracture in tail rotor.</t>
  </si>
  <si>
    <t>04/23/1979,,"Near Cuenca, Ecuador",SAETA,,Quito - Cuenca,Vickers Viscount 785D,HC-AVP,329,57,52,5,57,52,5,0,The aircraft disappeared while en route. Wreckage was not discovered for over 5 years.</t>
  </si>
  <si>
    <t>05/25/1979,20:40,"Bullen Point, Alaska",Sea Airmotive,,Bullen Point - Deadhorse,de Havilland Canada DHC-4A Caribou,N581PA,253,3,0,3,3,0,3,0,"The cargo plane crashed in heavy crosswind while attempting to takeoff. Inadequate preflight preparation and/or planning. Pilot in command failed to follow approved procedures,directives,etc. Cargo shifted."</t>
  </si>
  <si>
    <t>05/25/1979,15:04,"Chicago O'Hare, Illinois",American Airlines,191,"Chicago, IL- Los Angeles, CA",McDonnell Douglas DC-10-10,N110AA,46510/22,271,258,13,271,258,13,2,"During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</si>
  <si>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05/27/1979,,"Off Dakar, Senegal",Military - Mauritanian Air Force,,Bouceif - Dakar,de Havilland Canada DHC-5D Buffalo,5T-MAX,088,12,7,5,12,7,5,0,"Crashed into the Atlantic Ocean during a blinding sandstorm. The pilot, unable to land due to the sandstorm headed out to sea for another approach when the accident occurred."</t>
  </si>
  <si>
    <t>05/30/1979,20:55,"Rockland, Maine",Downeast Airlines,46,Boston - Rockland,de Havilland DHC-6-200,N68DE,229,18,16,2,17,15,2,0,"The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</si>
  <si>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06/07/1979,11:00,"Near Leh, India",Military - Indian Air Force,,,Hindustan Aeronautics 748-2M,H2178,572,27,0,27,27,0,27,0,"Crashed near the Karmwal Pass at 16,000 ft. mountain 10 minutes after taking off from Leh."</t>
  </si>
  <si>
    <t>06/17/1979,22:48,"Hyannis, Massachusetts",Air New England,248,"New York, NY - Hyannis, MA",de Havilland Canada DHC-6 Twin Otter 300,N383EX,245,10,8,2,1,0,1,0,"The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</si>
  <si>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07/11/1979,19:00,"Near Medan Airfield, Indonesia",Garuda Indonesia Airlines,,Talang Betutu - Medan,Fokker F-28 Fellowship 1000,PK-GVE,11055,61,57,4,61,57,4,0,"Struck Mt. Sebayak at 5,500 ft. during its approach. Pilot error.The plane was named ""Mamberamo."""</t>
  </si>
  <si>
    <t>07/12/1979,10:20,"Bua, Fiji",Fiji Air Services,,Suva-Nausori - Bua-Dama,Britten Norman BN-2A Trislander,DQ-FBO,195,9,8,1,9,8,1,0,Crashed into a rain forest. Pilot-in-command continuing the flight into conditions where he lost visual reference with the ground which resulted in the aircraft colliding with terrain.</t>
  </si>
  <si>
    <t>07/12/1979,09:32,"Anchorage, Alaska",Soldotna Air Services,,"Anchorage, AK - Kenai, AK",Cessna 402B,N402TH,402B1034,7,6,1,7,6,1,0,Crashed in low ceiling and rain. Fluxgate compass inoperative because of chafed wires.</t>
  </si>
  <si>
    <t>07/23/1979,,"Beirut, Lebanon",Trans Mediterranean Airways,,Training,Boeing 707-327C,OD-AFX,19107/507,6,0,6,6,0,6,0,"On a third practice touch-and-go landing, the plane yawed to the right, stalled and crashed in an inverted attitude."</t>
  </si>
  <si>
    <t>07/24/1979,09:22,"St. Croix, Virgin Islands",Prinair,610,St. Croix - St. Kitts,de Havilland DH-114 Heron,N575PR,14125,21,19,2,8,7,1,0,The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</si>
  <si>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07/31/1979,16:01,"Off Sumburgh, Shetlands, Scotland",Dan Air Services,,,Hawker Siddeley HS-748-1,G-BEKF,1542,47,44,3,17,15,2,0,Crashed into the sea after overrunning the runway while taking off. Locked condition of the elevators which prevented the rotation of the aircraft into a flying attitude. Gust lock became re-engaged during pre- flight check.</t>
  </si>
  <si>
    <t>08/02/1979,,"Canton, Ohio",Private,,,Cessna  501 Citation,N15NY,0110,3,2,1,1,0,1,0,"The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</si>
  <si>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08/03/1979,,"Leningrad, USSR",Aeroflot,,Smolensk -	Leningrad (,LET 410M turbojet,CCCP-67206,760509,14,12,2,14,12,2,0,Crashed due to engine failure on approach.</t>
  </si>
  <si>
    <t>08/04/1979,,"Near Panvel, India",Indian Airlines,,Pune-Bombay,Hindustan Aeronautics 748 2-224,VT-DXJ,515,45,40,5,45,40,5,0,Crashed into the Kiroli Hills while on approach to Bombay at night. Momentary/intermittent loss of electrical contact in the G/S system of aircraft which gave the pilot an erroneous impression of the interception of the glide slope.</t>
  </si>
  <si>
    <t>08/11/1979,13:35,"Near Volgograd, Russia",Aeroflot / Aeroflot,7880/7628,Tashkent - Donetsk - Minsk /Chelyabinsk to Kishinev,Tupolev TU-134A / Tupolev Tu-134A,65735/65816,2351516 / 05040,178,155,13,178,155,13,0,"Midair collision at 27,200 ft. Separation error by air traffic controller. Eight-four killed on the 65735 and 94 on the 65816. Fourteen players and 3 staff members of the Russian soccer team, Pakhtakor Tashkent were killed."</t>
  </si>
  <si>
    <t>08/24/1979,,"Near Enisseysk, USSR",Aeroflot,,Norisk - Krasnoyarsk,Antonov AN-12,CCCP-12963,9346407,16,10,6,11,5,6,0,Crashed into a wooded area after all four engines flamed out. Fuel contamination.</t>
  </si>
  <si>
    <t>08/29/1979,00:26,"Near Kirsanov, Russia",Aeroflot,,	Kiev - Kazan,Tupolev TU-124,CCCP-45038,3351003,63,58,5,63,58,5,0,The aircraft lost control went into a spin and crashed after an uncommanded flap extension at FL270.</t>
  </si>
  <si>
    <t>09/03/1979,01:01,"Andema, Russia",Aeroflot,A-513,Arkhangelsk - 	Amderma,Antonov AN-24,CCCP-46269,77303602,44,37,7,40,35,5,0,The plane undershot the runway and crashed.</t>
  </si>
  <si>
    <t>09/11/1979,,"Off Taipei, Taiwan",China Airlines (Taiwan),,Training,Boeing 707-324C,B-1834,18887/431,6,0,6,6,0,6,0,Crashed into the sea after taking off.</t>
  </si>
  <si>
    <t>09/14/1979,20:47,"Near Klamath Falls, Oregon",Butler Aviation Inc.,-,Redmond - Klamath Falls - Medford,Douglas DC-7,N455SW,44287,12,10,2,12,10,2,0,The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</si>
  <si>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09/14/1979,00:7,"Near Sarroch,  Italy",Aero Transporti Italiani,,Alghero - Cagliari,McDonnell Douglas DC-9-32,I-ATJC,47667/776,31,27,4,31,27,4,0,"The aircraft hit a mountain at an altitude of 2,000 ft. during an approach in poor weather. Crew's misjudgement in selection of a low altitude flight profile and inadequate ATC assistance."</t>
  </si>
  <si>
    <t>09/18/1979,,"Blink Horn Point, Canada",Pacific Coastal Airlines,,:  Comox-Port Hardy,Britten Norman BN-7A lslander,C-FZVV,238,9,8,1,4,8,1,0,Struck high ground in thick fog.</t>
  </si>
  <si>
    <t>09/19/1979,,"Merced, California",Military - U.S. Air Force,,Training,Boeing KC-135A,58-0127,17872/342,5,0,5,5,0,5,0,Crashed while attempting touch and go landings.</t>
  </si>
  <si>
    <t>09/30/1979,13:00,"Porpoise Bay, British Columbia Canada",West Coast Air,,Vancouver - Sechelt,de Havilland Canada DHC-6 Twin Otter 200,C-FWAF,122,16,14,2,2,1,1,0,"The aircraft was on finals when it suddenly turned right and descended in a right wing-down attitude, striking the ground and cartwheeling into trees."</t>
  </si>
  <si>
    <t>10/07/1979,22:15,"Athens, Greece",Swissair,SR316,Zurich - Geneva - Athens - Bombay - Beijing,McDonnell Douglas DC-8-62,HB-IDE,45919/312,156,145,11,14,14,0,0,The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</si>
  <si>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10/08/1979,10:08,"Covington, Kentucky",Comair,,"Covington, KY - Nashville, TN",Piper PA-31,N6642L,31-580,8,7,1,8,7,1,0,The plane crashed after engine failure for undetermined reasons. Improper flap configueration. Plane overloaded. Hurried departure. Inadequate flight training.</t>
  </si>
  <si>
    <t>10/27/1979,07:15,"Lensk, Russia",Aeroflot,,	Lensk -	Peleduy,Antonov An-2TP,CCCP-32322,1G97-34,12,10,2,3,2,1,0,The cargo plane crashed on takeoff. Improper loading.</t>
  </si>
  <si>
    <t>10/31/1979,05:42,"Mexico City, Mexico",Western Airlines,2605,Los Angeles  - Mexico City,McDonnell Douglas DC-10-10,N903WA,46929/107,88,77,11,72,63,9,1,"The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</si>
  <si>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11/15/1979,12:00,"Near Chicago, Illinois",American Airlines,444,Chicago - Washington D.C.,Boeing B-727,,,78,72,6,0,0,0,0,"While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</si>
  <si>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11/16/1979,18:40,"Vologda, Russia",Aeroflot,,Positioning,Yakovlev YAK-40,CCCP-87454,9431136,5,0,5,3,0,3,0,The cargo plane descended below the decision height without having established ground contact and crashed into a wooded area.</t>
  </si>
  <si>
    <t>11/18/1979,04:56,"Granger, Utah",Transamerica Airlines,,"Ogden, UT - Las Vegas, NV",Lockheed L-188CF Electra,N859U,2016,3,0,3,3,0,3,0,"During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</si>
  <si>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11/26/1979,02:03,"Near At Ta'if, Jeddah, Saudi Arabia",Pakistan International Airlines,740,Jeddah - Karachi,Boeing B-707-340C,AP-AWZ,20275/844,156,145,11,156,145,11,0,After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</si>
  <si>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11/28/1979,12:49,"Near Mt. Erebus, Ross Ice Shelf, Antarctica",Air New Zealand,901,Auckland - Christchurch,McDonnell Douglas DC-10-30,ZK-NZP,46910/182,257,237,20,257,237,20,0,"The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</si>
  <si>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11/30/1979,,"San Andres Island, Colombia",Aerolineas La Gaviola,,,Grumman G-21 Goose,HK-2059,1019,9,7,2,9,7,2,0,</t>
  </si>
  <si>
    <t>12/09/1979,,"Cherskiy, Russia",Aeroflot,,,Antonov AN-26,CCCP-26547,2810,7,2,5,7,2,5,0,Shifting cargo caused the pilot to lose control and crash into a hotel.</t>
  </si>
  <si>
    <t>12/12/1979,,"Apolo, Bolivia",CAMBA,,,Martin 404,CP-1440,14114,11,NULL,NULL,10,NULL,NULL,0,</t>
  </si>
  <si>
    <t>12/18/1979,,"Cerro Toledo Mountain, Colombia",SATENA,,Arauca - Bogota,Douglas DC-4 (C-54),FAC-1106,10853,21,16,5,21,16,5,0,Impacted a mountainside at an altitude of 3400 m.</t>
  </si>
  <si>
    <t>12/22/1979,14:00,"Near Puerto Esperanza, Peru",Fuerza AÃ©rea del Peru,,Pucallpa - Puerto Esperanza,de Havilland Canada DHC-5 Buffalo,FAP-348,55,29,24,5,29,24,5,0,Crashed into the jungle on a domestic flight 20 miles from its destination. Severe thunderstorms associated with windshear and  a hurricane is believed to have caused the crash.</t>
  </si>
  <si>
    <t>12/23/1979,,"Ankara, Turkey",Turkish Airlines (THY),,Ankara - Samsun,Fokker F-28 Fellowship 1000,TC-JAT,11071,45,41,4,41,38,3,0,"Crashed into Cubuk Hill in fog, two minutes away from landing at the airport.  The crew had deviated from the localizer course while on an ILS approach in poor weather conditions.The aircraft was named ""Trabzon."""</t>
  </si>
  <si>
    <t>12/23/1979,,"Menari, Papua New Guinea",Douglas Airways,,Port Morsbey - Maanari,GAF Nomad 22B,P2-DNL,039,16,14,2,16,14,2,0,Crashed into the side of a hill after a go-around.</t>
  </si>
  <si>
    <t>01/02/1980,,Haiti,HaÃ¯ti Air Inter,,Port au Prince - Cape Haitien,Britten Norman BN Islander,HH-CNC,474,9,8,1,9,8,1,0,Struck high ground in poor visibility while en route.</t>
  </si>
  <si>
    <t>01/11/1980,01:23,Over the Atlantic Ocean,Private charter,,Shreveport - Baton Rouge,Cessna 441 Conquest,N442NC,,2,1,1,2,1,1,0,"The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</si>
  <si>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01/14/1980,14:00,"Shungnak, Alaska",Ambler Air Service,,"Ambler, AK - Kobuk, AK",Cessna 185A,N1690Z,185-0490,9,8,1,7,6,1,0,Crashed. Continued VFR flight into adverse weather conditions.</t>
  </si>
  <si>
    <t>01/21/1980,19:10,"Elburz Mtns., near Tehran, Iran",Iran Air,,Babol Sar - Tehran,Boeing B-727-86,EP-IRD,19817/537,128,120,8,128,120,8,0,"The aircraft crashed into a mountain during a landing attempt in fog and snow. Inoperative ground radar, inoperative ILS. The aircraft was named ""Shiraz."""</t>
  </si>
  <si>
    <t>01/23/1980,,"Mt. Cemonyet,  Indonesia",Pelita Air Service,,Bandung - Jakarta,CASA 212 Aviocar 100,PK-PCX,45/3N,13,10,3,13,10,3,0,"Hit high ground at 2,700 ft. in poor weather while on approach."</t>
  </si>
  <si>
    <t>01/24/1980,06:20,"Near Mandalay, Burma",Military - Union of Burma Air Force,,Mandalay - Rangoon,Fairchild FH-227H,5003,545,44,NULL,NULL,43,NULL,NULL,0,Crashed into a building while attempting an emergency landing following the loss of one engine.</t>
  </si>
  <si>
    <t>02/03/1980,,"Baracoa, Cuba",Cubana de Aviacon,,Moa - Baracoa,Yakovlev YAK-40,CU-T1219,9840959,37,33,4,1,1,0,0,Crashed while attemping to land.</t>
  </si>
  <si>
    <t>02/21/1980,08:50,"Leeville, Louisiana",Rotor Airs Inc - Air Taxi,,"Leeville, LA - Grand Isle, LA",Sikorsky S-62A,N442Y,62033,7,6,1,6,6,0,0,"The helicopter experienced uncontrollable overspeeding, became airborne, lost power and crashed."</t>
  </si>
  <si>
    <t>02/21/1980,19:09,"Sydney, NSW, Australia",Advance Airlines,,Sydney - Tomora,Beechcraft Super King Air 200,VH-AAV,BB-0245,13,12,1,13,12,1,0,Crashed into a sea wall just 2 feet short of the runway while attemping an emergency landing.</t>
  </si>
  <si>
    <t>02/22/1980,,"Near Agra, India",Military - Indian Air Force,,,Fairchild C-119G,,,47,NULL,NULL,46,NULL,NULL,1,A bicyclist riding on the runway led the pilot to initiate a premature liftoff resulting in a stall. The plane was carrying paratroopers.</t>
  </si>
  <si>
    <t>02/27/1980,06:00,"Manila, Philippines",China Airlines (Taiwan),,Taipei - Manila,Boeing B-707-309C,B-1826,20262/830,135,124,11,2,2,0,0,The aircraft undershot the runway and bounced twice. The two outboard engines broke loose and the wingtips were ripped off. A fire broke out and spread rapidly. Pilot error.</t>
  </si>
  <si>
    <t>03/14/1980,11:00,"Near Warsaw, Poland",LOT Polish Airlines,007,New York City - Warsaw,Ilyushin IL-62,SP-LAA,11004,87,77,10,87,77,10,0,"While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</si>
  <si>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03/14/1980,15:00,"Near Yenice, Turkey",Military - U.S. Air Force,,Training,Lockheed C-130H,74-2064,4659,18,12,6,18,12,6,0,Crashed into hilly terrain after the left wing exploded. Cause unknown. The plane was returning to Incirlik Air Base.</t>
  </si>
  <si>
    <t>03/21/1980,19:49,"Houston, Texas",Eagle Commuter,,Houston - Brownwood,Piper PA-28-180,N55932,28-7305503,10,8,2,7,5,2,0,"The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</si>
  <si>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03/21/1980,,"Off Macae, Brazil",VOTEC,,,Sikorsky S-76,PT-HKB,760008,14,NULL,NULL,14,NULL,NULL,0,Crashed into the sea. Fatigue fracture of the main rotor.</t>
  </si>
  <si>
    <t>04/12/1980,20:40,"Florianopolis, Brazil",Transbrasil,303,Sao Paulo - Florianopolis,Boeing B-727-27C,PT-TYS,19111/297,58,50,8,55,47,8,0,The plane crashed into a hill while landing during a thunderstorm. The pilot misjudged his speed and distance and failed to initiate a go-around. Improper flight supervision and control of the engines.</t>
  </si>
  <si>
    <t>04/14/1980,20:05,"	Krasnoyarsk, Russia",Aeroflot,151,	Krasnoyarsk - Yeniseisk,Antonov An-24B,CCCP-47732,69900905,53,49,4,2,2,0,0,The plane crashed when attempting an emergency landing after the starboard main gear broke on take-off.</t>
  </si>
  <si>
    <t>04/24/1980,,"Posht-i-Badam, Iran",Military - U.S. Air Force,,,Lockheed EC-130E Hercules,62-1809,3770,7,0,7,5,0,5,0,Hit by  a U.S. Marine Corps RH-53D Sea Stallion helicopter during a hostage rescue operation while on the ground.</t>
  </si>
  <si>
    <t>04/25/1980,13:21,"Tenerife, Canary Islands",Dan Air Services,1008,Manchester - Tenerife,Boeing B-727-64,G-BDAN,19279/288,146,138,8,146,138,8,0,"The plane crashed into a mountain 5,500 ft. high at 300 mph during an approach to Tenerife. The pilot, while in a holding pattern, took the aircraft in an area of high ground not maintaining the correct altitude. Lack of communication between the pilot and co-pilot."</t>
  </si>
  <si>
    <t>04/27/1980,06:55,"Don Muang, Thailand",Thai Airways,231,Khon Kaen - Bangkok,Hawker Siddeley HS-748-2,HS-THB,1568,53,49,4,44,40,4,0,"The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</si>
  <si>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06/02/1980,,"Near Yachiba, Bolivia",Lloyd Aereo Boliviano,,Cochabamba-Yacuiba,Fairchild F-27J,CP-1117,0118,13,10,3,13,10,3,0,Crashed in the Tapecua mountains.</t>
  </si>
  <si>
    <t>06/08/1980,15:32,"Near Matala, Angola",Lineas Aereas de Angola,,Jamba-Lubango,Yakovlev YAK-40,D2-TYC,9721753,29,25,4,29,25,4,0,Accidentally shot down by anti-aircraft fire.</t>
  </si>
  <si>
    <t>06/12/1980,13:44,"Near Dushanbe, Russia",Aeroflot,,Leningrad - Dushanbe,Yakovlev YAK-40,CCCP-87689,9910403,29,25,4,29,25,4,0,Deviated from their course to avoid a thunderstorm and crashed into a cloud covered mountain.</t>
  </si>
  <si>
    <t>06/12/1980,15:46,"Valley, Nebraska",Air Wisconsin,965,"Appleton, WI - Minneapolis, MN, - Lincoln, NE",Swearingen 226TC Metro II,N6505,TC-228,15,13,2,13,11,2,0,After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</si>
  <si>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06/27/1980,20:59,"Tyrrhenian Sea,  off Ustica, Italy",Itavia,870,Bologna - Palermo,McDonnell Douglas DC-9-15,I-TIGI,45724/22,81,77,4,81,77,4,0,"Two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</si>
  <si>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07/08/1980,00:39,"Near Alma-Ata, Kazakhstan, USSR",Aeroflot,4225,Alma Ata - Simferopol,Tupolev TU-154B,CCCP-85355,355,166,156,10,166,156,10,0,"The aircraft crashed and burned in a field, two minutes after takeoff reaching a height of only 500 ft. Windshear."</t>
  </si>
  <si>
    <t>08/01/1980,,"Cerro Lilio, Mexico",Aeronaves del Peru,,"Lima, Peu - Mexico City, Mexico",Douglas DC-8-43F,OB-R-1143,45598/57,7,0,7,3,0,3,0,The cargo plane crashed into a mountain in poor visibility.</t>
  </si>
  <si>
    <t>08/06/1980,17:40,"Houma, Louisiana",Air Logistics,,Oil Platform SS-224 - Houma LA,Bell 205A-1 helicopter,N95AL,30203,13,12,1,13,12,1,0,"Crashed after continued VFR flight into adverse weather conditions. No windshield wipers, unreliable attitude indicator and inoperative turn needle."</t>
  </si>
  <si>
    <t>08/07/1980,03:00,"Nouadhibou, Mauretania",Tarom,,Bucurest  - Nouadhibou,Tupolev TU-154B-1,YR-TPH,277,168,152,16,1,1,0,0,"The aircraft touched down in water 1,000 ft. short of the runway."</t>
  </si>
  <si>
    <t>08/19/1980,19:08,"Riyadh, Saudi Arabia",Saudi Arabian Airlines,163,Riyadh - Jeddah,Lockheed 1011-200 TriStar,HZ-AHK,1169,301,287,14,301,287,14,0,"The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</si>
  <si>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08/26/1980,06:29,"Near Jakarta, Indonesia",Bouraq Indonesia Airlines,,Banjarmasin-Sjamsudin Noor  -  Jakarta,Vickers Viscount 812,PK-IVS,353,37,31,6,37,31,6,0,"A section of the tail separated in flight and the aircraft crashed into a swamp. Broken spigot fitting, which is part of  the elevator torque tube assembly. The part was not repaced as required."</t>
  </si>
  <si>
    <t>09/05/1980,,"Near Montelimar, France",Military - Kuwait Air Force,,,Lockheed L-100-20 Hercules,KAF317,4350,8,0,8,8,0,8,0,Crashed after being struck by lightning</t>
  </si>
  <si>
    <t>09/10/1980,,"Puerto Olaya, Colombia",Aeronorte Colombia,,Barranquilla - Bogota,Douglas C-47,HK-329,4404,3,0,3,3,0,3,0,While en route a wing separated from the cargo plane which led to loss of control.  The wing attachment bolts failed in turbulence.</t>
  </si>
  <si>
    <t>09/12/1980,20:58,"Off Freeport, Bahamas",Florida Commuter Airlines,,West Palm Beach - Freeport Grand Bahama Islands,Douglas DC-3,N75KW,4861,34,30,4,34,30,4,0,"The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</si>
  <si>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09/14/1980,,"Kindu, Zaire",Military - Force AÃ©rienne ZaÃ¯roise,,Kindu-Kinshasa,Lockheed Hercules C-130,9T-TCE,4569,36,31,5,36,31,5,0,Crashed on takeoff after losing one engine.</t>
  </si>
  <si>
    <t>09/15/1980,00:05,"Near Medina, Saudi Arabia",Military - Royal Saudi Air Force,RSAF453,,Lockheed C-130E,453,4128,89,81,8,89,81,8,0,Crashed into the desert after taking off. Report of an in-flight fire.</t>
  </si>
  <si>
    <t>09/17/1980,,"Near Kindu, Zaire",Military - Zairean Air Force,,,de Havilland DHC-5 Buffalo,9T-CBA,60,36,34,2,36,34,2,0,Crashed shortly after taking off.</t>
  </si>
  <si>
    <t>09/30/1980,,"Badakshan, Afghanistan",Military - Soviet Air Force,,,Antonov AN-12V,CCCP-11104, 1347710,45,NULL,NULL,45,NULL,NULL,0,Shot down by Afghan guerrilla forces as it prepared to land.</t>
  </si>
  <si>
    <t>11/12/1980,23:53,"Near Cairo, Egypt",Military - U.S. Air Force,,Ramstein AB - Cairo,Lockheed C-141A,67-0030,6281,13,7,6,13,7,6,0,Descended at an excessive sink rate at a banked angle until it crashed to the ground as it prepared to land at Cairo Airport.</t>
  </si>
  <si>
    <t>11/19/1980,07:25,"Seoul, South Korea",Korean Airlines,,Los Angeles-Anchorage-SÃ©oul,Boeing B-747-2B5B,HL-7445,21773/366,226,212,14,15,9,6,0,Undershot runway and crashed while landing in fog. Crew error.</t>
  </si>
  <si>
    <t>11/24/1980,,"Near Medellin, Colombia",F.R. de la Direccion General de Ados,,Bogota-Medellin,Douglas C-47A-35-DL,HK-1221G,9703,20,3,17,20,3,17,0,"The aircraft crashed into a mountain at 9,500 ft. while descending to land. Continued VFR flight in deteriorating weather at low altitude in a mountainous area."</t>
  </si>
  <si>
    <t>11/28/1980,21:35,"Pecos City, Texas",Central Air Services,,,Douglas DC-7B,N816D,45085/714,2,0,2,2,0,2,0,The cargo plane entered a steep bank shortly after takeoff and crashed. Complete engine failure/flameout No.1 engine. Powerplant failure for undetermined reasons. Pilot-in-command  failed to obtain/maintain flying speed. Improper emergency procedures</t>
  </si>
  <si>
    <t>12/05/1980,,"Dar es Salaam, Tanzania",Tanzania Aviation,,Dodoma - Dar es Salaam,Piper PA-42 Cheyenne,5H-TAL,31-7652016,10,9,1,10,9,1,0,The aircraft broke-up in flight in bad weather.</t>
  </si>
  <si>
    <t>12/21/1980,14:23,"Near Rio Hacha, Colombia",Transportes Aereos del Caribe,,Rio Hacha - Medellin,Aerospatiale Caravelle 6R,HK-1810,165,70,63,7,70,63,7,0,A fire and explosion took place 5 minutes after taking off. The explosion was possibly caused by a bomb placed in the rear section of the aircraft.</t>
  </si>
  <si>
    <t>12/23/1980,23:12,"Qatar, Qatar",Saudi Arabian Airlines,,Dhahran - Karachi,Lockheed L-1011-200,HZ-AHJ,1161,291,271,20,2,2,0,0,Two passengers were sucked out of the plane after a tire exploded in the wheel well causing damage to the fuselage.</t>
  </si>
  <si>
    <t>01/14/1981,09:20,"Ramstein AFB, West Germany",Military - U.S. Air Force,,"Ramstein AFB - Oslo, Norway",Lockheed C-130E Hercules,69-6581,4357,11,2,7,11,2,7,0,"Stalled, crashed shortly after taking off."</t>
  </si>
  <si>
    <t>01/20/1981,11:27,"Spokane, Washington",Cascade Airways,201,Moses Lake - Spokane,Beechcraft 99A,N390CA,U-101,9,7,2,7,5,2,0,"During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</si>
  <si>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02/07/1981,18:00,"Near Leningrad, Russia",Military - Soviet Navy,,Leningrad-Vladivostok,Tupolev TU-104A,CCCP-42332,7660402,52,46,6,52,46,6,0,Crashed shortly after taking off approximately 10 miles north of Leningrad.</t>
  </si>
  <si>
    <t>02/11/1981,18:40,"White Plains, New York",Private - Corporate,,"White Plains, NY - Toronto, Canada - White Plains, NY",Lockheed 1339,N520S,,8,6,2,8,6,2,0,"Crashed in rain, fog, windshear.  Pilot distracted as a result of a major electrical system failure. Undetected deviation from flightpath."</t>
  </si>
  <si>
    <t>02/22/1981,11:20,"Avalon, California",Helicopter - Air Taxi,,"San Pedro, CA - Avalon, CA",Sikorsky S-62A,N324Y,62012,8,7,1,2,2,0,0,The main rotor disk failed from a fatigue fracture while attempting to land.</t>
  </si>
  <si>
    <t>02/24/1981,,"Belem, Brazil",VOTEC,,Tucurui - Belem,Embraer 110P Bandeirante,PT-GLB,110-144,14,12,2,11,9,2,0,Crashed into a tug boat and barges while on approach in heavy rain and wind and broke in two.</t>
  </si>
  <si>
    <t>02/26/1981,05:25,Off Tabones Island  Philippines,Military - U.S. Air Force,,Training,Lockheed MC-130E-Y,64-0564,4074,24,15,9,23,15,8,0,"The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</si>
  <si>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03/10/1981,05:00,"Moroni, Comoro Islands",Military - French Naval Aviation,,Moroni-Saint-Denis de la RÃ©union,Dassault-Breguet Atlantique,29,29,18,14,4,18,14,4,0,"As the plane was taking off, one of the engines failed and after climbing to 500 ft., the aircraft plunged to earth and exploded in flames."</t>
  </si>
  <si>
    <t>03/15/1981,24:5,"Shemya AFB, Alaska",Military - U.S. Air Force,,Eielson AFB-Shemya AFB,Boeing RC-135S,61-2664,18340,24,NULL,NULL,6,NULL,NULL,0,Hit the ground short of the runway in snow and fog.</t>
  </si>
  <si>
    <t>03/26/1981,,"Redzikowo, Poland",LOT Polish Airlines,,Varsovie-Slupsk,Antonov AN-24B,SP-LTU,07306007,52,47,5,1,1,0,0,Separation of a propeller blade caused a forced landing resulting the the plane crashing and burining.</t>
  </si>
  <si>
    <t>04/06/1981,,"Laguna Soliz, Bolivia",Urcupina,,,Douglas C-47A,CP-1470,19395,7,4,3,7,4,3,0,The cargo plane flew into the ground while trying to avoid bad weather.</t>
  </si>
  <si>
    <t>04/07/1981,11:36,"Cincinnati, Ohio",Freedom International,,Cincinnati - Detroit,Learjet 23,N400PG,23-068,2,0,2,1,0,1,0,"While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</si>
  <si>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04/17/1981,16:01,"Loveland, Colorado",Air US / Private,716 / -,"Denver, CO - Gillette, WY",Hadley Page 137Jetstream I / Cessna 206,N11360 / N4862F,238,19,15,4,15,12,3,0,"A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</si>
  <si>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04/28/1981,07:45,"Pekanbaru, Indonesia",Private - Airfast Indonesia,,Singapour-Pekanbaru,Douglas C-47A-5-DK,PK-OBK,12209,17,13,4,15,11,4,0,Crashed during final approach. Hudbay Oil Co. charter.</t>
  </si>
  <si>
    <t>04/28/1981,12:31,"	Batagay, Russia",Aeroflot,,	Batagay - 	Lazo,Antonov An-2TP,	 CCCP-92864,1G53-16,12,10,2,12,10,2,0,Crashed into a mountainside. Icing.</t>
  </si>
  <si>
    <t>05/06/1981,10:50,"Near Fredrick, Maryland",Military - U.S. Air Force,,Training,Boeing EC-135N,61-0328,18235,21,3,18,21,3,18,0,"While cruising at FL 210, the pitch trim moved to the full nose-down position. Gravational forces from the resulting dive led to the break-up of the aircraft."</t>
  </si>
  <si>
    <t>05/07/1981,10:53,"Rio de la Plata, Argentina",Austral Lineas Aeras (Argentina),901,Tucuman - Buenos Aires,BAC One-Eleven 529FR,LV-LOX,212,31,26,5,31,26,5,0,The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</si>
  <si>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05/16/1981,,"Near Menongue, Angola",TAAG Angola Airlines,,,Lockheed L-100-20 Hercules,D2-EAS,4830,4,0,4,4,0,4,0,Shot down by a surface-to-air missile.</t>
  </si>
  <si>
    <t>05/21/1981,," Pinarete Mountain, Mexico",Lineas Aereas,,Puerto Escondido-Oaxaca,Convair CV-440-11,XA-KEH,327,24,21,3,24,21,3,0,"Crashed into a mountain at 8,800 feet obscured by clouds."</t>
  </si>
  <si>
    <t>05/22/1981,15:00,"Near Zumba, Ecuador",TAME,,Quito-Macara,de Havilland Canada DHC-6 Twin Otter 300,HC-BAX,457,18,15,3,18,15,3,0,Crashed into a mountain in fog.</t>
  </si>
  <si>
    <t>05/29/1981,,"Cairo, Egypt",Military - Egyptian Air Force,,,Lockheed C-130H Hercules,SU-BAH,4792,17,11,6,17,11,6,0,The aircraft hit the ground shortly after takeoff.</t>
  </si>
  <si>
    <t>06/14/1981,16:22,"Ust-Barguzin, Russia",Aeroflot,498,Ulan - Severomuysk,Ilyushin Il-14,CCCP-41838,147001141,48,44,4,48,44,4,0,The crew informed ATC they could see the field but crashed 30 km from the airport.</t>
  </si>
  <si>
    <t>06/26/1981,18:11,"Nailstone, England",Dan Air Services,,London - East Midlands,Hawker Siddeley HS-748,G-ASPL,1560,3,0,3,3,0,3,0,"The the right rear door  of the cargo plane detached and struck the horizontal tail plane and became lodged on the leading edge. Control was lost, and the aircraft entered a steep dive. During the dive, the wings and tail plane failed due to overstressing."</t>
  </si>
  <si>
    <t>07/18/1981,15:44,"Near Yerevan, Armenia",TAR,,"Tehran, Iran - Larnaca, Cyprus",Canadair CL-44D4-6,LV-JTN,34,4,1,3,4,1,3,0,The cargo plane was brought down after a Soviet fighter jet crashed into the tail of the Canadair. The plane had strayed into Soviet airspace.</t>
  </si>
  <si>
    <t>07/20/1981,,"Mogadishu, Somalia",Somali Airlines,,Mogadishu- Hargeisa,Fokker F-27 Friendship 600RF,6O-SAY,10557,50,44,6,50,44,6,0,Part of the right wing separated from the plane after the aircraft entered an area of heavy rain and severe turbulence and went into a spiral dive 8 minutes after takeoff.</t>
  </si>
  <si>
    <t>07/24/1981,,Madagascar,Air Madagascar,112,Toamasina-Andapa,de Havilland Canada DHC-6 Twin Otter 300,5R-MGB,327,19,17,2,19,17,2,0,Flew into a mountain. Controlled flight into terrain.</t>
  </si>
  <si>
    <t>07/25/1981,,"Caruru, Colombia",Transamazonica,,,Douglas C-53D-DO,HK- 772,11743,9,5,4,5,5,0,0,The aircraft crashed short of the runway while attempting to land after a severe vibration required the crew to shut down the engine and feather the propeller.</t>
  </si>
  <si>
    <t>07/27/1981,,"Chihuahua, Mexico",Aeromexico,230,Monterey - Chihuahua,McDonnell Douglas DC-9-32,XA-DEN,47621/729,66,60,6,32,30,2,0,"While landing in adverse weather conditions, the aircraft landed right of the runway, bounced and struck the ground. The fuselage broke in two and caught fire. Thunderstorms and strong turbulence in the area associated with a tropical air mass."</t>
  </si>
  <si>
    <t>08/22/1981,10:00,"Near Sanyi, Miao-li, Taiwan",Far Eastern Air Transport,103,Taipei - Kaohsiung,Boeing B-737-222,B-2603,19939/151,110,104,6,110,104,6,0,The aircraft experienced in-flight structural failure. Severe corrosion in belly of plane led to a pressure hull rupture and disintegration of the plane.</t>
  </si>
  <si>
    <t>08/24/1981,09:21,"Near Zavitinsk, Russia",Aeroflot / Military - Russian Air Force,811,Komsomol'sk-na-Amure - Blagoveshchensk,Antonov AN-24RV / Soviet Air Force TU-16,CCCP-46653,47309204,32,27,5,31,26,5,0,"Midair collision with a Soviet Air Force TU-16. The only surviving passenger, a 20 year old woman was found in a forest 3 days later. Poor communication between civilian and military ATCs."</t>
  </si>
  <si>
    <t>08/27/1981,15:45,"Mt. Elena, Colombia",Aeropesca Colombia,,Florence - Neiva,Vickers Viscount 745D,HK-1320,112,50,44,6,50,44,6,0,Crashed in the jungle on a mountain peak. Flying VFR in meteorological conditions below minima.</t>
  </si>
  <si>
    <t>08/29/1981,20:30,"Zeya, Russia",Aeroflot,674,Chita - Zeya,Yakovlev YAK-40,CCCP-87346,9511539,34,29,5,3,1,2,0,"Flew into trees short and to the right of the runway, crashed and caught fire. Crew descended below minimums without visual contact with the ground."</t>
  </si>
  <si>
    <t>09/02/1981,,"Paipa, Colombia",Aereo el Venado,,Paipa - Cartagena,Embraer 110P1 Bandeirante,HK-2651,110206,22,19,3,21,18,3,0,The aircraft was unable to gain altitude upon taking off. After turning left the plane struck a hill. Overloaded.</t>
  </si>
  <si>
    <t>09/18/1981,07:13,"Zeleznogorsk, Russian",Aeroflot /Military - Russian,V-652,Irkutsk - Zeleznogorsk,Yakovlev YAK-40 / Mil Mi-8,CCCP-87455,9431236,40,29,11,40,29,11,0,Midair collision with a military Mi-8 helicopter (CCCP-22268). Thirty-three killed aboard the Yak-40.</t>
  </si>
  <si>
    <t>09/21/1981,,"Nellis AFB, Nevada",Military - U.S. Air Force,USAF672,"Fort Lewis, WA - Indian springs, NV",Lockheed C-130H Hercules,74-1672,4623,70,61,9,7,7,0,0,Crashed short of the runway. The plane was carrying infantry troops.</t>
  </si>
  <si>
    <t>09/22/1981,12:00,"Near Babaeski, Turkey",Military - Turkish Air Force,,,Northrop F-5A,,,0,0,0,0,0,0,40,The fighter crashed into a village after the pilot ejected from the plane.</t>
  </si>
  <si>
    <t>09/29/1981,19:00,"Tehran, Iran",Military - Iranian Air Force,IIAF552,Ahwaz - Tehran,Lockheed C-130H,5-158-8552,4594,80,75,5,60,75,5,20,Crashed into Tir Square while on approach to land. Killed were Iran's Defense Minister and other military officals.</t>
  </si>
  <si>
    <t>10/01/1981,15:00,"Casper, Wyoming",Sky Train Air,,"Casper, WY - McAllen, TX",Learjet 24,N44CJ,24-146,3,1,2,3,1,2,0,"A loss of control, possibly initiated by an unexpected encounter with moderate to severe clear air turbulence, which caused the aircraft to depart the narrow flight envelope boundaries in which it was operating and from which recovery was not effected."</t>
  </si>
  <si>
    <t>10/06/1981,17:12,"Moerdijk, Netherlands",NLM (Nederlandse Luchtvaart Maatschappij),HN431,Rotterdam - Eindhoven - Hamburgh,Fokker F-28 Fellowship 4000,PH-CHI,11141,17,13,4,17,13,4,0,The aircraft entered an area of severe turbulence and a tornado which resulted in the separation of the right wing and in-flight break up.</t>
  </si>
  <si>
    <t>10/15/1981,,"Kufstein, Austria",Oefag Flugdienst,,Salzbourg-Olbia,Cessna 404 Titan,OE-FCT,404-0680,9,NULL,NULL,9,NULL,NULL,0,Crashed into a mountain.</t>
  </si>
  <si>
    <t>10/26/1981,18:24,"St. Thomas, U.S. Virgin Islands",Aerolineas Argo,,Saint Croix - Saint Thomas,Lockheed L-749A Constellation,HI-328,2607,5,2,3,5,2,3,0,After executing a turn to avoid traffic the cargo plane struck the ocean. Pilot misjudged the altitude and clearance.</t>
  </si>
  <si>
    <t>10/31/1981,,"Bafoussam, Cameroon",Cameroon Airlines,,,de Havilland Canada DHC-6 Twin Otter 300,TJ-CBC,416,24,22,2,1,1,0,0,"The aircraft took off, lost altitude, settled back on the runway and overshot the runway. The aircraft was overloaded. Other factors were the pilot misjudged the distance and speed during the takeoff and lack of proper pre-flight planning."</t>
  </si>
  <si>
    <t>11/08/1981,,"Sierra de Guerro, Mexico",Aeromexico,,Acapulco - Guadalajara,McDonnell Douglas DC-9-32,XA-DEO,47622/753,18,12,6,18,12,6,0,The flight struck a mountain during an emergency descent due to explosive decompression. Crew's failure to follow approved emergency procedures.</t>
  </si>
  <si>
    <t>11/16/1981,19:30,"Norilsk, Russia",Aeroflot,,Krasnoyarsk - Norilsk,Tupolev TU-154B-2,CCCP-85480,81A-480,167,160,7,99,95,4,0,The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</si>
  <si>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11/19/1981,,"Biratnagar, Nepal",Royal Nepal Airlines,,Biratnagar-Katmandou,Pilatus PC-6/B2-H2 Turbo-Porter,9N-ABJ,746,10,9,1,10,9,1,0,Crashed after takeoff.</t>
  </si>
  <si>
    <t>11/30/1981,,"Castries, Saint Lucia Island",Guyana Airways,,Castries-Miami,Douglas DC-6A,N3486F,43683/305,3,0,3,3,0,3,0,Engine failed during takeoff. The cargo plane crashed while returning to the field.</t>
  </si>
  <si>
    <t>12/01/1981,08:53,"Mt. San Pietro, near Ajaccio, Corsica, France",Inex Adria Aviopromet (Yugoslavia),JP1308,Ljubljana - Ajaccio,McDonnell Douglas MD-81,YU-ANA,48047/998,180,173,7,180,173,7,0,The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</si>
  <si>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12/05/1981,19:08,"Honolulu, Hawaii",Private - Parajump air show,,"Haliive, HI  - Honolulu, HI",Beech C-45H,N8185H,AF-381,12,11,1,11,10,1,0,"Crashed into the water. Improperly loaded aircraft, weight and center of gravity."</t>
  </si>
  <si>
    <t>12/16/1981,,"Kuala Belait, Brunei",Bristow Helicopters,,,Aerospatiale Puma,9M-SSC,1481,12,NULL,NULL,12,NULL,NULL,0,Crashed into the sea.</t>
  </si>
  <si>
    <t>12/18/1981,13:06,"Near Covenas, Colombia",ACES Colombia,,Medellin-Monteria-Covenas,de Havilland Canada DHC-6 Twin Otter 300,HK-2217,609,13,11,2,13,11,2,0,Struck high ground.</t>
  </si>
  <si>
    <t>01/07/1982,,"Near Gelendzhik, USSR",Aeroflot,,Novorossiysk - Sukhumi,LET  410M Turbojet,CCCP-67290,781101,18,16,2,18,16,2,0,The aircraft crashed into high ground 22 km from the airport. Continued VFR flight into IFR condtions.</t>
  </si>
  <si>
    <t>01/13/1982,16:01,"Washington, D.C.",Air Florida,90,"Washington D.C. - Fort Lauderdale, FL",Boeing B-737-222,N62AF,19556/130,79,74,5,74,70,4,4,"The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</si>
  <si>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01/14/1982,,"Near Addis Ababa, Ethiopia",Military - Ethiopian Air Force,,,Antonov AN-26,71383,,73,67,6,73,67,6,0,Shot down by rebel forces.</t>
  </si>
  <si>
    <t>01/23/1982,19:36,"Logan Airport,  Boston, Massachusetts",World Airways,30H,Newark - Boston,McDonnell Douglas DC-10-30CF,N113WA,47821/320,212,200,12,2,2,0,0,"While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</si>
  <si>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01/25/1982,,"Constanta, Romania",Tarom,,Training,Antonov An-24RV,YR-BMD,57310202,7,0,7,7,0,7,0,A malfunction of the No. 1 engine feathering system caused the aircraft to lose control and crash.</t>
  </si>
  <si>
    <t>02/03/1982,07:30,"Djibouti, Djbouti",Military - French Air Force,,Training,Nord 2501 Noratlas,140/88JA,140,35,30,5,35,30,5,0,Crashed into a mountain before a planned paratroop drop.</t>
  </si>
  <si>
    <t>02/06/1982,15:00,"Island of Cheju, South Korea",Military - Republic of South Korea Air Force,,Seoul - Jeju,Fairchild C-123,,,53,47,6,53,47,6,0,Crashed into Mt. Halla while on approach to land in poor weather. Possible microburst windshear.</t>
  </si>
  <si>
    <t>02/07/1982,,"Near Srinagar, India",Military - Indian Air Force,,Pathankot-Srinagar,Fairchild C-119G,,,23,18,5,23,18,5,0,Crashed in dirzzle and snow while en route.</t>
  </si>
  <si>
    <t>02/09/1982,,"Mt. Ipao, Philippines",Trans Air Services,,Manila - Sicogon,Douglas DC-3 (C-47A-70-DL),RP-C141,19251,32,29,3,3,1,2,0,Struck Mt. Ipao on Panay Island.</t>
  </si>
  <si>
    <t>02/09/1982,08:47,"Tokyo, Japan",Japan Air Lines,350,Fukuoka - Tokyo,McDonnell Douglas DC-8-61,JA-8061,45889/291,174,166,8,24,24,0,0,"The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</si>
  <si>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02/19/1982,,"Cerro el Tablazo, Colombia",LAC Columbia,,,Douglas DC-6BF,HK-1706,44168/431,4,0,4,4,0,4,0,The cargo plane crashed into high ground while on apporach to land.</t>
  </si>
  <si>
    <t>02/21/1982,15:33,"Providence, Rhode Island",Pilgrim Airlines,458, New York City - Bridgeport - New Haven - Groton - Boston,de Havilland DHC -6-100,N127PM,105,12,10,2,1,1,0,0,The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</si>
  <si>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03/11/1982,13:26,"Mehamn, Norway",Wideroe's Flyveselksap,933,Berlevag - Mehamn,de Havilland Canada DHC-6 Twin Otter 300,LN-BNK,568,15,13,2,15,13,2,0,"The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</si>
  <si>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03/19/1982,21:10,"Near Woodstock, Illinois",Military - U.S. Air Force,,Sawyer-Chicago,Boeing KC-135C,58-0031,17776,27,23,4,27,23,4,0,"Crashed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</si>
  <si>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03/19/1982,10:30,"Leesburg, Florida",Private,,None,Beechcraft Bonanza F35,N567LT,D-4114,3,2,1,3,2,1,0,"Randy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</si>
  <si>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03/20/1982,,"Branti Airport, Indonesia",Garuda Indonesia Airlines,,Bogota-Saravena,Fokker F-28 Fellowship 1000,PK-GVK,11078,27,23,4,27,23,4,0,"The plane overran the runway in heavy rain, crashed into a field and burned while attemping to land."</t>
  </si>
  <si>
    <t>03/26/1982,,"Queate, Colombia",Aeropesca Colombia,,Villavicencio - Bogota,Vickers Viscount 745D,HK-2382,212,21,15,6,21,15,6,0,Crashed into a mountain during poor weather conditions.</t>
  </si>
  <si>
    <t>04/11/1982,17:35,"Near Tanana, Alaska",Air Taxi - Tundra Copters,,Banddanack - Fairbanks,Hughes 369D,N11058,210901D,3,2,1,3,2,1,0,The helicopter crashed on a snow covered mountain slope in a steep left bank in overcast and snow showers. Continued VFR flight into IFR conditons.</t>
  </si>
  <si>
    <t>04/13/1982,14:40,"Near Erzurum, Turkey",Military - U.S. Air Force,,Erzurum - Incirlik,Lockheed C-130H,74-1678,4645,27,19,8,27,19,8,0,Failure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</si>
  <si>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04/26/1982,16:45,"Near Yangshuo, Guangxi, China",CAAC,3303,Guangzhou - Guilin,Hawker Siddeley Trident 2E,B-266,2170,112,104,8,112,104,8,0,The aircraft struck a mountain in heavy rain during a landing attempt.</t>
  </si>
  <si>
    <t>04/30/1982,,Gulf of Thailand,Okanagan Helicopters,,,Sikorsky S-76,C-GIMF,760038,13,NULL,NULL,13,NULL,NULL,0,The helicopter crashed under unknown circumstances.</t>
  </si>
  <si>
    <t>05/09/1982,,"Off Aden, Yemen",Alyemda,,Mukalla - Aden,de Havilland Canada DHC-7-103,7O-ACK,015,49,45,4,47,45,2,0,Crashed into the ocean during an approach 2 km short of the runway.</t>
  </si>
  <si>
    <t>05/12/1982,,"Judsonia, Arkansas",Military - U.S. Air Force,,Training,Lockheed C-130E Hercules,64-0543,4033,7,0,7,7,0,7,0,Lost a wing and crashed.</t>
  </si>
  <si>
    <t>05/19/1982,19:15,South Atlantic Ocean,Military - Royal British Navy,,,Westland Sea King HC-4 (helicopter),ZA-294,,30,NULL,NULL,21,NULL,NULL,0,"The helicopter, carrying troops from one ship to another during the Falkland Islands war, crashed into the Atlantic Ocean. Possible bird strike or component failure."</t>
  </si>
  <si>
    <t>05/25/1982,,"Brazilia, Brazil",VASP,,Sao Paulo - Brasilia,Boeing B-737-200,PP-SMY,20907,118,112,6,2,2,0,0,The aircraft broke in two after a hard landing. The pilot's misuse of rain repellant caused an optical illusion.</t>
  </si>
  <si>
    <t>05/28/1982,,"Off Natuma Island, Indonesia",Pelita Air Service,,,Aerospatiale 330G Puma,PK-PDU,1258,10,NULL,NULL,10,NULL,NULL,0,The helicopter crashed into the sea.</t>
  </si>
  <si>
    <t>06/01/1982,14:40,"Near Songnam-si, South Korea",Military - Republic of South Korea Air Force,,Training,Fairchild C-123,56-4391,,53,49,4,53,49,4,0,Crashed in poor weather conditions after taking off with paratroopers.</t>
  </si>
  <si>
    <t>06/08/1982,02:25,"Near Pacatuba, Brazil",VASP,168,Rio de Janerio - Fortaleza,Boeing B-727-212A,PP-SRK,21347/1282,137,128,9,137,128,9,0,"The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</si>
  <si>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06/12/1982,,"Tabatinga, Brazil",TABA,,Eirunepe - Tabatinga,Fairchild-Hiller FH-227B-LCD,PT-LBV,536,44,40,4,44,40,4,0,The plane crashed into the tower during an approach in adverse weather conditions.</t>
  </si>
  <si>
    <t>06/22/1982,04:34,"Bombay, India",Air India,,Kuala Lumpur - Mumbai,Boeing B-707-437,VT-DJJ,17723/100,111,99,12,17,15,2,0,"The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</si>
  <si>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06/24/1982,20:44,"Mount Galunggung, Indonesia",British Airways,009,Kuala Lampur - Perth,Boeing B-747,G-BDXH,21635/365,257,247,10,0,0,0,0,"The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</si>
  <si>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06/28/1982,10:49,"Southern Belarus, USSR",Aeroflot,8641,Leningrad - Kiev,Yakovlev YAK-42,CCCP-42529,8040104,132,124,8,132,124,8,0,"From an altitude of 30,000 ft., a malfunction occurred causing the aircraft to crash 125 miles from its destination. In-flight failure and jamming of stabilizer screw-jack mechanism due to wear."</t>
  </si>
  <si>
    <t>07/03/1982,,"Oganda, Gabon",Air Affaires Gabon,,BoouÃ©-NdjolÃ©-Libreville,Cessna 404 Titan,TR-LYQ,404--425,12,NULL,NULL,12,NULL,NULL,0,</t>
  </si>
  <si>
    <t>07/06/1982,00:35,"Near Moscow, Russia",Aeroflot,411,	Moscow - 	Dakar,Ilyushin IL-62M,CCCP-86513,4037536,90,80,10,90,80,10,0,The aircraft crashed and burned in field shortly after takeoff. Failure of the aircraft's power plant fire warning system due to design deficiencies which resulted in false fire indications in both engines.</t>
  </si>
  <si>
    <t>07/09/1982,16:09,"Kenner, Louisiana",Pan American World Airways,759,New Orleans - Las Vegas,Boeing B-727-235,N4737,19457/518,145,138,7,145,138,7,8,"The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</si>
  <si>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07/11/1982,,"Jolo, Philippines",Philippine Air Lines,480, Jolo-Kota Kinabalu,Hawker Siddeley HS-748-209 Srs. 2,RP-C1014,1636,30,25,5,4,3,1,0,Takeoff was aborted at V1 when the crew heard unusual sounds from the No.1 engine. The aircraft overran the runway and came to rest against a wall and some vehicles. Misjudged speed and distance and delayed action in aborting the takeoff.</t>
  </si>
  <si>
    <t>07/23/1982,02:30,"Castaic, California",Western Helicopter,,Movie set,Bell UH-1B Huey Helicopter,N87701,6414038,1,0,1,0,0,0,3,"During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</si>
  <si>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08/11/1982,,Pacific Ocean,Pan American World Airways,PA830,Tokyo - Honolulu,Boeing B-747-121,N754PA,19658/47,285,270,25,1,1,0,0,"A sixteen-year-old boy was killed when a bomb detonated under a seat cushion. The explosion caused minor damage and the plane landed safely at Honolulu. The bomb was placed onboard by Mohammed Rashed, a Jordanian terrorist with the May 15 Organization."</t>
  </si>
  <si>
    <t>08/12/1982,,"Mindat, Myanmar",Burma Airways,,,de Havilland Canada DHC-6 Twin Otter 300,XY-AEB,501,8,5,3,8,5,3,0,Hit high ground in poor weather.</t>
  </si>
  <si>
    <t>08/14/1982,09:00,"Near Managua, Nicaragua",Military - Nicaraguan Air Force,,Managua - El Rodeo,Arava 201,223,006,20,18,2,20,18,2,0,Rolled to the right and crashed from an altitude of 500 ft. shortly after becoming airborne.</t>
  </si>
  <si>
    <t>08/14/1982,17:07,"Sukhumi, Georgia, USSR",Aeroflot / Aeroflot,,Sukhumi - Kutaisi,Let 410UVP Turbojet / Tupolev TU-134V,67191 / 65836,781120 / 17113,11,9,2,11,9,2,0,Ground collision. Eleven killed on the LET and none on the Tupolev.</t>
  </si>
  <si>
    <t>09/01/1982,,"Near Valladolid, Ecuador",Aerolineas Condor,,Zumba - Loja,de Havilland Canada DHC-4A Caribou,HC-BHZ,249,44,41,3,44,41,3,0,Flew into a mountain in the Andes after the pilot became disoriented in a low ceiling.</t>
  </si>
  <si>
    <t>09/04/1982,,"Rio Branco, Brazil",Cia Brasiliera de Tratores,,Porto Velho - Rio Branco,Gates Learjet 25B,PT-JBQ,25B-119,10,8,2,10,8,2,0,The plane ran out of fuel on the third approach in poor weather.</t>
  </si>
  <si>
    <t>09/11/1982,12:50,"Near Mannheim, West Germany",Military - U.S. Army,,,Boeing Vertol CH-47C (helicopter),74-22292,,46,42,4,46,42,4,0,Crashed helicopter experiencing catastrophic mechanical failure and separation of one of the rotors. The aircraft was carrying French and German sky divers as part of Mannheim's 375 birthday celebration. Bearing failure in the forward transmission pack.</t>
  </si>
  <si>
    <t>09/13/1982,12:00,"Near Malaga, Spain",Spantax,995,Malaga - New York City,McDonnell Douglas DC-10-30CF,EC-DEG,46962/238,394,381,13,50,47,3,0,The aircraft crashed during takeoff after intense vibration caused by a blown retreaded tire. The crew aborted the takeoff above VR and overran the runway. They also  failed to apply reverse thrust symmetrically.</t>
  </si>
  <si>
    <t>09/29/1982,19:23,"Luxembourg, Luxembourg",Aeroflot,343,Moscou-Luxembourg-La Havane-Lima,Ilyushin IL-62M,CCCP-86470,72503,77,66,11,7,NULL,NULL,0,"The aircraft swerved to the right after landing, sideswiped a water tower, crashed into a building and continued into a revine where it exploded and burned. Failure of the control mechanism on the No.1 engine reverser."</t>
  </si>
  <si>
    <t>11/17/1982,,Off Taiwan,Far Eastern Air Transport,,,Bell 212,B-2311,30575,15,NULL,NULL,15,NULL,NULL,0,The helicopter crashed into the sea.</t>
  </si>
  <si>
    <t>11/29/1982,,"Lubango, Angola",TAAG Angola Airlines,,,Antonov AN-26,D2-TAB,4607,15,9,6,15,9,6,0,Flew into a mountain while descending for a landing.</t>
  </si>
  <si>
    <t>11/29/1982,,"Quetame, Colombia",Aerolineas Centrales de Colombia,,San Jose del Guaviare - BogotÃ¡,de Havilland Canada DHC-6 Twin Otter 310,HK-2536,713,22,20,2,22,20,2,0,"Crashed into a mountain. Flying under VFR in IFR conditions, navigation error and lack of adequate training."</t>
  </si>
  <si>
    <t>12/07/1982,19:07,"Near Pueblo, Colorado",Pioneer Airlines,,"Sante Fe, NM - Pueblo, CO",Swearingen SA.227AC Metro III,N30093,AC-449,2,0,2,2,0,2,0,The cargo plane flew into a hill while descending to land. The pilot may have had a physical imparement.</t>
  </si>
  <si>
    <t>12/09/1982,13:27,"La Serena, Chile",Aeronor Chile,304,Santiago - La Serena,Fairchild F-27J,CC-CJE,0063,46,42,4,46,42,4,0,"While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</si>
  <si>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12/09/1982,14:30,"Near San Andres de Bocay, Nicaragua",Military - Nicaraguan Air Force,,,Mil Mi-8 (helicopter),265,,88,84,4,84,84,0,0,The helicopter was shot down by Sandinistan rebels.</t>
  </si>
  <si>
    <t>12/23/1982,20:44,"Rostov-on-Don, Russia",Aeroflot,,Rostov-on-Don - Krasnovodsk,Antonov AN-26,CCCP-26627,5208,16,0,16,16,0,16,0,"Inadequate and untimely actions of the crew in retracting  the flaps after takeoff, which resulted in severe loss of height and collision with obstacles. Overloaded,"</t>
  </si>
  <si>
    <t>12/24/1982,17:10,"Guangzhou, China",CAAC,,Changsha-Canton,Ilyushin IL-18B,B-202,189001401,69,58,11,25,25,0,0,A passenger's cigarette caused a fire in the cabin which led to an oxygen tank exploding.</t>
  </si>
  <si>
    <t>01/09/1983,,"Brainerd, Minnesota",46826/109,927,Minneapolis-St Paul - Brainerd,Convair 580-11A,N844H,327A,33,30,3,1,1,0,0,"The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</si>
  <si>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01/11/1983,02:50,"Detroit, Michigan",United Air Lines,2885,Detroit - Los Angeles,McDonnell Douglas DC-8-54F37,N8053U,46010/406,3,0,3,3,0,3,0,"After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</si>
  <si>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01/16/1983,22:30,"Ankara, Turkey",Turkish Airlines (THY),,Paris-Tripoli-Istanbul-Ankara,Boeing B-727-2F2,TC-JBR,21603/1389,67,60,7,47,47,0,0,"The flight originated in Tripoli and stopped in Istanbul before beginning a 40-minute flight to Ankara's Esenboga Airport. The aircraft crashed short of the runway in fog, snow and poor visibility. Windshear."</t>
  </si>
  <si>
    <t>02/13/1983,,"Fayetteville, North Carolina",Military - U.S. Air Force,,,Lockheed C-130H Hercules,74-1693,4693,6,0,6,6,0,6,0,An overheated APU led to a fire and loss of control of the aircraft.</t>
  </si>
  <si>
    <t>03/09/1983,,"Off Macae, Brazil",Aeroleo Taxi Aereo,,,Bell 212,PT-HJN,30761,11,NULL,NULL,11,NULL,NULL,0,Crashed into the sea.</t>
  </si>
  <si>
    <t>03/10/1983,,"Near Shach Goan, Afghanistan",Bakhtar Afghan Airlines,,Uruzgan-Kaboul,de Havilland Canada DHC-6 Twin Otter 300,YA-GAZ,395,19,17,2,19,17,2,0,"Pilot decided to climb and continue to fly VFR in deteriorating weather. The plane crashed in an area of rain, turbulence and thunderstorms. Continued VFR flight in poor weather and a physical impairment due to lack of oxygen when flying at high altitude."</t>
  </si>
  <si>
    <t>03/11/1983,07:00,Barquisimeto Venezuela,Avensa,,Caracas - Barquisimeto,McDonnell Douglas DC-9-32,YV-67C,47025/106,50,45,5,23,22,1,0,"The aircraft landed past the runway threshold, experienced a hard landing in fog, slid off the runway and broke up. Improper in-flight decisions and inadequate supervision of the flight."</t>
  </si>
  <si>
    <t>03/30/1983,05:14,"Newark, New Jersey",Central Airlines,,Chicago - Newark,Learjet 25,N51CA,25-030,2,0,2,2,0,2,0,"While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</si>
  <si>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04/07/1983,14:55,"Selawik, Alaska",Munz Northern Airlines,601,Nome - Ambler,Britten-Norman BN-2A-8 Islander,N37MN,558,3,2,1,2,1,1,0,Lost control of the aircraft and crashed in a snow storm. Continued VFR flight in IFR conditions.</t>
  </si>
  <si>
    <t>04/16/1983,,"Near Khartoum, Sudan",Air Liberia,,Khartoum-Monrovia,Hawker Siddeley HS-748-329 Srs. 2A,EL-AIH,1755,9,6,3,8,5,3,9,The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</si>
  <si>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04/19/1983,18:09,"Leninakan, Russia",Aeroflot,E-46,Nalchik - Leninakan,Yakovlev YAK-40,CCCP-87291,9320628,21,17,4,21,17,4,0,The crew deviated from course while descending to land. Navigational error. ATC procedural error in not identifying the planes position.</t>
  </si>
  <si>
    <t>04/19/1983,07:20,"Near Toba, Japan",Japan Air Self-Defence Force,,Training,Kawasaki C-1 / Kawasaki C-1,58-1009/68-1015,8009/8015,14,NULL,NULL,14,NULL,NULL,0,"Both aircraft, flying in tandem, crashed into the side of a mountain. A third aircraft brushed trees and managed to remain airborne."</t>
  </si>
  <si>
    <t>04/26/1983,17:37,"Iwakuni AB, Japan",Military - Japan Maritime Self Defense Force,NKJ801,Training,Shin Meiwa PS-1,5801,1001,14,0,14,11,0,11,0,Crashed near an ammo depot.</t>
  </si>
  <si>
    <t>04/29/1983,15:10,"Guayaquil, Ecuador",SAN Ecuador,832,Guayaquil - Quito,Sud Aviation SE-210 Caravelle VIR,HC-BAT,125,100,94,6,8,7,1,0,One of the aircraft's engines failed shortly after takeoff and the plane landed heavily on muddy ground and broke in three.</t>
  </si>
  <si>
    <t>04/30/1983,12:09,"Jacksonville, Florida",Military - United States Navy,,"Jacksonville NAS - Guantanamo Bay, Cuba",Convair CV-340,141010,293,15,9,6,15,98,6,0,"Crashed into St. John's River just shy of the Jacksonville Naval Air Station's main runway. Shortly after takeoff, one of the engines burst into flames and the crew was trying to make it back to the air station."</t>
  </si>
  <si>
    <t>05/05/1983,10:20,"Near Ban Ta Khli, Thailand",Military - Royal Thai Air Force,,,Fairchild C-123K,L4K-12/18,20227,30,24,6,30,24,6,0,The aircraft was preparing to land at Ban ta Khli Air Base when it was waved off because the runway was not clear. The plane plunged to earth 700 ft. past the runway. Engine failure was suspected.</t>
  </si>
  <si>
    <t>05/05/1983,09:15,"En route Miami, FL - Nassau, Bahamas",Eastern Air Lines,855,"Miami, FL - Nassau, Bahamas",Lockheed L-1011,N334EA,1141,172,162,10,0,0,0,0,"Procedural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</si>
  <si>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05/06/1983,,"Klyuchi, Russia",Military - Soviet Air Force,,Petropavlovsk-Kamchatsky - Klyuchi,Antonov An-26,,,37,31,6,33,37,6,0,The flight tried to land at Klyuchi Air Base in below-minima weather conditions with heavy snowfall at night.</t>
  </si>
  <si>
    <t>06/02/1983,08:50,"Tanjung Karang, Indonesia",Garuda Indonesia Airlines,,Bandar Lampung-Djakarta,Fokker F-28 Fellowship 3000RC,PK-GFV,11132,61,57,4,3,1,2,0,The aircraft failed to gain altitude and overran the runway. Crew did not follow checklist procedures.</t>
  </si>
  <si>
    <t>06/02/1983,19:20,"Cincinnati International Airport, Covington/Hebron, Kentucky",Air Canada,797,Dallas-Fort Worth - Toronto,McDonnell Douglas DC-9-32,C-FTLU,47196/278,46,41,5,23,23,0,0,"The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</si>
  <si>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06/06/1983,12:40,"Off Quemoy, Taiwan",Military - Republic of China Air Force,,Kinmen-Taipei,Fairchild C-199G,,,47,39,8,47,39,8,0,The domestic flight crashed into the Formosa Strait after the right engine caught fire shortly after taking off.</t>
  </si>
  <si>
    <t>06/08/1983,13:55,"Near Cold Bay, Alaska",Reeve Aleutian Airways,8,"Cold Bay, Alaska - Seattle, Washington",Lockheed L-188C Electra,N1968R,2007,15,10,5,0,0,0,0,"After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</si>
  <si>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06/16/1983,04:00,"Kauai, Hawaii",Military - U.S. Navy,,Brabers Point-Barbers Point,Lockheed P-3B Orion,152720,185-5160,14,0,14,14,0,14,0,Crashed into a mountain</t>
  </si>
  <si>
    <t>06/21/1983,,"Niela, Mali",Air Mali,,,de Havilland Canada DHC-6 Twin Otter 300,TZ-ACH,394,7,5,2,7,5,2,0,Crashed under unknown circumstances</t>
  </si>
  <si>
    <t>06/28/1983,12:10,"Las Vegas, Nevada",Military - U.S. Air Force,,Training,Lockheed C-130H Hercules,74-2068,4694,6,1,5,6,1,5,0,While flying at a low level during the aircraft stalled and crashed.</t>
  </si>
  <si>
    <t>07/01/1983,,"Labe, Guinea",CAAK,,Pyongyang - Conakry,Ilyushin IL-62M,B-889,21391,23,NULL,NULL,23,NULL,NULL,0,Crashed into Fouta Djall Mountain.</t>
  </si>
  <si>
    <t>07/11/1983,07:40,"Near Cuenca, Azuay, Ecuador",TAME,,Quito - Cuenca,Boeing B-737-2V2,HC-BIG,22607/775,119,111,8,119,111,8,0,"The jetliner scraped a mountian peak, exploded in flames and slid down a ravine coming to rest at the foot of a mountain. The plane was attempting to land in the Andean city of Cuenca. Under-qualification of pilot."</t>
  </si>
  <si>
    <t>07/16/1983,,"Off Scilly Islands, UK",British Airways Helicopters,,Penzance - Scilly Islands,Sikorsky S-61N-II,G-BEON,61-770,26,23,3,20,19,1,0,Crashed into the English Channel.</t>
  </si>
  <si>
    <t>07/23/1983,19:30,"Gimli, Manitoba, Canada",Air Canada,143,Montreal - Edmonton,Boeing B-767-233ER,C-GAUN,22520/47,69,61,8,0,0,0,0,"The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</si>
  <si>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08/17/1983,12:27,"Grand Canyon, Arizona",Las Vegas Airlines,,"Las Vegas, NV  - Grand Canyon, AZ",Piper PA-31-350 Chieftain,N88LV,31-7752118,10,9,1,10,9,1,0,Crashed into a cliff in the Grand Canyon on a sightseeing flight.</t>
  </si>
  <si>
    <t>08/30/1983,23:17,"Near Alma-Ata, Kazakastan, USSR",Aeroflot,5463,Kazan - Chelyabinsk - Alma-Ata,Tupolev TU-134A,CCCP-65129,60630,90,84,6,90,84,6,0,Crashed an burned after striking mountain  while attempting to land. Procedural errors.</t>
  </si>
  <si>
    <t>09/01/1983,18:26,"Near Sakhalin Island, Russia",Korean Airlines,007,Anchorage - Seoul,Boeing B-747-230B,HL-7442,20559/186,269,246,23,269,246,23,0,"On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</si>
  <si>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09/02/1983,,"Near Smithers, British Columbia, Canada",Central Mountain Air Services,,Campbell River - Smithers,Britten-Norman BN-2A-21 Islander,C-GIPF,0274,9,NULL,NULL,9,NULL,NULL,0,"Crashed en route. NY industrialist Georgel Cogar, 51, among those killed."</t>
  </si>
  <si>
    <t>09/14/1983,09:34,"Guilin, China",CAAC,,Guilin - Beijing,Hawker Siddeley Trident 2E /  II-28,B-264 / ?,2169 / ?,106,100,6,11,11,0,0,Collided with a Chinese Air Force aircraft while taxing.</t>
  </si>
  <si>
    <t>09/23/1983,15:30,"Near Mina Jebel Ali, UAE",Gulf Air,771,Karachi - Abu Dhabi,Boeing B-737-2P6,A40-BK,21734/566,112,107,5,112,107,5,0,Crashed  into the desert after a distress message and during an emergency landing attempt. Detonation of an explosive device in the baggage compartment.</t>
  </si>
  <si>
    <t>09/28/1983,,"Off Lanyu Island, Taiwan",Taiwan Airlines,,Taitung-Lanyu Island,Britten-Norman BN-2A-26 Trislander,B-11109,0518,10,9,1,10,9,1,0,Crashed into the sea.</t>
  </si>
  <si>
    <t>10/07/1983,,"Aracatuba, Brazil",TAM Lineas AÃ©reas Regional,,Campo Grande - AraÃ§atuba,Embraer 110C Bandeirante,PP-SBH,110026,15,13,2,7,5,2,0,After two missed IFR approaches the aircraft struck the ground short of the runway threshold during a third VFR approach.</t>
  </si>
  <si>
    <t>10/08/1983,,"Near Lonkin, Myanmar",Burma Airways,,Lonkin - Myitkyina,de Havilland Canada DHC-6 Twin Otter 300,XY-AEE,512,14,11,3,9,6,3,0,Struck trees on high ground after losing the No.1 engine during take off.</t>
  </si>
  <si>
    <t>10/11/1983,20:53,"Pinckneyville, Illinois",Air Illinois,701,"Springfield, Il - Carbondale, IL",Hawker Siddeley HS-748-FAA,N748LL,1716,10,7,3,10,7,3,0,"Two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</si>
  <si>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10/28/1983,13:35,"Middletown, Pennsylvania",Pennsylvania Airlines,,Middletown - Washington DC,Shorts 330-200,N26288,SH3074,30,27,3,1,1,0,0,"A passenger committed suicide by opening the right rear door and jumping out at 3,500 ft."</t>
  </si>
  <si>
    <t>11/08/1983,15:20,"Lubango, Huila, Angola",TAAG Angola Airlines,,Lubango - Luanda,Boeing B-737-200,D2-TBN,22775,130,126,4,130,126,4,0,The airliner crashed immediately after takeoff.  Shot down by rebels with a surface to air missile.</t>
  </si>
  <si>
    <t>11/23/1983,,"Landsdowne House, Canada",Austin Airways,,,de Havilland Canada DHC-6 Twin Otter 300,C-GTLA,632,7,5,2,4,4,0,0,The aircraft touched down short of the runway while on a VFR approach in a snowstorm. The nosegear and one of the main landing gear legs broke away from the fuselage and the aircraft caught fire.</t>
  </si>
  <si>
    <t>11/27/1983,10:06,"Madrid-Barajas, Spain",AVIANCA,11,Paris - Madrid - Bogota,Boeing B-747-283B,HK-2910,21381,192,169,23,181,158,23,0,"While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</si>
  <si>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11/28/1983,11:13,"Near Enugu, Nigeria",Nigeria Airways,,Calabar-Enugu,Fokker F-28 Fellowship 2000,5N-ANF,11090,72,66,6,53,51,2,0,The aircraft crashed 18 nm short of the runway after attaining a nose-high attitude in poor visibility and caught fire. Crew may have been preoccupied with landing gear trouble.</t>
  </si>
  <si>
    <t>12/07/1983,09:40,"Near Madrid, Spain",Iberia Airlines / Aviaco,350/134,Madrid - Rome,Boeing B-727-200 / DC9-32,EC-CFJ/EC-CGS,20820 / 47645,135,120,15,93,87,6,0,"While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</si>
  <si>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12/14/1983,15:30,"Near Medellin, Colombia",TAMPA Colombia,,Medellin - Miami,Boeing 707-373C,HK-2401,18707/349,3,0,3,3,0,3,22,"After liftoff, the aircraft entered a 90 degree bank, struck power lines and crashed into buildings. Failure of the No.3 engine during a climb out with the No.4 engine operating at idle."</t>
  </si>
  <si>
    <t>12/17/1983,13:10,"Paulatuk, Northwest Territory, Canada",Inuvik Coastal Airways,,Inuvik - Paulatuk,de Havilland Canada DHC-6 Twin Otter 200,C-FGJK,213,12,10,2,2,1,1,0,The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</si>
  <si>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12/24/1983,08:53,"Leshukonskoye, Russia",Aeroflot,601,Arkhangelsk - Leshukonskoye,Antonov AN-24,CCCP-46617,37308704,49,44,5,44,39,5,0,"The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</si>
  <si>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01/02/1984,,"Amman, Jordan",Military - Royal Jordanian Air Force,,,CASA 212-A3 Aviocar 100,324,55,13,NULL,NULL,13,NULL,NULL,0,Crashed due to mechanical problems.</t>
  </si>
  <si>
    <t>01/03/1984,," Novoagansk, Russia",Aeroflot,,,Mi-6,CCCP-21006,0239,76,71,5,38,38,0,0,The helicopter crashed on takeoff. Crew error.</t>
  </si>
  <si>
    <t>01/09/1984,22:30,"Saint Louis, Missouri",Skycraft Air Transport,,"Saint Louis, MO - Toronto, Canada",Douglas DC-3,C-GSCA,15745/27190,2,0,2,1,0,1,0,"The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</si>
  <si>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01/10/1984,,"Sofia, Bulgaria",Balkan Bulgarian Airlines,,Berlin - Sofia,Tupolev TU-134A,LZ-TUR,4352308,50,45,5,50,45,5,0,The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</si>
  <si>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01/13/1984,,"Cochabamba, Bolivia",North East Bolivian Airways,,Cochabamba-La Paz,Douglas EC-54U,CP-1090,36036,3,0,3,1,0,1,0,"After the No. 2 engine failed on takeoff, the pilot  tried to land but the propellers struck the runway and the aircraft ran off the runway into a ditch."</t>
  </si>
  <si>
    <t>01/28/1984,,"Izhevsk, Russia",Aeroflot,,Kuibyshev - Izhevsk,Antonov An-24RV,CCCP-47358,67310607,51,47,4,4,3,1,0,The aircraft crashed after the elevator failed. Disconnection of the linkage of the elevators control rod.</t>
  </si>
  <si>
    <t>01/30/1984,06:30,"Terre Haute, Indiana",Britt Airways,,Training,Swearingen SA.226TC Metro II,N63Z,TC-240,3,1,2,3,1,2,0,"After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</si>
  <si>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02/16/1984,,"Near Debre Zelt, Ethiopia",Military - Ethiopian Air Force,,,Antonov AN-12,1506,4342002,38,33,5,26,NULL,NULL,0,The aircraft crashed after a hijacker detonated a hand grenade when the pilot tried to land.</t>
  </si>
  <si>
    <t>02/19/1984,,"Near San Gerardo, El Salvador",Military - Salvadoran Air Force,,,Bell UH-1H / Bell UH-1H,,,28,NULL,NULL,28,NULL,NULL,0,"One of the helicopters was hit by guerrilla mortar fire and lost control, crashing into the other helicopter."</t>
  </si>
  <si>
    <t>02/28/1984,16:16,"JFK Airport, New York, New York",Scandinavian Airlines (SAS),901,"Oslo, Norway, New York, NY",McDonnell Douglas DC-10-30,LN-RKB,46871,177,163,14,0,0,0,0,"While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</si>
  <si>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03/13/1984,07:47,"Barranquilla, Colombia",Aerosucre Colombia,,Barranquilla - Bogota,Curtiss C-46A,HK-1322P,444,6,2,4,4,1,3,0,"Tried to make an emergency landing. Touched down, lifted off, stalled and crashed."</t>
  </si>
  <si>
    <t>03/16/1984,,"San Borja, Bolivia",Lloyd Aereo Boliviano,,Trinidad-San Borja,Fairchild F-27M,CP-862,BL-52,23,20,3,23,20,3,0,Crashed into the jungle.</t>
  </si>
  <si>
    <t>03/24/1984,,"Near Rurrenabaque, Bolivia",Frigorifico Reyes,,,Douglas C-54,CP-1206,10559,5,2,3,5,2,3,0,"Shortly after the cargo plane took off, the engines began to backfire, the plane lost altitude, the right wing clipped trees and the plane crashed."</t>
  </si>
  <si>
    <t>03/24/1984,04:00,"Near Hunghae, South Korea",Military - U.S. Marine Corps,,Pohang - Kannung,Sikorsky CH-53D,157132,,29,NULL,NULL,29,NULL,NULL,0,Crashed into a wooded mountainside while flying VFR. Pilot error.</t>
  </si>
  <si>
    <t>03/31/1984,08:30,Off  Bimini,State Airlines,,Ft. Lauderdale - Bimini,Cessna 402B,N44NC,402B-0852,6,5,1,6,5,1,0,"Slowed to 90 knts and soon after began to descent at 5,400 fpm and disappeared from radar and crashed into the sea. The wreckage was never found."</t>
  </si>
  <si>
    <t>04/18/1984,," Imperatriz, Brazil",VOTEC / VOTEC,,,Embraer 110EJ Band./Embraer 110P Band.,PT-GJZ/PT-GKL,110088 / 110170,35,31,4,19,17,2,0,"Midair collision.  Same aircraft type, same airline. One of 17 killed aboard PT-GKL and all 18 aboard PT-GJZ were killed. PT-GJZ crashed out of control but PT-GKL was able to make a forced landing without its No.1 engine on a river after which it sank."</t>
  </si>
  <si>
    <t>05/08/1984,,"Elbet Beni Salama, Egypt",Military - Egyptian Air Force,,,McDonnel F-4E Phantom II,,,2,0,2,2,0,2,19,"Crashed into a village approximately 80 miles from Cairo, killing 19 on the ground."</t>
  </si>
  <si>
    <t>05/30/1984,01:45,"Chalkhill, Pennsylvania",Zantop International Airlines,,Baltimore - Detroit,Lockheed L-188AF Electra,N5523,1034,4,1,3,4,1,3,0,"The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</si>
  <si>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06/04/1984,23:41,"Windsor Locks, Connecticut",Air Continental,,Syracuse-Windsor Locks,Learjet 23A,N101PP,23-085,3,1,2,3,1,2,0,"According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</si>
  <si>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06/19/1984,02:55,"Island Beach, New Jersey",Air Taxi - Raco Helicopters Corp.,,,Aerospeciale AS-350D,N5784M,,3,1,2,3,1,2,0,"The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</si>
  <si>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06/28/1984,,"Near Sao Pedro d' Aldeia, Brazil",TAM Lineas AÃ©reas Regional,,Rio de Janeiro - MacaÃ©,Embraer 110C Bandeirante,PP-SBC,110-013,18,16,2,18,16,2,0,The aircraft flew into heavy rain and a cloud shrouded hill after the pilot abandoned IFR and descended VFR. The plane was carrying journalists.</t>
  </si>
  <si>
    <t>07/11/1984,,"Off Buenavista, Philippines",Military - Philippine Air Force,,,Bell UH-1H,,,30,NULL,NULL,30,NULL,NULL,0,Crashed into the Pacific Ocean off the coast of Marinduque Island.</t>
  </si>
  <si>
    <t>07/12/1984,,"Sigonella AFB, Italy",Military - U.S. Air Force,,Sigonella - Diego Garcia,Lockheed C-141B,64-0624,300-6037,9,1,8,9,1,8,0,"Failure of the No. 4 engine caused the No. 3 engine to failue due to debris. Debris also started a fire in the cargo hatch. The crew was overcome by smoke and cyanide, lost control and crashed."</t>
  </si>
  <si>
    <t>07/21/1984,13:40,"Tau Island, American Samoa",South Pacific Island Airways,,Pango Pango - Tau Island,de Havilland Canada DHC-6 Twin Otter 300,N43SP,669,14,11,3,1,1,0,0,While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</si>
  <si>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08/02/1984,08:05,"Vieques, Puerto Rico",Vieques Air Link,,"Vieques, PR - St. Croix, VI",Britten-Norman BN-2A Islander,N589SA,0038,9,8,1,9,8,1,0,Banked to the left shortly after taking off and crashed into the ocean. Aircraft overloaded and improperly loaded. Inexperienced pilot. Water contamination of fuel.</t>
  </si>
  <si>
    <t>08/04/1984,,"Nawabshah, Pakistan",Aeroflot,,Aden - Karachi - Tashkent,Antonov AN-12BP,CCCP-10232, 3 3 411 07,24,15,9,24,15,9,0,The plane flew into severe weather and hail penetrated the oil radiatiors. Power was lost in all four engines and load limits were exceeded during an emergency descent. The plane broke up and crashed.</t>
  </si>
  <si>
    <t>08/05/1984,,"Dacca, Bangladesh",Bangladesh Biman,,Chittagong-Patenga - Dhaka,Fokker F-27 Friendship 600,S2-ABJ,10453,49,45,4,49,45,4,0,"Crashed in the water, 1,800 ft. short of the runway on a second landing attempt after a go-around on a VOR approach."</t>
  </si>
  <si>
    <t>08/11/1984,01:00,"Near Memphis, Tennessee",Aviation Enterprises,,Memphis - Chicago,Douglas DC-3,N70003,12938,3,1,2,3,1,2,0,During takeoff the crew lost the No. 1 engine. The plane struck utility poles and crashed through the roof of a building. Missing spark plug from the No. 1 engine in the No. 14 cylinder.</t>
  </si>
  <si>
    <t>08/15/1984,,"Near Wamena, Indonesia",Airfast Indonesia,,Wamena-Jayapura,Douglas C-47A,PK-OBC,12485,3,1,2,2,1,1,0,Crashed into a mountain while en route.</t>
  </si>
  <si>
    <t>08/24/1984,11:18,"San Luis Obispo, California",Wings West Airlines / Private,628,San Luis Obispo - San Fransisco,Beechcraft C99 / Rockwell 112TC,N6399U/N112SM,U187 /,17,13,4,17,13,4,0,"A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</si>
  <si>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08/30/1984,,"Douala, Cameroon",Cameroon Airlines,786,Douala - Yaounde,Boeing B-737-2H7C,TJ-CBD,21295/484,116,109,7,2,2,0,0,"When taxing tin preperation to takeoff, a compressor disc in the No.2 engine failed. Debris punctured the wing and fuel tank causing an uncontrollable fire that destroyed the aircraft."</t>
  </si>
  <si>
    <t>09/06/1984,,"Mt. Musaka, Papua, New Guinea",Talair,,Wewak-Tabubil-Telefomin-Kiunga,Britten-Norman BN-2A-20 Islander,P2-ISG,0756,11,9,2,9,7,2,0,Crashed into Mt. Musaka.</t>
  </si>
  <si>
    <t>09/07/1984,21:10,"Near Naples, Florida",Provincetown - Boston Airlines,,"Naples, FL - Tampa, FL",Cessna 402C,N89PB,402C-06550,6,5,1,1,1,0,0,Lost both engines while taking off and crashed  wheels up in a field. Fueled with jet fuel by accident.</t>
  </si>
  <si>
    <t>09/11/1984,,"Near the Kwango River, Zaire",MMM Aero Services,,Kinshasa - Tshikapa,Handley Page Dart Herald 202,9Q-CAH,303,30,25,5,30,25,5,0,After an engine failed in flight. The crew tried to make an emergency landing but over shot the runway and crashed.</t>
  </si>
  <si>
    <t>09/16/1984,,"Opole, Poland",APRL,,Airshow,Antonov An-2T,SP-AMK,1G168-04,25,22,3,11,11,0,0,Crashed during takeoff. Overloaded</t>
  </si>
  <si>
    <t>09/18/1984,11:04,"Quito, Ecuador",AECA Cargo,767-103,Quito - Guayaquil,McDonnell Douglas DC-8F-55,HC-BKN,45754/224,4,0,4,4,0,4,49,"While taking off, the cargo plane was unable to gain altitude and crashed into buildings at the end of the runway. Improper calculation of center of gravity, load distribution and maximum takeoff weight for existing runway and weather conditions."</t>
  </si>
  <si>
    <t>09/21/1984,,"Near Sarakchar, Afghanistan",Military - Russian Air Force,,,Antonov AN-12,,,50,45,5,50,45,5,0,Shot down by Afghan rebels.</t>
  </si>
  <si>
    <t>10/09/1984,,"Fort Franklin, Canada",Nahanni Air Services,,Fort Norman - Fort Franklin,de Havilland Canada DHC-6 Twin Otter 100,C-FPPL,115,7,6,1,7,6,1,0,Struck a tower while on approach in fog.  Weather was below VFR minima and not reported to the pilot because of a lack of observation and communications facilities at Fort Franklin. The decision of the pilot to continue the approach in fog.</t>
  </si>
  <si>
    <t>10/11/1984,05:40,"Near Omsk, Russia",Aeroflot,3352,Krasnodar - Omsk,Tupolev TU-154B,CCCP-85243,243,179,170,9,174,169,5,4,"While landing, the crew noticed something on the runway, took evasive action and crashed into two cleaning vehicles. The flying control officer (ATC)  fell asleep and did not inform the controllers cleaning vehicles were on the runway."</t>
  </si>
  <si>
    <t>10/11/1984,17:37,"Goose Bay, Newfoundland, Canada",Labradore Airways,,St. Anthony - Goose Bay,de Havilland Canada DHC-6 Twin Otter 100,C-FAUS,34,4,2,2,4,2,2,0,The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</si>
  <si>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10/27/1984,,"Near Kabul, Afghanistan",Mililtary - Soviet Air Force,,Tachkent-Kaboul,Ilyushin IL-76M,CCCP-86739,083412354,11,7,4,11,7,4,0,Shot down by enemy fire.</t>
  </si>
  <si>
    <t>10/31/1984,,"Off Davao, Philippines",Village Airways,,Davao - Manila,Douglas C-47B,RP-C138,20811,4,0,4,4,0,4,0,The cargo plane went missing in the Pacific Ocean while en route.</t>
  </si>
  <si>
    <t>11/20/1984,,"Loja, Peru",TAME,,Loja - Zumba,de Havilland Canada DHC-6 Twin Otter 300,FAE-446,446,14,12,2,14,12,2,0,Crashed into high terrain.</t>
  </si>
  <si>
    <t>12/04/1984,,"Near Kostroma, USSR",Aeroflot,,Kostroma -Kvanovo,LET 410 M,CCCP-67225,770706,17,15,2,17,15,2,0,Spatial orientation caused by failure of the artificial horizon.</t>
  </si>
  <si>
    <t>12/06/1984,18:14,"Jacksonville, Florida",Provincetown - Boston Airlines,1039,Jacksonville - Tampa,Embraer 110P1 Bandeirante,N96PB,110-365,13,11,2,13,11,2,0,"After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</si>
  <si>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12/19/1984,14:00,"Near Jaen, Peru",Military - Fuerza AÃ©rea del Peru,,,de Havilland Canada DHC-6 Twin Otter 300,FAP-307,317,21,18,3,21,18,3,0,"Crashed in flames, two minutes after taking off from a military base."</t>
  </si>
  <si>
    <t>12/22/1984,,"Near Bhojpur, Nepal",Royal Nepal Airlines,,Katmandou-Bhojpur,de Havilland Canada DHC-6 Twin Otter 300,9N-ABH,376,23,20,3,15,12,3,0,Crashed into mountain in poor weather off the intended course.</t>
  </si>
  <si>
    <t>12/23/1984,14:15,"Near Kranoyarsk, Russia",Aeroflot,3519,Krasnoyarsk - Irkutsk,Tupolev TU-154B-2,CCCP-85338,338,111,104,7,110,103,7,0,The aircraft crashed while attempting an emergency landing after the No. 3 engine caught fire. Failure of a  compressor.</t>
  </si>
  <si>
    <t>01/01/1985,20:30,"Near La Paz, Bolivia",Eastern Air Lines,980,"Asuncion, Paraguay - La Paz, Bolivia",Boeing B-727-225 Adv,N819EA,22556/1793,29,19,10,29,19,10,0,"The aircraft hit Mt. Illimani at an altitude of 19,600 feet after being cleared to descend during an approach to La Paz. The crew did not follow the prescribed airway. Navigation error. Controlled flight into terrain."</t>
  </si>
  <si>
    <t>01/09/1985,07:00,"Kansas City, Kansas",TPI International Airways,,Detroit - Kansas City,Lockheed L-188AF Electra,N357Q,1044,3,0,3,3,0,3,0,The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</si>
  <si>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01/18/1985,,"Jinan, China",CAAC,5109,Nanjing - Jinan,Antonov AN-24B,B-434,27308110,41,34,7,38,31,7,0,Crashed after overshooting the runway in rain and fog.</t>
  </si>
  <si>
    <t>01/19/1985,08:22,"Havana, Cuba",Cubana de Aviacion,,Havana - Managua,Ilyushin IL-18D,CU-T899,188011102,38,33,5,38,33,5,0,The airliner crashed after takeoff. Failure of the artificial horizon and obstruction of aileron control due to shifted cargo.</t>
  </si>
  <si>
    <t>01/20/1985,23:15,"Carson, New Mexico",Air Taxi - EMS,,"Albuquerque, NM - Taos, NM -",Bell 206 L-1,N40TE,45712,3,2,1,3,2,1,0,The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</si>
  <si>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01/21/1985,01:04,"Reno, Nevada",Galaxy Airlines,203,"Reno, NV - Minneapolis-St. Paul, MN",Lockheed L-188A Electra,N5532,1121,71,65,6,70,64,6,0,"The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</si>
  <si>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01/22/1985,09:35,"Off Puerto Castilla, Honduras",Military - U.S. Air Force,,Howard AFB - Trujillo AP,Lockheed C-130A,56-0501,3109,21,16,5,21,16,5,0,"Crashed into the Caribbean sea, 8 miles northwest of the airport where it was scheduled to land."</t>
  </si>
  <si>
    <t>01/23/1985,10:35,"Cerro el Plateado, Colombia",Aerolineas Centrales de Colombia,,Medellin - Quibdo,de Havilland Canada DHC-6 Twin Otter 300,HK-1910,497,23,21,2,23,21,2,0,"Crashed into a mountain at 11,500 ft.  In rainand fog.  Flying under VFR when conditions changed to IFR."</t>
  </si>
  <si>
    <t>01/23/1985,10:35,"Near Buga, Colombia",AIRES Colombia,585,Florencia - Cali,Embraer 110P1 Bandeirante,HK-2638,110341,17,15,2,17,15,2,0,"The aircraft crashed into a mountain at 8,500 ft. while descending to land at Buga. Continued VFR flight into deteriorating weather conditions."</t>
  </si>
  <si>
    <t>02/01/1985,08:01,"Minsk, Belarus, USSR",Aeroflot,7841,Minsk - Leningrad,Tupolev TU-134A,CCCP-65910,63971,80,74,6,58,55,3,0,The aircraft crashed shortly after taking off from Minsk.Double engine failure due to ice ingestion.</t>
  </si>
  <si>
    <t>02/04/1985,19:51,"Soldotna, Alaska",North Pacific Airlines,-,"Anchorage, AK - Anchorage, AK",Beech Queen Air 65-A80,N50NP,LD-231,9,8,1,9,8,1,0,Crashed into trees while attempting a go-around in poor weather. Improper minimum descent atlitiude and missed approach. Improper inflight decision. Improper missed approach. Minimum descent altitude not maintained.</t>
  </si>
  <si>
    <t>02/19/1985,10:15,"300 nm NW of San Francisco, California",China Airlines (Taiwan),006,Taipei - Los Angeles,Boeing B-747-SP-09,N4522V,22805/564,274,251,23,0,0,0,0,"The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</si>
  <si>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02/19/1985,09:27,"Near Durango, Vizcaya, Spain",Iberia Airlines,610,Madrid - Bilbao,Boeing B-727-256,EC-DDU,21777/1487,148,141,7,148,141,7,0,"The aircraft crashed into an antenna on Mt. Oiz. Incorrect interpretation of Ground Proximity Warning System. The captain was heard shouting ""shut up"" at the GPWS as it announced ""pull up.""  Overconfidence in altitude alert system. Incorrect interpretation of its warnings."</t>
  </si>
  <si>
    <t>02/22/1985,,"Timbuktu, Mali",Air Mali,,Tombouctou - Bamako,Antonov AN-24V,TZ-ACT,87304104,51,49,2,50,48,2,0,Crashed after taking off. The plane was not able to return to the airport after experiencing an engine failure.</t>
  </si>
  <si>
    <t>02/25/1985,,"Near Valdez, Alaska",Military - U.S. Air Force,,Eielson-Valdez-Eielson,Boeing RC-135T,55-3121,17237/4,3,0,3,3,0,3,0,Struck a mountain in poor weather during a third practice approach.</t>
  </si>
  <si>
    <t>03/12/1985,,"Fort Hood, Texas",Military - U.S. Air Force,,Training,Lockheed C-130E Hercules,64-0549,4044,6,0,6,6,0,6,0,Stalled during a training exercise and crashed.</t>
  </si>
  <si>
    <t>03/28/1985,09:50,"Near Florencia, Colombia",SATENA,,Bogota - San Vicente del CaguÃ¡n - Florencia,Fokker F-28 Fellowship 3000,FAC-1140,11165,46,40,6,46,40,6,0,The domestic flight crashed into a mountain while attempting to land at Florencia in rain and dense fog.</t>
  </si>
  <si>
    <t>04/11/1985,,"Salta, Argentina",YPF,,Buenos Aires - Salta,HS-125-700B,LV-ALW,257133,7,5,2,7,5,2,0,After an aborted landing attempt the aircraft struck a mountain in poor weather conditions.</t>
  </si>
  <si>
    <t>04/15/1985,23:30,"Near Phuket, Thailand",Thai Airways,,Bangkok - Phuket,Boeing B-737-200,HS-TBB,21810/604,11,4,7,11,4,7,0,The aircraft hit high ground during good weather conditions and after transmitting an emergency message that they had lost both engines.</t>
  </si>
  <si>
    <t>04/16/1985,11:37,"Las Cruces, New Mexico",American Airlines,,"Dallas, TX - San Diego, CA",Boeing B-727-227,N718AA,20611/894,89,81,8,0,0,0,0,While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</si>
  <si>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04/20/1985,,"Santa Rosa, Bolivia",Carga Aereo Transportada,,,Convair CV-440,CP-1489,319,4,1,3,4,1,3,0,The cargo plane lost an engine on talkeoff nosed down and crashed.</t>
  </si>
  <si>
    <t>04/20/1985,,"Kulusuk, Greenland",Aeronica,,Positioning,Fokker F-27 Friendship 100,YN-BZF,10118,5,0,5,2,0,2,0,After a fuel transfer problem the plane crashed while trying to make an emergency landing in snow. Poor weather and failure of the crew to follow proper procedures with the auxiliary fuel system.</t>
  </si>
  <si>
    <t>05/03/1985,12:13,"Near L'vov, Ukraine, USSR",Aeroflot / Soviet Air Force,8381,Tallin - L'vov,Tupolev TU-134A / Antonov An-26,CCCP65856/26492,23253 /,76,73,3,76,73,3,0,Midair collision as the Tupolev-134A prepared to land and the Antonov An-26 just took off.  Violations by the civil approach and military controllers. Misidentification of both aircraft. Seventy-one killed on the TU134 and twenty-three on the Antonov.</t>
  </si>
  <si>
    <t>05/06/1985,12:50,"Off Tanegashima, Japan",Military - U.S. Marine Corps,,"Iwakuni - Fulemma, Okinawa",CH-53D,157138,65-264,17,15,2,17,15,2,0,The helicopter crashed into the East China Sea.</t>
  </si>
  <si>
    <t>05/28/1985,,"Cabimas, Venezuela",Avensa,,Cabimas - Caracas,Convair CV-580,YV-84C,157,13,8,5,2,0,2,0,"The aircraft's tail struck a hill 1,500 feet from the end of the runway after which an emergency crash landing was made."</t>
  </si>
  <si>
    <t>05/31/1985,23:00,"Nashville, Tennessee",General Aviation Inc.,115,Nashville - Indianapolis,Grumman G-159 Gulfstream I,N181TG,181,2,0,2,2,0,2,0,The cargo plane crashed after losing the No. 1 engine. Fuel starvation. Pilot had the fuel selector for the No. 1 engine in the off and feathered position.</t>
  </si>
  <si>
    <t>06/14/1985,,"Athens, Greece",Trans World Airlines,847,Athens - Rome,Boeing B-727-231,N64339,20844/1065,153,145,8,1,1,0,0,The aircraft was hijacked while en route from Athens to Rome over Italian airspace. U.S. Navy diver Robert Stethem was murdered aboard.</t>
  </si>
  <si>
    <t>06/23/1985,,"Juara, Brazil",TABA,,Juara - Cuiaba,Embraer 110P Bandeirante,PT-GJN,110-063,17,15,2,17,15,2,0,The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</si>
  <si>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06/23/1985,07:15,"Atlantic Ocean, 110 miles West of Ireland",Air India,182,Montreal - London,Boeing B-747-237B,VT-EFO,21473/330,329,307,22,329,307,22,0,"The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</si>
  <si>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07/10/1985,23:46,"Near Uchuduk, Uzbekistan, USSR",Aeroflot,7425,Karshi - Leningrad,Tupolev TU-154B-2,CCCP-85311,311,200,191,9,200,191,9,0,"The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</si>
  <si>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07/24/1985,17:00,"Leticia, Colombia",Fuerza AÃ©rea Colombiana,,Leticia - Bogota,Douglas DC-6B,FAC-902,45067/709,80,76,4,80,76,4,0,"Crashed into the Amazon jungle in poor weather, after the crew reported a fire in the No. 3 engine. The last words from the aircraft was ""We're falling."""</t>
  </si>
  <si>
    <t>08/02/1985,18:06,"Ft. Worth-Dallas, Texas",Delta Air Lines,191,Fort Lauderdale - Dallas-Fort Worth,Lockheed L-1011-1 TriStar,N726DA,1163,163,152,11,134,126,8,1,"While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</si>
  <si>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08/12/1985,18:56,"Mt. Osutaka, near Ueno Village, Japan",Japan Air Lines,123,Tokyo - Osaka,Boeing B-747-SR46,JA8119,20783/230,524,509,15,520,505,15,0,"The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</si>
  <si>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08/12/1985,,"Mulia, Indonesia",Merpati Nusantara Airlines,,,de Havilland Canada DHC-6 Twin Otter 300,PK-NUG,346,19,16,3,8,8,0,0,Unknown circumstances.</t>
  </si>
  <si>
    <t>08/15/1985,,"Aden, Yemen",Alyemda Airlines,,Aden - Abu Dahbi,Boeing 707-336C,7O-ACO,20374/838,73,65,8,3,1,2,0,"As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</si>
  <si>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08/22/1985,06:13,"Manchester, England",British Airtours,28M,Manchester - Kerkira,Boeing B-737-236,G-BGJL,22033/743,137,131,6,55,53,2,0,"During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</si>
  <si>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08/25/1985,22:05,"Auburn, Maine",Bar Harbor Airlines,1808,"Boston, MA - Auburn, ME",Beechcraft 99,N300WP,U-22,8,6,2,8,6,2,0,"While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</si>
  <si>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08/27/1985,,"Beale AFB, California",Military - U.S. Air Force,,Training,Boeing KC-135A,59-1443,17931,7,0,7,7,0,7,0,Crashed while trying to land with 3 engines.</t>
  </si>
  <si>
    <t>09/04/1985,11:00,"Near Kandahar, Afghanistan",Ariana Afghan Airlines,,Kandahar - Farah,Antonov AN-26,YA-BAM,57314106,52,47,5,52,47,5,0,Shot down by rebels with a ground-to-air missile while flying at FL130.</t>
  </si>
  <si>
    <t>09/06/1985,15:21,"Milwaukee, Wisconsin",Midwest Express,105,Milwaukee - Atlanta,McDonnell Douglas DC-9-14,N100ME,47309/393,31,27,4,31,27,4,0,The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</si>
  <si>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09/22/1985,,Afghanistan,Military - Soviet Air Force,,,Antonov AN-12,,,26,22,4,26,22,4,0,Shot down by Afghan rebels.</t>
  </si>
  <si>
    <t>09/25/1985,,"Near Kharkov, Ukraine",MAP,,Dnepropetrovsk - Moscow,Antonov An-12,CCCP-69321,1901708,9,4,5,9,4,5,0,The plane crashed en route after a fire in the No. 1 engine which led to the seperation of the outer wing.</t>
  </si>
  <si>
    <t>09/29/1985,12:30,"Jenkinsburg, Georgia",Air Carriers Express Services Inc,,Parachuting,Cessna 208 Caravan I,N551CC,208-00017,17,16,1,17,16,1,0,Lost power and spiraled into the ground after takeoff. Contaminated fuel. Overloaded.</t>
  </si>
  <si>
    <t>10/09/1985,19:00,"VitÃ³ria da Conquista, Brazil",Nordeste Linhas AÃ©reas,,VitÃ³ria da Conquista - Salvador,Embraer 110C Bandeirante,PT-GKA,110090,2,0,2,2,0,2,0,The pilot of the cargo plane stayed at a low altitude after taking off in IMC conditons and crashed.</t>
  </si>
  <si>
    <t>10/10/1985,01:00,"Off South Head, Australia",Pel Air,,Sidney - Brisbane,IAI 1124 Westwind,VH-IWJ,371,2,0,2,2,0,2,0,"After attaining 5,000 ft. the cargo plane lost control crashed into Botany Bay after taking off from Sydney."</t>
  </si>
  <si>
    <t>10/11/1985,10:09,"Near Kutayissi, USSR",Aeroflot,F-7,Kutaisi - Poti,Yakovlev YAK-40,CCCP-87803,9230923,14,10,4,14,10,4,0,Crashed into a mountain slope after taking off in bad weather. Instructions to climb normally were delayed because of traffic.</t>
  </si>
  <si>
    <t>10/11/1985,,"Near Beni, Bolivia",Sabeni,,Beni - La Paz,Curtiss C-46D,CP-1593,32936,2,0,2,2,0,2,0,The cargo plane crashed into mountains while en route.</t>
  </si>
  <si>
    <t>10/11/1985,21:40,"Homer City, Pennsylvania",Mountain Air Cargo,,State College - Pittsburgh,de Havilland Canada DHC-6 Twin Otter 200,N3257,192,1,0,1,1,0,1,0,The cargo plane struck high ground while en route. Pilot error. Altitude not maintained. Improper clearance.</t>
  </si>
  <si>
    <t>10/12/1985,,"Putao, Myanmar",Burma Airways,,,Fokker F-27 Friendship 600,XY-ADS,10501,4,2,2,4,2,2,0,The cargo plane overfew the runway and crashed one mile beyond the end.</t>
  </si>
  <si>
    <t>11/15/1985,,"Dothan, Alabama",Military - U.S. Air Force,,Test flight,Convair CV-340,54-2817,221,4,0,4,4,0,4,0,Crashed during a test flight. The elevators locked soon after takeoff.</t>
  </si>
  <si>
    <t>11/21/1985,,"Near Sibyak, Indonesia",Military - Indonesian Air Force,,,Lockheed C-130H Hercules,A-1322,4898,11,0,11,11,0,11,0,Crashed into Mt. Sibayak.</t>
  </si>
  <si>
    <t>11/24/1985,20:15,"Luqa, Malta",EgyptAir,648,Athens - Cairo,Boeing B-737-266,SU-AYH,21191/450,103,97,6,60,NULL,NULL,0,"Hijacking. While on the ground at Malta to refuel the aircraft was stormed by Egyptian forces. During the fight, several hand grenades were thrown into the cabin causing a fire."</t>
  </si>
  <si>
    <t>11/25/1985,,"Near Luassingua, Angola",Military - Angolan Air Force,,Cuito - Menongue,Antonov AN-26,CCCP-11747,5343609,22,NULL,NULL,22,NULL,NULL,0,Shot down by South African anti-aircraft fire.</t>
  </si>
  <si>
    <t>12/12/1985,06:45,"Gander, Newfoundland, Canada",Arrow Airways,MF1285R,"Gander - Fort Campbell, KY",McDonnell Douglas DC-8 Super 63PF,N950JW,46058/433,256,248,8,256,248,8,0,"The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</si>
  <si>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12/30/1985,,"Near Dhangadhi, Nepal",Military - Royal Nepalese Air Force,,,Short SC7- Skyvan,RAN-23,SH-1978,25,22,3,25,22,3,0,Crashed into a forest.</t>
  </si>
  <si>
    <t>12/31/1985,17:14,"De Kalb, Texas",Private,,Guntersville - Dallas/Ft. Worth,Douglas DC-3,N711Y,13658,9,7,2,7,7,0,0,"The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</si>
  <si>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01/18/1986,08:00,"Near Peten, Guatemala",Aerovias de Guatemala SA,,Guatemala City-Santa Elena,Sud-Aviation  Caravelle VI-N,HC-BAE,040,94,88,6,94,88,6,0,"After initiating an overshoot and attempting to land for a second time, the plane crashed into a hilly area in the jungle. There were low lying clouds in the area."</t>
  </si>
  <si>
    <t>01/21/1986,04:25,"Ellendale, Minnesota",Air Taxi,,,Bell 296B,N1498W,425,3,2,1,3,2,1,0,"The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</si>
  <si>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01/28/1986,07:45,"Sao Paulo, Brazil",VASP,,Sao Paulo - Belo Horizonte,Boeing B-737-2A1,PP-SME,20096/190,72,67,5,1,1,0,0,The crew accidently tried to take off from a taxiway. The takeoff was aborted but the aircraft overran the runway and collided with a embankment and broke in two. There was heavy fog in the area.</t>
  </si>
  <si>
    <t>01/29/1986,,"Las Lomitas, Mexico",Aerocalifornia,,Villa Constitucion - Los Mochis,Douglas DC-3A-178,XA-IOR,1547,21,18,3,21,18,3,0,The plane tried to land at Los Mochis but had to divert to Las Lomitas because of fog. The airport was not approved for commercial flights and the plane crashed into a hill near the airport while attempting to land.</t>
  </si>
  <si>
    <t>02/05/1986,,"Kasongo, Zaire",GLM Aviation,,Kasonga-Kinshasa,Lockheed L-188AF Electra,9Q-CWT,1045,14,10,4,2,2,0,0,The cargo plane crashed while attempting to make a forced landing.</t>
  </si>
  <si>
    <t>02/16/1986,18:50,"Off Makung, Taiwan",China Airlines (Taiwan),,Taipei - Makung,Boeing B-737-281,B-1870,20226/168,13,6,7,13,6,7,0,The aircraft crashed into the sea during an attempted go-around after a missed landing attempt due to a burst nose gear tire.</t>
  </si>
  <si>
    <t>03/02/1986,03:03,"Near Bugulma, Russia",Aeroflot,,Cheboksary - Bugulma,Antonov AN-24B,CCCP-46423,07304108,38,34,4,38,34,4,0,"The aircraft entered a left bank and turn, stalled and crashed 5 miles short of the runway. Failure of the autofeather sensor circuit breaker caused propellers to feather."</t>
  </si>
  <si>
    <t>03/13/1986,22:15,"Alpena, Michigan",Simmons Airlines,1746,"Detroit, MI - Alpena, MI",Embraer 110P1 Bandeirante,N1356P,110370,9,7,2,3,2,1,0,"After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</si>
  <si>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03/20/1986,,"Near Naha, Indonesia",Merpati Nusantara Airlines,,Manado - Naha,CASA 212 Aviocar 100,PK-NCF,108/15N,16,14,2,2,0,2,0,"Crashed into high ground at 1, 900 ft. while flying IFR in rain."</t>
  </si>
  <si>
    <t>03/24/1986,09:55,"Goose Bay, Newfoundland, Canada",Goose Bay Air Services,,Snegamook Lake - Goose Bay,de Havilland Canada DHC-3 Otter,C-FAGM,400,5,4,1,4,3,1,0,"A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</si>
  <si>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03/25/1986,,"Omsk, Soviet Union",Ministerstvo Obshchestvo Mashinostroyeniya,,,Antonov An-12AP,CCCP-11795,1400103,9,3,6,9,3,6,0,"The cargo plane descended below minima weather conditions, undershot the runway, overturned and caught fire."</t>
  </si>
  <si>
    <t>03/27/1986,,"Bangui, Central African Republic",Military - French Air Force,,,Sepecat Jaguar A,,,0,0,0,0,0,0,35,The jet fighter crashed into a school shortly after taking off after experiencing engine failure.</t>
  </si>
  <si>
    <t>03/30/1986,10:15,"Near Pemba, Mozambique",Military - Mozambique Air Force,FAM042,Pemba - Maputo,Antonov AN-26,042,,54,51,3,49,46,3,0,The aircraft crashed while making an emergency return to the airfield after experiencing engine failure on takeoff.</t>
  </si>
  <si>
    <t>03/31/1986,09:11,"Maravatio, Mexico",Mexicana,940,Mexico City - Puerto Vallarta,Boeing B-727-264,XA-MEM,22414/1748,167,159,8,167,159,8,0,"While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</si>
  <si>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04/02/1986,13:05,"Near Athens, Greece",Trans World Airlines,840,Rome - Athens,Boeing B-727,N54340,20845/1066,121,114,7,4,4,0,0,Detonation of a explosive device in the passenger compartment causing four passengers to be sucked out.  The plane landed safely at Athens. The plastic explosive was left under a seat by a woman carrying a Lebanese passport.</t>
  </si>
  <si>
    <t>04/02/1986,,"Near Magdalena, New Mexico",Military - U.S. Air Force,,,Lockheed HC-130P Hercules,66-0211,4161,11,0,11,11,0,11,0,Lost a wing in heavy turbulence at low altitude.</t>
  </si>
  <si>
    <t>04/27/1986,08:35,"Near Saravena, Colombia",ACES Colombia,,Bogota - Saravena,de Havilland Canada DHC-6 Twin Otter 300,HK-2761,780,13,11,2,13,11,2,0,"Crashed into a 8,500 ft. mountain in poor weather."</t>
  </si>
  <si>
    <t>05/01/1986,06:32,"San Salvador, El Salvador",Military - El Salvador Air Force,,San Salvador - Panama City,Douglas DC-6,FAS-302,45078,37,33,4,37,33,4,0,Crashed into a hill following an engine fire.</t>
  </si>
  <si>
    <t>05/03/1986,09:05,"Colombo, Sri Lanka",Air Lanka,512,London - Zurich - Dubai - Colombo - Male,Lockheed L-1011-100,4R-ULD,1061,150,128,22,22,22,0,0,Detonation of an explosive device in the rear section of the cabin while on the ground and passengers were boarding. The aircraft was named City of Colombo.</t>
  </si>
  <si>
    <t>05/03/1986,,"Near Taipei, Taiwan",Military - Republic of China Air Force,,,Bell UH-1H / Bell UH-1H (helicopters),,,22,NULL,NULL,22,NULL,NULL,0,Both helicopters crashed into a rice paddy after experiencing a mid-air collision.</t>
  </si>
  <si>
    <t>05/18/1986,08:30,"Djibouti, Djibouti",Military - French Naval Aviation,,,Dassault Breguet Atlantique,19,19,19,14,5,19,14,5,0,Crashed in the vicinity of Day Mountain in heavy rain and low clouds.</t>
  </si>
  <si>
    <t>05/24/1986,,"Antananarivo, Madagascar",Military - ArmÃ©e de l'Air Malgache,,Antananarivo - Antsirabe,Douglas C-47,,,13,0,13,13,0,13,0,Flew into the side of a mountain in poor weather. Controlled flight into terrain.</t>
  </si>
  <si>
    <t>06/10/1986,,"Near Cairo, Egypt",EgyptAir,,Cairo - Alexandia,Fokker F-27 Friendship 500,SU-GAD,10659,26,21,5,23,18,5,0,Crashed short of runway and collided with a building during a sandstorm.</t>
  </si>
  <si>
    <t>06/12/1986,15:22,"Port Ellen, Islay Island",Loganair,423,Glasgow - Port Ellen,de Havilland Canada DHC-6 Twin Otter 300,G-BGPC,635,16,14,2,1,0,1,0,The crew mistook Laphroaig for Port Ellen and crashed into a hill. Decision to allow the handling pilot to carry out a visual approach in unsuitable meteorological conditions. An error in visual navigation was a contributory factor.</t>
  </si>
  <si>
    <t>06/18/1986,09:33,"Grand Canyon, Arizona",Grand Canyon Airlines / Helitech,6 / 2,Grand Canyon - Grand Canyon,de Havilland Can. DHC-6 -300/ Bell 206B,N76GC/N6TC,248 /,25,22,3,25,22,3,0,Midair collision. Inadequate visual lookout on the part of  both aircraft. Twenty killed on the de Havilland and  five on the Helitech. The failure of the flightcrew of both aircraft to see and avoid each other for undetermined reasons.</t>
  </si>
  <si>
    <t>07/02/1986,10:27,"Near Syktyvar, Russia",Aeroflot,2306,Syktyvkar - 	Moscow,Tupolev TU-134A,CCCP-65120,60482,92,86,6,54,52,2,0,The aircraft crashed in a forest after an in-flight fire caused by baggage that ignited in the rear cargo hold led to loss of contol of the aircraft.</t>
  </si>
  <si>
    <t>07/10/1986,,"Maputo, Mozambique",Military - Zimbabwe Air Force,,Chimoio - Harare,Douglas C-47A,7312,9492,17,13,4,17,13,4,0,Crashed during takeoff.</t>
  </si>
  <si>
    <t>08/04/1986,00:23,"Off St. Vincent, Leeward Islands",Leeward Islands Air Transport,,Vieux Fort - Kingstown,de Havilland Canada DHC-6 Twin Otter 300,V2-LCJ,785,13,11,2,13,11,2,0,Crashed into the sea in poor weather conditions.</t>
  </si>
  <si>
    <t>08/14/1986,11:30,"Near Wampusirpi, Honduras",Military - Honduran Air Force,,Tegucigalpa - Duzuna,Lockheed C130D,556,3194,59,53,6,59,53,6,0,Crashed into the jungle in poor weather conditions as it approached Durzana Air Base.</t>
  </si>
  <si>
    <t>08/16/1986,10:30,"Malakal, Sudan",Sudan Airways,,Malakal - Khartoum,Fokker F-27 Friendship 400M,ST-ADY,10277,60,57,3,60,57,3,0,Shot down by SPLA rebels with surface-to-air missiles shortly after takeoff.</t>
  </si>
  <si>
    <t>08/28/1986,06:53,"Texarkana, Arkansas",Southwest Airlift,,Little Rock - Texarkana,Howard 250,N252K,2596,2,0,2,2,0,2,0,"On takeoff the cargo plane pitched up, rolled inverted and crashed. Improperly loaded. Alcohol impairment of the pilot and co-pilot."</t>
  </si>
  <si>
    <t>08/31/1986,11:52,"Cerritos, California",Aeromexico / Private,498,Tijuana - Los Angeles,MD Douglas DC-9-32 / Piper PA-28-181,XA-JED/N4891F,47356/470 /?,67,58,9,67,58,9,15,"A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</si>
  <si>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09/05/1986,06:00,"Karachi, Pakistan",Pan American World Airways,73,Bombay-Karachi-Frankfurt-New York,Boeing B-747-121,N656PA,20351/127,384,364,20,16,14,1,1,"While on the ground, four hijackers opened fire on the passengers and crew and threw grenades among them, killing 16 passengers, one crew member and one ground crew member. The aircraft was named ""Clipper Empress of the Seas."""</t>
  </si>
  <si>
    <t>09/09/1986,,"Hopkinsville, Kentucky",Military - U.S. Air Force,,,Lockheed C-130A Hercules,56-0468,3076,4,0,4,3,0,3,0,Overran the runway and crashed.</t>
  </si>
  <si>
    <t>09/19/1986,14:58,"Near Mantiqueira, Brazil",Atlantic Southeast Airlines,,Sao Jose dos Campo - Manaus,Embraer 120RT Brasilia,N219AS,120019,5,3,2,5,3,2,0,"On a delivery flight the aircraft struck a cloud covered mountain at 4,300 ft. Crew did not follow the prescribed course."</t>
  </si>
  <si>
    <t>10/04/1986,04:10,"San Antonio, Texas",Southern Air Transport,15,Kelly AFB - Warner Robins AFB,Lockheed L-100-30 Hercules,N15ST,4391,3,0,3,3,0,3,0,"The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</si>
  <si>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10/14/1986,08:14,"Ust-Maya, USSR",Aeroflot,,Ust-May - 	Allah-Yun,LET 410MT Turbojet,CCCP-67264,780905,14,12,2,14,12,2,0,Crashed into river on takeoff.</t>
  </si>
  <si>
    <t>10/15/1986,17:00,"Chiraz, Iran",Iran Air,,Chiraz-TÃ©hÃ©ran,Boeing 737-286,EP-IRG,20499/284,80,75,5,3,3,0,0,Shiraz Airport was attacked by Iraqi aircraft. Passengers were deplaning at the time of the attack.</t>
  </si>
  <si>
    <t>10/19/1986,19:21,"Near Komatipoot, South Africa",Government of Mozambique,,Lusaka - Maputo,Tupolev TU-134A,C9-CAA,63457,44,35,9,34,26,8,0,"Crashed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</si>
  <si>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10/20/1986,15:58,"Kuybyshev, Russia",Aeroflot,,Yekaterinburg - Kuybyshev,Tupolev TU-134A,CCCP-65766,62327,93,85,8,70,66,4,0,"The plane made a hard landing, crashed and burst into flames after a straight-in hard landing without leveling off."</t>
  </si>
  <si>
    <t>10/22/1986,16:45,"Manhattan, New York",Private - WNBC,-,Traffic reporting,Enstrom F-28F,N8617B,700,2,1,1,2,1,1,0,"The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</si>
  <si>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10/23/1986,20:49,"Near Peshawar, Pakistan",Pakistan International Airlines,,Lahore - Peshawar,Fokker F-27 Friendship 600,AP-AUX,10335,54,49,5,13,9,4,0,"Crashed short of the runway on approach, broke up and landed inverted. Crew error. The aircraft was allowed to descent below MDA. Crew did not properly monitor the altitude."</t>
  </si>
  <si>
    <t>10/30/1986,17:00,"Near Managua, Nicaragua",Military - Nicaraguan Air Force,,,Mil Mi-17 (helicopter),294,,23,20,3,21,19,2,0,"Either mechanical failure, weather or ground fire from Contra rebels brought the helicopter down."</t>
  </si>
  <si>
    <t>11/02/1986,19:25,"Near Zahedan, Iran",Military - Iranian Air Force,,Bakhtaran - Zahedan,Lockheed C-130,,,103,96,7,103,96,7,0,Struck the side of a mountain near the Pakistani border. Crew error. Descent below minimum safe altitude with a defective altimeter and in spite of warnings from the ATC.</t>
  </si>
  <si>
    <t>11/06/1986,,"Off Sumburgh Head, Shetlands, Scotland",British International Helicopters,,,Boeing-Vertol Chinook,G-BWFC,MJ004,47,45,2,45,43,2,0,The helicopoter crashed into the North Sea while carrying oil workers back to Sumburgh. Rotor failure.</t>
  </si>
  <si>
    <t>11/25/1986,,"Near Sarowbi, Afghanistan",Military - Afghan Republican Air Force,,,Ilyushin IL-18,,,40,35,5,40,35,5,0,Shot down by Afghan rebels.</t>
  </si>
  <si>
    <t>12/12/1986,,"Berlin, East Germany",Aeroflot,,Minsk - Berlin,Tupolev TU-134A,CCCP-65795,63145,82,73,9,72,63,9,0,The aircraft crashed after landing on the wrong runway in fog. The crew did not understand the English instructions that the right runway was closed for repairs.</t>
  </si>
  <si>
    <t>12/15/1986,,"Near Lanzhou, China",CAAC,,Lanzhou - Chengdu,Antonov AN-24RV,B-3413,37308907,44,37,7,6,6,0,0,"The No. 2 engine failed due to severe icing conditions 30 minutes after leaving Lanzhou. With the prop feathered, the plane crashed before reaching the airport."</t>
  </si>
  <si>
    <t>12/25/1986,12:30,"Arar, Saudi Arabia",Iraqi Airways,,Baghdad - Amman,Boeing B-737-270C,YI-AGJ,21183,106,91,15,63,60,3,0,"Hijacking.  While on a flight from Baghdad to Amman, hijackers exploded a hand grenade in the passenger cabin. While making an emergency descent a second hand grenade exploded in the cockpit causing the plane to lose control crash, break in two and catch fire."</t>
  </si>
  <si>
    <t>12/27/1986,13:48,"Near Nasaso, Fiji",Sunflower Airlines,,Savu Savu - Nadi,de Havilland DH-114 Heron 2B,DQ-FEF,14056,14,12,2,11,9,2,0,The aircraft banked ninety degrees and crashed short of the runway. Loss of control due to mechanical failure. Use of a unsecured nonstandard flap attachment pin.</t>
  </si>
  <si>
    <t>01/02/1987,16:30,"Off Bata, Equatorial Guinea",Military - Spanish Air Force.,,Bata - Malabo,CASA 212-100,T-12B-32,65,22,19,3,22,19,3,0,The domestic flight crashed off the island of Bioko and sending a distress message. Engine failure.</t>
  </si>
  <si>
    <t>01/03/1987,01:45,"Abidjan, Ivory Coast",Varig,797,Abidjan - Rio de Janeiro,Boeing B-707-379C,PP-VJK,19822/726,51,39,12,50,38,12,0,The plane crashed in the jungle while returning to Abidjan after taking off with the No. 1 engine on fire.</t>
  </si>
  <si>
    <t>01/13/1987,13:30,"Near Asmara, Ethiopia",Military - Ethiopian Air Force,,Asrmara - Addis Ababa,Antonov AN-12,,,54,49,5,54,49,5,0,Crashed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</si>
  <si>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01/15/1987,12:52,"Salt Lake City, Utah",Skywest Airlines / Private.,1834,Pocatello - Salt Lake City,Swearingen SA-226TC / Mooney M-20C,N163SW / N6485U,TC-327 /,10,8,2,10,8,2,0,"Midair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</si>
  <si>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01/16/1987,08:11,"Tashkent, Uzbekistan",Aeroflot,I-505,Tashkent - Shahrizyabz,Yakovlev YAK-40,CCCP-87618,9131918,9,5,4,9,5,4,0,"While taking off, the aircraft banked sharply to the left and crashed. Encounted a wake vortex from another aircraft."</t>
  </si>
  <si>
    <t>02/06/1987,,"Off Papua, New Guinea",Talair,,Rabaul - Hoskins,Embraer 110P2 Bandeirante,P2-RDM,110-262,17,15,2,14,12,2,0,Ditched into the sea in poor weather conditions.</t>
  </si>
  <si>
    <t>02/09/1987,11:30,"Near Khost, Afghanistan",Military - Afghan Republican Air Force,,Khost - Kabul,Antonov AN-26,,,36,30,6,36,30,6,0,Shot down by a Stinger missile by Afghan guerillas.</t>
  </si>
  <si>
    <t>03/04/1987,14:34,"Detroit, Michigan",Northwest Airlink,2268,Cleveland - Detroit,CASA 212 Aviocar 200,N160FB,160,22,20,2,9,7,2,0,"While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</si>
  <si>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03/06/1987,19:10,"Near Almaty, Kazakhstan",Aeroflot,,	Biysk - Alma-Ata,Antonov An-26,CCCP-26007,9901,9,4,5,9,4,5,0,The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</si>
  <si>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03/13/1987,,"Spokane, Washington",Military - U.S. Air Force,,Training,Boeing KC-135,60-0361,18136/475,6,0,6,6,0,6,1,Stalled and went into a spin during a low-level refueling practice. The stall was propagated by the wake of a B-52.</t>
  </si>
  <si>
    <t>03/21/1987,13:55,"Mount San Gorgonio, California",California Air National Guard,,,F-4C Phantom jet fighter,64-0923,1403,2,0,2,2,0,2,0,"Dean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</si>
  <si>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03/30/1987,11:00,"Near Parachinar, Pakistan",Military - Afghan Republican Air Force,,Kaboul-Khost,Antonov AN-26,,,40,36,4,40,36,4,0,Shot down by a Pakistani F-16 jet fighter firing an air-to-air missile.</t>
  </si>
  <si>
    <t>04/04/1987,14:40,"Medan-Polonia, Indonesia",Garuda Indonesia Airlines,035,Banda Aceh - Medan,McDonnell Douglas DC-9-32,PK-GNQ,47741/836,45,37,8,27,23,4,0,The aircraft crashed on approach during heavy rain after hitting an antenna. Windshear.</t>
  </si>
  <si>
    <t>04/13/1987,21:55,"Kansas City, Kansas",Burlington Air Express,,Wichita - Kansas City,Boeing 707-351C,N144SP,19209/510,4,1,3,4,1,3,0,The cargo plane flew into the ground short of the runway despite warnings from the controller. Improper IFR procedure. Disregarded decision height. Disregarded warnings.</t>
  </si>
  <si>
    <t>04/23/1987,19:35,"Wilmington, North Carolina",Air-Lift Commuter,,Wilmington - Lumberton,Swearingen SA-26TC Metro II,N505LB,TC-202,2,0,2,2,0,2,0,The cargo plane lost the No. 2 engine while taking off and crashed into trees and caught fire. Poor in-flight planning. Emergency procedures not followed. The right engine did not have the latest welding process and failed causing a uncontained turbine failure.</t>
  </si>
  <si>
    <t>05/05/1987,,"Malakal, Sudan",Sasco Air Lines,,Malakal-Khartoum,Cessna 404 Titan II,ST-AIJ,404-0612,14,12,2,14,12,2,0,Shot down by rebels shortly after taking off.</t>
  </si>
  <si>
    <t>05/08/1987,06:50,"Mayaguez, Puerto Rico",American Eagle,5452,"San Juan, PR - Mayaguez, PR",CASA 212 Aviocar 200,N432CA,271,6,4,2,2,0,2,0,Improper maintenance in setting propeller flight idle blade angle and engine fuel flow resulting in a loss of control from an asymmetric power condition. A factor contributing to the accident was the pilot's unstabilized visual approach.</t>
  </si>
  <si>
    <t>05/09/1987,11:12,"Warsaw, Poland",LOT Polish Airlines,5055,Warsaw - New York City,Ilyushin IL-62M,SP-LBG,3344942,183,172,11,183,172,11,0,"The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</si>
  <si>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05/11/1987,18:00,"Pickle Lake, Ontario, Canada",Air Manitoba,,Big Trout - Pickle Lake,Douglas C-47B,C-FADD,26324,2,0,2,2,0,2,0,The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</si>
  <si>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05/20/1987,,"Santa Cruz, Bolivia",YPFB Transportes Aereos,,Camiri - Santa Cruz,de Havilland Canada DHC-6 Twin Otter 300,CP-1018,363,16,13,3,14,11,3,0,Crashed into high terrain in poor weather.</t>
  </si>
  <si>
    <t>05/23/1987,,"Near Ruteng, Indonesia",Merpati Nusantara Airlines,,,de Havilland Canada DHC-6 Twin Otter 300,PK-NUW,474,8,6,2,8,6,2,0,Crashed into a ditch while attempting to land at Ruteng.</t>
  </si>
  <si>
    <t>05/25/1987,,"Ilaga, Indonesia",Missionary Aviation Fellowship,,,de Havilland Canada DHC-6 Twin Otter 100,PK-MAM,76,30,29,1,7,6,1,0,Crashed into a ravine while attempting to land.</t>
  </si>
  <si>
    <t>06/11/1987,06:30,"Khost, Afghanistan",Bakhtar Afghan Airlines,,Khost-Kaboul,Antonov AN-26,YA-BAL,14105,53,48,5,53,48,5,0,Shot down by rebel forces with a surface-to-air missile.</t>
  </si>
  <si>
    <t>06/18/1987,10:00,"Near Montelillo, Peru",Military - Peruvian Air Force,,Lima - Saposa,Antonov AN-26,FAP-392,5805,46,40,6,46,40,6,0,Crashed into a gorge near the Jerache River  while en route on a domestic flight in adverse weather conditions.</t>
  </si>
  <si>
    <t>06/19/1987,11:22,"Berdiansk, USSR",Aeroflot,H-528,	Odessa - 	Berdyansk,Yakovlev YAK-40,CCCP-87826,9241824,29,24,5,8,6,2,0,"The aircraft landed at a high rate of speed and a go-around was initiated but then aborted. The aircraft overran the runway, crashed into trees and caught fire."</t>
  </si>
  <si>
    <t>06/21/1987,,"Heho, Burma",Burma Airways,,Heho - Mong Hsat,Fokker F-27 Friendship 200,XY-ADP,10357,45,41,4,45,41,4,0,"Crashed into mountains at 8,200 ft. 20 minutes after leaving Heho."</t>
  </si>
  <si>
    <t>06/26/1987,11:03,"Near Baguio, Philippines",Philippine Air Lines,,Manila - Baguio,Hawker Siddeley HS-748-209 Srs. 2,RP-C1015,1637,50,46,4,50,46,4,0,The aircraft crashed into Mt. Ugu in monsoon rains and heavy fog while preparing to land at Baguio.</t>
  </si>
  <si>
    <t>07/01/1987,,"Fort Bragg AFB, North Carolina",Military - U.S. Air Force,,,Lockheed C-130E Hercules,68-10945,4325,6,0,6,4,0,4,1,"The aircraft was doing a drop and pulled up too late. The airplane skidded 1,000 yards down a dirt runway and struck a military vehicle, killing an Army soldier. The plane then impacted trees and broke up."</t>
  </si>
  <si>
    <t>07/24/1987,,"Geneva, Switzerland",Air Afrique,56,Brazzaville - Paris,McDonnell Douglas DC-10-30,,,163,NULL,NULL,1,NULL,NULL,0,"Hijacked while en route from Rome, Italy to Paris, France. The hijacker killed one male passenger when the plane landed at Cointrin Airport in Switzerland to refuel, after which the plane was stormed by security personnel."</t>
  </si>
  <si>
    <t>07/30/1987,17:03,"Mexico City, Mexico",Belize Air International Ltd.,,Mexico City - Miami,Boeing B-377 Stratofreighter,HI-481,16687,12,10,2,5,4,1,44,The cargo plane crashed on a roadway into a restaurant after taking off  in adverse weather conditions. Overloaded. Cargo shifted on takeoff.</t>
  </si>
  <si>
    <t>08/04/1987,,"Calama, Chile",LAN,,Santiago - Calama,Boeing B-737-2A1,CC-CHJ,22602,33,30,3,2,2,0,0,"The landing gear failed after the aircraft touched down 520 meters short of the runway, broke in two and caught fire."</t>
  </si>
  <si>
    <t>08/16/1987,20:46,"Romulus, Michigan",Northwest Airlines,255,"Detroit, MI - Phoenix, AZ",McDonnell Douglas MD-82,N312RC,48090/1040,155,149,6,154,148,6,2,"The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</si>
  <si>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08/31/1987,15:36,"Off Ko Phuket, Thailand",Thai Airways,365,Hat Yai - Phuket,Boeing B-737-2P5,HS-TBC,22267/685,83,74,9,83,74,9,0,The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</si>
  <si>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09/08/1987,,"Carajas, Brazil",Military - Brazilian Air Force,,,Hawker Siddeley HS-125-403B,FAB2129,25290,9,7,2,9,7,2,0,Crashed during takeoff.</t>
  </si>
  <si>
    <t>09/13/1987,,"Kunduz, Afghanistan",Aeroflot,,Kaboul-Kunduz,Antonov AN-26,,,15,13,2,15,13,2,0,Shot down by Afghan rebels on approach.</t>
  </si>
  <si>
    <t>09/21/1987,09:05,"Luxor, Egypt",EgyptAir,,Training,Airbus A.300B4-203,SU-BCA,115,5,0,5,5,0,5,0,"The plane landed too far down the runway, overran the runway, struck runway lights went through a fence and broke up."</t>
  </si>
  <si>
    <t>10/11/1987,,"El Poleo, Colombia",Aeroejecutivos Colombia,,,de Havilland Canada DHC-6 Twin Otter 310,HK-2920,419,9,7,2,2,0,2,0,The aircraft crashed while attempting to make an emergency landing.</t>
  </si>
  <si>
    <t>10/11/1987,,"Near Pagan, Myanmar",Burma Airways,,Rangoon - Nyaung-U,Fokker F-27 Friendship 500,XY-AEL,10689,49,45,4,49,45,4,0,"The aircraft crashed into a ridge at 1, 500 ft. in heavy rain while attempting to land at Nyaung-U Airport ."</t>
  </si>
  <si>
    <t>10/15/1987,18:28,"Mt. Crezzo, Italy",Aero Transporti Italiani,460,Milan - Koln,Aerospatiale Alenia ATR-42-312,I-ATRH,046,37,34,3,37,34,3,0,"Shortly after taking off from Milan and passing through FL147, the aircraft nosed down and crashed into a mountain, in icing conditions. Icing of the wings."</t>
  </si>
  <si>
    <t>10/19/1987,,"Komsomolsk-on-Amur, Russia",MAP,,,Antonov An-12B,CCCP-12162,9346702,9,2,7,9,2,7,0,The plane overran the runway while attempting to take off crashed into a building and was destroyed.</t>
  </si>
  <si>
    <t>10/20/1987,08:15,"Indianapolis, Indiana",Military - U.S. Air Force,,"Pittsburg, PA - Nellis AFB",A-7D Corsair,,,11,0,11,10,0,10,10,"The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</si>
  <si>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11/06/1987,08:30,"Ulongue, Malawi",Air Malawi,,Blantyre - Lilongwe,Shorts SC-7 Skyvan 3-100,7Q-YMB,SH-1971,10,8,2,10,8,2,0,Shot down by rebels.</t>
  </si>
  <si>
    <t>11/15/1987,14:15,"Denver, Colorado",Continental Airlines,1713,"Denver, CO - Boise, ID",McDonnell Douglas DC-9-14,N626TX,45726/36,82,77,5,28,25,3,0,"Crashed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</si>
  <si>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11/23/1987,18:25,"Homer, Alaska",Ryan Air Services,103,Kodiak - Homer,Beechcraft 1900C,N401RA,UB-58,21,19,2,18,16,2,0,The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</si>
  <si>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11/28/1987,04:00,"Off Mauritius, Indian Ocean",South African Airways,295,"Taipei, Taiwan -  Mauritius - Johannesburg, South Africa",Boeing B-747-244B Combi,ZS-SAS,22171/488,159,140,19,159,140,19,0,"While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</si>
  <si>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 xml:space="preserve"> (2) caused disorientation of the crew due to thick smoke</t>
  </si>
  <si>
    <t xml:space="preserve"> (3) caused crew distraction</t>
  </si>
  <si>
    <t xml:space="preserve"> (4) weakened the aircraft structure, causing an in-flight break-up</t>
  </si>
  <si>
    <t xml:space="preserve"> (5) burned through control cables or </t>
  </si>
  <si>
    <t xml:space="preserve"> (6) caused loss of control due to deformation of the aircraft fuselage. It has been rumored that an unstable substance, not listed on the manifest, was illigally being shipped and started the fire though this has never been proven."</t>
  </si>
  <si>
    <t>11/29/1987,11:30,Over the Andaman Sea,Korean Airlines,858,Abu Dhabi - Bangkok,Boeing B-707-3B5C,HL-7406,20522/855,115,104,11,115,104,11,0,"The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</si>
  <si>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12/03/1987,16:00,"Near Kishwati, Rwanda",Cooper Skybird Air Charters,,Goma-Nairobi,Cessna 404 Titan,5Y-EJS,,14,13,1,14,13,1,0,"The aircraft crashed  into a top of a tree 10 km from the airport, about 18 minutes after taking off,"</t>
  </si>
  <si>
    <t>12/07/1987,16:16,"San Luis Obispo, California",Pacific Southwest Airlines,1771,Los Angeles - San Fransisco,British Aerospace BAe-146-200A,N350PS,E-2027,43,38,5,43,38,5,0,"A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</si>
  <si>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12/08/1987,20:15,"Off Lima, Peru",Peruvian Naval Aviation,,Pucallpa - Lima,Fokker F-27 Friendship 400M,AE-560,10548,43,37,6,42,37,5,0,The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</si>
  <si>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12/13/1987,07:20,"Near Iligan, Philippines",Philippine Air Lines,443,Cebu - Iligan,Shorts 360-300,EI-BTJ,SH-3719,15,11,4,15,11,4,0,"Crashed into Mt. Munay at 5,000 ft. while approaching Maria Cristina for landing."</t>
  </si>
  <si>
    <t>12/14/1987,21:30,"Off Vila dos Remidos, Brazil",Military - Brazilian Air Force,,Recife - Fernando de Noronha,Lockheed C-130H,FAB2468,4998,29,23,6,29,23,6,0,Crashed into the Atlantic Ocean while en route for reasons unknown.</t>
  </si>
  <si>
    <t>12/21/1987,15:10,"Bordeaux, France",Air Littoral,,Brussels - Bordeaux,Embraer 120 Brasilia,F-GEGH,120-033,16,13,3,16,13,3,0,Crashed short of the runway and struck trees in fog after being diverted due to the weather.</t>
  </si>
  <si>
    <t>12/21/1987,,Eugene Island,Air Taxi - Petroleum Helicopters Inc.,,,Aerospatiale SA-330J,N3596N,1588,15,13,2,15,13,2,0,The helicopter crashed while attempting to land on an oil rig. Improper planned approach. Clearance not maintained.</t>
  </si>
  <si>
    <t>12/30/1987,,Pacific Ocean,Merpati Nasantara Airlines,,Samarinda - Berau,de Havilland Canada DHC-6 Twin Otter 300,PK-NUY,459,17,14,3,17,14,3,0,"Disappeared between Samarinda and Berau, Indonesia."</t>
  </si>
  <si>
    <t>01/02/1988,19:20,"Izmir, Turkey",Condor Flugdienst,3780,Stuttgart - Izmir,Boeing B-737-230A,D-ABHD,22635/774,16,11,5,16,11,5,0,The aircraft was off the ILS sidebeam and crashed into a hill on approach in poor weather. The crew used the wrong VOR and ILS. Pilot overconfidence and co-pilot inactivity during the approach.</t>
  </si>
  <si>
    <t>01/18/1988,,"Mt. Colorado, Bolivia",ETA - Empresa Transportes AÃ©reos,,,Curtiss C-46A-55,CP-1244,246,9,6,3,9,6,3,0,Struck Mt. Colorado in poor weather.</t>
  </si>
  <si>
    <t>01/18/1988,04:20,"Krosnovodsk, USSR",Aeroflot,,Moscow - Krosnovodsk,Tupolev TU 154B-2,CCCP-85254,77A254,143,137,6,11,11,0,0,Broke in two after a heavy landing. Crew error. Co-pilot was flying the plane against requirements that the pilot fly the plane.</t>
  </si>
  <si>
    <t>01/18/1988,22:17,"Near Chungking, Sichuan, China",China Southwest Airlines,4146,Beijing - Chongqing,Ilyushin IL-18D,B-222,187009901,108,98,10,108,98,10,0,The aircraft crashed 10 minutes before its scheduled landing. Fire in and failure of the No. 4 engine led to separation of the pylon and engine and loss of control of the aircraft. Overheating of the feathering oil. Poor maintenance procedures.</t>
  </si>
  <si>
    <t>01/19/1988,19:00,"Bayfield, Colorado",Trans Colorado AL / Continental Express,2286,"Denver, CO - Durango, CO",Swearingen SA.227AC Metro,N68TC,AC-457,17,15,2,9,7,2,0,"The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</si>
  <si>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01/19/1988,,"Green Island, Taiwan",Taiwan Airlines,,Taitung-Lyudao,Britten-Norman BN-2A-26 Trislander,B-11125,2029,11,10,1,10,9,1,0,Crashed in mountains.</t>
  </si>
  <si>
    <t>01/24/1988,16:49,"Near Nizhnevartovsk, Russia",Aeroflot,,Nizhnevartovsk - Tyumen,Yakovlev YAK-40,CCCP-87549,9531442,31,27,4,27,23,4,0,"The plane stalled and crashed after a loss of engine power on takeoff. The engine throttles were reduced at  a critical stage of the takeoff for undetermined reasons, probably by the crew."</t>
  </si>
  <si>
    <t>02/01/1988,,Panama,Military - Fuerza AÃ©rea Panamena,,,CASA 212 Aviocar 200,FAP215,237,16,14,2,16,14,2,0,Flew into a mountain.</t>
  </si>
  <si>
    <t>02/08/1988,07:58,"Near Mulheim, Germany",NFD - Nurnberger Flugdienst,108,Hannover - Dusseldorf,Swearingen SA.227AC Metro III,D-CABB,AC-500,21,19,2,21,19,2,0,The plane was struck by lightning and suffered a complete electrical failure after which the right wing broke off during an uncontrollable descent.</t>
  </si>
  <si>
    <t>02/19/1988,21:27,"Cary, North Carolina",AV Air / American Eagle,3378,Raleigh - Richmond,Swearingen SA227-AC,N622AV,AC-622,12,10,2,12,10,2,0,"The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</si>
  <si>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02/27/1988,04:08,"Surgut, Russia",Aeroflot,,Tyumen - Surgut,Tupolev TU-134A,CCCP-65675,1351501,51,45,6,20,17,3,0,"The aircraft made a hard landing beside the runway, broke up and caught fire. Crew error. Visual contact with the runway was lost as the aircraft descended through the decision height."</t>
  </si>
  <si>
    <t>02/27/1988,10:25,"Near Ercan, Cyprus",Talia Airways,,Istanbul - Ercan,Boeing B-727-2H9A,TC-AKD,20930/1044,15,9,6,15,9,6,0,"Crashed into mountain 20 kms E of Kyrenia Turkey while on approach. Crew error. Pilot discontinued IFR approach and descended ignoring mountains ahead. Realizing his mistake, he tried to climb and turn left but struck the mountain."</t>
  </si>
  <si>
    <t>03/01/1988,17:28,"Near Johannesburg, South Africa",Commercial Airways (Comair),206,Phalaborwa - Johannesburg,Embraer 110P1 Bandeirante,ZS-LGP,110-402,17,15,2,17,15,2,0,The aircraft crashed and burned 8 miles from Jan Smuts Airport while attemping to land. Detonation of a bomb consisting of nitro-glycerine and ammonium nitrate. A mineworker who heavily insured himself was thought to have committed suicide.</t>
  </si>
  <si>
    <t>03/04/1988,06:37,"Near Fontainebleau, France",Transport Arien Transregional,230,Nancy - Paris,Fairchild FH-227B,F-GCPS,546,23,20,3,23,20,3,0,Crashed after hitting power lines while making an approach to Orly. Electrical system failure.</t>
  </si>
  <si>
    <t>03/08/1988,21:45,"Near Clarksville, Tennessee",Military - U.S. Army,,,Sikorsky UH-60A / Sikorsky UH-60A,8524462/8724605,,17,NULL,NULL,17,NULL,NULL,0,The two helicopters collided in mid-air in the dark and crashed on the Fort Campbell military base. Pilot error.</t>
  </si>
  <si>
    <t>03/17/1988,13:17,"Near Cucuta, N of  Santander, Colombia",AVIANCA,410,Cucuta - Cartagena,Boeing B-727-21,HK-1716,18999/240,143,136,7,143,136,7,0,"The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</si>
  <si>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03/31/1988,04:10,"Cairo, Egypt",Arax Airlines,,Cairo - Sharjah,Douglas DC-8-55F,5N-ARH,45859/253,4,0,4,4,0,4,0,During a second attempt to take off an engine on the cargo plane failed causing the plane to crash at the end of the runway.</t>
  </si>
  <si>
    <t>04/05/1988,,"Combi, Cyprus",Kuwait Airways,,Bangkok - Kuwait,Boeing B-747-200,9K-ADA,21541,112,NULL,NULL,2,NULL,NULL,0,Hijacking. Two hostages killed on the ground.</t>
  </si>
  <si>
    <t>04/10/1988,15:10,"Near MazÃ¢r-e Charif, Afghanistan",Military - Afghan Republican Air Force,,Maimana - Mazar,Antonov AN-26,,,29,26,3,29,26,3,0,Shot down by Afghan guerillas with an anti-aircraft missile.</t>
  </si>
  <si>
    <t>04/12/1988,20:09,"Near Hennenman, South Africa",United Airways,,Bloemfontein - Johannesburg,Douglas DC-3C,ZS-UAS,6154,24,21,3,24,21,3,0,The plane crashed after fire broke out at FL90 and an emergency descent was made. A leak at the right booster pump was the source of the fire.</t>
  </si>
  <si>
    <t>04/19/1988,05:03,"Bagdarin, USSR",Aeroflot,,Muya - Bagdarin,Let 410UVP Turolet,CCCP67518,851422,17,15,2,17,15,2,0,Crashed into a mountain during descent  in poor weather.</t>
  </si>
  <si>
    <t>04/27/1988,,"Near Tchamulate, Angola",Military - Cuban Air Force,,,Antonov AN-26,14-27,7007,29,26,3,29,26,3,0,Shot down with a surface-to-air missile.</t>
  </si>
  <si>
    <t>04/28/1988,13:46,"Maui, Hawaii",Aloha Airlines,243,Hilo - Honolulu,Boeing B-737-297,N73711,20209,95,90,5,1,0,1,0,"The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</si>
  <si>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05/06/1988,22:29,"Near Broennoysund, Norway",Wideroe's Flyveselksap,710,Namsos - Bronnoysund,de Havilland Canada DHC-7-102,LN-WFN,028,36,33,3,36,33,3,0,Crashed into a hillside during approach in foggy weather. The crew started the approach to 4NM too early. Navigation error. Pilot error.</t>
  </si>
  <si>
    <t>05/24/1988,12:55,"New Orleans, Louisiana",TACA,,"Belize City, Belize - New Orleans, LA",Boeing B-737-3T0,N75356,23838,45,38,7,0,0,0,0,The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</si>
  <si>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05/26/1988,,"Puerto Limon, Costa Rica",Aeronica,,,Douglas DC-6,YN-CBE,,6,0,6,6,0,6,0,The cargo plane crashed.</t>
  </si>
  <si>
    <t>05/26/1988,22:25,"Hannover, Germany",Starair,,Billund - Hannover - Nurnberg,Fokker F-27 Friendship 600,OY-APE,10443,2,0,2,2,0,2,0,While landing the cargo plane pitched up for a go-around causing cargo to shift and the plane to lose control and crash.</t>
  </si>
  <si>
    <t>06/12/1988,09:23,"Posadas, Argentina",Austral Lineas Aeras (Argentina),,Resistencia - Posadas,McDonnell Douglas MD-81,N1003G,48050/989,22,16,6,22,16,6,0,The airliner crashed 3 miles short of the runway in poor visibility. Crew's overconfidence and  incorrect in-flight planning.</t>
  </si>
  <si>
    <t>06/18/1988,,Central Mozambique,Military - Mozambique Air Force,,,Mil Mi-8 (helicopter),,,25,NULL,NULL,21,NULL,NULL,0,</t>
  </si>
  <si>
    <t>06/26/1988,14:45,"Habsheim, France",Air France,296Q,Basel - Basel,Airbus A320-111,F-GFKC,009,136,130,6,3,3,0,0,"The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</si>
  <si>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07/03/1988,10:55,"Over the Persian Gulf, near Bandar Abbas, Iran",Iran Air,655,Bandar Abbas - Dubai,Airbus A300B2-203,EP-IBU,186,290,278,12,290,278,12,0,"The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</si>
  <si>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07/06/1988,16:00,"Barranquilla, Colombia",Lineas AÃ©reas Suramericanas,,Barranquilla - Miami,Canadair CL-44J,HK-3148,39,8,0,8,8,0,8,0,Shortly after taking off the crew of the cargo plane experienced failure of the No. 4 engine and a fire. While attemping to return to the airport control was lost and the plane crashed.</t>
  </si>
  <si>
    <t>07/20/1988,19:25,"Golden Meadow, Louisiana",TACA,,El Salvador - New Orleans,Douglas C-118A,N33VX,44615/541,3,0,3,3,0,3,0,The cargo plane ran out of fuel and crashed into a dirt bank . Fuel starvaion. Open drain valve inside the No. 4 engine led to the loss of fuel.</t>
  </si>
  <si>
    <t>07/21/1988,,"Near Lagos, Nigeria",Angola Air Charter,,"Oostende, Belgium - Lagos, Nigeria",Boeing 707-328C,D2-TOV,18881/436,6,0,6,6,0,6,0,Crashed on approach.</t>
  </si>
  <si>
    <t>08/02/1988,,"Sofia, Bulgaria",Balkan Bulgarian Airlines,,Sofia  - Varna,Yakovlev YAK-40,LZ-DOK,9620247,37,33,4,29,26,3,0,"Crashed on takeoff from Sophia airport en route to Varna. Possible crew error. The stabilizer was set in the full ""Down"" position, instead it was supposed to be set between 2.5-3 degrees in ""the Up"" position."</t>
  </si>
  <si>
    <t>08/15/1988,,Northern Afghanistan,Military - Afghan Republican Air Force,,Kaboul-Kunduz,Antonov AN-22,,,39,35,4,39,35,4,0,Shot down by a surface-to-air missile.</t>
  </si>
  <si>
    <t>08/17/1988,16:30,"Bahawalpur, Pakistan",Military - Pakistan Air Force,,Bahawalpur - Islamabad,Lockheed C-130B Hercules,23494,3708,30,NULL,NULL,30,NULL,NULL,0,"Crashed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</si>
  <si>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08/26/1988,23:20,"Irkutsk, Russia",Aeroflot,,Kirensk - Irkutsk,Let 410MU,CCCP-67235,770801,4,2,2,4,2,2,0,"The crew failed to set the altimeters to the proper setting while landing. The plane descended until it contacted trees, broke up and caught fire. Crew fatigue was a factor."</t>
  </si>
  <si>
    <t>08/31/1988,,"Merida, Mexico",Aerocaribe,,,Convair CV-240,XA-HUL,229,20,NULL,NULL,1,NULL,NULL,0,Crashed while taking off.</t>
  </si>
  <si>
    <t>08/31/1988,09:19,"Kowloon Bay, Hong Kong",CAAC,301,Guangzhou - Hong Kong,Hawker Siddeley HS-121 Trident 2E,B-2218,2159,89,78,11,7,1,6,0,The right outboard flap of the plane hit the approach lights of Runway 31. The right main landing gear collapsed and the aircraft ran off the runway into the harbor.</t>
  </si>
  <si>
    <t>08/31/1988,09:01,"Dallas, Texas",Delta Air Lines,1141,"Dallas/Fort Worth, TX - Salt Lake City, UT",Boeing B-727-232 Adv,N473DA,20750/992,108,101,7,14,12,2,0,"The aircraft stalled and crashed during takeoff, hitting a ILS localizer antenna, 1,000 feet beyond the end of the runway. Crew error. Improperly set flaps and slats. Failure of the takeoff safety warning system."</t>
  </si>
  <si>
    <t>08/31/1988,10:00,"Cerro de la Calera, Mexico",Transporte Aereo Federal,,Uruapan - Lazro,Embraer 110P1 Bandeirante,XC-COX,110-192,20,18,2,20,18,2,0,The plane disappeared after taking off from Uruapan. Wreckage was found in the western Sierre Madre mountains.</t>
  </si>
  <si>
    <t>09/09/1988,11:38,"Bangkok, Thailand",Hang Khong (Vietnam),831,Hanoi - Bangkok,Tupolev TU-134A,VN-A102,60925,90,84,6,76,73,3,0,The aircraft crashed during approach in heavy rain and thunderstorms short of the runway. The crew descended below minimum altitude while over the outer marker. The plane lost height due to a microburst induced windshear when passing under a thunderstorm on final.</t>
  </si>
  <si>
    <t>09/12/1988,14:30,"Lago Agrio, Ecuador",TAME Ecuador,,Lago Agrio - Quito,Lockheed L-188A Electra,HC-AZY,1052,7,1,6,7,1,6,0,The positioning flight took off with one bad engine. Another engine failed and the plane crashed and burst into flames.</t>
  </si>
  <si>
    <t>09/15/1988,13:05,"Bahar Dar, Ethiopia",Ethiopian Airlines,604,Bahar Dar - Asmara,Boeing B-737-230,ET-AJA,23914/1456,104,98,6,35,35,0,0,"During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</si>
  <si>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09/19/1988,20:30,"Near Miram, Pakistan",Military - Afghan Republican Air Force,,,Antonov AN-26,,,34,NULL,NULL,34,NULL,NULL,0,Accidentally shot down by Pakistani anti-aircraft fire after straying out of Afghan air space.</t>
  </si>
  <si>
    <t>10/02/1988,,"Sao Pedro da Aldeia, Brazil",Aramar,,,Beech King Air F90,PT-LJR,LA-093,8,7,1,8,7,1,0,</t>
  </si>
  <si>
    <t>10/04/1988,23:00,"Near Batagay, Russia",Aeroflot,,Tikis - Batagay,Antonov 12BP,CCCP-11418,401712,6,0,6,6,0,6,0,"The cargo flight crew decided on a visual approach, ignored the GPWS warning and flew into a mountain."</t>
  </si>
  <si>
    <t>10/07/1988,13:21,"Linfen, China",Shanxi Airlines,,Sightseeing,Ilyushin IL-14P,B-4218,6341406,48,44,4,44,40,4,2,The sightseeing  plane crashed into a hotel shortly after takeoff. The left engine had failed following a fatigue fracture in the engine's oil pump drive shaft.</t>
  </si>
  <si>
    <t>10/11/1988,14:20,"Wurtsmith AFB, Michigan",Military - U.S. Air Force,,Sawyer AFB - Wurtsmith AFB,Boeing KC-135A,60-0317,18092/431,17,0,17,6,0,6,0,Crashed after returning from Sawyer AFB in Michigan.</t>
  </si>
  <si>
    <t>10/17/1988,00:30,"Rome, Italy",Uganda Airlines,775,London - Rome,Boeing B-707-338C,5X-UBC,19630/746,52,45,7,33,26,7,0,"Undershot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</si>
  <si>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10/19/1988,07:00,"Near Ahmedabad, India",Indian Airlines,113,Bombay - Ahmadabad,Boeing B-737-2A8,VT-EAH,20481/271,129,124,5,124,119,5,0,"The plane hit an electrical mast, 5 miles short of runway during an approach in fog and burst into flames. Error on the part of pilot-in-command as well as co-pilot due to non adherence to procedures under poor visibility conditions."</t>
  </si>
  <si>
    <t>10/19/1988,08:30,"Gauhati, India",Vayudoot,,Silchar - Gauhati,Fokker F-27 Friendship 100,VT-DMC,10173,34,31,3,34,31,3,0,Crashed short of the runway. Controlled flight into terrain.</t>
  </si>
  <si>
    <t>10/25/1988,10:53,"Juliaca, Peru",Aero Peru,,Juliaca - Arequipa,Fokker F-28 Fellowship 1000,OB-R-1020,11059,69,65,4,12,11,1,0,Crashed shortly after taking off from Manco Capac airport at Juliaca. The pilot tried to return to the runway but crashed in a high nose-up attitude into a pasture. The plane broke in two and burst into flames.</t>
  </si>
  <si>
    <t>11/02/1988,,"Near Rzeszow, Poland",LOT Polish Airlines,703,Warszawa - Rzeszow,Antonov AN-24B,SP-LTD,67302209,29,25,4,1,1,0,0,"The plane attempted to make an emergency landing due to engine failure, struck a ditch and caught fire."</t>
  </si>
  <si>
    <t>11/14/1988,07:14,"Ilmajoki, Finland",Wasa Wings,,Helsink - Ilmajoki,Embraer 110P1 Bandeirante,OH-EBA,110226,12,10,2,6,4,2,0,"The aircraft struck trees 2,400 feet next to the runway while approaching in deteriorating weather conditions. A power failure caused all light to go out at the airport."</t>
  </si>
  <si>
    <t>11/18/1988,06:30,"MontluÃ§on, France",Air Littoral,440,MontluÃ§on - Paris,Swearingen SA-226TC Metro II,F-GCPG,TC-334E,4,2,2,4,2,2,0,While taking off the nose pitched down the plane descended and crashed to the ground and caught fire. Inadvertent activation of the Stall Avoidance System resulting in the stick pusher activation at a crucial altitude.</t>
  </si>
  <si>
    <t>11/30/1988,07:20,"Hamada al Hambra, Libya",Aero Club Libya,,Hamada al Hambra - Tripoli,de Havilland Canada DHC-6 Twin Otter 300,5A-DDD,670,14,12,2,14,12,2,0,While attempting to land in mist and poor visibility the aircraft hit a  pylon and burned. VFR flight in IMC</t>
  </si>
  <si>
    <t>12/07/1988,19:33,"Kodinsk, Russia",Aeroflot,,	Krasnoyarsk - Kodinsk,Let 410UVP,CCCP-67127,790323,14,12,2,6,4,2,0,The aircraft struck the ground while the crew was in the base leg turn. Crew procedural errors. The radio altimeter warning was not set and the outer marker was not used during the approach.</t>
  </si>
  <si>
    <t>12/08/1988,,"BÃ®r MogreÃ¯n, Mauritania",T &amp; G Aviation,,Dakar - Agadir,Douglas DC-7CF,N284,45203/776,5,0,5,5,0,5,0,Accidently struck by a surface-to-air missile by the Polisario.</t>
  </si>
  <si>
    <t>12/10/1988,20:00,Afghanistan,Military - Afghan Republican Air Force,,Kabul - Khost,Antonov AN-32,,,25,NULL,NULL,25,NULL,NULL,0,Shot down by a Pakistani jet fighter while en route.</t>
  </si>
  <si>
    <t>12/11/1988,,"Leninakan, Armenia, USSR",Military - Russian Air Force / Military - Russian Air Force,,,Ilyushin IL-76 / Mi-8 (helicopter),CCCP-86732,083413388,83,74,9,77,68,9,0,A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</si>
  <si>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12/14/1988,21:50,"Near Luxor, Egypt",GAS Air,,Dar-es-Salaam - Cairo,Boeing B-707-321C,5N-AYJ,19168/508,8,5,3,8,5,3,5,After 2 missed approaches at Cairo the plane diverted to Luxor but crashed into a residential neighborhood while attempting to land. Forced landing. Fuel exhaustion.</t>
  </si>
  <si>
    <t>12/21/1988,19:03,"Lockerbie, Scotland",Pan American World Airways,103,London - New York City,Boeing B-747-121A,N739PA,19646/15,259,243,16,259,243,16,11,"The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</si>
  <si>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01/08/1989,20:25,"Leicestershire, England",British Midland Airways,92,London - Belfast,Boeing B-737-4Y0,G-OBME,23867/1603,126,118,8,47,47,0,0,"While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</si>
  <si>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01/31/1989,12:10,"Near Abilene, Texas",Military - U.S. Air Force,,Dyess AFB - Hawaii,Boeing KC-135A,63-7990,18607/646,19,12,7,19,12,7,0,Crashed in flames after taking off from Dyess Air Force Base. Failure of the water injection system during takeoff.</t>
  </si>
  <si>
    <t>02/03/1989,07:41,"Rangoon, Myanmar",Burma Airways,,Rangoon - Kentung,Fokker F-27 Friendship 600,XY-AEK,10325,29,25,4,26,23,3,0,The aircraft entered a fog bank after taking off from Rangoon and hit a tree and caught fire.</t>
  </si>
  <si>
    <t>02/06/1989,18:25,"Marseille, France",RAM,3132,Marseille - Paris,Vickers 952F Vanguard,F-GEJE,730,3,0,3,3,0,3,0,After a second takeoff attempt the cargo plane banked to the right until it crashed into the water.</t>
  </si>
  <si>
    <t>02/08/1989,14:08,"Santa Maria, Azores, Portugal",Independent Air Inc.,1851,Bergamo - Orio al Serio - Santa Maria,Boeing B-707-331B,N7231T,19572/687,144,137,7,144,137,7,0,"The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</si>
  <si>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02/19/1989,06:36,"Near Kuala Lumpur, Malaysia",Flying Tiger Line,66,Singapore - Kuala Lumpur,Boeing 747-249F,N807FT,21828/408,4,0,4,4,0,4,0,"The cargo plane descended below minimums and impacted trees and a hill. Non-standard phraseology used by Kuala Lumpur ATC, causing the crew to misinterpret the instructions."</t>
  </si>
  <si>
    <t>02/24/1989,02:09,"Honolulu, Hawaii",United Air Lines,811,Los Angeles - Honolulu - Auckland - Sydney,Boeing B-747-122,N4713U,19875/89,356,338,18,9,9,0,0,"After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</si>
  <si>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02/28/1989,06:33,"Near Quebec City, Quebec, Canada",Transfair,,La Grande - Lac Bienville,Douglas C-47A,C-FBZN,25290,2,0,2,2,0,2,0,The cargo plane crashed after its initial climb. Icing.</t>
  </si>
  <si>
    <t>03/10/1989,,"Lima, Peru",Aero Condor,,Sightseeing,Britten Norman BN-2A Trislander,OB-T-1271,0604,10,9,1,10,9,1,0,Crashed after striking radio tower while on approach.</t>
  </si>
  <si>
    <t>03/10/1989,12:09,"Dryden, Ontario, Canada",Air Ontario,1363,Dryden - Winnipeg,Fokker F-28 Fellowship 1000,C-FONF,11060,69,65,4,24,21,3,0,"While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</si>
  <si>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03/15/1989,07:25,"West Lafayette, Indiana",Mid Pacific Air,,Terre Haute - Lafayette,NAMC YS-11A-300F,N128MP,2139,2,0,2,2,0,2,0,"While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</si>
  <si>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03/18/1989,02:15,"Carswell AFB, Texas",Evergreen International Airlines,,"Fort Worth, TX - Oklahoma City, OK",McDonnell Douglas DC-9-33RC,N931F,47192/287,2,0,2,2,0,2,0,"The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</si>
  <si>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03/20/1989,07:00,"Pohang, South Korea",Military - U.S. Marine Corps,,,Sikorsky CH-53D,157140,,34,30,4,19,NULL,NULL,0,Crashed and burned in mountainous terrain during a troop lift mission. Came in for a landing at an extreme high bank until it crashed to the ground. Pilot error.</t>
  </si>
  <si>
    <t>03/21/1989,11:55,"Guarulhos, Brazil",Transbrasil,,Manaus - Sao Paulo-Guarulhos,Boeing B-707-349C,PT-TCS,19354/503,3,0,3,3,0,3,18,"The plane crashed into houses during a steep approach. Crew error. High speed approach. Deep stall. This was the Boeing 707 used in the movie ""Airport"" in 1970."</t>
  </si>
  <si>
    <t>04/10/1989,21:07,"Col de Tourniol, France",Europe Aero Service EAS,602,Paris - Valence,Fairchild FH-227B,F-GGDM,532,22,19,3,22,19,3,0,"After being cleared on a heading for Valence, the aircraft continued on its current heading until it struck a mountain at 4,100 feet. Crew error. Navigational error. Controlled flight into terrain."</t>
  </si>
  <si>
    <t>04/19/1989,,"Near Cucuta, Colombia",SATENA,,Cucuta - Arauca,Pilatus PC-6 Turbo Porter,FAC-1110,819,11,10,1,11,10,1,0,Crashed while en route.</t>
  </si>
  <si>
    <t>04/26/1989,,"Baranquilla, Colombia",Aerosucre Colombia,,Baranquilla - Bogota,AÃ©rospatiale SE-210 Caravelle,HK-3325X,215,5,2,3,5,2,3,0,"The cargo flight suffered the shifting of cargo after takeoff cause the plane to take a nose-high attitude, stall and crash into houses."</t>
  </si>
  <si>
    <t>05/05/1989,14:30,"Near Cancun, Mexico",Aero Cozumel,,Chichen Itza - Cozumel,Britten Norman BN-2A Trislander II,XA-JPE,1051,19,17,2,6,6,0,0,Crashed after the pilot radioed he was making an emergency landing with engine problems.</t>
  </si>
  <si>
    <t>05/08/1989,09:40,"Oskarshamn, Sweden",Holmstoem Air,,Stockholm - Oskarshamn,Beechcraft 99,SE-IZO,U048,16,14,2,16,14,2,0,"While on approach the plane pitched up, went into a steep dive and crashed short of the runway. Aircraft improperly loaded causing a shift in the center of gravity."</t>
  </si>
  <si>
    <t>05/09/1989,,"Near Tainjin, China",Aero Asahi,,,Bell 412,JA9596,33070,NULL,NULL,NULL,10,NULL,NULL,0,</t>
  </si>
  <si>
    <t>06/07/1989,04:27,"Near Paramaribo, Surinam",Surinam Airways,764,Paramaribo - Zanderij,McDonnell Douglas DC-8 Super 62,N1809E,46107/498,187,178,9,176,167,9,0,"The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</si>
  <si>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06/11/1989,10:15,"Vereda el Salitre, Colombia",Aerotaca,,El Yopal - Tame,de Havilland Canada DHC-6 Twin Otter 300,HK-2486,676,22,20,2,6,6,0,0,Crashed into a mountain.</t>
  </si>
  <si>
    <t>06/17/1989,08:28,"Berlin, Germany",Interflug,,Berlin - Moscow,Ilyushin IL-62MK,DDR-SEW,2850324,113,103,10,20,20,0,1,"The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</si>
  <si>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06/18/1989,13:20,"Zabol, Iran",Ariana Afghan Airlines,,Kabul - Zaranj,Antonov AN-26,YA-BAK,14104,39,35,4,6,6,0,0,A ramp door opened in flight causing loss of control of the aircraft. The plane crashed into a hill.</t>
  </si>
  <si>
    <t>06/22/1989,17:40,"Near Tarma, Peru",Fuerza AÃ©rea del Peru,,San Ramon - Captain Alvarino,de Havilland Canada DHC-5D Buffalo,FAP-329,329,62,57,5,62,57,5,0,Crashed into a mountainside in the remote Andean highlands shortly after leaving San Ramon. Overloaded.</t>
  </si>
  <si>
    <t>06/27/1989,,"Kaohsiung, Taiwan",Formosa Airlines,,Kaohsiung - Chi-mei,Cessna 404 Titan Courier II,B-12206,404-0418,13,11,2,12,10,1,0,Crashed into houses on takeoff and exploded.</t>
  </si>
  <si>
    <t>06/28/1989,21:19,"Yaounde,  Cameroon",Cameroon Airlines,,Douala - Yaounde,Hawker Siddeley HS-748-435 Srs. 2,TJ-CCF,1804,47,45,2,3,1,2,0,"The plane landed short of the runway on the third landing attempt, overran the runway and collided with an embankment."</t>
  </si>
  <si>
    <t>06/28/1989,09:30,"Near Borana, Somalia",Somali Airlines,,Hargeisa - Mogadishu,Fokker F-27 Friendship 600RF,6O-SAZ,10559,30,24,6,30,24,6,0,Crashed after takeoff.  Shot down by a surface-to-air missile.</t>
  </si>
  <si>
    <t>06/29/1989,00:04,"Cartersville, Georgia",Calair,,"Carterville, GA  - Montgomery, AL",Dassault Falcon 20,N125CA,208,2,0,2,2,0,2,0,"Unable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</si>
  <si>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07/19/1989,07:17,"Glen Burnie, Maryland",Air Taxi - Centre Airlines Inc.,,"Baltimore, MD - Winchester, VA",Beech E18S,N138JR,,5,4,1,2,2,0,0,"Shortly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</si>
  <si>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07/19/1989,11:02,"Talourow Island, USSR",Aeroflot,,Observation flight out of Cape Schmidt,Antonov AN-26,CCCP-26685,8805,10,6,4,10,6,4,0,Crashed into costal cliffs while on an ice observation flight.</t>
  </si>
  <si>
    <t>07/19/1989,16:00,"Sioux City, Iowa",United Air Lines,232,"Denver, CO - Chicago, IL",McDonnell Douglas DC-10-10,N1819U,46618/118,298,287,11,112,111,1,0,"Catastrophic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</si>
  <si>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07/21/1989,,"Porgera, New Guinea",Talair,,Porega-Port Moresby,de Havilland Canada DHC-6 Twin Otter 300,P2-RDW,366,22,20,2,3,1,2,0,Crashed into jungle shortly after taking off.</t>
  </si>
  <si>
    <t>07/21/1989,15:23,"Manila, Philippines",Philippine Air Lines,,Zamboanga - Manila,BAC One-Eleven 516FP,RP-C1193,231,98,91,7,1,1,0,8,"In heavy rain the aircraft bounced twice, crashed through a concreate wall, overran the runway, crossed a road and struck several cars."</t>
  </si>
  <si>
    <t>07/23/1989,,"Near Jalalabad, Afghanistan",Military - Afghan Republican Air Force,,,Mil Mi-8 / Mil Mi-8,,,30,NULL,NULL,30,NULL,NULL,0,Mid-air collision between two helicopters.</t>
  </si>
  <si>
    <t>07/26/1989,,"Near Chana, Angola",Military - Angolan Air Force,,Luena - Cazombo,Antonov AN-26,,,48,44,4,42,NULL,NULL,0,Shot down either by rebel forces or friendly fire. A missile struck one of the engines and the plane crashed while attempting an emergency landing.</t>
  </si>
  <si>
    <t>07/27/1989,,"Off Ullung Do, South Korea",Universal Airlines,,,Sikorsky S-58T,,,19,NULL,NULL,13,NULL,NULL,0,Crashed into the sea.</t>
  </si>
  <si>
    <t>07/27/1989,07:00,"Tripoli, Libya",Korean Airlines,803,Jeddah - Tripoli,McDonnell Douglas DC-10-30,HL-7328,47887/125,199,181,18,75,72,3,4,The aircraft crashed short of the runway while landing in fog. Failure of the captain to land without analyzing the weather data.</t>
  </si>
  <si>
    <t>07/31/1989,22:00,"Auckland, New Zealand",Air Freight New Zealand,1,Auckland - Christchurch,Convair CV-580,ZK-FTB,180,3,0,3,3,0,3,0,The cargo lost altitude shortly after lifting off and crashed and broke up in  Manukau Harbor. The training captain's failure to monitor the aircraft's climb flight path during the critical stage of the climb after take-off.</t>
  </si>
  <si>
    <t>08/03/1989,13:43,"Samos, Greece",Olympic Aviation,,Thessaloniki - Samos,Shorts 330-200,SX-BGE,SH-3083,34,31,3,34,31,3,0,Crashed into Mt. Kerkis in poor weather after deviating from course on approach. The crew was flying VFR in IFR conditons. The aircraft was named Isle of Minos.</t>
  </si>
  <si>
    <t>08/07/1989,12:10,"Near Gambela, Ethiopia",RRC Air Service,,Addis Ababa - Bole,de Havilland DHC-6 Twin Otter 300,ET-AIL,699,16,13,3,16,13,3,0,"The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</si>
  <si>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08/08/1989,10:35,"Near Midford Sound, New Zealand",Aspring Air,,Wanaka - Milford Sound,Britten-Norman BN-2A-26 Trislander,ZK-EVK,0583,10,9,1,10,9,1,0,Crashed into the face of a mountain. Undetermined.</t>
  </si>
  <si>
    <t>08/13/1989,21:25,"Janice, Mississippi",Private,,"Hattiesburg, MS - Gulfport, MS",Cessna 177RG,N1976Q,177RG-0376,2,1,1,2,1,1,0,"The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</si>
  <si>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08/15/1989,,"Shanghai, China , China",China Eastern Airlines,,Shanghai - Hongqiao,Antonov AN-24RV,B-3417,37309006,40,34,6,34,28,6,0,Lost power and crashed into a river shortly after taking off from Shanghai.</t>
  </si>
  <si>
    <t>08/25/1989,07:45,"Near Gilgit, Pakistan",Pakistan International Airlines,,Gilgit - Islamabad - Chaklala,Fokker F-27 Friendship 200,AP-BBF,10207,54,49,5,54,49,5,0,Crashed into Himalaya Mountains en route from Gilgit to Islamabad.</t>
  </si>
  <si>
    <t>09/03/1989,20:45,"Near Sao Jose do Xingu, Brazil",Varig,254,Maraba - Belem,Boeing B-737-241,PP-VMK,21006/398,54,48,6,13,13,0,0,"A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</si>
  <si>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09/03/1989,19:00,"Near Havana, Cuba",Cubana de Aviacion,9646,"Havana - KÃ¶ln, Bonn",Ilyushin IL-62M,CU-T1281,3850453,126,115,11,126,115,11,45,The aircraft crashed into navigational towers and residential houses shortly after takeoff in heavy rain and high winds. Decision of the pilot in command  to fly after an abrupt deterioration in weather conditions.</t>
  </si>
  <si>
    <t>09/08/1989,16:36,"Skagerrak, Denmark",Partnair,394,Oslo - Hamburg,Convair CV-580,LN-PAA,056,55,50,5,55,50,5,0,"The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</si>
  <si>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09/15/1989,21:10,"Mayfield, Kentucky",Wehite Cap Aviation,,"Orlando, FL - Mayfield, KY",Beech King Air B100,N887PE,B-049,6,5,1,6,5,1,0,"Crashed into trees while attempting to land at night, in fog. Improper IFR procedures and failure to maintain minimum descent altitude."</t>
  </si>
  <si>
    <t>09/15/1989,,"Near Bentuni, Indonesia",Merpati Nusantara Airlines,,Manokwari - Bentuni,de Havilland Canada DHC-6 Twin Otter 300,PK-NUE,345,22,19,3,22,19,3,0,Crashed while making an approach to Bintuni.</t>
  </si>
  <si>
    <t>09/19/1989,14:00,"Near Bilma, Niger",Union des Transportes Aeriens,772,N'Djamena - Paris,McDonnell Douglas DC-10-30,N54629,46852/125,171,156,15,171,156,15,0,"While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</si>
  <si>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09/20/1989,15:00,"Fairbanks, Alaska",Boeing KC-135E,,Training,Military - U.S. Air Force,57-1481,17552/161,7,NULL,NULL,2,NULL,NULL,0,An explosion occurred in an overheated fuel pump while shuting down the engines.</t>
  </si>
  <si>
    <t>09/20/1989,23:21,"La Guardia Airport, New York, New York",USAir,5050,"New York City - Charlotte, NC",Boeing B-737-401,N416US,23884/1643,63,57,6,2,2,0,0,"During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</si>
  <si>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09/21/1989,,Centeral Afghanistan Afghanistan,Military - Afghan Republican Air Force,,,Mil Mi-8 (helicopter),,,26,NULL,NULL,26,NULL,NULL,0,</t>
  </si>
  <si>
    <t>09/21/1989,,"Near Baghran, Afghanistan",Military - Afghan Republican Air Force,,,Mil Mi-17 ( helicopter),,,24,NULL,NULL,24,NULL,NULL,0,</t>
  </si>
  <si>
    <t>09/23/1989,20:35,"Ujani Dam, India",Vayudoot,,Pune - Hyderabad,Dornier Do-288-201,VT-EJF,8052,11,8,3,11,8,3,0,Exploded in mid-air and crashed during a thunderstorm and heavy rain.</t>
  </si>
  <si>
    <t>09/26/1989,08:28,"Terrace,  Canada",Skylink Airlines,070,Vancouver - Terrace,Swearingen SA.227AC Metro III,C-GSLB,AC-481,7,5,2,7,5,2,0,"The plane struck trees, losing part of a wing after initiating a go-around. The crew continued with the approach beyond the missed approach point without establishing the required visual references."</t>
  </si>
  <si>
    <t>09/27/1989,09:53,"Grand Canyon National Park Airport, Tusayan, Arizona",Grand Canyon Airlines,Canyon 5,Grand Canyon National Park,de Havilland Canada DHC-6 Twin Otter 300,N75GC,439,21,19,2,10,8,2,0,"The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</si>
  <si>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09/28/1989,20:08,"Semyonovka ,Ukraine",MAP,,Mukachevo - 	Moscow,Antonov An-32,CCCP-48095,1705,9,4,5,9,4,5,0,Failure of the autopilot caused the plane to enter a spiral descent. Attempts to pull the plane out caused the aircraft to break-up in midair and crash into a swamp.</t>
  </si>
  <si>
    <t>10/04/1989,06:00,"Perth, Ontario, Canada",Military - U.S. Air Force,,,Boeing KC-135A,56-3592,17341/31,4,0,4,4,0,4,0,A dry  fuel pump led to the ignition of fuel vapors.</t>
  </si>
  <si>
    <t>10/06/1989,22:05,"Uncertain, Texas",Winchester Air,,Uncertain - Destsin,Cessna 208 Caravan I,N208W,208-00115,5,3,2,5,3,2,0,"The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</si>
  <si>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10/10/1989,13:39,"Lacey Township, New Jersey",Air Taxi - Paramount Aviation Corp.,,"New York, NY - Atlantic City, NJ",Agusta A109A MK II,N21FL,7309,5,4,1,5,4,1,0,"In-flight separation of a main rotor blade of the helicopter due to fatigue failure of the main rotor blade spar, which originated at a manufacturing induced scratch (tool mark) that was the result of inadequate quality control."</t>
  </si>
  <si>
    <t>10/10/1989,,"Urpay, Peru",TAUSA,,Urpay-Uchiza,Cessna 402C Utililiner,OB-T-1254,402C-0638,12,11,1,12,11,1,0,Crashed into mountain after takeoff.</t>
  </si>
  <si>
    <t>10/18/1989,,"Nasosny, Russia",Military - Russian Air Force,,,Ilyushin IL-76MD,CCCP-76569,33448421,57,50,7,57,50,7,0,Crashed into the Caspian sea after reporting an engine fire.</t>
  </si>
  <si>
    <t>10/20/1989,02:32,"Leninakan, Russia",Aeroflot,,Ul'yanovsk - Leninakan,Ilyushin IL-76TD,CCCP-76466,23440153,15,10,5,15,10,5,0,Descended below minima and struck a mountain. Did not heed GPWS warnings. Incorrectly set altimeter.</t>
  </si>
  <si>
    <t>10/21/1989,07:53,"Near Tegucigalpa, Honduras",TAN,414,Managua - Tegucigalpa,Boeing B-727-224,N88705,19514/597,146,138,8,127,123,4,0,The aircraft landed short of the runway in heavy rain and high winds after returning to the airport. The crew did not follow the proper approach procedure.</t>
  </si>
  <si>
    <t>10/26/1989,,"Petropavlovsk, USSR",Military - Soviet Air Force,,,Antonov AN-26,09,,36,30,6,36,30,6,0,Crashed while attempting to land in poor weather. Controlled flight into terrain.</t>
  </si>
  <si>
    <t>10/26/1989,18:55,"Hualien, China",China Airlines (Taiwan),204,Hualien - Taipei,Boeing B-737-209,B-180,23795/1319,54,47,7,54,47,7,0,"The plane hit a 7,000 ft, mountain 10 minutes after taking off. The flight crew used an incorrect departure procedure."</t>
  </si>
  <si>
    <t>10/28/1989,18:37,"Halawa Point, Molokai, Hawaii",Aloha Island Air,1712,"Kahului, Maui - Kaunakakai, Molokai",de Havilland DHC-6 Twin Otter 300,N707PV,400,20,18,2,20,18,2,0,"The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</si>
  <si>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11/09/1989,,"Monrovia, Liberia",Weasua Air Ttansport,,Monrovia-Freetown,Britten-Norman BN-2A Islander,9L-LAV,767,10,9,1,2,1,1,0,Crashed on a beach following engine failure.</t>
  </si>
  <si>
    <t>11/10/1989,,"Maluti Mountains, Lesotho",Military - Royal Lesotho Defence Force,,Qacha?s-  Nek-Maseru,Casa 212 Aviocar,LDF-46,389,18,16,2,18,16,2,0,Hit a mountain.</t>
  </si>
  <si>
    <t>11/21/1989,17:28,"Near Tyumem, Russia",Aeroflot,,Perm - Sovietsky,Antonov AN-24,CCCP-46335,97305602,42,36,6,34,28,6,0,The plane collided with  trees 180 m from the Inner Marker.  Weather was below minima with a 80 m cloud base and 2000 m visibility in haze and snow.</t>
  </si>
  <si>
    <t>11/23/1989,,Albania,Military - People's Army/ Military - Peoples Air Force,,,Mil Mi-4 / Mil Mi-4,,,24,NULL,NULL,24,NULL,NULL,0,Two helicopters transporting bus accident victims collided in mid-air.</t>
  </si>
  <si>
    <t>11/25/1989,07:48,"Seoul, South Korea",Korean Airlines,,Seou - Ulsan,Fokker F-28 Fellowship 4000,HL-7255,11223,52,46,6,1,1,0,0,"The plane crashed during takeoff after losing the left engine, directional control and overrunning the runway and catching fire."</t>
  </si>
  <si>
    <t>11/27/1989,07:16,"Bogota, Colombia",AVIANCA,203,Bogota - Cali,Boeing B-727-21,HK-1803,19035/272,107,101,6,107,101,6,3,The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</si>
  <si>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11/27/1989,,"Near Jamba, Angola",Tepper Aviation,,Kamina - Jamba,Lockheed L-100-20 Hercules,N9205T,4129,5,0,5,5,0,5,0,Crashed while landing.</t>
  </si>
  <si>
    <t>11/28/1989,20:00,"Charallave, Venezuela",Lineas AÃ©reas Cave,,Canaima - Ciudad Guayana -Charallave,Cessna 402,YV-478C,,7,5,2,3,1,2,0,"The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</si>
  <si>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11/28/1989,18:25,"Block Island, Rhode Island",New England Airlines,,"Block Island, RI - Westerly, RI",Britten-Norman BN-2A Islander,N127JL,69,8,7,1,8,7,1,0,Crashed into the sea 4 miles Northwest of the Island. Unknown cause. There was sever turbulence and windshear in the area.</t>
  </si>
  <si>
    <t>12/01/1989,09:30,"Patuxent, Maryland",Military - U.S. Army,,Fort Belvoir - Patuxent River NAS,CASA 212 Aviocar 200,N296CA,296,5,0,5,5,0,5,0,"The crew inadvertently selected ""Beta Range"" on the propellers at 800 feet. The aircraft then stalled and crashed into the river."</t>
  </si>
  <si>
    <t>12/21/1989,14:00,"Near Guayaramerin, Bolivia",Military - Bolivian Air Force,,Guayaramerin - Santa Cruz,Lockheed C-130A,TAM-62,3187,28,18,10,24,NULL,NULL,0,The passenger flight crashed into a jungle shortly after taking off.</t>
  </si>
  <si>
    <t>12/26/1989,22:30,"Pasco, Washington",United Express,2415,Yakima - Pasco,British Aerospace 3101 Jetstream 31,N410UE,776,6,4,2,6,4,2,0,"The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</si>
  <si>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12/28/1989,,"Near Visina, Romania",Tarom,,Bicharest - Beogard,Antonov An-24RV,YR-BMJ,77310801,7,1,6,7,1,6,0,Crashed in poor weather conditions. Rumors suggest the plane was shot down.</t>
  </si>
  <si>
    <t>12/30/1989,,Milford Sound,Air Fiordland,,,Cessna 207 / Cessna 207,ZK-DAX / ZK-DQF,131/53,5,4,1,5,4,1,0,"Midair collision. Five killed on ZA-DAX, ZK-DQF landed safely."</t>
  </si>
  <si>
    <t>01/02/1990,13:40,"Java Sea, Indonesia",Pelita Air Service,,Palambang and Jakarta,CASA 212 Aviocar 200,PK-PCM,217/57N,16,13,3,9,7,2,0,Ditched into the Java Sea after experiencing mechanical problems with the right engine and being unable to maintain altitude. The crew shut down the engine and feathered the propeller but could not maintain altitude despite jettisoning luggage out of the aircraft.</t>
  </si>
  <si>
    <t>01/13/1990,12:56,"Near Pervouralsk, Russia",Aeroflot,,Tyumen - Ufa,Tupolev TU-134A,CCCP-65951,2351703,71,65,6,27,23,4,0,A fire in the rear cargo hold and fire warning in both engines forced the plane to crash land in a snow laden field. The plane broke up after striking irrigation equipment. Short circuit in the electrical wiring.</t>
  </si>
  <si>
    <t>01/15/1990,08:30,"Pico Blanco, Costa Rica",SANSA,032,San Jose - Palmar Sur,CASA 212 Aviocar 200,TI-SAB,163,23,20,3,23,20,3,0,"Crashed about 4,500 feet up on 7,250 ft. Pico Blanco Mountain, 10 miles southwest of San Jose, five minutes after taking off in a driving rainstorm. Continued VFR flight into IFR condtions.  The aircraft was not  equipped with a GWPS."</t>
  </si>
  <si>
    <t>01/17/1990,07:19,"Near Leadville, Colorado",Federal Express,824,Denver - Montrose,Cessna 208A Caravan I Cargomaster,N835FE,208-00091,1,0,1,1,0,1,0,"The cargo plane crashed into a 14,200 ft. Mount Massive 50 feet below the summit  while en route. Diversion of the pilot's attention, resulting in an in flight collision with terrain during normal cruise flight."</t>
  </si>
  <si>
    <t>01/23/1990,07:35,"Near Caracas, Venezuela",Military - Venezuelan Navy,-,Caracas - Puerto Ayancucho,CASA 212-200 Aviocar,ARV-0210,268,25,22,3,25,22,3,0,"Crashed into El Junquito Hill 5 minutes after taking off and burned. Most likely cause was reduced visibility, rain and low overcast."</t>
  </si>
  <si>
    <t>01/25/1990,,"Mt Rijani, Lombok Island, Indonesia",Airfast Services,,Ujung Pandang - Selaparang,Hawker Siddeley HS-748-2A,PK-OBW,1567,19,16,3,19,16,3,0,"Crashed into Mt. Ringani after being diverted en route to Denpasair, Bali, due to bad weather."</t>
  </si>
  <si>
    <t>01/25/1990,21:34,"Cove Neck, New York",AVIANCA,052,Medellin - New York City,Boeing B-707-321B,HK 2016,19276/592,158,149,9,73,65,8,0,"The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</si>
  <si>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01/26/1990,,"Zavkhan, Mongolia",MIAT - Mongolian Airlines,,Ulan Bator - Uliastaj,Antonov AN-26V,	 BNMAU-10208,	 57310208,30,25,5,30,25,5,0,The Antonov crashed after failing to find the destination airport at night.</t>
  </si>
  <si>
    <t>01/27/1990,17:35,"Near Kinkala, Congo",Military - Congolese Air Force,,Pointe-Noire - Brazzaville,Nord 262C-66,TN-230,103,28,23,5,28,23,5,0,Rain and high winds caused the aircraft to crash 50 miles from it's destination of Brazzaville.</t>
  </si>
  <si>
    <t>01/29/1990,02:00,"Burlington, Vermont",Airborne Express,,"Burlington, VT - Albany, NY",Cessna 208B Caravan I,N4688B,208B-0169,2,1,1,2,1,1,0,"In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</si>
  <si>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01/29/1990,20:33,"Plattsburgh, New York",Wiggins Airways,,Plattsburgh - Syracuse,Cessna 208B Caravan I Super Cargomaster,N854FE,208B-0172,1,0,1,1,0,1,0,"The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</si>
  <si>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02/05/1990,08:37,"Near Ibague, Colombia",Helicopteros Nacionales de Colombia,,Bogota via Neiva - Ibague,Grumman G-159 Gulfstream I,HK-3315X,024,15,11,4,15,11,4,0,"Struck Mt. El Saluda at 5,000 ft., near Image, after announcing a go-around with intentions of diverting to their alternate."</t>
  </si>
  <si>
    <t>02/12/1990,09:29,"Bauru, Brazil",TAM (Brazil),,San Palo - Bauru - Aracatuba,Fokker 27 Friendship 200,PT-LCG,10206,40,36,4,2,1,1,2,"Crashed after an aborted landing following landing  too fast and 2/3rds down the runway. The pilot attempted a go-around, became airborne but stalled and crashed into houses and a car killing two people."</t>
  </si>
  <si>
    <t>02/14/1990,13:03,"Near Bangalore, India",Indian Airlines,605,Bombay - Bangalore,Airbus A320-231,VT-EPN,079,146,139,7,92,87,5,0,"On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</si>
  <si>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02/17/1990,19:30,"Near Ngwerere, Zambia",Military - Zambian Air Force,,M'bala - Likouala,DHC-5 Buffalo,AF316,66,29,24,5,29,24,5,0,Suddenly dove into a field as it prepared to land at Likouala.</t>
  </si>
  <si>
    <t>02/27/1990,19:47,"Denver, Colorado",Federal Express,,Aspen - Denver,Cessna 208A Caravan I Cargomaster,N820FE,208-00043,1,0,1,1,0,1,0,"While on an ILS approach, the cargo plane encountered icing conditions. Subsequently it entered a steep descent and crashed short of the runway. The accumulation of structural ice and subsequent stalling of the aircraft. The icing condition was a related factor."</t>
  </si>
  <si>
    <t>03/01/1990,,"Near Meerut, India",Military - Indian Air Force,,,MiG-23,,,1,0,1,0,0,0,50,"After the pilot ejected safely, the aircraft crashed into two trucks killing 50 people on the ground.      "</t>
  </si>
  <si>
    <t>03/12/1990,,"Off Freetown, Sierre Leone",Helicsa,,,Sikorsky S-58ET (helilcopter),EC-DDR,58-1617,13,NULL,NULL,11,NULL,NULL,0,Crashed into the sea after takeoff.</t>
  </si>
  <si>
    <t>03/21/1990,,"Las Mesitas, Honduras",TAN Honduras,,San Pedro - Tegucigalpa,Lockheed L-188CF Electra,HR-TNL,1134,3,0,3,3,0,3,0,"The cargo plane descended below the minimum safe altitude and struck a 7,000 mountain in poor weather."</t>
  </si>
  <si>
    <t>03/23/1990,,Santiago de Cuba,Cubana de Aviacion,,Santiago de Cuba-La Havane,Antonov AN-26,CU-T1436,07406,46,41,5,4,4,0,0,"During takeoff, close to V1 the takeoff was aborted. The aircraft overran the runway and crashed."</t>
  </si>
  <si>
    <t>03/27/1990,11:00,"Kabul, Afghanistan",Aeroflot,,Kokand - Kabul,Ilyushin IL-76MD,CCCP-78781,83489670,11,2,9,11,2,9,0,The cargo plane stalled while on final and crashed while on approach after being ordered by ATC to discontinue the approach. Pilot error.</t>
  </si>
  <si>
    <t>03/27/1990,,"Near Kuito, Angola",Military - Angolan Air Force,,Kuito-Huambo,CASA 212 Aviocar 300,T-410,384,25,20,5,25,20,5,0,Shot down with a missile fired by UNITA rebels.</t>
  </si>
  <si>
    <t>04/12/1990,14:44,"Off Vaeroy, Norway",Wideroe's Flyveselksap,839,Vaeroy - Bodo,de Havilland Canada DHC-6 Twin Otter 300,LN-BNS,536,5,3,2,5,3,2,0,Control of the aircraft was lost when the push-pull rod to the elevator failed in heavy turbulence. The plane crashed into the sea.</t>
  </si>
  <si>
    <t>04/18/1990,,"Off Contadora, Panama",Aeroperlas,,Panama City-Contadora-San Miguel,de Havilland Canada DHC-6 Twin Otter 200,N187AS,131,22,19,3,20,17,3,0,"Shortly after taking off, the plane crashed into the ocean three miles south of the Panamanian island of Contadora after experiencing problems with the No. 2 engine leading to loss of altitude and control of the aircraft. The engine failure was caused by bird ingestion."</t>
  </si>
  <si>
    <t>04/20/1990,,"Near Kinshasa, Zaire",Military - Zairean Air Force,,Kinshasa-Gbadolite,Lockheed C-130H,9T-TCG,4589,24,18,6,20,NULL,NULL,0,The propeller of the No. 3 engine separated which struck the No.4 propeller leading to a crash.</t>
  </si>
  <si>
    <t>04/26/1990,06:21,"Near Manila, Philippines",MATS - Manila Aero Transport System,,Manila - Roxaz City,Douglas DC-3 (C-47A-30-DK),RP-C81,25325,24,22,2,7,7,0,0,"The plane crashed into a rice field after an engine failed during a landing attempt and the plane attempted to take off again, crashing outside of the airport boundary."</t>
  </si>
  <si>
    <t>04/30/1990,21:35,"Ship Sands Island, ON, Canada",Frontier Air,,"Timmins, Ontario - Ship Sands Island, Ontario",Beechcraft C99,C-FGAW,U197,4,2,2,1,0,1,0,While on VOR approach the aircraft flew into the ground.</t>
  </si>
  <si>
    <t>04/30/1990,21:38,"Tarbert, England",Military - Royal Air Force,,Timmins - Moosonee,Avro Shackleton AEW-2,WR965,U-197,10,0,10,10,0,10,0,Crashed into a mountain in poor weather while en route.</t>
  </si>
  <si>
    <t>05/05/1990,15:00,"Guatamala City , Guatemala",Aerial Transit Company,,Guatamala City - La Aurora,Douglas DC-6BF,N84BL,43739/279,3,0,3,3,0,3,24,The aircraft experienced engine failure on takeoff at about V2 and crashed into houses 8 km SE of the airport.</t>
  </si>
  <si>
    <t>05/10/1990,08:55,"Tuxtla-Gutierrez, Mexico",Avicsa,,Tapachula - Tuxtla-Gutierrez,Fairchild F-27,F-GHXA,0101,40,35,5,20,15,5,0,"Crashed 3  miles short of the runway on approach, striking trees. The accident was attributed to a lack of coordination between the crew during the approach and their lack of experience on the type of aircraft."</t>
  </si>
  <si>
    <t>05/11/1990,,"Near Wurzburg , Germany",Military - Luftwaffe,,,Transall C-160D,50-39,D61,10,0,10,10,0,10,0,During a low level flight the crew lost reference with the ground and crashed.</t>
  </si>
  <si>
    <t>05/11/1990,,"Manila, Philippines",Philippine Air Lines,,Manila - Iloilo,Boeing B-737-3Y0,EI-BZG,24466,119,113,6,8,8,0,0,There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</si>
  <si>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05/18/1990,06:25,"Manila, Philippines",Aerolift Philippines,075,Manila - Surigao City,Beechcraft 1900C-1,RP-C314,UC-46,21,19,2,21,19,2,4,"Crashed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</si>
  <si>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06/06/1990,05:29,"Near Altamira, Brazil",TABA,,Belem - Altamira,Fairchild FH-227B,PT-ICA,570,42,39,3,23,21,2,0,"The pilot switched to VFR in IFR conditions, struck trees 1 km short of runway in heavy ground fog. Pilot error."</t>
  </si>
  <si>
    <t>06/06/1990,19:00,"Thistle Lake, Northwest Territory, Canada",Ptarmigan Airways,,,de Havilland Canada DHC-6 Twin Otter 300,C-FWAB,349,2,0,2,2,0,2,0,The cargo plane failed to gain altitude and crashed into a parked helicopter.</t>
  </si>
  <si>
    <t>06/10/1990,07:33,"Oxfordshire, England",British Airways,5390,"Birmingham, England - Malaga, Spain",BAC One-Eleven 528FL,G-BJRT,BAC 234,85,NULL,NULL,0,NULL,NULL,0,"While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</si>
  <si>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07/05/1990,,"Near Port Morseby, New Guinea",Douglas Airways,,Port Moresby-Woitape,Britten-Norman 2B-21 Islander,P2-DNJ,857,12,11,1,8,7,1,0,Struck a ridge in poor weather 35km from Port Morseby while en route to Woltape.</t>
  </si>
  <si>
    <t>07/27/1990,,"Near Maymaneh, Afghanistan",Military - Afghan Republican Air Force,,,Mil Mi-8 (helicopter),,,30,25,5,30,25,5,0,Shot down by rebel forces.</t>
  </si>
  <si>
    <t>07/31/1990,,"Near Huanuco, Peru",Servicio Expresso Nacional,,,Beech King Air B90,OB-1362,LJ-0448,9,8,1,9,8,1,0,Crashed during an emergency landing.</t>
  </si>
  <si>
    <t>08/01/1990,11:10,"Stepanakert, Azerbaijan, USSR",Aeroflot,,Yerevan - Zvartnots,Yakovlev YAK-40,CCCP-87453,9431036,47,43,4,47,43,4,0,"The aircraft crashed into a cloud covered mountain at 2,520m, 22km from its destination.  Premature descent."</t>
  </si>
  <si>
    <t>08/10/1990,,"Near Shindand, Afghanistan",Military - Afghan Republican Air Force,,,Antonov AN-12,,,83,78,5,83,78,5,0,Crashed shortly after takeoff. Mechanical failure or possibly shot down.</t>
  </si>
  <si>
    <t>08/27/1990,01:00,"Elkhorn, Wisconsin",Private - Omniflight Helicopters,-,"Elkhorn, WI - Chicago, IL",Bell BHT-206-B Helicopter,N16933,023338,5,4,1,5,4,1,0,"Four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</si>
  <si>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08/29/1990,00:34,"Near Kaiserslautern, Germany",Military - U.S. Air Force,,Ramstein AB - Rhein-Main AB,Lockheed C-5A,68-0228,31,17,9,8,13,6,7,0,"Just after taking off, the aircraft drifted to the left and clipped trees eventually crashing 3,000 ft. past the end of the runway. Possible inadvertent deployment of a thrust reverser."</t>
  </si>
  <si>
    <t>09/03/1990,15:20,"Kaltag, Alaska",Frontier Flying Service,,"Nulato, AK - Kaltag, AK",Piper PA-31-325 Navajo,N59783,317612024,10,9,1,3,3,0,0,Crashed after loosing the No. 2 engine.Failure of the pilot to maintain adequate altitude after becoming distracted with an engine problem. Loss of power in the No. 2 engine for unknown reasons.</t>
  </si>
  <si>
    <t>09/11/1990,15:30,"Off Newfoundland, Canada",Faucett,,Malta - Miami - ReykjavÃ­k - Gander,Boeing B-727-247,OB-1303,20266/760,18,15,3,18,15,3,0,The aircraft ran out of fuel and crashed into the sea. The last message that was heard from the crew was they were low on fuel and preparing to ditch.</t>
  </si>
  <si>
    <t>09/12/1990,,"Off Sondre Stromfjord, Greenland",Nuna Air,,Sondre Stomfjord - Goose Bay,Cessna 441 Conquest II,OY-CGM,0229,8,6,2,8,6,2,0,"Crashed into the sea 80nm southwest of its departure point. According to ATC tapes, the crew was being incapacitated by hypoxia prior to crashing."</t>
  </si>
  <si>
    <t>09/14/1990,01:53,"Koltsovo, Russia",Aeroflot,,Volgograd - Sverdlovsk,Yakovlev YAK-42,CCCP-42351,1811379,128,122,6,4,3,1,0,"The aircraft undershot on approach and crashed 1,700m short of the runway.  It is reported that the crew, who was apparently fatigued, failed to correctly follow procedures. The accident happened at night."</t>
  </si>
  <si>
    <t>09/20/1990,19:40,"Off Fernando de Noronha, Brazil",SUDENE,,Fernando de Noronha -  Recife,Embraer 110P1 Bandeirante,PT-FAW,110368,12,10,2,12,10,2,0,"The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</si>
  <si>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09/24/1990,07:02,"San Luis Obispo, California",HiTech Helicopters,,"Van Nuys, CA - San Luis Obispo, CA",Cessna 501 Citation,N79DD,500-0254,4,2,2,4,2,2,0,Crashed short of the runway into a Eucalyptus tree while making an approach to Runway 11 in heavy fog.  The pilot's improper IFR procedure. His failure to maintain the minimum descent altitude for the adverse weather was a related factor.</t>
  </si>
  <si>
    <t>10/02/1990,09:15,"Guangzhou, China",China Southern Airlines / Xiamen Airlines,?/8301,Guangzhou - Shanghi,Boeing B-737-247 / Boeing B-757-21B,B-2812/B-2510,24758/282 / 23189/1072,226,205,21,128,121,7,0,"Shortly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</si>
  <si>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10/03/1990,20:08,"Cape Canaveral, Florida",Eastern Air Lines,791,,McDonnell Douglas DC-9-31,N8923E,45838/104,97,91,6,1,1,0,0,The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</si>
  <si>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10/19/1990,15:25,"Near Bella Vista, Bolivia",BAFIN,,Bella Vista - La Paz,Douglas C-47B-40-DK,CP-735,15805/33553,4,2,2,4,2,2,0,Disappeared en route. Wreckage found 6 years later in the Andes.</t>
  </si>
  <si>
    <t>10/24/1990,01:58,"Santiago de Cuba, Cuba",Cubana de Aviacion,2886,Camaguey - Santiago de Cuba,Yakovlev YAK-40,CU-T1202,9631449,31,24,7,11,9,2,0,Struck the ground 2.5 miles short of the runway at a high rate of speed in rain and reduced visibility. Pilot error. Continuing VFR flight in IFR conditions.</t>
  </si>
  <si>
    <t>11/14/1990,19:11,"Stadelberg, Switzerland",Alitalia,404,Milano - ZÃ¼rich,McDonnell Douglas DC-9-32,I-ATJA,47641/746,46,40,6,46,40,6,0,"The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</si>
  <si>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11/18/1990,,"Near Medellin, Colombia",SATENA,,QuibdÃ³ - BogotÃ¡,CASA 212 Aviocar 200,FAC-1150,303,16,12,4,16,12,4,0,"Crashed into a jungle mountain, Mt. Los Farllones, in poor weather. Controlled flight into terrain."</t>
  </si>
  <si>
    <t>11/19/1990,14:00,"Near Ashkhabad, Turkmenistan, USSR",Aeroflot,,,Mil Mi-8T,CCCP-22389,7270,15,13,2,15,13,2,0,Crashed landed after experiencing severe turbulence and engine failure.</t>
  </si>
  <si>
    <t>11/21/1990,11:15,"Koh Samui, Thailand",Bangkok Airways,125,Bangkok - Koh Samui,de Havilland Canada DHC-8-103,OB-1358,T210-63675,38,33,5,38,33,5,0,"After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</si>
  <si>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11/25/1990,,"Off Ravenna, Italy",Eitos,,,Aerospatiale 330J Puma,I-EHPA,1133,13,12,1,13,12,1,0,The helicopter crashed into the sea during a storm.</t>
  </si>
  <si>
    <t>12/03/1990,13:45,"Romulus, Michigan",Northwest Airlines/ Northwest Airlines,299/1482,Detroit - Pittsburg,Boeing B-727-251 / MD Douglas DC-9-14,N278US/N3313L, 21157 / 45708/77,198,186,12,8,7,1,0,Ground collision in dense fog. The 727 was on its takeoff roll when the DC-9 taxied onto the active runway. Improper crew coordination aboard the DC-9.  Failure to stop and alert ATC of positional uncertainty. Eight killed aboard the DC-9. None aboard the B-727.</t>
  </si>
  <si>
    <t>12/04/1990,,"Nairobi, Kenya",Sudania Air Cargo,,Khartoum - Nairobi,Boeing B-707-320F,ST-SAC,19377/666,10,7,3,10,7,3,0,"Undershot the runway by 4km on a second approach, hit powerlines and crashed in fog."</t>
  </si>
  <si>
    <t>12/06/1990,,"Near Matak, Indonesia",Pelita Air Service,,,IPTN 332C Super Puma,PK-PUI,NSP4/2022,12,NULL,NULL,10,NULL,NULL,0,The helicopter crashed into the sea.</t>
  </si>
  <si>
    <t>01/10/1991,18:00,"Near Paramo Mucuti, Venezuela",Military - Venezuelan Navy,,Caracas - Merida,CASA 212 Aviocar 200,ARV-0209,264,22,19,3,21,18,3,0,"Crashed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</si>
  <si>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01/30/1991,13:00,"Jalaludin, Indonesia",Merpati Nusantara Airlines,,Manado - Gorontalo,CASA 212 Aviocar 200,PK-NCY,258/78N,21,18,3,1,1,0,0,The plane made a forced landing during poor weather conditions and crashed into trees on a ridge. All passengers survived but one elderly passenger died while waiting for rescue.</t>
  </si>
  <si>
    <t>01/31/1991,,"Near Ras Al Khafji, Saudi Arabia",Lockheed AC-130H Hercules,,,Military - U.S. Air Force,69-6567,4341,14,0,14,14,0,14,0,Shot down by a surface-to-air missile during operation Desert Storm.</t>
  </si>
  <si>
    <t>02/01/1991,18:07,"LAX, Los Angeles, California",USAir / Skywest Airlines,1493/5569,Columbus - Los Angeles \  Los Angeles - Fresno,Boeing B-737-300 / Swearingen SA-227AC,N388US/N683AV,23310/1145 / AC-683,101,93,8,34,30,4,0,"The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</si>
  <si>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02/05/1991,12:51,"Near Nea Ankhialos, Greece",Military - Hellenic Air Force,,Elefsis AB - Volos-NÃ©a Anchialos,Lockheed C-130H,748,4724,63,59,4,63,59,4,0,"The aircraft flew into the summit of Mt. .Othrys at 4,000 ft. while preparing to land at Nea Anghialos Airport."</t>
  </si>
  <si>
    <t>02/14/1991,,"Near Taisha, Ecuador",Military - Ecuadorean Air Force,,Macao - Taisha,de Havilland Canada DHC-6 Twin Otter 300,FAE447,832,22,19,3,22,19,3,0,"Crashed into the side of Mt. Paso Macunaa at 5,000 ft. in a jungle region of eastern Ecuador in poor weather. Controlled flight into terrain."</t>
  </si>
  <si>
    <t>02/17/1991,00:20,"Cleveland, Ohio",Ryan International Airlines,590,Cleveland - Indianapolis,McDonnell Douglas DC-9-15RC,N565PC,47240/346,2,0,2,2,0,2,0,"The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</si>
  <si>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02/20/1991,15:24,"Puerto Williams, Chile",LAN,,Punta Arenas - Puerto Williams,British Aerospace BAE-146-200A,CC-CET,E-2061,72,65,7,20,20,0,0,The plane overran the runway on approach and sank in Beagle Channel in the sea.</t>
  </si>
  <si>
    <t>02/22/1991,,"Cazombo, Angola",Fuerza Area Angolaise,,Luena-Cazombo,Antonov AN-26,,,47,43,4,47,43,4,0,Shot down by surface-to-air missile launced by UNITA rebels.</t>
  </si>
  <si>
    <t>03/03/1991,09:44,"Near Colorado Springs, Colorado",United Air Lines,585,Denver - Colorado Springs,Boeing B-737-291,N999UA,22742/875,25,20,5,25,20,5,0,"While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</si>
  <si>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03/05/1991,16:15,"La Puerta, Venezuela",Linea Aeropostal Venezolana,108,Maracaibo - Santa Barbara de Zulia,McDonnell Douglas DC-9-32,YV-23C,47720/846,45,40,5,45,40,5,0,The aircraft crashed into the Las Torres plateau in the Andes mountains on a flight from Maracaibo to Santa Barbara de Zulia. The mountain was shrouded in clouds. Controlled flight into terrain. The point of impact was considerably off course.</t>
  </si>
  <si>
    <t>03/16/1991,01:43,"San Diego, CA",Duncan Aircraft Sales,,"San Diego - Amarillo, TX  - Evansville, IN",Hawker-Siddeley DH-125-1A/522,N831LC,25095,10,8,2,10,8,2,0,"The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</si>
  <si>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03/16/1991,,"Malanje, Angola",Transafrik,,Luanda-Dundo,Lockheed L-100-30 Hercules,CP-1564,4833,9,6,3,9,6,3,0,The cargo plane was shot down by a surface-to-air missile.</t>
  </si>
  <si>
    <t>03/21/1991,,"Ras-al-Mishab, Saudi Arabia",Military - Royal Saudi Air Force,,Koweit City-Ras-al-Mishab-Dakar,Lockheed C-130H,469,4754,98,92,6,98,92,6,0,Crashed while attempting to land in poor visibility caused by oil fires during the Persian Gulf War.</t>
  </si>
  <si>
    <t>03/21/1991,02:15,"Off San Diego, California",Military - U.S. Navy / Military -  U.S. Navy,,,Lockheed P-3C / Lockheed P-3C,158930/159325,185-5602 /185-5615,27,NULL,NULL,27,NULL,NULL,0,"The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</si>
  <si>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03/23/1991,11:37,"Navoi,  Uzbekistan",Aeroflot,,Trashkent - Navoi,Antonov AN-24B,CCCP-46472,27307910,63,59,4,34,30,4,0,The aircraft overran the runway and crashed into concrete blocks. Crew error. Did not follow proper procedures during landing.</t>
  </si>
  <si>
    <t>03/25/1991,08:15,"Near Bangalore, India",Military - Indian Air Force,,Yellahanka-Yellahanka,Hindustan Aeronautics 748-2,H1513,551,28,25,3,28,25,3,0,The plane climbed to an altitude of 150 ft. and then crashed into the ground about half-a-mile from the airport. Engine failure.</t>
  </si>
  <si>
    <t>04/04/1991,12:10,"Marion, Pennsylvania",Private,,"Williamsport, PA  - Philadelphia, PA",Piper Aerostar 601 / Bell 412SP,N3645D / N78S,6108448162153/0151,5,4,1,5,4,1,2,"When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</si>
  <si>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04/04/1991,13:40,"Lake Thutade, Canada",Central Mountain Air Services,,Sturdee - Smithers,Douglas C-47B-15-DK,C-FQNF,26643,7,4,3,6,3,3,0,"The plane crash landed on a frozen lake after the crew flighing VFR, entered a snow storm."</t>
  </si>
  <si>
    <t>04/05/1991,14:51,"Brunswick, Georgia",Atlantic Southeast Airlines,2311,Atlanta - Brunswick,Embraer 120RT- Brasilia,N270AS,120-218,23,20,3,23,20,3,0,"Just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</si>
  <si>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04/19/1991,11:56,"Off Nuka Hiva, French Polynesia",Air Tahiti,,Hiva Ou - Nuku Hiva,Dornier Do-228-212,F-OHAB,8196,22,19,3,11,10,1,0,Crashed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</si>
  <si>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05/09/1991,02:37,"Sulawesi, Indonesia",Merpati Nusantara Airlines,7533,Ambon - Ternate - Manado,Fokker F-27 Friendship 600,PK-MFD,10399,13,8,5,13,8,5,0,Crashed into Mt. Klabat in heavy fog while descending for a landing.</t>
  </si>
  <si>
    <t>05/13/1991,13:19,"Grand Canyon, Airzona",Air Taxi - Air Grand Canyon Inc.,,Local sightseeing,Cessna 207A,N6280H,20700463,7,6,1,7,6,1,0,"The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</si>
  <si>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05/15/1991,09:20,"La Poyatta, Colombia",ADES Colombia,,Villavicencio - Miraflores Guaviarel,Douglas C-47B,HK-3177,26775,14,11,3,13,11,2,0,Eight minutes after takeoff the No. 2 engine failed.  The pilot turned back but crashed 1 mile short of the runway.  The passengers were told to throw out cargo after which unfortunately they all moved towards the tail leading to a loss of control.</t>
  </si>
  <si>
    <t>05/23/1991,13:06,"Leningrad, USSR",Aeroflot,,Sukhumi - 	St. Petersburg,Tupolev TU-154B-1,CCCP-85097,97,181,174,7,13,13,0,0,"Undershot the runway and broke in half after a hard landing. Crew error. A rapid rate of descent, leading to landing gear failure. The accident happened durining daylight in a rain shower."</t>
  </si>
  <si>
    <t>05/24/1991,,"Bakhtaran, Iran",Metro Cargo,,Cologne-Bakhtaran,Ilyushin 76TD,LZ-INK,0093494835,10,0,10,4,0,4,0,After three missed approaches the cargo plane ran out of fuel and crashed.</t>
  </si>
  <si>
    <t>05/26/1991,23:17,"Near Ban Nong Rong, Thailand",Lauda Air,004,"Bangkok - Wien, Austria",Boeing B-767-3Z9ER,OE-LAV,24628/283,223,213,10,223,213,10,0,"Twelve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</si>
  <si>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06/01/1991,10:16,"Off Matthewtown, Great Inagua",Agape Flight Inc.,90,"Grada Zuma, Bahamas - Cape Hatien",GAF Nomad N24A,N8071L,44,3,2,1,2,2,0,0,"The aircraft ditched 1.25 miles off Grada Zuma, following a reported engine failure."</t>
  </si>
  <si>
    <t>06/10/1991,15:40,"Luanda, Angola",Carib Air Transport,,Luanda - Cafunfo,Lockheed L-382B Hercules,J6-SLQ,3099,7,4,3,7,4,3,0,Crashed on takeoff after the No. 1engine overspeeded and failed.</t>
  </si>
  <si>
    <t>06/20/1991,03:45,"Near Malambo, Colombia",Aerosucre Colombia,,Bogota - Malambo,Douglas DC-6BF,HK-3511,45132/801,18,15,3,2,2,0,0,Following several attempts to land the pilot decided to hold until weather conditions improved.  Contact was lost with the plane and it flew into the ground. Visibility was reduced by low lying fog.</t>
  </si>
  <si>
    <t>06/26/1991,02:00,"Near Sokotu, Nigeria",Okada Air,,Benin - Kano,BAC One-Eleven 402AP,5N-AOW,094,53,48,5,4,4,0,0,"The plane diverted to Sokotu due to poor weather. After circling for an hour, unable to locate the air field, the aircraft ran out of fuel and had to make a forced landing. The landing gear was torn off and the plane broke up during the ground slide."</t>
  </si>
  <si>
    <t>06/26/1991,,"Gulf of Finland, Russia",AKF Polet,,Saint Petersburg - Voronezh,Antonov AN-24,CCCP-46724,7300304,10,4,6,10,4,6,0,The cargo plane crashed into the Gulf of Finland shortly after taking off.</t>
  </si>
  <si>
    <t>07/04/1991,09:10,"El Yopal, Colombia",Helicol Colombia,,,de Havilland Canada DHC-6 Twin Otter 300,HK-2889X,606,3,1,2,3,1,2,0,While attempting to land the pilot continued VFR flight in IFR conditions and collided with a hill.</t>
  </si>
  <si>
    <t>07/09/1991,,"Bellavista Airport, Peru",Aerochasqui,,Bellvista - Pucallpa,CASA 212 Aviocar 200,OB-1218,232,15,13,2,15,13,2,0,The aircraft was shot at by drunken police in an attempt to stop it for a search when mistaken for drug smuggling. As the plane ascended through 75 ft. bullets penetrated the forward fuselage killing the pilot and copilot.</t>
  </si>
  <si>
    <t>07/10/1991,18:12,"Birmingham, Alabama",L'Express Airlines,508,New Orleans - Mobile - Birmingham,Beechcraft BE-99-C99,N7217L,U226,15,13,2,13,12,1,0,"While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</si>
  <si>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07/11/1991,08:40,"Jeddah, Saudi Arabia",Nationair (chartered by Nigeria Airways),2120,Jeddah - Sokoto,McDonnell Douglas DC-8 Super 61,C-GMXQ,45982/345,261,247,14,261,247,14,0,"After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</si>
  <si>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07/25/1991,,"Espiritu Santos, Vanuatu",Vanair,,Nogougou - Luganville,Britten-Norman BN-2A-6 Islander,YJ-RV4,0220,9,8,1,9,8,1,0,Flew into a hillside 7 minutes after taking off from Nogougou. Spatial disorientation.</t>
  </si>
  <si>
    <t>08/06/1991,,"Rarotonga, Cook Islands",Avalki Air,,Altukaki - Rarotonga,Britten-Norman BN-2A-6 Islander,DQ-FCN,0676,10,8,2,6,5,1,0,Ditched into the sea while on approach.</t>
  </si>
  <si>
    <t>08/14/1991,23:53,"Near Uricani, Romania",Tarom,,Bucharest - Timisoara,Ilyushin IL-18V,YR-IMH,185008301,9,4,5,9,4,5,0,The cargo plane crashed in a rainstorm.Premature descent.</t>
  </si>
  <si>
    <t>08/16/1991,01:55,"Imphal, India",Indian Airlines,257,Calcutta - Imphal,Boeing B-737-2A8,VT-EFL,21497,69,63,6,69,63,6,0,Crashed into high ground during approach to Imphal. The crew failed to follow the correct approach course.</t>
  </si>
  <si>
    <t>08/20/1991,13:15,"Ketchikan, Alaska",Temsco Airlines,,"Ketchikan, AK - Wrangell, AK",Britten-Norman BN-2A-6 Islander,N68HA,2009,4,3,1,4,3,1,0,"Crashed while en route, flying VFR in deteriorating weather. The pilot attempting to operate VFR in IFR conditions."</t>
  </si>
  <si>
    <t>08/28/1991,23:59,"Walton, Oregon",Air Taxi - Bohemia Inc.,,,Aerospatiale 350B1,N64SF,,3,2,1,3,2,1,0,"While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</si>
  <si>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09/03/1991,,"Sampit, Indonesia",Dirgantara Air Services,,Sampit - Plangkaraya,Britten-Norman BN-2A-21,PK-VIP,0752,10,8,2,3,1,2,0,Shortly after takeoff the left engine failed. The aircraft began to lose height in a left turn and crashed along the banks of Mentaya River.</t>
  </si>
  <si>
    <t>09/04/1991,14:10,"Long Seridan, Malaysia",Airtech Rajawaldi Udara,,Bario - Marudi,Shorts SC-7 Skyvan 3-100,9M-AZB,SH-1975,20,18,2,14,12,2,0,Crashed into the jungle after double engine failure. Both engines didn't develop full power and were feathered on impact.</t>
  </si>
  <si>
    <t>09/11/1991,10:03,"Near Eagle Lake, Texas",Continental Express,2574,Laredo - Houston,Embraer 120RT Brasilia,N33701,120-077,14,11,3,14,11,3,0,In-flight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</si>
  <si>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09/16/1991,19:21,"Petropavlosk, USSR",Aeroflot,,Lensk - Omsk,Antonov AN-72,CCCP-74002,SU002,13,7,6,13,7,6,0,"The cargo plane struck trees, crashed and caught fire on takeoff. Overloaded"</t>
  </si>
  <si>
    <t>09/17/1991,,"Djibouti City, Djibouti 	Djibouti City, Djibouti Djibouti City, Djibouti",Ethiopian Airlines,,Djibouti  - : Dire Dawa-Aba,Lockheed L-100-30 Hercules,ET-AJL,5029,4,0,4,4,0,4,0,After experiencing a nose gear problem and attempting to return to the airport the cargo plane made a premature descent and struck Mount Arey.</t>
  </si>
  <si>
    <t>09/18/1991,21:55,"Belvedere Center, Vermont",Canair Cargo,,Moncton - Hamilton,Convair CV-580,C-FICA,98,2,0,2,2,0,2,0,"The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</si>
  <si>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09/23/1991,,"Khatanga, Russia",Aeroflot,,,Antonov 12BP,CCCP-13320,07345407,16,9,7,1,1,0,0,"The cargo plane lost engine power due to fuel exhaustion during approach and made a forced landing 1,450m short of the runway."</t>
  </si>
  <si>
    <t>09/26/1991,,"Off St. Petersburg, USSR",Aeroflot,,St. Petersburg - Voronezh,Antonov AN-26,CCCP-46724,AN24021,10,7,3,10,7,3,0,Crashed into the Gulf of Finland 5 minutes after taking  off. Unknown cause.</t>
  </si>
  <si>
    <t>09/27/1991,,"Guadalcanal Island, Solomon Islands",Solomon Islands Airlines,,Kira-Kira - Honiara,de Havilland Canada DHC-6 Twin Otter 300,H4-SIA,271,15,13,2,15,13,2,0,"Crashed into Mt. Nashua at 4,100 ft. during a descent in heavy rain and fog while attempting a visual approach. Controlled flight into terrain."</t>
  </si>
  <si>
    <t>09/29/1991,11:50,"Near Villavicencio,  Colombia",CORAL Colombia,,Villlavicencio - Mitu,Curtiss C-46A,HK-3238,30268,10,6,4,1,1,0,0,The pilot tried to make an emergency landing back at the airport when the No. 2 engine began to overspeed. A belly landing was made in a field and the aircraft broke up and caught fire.</t>
  </si>
  <si>
    <t>10/05/1991,15:00,"Near Jakarta, Indonesia",Military - Indonesian Air Force,,Jakarta-Bandung,Lockheed C-130H-30,A-1324,4927,134,129,5,134,129,5,2,The aircraft crashed into buildings during an attempted emergency landing after an engine caught fire during  take off.</t>
  </si>
  <si>
    <t>10/13/1991,,"Aponguao Falls, Venezuela",EDELCA,,Kavanayen - Luepa,Bell 214 ST,YV-O-CVG-4,28181,12,9,3,12,9,3,0,"The helicopter was destroyed when it struck Kumaraden Hill at 4,600 ft. while on a scenic flight.  The passengers included EDELCA president and members of his family."</t>
  </si>
  <si>
    <t>10/25/1991,,"Tumbang Miri, Indonesia",Bali International Air Service,,Palangkaraya - Sampit,Britten-Norman BN2A-III-2 Trislander,PK-KTC,1017,17,16,1,17,16,1,0,The plane was not able to land at Sampit due to smoke and haze.  The plane held for 3 hours waiting for an improvement after which contact was lost.  The plane was never found.</t>
  </si>
  <si>
    <t>10/25/1991,21:56,"Vallejo, California",Corporate Mobility Inc. - Private,,"Concord, CA - Novato, CA",Bell 206B helicopter,N3456M,1391,3,2,1,3,2,1,0,"The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</si>
  <si>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10/30/1991,14:30,"Near Point Alert, Ellesmere Island, NWT,Canada",Military - Royal Canadian Air Force,,Edmonton - Point Alert,Lockheed CC-130E,130322,4192,18,13,5,5,3,2,0,"Flew into the ground 12nm from the runway at about 1,500 ft.  Rescue of the survivors was conducted in Arctic twilight under poor weather conditions. Controlled flight into terrain."</t>
  </si>
  <si>
    <t>11/01/1991,,"Near Karakent, USSR",Military - Azerbaijan Air Force,,,Mil Mi-8 (helicopter),,,40,NULL,NULL,40,NULL,NULL,0,Shot down by rebel forces.</t>
  </si>
  <si>
    <t>11/07/1991,13:42,"Makhackala, Russia",Aeroflot,C-519,Ellsta - Makhackala,Yakovlev YAK-40,CCCP-87526,9520841,51,47,4,51,47,4,0,Crashed into a mountain during daytime in poor weather. Failure of the crew to follow the correct approach path.</t>
  </si>
  <si>
    <t>11/11/1991,21:43,"Recife, Brazil",Nordeste Linhas Aereas,115,Recife - MaceiÃ³ - AracajÃº - Salvador,Embraer 110P1 Bandeirante,PT-SCU,110-314,15,12,3,15,12,3,2,Crashed on takeoff hitting power lines and roof tops before coming to rest in a market square. Uncontained failure of the right engine.</t>
  </si>
  <si>
    <t>11/16/1991,16:24,"Anderma, Russia",Aeroflot,,Ryazan - Vorkuta,Antonov AN-12V,,,20,14,6,20,14,6,0,Crash landed in poor weather conditions. Icing.</t>
  </si>
  <si>
    <t>11/20/1991,,"Nagoro-Karabak, USSR",Military - Soviet Air Force,,,Mil Mi-8 (helicopter),,,23,20,3,23,20,3,0,Crashed into a mountain in zero visibility.</t>
  </si>
  <si>
    <t>11/20/1991,18:14,"Davis, California",Air Taxi - Airis Helicopters Inc.,,"San Francisco, CA - Sacramento, CA",Bell 206B,N5011K,2580,3,2,1,3,2,1,0,The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</si>
  <si>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11/25/1991,15:00,"Sena, Mozambique",STASA,,,Douglas C-47B-DK,C9-STD,25471,3,0,3,1,0,1,0,The cargo plane overshot the runway and crashed into trees.</t>
  </si>
  <si>
    <t>11/26/1991,05:02,"Near Bugulma, Russia",Tartarstan Airlines,,Nizhnevartovsk - Bugulma,Antonov AN-24,CCCP-47823,17307204,41,37,4,41,37,4,0,"While on approach to Bugulma, the plane yawed to the right. The crew decided to go around but crashed 800 m short and to the right of the runway. Horizontal stabilizer icing."</t>
  </si>
  <si>
    <t>11/29/1991,08:15,"Guaratingueta AB, Brazil",Military - ForÃ§a AÃ©rea Brasileira,,Brasilla  - Guarantinguerta,Embraer C-95C Bandeirante,FAB2333,110473,16,13,3,16,13,3,0,Flew into the side of a hill towards the end of the flight while flying VOR.  The crew flew along the wrong valley.</t>
  </si>
  <si>
    <t>12/22/1991,11:37,"Heidelberg, Germany",Classic Wings,,Frankfurt - Frankfurt,Douglas DC-3A,D-CCCC,7353,30,27,3,27,24,3,0,"The sightseeing tour struck a hill at 2,000 ft. while making a left turn in turbulence. Poor crew coordination. Overloaded."</t>
  </si>
  <si>
    <t>12/27/1991,08:51,"Stockholm, Sweden",Scandinavian Airlines (SAS),751,Stockholm-Copenhagen-Warsaw,Mc Donnell Douglas MD-81,OY-KHO,53003/1844,129,123,6,0,0,0,0,"The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</si>
  <si>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12/29/1991,15:05,"Wanli, Taiwan",China Airlines (Taiwan),358,Taipei - Anchorage,Boeing B-747-2R7F,B-198,22390,5,0,5,5,0,5,0,The cargo plane crashed on takeoff  after losing the No. 3 and 4 engines due to corroded midspar fuse pins. The No. 3 engine broke loose first striking the No. 4 engine.</t>
  </si>
  <si>
    <t>01/20/1992,19:20,"Mt. Saint-Odile, near Strasbourg, France",Air Inter,148,Lyon - Strasbourg,Airbus A320-111,F-GGED,015,96,90,6,87,82,5,0,"The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</si>
  <si>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01/28/1992,16:20,"Near Stepanakert, Azerbaijan",Military - Azerbaijan Air Force,,Agdam - Shusha,Mil Mi-8 (helicopter),,,47,NULL,NULL,47,NULL,NULL,0,Exploded and crashed after being hit by a surface-to-air missile. Highest death toll in a commercial helicopter crash in aviation history.</t>
  </si>
  <si>
    <t>02/03/1992,11:20,"Caetite, Brazil",Nordeste Linhas AÃ©reas,,Salvador - Guanambi,Embraer 110C Bandeirante,PT-TBB,110-005,12,10,2,12,10,2,0,The aircraft descended below MDA in poor weather and struck Taquari Hill which was obscured by clouds.</t>
  </si>
  <si>
    <t>02/09/1992,05:15,"Near Kafountine, Senegal",Gambcrest,,Dakar - Yoff - Cap Skiring,Convair CV- 640,N862FW,009,56,50,6,30,26,4,0,The aircraft crashed into trees during its approach. The crew mistook the hotel lights for runway lights. Pilot error and malfunctioning equipment. Founder of Club Med and his son convicted of involuntary manslaughter in connection with this accident.</t>
  </si>
  <si>
    <t>02/15/1992,03:26,"Toledo, Ohio",ATI,805,Seattle - Toledo,McDonnell Douglas DC-8-63F,N794AL,45923/383,4,0,4,3,0,3,0,"After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</si>
  <si>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02/20/1992,,En route from Argentina  to  California,Aerolineas Argentinas,386,,Boeing B-747,,,NULL,NULL,NULL,1,NULL,NULL,0,A passenger died of cholera while en route.</t>
  </si>
  <si>
    <t>03/02/1992,16:05,"Beni, Bolivia",Frigorifico Santa Rita,,Estencia el Trompillo - La Paz,Curtiss C-46T,CP-754,22570,5,2,3,5,2,3,0,"The cargo plane failed to gain altitude, cleared a fence and crashed to the ground. The wet runway contributed to the failure lift off in a timely manner."</t>
  </si>
  <si>
    <t>03/12/1992,,"Etsouali, Congo",Lina Congo,,Dwando - Brazzaville,de Havilland Canada DHC-6 Twin Otter 300,TN-ACX,452,8,5,3,3,0,3,0,Crashed during a severe thunderstorm.</t>
  </si>
  <si>
    <t>03/22/1992,21:35,"La Guardia Airport, New York, New York",USAir,405,New York City - Cleveland,Fokker F-28 Fellowship 4000,N485US,11235,51,47,4,27,25,2,0,"The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</si>
  <si>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03/24/1992,07:02,"Athens, Greece",Golden Star Air Cargo,,Amsterdam - Athens,Boeing 707-321C,ST-ALX,18715/364,7,4,3,7,4,3,0,"The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</si>
  <si>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04/04/1992,,"Near Baikov, Russia",Kamchatavia,,Petropavlovsk -Baikov,Let 410UVP,CCCP-67130,800326,12,10,2,1,1,0,0,The cargo plane crashed into high ground 5 km short of the runway in poor weather during a VFR approach.</t>
  </si>
  <si>
    <t>04/07/1992,,"Near Sarra, Libya",Air Bissau,,Khartoum - Tunis,Antonov AN-24RV,J5-GAE,77310810,13,10,3,3,0,3,0,"Could not land due to a sandstorm, ran out of fuel and made a forced landing in the desert. Crash landed in the desert, 62 miles southeast of Sarra. Among the passengers was Yasser Arafat."</t>
  </si>
  <si>
    <t>04/10/1992,,"Off Orchid Island, Taiwan",Taiwan Airlines,,,Britten Norman BN-2A-26 Trislander,B-11116,2007,10,8,2,7,6,1,0,"Crashed into the sea after losing the No. 1 engine after reaching 1,500 feet after takeoff."</t>
  </si>
  <si>
    <t>04/14/1992,,"Nairobi, Kenya",Military - Kenyan Air Force,,Nairobi - Laikipia,de Havilland DHC-5 Buffalo,218,125,46,42,4,46,42,4,6,The left engine failed while taking off from Eastleigh Air Base. The pilot attempted to return but poor visibility caused him to overshoot the runway. He tried to realign himself but stalled and crashed to the ground.</t>
  </si>
  <si>
    <t>04/16/1992,,"Near Goroka, Papua New Guinea",Talair,709,Madang - Goroka,Embraer 110P1 Bandeirante,P2-RDS,110- 355,15,13,2,11,9,2,0,"Crashed into mountains at Daulo Pass, 10km from its destination while on approach in poor weather."</t>
  </si>
  <si>
    <t>04/22/1992,11:09,"Perris Valley, California",Perris Valley Aviation,,Local,de Havilland Canada DHC-6 Twin Otter 200,N141PV,141,22,20,2,16,14,2,0,"The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</si>
  <si>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04/22/1992,15:53,"Mt. Haleakala, Hawaii",Scenic Air Tours,22,Local sightseeing,Beechcraft E18S,N342E,BA-308,9,8,1,9,8,1,0,During a sight seeing tour the aircraft hit a mountain on the island of Maui. The captain's decision to continue VFR into IFR conditions that obscured mountainous terrain and failure to properly use available navigational aids  to remain clear of terrain.</t>
  </si>
  <si>
    <t>04/26/1992,,"Saveh, Iran",Saha Airline Services,,Bandar Manshahr  - Tehran,Fokker F-27 Friendship 400M,5-8815,10499,39,35,4,39,35,4,0,The plane crashed in unstable weather while en route from Manshahr to Tehran.</t>
  </si>
  <si>
    <t>06/06/1992,21:00,"Tucuti, Panama",COPA (Panama),201,"Panama City, Panama - Cali, Colombia",Boeing B-737-204,HP-1205,22059/631,47,40,7,47,40,7,0,"Twenty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</si>
  <si>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06/07/1992,14:34,"Mayaguez, Puerto Rico",American Eagle,,San Juan - Mayaguez,CASA 212 Aviocar 200,N355CA,234,5,3,2,5,3,2,0,"The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</si>
  <si>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06/22/1992,06:05,"Cruzeiro do Sul, Brazil",VASP,,Rio Branc - Cruzeiro do Sul,Boeing 737-2A1C,PP-SND,21188/444,3,1,2,3,1,2,0,The cargo plane crashed while on approach after the crew was distracted by a intermittent compartment warning.</t>
  </si>
  <si>
    <t>06/22/1992,12:45,"Norlisk, Russia",Krasnoyarsk Airlines,,Igarka - Omsk,Antonov AN-12,CCCP-11896,AN12145,12,7,5,10,6,4,0,"A missed approach was followed by the left wing and landing gear hitting the runway which led to a stall and crash, right of the runway. Crew error."</t>
  </si>
  <si>
    <t>07/05/1992,17:00,"Near Iyakochchi, Sri Lanka",Military - Sri Lanka Air Force,,Colombo - Jaffna,Shaanxi Y-8D,CR872,060804,19,13,6,19,13,6,0,Possibly shot down by LTTA  rebel forces as it attempted to land a the Elephant Pass Army Garrison.</t>
  </si>
  <si>
    <t>07/13/1992,12:30,"Bethel, Alaska",Arctic Circle Air Service,,Bethel - Chevak,Shorts SC-7 Skyvan 3A-200,N20086,SH-1918,1,0,1,1,0,1,0,"Cargo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</si>
  <si>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07/14/1992,,"Near Nakhichevan, Azerbaijan",Military - Russian Air Force,,Nakhichevan - Rostov,Antonov AN-12V,CCCP-11111,1347903,34,27,7,29,24,5,0,Cashed and burned after taking off. Fuel starvation.</t>
  </si>
  <si>
    <t>07/14/1992,,"Near Bir Fadl, Yemen",Military - Unified Yemen Air Force,,Nakhichevan - Rostov,Antonov An-12,,,57,50,7,57,50,7,0,Crashed while in a holding pattern and attempting to land at Aden Airport during a sandstorm.</t>
  </si>
  <si>
    <t>07/20/1992,,"Tbilisi, Georgia",Georgian Air,,Tbilisi - Mineralnye Vody,Tupolev TU-154B,CCCP-85222,77A-222,24,16,8,24,16,8,4,Overran the runway while trying to take off and crashed into buildings. Overloaded. Center of gravity too far forward.</t>
  </si>
  <si>
    <t>07/24/1992,,"Near Skopje, Macedonia",Volga-Dnepr Airlines,,,Antonov 12BK,CCCP-11342,00347607,8,2,6,8,2,6,0,"On approach, the cargo plane went off course while trying to circumnavigate a thunderstorm and impacted a mountain."</t>
  </si>
  <si>
    <t>07/24/1992,16:30,"Mt. Lalaboy,  Indonesia",Mandala Airlines,660,Jakarta - Surabaya - Ujung Pandang - Ambon,Vickers Viscount 816,PK-RVU,434,70,63,7,70,63,7,0,"Crashed into Mt. Lataboy at 2,800 ft. during an approach to Ambon in a severe rainstorm."</t>
  </si>
  <si>
    <t>07/27/1992,16:15,"Near Mexico City, Mexico",Aero Eslava,,Puebla - Mexico City,Vickers 798D Viscount,XA-SCM,392,4,2,2,4,2,2,0,Flew into a mountain in poor weather on a positioning flight.</t>
  </si>
  <si>
    <t>07/30/1992,17:41,"JFK Airport, New York, New York",Trans World Airlines,843,New York City - San Francisco,Lockheed L-1011,N11002,1014,292,280,12,0,0,0,0,"Immediately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</si>
  <si>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07/31/1992,12:45,"Near Kathmandu, Nepal",Thai Airways,311,Bangkok - Kathmandu,Airbus A310-304,HS-TID,438,113,99,14,113,99,14,0,"The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</si>
  <si>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07/31/1992,15:12,"Nanjing, Jiangsu, China",China General Aviation Corporation,7552,Nanjing - Xiamen,Yakovlev YAK-42D,B-2755,2116644,126,116,10,108,100,8,0,"The aircraft failed to gain altitude after lift-off, touched down again and overran the runway bursting into flames 2,000 feet past the runway. Wrong takeoff configueration."</t>
  </si>
  <si>
    <t>08/21/1992,,"Colorado, Bolivia",Servicios Aereos Santa Ana,,La Paz - Santa Ana de Yacuma,Convair CV-440-80,CP-1961,405,10,7,3,10,7,3,0,Crashed into a lake in the Chacaltaya mountains during poor weather conditions.</t>
  </si>
  <si>
    <t>08/25/1992,05:15,"Hot Springs, Arizona",Lone Star Airlines,,Test,Swearingen SA-227AC Metro III,N342AE,AC-545,3,0,3,3,0,3,0,"The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</si>
  <si>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08/27/1992,,"Near Iquitos, Peru",Military - Peruvian Air Force - TANS,,Estrecho - Iquitos,de Havilland Canada DHC-6 Twin Otter 300,FAP304,316,41,38,3,8,6,2,0,"While en route, one of the aircraft's engines lost power. The pilot declared an emergency and attempted to carry out a forced landing but the aircraft struck trees and crashed."</t>
  </si>
  <si>
    <t>08/27/1992,10:20,"Gimli, Manitoba, Canada",NewCal Aviation,,Test,de Havilland Canada DHC-4T Caribou,N400NC,240,3,0,3,3,0,3,0,"The aircraft took off at too steep of an angle during a test flight, stalled, rolled to the right and crashed in a nose-down, right wing low attitude."</t>
  </si>
  <si>
    <t>08/27/1992,22:44,"Near Ivanovo, Russia",Aeroflot,2808,Donetsk - Ivanovo,Tupolev TU-134A,CCCP-65058,49868/3910,84,77,7,84,77,7,0,The aircraft crashed 1.5 miles from the airport during approach. Poor landing coordination by the flight crew.</t>
  </si>
  <si>
    <t>08/31/1992,22:32,"Jamba, Angola",Professional Aviation Services,,Jamba - Pretoria,Douglas DC-3,ZS-DHX,15908/32656,17,14,3,3,0,3,0,"The plane was unable to maintain altitude after taking off, crashed into trees and caught fire.  The co-pilot became distracted while trying to operate an inconviently placed intercom switch and the aircraft to lose height and drifted to the right."</t>
  </si>
  <si>
    <t>09/10/1992,,"Bellavista, Peru",Expresso AÃ©reo,,Tarapoto - Bellavista,Fokker F-27 Friendship 500,OB-1443,10533,43,36,7,1,0,1,1,"While attempting to land the nose gear tire blew out causing the plane to veer off the runway, break in three and catch fire. The pilot died after he was trapped in the cockpit."</t>
  </si>
  <si>
    <t>09/12/1992,,"Kozyrevsk, Russia",Kamchatka Airlines,,,Mil Mi-8 (helicopter),RA-22738,	98311031,16,13,3,9,9,0,0,While taking off the helicopter cashed into trees and burst into flames.</t>
  </si>
  <si>
    <t>09/16/1992,11:00,"Hana, Hawaii",Air Taxi - Hawaii Helicopters Inc.,,Sightseeing,Aerospatiale AS-350B,N350SM,1488,7,6,1,7,6,1,0,"Struck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</si>
  <si>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09/18/1992,,"Off Curacao, Netherlands Antilles",Aero Ejecutivos,,Curacao - Miami,Douglas C-118A,YV-502C,44656/619,3,0,3,3,0,3,0,The cargo plane crashed into the Atlantic Ocean while en route.</t>
  </si>
  <si>
    <t>09/19/1992,,"Bogota, Colombia",Avesca Colombia,,Villavicencio - Mitu,Curtiss C-46F-1-CU,HK-3468X,22436,11,9,2,11,9,2,0,Crashed short of the runway after attempting an emergency return to the airport after takeoff. Engine failure.</t>
  </si>
  <si>
    <t>09/21/1992,09:21,"Near Kular, Russia",Yakutavia,,,Mil Mi-8 (helicopter),RA-22651,	8098,10,7,3,10,7,3,0,Crashed into power lines at 40m during an approach to land.</t>
  </si>
  <si>
    <t>09/26/1992,18:00,"Near Lagos, Nigeria",Military - Federal Nigerian Air Force,,Lagos - Kaduna,Lockheed C-130H,NAF911,4624,158,154,4,158,154,4,0,"The aircraft attempted to ditch into a canal after two engines failed on takeoff. After a third engine failed, the aircraft crashed into a marsh. Fuel contamination."</t>
  </si>
  <si>
    <t>09/28/1992,14:30,"Near  Kathmandu, Nepal",Pakistan International Airlines,268,Karachi - Kathmandu,Airbus A300B4-203,AP-BCP,025,167,155,12,167,155,12,0,"The plane hit cloud covered high ground while attempting to land, 9 nm short of the runway at Bhattedanda hill. The pilot began the descent too early and had miscalculated the aircraft's altitude. Failure of the crew to follow prescribed procedures."</t>
  </si>
  <si>
    <t>10/04/1992,17:5,"Amsterdam, Netherlands",El Al,1862,Amsterdam - Tel Aviv,Boeing B-747-258F,4X-AXG,21737/362,4,1,3,4,1,3,39,"Shortly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</si>
  <si>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10/07/1992,09:30,"Berkeley Springs, West Virginia",Miltiary - U.S. Airforce,,Training,Lockheed C-130E Hercules,63-7881,3952,6,0,6,6,0,6,0,Struck power lines and crashed.</t>
  </si>
  <si>
    <t>10/08/1992,,"Near Dingxi, China",Wuhan Airlines,,Lanzhou - Xi'an,Avia 14M-40,B-4211,108807113,35,28,7,14,9,5,0,Crashed 45 miles southeast of Lanzhou while attempting to return to the airport after experiencing engine failure.</t>
  </si>
  <si>
    <t>10/09/1992,,"Mogadiscio, Somalia",Kiev Production Association,,,Antonov 32,CCCP-48088,2905,13,7,6,1,0,1,0,The cargo plane veered off the runway and crashed while attempting to land at night with just the headlights of several trucks.</t>
  </si>
  <si>
    <t>10/18/1992,,"Near Garut, Jawa, Indonesia",Merpati Nusantara Airlines,,Semarang - Bandung,CASA 235-10,PK-MNN,N-013,31,27,4,31,27,4,0,The aircraft was descending in heavy rain when it crashed into Mt. Papandayan.</t>
  </si>
  <si>
    <t>10/19/1992,10:58,"Near Usti Nem, Russia",Syktyvkar Avia,302,Ust'-Him - 	Syktyvkar,Antonov AN-28,CCCP-28785,IAJ005-18,16,14,2,15,13,2,0,Crashed on takeoff. The aircraft became airborne but then stalled and crashed. Engine failure.</t>
  </si>
  <si>
    <t>10/21/1992,,"Near Lake Caballochoa, Peru",Military - Peruvian Air Force,,,de Havilland Canada DHC-6 Twin Otter 300,FAP306,379,11,8,3,8,7,1,0,The float-plane crashed into the lake after experiencing engine failure while en route.</t>
  </si>
  <si>
    <t>10/29/1992,,"Chita, Russia",Aeroflot,,Petropavlovsk - Novosobrisk,Antonov AN-8,CCCP-69346,OD-3430,14,9,5,13,8,5,0,"Crashed 1,600m short of the runway threshold while attempting to land at Chita."</t>
  </si>
  <si>
    <t>11/11/1992,,"Off Bombay, India",Military - Indian Air Force,,,Mil Mi-8 (helicopter),,,20,NULL,NULL,20,NULL,NULL,0,The rotor blades hit an oil rig in the Arabian Sea.</t>
  </si>
  <si>
    <t>11/11/1992,,"Near Tver, Russia",Military - Russian Air Force,,Migalovo AB - Yerevan,Antonov AN-22A,CCCP-09303,53483299,33,26,7,33,26,7,0,After climbing to a height of 800 ft. the plane dove into the ground. Improper loading and overloaded.</t>
  </si>
  <si>
    <t>11/14/1992,07:10,"Near Nha Trang, Vietnam",Vietnam Airlines,474,Ho Chi Minh City - Nha Trang,Yakovlev YAK-40,VN-A449,9631848,31,25,6,30,24,6,0,Crashed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</si>
  <si>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11/15/1992,18:45,"Near Porto Plata, Dominican Republic",Aerocaribbean - Charter,,Santo Domingo - Porto Plata,Ilyushin IL-18D,CU-T1270,187010301,34,28,6,34,28,6,0,Crashed into an 850 meter high peak while on approach to Puerto Plata. Controlled flight iinto terrain.</t>
  </si>
  <si>
    <t>11/24/1992,07:52,"Near Guilin, China",China Southern Airlines,3943,Guangzhou - Guilin,Boeing B-737-3Y0,B-2523,24913/2052,141,133,8,141,133,8,0,"The aircraft crashed into a 7,000 ft. mountain, 15 miles from the airport while on apporach. Malfunction of the thrust lever which caused a loss of control of the aircraft."</t>
  </si>
  <si>
    <t>11/30/1992,21:20,"Near Harlem, Montana",Military - U.S. Air Force / Military - U.S. Air Force,,,Lockheed C-141B / Lockheed C141B,650255/660142,6106 / 6168,13,0,13,13,0,13,0,"The two aircraft on a training mission and refueling collided in darkness at 25,000 ft. and crashed to the ground. Seven killed on 65-0255 and 6 on 66-0142"</t>
  </si>
  <si>
    <t>12/09/1992,,"Uruapan, Mexico",Aero Sudpacifico,,Uruapan - Guadalajara,Britten-Norman BN-2B-27 Islander,XA-RML,864,9,8,1,9,8,1,0,Crashed in the Sierra Madre mountains shortly after taking off.</t>
  </si>
  <si>
    <t>12/13/1992,,"Goma, Congo",Scibe Airlift Cargo Zaire,140,Kindu - Goma,Fokker F-27 Friendship 400M,9Q-CBH,10649,37,31,6,37,31,6,0,"The aircraft flew into high ground at 8,800 ft. while positioning for an approach to Goma.The accident happened in darkness. Premature descet,"</t>
  </si>
  <si>
    <t>12/14/1992,,"Lata, Georgia",Military - Russian Air Force,,,Mil Mi 8T (helicopter),,,61,NULL,NULL,61,NULL,NULL,0,Shot down by a surface-to-air missile by Georgian rebel forces.</t>
  </si>
  <si>
    <t>12/21/1992,07:53,"Faro, Algarve, Portugal",Martinair Holland NV,495,Amsterdam - Faro,McDonnell Douglas DC-10-30CF,PH-MBN,46924,340,327,13,56,54,2,0,"While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</si>
  <si>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12/22/1992,10:00,"Tripoli, Libya",Libya Arab Airlines / Military -  Libya Air Force,1103,Benghazi - Tripoli,Boeing B-727-2L5 / MiG23UB,5A-DIA,21050/1108,157,147,10,157,147,10,0,"Midair collision with an Libyan Air Force fighter at 3,500 ft."</t>
  </si>
  <si>
    <t>01/03/1993,15:40,"Ogden, Utah",Air Taxi - South Coast Helicopters Inc.,,,Bell 206B3,N1078V,2923,4,3,1,4,3,1,0,"The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</si>
  <si>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01/06/1993,19:20,"Paris, France",Lufthansa Cityline,5634,Bremen - Paris,de Havilland Canada DHC-8-301,D-BEAT,210,23,19,4,4,4,0,0,"While approaching Charles de Gaulle Airport,  a preceding Korean Air, Boeing 747 blew a tire on landing and the runway was closed. The crew had to use another runway but the aircraft entered a high sink rate and flew into the ground 5,500 feet short of the runway."</t>
  </si>
  <si>
    <t>01/09/1993,,"Surabaya, Indonesia",Bouraq Indonesia Airlines,,,Hawker Siddeley HS-748-234,PK-IHE,1620,44,39,5,17,13,4,0,"The No. 2 engine lost power on takeoff. The aircraft crashed into a swamp 800m beyond the end of the runway, broke up and caught fire.  Flaps were found to be retracted.  Right propeller did not autofeather and had to be feathered manually."</t>
  </si>
  <si>
    <t>01/13/1993,,"Sellafield, England",Titan Airways,,Southend - Glasgow,Embraer 110P1 Bandeirante,G-ZAPE,110391,2,0,2,2,0,2,0,The cargo plane struck a mountain while descending in fog and poor visibility.</t>
  </si>
  <si>
    <t>01/14/1993,08:30,"Near Bronson Creek, British Colombia, Canada",Central Mountain Air Services,,Bronson - Wrangell,Douglas C-47A,C-FAAM,9862,2,0,2,2,0,2,0,"After takeoff, the cargo plane, banked sharply went nose-down and crashed."</t>
  </si>
  <si>
    <t>01/27/1993,,"Kinshasa, Democratic Republic Congo",Trans Service Airlift,,,Nord 262A-44,9Q-CJK,11,21,18,3,3,3,0,0,While attempting to takeoff the cargo plane overran the runway and struck vehicles. Overloaded.</t>
  </si>
  <si>
    <t>01/31/1993,,"Sumatra, Indonesia",Pan Malaysian Air Transport,,Medan - Banda Aceh - Jakarta,Shorts SC-7 Skyvan 3-100,9M-PID,SH-1961,16,11,5,16,11,5,0,"Crashed into Mt. Kapur 67nm from Medan in poor weather conditions with thunderstorms. The plane has not been found. Pilot was flying at 8,500 ft., below the published minimum safe altitude."</t>
  </si>
  <si>
    <t>02/08/1993,14:15,"Near Tehran, Iran",Iran Air Tours  /  Military - Iranian Air Force,,Tehran - Khoram,Tupolev TU-154M / Sukhoi Su-24,EP-ITD,903,133,119,14,133,119,14,0,Midair collision with an Iranian Air Force fighter while taking off. One hundred thirty-one killed on the Tupolev and one killed on the Su-24.</t>
  </si>
  <si>
    <t>02/10/1993,,"Near Daraim, Afghanistan",Military - Afghan Republican Air Force,,Faisabad - Daraim,Mil Mi-8,,,30,NULL,NULL,30,NULL,NULL,0,The helicopter crashed while en route. Overloaded and poorly maintained.</t>
  </si>
  <si>
    <t>02/20/1993,,"Bogota, Colombia",Cargo Three Panama,,Bogota-Panama,Convair CV-440,HP-1200CTH,413,2,0,2,2,0,2,0,The cargo plane attempted to return to the airport after an engine caught fire but crashed in a field.</t>
  </si>
  <si>
    <t>02/28/1993,,"Off Green Island, Taiwan",Formosa Airlines,,Taipei-Iles Orchides,Dornier 228-201,B-12238,111,6,4,2,6,4,2,0,"The aircraft disappeared shortly before it was due to land and is believed to have crashed into the sea. Prior to the loss of contact, the flight had appeared to be proceeding normally. The accident occurred during daylight and in heavy rain."</t>
  </si>
  <si>
    <t>03/05/1993,11:12,"Skopje, Macedonia",Palair Macedonian,301,Skopje - ZÃ¼rich,Fokker 100,PH-KXL,11393,97,92,5,83,79,4,0,"The aircraft shuttered violently after takeoff,  rolled to the left, then right and crashed. Icing. Loss of roll controllability due to contamination on the wings with ice. Failure to de-ice the plane before taking off."</t>
  </si>
  <si>
    <t>03/23/1993,13:35,"Near Tangara de Serra, Brazil",Oeste Linhas Aereas,,Cuiaba - Vihena - Rondonia,Embraer EMB-110 Bandeirante,PP-SBJ,110-037,6,4,2,6,4,2,0,The aircraft crashed approximately 30 minutes after takeoff in rain.</t>
  </si>
  <si>
    <t>03/31/1993,12:25,"Anchorage, Alaska",Japan Air Lines,46E,,Boeing B-747-466,N47EV,26348,5,2,3,0,0,0,0,"The No.2 engine and pylon separated from the aircraft at 2,000 feet. The plane landed safely. The engine separation was due to an encounter with severe or possibly extreme turbulence and a fatigue crack."</t>
  </si>
  <si>
    <t>04/01/1993,21:28,"Blountville, Tennesee",Private,,"Bristol, TN - Blountville, TN",Fairchild SA227-TT,N500AK,TT-527,4,3,1,4,3,1,0,"The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</si>
  <si>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04/02/1993,,"Off Margarita Island, Venezuela",Linea Aeropostal Venezolana,,Test,McDonnell Douglas DC-9-15,YV-03C,4700/83,11,8,3,11,8,3,0,Crashed into the sea after departing Caracas on a test flight.</t>
  </si>
  <si>
    <t>04/06/1993,01:10,"950 nm S of  Shemya, Alaska",China Eastern Airlines,583,Shanghai - Los Angeles,McDonnell Douglas MD-11,B-2171,48495/461,264,248,16,2,2,0,0,"The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</si>
  <si>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04/19/1993,15:52,"Zwingle, Iowa",Private,-,"Cincinnati, OH - Pierre, SD",Mitsubishi MU-2B-60,N86SD,765SA,8,6,2,8,6,2,0,"While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</si>
  <si>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04/23/1993,,"Zavnah, Mongolia",MIAT - Mongolian Airlines,,Ulan Bator - Bayan Olgiy,Antonov AN-26B,BHMAY-14102,14102,40,34,6,32,26,6,0,Flew into the side of Marz Mountain while descending.</t>
  </si>
  <si>
    <t>04/26/1993,13:00,"Aurangabad, India",Indian Airlines,491,Aurangabad - Bombay,Boeing B-737-2A8,VT-ECQ,20961/375,118,112,6,55,55,0,0,"During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</si>
  <si>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04/27/1993,23:00,"Off  Libreville, Gambia",Military - Zambian Air Force,,Lusaka - Libreville - Dakar,de Havilland  Canada  DHC-5D Buffalo,AF-319,69,30,25,5,30,25,5,0,Crashed into the sea after taking off from Libreville Airport. An engine fire led to loss of control of the aircraft.  All eighteen members of the Zambian national soccer team killed.</t>
  </si>
  <si>
    <t>04/27/1993,,"Near Kholm, Afghanistan",Military - Afghan Republican Air Force,,Kabul - Mazar- Sharif,Antonov AN-32,,,76,71,5,76,71,5,0,"Crashed into a hill in poor visibility, low clouds and fog."</t>
  </si>
  <si>
    <t>05/11/1993,,"Suva, Fiji",Fiji Air,,,Britten-Norman BN-2A-6 Islander,DQ-FEO,009,2,0,2,2,0,2,0,"While landing, undershot the runway and struck a vehicle. Improperly loaded."</t>
  </si>
  <si>
    <t>05/15/1993,,"Near Cancun, Mexico",Carga del Caribe,,Cancun - Cozumel,Douglas DC-6BF,XA-SEA,43825/315,5,0,5,3,0,3,0,The cargo plane crashed under unknown circumstances.</t>
  </si>
  <si>
    <t>05/19/1993,15:04,"Near Medellin, Colombia",SAM Colombia,501,Panama City - Medellin,Boeing B-727-46,HK-2422X,18876/217,132,125,7,132,125,7,0,"The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</si>
  <si>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06/06/1993,,"El Yopal, Colombia",Aerotaca,,Bogota - El Yopal,de Havilland Canada DHC-6 Twin Otter 300,HK-2759X,771,2,0,2,2,0,2,0,The cargo plane impacted a hill while on visual approach to El Yopal.</t>
  </si>
  <si>
    <t>06/09/1993,,"Gulgubip, Papua New Guinea",Southwest Air,,,Britten-Norman  BN-2A-20 Trislander,P2-SWA,805,11,10,1,9,9,0,0,On final approach at low speed the left wing dropped and touched the ground during a stall or deliberate low left turn. The plane cartwheeled and broke up.</t>
  </si>
  <si>
    <t>06/16/1993,,"Nabire, Indonesia",Merpati Nasantara Airlines,,,de Havilland Canada DHC-6 Twin Otter 300,PK-NUL,391,3,0,3,1,0,1,0,"The cargo aboard shifted after takeoff, the plane nosed up, stalled and crashed."</t>
  </si>
  <si>
    <t>06/17/1993,22:15,"Near Tbilisi, Georgia",Tajikistan Airlines,,Batumi - Baku - Chimkent,Antonov AN-26,RA-26035,SU035,41,36,5,41,36,5,0,The crew reported they were diverting due to thunderstorms. Soon after the aircraft crashed after encountering severe turbulence.</t>
  </si>
  <si>
    <t>07/01/1993,,"Sorong, Irian Jaya, Indonesia",Merpati Nusantara Airlines,MZ721,Ambo - Sorong,Fokker F-28 Fellowship 3000,PK-GFU,11131,43,39,4,41,37,4,0,The plane overran the runway while attempting to land in rain and reduced visibility and crashed onto a beach.</t>
  </si>
  <si>
    <t>07/06/1993,,"Near Ochamchire, Georgia",Military - Georgian Air Force,,,Mil Mi-8,,,23,NULL,NULL,23,NULL,NULL,0,Shot down by Abkhazi forces.</t>
  </si>
  <si>
    <t>07/12/1993,14:55,"Talladega, Alabama",Private,,Birmingham - Talladega,"Helicopter, Hughes 369HS",N9116F,720396S,2,1,1,1,1,0,0,"The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</si>
  <si>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07/23/1993,15:40,"Yinchuan, China",China Northwest Airlines,2119,Yinchuan - Beijing,British Aerospace 146-300,B-2716,E-3215,113,108,5,55,54,1,0,The aircraft crashed into a lake after it was unable to get airborne while attempting to takeoff. Mechanical failure. Flaps selected but did not extend.</t>
  </si>
  <si>
    <t>07/26/1993,15:48,"Haenam, South Korea",Asiana Airlines,733,Seoul - Mokpo,Boeing B-737-5L9,HL-7229,24805/1878,110,104,6,68,64,4,0,The aircraft hit Mt. Ungeo at 800 ft. while on approach after two missed landing attempts in high winds and heavy rain. Captain's decision to land in weather that had fallen below minima.</t>
  </si>
  <si>
    <t>07/30/1993,,"Serawak, Malaysia",Hornbill Airways,,Ba Kelalan - Marudi,Shorts SC-7 Skyvan 3-100,9M-AXM,SH-1967,17,15,2,1,1,0,0,The aircraft ran low of fuel while en route and crashed during the subsequent attempted forced landing on open ground in the jungle. The aircraft strayed off course after encountering poor weather conditions.</t>
  </si>
  <si>
    <t>07/31/1993,13:00,"Devghat, Nepal",Everest Air,,Kathmandu - Bharatpur,Dornier Do-228-101,9N-ACL,7029,19,16,3,19,16,3,0,"The aircraft flew into a hillside during a visual approach to Bharatpur. The accident happened in daylight and good weather, however,  the mountains were shrouded in clouds."</t>
  </si>
  <si>
    <t>08/18/1993,16:56,"Leeward Point Airfield, Guantanamo Bay, Cuba",American International Airways,808,"Norfolk, VA - Guantanamo, Cuba",McDonnell Douglas DC-8-61,N814CK,46127,3,0,3,0,0,0,0,"The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</si>
  <si>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08/26/1993,,"Near Aldan, Russia",Sakha Airlines,301,Uchur - Aldan,Let 410UVP-E,RA-67656,902509,24,22,2,24,22,2,0,A sudden pitch-up during approach led the crew to go-around.  The pitch-up continued until the plane stalled and crashed.  Improperly loaded baggage shifted the center of gravity beyond the acceptable limit.</t>
  </si>
  <si>
    <t>08/28/1993,10:45,"Khorag, Tajikistan",Tajikistan Airlines,,Khorag - Dushanbe,Yakovlev YAK-40,CCCP-87995,9541944,86,81,5,82,77,5,0,"While taking off, the aircraft, overloaded by 3 times the number of people the plane was designed for, never got airborne, overran the runway and crashed into the Pyanj river. The crew was coerced into taking off by armed men who commandeered the plane."</t>
  </si>
  <si>
    <t>09/14/1993,16:43,"Warsaw, Poland",Lufthansa,LH2904,Frankfurt - Warszawa,Airbus A320-211,D-AIPN,105,70,64,6,2,1,1,0,"The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</si>
  <si>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09/21/1993,16:25,"Sukhumi, Georgia",Transair Georgia Airlines,,Sochi - Sukhumi,Tupolev TU-134A,CCCP-65893,5340120,27,22,5,27,22,5,0,Crashed into the sea. Shot down with a missile by Abkhazi separatist rebels.</t>
  </si>
  <si>
    <t>09/22/1993,18:30,"Sukhumi, Georgia",Transair Georgia Airlines,,Tbilisi - Sukhumi,Tupolev TU-154B,CCCP-85163,76A163,132,120,12,108,100,8,0,The aircraft was hit by a missile then crash landed on the runway. Terrorist act  by Abkhazian rebels.</t>
  </si>
  <si>
    <t>10/04/1993,,"Near Svanetia, Georgia",Military - Georgian Air Force,,,Mil Mi-8 (helicopter),,,60,NULL,NULL,60,NULL,NULL,0,</t>
  </si>
  <si>
    <t>10/25/1993,,"Franz Josef Glacier, New Zealand",Hibiscus Air,,Glentanner - Queenstown,GAF Nomad N-22,ZK-NOM,4,9,6,3,9,6,3,0,"The plane was on a senic flight of the Mt. Cook area and impacted Franz Josef Glacier at 4,500 ft. The aircraft became trapped in a narrow valley and as the pilot attempted to turn around within the valley the aircraft stalled while it was in a steep bank."</t>
  </si>
  <si>
    <t>10/26/1993,13:04,"Fuzhou, China",China Eastern Airlines,5398,Shenzen - Fuzhou,McDonnell Douglas MD-82,B-2103,49355,80,71,9,2,2,0,0,"While landing during a rainstorm, the aircraft went off the end of the runway, into a swamp, collapsing the landing gear and breaking the fuselage into three sections."</t>
  </si>
  <si>
    <t>10/27/1993,19:30,"Near Namsos, Norway",Wideroe's Flyveselksap,,Trondheim - Namsos,de Havilland Canada DHC-6 Twin Otter 300,LN-BNM,408,20,17,3,7,4,3,0,"The aircraft descended below minima during a localizer approach, without a glideslope, struck the top of trees and crashed into a swamp in heavy rain showers and strong winds."</t>
  </si>
  <si>
    <t>11/10/1993,18:05,"Sandy Lake, Canada",Air Manitoba,205,Winnipeg - Sandy Lake,Hawker Siddeley HS-748-234 Srs. 2A,C-GQTH,1617,7,4,3,7,4,3,0,"The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</si>
  <si>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11/13/1993,14:55,"Urumqi, China",China Northern Airlines,6901,Beijing - Urumqi,McDonnell Douglas MD-82,B-2141,49849/1772,102,92,10,12,8,4,0,"The plane crashed short of the runway while landing in dense fog, hitting power lines and a wall. The autopilot disconnected during approach and re-engaged with the vertical speed mode at 800ft/min."</t>
  </si>
  <si>
    <t>11/15/1993,19:07,"Near Kerman, Iran",Magistralnye Avialinii,,Dubai - Kerman,Antonov AN-124,RA-82071,07-04,17,14,3,17,14,3,0,Crashed while in a holding pattern and after running out of fuel. The crew did not follow a standard holding pattern.</t>
  </si>
  <si>
    <t>11/20/1993,23:30,"Near Ohrid, Macedonia",Aviaimpex (Macedonia),110,GenÃ¨va- Skopje,Yakovlev YAK-42D,RA-42390,4016557,116,108,8,116,108,8,0,The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</si>
  <si>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12/01/1993,19:50,"Hibbing, Minnesota",Express Airlines - Northwest Airlink,5719,Minneapolis/St. Paul - Hibbing,British Aerospace Jetstream BA-3100,N334PX,706,18,16,2,18,16,2,0,"While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</si>
  <si>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12/03/1993,,"Tuktoyaktuk, NWT, Canada",Arctic Wings &amp; Rotors,,Tuktoyaktuk - Inuvik,Britten Norman BN-2A Trislander7,C-GMOP,0398,7,6,1,7,6,1,0,"Four minutes after taking off the pilot reported he was having engine problems and was returning. The aircraft subsequently crashed onto a frozen lake, 7.7nm from the airfield in darkness."</t>
  </si>
  <si>
    <t>12/09/1993,,"Off Dakar, Senegal",Air Senegal / Gambia Airways,,,DHC-6 Twin Otter 300 / NAMC YS-11,6V-ADE / C5-GAA,393 / 2030,3,2,1,3,2,1,0,"Midair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</si>
  <si>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12/13/1993,09:20,"Phonesavanh, Laos",Lao Aviation,,Vientiane - Phonesavahn,Yunshuji Y-12-II,RDPL-34117,0042,18,16,2,18,16,2,0,Crashed on approach to Phongsavanh Airport after striking trees in heavy fog.</t>
  </si>
  <si>
    <t>12/15/1993,14:00,"Near Naga, Philippines",Military - Philippine Air Force,,Manila - Naga,Lockheed C-130H,4761,4761,29,23,6,29,23,6,0,"Flew into the side of Mt. Manase at 2,000 ft., 21nm from the airport  during a VOR approach to Naga. The pilot descended too low in heavy rain and zero visibility."</t>
  </si>
  <si>
    <t>12/26/1993,20:57,"Gyumri, Armenia",Kuban Airlines,5719,Krasnadar - Gyumri,Antonov AN-26,RA-26141,12903,36,31,5,36,31,5,0,The aircraft stalled and crashed in fog when the tail struck the runway as the pilot attempted a go-around as it landed at Gyumri.</t>
  </si>
  <si>
    <t>01/03/1994,12:08,"Near Mamony, Siberia, Russia",Baikal Air,130,Irkutsk - Moscow,Tupolev TU-154M,RA-85656,89A801,124,115,9,124,115,9,1,"The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</si>
  <si>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01/07/1994,23:21,"Columbus, Ohio",Atlantic Coast Airlines (United Express),6291,"Washington D.C. - Columbus, OH",British Aerospace Jetstream 4101,N304UE,41016,8,3,5,5,2,3,0,"The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</si>
  <si>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02/24/1994,11:16,"Nalchik, Russia",North Western Air Transport,SP9045,Volgograd - Nalchik,Antonov AN-12V,RA-11118,013480002,13,7,6,13,7,6,0,"While on approach the nose pitched up, the aircraft stalled and crashed short of the runway. Icing of the horizontal stabilizer."</t>
  </si>
  <si>
    <t>02/25/1994,19:46,"East Midlands, England",British World Airways,4272,Edinburgh - Coventry,Vickers 813 Viscount,G-OHOT,349,2,0,2,1,0,1,0,"The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</si>
  <si>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02/25/1994,,"Near Carpish, Peru",Expresso AÃ©reo,,Jananjui - Tocache - Tingo Maria - Lima,Yakovlev YAK-40,OB-1559,9640950,31,26,5,31,26,5,0,"The plane struck Cerro Carpich at 4,000 ft., 6 minutes after leaving the airport at Tingo Maria."</t>
  </si>
  <si>
    <t>03/02/1994,17:59,"New York, New York",Continental Airlines,795,New York City - Denver,McDonnell Douglas MD-82,N18835,49439,116,110,6,0,0,0,0,"The aircraft overran the runway and came to rest at the edge of the east river, after an aborted takeoff. Failure to turn on the pilot/static heat system resulting in erroneous air speed indication. Though heavily damaged, the plane was repaired and put back into service."</t>
  </si>
  <si>
    <t>03/08/1994,14:54,"New Delhi, India",Sahara,,Training,Boeing 737-2R4C,VT-SIA,21763/571,4,0,4,4,0,4,0,Crashed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</si>
  <si>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03/14/1994,,"Off Malindi, Kenya",Military - U.S. Air Force,,Mombasa - Mogadishu,Lockheed C-130H Hercules,69-6576,4351,8,0,8,8,0,8,0,Crashed into sea after a shell exploded in one of the gun barrells.</t>
  </si>
  <si>
    <t>03/17/1994,22:30,Near Nag,Military - Iranian Air Force,-,Tehran - Moscow,Lockheed Hercules C-130,5-8521,4432,32,19,13,32,19,13,0,Shot down with a missile by Armenian forces while en route.</t>
  </si>
  <si>
    <t>03/18/1994,11:43,"Key West, Florida",Chalk's International Airlines,,Key West Harbor - Key West,Grumman G-73T Turbo Mallard,N150FB,J-51,2,0,2,2,0,2,0,"After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</si>
  <si>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03/18/1994,01:56,"Spokane, Washington",Salair,,Spokane - Portland,Douglas DC-3C,N3433Y,43089,2,0,2,2,0,2,0,"The cargo plane lost a right engine during takeoff. The plane tried to return to the airport but crashed. The failure of the pilot-in-command to maintain airspeed. Factors to the accident were: cylinder fatigue, dark night and stall encountered."</t>
  </si>
  <si>
    <t>03/21/1994,17:54,"Weipa, Australia",Aurukun Air Services,,Weipa - Aurukun,Britten-Norman BN-2A-21 Trislander,VH-JUU,0632,6,5,1,6,5,1,0,"Lost an engine while taking off and then lost a second engine and crashed 1,300 ft. beyond the runway."</t>
  </si>
  <si>
    <t>03/23/1994,00:57,"Near Mezhdurechensk, Russia",Aeroflot Russian International Airways,593,Moscow - Hong Kong,Airbus A310-304,F-OGQS,596,75,63,12,75,63,12,0,"The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</si>
  <si>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04/03/1994,16:36,"Lamoille, Nevada",Air Taxi - El Aero Services Inc.,,,Bell 206B3,N27736,2773,5,4,1,5,4,1,0,"The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</si>
  <si>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04/04/1994,14:46,"Amsterdam, Netherlands",KLM Cityhopper,433,Amsterdam - Cardiff,Saab 340B,PH-KSH,195,24,21,3,3,2,1,0,"Shortly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</si>
  <si>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04/06/1994,20:20,"Kigali, Rwanda",Rwanda Government,,"Tanzania - Kigali, Rwanda",Dassault Falcon 50,9XR-NN,006,12,9,3,12,9,3,0,"Shot down by a missile. President of Burundi, Cyprien Ntaryamira and president of Rwanda, Juvenal Habyarimana were killed."</t>
  </si>
  <si>
    <t>04/06/1994,,"Ambato, Ecuador",TAME,,Taura - Latacunga,de Havilland Canada DHC-6 Twin Otter 300,FAE450,436,17,14,3,17,14,3,0,"Struck Mt. Lozan, at 13,400 ft. which was obscured by clouds 47 minutes after taking off. Controlled flight into terrain."</t>
  </si>
  <si>
    <t>04/14/1994,09:25,Northern Iraq,Military - U.S. Army / Military U.S. Army,,,Sikorsky UH-60 / Sikorsky UH-60,8726000/8826060,,26,NULL,NULL,26,NULL,NULL,0,Shot down by friendly fire during the Gulf War. Thirteen killed on each helicopter.</t>
  </si>
  <si>
    <t>04/25/1994,,"Nanga Pinoh, Indonesia",Dirgantara Air Services,,Pontianak - Nanga Pinoh,Britten Norman BN-2A-21 Trislander,PK-ZAA,0730,11,10,1,11,10,1,0,Crashed into Mt. Saran 30 minutes before it was scheduled to land in poor weather condtions.</t>
  </si>
  <si>
    <t>04/26/1994,20:16,"Near Komaki, Aichi, Japan",China Airlines (Taiwan),140,Taipei - Nagoya,Airbus A300B4-622R,B-1816,580,271,256,15,264,249,15,0,"While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</si>
  <si>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05/07/1994,,"Sao Gabriel, Brazil",Rico Taxi Aero,,Sao Paulo - Sao Gabriel,Embraer 110 Bandeirante,PT-GJW,110-072,16,14,2,8,6,2,0,The aircraft was destroyed when it undershot the runway during a visual approach to Sao Gabriel and stuck trees.</t>
  </si>
  <si>
    <t>05/23/1994,10:55,"Loma Linda, Colombia",Arall,,San Jose - Villavicencio,Pilatus Britten-Norman BN-2B-27 Islander,HK-2890,2111,11,9,2,4,3,1,0,Crashed while making an emergency landing following engine trouble.</t>
  </si>
  <si>
    <t>05/28/1994,07:38,"Near Villavicencio, Colombia",Transoriente Colombia,,Villavicencio - La Primavera - Puerto Carreno,Douglas DC-3 (C-53D-DO),HK-2213,11752,29,26,3,7,4,3,0,Crashed shortly after taking off after double engine failure.</t>
  </si>
  <si>
    <t>06/02/1994,18:00,"Near Campbeltown, Scotland",Military - Royal Air Force,,Aldergrove AB - Fort George,Boeing Vertol Chinook HC-2 (helicopter),ZD576,MA036,29,25,4,29,25,4,0,The helicopter crashed into The Mountain of the Stone Slab at an elevation of 800 ft. Pilot error in proceeding towards high ground in heavy fog below a safe altitude.</t>
  </si>
  <si>
    <t>06/06/1994,08:20,"Near Xi'an, China",China Northwest Airlines,2303,Xian - Guangzhou,Tupolev TU-154M,B-2610,86A-740,160,146,14,160,146,14,0,The plane broke-up in flight 10 minutes after taking off. Auto-pilot induced oscillations caused the aircraft to shake violently. The autopilot yaw-channel was accidentally connected to the bank control and the bank-channel to the yaw controls.</t>
  </si>
  <si>
    <t>06/13/1994,18:50,"Near Uruapan, Mexico",Aerolineas Cuahonte,,Lazaro - Cardenas - Michoacan,Swearingen SA.226TC Metro II,XA-SLU,TC-401,9,7,2,9,7,2,0,The aircraft flew into high ground during a go-around. The accident happened in darkness and in poor weather with rain and heavy clouds. The accident was attributed to the pilot's failure to follow the established go-around procedure correctly.</t>
  </si>
  <si>
    <t>06/18/1994,12:20,"Mt.  Kalora, Indonesia",Merpati Nusantara Airlines,,Balikpapan - Palu,Fokker F-27 Friendship 500F,PK-MFI,10597,12,7,5,12,7,5,0,"The aircraft struck Mt. Kalora at 2,300 feet while on a visual approach to Palu. The accident happened in generally good weather but with reduced visibility in clouds and haze at the mountain."</t>
  </si>
  <si>
    <t>06/18/1994,06:25,"Chantilly, Virginia",TAESA,,Mexico City - Washington D.C.,Learjet 25D,XA-BBA,25D223,12,10,2,12,10,2,0,The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</si>
  <si>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06/26/1994,19:35,"Abidjan, Ivory Coast",Air Ivorie,777,San Pedro - Abidjan,Fokker F-27 Friendship 400M,TU-TIP,10577,17,14,3,17,14,3,0,Crashed on approach 3 miles short of the runway into a wooded area with flaps and landing gear still retracted.</t>
  </si>
  <si>
    <t>06/29/1994,,"Near Logar, Afghanistan",Military - Dostum-Galboddin Militia,,,Antonov AN-32,,,70,NULL,NULL,50,NULL,NULL,0,Shot down by Afghan troops.</t>
  </si>
  <si>
    <t>06/30/1994,17:41,"Toulouse-Blagnac, France",Airbus Industrie,129,Toulouse - Toulouse,Airbus A330-321,F-WWKH,042,7,4,3,7,4,3,0,"The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</si>
  <si>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07/01/1994,08:30,"Near Tidjika, Mauritania",Air Mauritanie,625,Nouakchott - Tidjikja,Fokker F-28 Fellowship 4000,5T-CLF,11092,93,89,4,80,76,4,0,"The plane crash landed on the runway in adverse weather, after a second landing attempt, breaking the landing gear and sliding off the side of the runway."</t>
  </si>
  <si>
    <t>07/02/1994,18:43,"Charlotte, North Carolina",USAir,1016,"Columbia, SC - Charlotte, NC",McDonnell Douglas DC-9-30,N954VJ,47590,57,52,5,37,37,0,0,The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</si>
  <si>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07/14/1994,15:36,"Hanalei, Hawaii",Air Taxi - Papillion Helicopters Ltd.,,"Lihue, HI - Lihue, HI",Aerospatiale AS350D,N151BH,,7,6,1,3,3,0,0,"The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</si>
  <si>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07/17/1994,21:45,"Near Fort de France, Martinique",Air Martinique,,Bridgetown - Fort de France,Britten-Norman BN-2B-26 Islander,8P-TAD,2152,6,5,1,6,5,1,0,Crashed into high ground while on approach to land.</t>
  </si>
  <si>
    <t>07/17/1994,,"Boma, Democratic Republic Congo",Sankuru Air Service,,Training,Yakovlev 40D,RA-87256,9311326,9,5,4,5,3,2,0,Ran off the end of the runway and crashed. The crew used the normal and emergency brake systems at the same time which resulted in the aircraft having no brakes at all.</t>
  </si>
  <si>
    <t>07/19/1994,16:30,"Colon, Panama",Alas Chiricanas,,Colon - Panama City,Embraer 110P1 Bandeirante,HP-1202AC,110-375,21,18,3,21,18,3,0,Crashed on a wooded hillside shortly after taking off from Colon after a bomb exploded aboard.</t>
  </si>
  <si>
    <t>07/26/1994,,"East Kalimantan, Indonesia",Airfast Services,,Kilo Lima - Kelawit,Sikorsky S-58ET,PK-OBT,58-1098,18,16,2,18,16,2,0,The helicopter crashed 5 minutes after taking off from Kilo Lima.</t>
  </si>
  <si>
    <t>08/05/1994,08:50,"Near Boda, Russia",Military - Russian Air Force,,Dzhida - Boda,Antonov AN-12,,,47,41,6,47,41,6,0,Crashed and burned while attempting to land with an engine fire in poor visibility and heavy rain.</t>
  </si>
  <si>
    <t>08/07/1994,13:55,"Kodiak, Alaska",Air Taxi - Uyak Air Services Inc.,,Sightseeing,de Havilland DHC-2,N126UA,,7,6,1,6,5,1,0,Continued VFR flight into IMC.</t>
  </si>
  <si>
    <t>08/10/1994,11:22,"Cheju, South Korea",Korean Airlines,2033,Seoul - Cheju,Airbus A300B4-622R,HL-7296,583,160,152,8,0,0,0,0,The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</si>
  <si>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08/11/1994,17:00,"Alsworth, Alaska",Air Taxi - Talon Air Services Inc.,,"Caribou Lake, AK - Nikiski, AK",de Havilland DHC-2,N17394,495,3,2,1,3,2,1,0,The pilot flew into a blind box canyon and crashed while attempting to turn around. Improper in-flight planning /decision by the pilot and his failure to remain clear of mountainous terrain. The box canyon and proximity of mountains were related factors.</t>
  </si>
  <si>
    <t>08/12/1994,21:05,"Whiting, New Jersey",Air Taxi - National Helicopters,,"New York, NY - Atlantic City, NJ",Bell 206L-4,N124NH,52089,3,2,1,3,2,1,0,The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</si>
  <si>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08/21/1994,,"Near Agadir, Morocco",Royal Air Maroc,630,Agadir - Casablanca,Aerospatiale ATR-42-300,CN-CDT,127,44,40,4,44,40,4,0,"The aircraft entered a steep dive from 16,000 ft. and crashed 10 minutes after taking off from Agadir. The pilot was blamed for disconnecting the autopilot and deliberately causing the crash and committing suicide. This was challenged by the Moroccan Pilot's Union."</t>
  </si>
  <si>
    <t>09/08/1994,19:03,"Near Aliquippa, Pennsylvania",USAir,427,Chicago - Pittsburgh,Boeing B-737-3B7,N513AU,23699/1452,132,127,5,132,127,5,0,"While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</si>
  <si>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09/13/1994,12:05,"Near Abuja, Nigeria",Aerocontroctors - Charter,,Lagos - Abuja,de Havilland Canada DHC-6 Twin Otter 300,5N-ATQ,538,5,3,2,3,2,1,0,"The aircraft few into the side of a hill during heavy rain, high winds and severe turbulence."</t>
  </si>
  <si>
    <t>09/17/1994,11:48,"Fish Egg Inlet, Canada",Pacific Coastal Airlines,,Fish Egg Inlet - Pruth Bay,de Havilland Canada DHC-6 Twin Otter 100,C-FDMR,36,4,2,2,3,2,1,0,Just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</si>
  <si>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09/18/1994,08:07,"Tamanrasset, Algeria",Oriental Airlines,,Tunis - Tamanrasset,BAC One-Eleven 515FB,5N-IMO,229,39,32,7,5,3,2,0,"After circling for almost an hour and a half and aborting four landing attempts in adverse weather conditions, the aircraft ran out of fuel and crashed."</t>
  </si>
  <si>
    <t>09/23/1994,19:15,"Kowloon Bay, Hong Kong",Heavylift Cargo Airlines,,Hong Kong - Jakarta,Lockheed L-100-30 Hercules,PK-PLV,4826,12,6,6,6,3,3,0,"The cargo plane lost control shortly after becoming airborne, began losing altitude and ditched 500 meters from the runway. The No. 4 prop pitch control system failed."</t>
  </si>
  <si>
    <t>09/26/1994,17:37,"Near Vanavera, Russia",Cheremshanka Airlines,,Krasnoyarsk - Tura,Yakovlev YAK-40,RA-87468,9441337,28,24,4,28,24,4,0,"After three landing attempts at Tura, the crew diverted to Vanavarva because of bad weather. The aircraft ran out of fuel and crashed on a river bank about 40 km from Vanavera."</t>
  </si>
  <si>
    <t>09/28/1994,,"Bahia Negra, Paraguay",TAM Paraguay,,Bahia Negra - Asuncion,Douglas C-47D,FAP2009,34346,27,25,2,1,0,1,0,Crashed after experiencing engine failure.</t>
  </si>
  <si>
    <t>09/30/1994,11:10,"Chaibukha, Russia",Arsenyev Aviation Production Association,,Chaibukha - Provedenia,Antonov AN-8,RA-27209,OA-3460,20,13,7,8,3,5,0,"The cargo plane failed to gain altitude, overran the runway and crashed. Crew error."</t>
  </si>
  <si>
    <t>10/08/1994,15:45,"Mitu, Colombia",SELVA,,Villavicencio - Mitu,Antonov AN-32B,HK3929X,3301,10,5,5,10,5,5,0,"The cargo plane landed short of the runway bounced, collapsed the landing gear, veered off the runway and crashed into another plane and vehicles."</t>
  </si>
  <si>
    <t>10/12/1994,22:50,"Krakas Mountains, near Natanz , Iran",Iran Asseman Airlines,746,Isfahan - Terhan,Fokker F-28 Fellowship 1000,EP-PAV,11070,66,59,7,66,59,7,0,"Thirty-five minutes after taking off from Isfahan, the aircraft made an uncontrolled descent after losing power in both engines and crashed into a mountain."</t>
  </si>
  <si>
    <t>10/14/1994,22:00,"Near Formoso do Aragala, Brazil",Military - Brazilian Air Force,,Rio de Janeiro - Belem,Lockheed C-130E,C-130-2460,4293,21,15,6,21,15,6,0,"Exploded in mid air while en route, 60 km northeast of Brasilia. A load of munitions being carried on the aircraft exploded."</t>
  </si>
  <si>
    <t>10/26/1994,,"Near Cuito, Angola",Military - Angolan Air Force,,,Mil Mi-8MTV (helicopter),H534,,22,NULL,NULL,22,NULL,NULL,0,Shot down by rebel forces.</t>
  </si>
  <si>
    <t>10/29/1994,21:30,"Near Ust'-Ilimsk, Russia",Aeronica,,Yushno - Ust Ilimsk,Antonov AN-12A,RA-11790,1340302,23,16,7,23,16,7,0,The cargo plane suddenly pitched down and collided with a hill. Icing.</t>
  </si>
  <si>
    <t>10/29/1994,10:32,"Batagaj, Russia",Yakutavia,,,Antonov AN-2,RA-33008,1G217-55,19,17,2,7,7,0,0,Pitched up and crashed on takeoff. Overweight and improperly loaded.</t>
  </si>
  <si>
    <t>10/31/1994,15:59,"Roselawn, Indiana",American Eagle,4184,Indianapolis - Chicago,ATR-72-212,N401AM,401,68,64,4,68,64,4,0,"The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</si>
  <si>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11/01/1994,,"Off Cozumel, Mexico",Transportes Aereos Pegaso,,Cozumel - Chichen Itza,Bell 212,XA-SVS,30824,14,13,1,14,13,1,0,Crashed into the sea off of Cozumel while en route in poor weather condtions.  Fuel exhaustion.</t>
  </si>
  <si>
    <t>11/04/1994,,"Near Nabire, Indonesia",Trigana Air Service,,Nabire - Obano,de Havilland Canada DHC-6 Twin Otter 100,PK-YNM,55,4,2,2,4,2,2,0,"The cargo plane crashed into a mountain a 4,000 ft."</t>
  </si>
  <si>
    <t>11/05/1994,,"Saposa, Peru",SA Amazonica,,Trujillo - Saposa,Yakovlev YAK-40,OB-1569,9140220,30,26,4,6,5,1,0,"The pilot delayed landing to avoid a pedestrian on the runway, overran the runway and crashed into Saposoa River breaking up."</t>
  </si>
  <si>
    <t>11/16/1994,02:40,"Avenal, California",Ameriflight,,Burbank - Oakland,Beechcraft C99,N63995,U-178,1,0,1,1,0,1,0,"While en route, the cargo plane made an uncontrolled descent and crashed. Loss of aircraft control at night by the pilot for unknown reasons."</t>
  </si>
  <si>
    <t>11/22/1994,11:40,Papua New Guinea,Southwest Air,,Selbang - Bolvovip,Britten Norman BN-2A Trislander,P2-SWC,0835,7,6,1,7,6,1,0,Crashed into a mountain in poor weather conditions.</t>
  </si>
  <si>
    <t>11/22/1994,22:03,"Bridgeton, Missouri",Trans World Airlines / Private,,,McDonnell Douglas DC-9-82 / Cessna 441,N954U/N411KM,49426 / 0196,142,132,10,2,0,2,0,"During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</si>
  <si>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11/25/1994,,"Near Cuito, Angola",Military - Angolan Air Force,,,Mil Mi-17 (helicopter),H584,,22,NULL,NULL,22,NULL,NULL,0,Shot down by UNITA rebel forces.</t>
  </si>
  <si>
    <t>12/10/1994,11:30,Pacific Ocean,Philippine Air Lines,434,Manila - Cebu - Tokyo,Boeing B-747-200,EI-BWF,21575,293,273,20,1,1,0,0,"An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</si>
  <si>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12/13/1994,18:34,"Morrisville, North Carolina",American Eagle,3379,Greensboro - Raleigh,British Aerospace Jetstream 3201,N918AE,918,20,18,2,15,13,2,0,"The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</si>
  <si>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12/15/1994,06:15,"Lobito, Angola",SL Aviation Services,,,Douglas DC-3,N96BF,13321,2,0,2,2,0,2,0,"The cargo plane lifted off the runway, stalled and hit tail first back on the runway breaking apart."</t>
  </si>
  <si>
    <t>12/17/1994,10:30,"Cerro Aicha, Venezuela",Servivensa,,,Douglas C-47A-10-DK,YV-761C,12476,9,6,3,7,4,3,0,The cargo plane hit trees and crashed short of the runway while attempting to land.</t>
  </si>
  <si>
    <t>12/17/1994,13:20,"Papua, New Guinea",Missionary Aviation Fellowship,,Tabubil - Selbang,de Havilland Canada DHC-6 Twin Otter 200,P2-MFS,187,28,26,2,28,26,2,0,"The chartered flight struck a cliff at 6,400 ft. during a flight from a copper and gold mine."</t>
  </si>
  <si>
    <t>12/21/1994,09:53,"Coventry, England",Phoenix Aviation,702,East Midlands - Coventry,Boeing 737-2D6C,7T-VEE,20758/322,5,0,5,5,0,5,0,After a go-around the plane struck a transmission tower and crashed. The crew allowed the aircraft to descend significantly below the normal approach glide path  in conditions of patchyfog.</t>
  </si>
  <si>
    <t>12/26/1994,17:00,"Algiers Airport, Algeria",Air France,8969,Alger - Paris,Airbus A300B2-1C,F-GBEC,104,239,227,12,3,3,0,0,The aircraft was hijacked by terrorists. Three passengers and four hijackers were killed when the plane was stormed.</t>
  </si>
  <si>
    <t>12/29/1994,15:30,"Near Van, Turkey",Turkish Airlines (THY),278,Ankara - Van,Boeing B-737-4Y0,TC-JES,26074/2376,76,69,7,57,52,5,0,The aircraft crashed into a hill near the airport in driving snow after a fourth landing attempt. Controlled flight into terrain.</t>
  </si>
  <si>
    <t>01/05/1995,20:45,"Isfahan, Iran",Military - Iranian Air Force,,Isfahan - Tehran,Lockheed 1329 Jetstar 8,1003,5203,12,6,6,12,6,6,0,The plane crashed after the pilot reported a loss of cabin pressure.</t>
  </si>
  <si>
    <t>01/10/1995,,"Off Flores Island, Inodnesia",Merpati Nusantara Airlines,6715,Bima - Ruteng,de Havilland Canada DHC-6 Twin Otter 300,PK-NUK,390,14,10,4,14,10,4,0,"The aircraft disappeared while en route from Bima, Sumbawa Island to Ruteng, Flores Island, and crashed into the Molo Strait. The accident occurred in daylight, in poor weather."</t>
  </si>
  <si>
    <t>01/11/1995,19:38,"Cartagena, Colombia",Intercontinental de Aviacion,256,Bogota - Cartagena,McDonnell Douglas DC-9-14,HK-3839X,45742/26,52,47,5,51,46,5,0,"While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</si>
  <si>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01/14/1995,19:45,"Los Angeles, California",Air Taxi - Wolfe Air Aviation Ltd.,,"Los Angeles, CA - Burbank, CA",Bell 206B,N2209P,  3520,4,3,1,2,2,0,0,Took off and crashed into power lines in rain and fog. Continued VFR flight into IMC.</t>
  </si>
  <si>
    <t>01/17/1995,13:59,"Kathmandu, Nepal",Royal Nepal Airlines,133,Kathmandu - Rumjatar,de Havilland Canada DHC-6 Twin Otter 300,9N-ABI,392,24,21,3,2,1,1,0,"The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</si>
  <si>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01/20/1995,,"Le Bourget, France",Leadair - Charter,,Paris - Romania,Dassault Falcon 20E,F-GHLN,225,10,7,3,10,7,3,0,"The plane flew into a flock of birds that were injested into the left engine.  The pilot soon after reported an engine fire and that he was returning to the airport.  However, control of the plane was lost and the aircraft crashed."</t>
  </si>
  <si>
    <t>01/20/1995,19:13,"Near Krasnoyarsk, Russia",Abakan Airlines,,Krasnoyarsk - Abakan,Let 410UVP,RA-67120,790316,19,17,2,3,1,2,0,"While taking off the aircraft veered to the right and clipped some trees 2,000 ft. past the runway. Overloaded and possible fuel contamination."</t>
  </si>
  <si>
    <t>02/16/1995,20:30,"Kansas City, Missouri",ATI,,Kansas City - Chicopee,McDonnell Douglas DC-8-63F,N782AL,45929/367,3,0,3,3,0,3,0,"On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</si>
  <si>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03/16/1995,,"Ossora, Russia",Aeroflot,,Petropavlovsk -  Ossora,Antonov 26B,RA-26084,11806,10,4,6,9,3,6,0,The cargo plane flew into high ground while on approach in poor weather conditons. Controllled flight into terrain.</t>
  </si>
  <si>
    <t>03/31/1995,09:11,"Near Balotesti, Romania",Transporturile Aeriene Romane (TAROM),371,Bucharest - Brussel,Airbus A310-324,YR-LCC,450/395,60,49,11,60,49,11,0,"Shortly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</si>
  <si>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04/23/1995,12:40,"Lagos, Nigeria",Bristow Helicopters,,Port Harcourt - Lagos,de Havilland Canada DHC-6 Twin Otter 300,5N-AJQ,607,9,7,2,1,0,1,0,The aircraft experienced a micoburst while attempting to land at Lagos landing hard on the nosegear. Full power was applied for a go-around but the aircraft veered off the runway and collided with another aircraft.</t>
  </si>
  <si>
    <t>04/29/1995,,"Near Palaly AFB, Sri Lanka",Military - Sri Lanka Air Force,,Anuradhapura - Palaly AFB,Hawker Siddeley HS-748-357/2B SCD,4R-HVA,1768,52,49,3,52,49,3,0,"While returning from Anuradhapura and descending through 3,000 ft the aircraft was shot down with a SAM missile by Tamil separatists."</t>
  </si>
  <si>
    <t>05/01/1995,13:28,"Sioux Falls, Ontario, Canada",Bearskin Airlines / Air Sandy,362 / 3101,Red Lake - Sioux Lookout  / Sioux Lookout - Red Lake,Swear. SA-227CC Metro 23/Piper Navajo,C-GYYB/ C-GYPZ,CC-827B /?,8,5,3,8,5,3,0,"The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</si>
  <si>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05/03/1995,00:45,"Quito, Ecuador",American Jet,,Buenos Aires - La Paz - Quito,Grumman Gulfstream II,N409MA,083,7,5,2,7,5,2,0,"Crashed into Cerro Sincholagua mountain at 16,000 ft.  during an approach to Quito. Pilot fatigue may have been a factor."</t>
  </si>
  <si>
    <t>05/09/1995,16:35,"Cerro San Jeronimo, Colombia",ADES Colombia,,Mitu - Villavicencio,Curtiss C-46F,HK-3079G,22538,9,5,4,9,5,4,0,Crashed into a mountain during approach in poor weather.</t>
  </si>
  <si>
    <t>05/13/1995,,"Near Boise, Idaho",Military - U.S. Air Force,,"Boise, ID - Colorado Springs, CO",Lockheed C-130E Hercules,62-1838,3801,6,0,6,6,0,6,0,An engine caught fire shortly after takeoff and the aircraft was not able to make an emergency landing and crashed.</t>
  </si>
  <si>
    <t>05/24/1995,16:51,"Near Leeds, England",Knight Air,816,Leeds - Aberdeen,Embraer 110 P1 Bandeirante,G-OEAA,110-256,12,9,3,12,9,3,0,"The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</si>
  <si>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05/25/1995,15:00,"Miraflores, Colombia",LACOL,,Villavicencio - Miraflores,Douglas DC-3C,HK-3213,25659,11,9,2,2,2,0,0,</t>
  </si>
  <si>
    <t>05/29/1995,,"Off Mbour, Senegal",Senegalair,,,Piper PA-31-310 Navajo,6V-AGH,31-205,10,8,2,6,4,2,0,"Ditched in the sea just offshore, after losing an engine on approach. The pilot was not rated for that aircraft type and had very little experience."</t>
  </si>
  <si>
    <t>06/09/1995,09:22,"Near Palmerston North, New Zealand",Ansett New Zealand,703,Auckland - Palmerston North,de Havilland Canada DHC-8-102,ZK-NEY,055,21,18,3,5,4,1,0,"As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</si>
  <si>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06/16/1995,14:15,"Herputchi, Russia",Aeroflot,,Poliny - Nikolayevsk-on-Amur,Antonov AN-2,RA-07743,1G259-18,14,12,2,13,11,2,0,Flying VOR the plane ran into poor weather and the pilot decided to return however crashed into trees while attempting to land.</t>
  </si>
  <si>
    <t>06/16/1995,,"Volgograd, Russia",Volga Air,,Poliny Osipenko - Nikolayevsk-on-Amur,Antonov 2R,CCCP-68142,1G195-47,12,NULL,NULL,12,NULL,NULL,0,Crashed in poor weather condtions.</t>
  </si>
  <si>
    <t>06/17/1995,,"Near Cuvela, Angola",Military - Angolan Air Force,,Ondjiva - Catumbela,CASA 212-200 Aviocar,T401,A53-2-326,48,45,3,48,45,3,0,"The aircraft, carrying members of a local soccer club crashed 10 miles short of it's destination. Adverse weather conditions and overloaded."</t>
  </si>
  <si>
    <t>06/24/1995,16:05,"Lagos, Nigeria",Harka Air Services,,Kaduna - Lagos,Tupolev TU-134A,RA-65617,4308068,80,74,6,16,16,0,0,"Crashed while landing in heavy rain. Overshot runway, landing long, and collided with a concrete culvert."</t>
  </si>
  <si>
    <t>06/27/1995,09:50,"La Romana, Dominican Republic",Salair,,"Santo Domingo - Aguadilla, Puerto Rico",Convair CV-440,N356SA,432,2,0,2,2,0,2,0,"After the cargo flight encountered problems en route, the crew tried to return to Santo Domingo but crashed."</t>
  </si>
  <si>
    <t>07/01/1995,,"Kiunga, Papua New Guinea",Garamut Aviation,,Port Moresby - Tabubil,de Havilland Canada C-7A Caribou,P2-VTC,13,3,1,2,3,1,2,0,The cargo plane lost two engines during its flight to Tabubil and subsequent diversion to Kiunga and crashed short of the runway.</t>
  </si>
  <si>
    <t>07/12/1995,08:00,"Gumey, Papua New Guinea",Milne Bay Air,,Alotou - Dagura,de Havilland Canada DHC-6 Twin Otter 300,P2-MBI,275,15,13,2,15,13,2,0,Crashed on takeoff onto a beach in shallow water. An in-flight fire that originated near the rear cargo hold is believed to have started in a passenger's luggage from some type of flammable liquid.</t>
  </si>
  <si>
    <t>07/17/1995,,"Bintuni,  Indonesia",Merpati Nusantara Airlines,,,de Havilland Canada DHC-6 Twin Otter 300,PK-NUT,473,18,16,2,1,0,1,0,The plane lost control during takeoff in heavy rain and veered off the runway crashing into a banana plantation.</t>
  </si>
  <si>
    <t>07/18/1995,,"Near Antananivo, Madagascar",Military - Madagascar Air Force,,Maintirano - Antananivo,Douglas C-47A,5R-MMG,19525,34,29,5,34,29,5,0,"The aircraft, carrying a French medical team, crashed while attempting to land at Antananarivo. Double engine failure."</t>
  </si>
  <si>
    <t>07/25/1995,,"Near Karamui, Papua New Guinea",Transniugini Airways,,,Britten-Norman BN-2A Islander,P2-TNT,393,2,1,1,2,1,1,0,Shortly after takeoff the plane rolled to the left and struck the ground. Failure of the No. 1 engine.</t>
  </si>
  <si>
    <t>08/02/1995,,"Johannesburg, South Africa",Aero Air,,Johannesburg - Jamba,Antonov An-2R,RA-05708,1G153-21,3,0,3,3,0,3,0,During the takeoff cargo shifted in the plane causing the aircraft to lose altitude and crash into power lines.</t>
  </si>
  <si>
    <t>08/09/1995,20:14,"Mt. Chichontepec, San Vincente, El Salvador",Aviateca,901,Guatemala City - San Salvador,Boeing B-737-2H6,N125GU,23849/1453,65,58,7,65,58,7,0,"Crashed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</si>
  <si>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08/09/1995,,"Near Kaimana, Indonesia",Bourag Indonesia Airlines,,Tual - Langgar - Kaimana,Hawker Siddeley HS-748 2A,PK-KHL,1735,10,6,4,10,6,4,0,"Crashed into Mt. Komawa at 9,200 ft. in poor weather. Found 8/14/95."</t>
  </si>
  <si>
    <t>08/14/1995,,"Nevada del Huila, Colombia",AIRES Colombia,145,Neiva - Cali,Embraer 110P1 Bandeirante,HK-2594,110310,10,8,2,10,8,2,0,"Crashed into Nevado de Huila at an elevation of 14,500 feet."</t>
  </si>
  <si>
    <t>08/21/1995,12:53,"Near Carrollton, Georgia",Atlantic Southeast Airlines,529,Atlanta - Gulfport,Embraer 120-RT Brasilia,N256AS,120-122,29,26,3,10,9,1,0,"Shortly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</si>
  <si>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09/01/1995,12:00,"Near Farewell, Alaska",North Star Air Cargo,,Farewell - Anchorage,Shorts SC-7 Skyvan,N30GA,SH-1839,1,0,1,1,0,1,0,"While en route the cargo plane flew into a 4,800 ft. mountain. The pilot's continued VFR flight into instrument meteorological conditions. The weather was a factor."</t>
  </si>
  <si>
    <t>09/02/1995,,"Toronto, Ontario, Canada",Military - Royal Air Force,,Air Show,British Aerospace Nimrod MR-2P,XV239,8014,7,0,7,7,0,7,0,"During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</si>
  <si>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09/02/1995,08:38,"Beaver Dam, Arizona",Adventure Airlines,,"Las Vegas, NV - W. Yellowstone, MT",Cessna 421C Golden Eagle,N6234G,421C-0265,8,7,1,8,7,1,0,"After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</si>
  <si>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 xml:space="preserve"> the pilot's lack of recurrent training in the make and model of airplane</t>
  </si>
  <si>
    <t xml:space="preserve"> inadequate maintenance/inspection of the engine exhaust systems</t>
  </si>
  <si>
    <t xml:space="preserve"> a warped and leaking exhaust system flange on the left engine, which resulted in a loss of power in that engine</t>
  </si>
  <si>
    <t xml:space="preserve"> and the pilot's improper use of the flaps."</t>
  </si>
  <si>
    <t>09/09/1995,07:15,"Near La Macarena, Colombia",SAETA,,Villavicencio - La Macarena,CASA 212 Aviocar 200,FAC1152,306,22,18,4,21,17,4,0,"Crashed short of the runway in rain, fog and reduced visibility after diverting from another airport and two landing attempts."</t>
  </si>
  <si>
    <t>09/11/1995,,"Jalalabad, Afghanistan",Ariana Afghan Airlines,,Kabul - Jalalabad,Antonov AN-26B,YA-BAO,14305,51,44,7,3,3,0,0,Crashed after running out of fuel.</t>
  </si>
  <si>
    <t>09/12/1995,07:20,"Off Colombo, Sri Lanka",Military - Sri Lanka Air Force,,Ratmalana - Palali base,Antonov AN-32,CR861,3502,81,76,5,81,76,5,0,"The pilot reported an instrument problem after taking off from Ratmalana Airport and was returning for an emergency landing when the plane fell from 8,000 feet and crashed into the sea."</t>
  </si>
  <si>
    <t>09/15/1995,12:22,"Tawau,  Malaysia",Malaysia Airlines,2133,Kota Kinabalu - Tawau,Fokker 50,9M-MGH,20174,53,49,4,34,32,2,0,"Following a visual approach, the aircraft landed long and fast and overran the end of the runway into a shanty town while attempting a go-around."</t>
  </si>
  <si>
    <t>09/21/1995,12:30,"Near Moron, Mongolia",MIAT - Mongolian Airlines,,Ulan Bator - Moron,Antonov AN-24RV,BNMAU-10103,573101103,43,37,6,42,36,6,0,The plane crashed into mountains after a premature descent.</t>
  </si>
  <si>
    <t>09/22/1995,07:45,"Anchorage, Alaska",Military - U.S. Air Force,27,Anchorage-Elmendorf AFB - Anchorage-Elmendorf AFB,Boeing B-707 (E-3B),77-0354,21554/933,24,20,4,24,20,4,0,"The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</si>
  <si>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09/24/1995,,"Sterligov Cape, Russia",Norilsk Flight Company,,Cape Chelyuskin - Sterligov Cope,Mil Mi-8T,RA-24553,98522942,15,10,5,15,10,5,0,Crashed through the ice while attempting to land and sank in shallow water. The weather conditions were below minima and the helicopter exceeded its maximum takeoff weight.</t>
  </si>
  <si>
    <t>09/27/1995,19:10,"Campbell River, British Columbia, Canada",Western Straits Air,-,Triumph Bay - Campbell River,De Havilland Dash-3,C-FEBX,38,10,9,1,8,7,1,0,"While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</si>
  <si>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10/03/1995,08:00,"Gunung Antara, Indonesia",Sabang Merauke Raya Air Charter,1994,Medan - Meulaboh,CASA 212,PK-ZAG,158/28N,14,12,2,1,0,1,0,Thirty minutes into the flight the aircraft was not able to maintain altitude after oil pressure was lost in the No. 1 engine. Crashed into trees.</t>
  </si>
  <si>
    <t>10/04/1995,,"Barskoon, Kirghizia",Kirghizia Aba Zaoldoru,,,Mil Mi-8MTV-1,EX-25179,95489,15,12,3,15,12,3,0,The helicopter crashed into mountains at Barskoon Pass while en route.</t>
  </si>
  <si>
    <t>11/09/1995,21:00,"Near Luyaba, Argentina",Military - Argentine Air Force,,Comodoro Rivadavia - Cordoba,Fokker F-27 Friendship 500,TC-72,10619,53,48,5,53,48,5,0,"The aircraft crashed into a 8,000 ft. mountain  in the Sierra Grande range while climbing en route from Comodoro Rivadavia to Cordoba in heavy rain and strong turbulence. The passengers included military personnel and their dependents."</t>
  </si>
  <si>
    <t>11/13/1995,08:55,"Kaduna, Nigeria",Nigeria Airways,357,Jos - Kano,Boeing B-737-2F9,5N-AUA,22985,137,129,8,9,9,0,0,"The aircraft touched down halfway down the runway, veered off the runway where dry grass caught fire under the aircraft and eventually spread destroying the aircraft."</t>
  </si>
  <si>
    <t>11/22/1995,19:00,"Off Jaffna Peninsula , Sri Lanka",Military - Sri Lanka Air Force,,Colombo - Palay AFB,Antonov AN-32,CR862,3503,63,57,6,63,57,6,0,Crashed into the Indian Ocean while attempting to land at Palay Air Force Base. Most likely shot down by Tamil rebels.</t>
  </si>
  <si>
    <t>11/29/1995,10:15,"Off Labuan, Malaysia",Sabah Air,,,Bell 412 (helicopter),9M-AYW,33171,10,8,2,10,8,2,0,Crashed at sea disappearing while en route. Debris found near Labuan Island.  Strong winds and thunderstorms were in the area at the time.</t>
  </si>
  <si>
    <t>11/30/1995,19:10,"Baku, Azerbaijan",Azerbaijan Airlines,,,Boeing 707-323C,4K-401,19584/663,6,0,6,2,0,2,0,While attempting to land the cargo plane struck light posts and crashed into a field.</t>
  </si>
  <si>
    <t>12/03/1995,22:44,"Near Douala, Cameroon",Cameroon Airlines,3701,Cotonou - Douala,Boeing B-737-2K9,TJ-CBE,23386/1143,78,72,6,72,68,4,0,The plane went into a dive and crashed 6 km short of the runway into a swamp during a second attempt at landing. Loss of power in the No. 1 engine.</t>
  </si>
  <si>
    <t>12/05/1995,17:55,"Near Nakhichevan, Azerbaijan, Russia",Azerbaijani Airlines,56,Nakhichevan - Baku,Tupolev TU-134B-3,4K-65703,63383,82,76,6,54,52,2,0,The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</si>
  <si>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12/07/1995,05:20,"Near Grossevichi, Russia",Far East Aviation,3949,Yushno - Khabarovk,Tupolev TU-154B,RA-85164,76A-0164,98,90,8,98,90,8,0,"The aircraft crashed into mountainous terrain while en route. Crew error. Fuel-feed selected from wing tanks on one side only, causing an imbalance and banking to the right. The autopilot was able to counteract the imbalance for approximately 35 minutes into the flight."</t>
  </si>
  <si>
    <t>12/13/1995,19:00,"Verona  - Villafranca, Italy",Romanian Banat Air,166,Verona - Timisoara,Antonov AN-24B,YR-AMR,77303309,49,41,8,49,41,8,0,The plane crashed and burned shortly after takeoff after reaching a height of 500 ft. Combination of overloading and icing.</t>
  </si>
  <si>
    <t>12/18/1995,,"Cahungula, Angola",Trans Service Airlift,,Jamba Airport - ?,Lockheed L-188C Electra,9Q-CRR,1080,144,139,5,141,137,4,0,"The plane, chartered by the UNITA rebel movement, stalled and crashed shortly after takeoff from Jamba. Overloaded by 40 passengers. One report stated baggage shifted to the rear of the plane."</t>
  </si>
  <si>
    <t>12/20/1995,21:38,"Near Buga, Valle del Cauca, Colombia",American Airlines,965,Miami - Cali,Boeing B-757-223,N651AA,24609/390,164,156,8,160,152,8,0,"While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</si>
  <si>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12/22/1995,,"Bagasin, Papua New Guinea",Island Airways,,Madang - Bundi,Britten Norman BN-2A-21 Trislander,P2-NAM,0207,12,11,1,2,1,1,0,"Diverted from Madang to Bagasin, overran the runway and crashed."</t>
  </si>
  <si>
    <t>01/08/1996,,"Off Bridgetown, Barbados",Mustique Airways,,Union Island - Bridgetown,Britten-Norman BN-2A-27 Islander,J8-VAK,436,10,9,1,1,1,0,0,After losing an engine the plane began to lose altitude and ditched in the Atlantic Ocean 30 km southwest of Bridgetown.</t>
  </si>
  <si>
    <t>01/08/1996,12:43,"Kinshasa, Zaire",African Air,,Kinshasa - Kahemba,Antonov AN-32B,RA-26222,2301,6,0,6,2,0,2,225,"The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</si>
  <si>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01/18/1996,20:20,"Near Kano, Nigeria",Military - Nigerian Air Force,,Lagos - Kano,British Aerospace BAe-125-700B,5N-AXO,257196,14,10,4,14,10,4,0,Crashed 4.5 miles short of the runway while making an approach to Kano. Claimed to be shot down by the United Front for Nigeria's Liberation.</t>
  </si>
  <si>
    <t>01/22/1996,12:00,"Off Point Pedro, Sri Lanka",Military - Sri Lanka Air Force,,,Mil Mi-17 (helicopter),CH-587,,39,NULL,NULL,39,NULL,NULL,0,Shot down by Tamil rebels and crashed into the Indian Ocean.</t>
  </si>
  <si>
    <t>02/04/1996,14:12,"Asuncion, Paraguay",Lineas Aereas del Caribe,,Asuncion - Campina Grande,McDonnell Douglas DC-8-55F,HK-3979X,45882/282,4,1,3,4,1,3,24,"The No. 1 engine failed or power was reduced after takeoff followed by loss of the second engine. With the gear down and flaps extended,  the crew lost control of the aircraft and crashed 1.2 miles past the runway into a soccer field killing 24 on the ground."</t>
  </si>
  <si>
    <t>02/05/1996,09:50,"St. Johns, Arizona",Business Air Connection,,"St. Johns, AZ - Brownsville, TX",ConvairCV-440,N131T,338,4,2,2,4,2,2,0,"The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</si>
  <si>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02/06/1996,23:47,"Off Puerto Plata, Domincan Republic","Alas Nacionales, leased from Birgen Air",301,Puerto Plata - Gander,Boeing B-757-225,TC-GEN,22206/31,189,176,13,189,176,13,0,"The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</si>
  <si>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02/11/1996,,"Near Kandahar, Afghanistan",Military - Taliban Militia,,,NULL,,,20,NULL,NULL,20,NULL,NULL,0,The helicopter was shot down.</t>
  </si>
  <si>
    <t>02/12/1996,12:01,"Port-au-Prince, Hati",Hati Express,,Port-au-Prince - Cap Haitien,GAF Nomad N-24A,N224E,62,15,13,2,11,9,2,0,"Shortly after lifting off of the ground, the aircraft rolled to the right and struck the ground ending up inverted in a ditch."</t>
  </si>
  <si>
    <t>02/26/1996,19:00,"Near Jabal Awliya, Sudan",Military - Sudanese Air Force,,El Obeid - Khartoum,Lockheed C-130H,,,91,85,6,91,85,6,0,Crashed SW of Khartoum while attempting an emergency landing after reporting an in-flight out of control fire.</t>
  </si>
  <si>
    <t>02/27/1996,05:40,"Near Lukapa, Angola",Aero Tropical,,Ludana - Lukapa,Antonov 12BP,ER-ACE,402812,8,3,5,8,3,5,0,The cargo plane crashed in rain and poor visibility while on approach.</t>
  </si>
  <si>
    <t>02/29/1996,20:25,"Arequipa, Peru",Compania de Aviacion Faucett SA (Peru),251,Lima - Arequipa,Boeing B-737-222,OB-1451,19072/86,123,117,6,123,117,6,0,"The aircraft crashed into a hillside several miles from the airport while attempting to land. The pilot reported flying at 9,500 ft. when the aircraft was actually flying 8,640 ft. Controlled flight into terrain."</t>
  </si>
  <si>
    <t>03/09/1996,,"Near Mesones Muro, Peru",Military - Peruvian Army Aviation,,Condorcanqui - Bagua,Mil Mi-17,EP561,,23,NULL,NULL,23,NULL,NULL,0,Crashed and exploded north of it's destination in heavy fog after flying into a mountain ridge.</t>
  </si>
  <si>
    <t>03/12/1996,,"Karabogazgol Bay, Turkmenistan",Akhal Air,,,Mil Mi-8T (helicopter),EZ-22684,8142,12,9,3,12,9,3,0,Crashed into the sea while approaching an oil rig to land in strong winds.</t>
  </si>
  <si>
    <t>04/03/1996,14:52,"Near Dubrovnik, Croatia",Military - U.S. Air Force,21,Tizla - Dubrovnik,Boeing B-737-T43,73-1149,20696/347,35,29,6,35,29,6,0,"The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</si>
  <si>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04/05/1996,14:44,"Near Petropavlovsk, Russia",Krasnoyarskie Avialinii,,Novosibirsk - Petropavlovsk,Ilyushin IL-76TD,RA-76752,0093498967,20,11,9,20,11,9,0,"The cargo plane, carrying 57 tones of detergent, crashed into a mountain at an altitude of 2,900 feet. The airplane descended through clouds to an altitude of 900m and flew into the side of a mountain, 300m below the summit."</t>
  </si>
  <si>
    <t>04/05/1996,,"Off Matsu Island, Taiwan",Formosa Airlines,,Taipei - Matsu Island,Dornier 228-212,B-12257,8223,17,15,2,6,6,0,0,After holding for 30 minutes the aircraft undershot the runway during a visual approach and crashed into the sea in heavy fog.</t>
  </si>
  <si>
    <t>04/11/1996,08:24,"Cheyenne, Wyoming",Private,,"Cheyenne, WY - Lincoln, NE",Cessna 177B,N35207,17702266,3,2,1,3,2,1,0,"Seven-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</si>
  <si>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05/03/1996,22:00,"Near Haj Yousif, Sudan",Federal Airlines,,Wadi Halfa - Khartoum,Antonov AN-24,ST-FAG,STFA001,53,48,5,53,48,5,0,"After a number of failed landing attempts during a sandstorm, the aircraft made a forced landing in a local suburb crashing into a building."</t>
  </si>
  <si>
    <t>05/09/1996,,"Near Terrace, British Columbia, Canada",Buffalo Narrows Airways,,,de Havilland Canada DHC-3 Otter,C-GDOB,194,2,0,2,2,0,2,0,On a positioning flight the aircraft flew into a mountain.</t>
  </si>
  <si>
    <t>05/10/1996,,"Otaez, Mexico",Aeroservicios Empresariales de Durango,,Durango - Otaez,de Havilland Canada DHC-6 Twin Otter 200,XA-SWJ,126,19,17,2,16,14,2,0,Crashed into high ground while attempting to land at a mine airstrip in turbulence and stong gusty winds.</t>
  </si>
  <si>
    <t>05/11/1996,14:15,"Everglades, Miami, Florida",ValuJet,592,Miami - Atlanta,McDonnell Douglas DC-9-32,N904VJ,47377/496,110,105,5,110,105,5,0,"The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</si>
  <si>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05/11/1996,13:15,"Oumba, Papua New Guinea",Milne Bay Air,,Menyamya - Marakawa,Britten Norman BN-2A-20 Trislander,P2-ISD,582,10,9,1,1,1,0,0,Crashed into a ridge line shrouded in clouds while en route.</t>
  </si>
  <si>
    <t>05/19/1996,23:36,"Griesta, United Kingdom",Loganair,,Inverness - Lerwick,Britten-Norman BN-2A-26 Islander,G-BEDZ,544,3,2,1,3,2,1,0,Crashed during a second attempt at landing</t>
  </si>
  <si>
    <t>06/06/1996,,"Kinshasa, Democratic Republic Congo",Hoseba,,"Kinshasa, Congo  - Athens, Greece",Ilyushin 76MD,UR-76539,0033442234,10,2,8,10,2,8,0,Crashed during takeoff.</t>
  </si>
  <si>
    <t>06/09/1996,14:55,"Rasht, Iran",Iran Air,,Training,Boeing 727-286,EP-IRU,21079/1131,7,0,7,7,0,7,0,The training flight crashed into a field during touch-and-go landings.</t>
  </si>
  <si>
    <t>06/12/1996,19:00,"Near Rollingstone, Queensland  Australia",Military - Australian Army Aviation,,,Sikorsky S-70 / Sikorsky S-70,A25-113/A25-209,70-1186 / 70-1346,28,NULL,NULL,18,NULL,NULL,0,The two helicopters collided in mid-air while flying in formation. The pilots may have possibly been  stressed fatigued and inadequately prepared and were flying too low to see the target.</t>
  </si>
  <si>
    <t>06/13/1996,12:07,"Fukuoka, Japan",Garuda Indonesia Airlines,865,Fukuoka - Denpasar,McDonnell Douglas DC-10-30,PK-GIE,46685/284,275,260,15,3,3,0,0,The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</si>
  <si>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06/21/1996,17:04,"Shanghai, China",China Flying Dragon Aviation (Feilong Airlines),,Dalian - Shanghai,Harbin Yunshuji Y-12-II,B-3822,0001,12,9,3,2,1,1,0,The aircraft crashed into a mountain after deviating off course during a landing attempt.</t>
  </si>
  <si>
    <t>07/06/1996,15:42,"Pensacola, Florida",Delta Air Lines,1288,Pensacola - Atlanta,McDonnell Douglas MD-88,N927DA,49714/1524,142,137,5,2,2,0,0,Fan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</si>
  <si>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07/09/1996,16:30,"Papua, New Guinea",Milne Bay Air,,Bosavi - Mendi,de Havilland Canada DHC-6 Twin Otter 300,P2-MBB,290,20,19,1,20,19,1,0,"Just after beginning its final approach, the aircraft crashed into the side of a  mountain at about 9,200 feet in rain and poor visibility."</t>
  </si>
  <si>
    <t>07/11/1996,09:00,"Near Kanda, India",Archana Airlines,,Delhi - Shimla - Kulu,Let 410,VT-ETC,942703,9,6,3,9,6,3,0,The aircraft flew into a Bandi Hill while descending inbound to Kulu in heavy fog.</t>
  </si>
  <si>
    <t>07/15/1996,18:00,"Near Eindhoven, The Netherlands",Military - Belgian Air Force,,"Villafranca, Italy - Eindhoven AB",Lockheed C-130H,CH-06,4473,41,37,4,34,30,4,0,"Crashed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</si>
  <si>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07/17/1996,16:35,"Near Playa del Carmen, Mexico",Aerolatino (Aerocaribe),,Holvox Island - Playa del Carmen,de Havilland Canada DHC-6 Twin Otter 300,XA-TCF,734,18,16,2,1,1,0,0,Crashed 150 ft. short of the runway.</t>
  </si>
  <si>
    <t>07/17/1996,20:31,"Off East Moriches, New York",Trans World Airlines,800,New York City - Paris,Boeing B-747-131,N93119,20083/153,230,212,18,230,212,18,0,"While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</si>
  <si>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07/20/1996,15:15,"Russian Mission, Alaska",Northern Air Cargo,33,Emmonak - Aniak,Douglas DC-6A,N313RS,44663/630,4,1,3,4,1,3,0,"Soon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</si>
  <si>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 xml:space="preserve"> and failure of the flight crew to follow emergency procedures by pulling the fire handle before feathering the propeller, which diminished the effectiveness of the fire suppression system."</t>
  </si>
  <si>
    <t>07/24/1996,,"Near Mergui, Manmar",Myanmar Airways,,Rangoon - Mergui,Fokker F-27 Friendship 600,XY-AET,10433,49,44,5,8,8,0,0,"A straight-in visual approach to Mergui was being attempted when the aircraft entered a squall line of heavy rain. The aircraft then started to lose height quickly, undershot the runway by 800ft. And crashed into a ravine."</t>
  </si>
  <si>
    <t>08/12/1996,13:47,"Markham Bay, Canada",First Air,64,Iqaluit - Markham Bay,de Havilland Canada DHC-6 Twin Otter 300,C-GNDN,427,2,0,2,2,0,2,0,"After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</si>
  <si>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08/14/1996,,"Near Bronson Creek, British Columbia, Canada",Air North,,Bronson Creek - Wrangell,Douglas DC-4,C-FGNI,10389/120,3,0,3,1,0,1,0,"After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</si>
  <si>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08/17/1996,23:48,"Near Jackson Hole, Wyoming",Military - U.S. Air Force,,"Jackson Hole, WY - New York, NY",Lockheed C-130H Hercules,74-1662,4597,9,1,8,9,1,8,0,The plane struck a mountain. Failure of the crew to monitor the aircraft's position and flight path relative to high terrain surrounding Jackson Hole Airport.</t>
  </si>
  <si>
    <t>08/18/1996,19:50," Near Alliford Bay, British Columbia, Canada2",Harbour Air,,Tasu - Alliford,de Havilland Canada DHC-3 Turbo Otter,C-GCMY,32,3,2,1,3,2,1,0,"While en route, flew into the side of a mountain. The pilot probably made a navigational error because of restricted visibility in fog and light drizzle and entered the wrong valley, and he delayed his decision to reverse course until he was unable to avoid the weather."</t>
  </si>
  <si>
    <t>08/19/1996,03:16,"Belgrade, Yugosalvia",Spair Air Transport,,Belgrade - Malta,Ilyushin IL-76T,RA-76513,083414451,12,2,10,12,2,10,0,"After taking off from Belgrade, the plane experienced electrical problems and returned to the airport. After dumping fuel and circling for 3 hours, the plane crashed into a corn field 800m short of the runway."</t>
  </si>
  <si>
    <t>08/29/1996,10:22,"Near Longyearbyen, Norway",Vnokovo Airlines,2801,Moscow - Svalbard,Tupolev TU-154M,RA-85621,86A-742,141,129,12,141,129,12,0,"The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</si>
  <si>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09/25/1996,16:37,"Waddenzee, Netherlands",Dutch Dakota Association,,Texel - Amsterdam,Douglas DC-3C,PH-DDA,19109,32,26,6,32,26,6,0,"Shortly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</si>
  <si>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10/02/1996,01:16,"Off Pasamayo, Peru",Aeroperu,603,Lima - Santiago,Boeing B-757-200,N52AW,25489/505,70,61,9,70,61,9,0,"The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</si>
  <si>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10/03/1996,,"Kahemba, Congo",Malu Aviation,,,de Havilland Canada DHC-6 Twin Otter 200,9Q-CXK,74,21,19,2,6,4,2,0,Crashed on take off.</t>
  </si>
  <si>
    <t>10/06/1996,,"Lukapa, Angola",Savanair,,,Antonov 12B,RA-11101,01347703,19,13,6,6,5,1,0,While attempting to land the landing lights malfunctioned causing the cargo plane to veer off the runway and crash into a house.</t>
  </si>
  <si>
    <t>10/08/1996,10:50,"San Francesco al Campo, Italy",Aeroflot,9981,"Moscow - Turin, Italy",Antonov An-124,RA-82069,9773053359122,23,0,23,2,0,2,2,"The cargo plane struck trees and a house while making a second attempt to land. Poor communication and lack of training for the crew. Poor planning approach, the decision to leave late in the second round.  Structural deficiencies in engine control."</t>
  </si>
  <si>
    <t>10/22/1996,22:41,"Manta, Ecuador",Million Air,,Manta - Miami,Boeing B-707-323C,N751MA,19582/639,4,0,4,4,0,4,30,"The cargo plane, carrying flowers and frozen fish crashed into the Dolorosa district, bursting into flames shortly after taking off. One engine caught fire during the climb-out."</t>
  </si>
  <si>
    <t>10/26/1996,20:45,"Khanty, Russia",Tyumen Aviatrans,,Tyumen - Khanty,Yakovlev YAK-40,RA-88527,9711252,34,30,4,5,3,2,0,"In a heavy snowstorm, the aircraft landed short and right of the runway striking three Mil Mi-8 helicopters and bursting into flames."</t>
  </si>
  <si>
    <t>10/31/1996,08:27,"Sao Paolo, Brazil",TAM (Brazil),402,Sao Paulo - Rio de Janiero,Fokker 100,PT-MRK,11440,95,89,6,95,89,6,3,The aircraft crashed shortly after takeoff into a residential area striking a building. Uncommanded deployment of the thrust reverser on the right engine caused the plane to roll right and lose control.</t>
  </si>
  <si>
    <t>11/01/1996,08:10,"Near Tikal, Guatemala",Transported Areos Profesionales - TAPSA,,Guatemala City - Flores,Embraer 110P1 Bandeirante,TG-TPA,110313,16,14,2,16,14,2,0,"The plane crashed into a mountain 1 hour after take off, at an altitude of 900 ft., in strong winds, while on approach to Santa Elena."</t>
  </si>
  <si>
    <t>11/07/1996,17:00,"Lagos, Nigeria",Aviation Development Corporation,086,Port Harcourt - Lagos,Boeing B-727-231,5N-BBF,20054/718,143,134,9,143,134,9,0,The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</si>
  <si>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11/07/1996,09:29,"Aubusson, France",Jetcom S.A.,,Geneva - Bordeaux,Cessna 421C Golden Eagle,HB-LRX,421C02172,8,7,1,8,7,1,0,"The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</si>
  <si>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11/12/1996,18:40,"Near Charkhi Dadri, India",Saudi Arabian Airlines / Kazakhstan Airlines,763/1907,New Delhi - Dhahran / Chimkent - New Delhi,Boeing B-747-168B / Ilyushin IL-76TD,HZ-AIH/UN-76435,22748/555/1023413428,349,316,33,349,316,33,0,"Midair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</si>
  <si>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11/14/1996,13:02,"BolchaÃ¯a Pyssa, Russia",Komi Avia,,Most Pyssa - Koslan,Antonov AN-2,RA-40309,1G221-39,15,13,2,14,13,1,0,Lost altitude and crashed while en route in poor weather. Stall of the left wing due to icing.</t>
  </si>
  <si>
    <t>11/19/1996,17:01,"Quincy, Illinois",United Express  / Private,5925,"Burlington, IA - Quincy, IA",Beechcraft 1900-C / Beech King Air A90,N87GL / N1127D,UC-87 /,14,10,4,14,10,4,0,"While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</si>
  <si>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11/22/1996,19:30,"Off Cape Mendocino, CA",Military - U.S. Air Force,,"San Diego, CA - Portland, OR",Lockheed HC-130P Hercules,64-14856,4072,11,0,11,10,0,10,0,"Crashed 60 miles west of Cape Mendocino in the Pacific Ocean. The crew reported losing an engine, followed by complete electrical failure."</t>
  </si>
  <si>
    <t>11/23/1996,15:15,"Off Mitsamiouli, Comoros",Ethiopian Airlines,961,Addis Ababa - Nairobi,Boeing B-767-260ER,ET-AIZ,23916/187,175,163,12,127,117,10,0,"The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</si>
  <si>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11/27/1996,11:54,"Abakan, Siberia, Russia",Military - Russian Air Force,,Abakan - Petropavlosk - Kamchatsky,Ilyushin IL-76MD,RA-76804,0093492278,23,19,4,23,19,4,0,The aircraft crashed shortly after takeoff. Overloaded.</t>
  </si>
  <si>
    <t>11/30/1996,10:33,"Medellin, Colombia",ACES Colombia,148,Medellin - Bahia Solano,de Havilland Canada DHC-6 Twin Otter 300,HK-2602,746,15,13,2,14,12,2,0,The aircraft crashed into a mountain 5 minutes after takeoff. The plane stalled while trying to clear a mountain.  Overloaded.</t>
  </si>
  <si>
    <t>12/07/1996,15:23,"Banjarmasin, Indonesia",Dirgantara Air Services,,Banjarmasin - Sampit,CASA 212 Aviocar 100,PK-VSO,152/26N,17,15,2,16,14,2,2,"After experiencing a No.2 engine fire and while attempting to return to the airport, the aircraft's wing struck a building short of the runway."</t>
  </si>
  <si>
    <t>12/09/1996,18:03,"Boise, Idaho",Emery Worldwide,,Boise - Salt Lake City,Douglas C-47A,N75142,9173,2,0,2,2,0,2,0,"Shortly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</si>
  <si>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12/17/1996,,"Tver, Russia",Military - Russian Air Force,,St. Petersburg - Krasnodar,Antonov AN-12,,,18,11,7,18,11,7,0,Crashed 8km from the airfield after taking off in strong winds and heavy snow.</t>
  </si>
  <si>
    <t>12/21/1996,22:32,"Rio Negro, Colombia",SELVA,,Bogota - Medellin,Antonov An-32B,HK-4008X,3402,4,1,3,4,1,3,0,The cargo plane crashed short of the runway while attempting to land.</t>
  </si>
  <si>
    <t>12/22/1996,18:10,"Narrows, Virginia",Airborne Express,827,Test flight,McDonnell Douglas DC-8-63F,N827AX,45901/293,6,3,3,6,3,3,0,"The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</si>
  <si>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12/24/1996,10:05,"Dorchester, New Hampshire",Aircraft Charter Group Inc,,"Bridgeport, CT - Lebanon, NH",Learjet 35A,N388LS,35-388,2,0,2,2,0,2,0,"The cargo plane was on a positioning flight when it struck rising terrain while making an approach to land. The captain's failure to maintain situational awareness, which resulted in the airplane being outside the confines of the instrument approach</t>
  </si>
  <si>
    <t xml:space="preserve">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</si>
  <si>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12/24/1996,15:00,"Near Nellore, India",Military - Indian Air Force,,Tanbaram AFB - Hyderabad,Hindustan Aeronautics 748-2,H1032,528,22,17,5,22,17,5,0,Crashed while en route after the pilot reported an engine fire. Undetected cracks in the engine not detected during routine maintenance.</t>
  </si>
  <si>
    <t>01/07/1997,11:00,"Near Moamoa, Samoa",Polynesian Airlines,211,Pago Pago - FagaliI,de Havilland Canada DHC-6 Twin Otter 300,5W-FAU,678,5,3,2,3,2,1,0,Crashed onto a mountin in high winds and rain after being diverted from another airport.</t>
  </si>
  <si>
    <t>01/09/1997,15:54,"Near Monroe, Michigan",Comair,3272,Cincinnati - Detroit,Embraer 120RT Brasilia,N265CA,120257,29,26,3,29,26,3,0,"While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</si>
  <si>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01/29/1997,23:10,"Sparrevohn, Alaska",Southcentral Air,,St. Marys - Kenai,de Havilland Canada DHC-4A Caribou,N702SC,126,2,0,2,1,0,1,0,"While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</si>
  <si>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 xml:space="preserv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</si>
  <si>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01/31/1997,,"Yola, Nigeria",Skypower Express Airways,,Jos - Yola,Embraer 110P1A Bandeirante,5N-AXS,110458,16,13,3,5,2,3,0,After being in a holding pattern for over an hour the plane hit trees and a  power line and crashed 700m short of the runway. Failure to maintain the aircraft above the Minimum Descent Altitude while the aircraft was not positioned in the final landing phase.</t>
  </si>
  <si>
    <t>02/01/1997,14:38,"Tambacoumba, Senegal",Air Senegal,,Tambacounda - Dakar,Hawker Siddeley HS-748-353 Srs.2a,6AV-AEO,1769,52,49,3,25,22,3,0,The aircraft crashed shortly after taking off fromTambacoumba after losing power in the left engine. Fuel contamination.</t>
  </si>
  <si>
    <t>02/02/1997,17:30,"Near Quiangala, Angola",Force Area Populaire de Angola,,Luanda - Cafunfo,CASA 212 Aviocar 200,T-400,325,37,33,4,37,33,4,0,The plane took off from Luanda bound for Cafunfo in northeastern Angola when it disappeared en route.  Witnesses later stated the plane appeared to be in trouble and flying at a low altitude before it crashed.</t>
  </si>
  <si>
    <t>02/04/1997,19:00,Northern Israel,Military - Israel Air Force /Military -  Israel Air Force,,,Sikorsky CH53D / Sikorsky CH53D,357 / 903,,73,NULL,NULL,73,NULL,NULL,0,The two military helicopters crashed into each other while taking off in darkness killing all aboard.</t>
  </si>
  <si>
    <t>02/14/1997,12:34,"Carajas, Brazil",Varig,265,Maraba - Carajas,Boeing B-737-2C3,PP-CJO,21013/393,52,46,6,1,0,1,0,The aircraft touched down hard. The right main landing gear collapsed causing the plane to veer to the right and end up in a wooded area. The first officer was killed.</t>
  </si>
  <si>
    <t>02/19/1997,03:06,"Guatemala City, Guatemala",Transpolar,,"Lima, Peru - Guatemala City, Guatemala",IAI 1124 Westwind,YV-160CP,211,5,4,1,5,4,1,0,Flew into a mountain while on approach.</t>
  </si>
  <si>
    <t>03/12/1997,,"Lucapa, Angola",ALADA,,Luanda - Lucapa,Antonov AN-12B,D2-FVG,6344506,16,12,4,16,12,4,0,Crashed short of the runway in dense fog while attempting to land a second time at Lucapa.</t>
  </si>
  <si>
    <t>03/13/1997,18:06,"Near Mashhad, Iran",Military - Iranian Air Force,,Dezful - Mashhad,Lockheed C-130HF,,,88,80,8,88,80,8,0,The plane was carrying military personnel and their families and crashed 24 miles NE of Mashhad in the Binalud Heights. The pilot reported engine failure prior the crash.</t>
  </si>
  <si>
    <t>03/18/1997,10:04,"Cherkessk, Russia",Stavropol Airlines,1023,Stavropol - Trabzon,Antonov AN-24RV,RA-46516,37308502,50,44,6,50,44,6,0,"The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</si>
  <si>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04/01/1997,,"Tegucigalpa, Honduras",Military - U.S. Air Force,,Howard AFB - Tegucigalpa,Lockheed C-130H Hercules,88-4408,5161,10,NULL,NULL,3,NULL,NULL,0,"While landing the aircraft overran the runway, hit a concrete drainage ditch, when through a fence and came to rest on a highway where it caught fire."</t>
  </si>
  <si>
    <t>04/04/1997,00:16,"Griffin, Georgia",Custom Air Service,,Griffin - Americus,Aviation Traders ATL-98 Carvair,N83FA,10365,2,0,2,2,0,2,0,"On a positioning flight, while taking off the plane suffered engine failure, overran the runway and crashed into a vacant building."</t>
  </si>
  <si>
    <t>04/10/1997,20:30,"Near Wainwright, Alaska",Hageland Aviation Services,502,Barrow - Wainwright,Cessna 208B Caravan I,N408GV,208B-0455,5,4,1,5,4,1,0,After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</si>
  <si>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04/14/1997,,"Brazzaville, Democratic Republic Congo",TAAG Angola Airlines,,Brazzaville - Luanda,Fokker F-27 Friendship 600,D2-TFP,10424,7,4,3,3,0,3,0,The cargo plane became airborne but soon lost altitude and crashed to the ground and burst into flames.</t>
  </si>
  <si>
    <t>04/15/1997,,"Gyandzha, Azerbaijan",Azerbaijan Airlines,,Training,Yakovlev 40,4K-87504,9510640,6,0,6,6,0,6,0,"A stray bullet from training soldiers struck the landing plane, hitting an oxygen cylinder. A fire broke out and control of the plane was lost and it crashed."</t>
  </si>
  <si>
    <t>04/16/1997,,"Near Sorei, Niger",Military - Niger Air Force,,Lome - Niamey,Lockheed C-130H Hercules,5U-MBD,4829,14,NULL,NULL,14,NULL,NULL,0,Crashed after an engine fire.</t>
  </si>
  <si>
    <t>04/19/1997,07:39,"Tanjung Pandan, Indonesia",Merpati Nusantara Airlines,106,Jakarta - Tanjung Pandan,British Aerospace ATP,PK-MTX,2048,53,48,5,15,11,4,0,"During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</si>
  <si>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04/23/1997,18:00,"Near Konduz, Afghanistan",Military - Afghan Republican Air Force,,,Antonov AN-26,,,36,NULL,NULL,36,NULL,NULL,0,The transport crashed into a mountain.</t>
  </si>
  <si>
    <t>05/08/1997,21:28,"Huangtian, China",China Southern Airlines,3456,Chongqing - Shenzen,Boeing B-737-31B,B-2925,27288/2577,74,65,9,35,33,2,0,"The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</si>
  <si>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06/06/1997,07:35,"Near Irumu, Congo",Bazair,,Bunia - Kisangani,Vickers Viscount 781D,9Q-CWL,280,27,20,7,27,20,7,0,Crashed shortly after taking off. Fire in the cabin.</t>
  </si>
  <si>
    <t>06/10/1997,,"Mandalgobi, Mongolia",MIAT - Mongolian Airlines,,Ulan Bator - Mandalgobi,Harbin Yunshuji Y-12 II,JU-1020,6,12,10,2,7,7,0,0,The aircraft crashed while attemping to land. Windshear. Lack of windshear equipment at the airport.</t>
  </si>
  <si>
    <t>07/03/1997,03:49,"Madh Island, India",Elbee Airlines,,Mumbai - Banglaor,Fokker F-27 Friendship 200,VT-SSA,10670,2,0,2,2,0,2,0,Shortly after taking off the cargo plane crashed into the ocean. The pilot lost control when he encountered severe weather conditions soon after taking off.</t>
  </si>
  <si>
    <t>07/06/1997,,"Near Saravena, Colombia",Military - Colombian Army,,,Mil Mi-17 (helicopter),,,29,25,4,25,21,4,0,Shot down by rebels.</t>
  </si>
  <si>
    <t>07/09/1997,09:30,"Suzano, Brazil",TAM (Brazil),283,Sao Jose dos Campos - Congonhas,Fokker 100,PT-WHK,11440,60,55,5,1,1,0,0,An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</si>
  <si>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07/11/1997,21:55,"Off Santiago de Cuba, Cuba",Cubana de Aviacion,787,Santiago de Cuba - Havana,Antonov AN-24,CU-T1262,27307610,44,39,5,44,39,5,0,The plane crashed into the ocean 4 miles off the coast shortly after takeoff. Possible failure of the left engine during takeoff.</t>
  </si>
  <si>
    <t>07/17/1997,11:56,"Bandung, Indonesia",Sempati Air,304,Bangdung - Jakarta,Fokker F-27 Friendship 600,PK-YPM,10415,50,45,5,30,25,5,0,"The aircraft developed engine trouble (left engine caught on fire) shortly after taking off.  While attempting to make an emergency landing at Sulaiman AFB, the plane clipped roof tops of a housing project and crashed into a nearby field."</t>
  </si>
  <si>
    <t>07/18/1997,10:32,"Goroka,  New Guinea",Goroka Air Services,,Chimbu - Goroka,de Havilland Canada DHC-6 Twin Otter 300,P2-MMU,250,4,3,1,2,1,1,0,Crashed into Mt. Yasirua in poor weather. Navigational error. No published instrument flying procedures. No GPS used for primary navigation.</t>
  </si>
  <si>
    <t>07/29/1997,,"Calabar , Nigeria",ADC Airlines,,Lagos - Calabar,BAC One-Eleven 203AE,5N-BAA,041,55,49,6,1,0,1,0,Overshot the runway in heavy rain and came to rest in brush.</t>
  </si>
  <si>
    <t>07/30/1997,10:30,"Florence, Italy",Air Littoral,701,Nice - Florence,Aerospatiale ATR-42-512,F-GPYE,492,17,14,3,1,0,1,0,"The aircraft touched down at excessive speed, far down the runway threshold, bounced twice and overran the runway."</t>
  </si>
  <si>
    <t>08/06/1997,01:42,"Agana, Guam",Korean Airlines,801,Seoul - Guam,Boeing B-747-300,HL-7468,22487/605,254,231,23,228,206,22,0,"The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</si>
  <si>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08/07/1997,12:36,"Miami, Florida",Fine Air,101A,Miami - Santo Domingo,McDonnell Douglas DC-8-61F,N27UA,45942/349,4,1,3,4,1,3,1,"Immediately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</si>
  <si>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08/10/1997,08:15,"Matsu Island, Taiwan",Formosa Airlines,7601,Taipei - Matsu,Dornier DO-228-212,B-12256,8220,16,14,2,16,14,2,0,The aircraft flew into a mountain and exploded in flames after a missed approach and while executing a go-around in rain and high winds. The pilot turned right instead of left when initiating the go-around.</t>
  </si>
  <si>
    <t>08/29/1997,,"Puerto Inirida, Venezuela",SATENA,,San Felipe - Puerto Inirida,Pilatus PC-6 Turbo Porter / Cessna 206,FAC1115,820,12,10,2,12,10,2,0,Collided with a Cessna 206 (OB-1450) and crashed 3 miles from the airfield. Six killed on the Pilatus and 6 on the Cessna</t>
  </si>
  <si>
    <t>09/03/1997,14:00,"Phnom Penh, Cambodia",Vietnam Airlines,815,Ho Chi Minh City - Phnom Penh,Tupolev TU-134,VN-A120,66360,66,60,6,65,59,6,0,"The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</si>
  <si>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09/06/1997,19:44,"Near Miri, Malaysia",Borneo Airways,238,Bandar Seri Begawan - Miri,Dornier 228-212,9M-MIA,8217,10,8,2,10,8,2,0,Struck tree tops and crashed into Lambir Hill while on approach to land at Miri.</t>
  </si>
  <si>
    <t>09/12/1997,,"Near Uvira, Zaire",TMK Air Commuter,,Buknavu - Uvira,de Havilland Canada DHC-6 Twin Otter 300,9Q-CBO,735,22,21,1,22,21,1,0,The aircraft was destroyed when it flew into a hillside during an approach to Uvira.</t>
  </si>
  <si>
    <t>09/13/1997,17:10,"Off Namibia, Africa",Military - Luftwaffe / Military - USAF,74,Niamey - Windhoek,Tupolev TU-154M / C-141 Starlifter,1102/65-9405,89A-813,33,23,10,33,23,10,0,"Midair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</si>
  <si>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09/26/1997,13:34,"Buah Nabar, Indonesia",Garuda Indonesia Airlines,152,Jakarta - Medan,Airbus A300-B4-200,PK-GAI,214,234,222,12,234,222,12,0,The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</si>
  <si>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10/08/1997,07:23,"Near Montrose, Colorado",Scenic Airlines,-,"Montrose, CO - Page, AZ",Cessna 208B Caravan I,N12022,208B-0432,9,8,1,9,8,1,0,"Collided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</si>
  <si>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10/10/1997,22:23,"Nuevo Berlin, Uruguay",Austral Lineas Aeras (Argentina),2553,Posadas - Buenos Aires,McDonnell Douglas DC-9-32,LV-WEG,47446/561,74,69,5,74,69,5,0,"The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</si>
  <si>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10/10/1997,,"Taipei, Taiwan",Military - Republic of China Air Force,,,Lockheed C-130H Hercules,1310,5067,5,0,5,5,0,5,0,Crashed in poor weather after a go-around.</t>
  </si>
  <si>
    <t>10/12/1997,17:28,"Monterey Bay, near Pacific Grove, California",Private,-,,Rutan Long EZ (experimental aircraft),N555JD,54,1,0,1,1,0,1,0,"The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</si>
  <si>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10/29/1997,,"Jalal-Abad, Afghanistan",Ariana Afghan Airlines,,,Yakovlev YAK-40,YA-KAE,9441037,26,20,6,2,2,0,0,Crashed during a landing attempt.</t>
  </si>
  <si>
    <t>11/08/1997,08:08,"Near Barrow, Alaska",Hageland Aviation Services,500,Barrow - Wainwright,Cessna 208B Caravan I,N750GC,208B-0504,8,7,1,8,7,1,0,"A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</si>
  <si>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12/05/1997,14:46,"Irkutsk-2, Russia",Military - Russian Air Force,,Irkutsk - Vladivostok,Antonov AN-124-100,RA-82005/08,4516003,23,17,6,23,17,6,44,"The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</si>
  <si>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12/09/1997,15:26,"Little Grand Rapids, Canada",Sowind Air,301,Winnipeg - Little Grand Rapids,Embraer 110P1 Bandeirante,C-GVRO,110285,17,15,2,4,3,1,0,"Crashed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</si>
  <si>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12/13/1997,17:05,"La Veriente, Bolivia",STAP,,Villamontes - Santa Cruz,Swearingen SA-226T Metro II,CP-1635,TC-359,19,17,2,10,9,1,0,"During take off, shortly after the landing gear was retracted, one of the aircraft's engines lost power and the propeller autofeathered. The aircraft rolled to the right, struck trees and crashed inverted."</t>
  </si>
  <si>
    <t>12/15/1997,18:35,"Sharjah, United Arab Emirates",Tajikistan Airlines,3183,Dushanbe - Sharjah,Tupolev TU-154,EY-85281,78A-281,86,77,9,85,77,8,0,The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</si>
  <si>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12/17/1997,19:13,"Fotina, Greece",Aerosweet Airlines (LVOV),241,Odessa - Thessaloniki,Yakovlev YAK-42,UR-42334,4520422606,70,62,8,70,62,8,0,"The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</si>
  <si>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12/19/1997,16:13,"Near Palembang, Indonesia",SilkAir,185,Jakarta - Hatta - Singapore,Boeing B-737-300,9V-TRF,28556/2851,104,97,7,104,97,7,0,"The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</si>
  <si>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12/20/1997,,"Tanagra, Greece",Military - Greek Air Force,,Search mission,Lockheed C-130H Hercules,750,4729,5,0,5,5,0,5,0,Crashed in the Pastra mountains while searching for the wreckage of an Aerosweet Yak-42 that was missing.</t>
  </si>
  <si>
    <t>12/27/1997,,"Atlantic Ocean, off Angola",Renan Airways,,"Abidjan - Rundu, Nambia",Antonov An-72,ER-ACF,36572094888,5,0,5,5,0,5,0,Went missing while en route. May have been shot down.</t>
  </si>
  <si>
    <t>12/28/1997,23:10,Over the Pacific Ocean,United Air Lines,826,Tokyo - Honolulu,Boeing B-747-122,N4723U,19882/175,393,374,19,1,1,0,0,"Two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</si>
  <si>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12/31/1997,07:45,"Rio Sidra, Panama",Parsa,,Panama City - Rio Sidra,Britten Norman BN-2A Trislander,HP-986PS,178,10,9,1,10,9,1,0,"Crashed into dense jungle, 4 miles short of its destination in heavy fog."</t>
  </si>
  <si>
    <t>01/13/1998,18:30,"Brno, Czech Republic",Aeroservice International,,Gomel - Kunovice,Let 410UVP,YV-928CP,871919,2,0,2,2,0,2,0,Fog and low visibility forced the plane to divert to divert to Brno. After a missed approach the aircraft crashed 3.5 km short of the runway threshold and was destroyed.</t>
  </si>
  <si>
    <t>01/13/1998,22:30,"Tor Kach, Pakistan",Military - Ariana Afghan Airlines,,Kandahar - Herart,Antonov AN-12BP,YA-DAB,5342801,51,45,6,51,45,6,0,"The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</si>
  <si>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01/27/1998,11:45,"Yangon (Rangoon), Myanmar",Myanmar Airways,403,Thandwe - Sittwe,Fokker F-27 Friendship 600,XY-AES,10576,45,41,4,16,15,1,0,The aircraft crashed on takeoff after the No. 2 engine failed and caused the aircraft to swerve off the runway and crash into an embankment and burst into flames.</t>
  </si>
  <si>
    <t>02/02/1998,11:00," Cagyan de Oro, Philippines",Cebu Pacific Air,387,Tacloban - Cagayan de Oro,McDonnell Douglas DC-9-32,RP-C1507,47069/175,104,99,5,104,99,5,0,"Flight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</si>
  <si>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02/03/1998,15:15,"Near Cavalese, Trento, Italy",Military - U.S. Marine Corps,-,,Grummand EA-6B,163045/CY-02,P-130,2,0,2,0,0,0,20,The aircraft struck and severed the cable to a gondola causing it to fall 300 ft. to the ground and killing 20 on board. The plane landed safely. Negligence by the crew in flying above the speed limit and well below the prescribed minimum altitude in the area.</t>
  </si>
  <si>
    <t>02/04/1998,22:17,"Terceira, Portugal",Air Luxor,,Terceira - Lisbon,Antonov 12BP,LZ-SFG,3341605,7,0,7,7,0,7,0,"Shortly after taking off the plane lost power in the No. 3 engine followed by the No. 4 engine. The plane rolled to the right, stalled, entered an spin and crashed."</t>
  </si>
  <si>
    <t>02/05/1998,12:10,"Near Navafria, Spain",Military - Spanish Air Force,,,CASA 212-S1 Aviocar 100,D-3B-9,297,5,0,5,5,0,5,0,Crashed in the Los Hoyos mountains while on a military training flight.</t>
  </si>
  <si>
    <t>02/12/1998,08:30,"Near Nasir, Sudan",Military - Sudan Air Force,,,Antonov AN-32,,AN32052,57,50,7,27,24,3,0,Overshot the runway in heavy fog and crashed into the Sobat River.</t>
  </si>
  <si>
    <t>02/16/1998,20:09,"Taipei, Taiwan",China Airlines (Taiwan),676,Denpasar - Taipei,Airbus A300-622R,B-1814,578,196,182,14,196,182,14,7,"The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</si>
  <si>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03/10/1998,16:35,"Mombasa, Kenya",Air Memphis,,"Mombasa, Kenya - Cairo, Egypt",Boeing 707-336C,SU-PBA,19843/735,6,0,6,6,0,6,0,"The cargo plane struck the approach lights as it took off from Runway 3, then struck a hill and disintegrated."</t>
  </si>
  <si>
    <t>03/18/1998,19:31,"Off Hsinchu, Taiwan",Formosa Airlines,7623,Hsinchu - Kao Hsiung,Saab340B,B-12255,340B-377,13,8,5,13,8,5,0,"The aircraft crashed in the sea, 11 km off Hsinchu, shortly after taking off from Hsinchu. Instrument failure and loss of power in the aircraft's right engine in turbulence."</t>
  </si>
  <si>
    <t>03/19/1998,14:00,"Near Charasyab, Afghanistan",Ariana Afghan Airlines,,Dubai - Kandahar - Kabul,Boeing B-727-228,YA-FAZ,22288/1712,45,32,13,45,32,13,0,"The plane was descending for a landing at Kabul on visual when it struck 3,000 ft. Sharhi Baranta Mountain, 300 feet below the summit in dense fog and rain."</t>
  </si>
  <si>
    <t>03/22/1998,19:42,"Bacolod, Philippines",Philippine Air Lines,137,Manila - Bacolod,Airbus A.320-214,RP-C3222,708,127,121,6,0,0,0,3,"The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</si>
  <si>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03/28/1998,09:35,"Piura, Peru",Fuerza AÃ©rea del Peru,388,Tumbes - Piura,Antonov AN-32,OB-1388,1203,55,50,5,22,22,0,1,A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</si>
  <si>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03/31/1998,,"Near Mexico City, Mexico",Linea AÃ©rea Mexicana de Carga,,,Convair CV-240-53,XA-TAP,53-13,4,0,4,2,0,2,0,Shortly after taking off the cargo plane experienced a fire in the No. 2 engine. The plane crashed while attempting to make an emergency landing on a road.</t>
  </si>
  <si>
    <t>04/20/1998,16:47,"Near Bogota, Colombia",Air France,422,Bogota - Quito,Boeing B-727-230,HC-BSU,21622/1431,53,43,10,53,43,10,0,"The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</si>
  <si>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05/05/1998,21:30,"Andoas, Peru",Fuerza AÃ©rea del Peru,,Iquitos - Andoas,Boeing B-737-282,FAP-351,23041/962,88,81,7,75,69,6,0,"The aircraft was chartered by the Los Angeles-based Occidental Petroleum Corporation. The plane crashed in light rain, while on final approach, in a swampy area, three miles short of Andoas. There were reports of a lightning flash preceding the accident."</t>
  </si>
  <si>
    <t>05/12/1998,19:30,"Near Nema, Mauritania",Military - Mauritanian Air Force,,Nema - Nouakchott,Xian Yunshuji Y-7-100C,5T-MAG,007H03,42,35,7,39,32,7,0,Crashed shortly after taking off in a sandstorm.</t>
  </si>
  <si>
    <t>05/25/1998,10:20,"Near Longtiang, Laos",Military - Lao People's Liberation Army Air Force,,Vientiane - Xiang Khoang,Yakovlev YAK-40,34001,9431835,26,20,6,26,20,6,0,"The aircraft struck a jungle covered mountain at 1,800m, after making a premature descent to land during a heavy rainstorm."</t>
  </si>
  <si>
    <t>05/25/1998,00:32,"Indian Trail, North Carolina",Air Taxi - US Helicopters Inc.,,"Charlotte, NC - Monroe, NC",Bell 206L-3,N96CW,,5,4,1,5,4,1,0,The helicopter's skids contacted a high-tension static ground wire about 150 feet above the ground. The pilot's failure to maintain altitude while operating in adverse weather. A contributing factor was the incoming fog and high tension static wire.</t>
  </si>
  <si>
    <t>05/26/1998,09:30,"Near Erdenet, Mongolia",MIAT - Mongolian Airlines,,Erdenet - Moron,Harbin Yunshuji Y-12 II,JU-1017,,28,26,2,28,26,2,0,"The aircraft crashed into the side of a mountain at 2,800m,  13 minutes after taking off from Erdenet. The plane, designed to carry a maximum of 19 passengers, was carring 26. Overloaded."</t>
  </si>
  <si>
    <t>06/18/1998,07:28,"Montreal, Canada",Propair,420,Montreal - Peterborough,Swearingen SA-226TC Metroliner II,C-GQAL,TC-233,11,9,2,11,9,2,0,"Flight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</si>
  <si>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 xml:space="preserve">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</si>
  <si>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06/25/1998,09:32,"Mt. Waialeale, Hawaii",Air Taxi - Ohana Helicopter Tours,,Sightseeing,Eurocopter AS-350-BA,N594BK,2735,6,4,2,6,4,2,0,"The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</si>
  <si>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07/13/1998,23:15,"Off Rasal, United Arab Emirates",ATI Aircompany,,"Rasal - Nikolaev, Ukraine",Ilyushin 76MD,UR-76424,0063470096,8,0,8,8,0,8,0,"The cargo plane lifted off from the runway, slowly sank and impacted the sea. The plane was grossly overloaded."</t>
  </si>
  <si>
    <t>07/16/1998,21:41,"CÃ³rdoba, Argentina",Alas del Sur,,TucumÃ¡n - CÃ³rdoba,Rockwell Sabreliner 60,LV-WPO,306-3,3,1,2,3,1,2,0,The cargo plane crashed short of the runway.</t>
  </si>
  <si>
    <t>07/17/1998,04:15,"Asmara, Eritrea",Ukraine Aviation Transport Company,,"Bourgas, Bulgaria - Asmara, Eritrea",Ilyushin II-76,UR-UCI,0083481440,10,1,9,10,1,9,0,"While on an ILS approach, the cargo plane struck a hill."</t>
  </si>
  <si>
    <t>07/23/1998,,"Pico de Orizaba, Mexico",Military - Mexican Air Force,,Mexico City - Tuxtla GutiÃ©rrez,Shorts SC-7 Skyvan 3-100,XC-UTQ,SH1946,4,0,4,4,0,4,0,The aircraft crashed into a volcano.</t>
  </si>
  <si>
    <t>07/27/1998,,"Southhampton, England",Plane Sailing,,VP-BPS,Consolidated PBY-5A Catalina,VP-BPS,1997,18,14,4,4,2,2,0,The plane was flying lower than 500 ft. prior to attempting to land. After a missed attempt the plane landed on the water and soon after water entered the cockpit and the plane broke up. Possible collision with debris which caused the doors to collapse inward.</t>
  </si>
  <si>
    <t>07/28/1998,,"Barcelona, Spain",Swifair,704,Palma de Mallorca - Barcelona,Swearingen SA.227AC Metro III,EC-FXD,AC-651B,2,0,2,2,0,2,0,"During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</si>
  <si>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07/29/1998,16:00,"Manacapuru River, Brazil",Selva Taxi Aero,,Tefe - Manaus,Embraer 110 Bandeirante,PT-LGN,110343,24,22,2,5,4,1,0,The aircraft ditched in the Manacapuru River while en route from Tefe to Manaus. The pilot had reported an engine problem about 20 minutes earlier.</t>
  </si>
  <si>
    <t>07/30/1998,15:58,"Near Quiberon, France",Proteus Air / Private,706,Lyon - Lorient,Beechcraft 1900D / Cessna 177,F-GSJM/F-GAJE,UE-238,15,12,3,15,12,3,0,"Midair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</si>
  <si>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07/30/1998,11:05,"Kochi, India",Alliance Airlines,503,Agathi - Kochi - Thiruvananthapuram,Dornier 228-201,VT-EJW,8075/2017,6,3,3,6,3,3,2,"Shortly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</si>
  <si>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08/04/1998,17:58,"Kincolith, British Columbia, Canada",Harbour Air Seaplanes Ltd.,709,Prince Rupert - Kincolith,de Havilland Dash-2 Beaver,C-FOCJ,0039,5,4,1,5,4,1,0,"The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</si>
  <si>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08/11/1998,,"Saurimo, Angola",Alada,,,Antonov An-12BP,D2-FAZ,8345601,13,6,7,1,0,1,0,Blew a tire while landing causing the plane to to run off the runway and crash.</t>
  </si>
  <si>
    <t>08/19/1998,16:40,"Foveaux Strait, New Zealand",Vincent Aviation,,Stewart Island - Invercargill,Cessna 402C,ZK-VAC,402C0512,10,9,1,5,4,1,0,"While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</si>
  <si>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08/21/1998,11:30,"Near Ghorepani, Nepal",Lumbini Airways,,Jomsom - Pokhara,de Havilland Canada DHC-6 Twin Otter 300,9N-ACC,710,18,15,3,18,15,3,0,"The aircraft crashed in a remote mountainous area at an elevation of 12,000 feet while on a flight from Jomsom to Potokari. Radio contact was lost 5 minutes after takeoff from Jomson."</t>
  </si>
  <si>
    <t>08/24/1998,16:46,"Pretoria, South Africa",Speed Service Couriers,,Pretoria - Durban,DC-3-65TP,ZS-NKK,13143,2,0,2,1,0,1,0,"The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</si>
  <si>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08/24/1998,08:35,"Manibagi, Myanmar",Myanmar Airways,635,Rangoon - Tachilek,Fokker F-27 Friendship 600,XY-AEN,10476,44,40,4,44,40,4,0,"The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</si>
  <si>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08/29/1998,13:03,"Quito, Ecuador",Cubana de Aviacion,389,Quito - Guayaquil - Havana,Tupolev TU-154M,CU-T1264,720,91,77,14,70,56,14,10,"The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</si>
  <si>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09/02/1998,21:30,"Off Peggy's Cove, Nova Scotia, Canada",Swissair,111,New York City - Geneva,McDonnell Douglas MD-11,HB-IWF,48448/465,229,215,14,229,215,14,0,"The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</si>
  <si>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09/02/1998,,Angola,Permaviatrans,,,Antonov AN-26,RA-26028,10408,24,20,4,24,20,4,0,Shot down by UNITA rebels 30 minutes after taking off.</t>
  </si>
  <si>
    <t>09/09/1998,10:45,"Port Alsworth, Alaska",Rusts Flying Service Inc.,,"Anchorage, AK - Hoholitna River, AK",de Havilland Dash-2 float plane,N1433Z,595,5,4,1,5,4,1,0,"The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</si>
  <si>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09/10/1998,,"Islamabad, Pakistan",Military - Pakistan Air Force,,,Lockheed C-130B Hercules,24143,3781,5,0,5,5,0,5,0,The aircraft was returning to a ramp with it's brakes on fire when it struck another aircraft and caught fire.</t>
  </si>
  <si>
    <t>09/25/1998,09:00,"Near Nador, Morroco",Paukn Air,4101,Malaga - Melilla,British Aerospace BAe-146-100,EC-GEO,E1007,38,34,4,38,34,4,0,The aircraft crashed into a hill in a forest 20 miles north of Nador and 12 miles from its destination as it made an approach for Melilla. Controlled flight into terrain.</t>
  </si>
  <si>
    <t>09/28/1998,13:30,"Praia, Cape Verde",Cabo Verde Airlines,,Sao Nicolau - Praia,de Havilland Canada DHC-6 Twin Otter 300,D4-CAX,550,22,20,2,1,1,0,0,"The aircraft crashed to the ground while making a final turn for landing in low clouds, reduced visibility and strong, rapidly veering wind conditions associated with the approach of a severe thunderstorm."</t>
  </si>
  <si>
    <t>09/29/1998,13:50,"Off Mannar, Sri Lanka",Lionair,602,Jaffna - Colombo,Antonov AN-24RV,EW-46465,27307901,55,48,7,55,48,7,0,"Ten minutes after taking off from Jaffna, the plane disappeared from radar. The aircraft crashed into the sea 35 nm north of Mannar. The plane was shot down by LTTE (Liberation Tigers of Tamil Eelam) rebels."</t>
  </si>
  <si>
    <t>10/02/1998,09:45,"Near Canaima, Venezuela",Servivensa,,Sighteeing,Douglas DC-3C,YV-611C,1977,27,24,3,1,0,1,0,"The sightseeing plane, after a flight over Angel Falls, crashed short of the runway into a swamp."</t>
  </si>
  <si>
    <t>10/10/1998,,"Near Kindu, Congo",Congo Airline,,Kindu - Kinshasa,Boeing B-727-30,9Q-CSG,18369/125,41,38,3,41,38,3,0,"The aircraft crashed into the jungle after the rear engine was hit by a Russian  SA-7 missile, fired by Tutsi rebel forces shortly after the plane took off from Kindu Airport bound for Kinshasa."</t>
  </si>
  <si>
    <t>10/21/1998,13:51,"Yerevan, Armenia",Ararat Avia,,Yerevan - Krasnodar,Yakovlev YAK-40,EK-88272,9721053,37,33,4,0,0,0,4,"While attempting to take off, the aircraft struck a military bus as it crossed the runway."</t>
  </si>
  <si>
    <t>10/25/1998,,"Rwenzori mountains, Uganda",TanaMana Aviation,, Entebbe - Kasese,Britten-Norman BN-2A-3 Islander,5Y-ANV,284,11,10,1,4,3,1,0,Crashed in the Rwenzori mountains.</t>
  </si>
  <si>
    <t>11/01/1998,13:14,"Near Quetzaltenango, Guatemala",Living Water Teaching Ministries Charter,,Plaa Grande - Quetzaltenango,Douglas DC-3C,N3FY,20562,18,16,2,11,9,2,0,"The aircraft crashed into mountainous terrain in fog and rain 44 minutes after leaving Playa Grande, Guatemala. The plane was returning from doing a medical clinic for 3 days in the remote jungles of Playa Grande where no one had seen a doctor before."</t>
  </si>
  <si>
    <t>11/11/1998,11:22,"Near Krasnoyarsk, Russia",Sakha Airlines,,Krasnoyarsk - Mirny,Antonov AN-12,RA-12955,08345506,13,7,6,13,7,6,0,"The aircraft, carrying freight and seven passengers, crashed and burned, 25 km from Krasnoyarsk, 4 minutes after taking off in a snowstorm. Icing."</t>
  </si>
  <si>
    <t>11/21/1998,17:43,"Edgewater, Maryland",Private,,"Brunswick, GA - Annapolis, MD",Burgess RV-6 experimental,N956DB,21119,1,0,1,1,0,1,0,"The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</si>
  <si>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12/07/1998,11:3,"Baie-Comeau, Canada",Air Satellite,,Point-Lebel - Rimouski,Britten-Norman Trislander,C-FCVK,2028,10,8,2,7,6,1,0,"The aircraft crashed into the St. Lawrence River in shallow water, 2km from the runway after taking off from Point-Lebel."</t>
  </si>
  <si>
    <t>12/11/1998,19:10,"Near Surat Thani, Thailand",Thai Airways,261,Bangkok - Surat Thani,Airbus A-310-204,HS-TIA,415,146,132,14,102,91,11,0,"The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</si>
  <si>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12/14/1998,,"Near Cuito, Angola",Khors Aircompany,,,Antonov AN-12BP,UR-11319,4342510,11,6,5,11,6,5,0,The leased aircraft was shot down by UNITA rebels as it flew at FL 150 carrying relief supplies.</t>
  </si>
  <si>
    <t>12/17/1998,,"Saurimo, Angola",Zanex,,Luanda - Saurimo,Antonov 12,S9-SAT,12357,10,2,8,1,NULL,NULL,0,"After encountering a vehicle on the runway, the crew attempted a go-around but the aircraft touched down in a nose-high attitude and crashed."</t>
  </si>
  <si>
    <t>12/22/1998,00:15,"MedellÃ­n, Colombia",SELVA,,BogotÃ¡ - MedellÃ­n,Antonov 32B,HK-3930X,3309,5,2,3,5,2,3,0,The cargo plane crashed in fog and poor visibility while attempting to land.</t>
  </si>
  <si>
    <t>12/26/1998,12:00,"Vila Nova, Angola",Transafrik,806,Huambo - Saurimo,Lockheed Martin L-100-30 Hercules,S9-CAO,4561,14,10,4,14,10,4,0,"The plane crashed in dense jungle, 25 km from the departure town of Huambo. Heavy fighting was reported between government forces and UNITA rebels at the time of the crash."</t>
  </si>
  <si>
    <t>01/02/1999,,"Near Huambo, Angola",Transafrik - United Nations Charter,,Huambo - Luanda,Lockheed L-100-30 Hercules,D2-EHD,4839,9,5,4,9,5,4,0,"he United Nations-chartered plane was shot down by UNITA rebels, 20 minutes after takeoff from Huambo."</t>
  </si>
  <si>
    <t>01/12/1999,17:00,"Guernsey, Channel Islands, England",Channel Express,,London - Guernsey,Fokker F-27 Friendship 600,G-CHNL,10508,2,0,2,2,0,2,0,"During approach the cargo planel,assumed a nose-high attitude, stalled, hit a house and crashed into a field short of the runway. The aircraft was operated outside the load and balance limitations"</t>
  </si>
  <si>
    <t>01/13/1999,,"Geilenkirchen, Germany",Military - German Air National Guard,,Refueling,Boeing KC-135E,59-1452,17940/355,4,0,4,4,0,4,0,"After completing an air refueling mission the plane pitched upward, stalled and crashed."</t>
  </si>
  <si>
    <t>01/13/1999,06:33,"Mayne Island, British Columbia, Canada",Kelowna Flightcraft Air Charter,,Vancouver - Victoria,Douglas DC-3C,C-GWUG,32963,2,0,2,2,0,2,0,"Shortly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</si>
  <si>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01/16/1999,14:30,"Coconut Island, QLD, Australia",Uzu Air,,Horn Island - Coconut Island,Britten Norman BN-2A-26,VH-XFF,763,4,3,1,3,2,1,0,"After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</si>
  <si>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01/21/1999,08:10,"Bluefields, Nicaragua",Fuerza AÃ©rea Nicaragua,,Managua - Bluefields,Antonov AN-26,,,28,21,7,28,21,7,0,"The plane, on a relief mission to Bluefields was waved off from landing because of a blocked runway. While navigating around for another landing attempt, the aircraft crashed into mountainous terrain."</t>
  </si>
  <si>
    <t>02/02/1999,05:08,"Luanda, Angola",Savannair,,Luanda - Lucapa,Antonov AN-12,EL-ASS,3340909,14,10,4,14,10,4,13,"The plane was on a flight to Lucapa, when it was forced to return to Luanda due to engine trouble. While approaching Luanda, the aircraft crashed into the Cazenga district of Luanda destroying five houses."</t>
  </si>
  <si>
    <t>02/03/1999,10:20,"Hoskins, Papua New Guinea",Airlink,,Hoskins - Kandrian,Britten Norman BN-2A Trislander,P2-ALH,761,11,10,1,11,10,1,0,The aircraft crashed 15 minutes after taking off from Hoskins en route to Kandrian. The aircraft broke-up in midair after encountering severe weather and crashed into a oil palm plantation in flat terrain.</t>
  </si>
  <si>
    <t>02/08/1999,,"Kinshasa,  Democratic Republic Congo",Air Karibu,,Kinshasa - Mbandaka,Lockheed L-188A Electra,9Q-CDI,1037,7,0,7,7,0,7,0,"After taking off, the cargo plane lost the No. 3 engine. The crew tried to return to the airport but the plane lost altitude and crashed."</t>
  </si>
  <si>
    <t>02/24/1999,16:34,"Rui'an, China",China Southwest Airlines,4509,Chengdu - Wenzhou,Tupolev TU-154,B-2622,90A-846,61,50,11,61,50,11,0,"The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</si>
  <si>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02/25/1999,12:30,"Genoa, Italy",Minerva Airlines,1553,Cagliar - Genoa,Dornier 328-110,D-CPRR,3054,31,27,4,4,3,1,0,"The aircraft touched down briefly, overran the runway and crashed into the sea in strong winds."</t>
  </si>
  <si>
    <t>03/07/1999,08:23,"New Delhi, India",Military - Indian Air Force,,Gwalior -  Pokhran - New Delhi,Antonov AN-32 Transport,K2673,108,19,15,4,19,15,4,3,"While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</si>
  <si>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03/18/1999,16:05,"Near Tame, Colombia",ALIANSA Colombia,,Cucuta - El Yopal,Douglas DC-3C (C-47A-DK),HK-337,11831,8,5,3,8,5,3,8,Crashed into Huirotico Hill. Wreckage found 4 days later.</t>
  </si>
  <si>
    <t>03/19/1999,09:45,"Davis Inlet, Newfoundland, Canada",Provincial Airlines,960,Goose Bay - Davis Inlet,de Havilland Canada DHC-6 Twin Otter 300,C-FWLQ,724,2,0,2,1,0,1,0,"On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</si>
  <si>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 xml:space="preserve"> thus, the aircraft flew into the ice."</t>
  </si>
  <si>
    <t>04/07/1999,11:30,"Ribeirao Preto, Brazil",ManacÃ¡ TÃ¡xi AÃ©reo,,Training,Learjet 24D,PT-LEM,24-270,5,0,5,5,0,5,0,The pilot-in-command lost control during touch-and-go landing and crashed.</t>
  </si>
  <si>
    <t>04/07/1999,00:33,"Near Ceyhan, Turkey",Turkish Airlines (THY),5904,Adana - Ciddah,Boeing 737-4Q8,TC-JEP,25378/2732,6,0,6,6,0,6,0,The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</si>
  <si>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04/08/1999,11:35,"Near Malaga, Colombia",Aerotaca,,Bucaramanga - Malaga,de Havilland Canada DHC-6 Twin Otter 300,HK-2760,777,5,3,2,5,3,2,0,"The aircraft crashed into La Caida Hill in fog, 10 minutes from its destination. The aircraft was off course."</t>
  </si>
  <si>
    <t>04/15/1999,16:05,"Shanghi, China",Korean Air,6316,"Shanghi, China - Seoul, Korea",McDonnell Douglas MD-11,HL-7373,48409/490,3,0,3,3,0,3,0,"Shortly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</si>
  <si>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05/08/1999,19:21,"Off Port Vila, Vanuatu",Vanair,,EspÃ­rita Santo - Port Vila,de Havilland Canada DHC-6 Twin Otter 300,YJ-RV9,694,12,11,1,7,6,1,0,Crashed into the ocean during a heavy rain. It is reported that the flight had appeared to be proceeding normally until impact with the water.</t>
  </si>
  <si>
    <t>05/24/1999,13:15,"Kuching, Malaysia",Military - Malaysian Air Force,,Training,de Havilland Canada DHC-4A,M21-05,270,5,0,5,5,0,5,0,Crashed while attempting to take off.</t>
  </si>
  <si>
    <t>05/29/1999,14:30,"Ol Kiombo, Kenya",Malindi Air Services,,Ol Kiombo - Mara Sika AS,Let 410UVP-E,5Y-LET,912620,2,0,2,2,0,2,0,Failed to gain altitude while taking off and crashed. The plane was on a positioning flight to pick up passengers.</t>
  </si>
  <si>
    <t>06/01/1999,23:50,"Little Rock, Arkansas",American Airlines,1420,Dallas-Fort Worth - Little Rock,McDonnell Douglas MD-82,N215AA,49163/1111,145,139,6,11,10,1,0,"The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</si>
  <si>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06/03/1999,,"Near Khartoum, Sudan",Military - Sudan Air Force,,Kassala - Khartoum,Antonov 32,,,50,44,6,50,44,6,0,</t>
  </si>
  <si>
    <t>06/09/1999,,"Coron, Philippines",Pacific Airways,,,Britten-Norman BN-2A-21 Islander,RP-C471,473,1,0,1,1,0,1,0,</t>
  </si>
  <si>
    <t>06/09/1999,10:50,"Juneau, Alaska",Air Taxi - Coastal Helicopters Inc.,,Sightseeing,Eurocopter AS-350BA,N6099S,2810,7,6,1,7,6,1,0,"The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</si>
  <si>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06/17/1999,08:52,"Goroka, Papua New Guinea",Airlink,,Nadzab - Goroka,Embraer 110P2 Bandeirante,P2-ALX,110210,17,15,2,17,15,2,0,"The aircraft was 19 miles or six minutes out of Goroka when it crashed into a hillside. At the time of the crash, the pilot was in routine communication with Goroka and gave no indications of any problems."</t>
  </si>
  <si>
    <t>06/25/1999,13:20,"Long Haul Lake, Manatoba, Canada",Blue Water Aviation Services,,Test flight,de Havilland Canada DHC-3 Otter,C-FIFP,73,2,0,2,1,0,1,0,"During the takeoff the engine failed and the plane crashed into trees. The most likely accident scenario during the second take-off is that water contamination migrated from the center fuel tank to the engine, resulting in a loss of engine power."</t>
  </si>
  <si>
    <t>07/01/1999,,"Luzamba, Angola",Savanair,,Huambo - Luanda,Antonov 12B,TN-AFR,8345502,5,0,5,1,0,1,0,The cargo plane was shot down by UNITA rebels.</t>
  </si>
  <si>
    <t>07/02/1999,14:27,"Sittwe, Myanmar",Myanmar Airways,,Yangon - Sittwe,Fokker F-27 Friendship 600,XY-AEO,10594,8,4,4,8,4,4,0,"The aircraft, carrying freight, flew into the side of a fog covered ridge, 8 km E of Sittwe, while on approach to Sittwe."</t>
  </si>
  <si>
    <t>07/04/1999,12:05,"Villavicencio, Colombia",LANC Colombia,,Villavicencio - Mitu,Douglas DC-6A,HK-1776,45499/1011,18,12,6,5,5,0,0,The aircraft developed engine trouble shortly after taking off and returned to the airport. The plane made a steep descent and struck an embankment of the Guatiquia River.</t>
  </si>
  <si>
    <t>07/07/1999,19:51,"Near Kathmandu, Nepal",Lufthansa Cargo Airlines,8533,Kathmandu - New Delhi,Boeing 727-243F,VT-LCI,22168/1770,5,0,5,5,0,5,0,"The cargo plane crashed into the Champadevi mountains at an altitude of 7,500 ft. The plane was flying too low.  Failure to the adhere to Standard Instrument Departure Procedure by the crew and failure of the controllers to warn the flight."</t>
  </si>
  <si>
    <t>07/09/1999,04:30,"Toluca , Mexico",Aero Jet Express,,Los Mochis - Toluca,Hawker Siddeley HS-125,XA-TAL,25064,4,2,2,4,2,2,0,"While on approach, the cargo plane hit a wall, 400 meters short of the runway."</t>
  </si>
  <si>
    <t>07/16/1999,21:41,"Off Martha's Vineyard, Massachusetts",Private,-,"Fairfield, N.J. - Martha's Vineyard, MA",Piper PA-32-R301 Saratoga II HP,N9253N,3213100,3,2,1,3,2,1,0,"The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</si>
  <si>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07/23/1999,11:25,"Tokyo, Japan",All Nippon Airways,61,"Tokyo, Japan - Chitose, Japan",Boeing B-747,JA8966,27442/1066,517,503,14,1,0,1,0,"Two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</si>
  <si>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07/23/1999,03:30,"Near Orito, Colombia",Military - U.S. Army,,,de Havilland Canada DHC-7-102,N5382W,95,7,0,7,7,0,7,0,"The plane crashed into Patascoy mountain at 7,000 ft. on a reconnaissance flight over drug producing areas."</t>
  </si>
  <si>
    <t>07/24/1999,05:35,"Nasevou Village, Fiji",Air Fiji,121,Nausori - Nadi,Embraer 110P1 Bandeirante,DQ-AFN,110416,17,15,2,17,15,2,0,"The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</si>
  <si>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08/07/1999,12:00,"Santo Antao, Cape Verde Islands",TACV-Cabo Verde Airlines,5002,Sao Vicente - Santo Antao,Dornier 228-201,D4-CBC,8091,18,16,2,18,16,2,0,"The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</si>
  <si>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08/22/1999,18:45,"Hong Kong, China",China Airlines (Taiwan),642,Bangkok - Hong Kong,McDonnell Douglas MD-11,B-150,48468/518,315,300,15,3,3,0,0,"While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</si>
  <si>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08/24/1999,12:36,"Hualian, Taiwan",Uni Air,873,Taipei - Hualian,McDonnell Douglas MD-90-30,B-17912,53536/2160,96,90,6,1,1,0,0,"A fire in the front portion of the cabin, in the overhead luggage compartment, caused thick black smoke to accumulate in the cabin.  Accidental ignition of gas taken aboard in 2 bleach and softner bottles, stored in a overhead locker."</t>
  </si>
  <si>
    <t>08/26/1999,10:54,"Turtkul, Uzbekistan",Uzbekistan Airways,,Tashkent - Turtkul,Yakovlev YAK-40,UK-87848,9331730,33,29,4,2,2,0,0,"The aircraft struck power lines 2,000m past the end of the runway after a second attempted go-around."</t>
  </si>
  <si>
    <t>08/31/1999,20:55,"Buenos Aires, Argentina","LAPA, Lineas Aereas Privadas Argentinas",3142,Buenos Aires - Cordoba,Boeing B-737-204C,LV-WRZ,20389/251,103,98,5,63,60,3,2,"While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</si>
  <si>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09/05/1999,10:30,"Near Kathmandu, Nepal",Necon Air,128,Pokhara - Kathmandu,Hawker Siddeley HS-748-501 Super 2B,9N-AEG,1806,15,10,5,15,10,5,0," While on approach to Tribhuvan International Airport, the aircraft struck a telecommunication tower with its left wing and crashed onto slopes of a wooded area, 6 miles southwest of the airport."</t>
  </si>
  <si>
    <t>09/14/1999,23:47,"Girona, Spain",Britannia Airways,226A,"Cardiff, Wales, UK - Girona, Spain",Boeing 757-204,G-BYAG,26965/517,245,236,9,1,1,0,0,"The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</si>
  <si>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09/14/1999,,"Bucharest, Romania",Greek Government,3838,Athens - Bucharest,Dassault Falcon 900B,SX-ECH,026,13,10,3,7,7,0,0,Experienced pitch oscillations during descent and crashed while landing. Inadequate risk assessment of the pitch feel malfunctions. Overriding of the A/P on the pitch channel by the crew.</t>
  </si>
  <si>
    <t>09/14/1999,21:20,"Belelm, Brazil",Norte Jet TÃ¡xi AÃ©reo,,Belem - Monte Dourado,Embraer 110 Bandeirante,PT-ODK,110002,2,0,2,2,0,2,0,The cargo plane crashed while on approach.</t>
  </si>
  <si>
    <t>09/17/1999,,"Mt. Hidalgo, Mexico",Military - Mexican Air Force,,Test flight,Lockheed C-130A Hercules,3610,3217,5,0,5,5,0,5,0,The plane crashed just after maintenance personell replaced parts and were testing the plane.</t>
  </si>
  <si>
    <t>10/02/1999,19:15,"Dhahran, Saudi Arabia",Aramco Associated Company,,,Bell 214ST helicopter,N704H,28108,20,18,2,12,10,2,0,"The helicopter, crashed into the water shortly after liftoff from the 88 foot tall helideck located 35 miles offshore. The landing was soft and gentle but the helicopter rolled over inverted in the water."</t>
  </si>
  <si>
    <t>10/24/1999,,"San Carlos, Venezuela",Military - Venezuelan Army,,La Carlota - Acarigua,Arava 201,EV-8012,062,6,3,3,6,3,3,0,Crashed during a rainstorm.</t>
  </si>
  <si>
    <t>10/25/1999,11:20,"Aberdeen, South Dakota",Private charter,,"Orlando, FL - Dallas, TX",Gates Learjet 35,N47BA,060,6,4,2,6,4,2,0,"The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</si>
  <si>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10/31/1999,01:52,"Off Nantucket Island, Massachusetts",EgyptAir,990,New York City - Cairo,Boeing B-767-366ER,SU-GAP,24542/282,217,202,15,217,202,15,0,"The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</si>
  <si>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11/09/1999,19:03,"Near Uruapan, Mexico",TAESA,725,Uruapan - Mexico City,McDonnell Douglas DC-9-31,XA-TKN,47418/570,18,13,5,18,13,5,0,"The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</si>
  <si>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11/12/1999,11:13,"Near Pristina, Kosovo",Si Fly - U.N. charter,3275,Rome - Pristina,Aerospatiale Alenia ATR-42,F-OHFV,12,24,21,3,24,21,3,0,"The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</si>
  <si>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12/05/1999,05:12,"Moscow, Russia",Tashkent Aircraft Production Corporation,,"Moscow, Russia - Tashkent, Uzbekistan",Ilyushin 114T,UK-91004,1083800305,7,0,7,5,0,5,0,"The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</si>
  <si>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12/07/1999,09:25,"Near Bayombang, Philippines",Asian Spirit,,Manila - Cauayan,Let 410UVP,RP-C-3883,851429,17,15,2,17,15,2,0,The aircraft apparently flew into a mountainside towards the end of a flight from Manila to Cauayan in rain and poor visibility.</t>
  </si>
  <si>
    <t>12/10/1999,02:50,"Kuwait City, Kuwait",Military - U.S. Air Force,,Kuwait  IA - Kuwait-Ahmed Al-jaber AB,Lockheed C-130H,63-7854,3924,94,86,8,3,3,0,0,"Crashed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</si>
  <si>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12/11/1999,09:20,"Sao Jorge, Azores (Portugal)",SATA,530,Ponta Delgada - Horta,British Aerospace APT,CS-TGM,2030,35,31,4,35,31,4,0,"The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</si>
  <si>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12/21/1999,09:40,"Guatemala City, Guatemala",Cubana de Aviacon,261,Havana - Guatemala City,McDonnell Douglas DC-10-30,F-GTDI,46890/77,314,296,18,16,8,8,2,"While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</si>
  <si>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12/22/1999,18:38,"Great Hallingbury, United Kingdom",Korean Air,8509,"London, England - Milan, Italy",Boeing 747-2B5F,HL-7451,22480/448,4,0,4,4,0,4,0,"Shortly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</si>
  <si>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12/24/1999,,"Amritsar, India / Kandahar, Afghanistan",Indian Airlines,814,Kathmandu - New Delhi,Airbus A300B2-101,VT-EDW,036,189,174,15,1,0,1,0,"The plane was hijacked and subsequently flown to Amritsar, India, Lahore, Pakistan, al-Minhar Air Base, Dubai and Kandahar, Afghanistan. The hijacking lasted 7 days. One crewmember was killed."</t>
  </si>
  <si>
    <t>12/25/1999,20:15,"Bejuma, Venezuela",Cubana de Aviacion,310,Havana - Valencia,Yakovlev YAK-42D,CU-T1285,4520424914068,22,12,10,22,12,10,0,"While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</si>
  <si>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12/25/1999,15:02,"Near Simara, Nepal",Skyline Airways,,Simara - Kathmandu,de Havilland Canada DHC-6 Twin Otter,9N-AFL,796,10,7,3,10,7,3,0,The aircraft crashed 5 minutes after taking off from Simara.  The aircraft was observed not following the usual route into the mountains.</t>
  </si>
  <si>
    <t>12/29/1999,,"Near Zonguldak, Turkey",Ecuato Guineana de Aviacion,,"Kiev, Russia - Tehran, Iran",Antonov 28,3C-JJI,,6,4,2,6,4,2,0,While on a positioning flight the aircraft crashed into the Black Sea after stating they were diverting to Ankara Turkey.</t>
  </si>
  <si>
    <t>01/05/2000,,"Abuja, Nigeria",Skypower Express Airways,,Lagos - Abuja,Embraer 110P1A Bandeirante,5N-AXL,110-455,16,13,3,1,1,0,1,During a visual approach the aircraft stalled and pancaked 400 ft. short of the runway.</t>
  </si>
  <si>
    <t>01/10/2000,17:54,"Niederhasli, Switzerland",Crossair,498,ZÃ¼rich - Dresden,Saab 340B,HB-AKK,213,10,7,3,10,7,3,0,"The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</si>
  <si>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01/13/2000,12:38,"Off Marsa el-Brega, Libya",Avisto,,Tripoli IAP - Marsa el-Brega,Shorts 360-300,HB-AAM,SH-3763,41,38,3,22,21,1,0,"The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</si>
  <si>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01/15/2000,13:10,"San Jose, Costa Rica",TACA,,San Jose - Tortuguero,Let 410UVP-E,YS-09-C,861620,20,17,3,5,4,1,0,The aircraft was not able to maintain altitude after taking off and crashed into a house. The aircraft was overloaded. Lack of safety instruction to passengers. Flaps not properly selected. Took off without clearance.</t>
  </si>
  <si>
    <t>01/30/2000,21:08,"Off Abidjan, Ivory Coast",Kenya Airways,431,Abidjan - Lagos,AirbusA310-304,5Y-BEN,426,179,169,10,169,159,10,0,"The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</si>
  <si>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01/31/2000,16:21,"Off Point Mugu, California",Alaska Airlines,261,Puerto Vallarta - San Francisco,McDonnell Douglas MD-83,N963AS,53077/1995,88,83,5,88,83,5,0,"The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</si>
  <si>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02/02/2000,,"Tehran, Iran",Military - Islamic Republic of Iran Air Force,,Training,Lockheed C-130 Hercules,,,8,NULL,NULL,8,NULL,NULL,0,Crashed on take off.</t>
  </si>
  <si>
    <t>02/16/2000,19:50,"Sacramento, California",Emery Worldwide,17,"Sacramento, CA - Dayton, OH",McDonnell Douglas DC-8-71F,N8079U,45947/341,3,0,3,3,0,3,0,The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</si>
  <si>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03/05/2000,18:11,"Burbank, Calilfornia",Southwest Airlines,1455,Las Vegas - Burbank,Boeing B-737-3T5,N668SW,23060/1069,142,137,5,0,0,0,0,"While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</si>
  <si>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03/09/2000,08:40,"Moscow, Russia",Vologodskiye Airlines,,Moscow - Kiev,Yakovlev YAK-40,RA-88170,9620847,9,4,5,9,4,5,0,"The aircraft climbed to an altitude of about 100 ft., stalled, lost control and crashed. Ice build up on the wings. Flaps incorrectly set."</t>
  </si>
  <si>
    <t>03/17/2000,09:30,"Near Kuna Yala, Panama",Aeroperlas,,Panama City - Puerto Obaldia,de Havilland Canada DHC-6 Twin Otter 300,HP-1267APP,624,10,8,2,10,8,2,0,"Crashed into a jungle mountainside 15 miles short of its destination while en route. The wreckage was found at the 2,500 ft. level of a 2,790 ft. mountain.  Weather was poor at the time."</t>
  </si>
  <si>
    <t>03/17/2000,12:31,"Ennadai Lake, Canada",Points North Air Services,,"Points North Landing, SK - Ennadai Lake",Douglas C-47A-5-DK,C-FNTF,12344,2,0,2,2,0,2,0,"After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</si>
  <si>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03/22/2000,17:45,"Herreira, Spain",Military - EjÃ©rcito del Aire,,Sevilla - Herreira,CASA 212-DE Aviocar 200,TM-12D-73,314,7,0,7,7,0,7,0,Crashed while attempting to land in poor weather.</t>
  </si>
  <si>
    <t>03/24/2000,18:04,"Kadirana, Sri Lanka",Sky Cabs,,Bangkok - Colombo,Antonov AN-12 (freighter),RA-11302,8346004,8,0,8,6,0,6,2,"The pilot -in-command made two requests to land because he was low on fuel. While attempting to land, he ran out of fuel and crashed short of the runway. The Cargo plane broke into four parts and crashed into houses."</t>
  </si>
  <si>
    <t>03/25/2000,,"Huambo, Angola",Uralex,,Huambo - Luanda,Antonov AN-32,D2-MAJ,ZZX3201,33,29,4,3,3,0,0,"The aircraft, leased from a Ukrainian company, overran they runway and crashed into a ditch after an aborted takeoff. Brake failure as the pilot attempted to avoid a hole in the runway."</t>
  </si>
  <si>
    <t>03/30/2000,,"Near Anuradhapura, Sri Lanka",Military - Sri Lankan Air Force,,Jaffna/Palaly AFB - Anuradhapura AFB,Antonov An-26,UR-79170,13410,40,36,4,40,36,4,0,The crew reported engine trouble 10 minutes before it crashed while en route. Members of the Liberation Tigers confessed to firing missiles at the plane.</t>
  </si>
  <si>
    <t>04/05/2000,09:30,"Marianna, Florida",Bankair,,Opa-Locka - Marianna,Learjet 35A,N86BE,35-194,3,0,3,3,0,3,0,"While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</si>
  <si>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04/19/2000,,"Pepa ,Congo",Military - Centrafricain Airlines,,"Pepa, Congo - Kigali, Rwanda",Antonov AN-8,TL-ACM,9340706,24,20,4,24,20,4,0,"The military flight crashed after losing its engines after striking birds,unable to return to land."</t>
  </si>
  <si>
    <t>04/19/2000,07:02,"Samal Island, Philippines",Air Philippines,541,Manila - Davao,Boeing B-737-2H4,RP-C3010, 21447/508,131,124,7,131,124,7,0,"The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</si>
  <si>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04/29/2000,,"Bapi, Papua New Guinea",North Coast Aviation,,,Britten-Norman BN-2A-20 Islander,P2-ISA,703,4,1,3,4,1,3,0,"While taking off the plane struck trees at the end of the runway, crashed and burned."</t>
  </si>
  <si>
    <t>05/02/2000,14:39,"Lyon Satolas, France",Northern Executive Aviation,4B,,Learjet 35A,G-MURI,35-646,5,3,2,2,0,2,0,"During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</si>
  <si>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05/03/2000,,"Kurupung, Guyana",Trans Guyana Airways,,,Britten-Norman BN-2A-9 Islander,8R-GAC,694,1,0,1,1,0,1,0,The cargo plane crashed into a cloud covered mountain.</t>
  </si>
  <si>
    <t>05/10/2000,20:30,"Kaunakakai, Hawaii",Price Aircraft Company,,Kahului - Hoolehua,Rockwell Sabreliner 65,N241H,465-5,6,4,2,6,4,2,0,While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</si>
  <si>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05/17/2000,09:47,"Moanda, Gabon",Avirex,,Libreville - Moanda,Beechcraft 1900C-1,TR-LFK,UC-133,10,8,2,3,2,1,0,The charter flight crashed while on approach in fog and mist.</t>
  </si>
  <si>
    <t>05/21/2000,11:28,"Near Wilkes-Barre, Pennsylvania",Executive Airlines,Charter,Atlantic City - Wilkes-Barre,BAe Jetstream 3101-31,N16EJ,834,19,17,2,19,17,2,0,"The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</si>
  <si>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05/25/2000,,"Near Manila, Philippines",Philippine Air Lines,812,Davao - Manila,Airbus A.330-301,F-OHZN,,298,284,14,1,1,0,0,"A hijacker robbed passengers, jumped out of the plane with a homemade parachute and was killed in the jump."</t>
  </si>
  <si>
    <t>05/31/2000,19:05,"Off Whyalla, Australia",Whyalla Airlines,904,Adelaide - Whyalla,Piper PA-31-350 Navajo,VH-MZK,31-8152180,8,1,7,8,1,7,0,"En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</si>
  <si>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06/05/2000,11:35,"Accra, Ghana",Ghana Airlink,200,Tamale - Accra,Fokker F-27 Friendship 600,G-524,10535,52,48,4,7,7,0,0,"The plane made a hard landing, short of the runway and broke in two during a heavy rainstorm."</t>
  </si>
  <si>
    <t>06/22/2000,01:16,"Shitai, China",Wuhan Airlines,343,Enshi - Wuhan,Xian Yunshuji Y-7-100C,B-3479,06708,44,40,4,44,40,4,7,"The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</si>
  <si>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06/23/2000,11:41,"Boca Raton, Florida",Universal Jet Aviation,,Boca Raton - Fort Pierce,Learjet 55,N220JC,55-050,3,1,2,3,1,2,0,Shortly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</si>
  <si>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06/27/2000,,"Off Shimano, Japan",Military - Japanese Air Self-Defence Force,,Training,Kawasaki C-1A,88-1027,8027,5,0,5,5,0,5,0,Crashed into the sea during a test flight.</t>
  </si>
  <si>
    <t>07/02/2000,10:50,"Off Cagayancillo, Philippines",Military - Philippine Air Force,,Cagayancillo - Puerto Princesa,GAF Nomad N-22C,N286,86,15,11,4,14,10,4,0,"Engine problems forced the pilot to return to the airport. However, he overshot the runway and crashed into the sea. One passenger was rescued by fishermen. Major General Santiago Madrid, chief of the southwestern military command, killed."</t>
  </si>
  <si>
    <t>07/08/2000,19:50,"Near Villahermosa, Mexico",Aerocaribe,7831,Tuxtla Gutierrez - Villahermosa,British Aerospace  BAe Jetstream 32EP,N912FJ,912,19,17,2,19,17,2,0,"The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</si>
  <si>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07/09/2000,08:37,"Villavicencio, Colombia",CORAL Colombia,,Villavicencio - Mitu,Curtiss C-46A-60-CS,HK-851P,383,19,15,4,13,9,4,0,"The cargo plane had 19 people aboard when it crashed into a farm after losing the No. 2 engine, two minutes after taking off from Villavicencio."</t>
  </si>
  <si>
    <t>07/13/2000,00:34,"Raleigh, North Carolina",Win Win Aviation,,"Hinckley, IL - Louisburg, NC",de Havilland Canada DHC-6 Twin Otter 200,N201RH,163,3,2,1,1,0,1,0,"The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</si>
  <si>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07/17/2000,07:34,"Patna, India",Indian Airlines/Alliance Airlines,7412,Calcutta - Patna - Lucknow - New Delhi,Boeing B-737-2A8 Advanced,VT-EGD,22280/671,58,52,6,55,49,6,5,"While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</si>
  <si>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07/19/2000,00:30,"Linneus, Maine",Airwave Transport,9807,Moncton - Montreal,Grumman G-159 Gulfstream I,C-GNAK,154,2,0,2,2,0,2,0,"After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</si>
  <si>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07/20/2000,13:12,"Nassau, Bahamas",Allied Air Freight,,Nassau - Freeport,Douglas C-47A-10-DK,N54AA,12475,2,0,2,2,0,2,0,The cargo plane lost an engine on takeoff lost altitude and crashed 2 miles east of the airport.</t>
  </si>
  <si>
    <t>07/21/2000,10:20,"Maui, Hawaii",Blue Hawaiian Helicopters,,Sight seeing,Aerospatiale AS355-F1,N510TG,5168,7,6,1,7,6,1,0,"The helicopter, on a sightseeing tour, crashed into mountains on the western slopes of Maui at an elevation of 2,850 feet inclement weather."</t>
  </si>
  <si>
    <t>07/25/2000,16:44,"Gonesse, France",Air France,4590,Paris - New York City,Aerospatiale BAe Concorde 101,F-BTSC,203,109,100,9,109,100,9,4,"The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</si>
  <si>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07/26/2000,06:00,"Mafraq, Jordan",Military - Royal Jordanian Air Force,,,Lockheed C-130H Hercules,348,4073,13,NULL,NULL,13,NULL,NULL,0,Crashed on a training flight.</t>
  </si>
  <si>
    <t>07/27/2000,10:31,"Jodhura, Nepal",Royal Nepal Airlines,,Bajhang - Dhangadhi,de Havilland Canada DHC-6 Twin Otter 300,9N-ABP,654,25,22,3,25,22,3,0,"The aircraft crashed into the Churia mountain range at 4,300 ft., 20 minutes into a 30 minute flight to Dhangadhi in rain and fog."</t>
  </si>
  <si>
    <t>08/02/2000,08:45,"Cubatao, Brazil",Air taxi - Lider Air Taxi,,Cubatao - Navegantes,Sikorsky S-76,PT-HRD,,6,5,1,6,5,1,0,"The helicopter exploded and crashed from a height of 1,000 ft."</t>
  </si>
  <si>
    <t>08/06/2000,15:55,"Puerto Montt, Chile",Military - Fuerza AÃ©rea de Chile,-,Santiago - Coihaique,Casa 212-AB10 Aviocar,230,AB10-454,14,10,4,14,10,4,0,The aircraft crashed into a volcano after the pilot reported he was diverting to Puerto Montt because of ice formation on the wings. The wreckage was found 15 days later.</t>
  </si>
  <si>
    <t>08/09/2000,08:00,"Burlington Township, New Jersey",Patuxent Airways / Private,,"Lakehurst, NY - Patuxent River, MD",Piper Navajo PA-31/ Piper Seminole PA-44,N27944 / N2225G,7952056/79951271,11,8,3,11,8,3,0,"The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</si>
  <si>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08/12/2000,,"Near Tshikapa, Congo",Staer Air,,Kinshasa - Tshikapa,Antonov AN-26B,9Q-CJI,6004,27,21,6,27,21,6,0,The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</si>
  <si>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08/23/2000,19:30,"Off Manama, Bahrain",Gulf Air,072,Cairo - Manama,Airbus A320-212,A4O-EK,0481,143,135,8,143,135,8,0,"The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</si>
  <si>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09/02/2000,,"Mount Montezuma, Colombia",Military - Fuerza AÃ©rea Colombiana,,,Douglas C-47,FAC1659,32984,7,0,7,7,0,7,0,Flew into Mt. Montezuma.</t>
  </si>
  <si>
    <t>09/04/2000,15:10,"Near Burketown, Australia",Charter - Central Air,,Perth - ?,Beechcraft SKA 200,VH-SKC,BB-47,8,7,1,8,7,1,0,"Shortly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</si>
  <si>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09/16/2000,09:25,"Kumarapura, Sri Lanka",Military - Sri Lanka Air Force,,Colombo - Kalmunai,Mil Mi-17,,,14,12,2,14,12,2,0,"The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</si>
  <si>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10/06/2000,16:55,"Reynosa, Mexico",Aeromexico,250,Mexico City - Reynosa - Matamoros,McDonnell Douglas DC-9-31,N936ML,47501/571,88,83,5,0,0,0,4,"The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</si>
  <si>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10/08/2000,15:20,"Port Radium, Northwest Territories, Canada",Summit Air Charters,,Kuglluktuk - Yellowknife,Shorts SC.7 Skyvan 3-100,C-FSDZ,SH-1953,3,1,2,3,1,2,0,"The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</si>
  <si>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10/10/2000,14:52,"Wichita, Kansas",Bombardier Aerospace,,Test flight,Canadair CL-600-2B16 Challenger 604,C-FTBZ,5991,3,0,3,2,0,2,0,"The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</si>
  <si>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10/16/2000,17:33,"Hillsboro, Missouri",Private,,St. Louis - New Madrid,Cessna 335,N8354N,335-0064,3,2,1,3,2,1,0,"The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</si>
  <si>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10/19/2000,12:12,"Near Sam Neua, Laos",Lao Aviation,703,Vientiane - Sam Neua,Harbin Yunshuji Y-12-II,RDPL-34130,86,17,15,2,8,8,0,0,"The aircraft crashed into a mountain at 4,800 ft., in poor weather, while making an apporach to Sam Neua."</t>
  </si>
  <si>
    <t>10/25/2000,18:15,"Near Batumi, Republic of Georgia",Military - Russian Air Force,,Moscow - Batumi,Ilyushin IL-18D,RA-74295,187010602,86,75,11,86,75,11,0,"Communications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</si>
  <si>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10/31/2000,11:27,"Near Monaquimbundo, Angola",Aca-Ancargo,,Saurimo - Luanda,Antonov AN-26,D2-FDI,27312009,44,39,5,44,39,5,0,The aircraft exploded in midair 20 minutes after taking off from Saurimo. UNITA rebels claimed they shot down the plane.</t>
  </si>
  <si>
    <t>10/31/2000,23:17,"Taipei, Taiwan",Singapore Airlines,006,Taipei - Los Angeles,Boeing B-747-412,9V-SPK,28023/1099,179,159,20,83,79,4,0,"Weather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</si>
  <si>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11/07/2000,,"Luabo, Democratic Republic Congo",Malu Aviation,,,Antonov 32B,ER-AFA,3406,11,5,6,2,1,1,0,"Due to a blown tire on takeoff the pilot aborted the takeoff, overran the runway, came to rest in a cemetery and caught fire."</t>
  </si>
  <si>
    <t>11/09/2000,01:23,"Fort Wayne, Indiana",Superior Aviation,,"Fort Wayne, IN - Milwaukee, WI",Swearingen SA.226TC Metro II,N731AC,TC-255,1,0,1,1,0,1,0,"During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</si>
  <si>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11/15/2000,13:05,"Near Luanda, Angola",Asa Pesada,,Luanda - Namibe,Antonov AN-26,D2-FCG,PESA001,57,52,5,57,52,5,0,The plane crashed and exploded in flames into an open field 3 miles from the runway shortly after takeoff.  Engine failure.</t>
  </si>
  <si>
    <t>11/20/2000,12:22,"Miami, Florida",American Airlines,,"Miami, FL - Port au Prince",Airbus A300-600R,N14056,463,114,105,9,1,0,1,0,"After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</si>
  <si>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12/11/2000,14:45,"Near Sumacal, Beni, BO",Servicio Aereo Manchupo,,Cashaschanes - Sumacal,Cessna 206,CP-1721,,6,5,1,6,5,1,0,"Destabilized approach, attempted to establish runway alignment, insufficient altitude, struck a tree. The aircraft crashed and caught fire."</t>
  </si>
  <si>
    <t>01/04/2001,,"Zheng Zou AB, China",Military - People's Liberation Army,,Training,Shaanxi Yunshuji Y-8/Yunshuji Y-8,31242/31243,,16,0,16,16,0,16,6,Two Antonov 12 planes collided in midair killing all aboard and 6 on the ground.</t>
  </si>
  <si>
    <t>01/08/2001,,"Near Silimo, Indonesia",Military - Tentara Nasional Indonesia Navy,,Timika - Jayapura,CASA 212-MP Aviocar 200,U-614,223/63N,9,0,9,9,0,9,0,"Struck Timika Peak at 11,800 ft. shortly after taking off. Controlled flight into terrain."</t>
  </si>
  <si>
    <t>01/23/2001,21:35,"Eider Point, Alaska",Majestic Air Cargo,,,Douglas C-47A-30-DK (DC-3C),N19454,13863,2,0,2,2,0,2,0,"The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</si>
  <si>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01/25/2001,18:15,"Ciudad Bolivar, Venezuela",Rutaca Airlines,224,Canaina - Ciudad Bolivar - Por La Mar,Douglas DC-3C (C47A-DL),YV-224C,19055,24,20,4,24,20,4,0,The plane caught fire shortly after taking off from Ciudad Bolivar where it had made a refueling stop. The pilot was unable to tell the tower what was wrong before rolling inverted and crashing into a neighborhood south of the city.</t>
  </si>
  <si>
    <t>01/27/2001,17:37,"Byers, Colorado",North Bay Charter,,"Broomfield, CO - Stillwater, OK",Beech King Air 200 Catpass,N81PF,BB-158,10,8,2,10,8,2,0,"The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</si>
  <si>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01/31/2001,16:50,"El Yopal, Colombia",Lineas Aereas Suramericanas,,El Yopal - Mitu,Sud Aviation SE-210 Caravelle 10R,HK-3932X,201,6,3,3,3,2,1,0,"While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</si>
  <si>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02/08/2001,15:40,"Nurnberg, Germany",E.A.S. Aeroservizi,,"Nurnberg - Rome, Italy",Learjet 35A,I-MOCO,35-445,3,1,2,3,1,2,0,"The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</si>
  <si>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02/08/2001,19:20,"Beaver Island, Minnesota",Northern Illinois Flight Center,,Chicago - Beaver Island,Swearingen SA.227AT Merlin IVC,N318DH,AT-469,6,4,2,2,0,2,0,"Impacted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</si>
  <si>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02/10/2001,,"Jakobkondre, Suriname",Gum Air Charter,,Paramaribo - Jakobkondre,GAF Nomad N24A,PZ-TBP,N24A-73,10,9,1,10,9,1,0,"After losing radio contact with the airport, the aircraft was observed flying low before crashed into a mountainside 2 nm from Jakobkondre."</t>
  </si>
  <si>
    <t>02/27/2001,17:30,"Near Granton Harbour, Scotland",Loganair,670,Edinburgh - Belfast,Shorts 360-100,G-BNMT,SH3723,2,0,2,2,0,2,0,Double engine failure on take off cause the cargo plane to ditch in Firth of the Forth estuary. Icing.</t>
  </si>
  <si>
    <t>03/03/2001,09:55,"Unadilla, Georgia",Military - Florida Army National Guard,,"Fort Walton Beach, Fl - Oceana Naval Air Station, VA",Short 360,93-1336,3684/3420,21,18,3,21,18,3,0,"The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</si>
  <si>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03/03/2001,14:48,"Bangkok, Thailand",Thai Airways,114,Bangkok - Chiang Mai.,Boeing B-737-4D7,HS-TDC,25321/2113,5,0,5,1,0,1,0,"The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</si>
  <si>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03/15/2001,,"Medina, Saudi Arabia",Vnukovo Airlines,,Istanbul - Moscow,Tupolev 154M,RA-85619,86A-738,174,162,12,3,2,1,0,"The plane was hijacked and flown to Medina, Saudi Arabia. The plane was stormed and three people killed."</t>
  </si>
  <si>
    <t>03/24/2001,16:30,"Gustavia, St. BarthÃ©lÃ©my, French West Indies",Air Caraibes,1501,St. Maarten - St. BarthÃ©lÃ©my,de Havilland Canada DHC-6 Twin Otter,F-OGES,254,19,17,2,19,17,2,1,The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</si>
  <si>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03/26/2001,18:25,"Jadura, Indonesia",Merpati Nusantara Airlines,,Training,Fokker F-27 Friendship 500F,PK-MFL,10609,3,0,3,3,0,3,0,"While approaching Juanda for the 8th touch-and-go landing the aircraft banked to the left, crashed and caught fire."</t>
  </si>
  <si>
    <t>03/29/2001,19:01,"Near Aspen, Colorado",Jetwingsco Inc. - Private Charter,-,Los Angeles - Aspen,Grummand Gulfstream III,N303GA,303,18,15,3,18,15,3,0,"The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</si>
  <si>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04/04/2001,,"Adar Yeil, Sudan",Military - Sudan Air Force,,Adar Yeil - Khartoum,Antonov AN-24,,,30,NULL,NULL,14,NULL,NULL,0,"The aircraft crashed on takeoff during a sandstorm, killing Sudan's deputy defense minister and 13 high-ranking military officers."</t>
  </si>
  <si>
    <t>04/07/2001,15:30,"Thanh Tranh Village, Vietnam",SFC Vietnam - Charter - Full Account,,Vinh - Dong Hoi - Hue,Mil Mi-18 Helicopter,VN-8415,96168,16,13,3,16,13,3,0,"The helicopter, carrying members of Full Account, a group searching for the remains of U.S. troops missing in action during the Vietnam War, crashed into a mountainside in heavy fog."</t>
  </si>
  <si>
    <t>04/28/2001,05:15,"Near Roque Perez, Argentina",Private - Techint  group,,San Fernando - El Calafate,Cessna  208B Grand Caravan,LV-WSC,208B-0580,10,8,2,10,8,2,0,"The aircraft crashed into rugged farm land, 120 miles south of Buenos Aires. Possible icing.  Agostino Rocca, president of the Buenos Aires-based Techint  construction group and German Sopena, managing editor of the Argentine newspaper La Nacion, were among those killed."</t>
  </si>
  <si>
    <t>05/16/2001,13:15,"Malatya, Turkey",Military - Turkish Air Force,,Diyarbakir - Ankara,CASA CN-235M-10,,C-006,34,28,6,34,28,6,0,"The aircraft went into a steep dive from 17,000 feet and crashed into a field. Hydraulic failure caused by ice."</t>
  </si>
  <si>
    <t>05/17/2001,07:45,"Near Sari, Iran",Faraz Qeshm Airlines,,Tehran - Gorgan,Yakovlev YAK-40,EP-TQP,9740856,30,25,5,30,25,5,0,"The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</si>
  <si>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05/17/2001,12:21,"Mendoza, Argentina",Fuerza AÃ©rea Argentina,,Mendoza - Parana,Fokker F-27 Friendship 400M,TC-76,10412,5,0,5,5,0,5,0,Shortly after taking off the plane veered to the right and crashed into a field. Engine failure.</t>
  </si>
  <si>
    <t>05/22/2001,16:35,"Near Myakotino, Russia",Military - Russian Air Force,,Rzhevsk - Morsansk,Antonov 12MGA,RA-12135,00347002,7,0,7,7,0,7,0,Crashed while en route.</t>
  </si>
  <si>
    <t>06/15/2001,14:30,"Jayapura, Indonesia",Manunggal Air,,Jayapura - Wamena,Transall C-160NG,PK-VTP,233,19,16,3,1,1,0,0,"The aircraft returned to Sentani Airport after experiencing engine trouble, skidded off the runway and struck a fence."</t>
  </si>
  <si>
    <t>07/04/2001,02:08,"Near Irkutsk, Russia",Vladivostokavia,352,Yekaterinburg - Irkutsk - Vladivostok,Tupolev TU-154M,RA-85845,86A-735,145,136,9,145,136,9,0,"The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</si>
  <si>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07/05/2001,11:40,"Off Chinhae, South Korea",Private  - Daewoo Shipbuilding,,Jinhae - Ockpo,Sikorsky S-76B helicopter,HL9240,760341,12,9,3,8,7,1,0,"After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</si>
  <si>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07/12/2001,12:05,"Near Puerto Cabello, Venezuela",Private - Overtec Company,,Puerto Cabello - Caracas,Antonov AN-28 PZL-Mielec M-28 Sky Truck,YV-117CP,AJE 001-10,13,10,3,13,10,3,0,The aircraft crashed and burned moments after taking off from General Bartholomew SalÃ³m Airport during a National Guard demonstration. The right engine appeared to have failed at a critical stage in the takeoff. There were 8 civilians and 5 military personnel board.</t>
  </si>
  <si>
    <t>07/14/2001,08:53,"Near Moscow, Russia",Russ Air Transport Company,,Moscow - Norilsk,Ilyushin IL-76,RA-76588,0043451530,10,0,10,10,0,10,0,"The cargo plane was taking off from Chkalovsky Airport with a load of construction material and cosmetics. After reaching a height of 150 feet, the plane the crashed and burned 1,600 feet past the end of the runway.  The plane was overloaded by 15 tones."</t>
  </si>
  <si>
    <t>08/05/2001,04:43,"ReykjavÃ­k, Iceland",Naske Air,,"ReykjavÃ­k, Iceland - Narsarsua, Greenland",Dassault Falcon 20C,D-CBNA,63,3,1,2,3,1,2,0,The cargo plane crashed into a hill and broke up. Crew did not follow standard operating procedures. Crew fatigue.</t>
  </si>
  <si>
    <t>08/10/2001,14:35,"Near Meadview, Arizona",Papillon Grand Canyon Helicopters of Las Vegas,,Grand Canyon NP - Las Vegas,Aerospatiale AS350 Eurocopter  helicoper,N169PA,2477,7,6,1,6,5,1,0,"The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</si>
  <si>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08/23/2001,,"Mugogo, Democratic Republic Congo",Victoria Airlines,,Kama - Kapmene,Antonov 28,3C-LLA,1AJ005-22,11,9,2,4,2,2,0,After an engine failed the crew declared an emergency and elected to divert to Bukavu but crashed 10 km short of the airport.</t>
  </si>
  <si>
    <t>08/24/2001,05:42,"Ithaca, New York",Ameristar Jet Charter,,"Ithaca, NY - Jackson, MI",Learjet 25,N153TW,25-053,2,0,2,2,0,2,0,"Shortly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</si>
  <si>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08/24/2001,18:46,"Lajes, Terceira, Azores",Air Transat,236,Toronto - Lisbon,Airbus A-330-243,C-GITS,0271,304,291,13,0,0,0,0,"The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</si>
  <si>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08/29/2001,10:15,"Near Malaga, Spain",Binter MediterrÃ¡neo,8261,Melilla - MÃ¡laga,CASA  CN-235-200,EC-FBC,C033,47,44,3,4,3,1,0,"The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</si>
  <si>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09/11/2001,09:45,"Arlington, Virginia.",American Airlines,77,Washington D.C. - Los Angeles,Boeing B-757-223,N644AA,24602/365,64,58,6,64,58,6,125,The aircraft was hijacked after taking off from Dulles International Airport. The hijackers took control of the aircraft and deliberately crashed it into the Pentagon. It was one of four planes that were hijacked the same day.</t>
  </si>
  <si>
    <t>09/11/2001,08:47,"New York City, New York",American Airlines,11,Boston - Los Angeles,Boeing 767-223ER,N334AA,22332/169,92,81,11,92,81,11,2750,"The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</si>
  <si>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09/11/2001,09:03,"New York City, New York",United Air Lines,175,Boston - Los Angeles,Boeing B-767-222,N612UA,21873/41,65,56,9,65,56,9,2750,"The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</si>
  <si>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09/11/2001,10:03,"Shanksville, Pennsylvania",United Air Lines,93,Newark - San Francisco,Boeing B-757-222,N591UA,28142/718,44,37,7,44,37,7,0,The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</si>
  <si>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09/12/2001,16:25,"Near Chichen Itza, Mexico",Aero Ferinco Charter,-,Chichen Itza - Cozumel,LET 410UVP,XA-ACM,892401,19,17,2,19,17,2,0,"The aircraft crashed 4.4 miles from Kura Airport shortly after a normal takeoff. The plane was flying at about 1,500 feet when it began turning onto a course requested by the air traffic controller. It did not stop turning and suddenly plunged to the ground."</t>
  </si>
  <si>
    <t>09/15/2001,,"Belo Horizonte, Brazil",TAM (Brazil),9755,Recife  - Sao Paulo,Fokker 100,PT-MRN,11443,82,77,5,1,1,0,0,"While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</si>
  <si>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09/18/2001,07:30,"Guatemala City, Guatemala",Atlantic Airlines,870,"Guatemala City - San Pedro Sula, Honduras",LET 410UVP-E,TG-CPE,861705,13,11,2,9,8,1,0,The aircraft was taking off from Guatemala's Aurora Airport when it lost power in one of it's engines and crashed to the ground.</t>
  </si>
  <si>
    <t>10/04/2001,13:44,"110 miles SW of Sochi, Russia",Sibir Airlines,1812,"Tel Aviv -  Novosibirsk, Russia",Tupolev Tu-154M,RA-85693,90A-866,78,66,12,78,66,12,0,"The aircraft exploded in mid-air at 36,000 ft. while  en route over the Black Sea. The plane then nose-dived crashing into the water. The airliner was brought down accidentally by a Ukrainian surface-to-air missile, fired during military exercises."</t>
  </si>
  <si>
    <t>10/08/2001,17:50,"Mollet Lake, Quebec, Canada",Air Saint Maurice Inc.,, Iyachisakus Lake - Mollet Lake,de Havilland DHC-2 Mk 1 Beaver,C-GPUO,810,7,6,1,3,2,1,0,The seaplane crashed into Mollet Lake while attempting to land. The seaplane stalled at an altitude that did not allow the pilot time to recover from the stall. The stall occurred in circumstances conducive to illusions created by drift.</t>
  </si>
  <si>
    <t>10/08/2001,08:10,"Milan, Italy",Scandinavian Airlines (SAS) / Private,686 / -,Milan - Copenhagen / Milan - Paris,MD-87 / Cessna 525A Citation II,SE-DMA / D-IEVX,53009/ 525A-0036,114,106,8,114,106,8,4,"The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</si>
  <si>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10/10/2001,10:42,"Off Valencia, Spain",Flightline,101,"Barcelona - Oran, Algeria",Swearingen SA-226AT Merlin IV,EC-GDV,AT-043,10,8,2,10,8,2,0,"The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</si>
  <si>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10/10/2001,09:26,"Dillingham, Alaska",PenAir,350,Dillingham - King Salmon,Cessna 208 Caravan,N9530F,20800088,10,9,1,10,9,1,0,"Shortly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</si>
  <si>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10/11/2001,23:35,"Shamattawa, Canada",Perimeter Airlines,,Gods Narrows - Shamattawa,Swearingen SA.226TC Metro I,C-GYPA,TC-250,3,1,2,2,0,2,0,"The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</si>
  <si>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10/18/2001,15:43,"Anchorage, Alaska",ERA Aviation - Air Taxi,,"Fire Island, AK - Anchorage, AK",Bell 206L,N400EH,45108,5,4,1,3,2,1,0,"The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</si>
  <si>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11/12/2001,09:16,"Belle Harbor, Queens, New York",American Airlines,587,"New York City - Santo Domingo, Dominican Rep.",Airbus A-300-605R,N14053,420,260,251,9,260,251,9,5,"Three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</si>
  <si>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11/19/2001,18:19,"Kalyazin, Russia",Charter - IRS Aero,LDF -9601/02,Khatanga - Moscow,Ilyushin 18V,RA-75840,182005301,27,18,9,27,18,9,0,Residents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</si>
  <si>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11/22/2001,13:05,"Pittsburgh, Pennsylvania",Universal Jet Aviation,,"Pittsburgh, PA - Baca Raton, Fl",Learjet 25B,N5UJ,25-088,2,0,2,2,0,2,0,"The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</si>
  <si>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11/23/2001,18:35,"Palade, Estonia",ELK Aviation Co. (leased from Eminex),,Tallinn - Kardla,Antonov AN-28,ES-NOV,1AJ003-03,17,14,3,2,2,0,0,The plane crashed into a marshy forested area about 2 kilometer short of its destination at Kardla Airport. Several errors by the pilot.</t>
  </si>
  <si>
    <t>11/24/2001,22:07,"Birchwil, Switzerland",Crossair,3597,Berlin - Zurich,BAE Avro RJ100,HB-IXM,E-3291,33,28,5,24,21,3,0,"The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</si>
  <si>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11/27/2001,01:56,"Port Harcourt, Nigeria",MK Airlines,,Luxembourg - Port Harcourt,Boeing 747-246F,9G-MKI,22063/432,13,0,13,1,0,1,0,"The cargo plane contacted the ground 700 meters short of the runway, broke in two and burned."</t>
  </si>
  <si>
    <t>12/01/2001,01:43,"Near Novaya Inya , Russia","Military - Russian, cargo",-,Moscow - Bratsk - Anadyr,Ilyushin IL- 76TD,RA-76839, 1023411375,18,9,9,18,9,9,0,A fire broke out aboard the aircraft while en route at FL290. The crew was preparing for an emergency landing when two explosions tore apart the plane causing it to crash.</t>
  </si>
  <si>
    <t>12/14/2001,,"Geti, Democratic Republic Congo",Eagle Air,,Bunia - Beni,Let 410A,5X-CNF,730208,6,4,2,6,4,2,0,The plane may have been shot down by Allied Democratic Forces rebels.</t>
  </si>
  <si>
    <t>12/16/2001,10:21,"Near Medellin, Colombia",Heliandes,,Medellin - Quibdo,Let 410UVP-E,HK-4175X,861618,16,14,2,16,14,2,0,"The aircraft crashed into El Silencio de El manzanillo mountain at 7,800 ft., 3 minutes after taking off in heavy rain and poor visibility from Medellin Airport."</t>
  </si>
  <si>
    <t>12/26/2001,10:20,"Bremerhaven, Germany",BAL Bremerhaven Airline,,Bremerhaven - Wangerooge,Britten Norman BN-2B Trislander,D-IAAI,2167,9,8,1,8,7,1,0," The aircraft crashed into the Weser River shortly after taking off from Bremerhaven Airport. Three persons were pulled from the river, two of whom died shortly thereafter as a result of their injuries."</t>
  </si>
  <si>
    <t>01/04/2002,12:07,"Birmingham, England",Agco Corp,,"Birmingham, England - Bangor, MA",Canadair CL-604, N90AG,5414,5,3,2,5,3,2,0,"After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</si>
  <si>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01/09/2002,,"Shamsi AFB, Pakistan",Military - U.S. Air Force,,Jacobabad - Shamsi,Lockheed Hercules KC-130R,160021,4702,7,0,7,7,0,7,0,While on approach the aircraft struck a hill a few hundred feet short of runway in poor weather.</t>
  </si>
  <si>
    <t>01/14/2002,07:28,"Bilbao, Spain",Ibertrans AÃ©rea,1278,Madrid - Bilbao,Embraer EMB-120 Brasilia,EC-GTJ,120-024,3,0,3,3,0,3,0,"While descending, the cargo plane struck Mount Santa Maria Vieja, 35 km from the airport in fog and poor visibility."</t>
  </si>
  <si>
    <t>01/15/2002,08:45,"Chilpancingo, Mexico",ProcuradurÃ­a General de la RepÃºblica,,Mexico City - Chilpancingo,de Havilland DHC-6 Twin Otter 300,XC-FIT,752,17,15,2,5,5,0,0,"During a landing attempt at Chilpancingo, the aircraft left the runway, struck a concrete perimeter wall, overturned and burned. The government plane belonged to the General Office of the judge advocate."</t>
  </si>
  <si>
    <t>01/16/2002,16:29,"Near Solo, Indonesia",Garuda Indonesia Airlines,421,Mataram - Yogyakarta - Jakarta,Boeing B-737-3Q8,PK-GWA,24403/1706,62,54,8,1,0,1,0,"The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</si>
  <si>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01/17/2002,11:00,"Near La Bonita, Ecuador",PetroproducciÃ³n,,Quito - Lago Agrio,Fairchild FH-227E,HC-AYM,511,26,21,5,26,21,5,0,"The plane crashed into del cerro El Tigre mountain in the jungles of the Amazon at an elevation of 14,700 ft.  The 35 minute flight was transporting oil workers to a remote oil field."</t>
  </si>
  <si>
    <t>01/27/2002,,"Near Luena, Angola",Military - Angolan  Air Force,-,,Antonov AN-12,T-304,A12244,40,34,6,5,3,2,0,Crashed 2km short of the runway  from the Luena Airport while attempting to land in heavy rain.</t>
  </si>
  <si>
    <t>01/28/2002,11:00,"Near Ipiales, Colombia",TAME,120,Quito -  TulcÃ¡n - Cali,Boeing B-727-134,HC-BLF,19692/498,92,83,9,92,83,9,0,"The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</si>
  <si>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02/12/2002,07:50,"Near Khorramabed, Iran",Iran Air Tours,956,Tehran - Khorramabed,Tupolev TU-154,EP-MBS,91A-871,117,108,9,117,108,9,0,Crashed against the side of a mountain in heavy fog in the Sefid Kouh mountain range while on approach to Khorramabad. The plane was totally destroyed and scattered in small pieces across the mountain. Pilot error.</t>
  </si>
  <si>
    <t>02/15/2002,06:08,"Monrovia, Liberia",Tiramavia,,,Antonov 12BP,ER-ADL,4342610,10,3,7,1,0,1,0,The cargo plane crashed while attempting to make an emergency landing.</t>
  </si>
  <si>
    <t>02/21/2002,20:44,"Lakhta, Russia",Military - Russian Navy,,Sanofov - Lakhta,Antonov AN-26,07RED,ZR726001,20,12,8,17,12,5,0,"The plane was making an emergency landing after two previous attempts in heavy snow and strong winds when it clipped treetops and crashed into a field, approximately 1.5km short of the runway."</t>
  </si>
  <si>
    <t>02/22/2002,02:30,"Off Dumaguete, Philippines",Military - U.S. Army,,Basilan - Mactan Island,MH-47 Chinook helicopter,92-0471,M-3719,10,4,6,10,4,6,0,"A helicopter ferrying U.S. troops in a counter-terrorism exercise, crashed into the sea, 30 minutes before its scheduled arrival at Mactan Island. The helicopter was flying in tandem with another U.S. Army Chinook when it crashed."</t>
  </si>
  <si>
    <t>03/09/2002,13:40,"Monte Rotondo, Italy",Svedijos PrekÃ©s,2801,"Budapest, Hungary - Tunis, Tunisia",Antonov 2TP,LY-AVD,1G137-53,3,1,2,3,1,2,0,"While en route the cargo plane impacted the side of a mountain at an altitude of 6,167 ft.  Pilot error. The crew did not conform to the VFR that required a track change to maintain the required flight parameters and/or a diversion to a suitable alternate airport."</t>
  </si>
  <si>
    <t>03/14/2002,16:30,"Near Placetas, Cuba",Charter - Aerotaxi,,Cienfuegos -- Cayo Coco,Antonov AN-2,CU-T1020,,17,15,2,17,15,2,0,"While en-route, 35 minutes into the flight, the bi-plane crashed near Santa Clara. The plane was seen spinning out of control before it hit the ground. A strong gust of wind, possibly a small tornado, tore off the top part of the left wing."</t>
  </si>
  <si>
    <t>03/17/2002,08:02,"Off Djibouti, Republic of Djibouti",Djibouti Airlines,,"Mogadishu, Somalia - Djibouti",Let 410UVP-E,J2-KBC,912537,4,0,4,4,0,4,0,The cargo plane crashed into the ocean while on approach to Runway 27.</t>
  </si>
  <si>
    <t>04/12/2002,04:07,"Palma de Mallorca, Spain",Tadair,306,Madrid - Palma de Mallorca,Swearingen SA.227AC Metro III,EC-GKR,AC-620,2,0,2,2,0,2,0,The cargo plane crashed into lights near the runway threshold while attempting to land on Runway 24L.</t>
  </si>
  <si>
    <t>04/15/2002,11:23,"Busan, South Korea",Air China,129,Beijing - Busan,Boeing B-767-200ER,B-2552,23308/127,166,155,11,128,120,8,0,"The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</si>
  <si>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04/19/2002,09:15,"PopayÃ¡n, Colombia",SELVA Colombia,,MedellÃ­n - PopayÃ¡n,Antonov AN-32A,HK-4171X,2508,8,5,3,3,3,0,0,"The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</si>
  <si>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04/28/2002,06:15,"Near Abakan, Russia",Private,,,Mi-8 helicopter,,,20,17,3,8,6,2,0,"The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</si>
  <si>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05/04/2002,13:30,"Kano, Nigeria",EAS Airlines (Executive Airline Services),4226,Abuja - Jos - Kano - Lagos,BAC One-Eleven 525FT,5N-ESF,266,77,69,8,74,67,7,78,"The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</si>
  <si>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05/07/2002,15:17,"Near Tunis, Tunisia",EgyptAir,843,Cairo - Tunis,Boeing B-737-566,SU-GBI,25307/2135,62,56,6,14,11,3,0,"The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</si>
  <si>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05/07/2002,21:32,"Off Dalian, China",China Northern Airlines,6136,Beijing - Dalian,McDonnell Douglas MD-82,B-2138,49522/17023,112,103,9,112,103,9,0,"The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</si>
  <si>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05/21/2002,19:30,"Near Calabar, Nigeria",Sky Executive Air Services,,Port Harcourt - Calabar,LET 410UVP,9Q-CEX,851402,5,0,5,5,0,5,0,"The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</si>
  <si>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05/25/2002,15:29,"Off Penghu Island, Taiwan",China Airlines (Taiwan),611,Taipei - Hong Kong,Boeing B-747-209B,B-18255,21843/386,225,206,19,225,206,19,0,"The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</si>
  <si>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05/25/2002,07:00,"Near Nabire, Indonesia",Trigana Air Service,,Nabire - Enaotali,de Havilland Canada DHC-6 Twin Otter 300,PK-YPZ,458,6,2,4,6,2,4,0,The aircraft crashed in thunderstorms and heavy rain while en route.</t>
  </si>
  <si>
    <t>06/01/2002,06:45,"George, South Africa",Airquarius Aviation - Charter,,Bloemfontein - George,Hawker Siddeley HS-748-372,ZS-OJU,1782,3,1,2,3,1,2,0,"The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</si>
  <si>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06/02/2002,,"Near Ndalatando, Angola",Military - Angolan Armed Forces,,Luanda - demobilization camp,Mi-17,,,25,23,2,20,18,2,0,The helicopter crashed in poor weather while on its way to a remote town for the symbolic surrender of arms held by Unita rebels. Two top ranking generals were among those killed in the crash.</t>
  </si>
  <si>
    <t>06/12/2002,21:24,"Near Gardez, Afghanistan",Military - U.S. Air Force,,,Lockheed MC-130H Hercules,84-0475,5041,10,2,8,3,0,3,0,While participating in a night mission to remove U.S. Special Forces troops the plane crashed 2.5 miles from the airstrip. Overloaded. The excessive cargo weight loaded on the aircraft at the Band E Sardeh Dam landing zone.</t>
  </si>
  <si>
    <t>07/01/2002,23:36,"Uberlingen, Germany",Bashkirian Airlines / DHL Worldwide Express,2937 / 611,Moscow-Munich-Barcelona / Bahrain/Brussels,Tupolev TU-154M / Boeing B-757-23APF,RA85816/A9C-DHL,1006 / 24635/258,71,57,14,71,57,14,0,"The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</si>
  <si>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07/04/2002,11:15,"Bangui, Central African Republic",Prestige Airlines (Cargo) Charter,,"N'Djamena, Chad - Brazzaville, Congo",Boeing B-707-123B,9XR-IS,19335,27,19,8,27,19,8,0,The aircraft crashed 2 miles short of the runway into the Guitangola neighborhood of Bangui. The plane was bound for Brazzaville but diverted to Bangui because of mechanical problems. Two survived but succumbed to their injuries.</t>
  </si>
  <si>
    <t>07/16/2002,,"Near Long Barai, Indonesia",Sabang Merauke Raya Air Charter,,Tarakan - Krayan,Britten-Norman BN-2A Islander,PK-TAR,860,10,8,2,10,8,2,0,"Air traffic control lost contact with the aircraft 15 minutes before it was scheduled to land. The wreckage was found atop a 5,300 ft. mountain, surrounded by thick jungle, 5 miles from its destination."</t>
  </si>
  <si>
    <t>07/16/2002,19:45,"Off Cromer, Norfork, England",Bristow Helicopters,-,Gas platform Clipper - drilling rig Golbal Sante Fe Monach,Sikorsky S-76A,G-BJVX,760100,11,9,2,11,9,2,0,"The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</si>
  <si>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07/17/2002,14:22,"Surkhet, Nepal",Skyline Airways,,Jumla - Surkhet,de Havilland Canada DHC-6 Twin Otter 300,9N-AGF,828,4,2,2,4,2,2,0,"The aircraft hit a tree and crashed into a hill, 6 miles north of Surkhet in poor weather conditions. Wreckage was strewn over a wide area."</t>
  </si>
  <si>
    <t>07/27/2002,12:45,"Lviv, Ukraine",Military - Ukraine Air Force,,,Sukhoi Su-27,42,,2,0,2,0,0,0,85,The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</si>
  <si>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07/28/2002,15:25,"Moscow, Russia",Pulkovo Aviation Enterprise,,Moscow - St. Petersburgh,Iluyshin Il-86,RA-86060,51483203027,16,0,16,14,0,14,0,"A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</si>
  <si>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08/07/2002,22:00,"Caguas, Puerto Rico",Military - U.S. Air Force,-,Roosevelt Roads NS - Borinquen NGB,Lockheed MC-130H Hercules,90-0161,5265,10,3,7,10,3,7,0,"The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</si>
  <si>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08/15/2002,12:35,"Kadjuduwa Watta, Sri Lanka",Military - Sri Lanka Air Force,,,Yunshuji Y-8D,CR-873,070802,5,0,5,5,0,5,0,"The military plane developed engine trouble while en route, tried to return to the airport but crashed into a paddy field and was destroyed."</t>
  </si>
  <si>
    <t>08/19/2002,,"Khankala, Chechnya",Military - Russian Air Force,,,Mil Mi-26,89RED,,147,142,5,121,121,0,0,"The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</si>
  <si>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08/22/2002,09:41,"Pokhara, Nepal",Shangri La Air,,Jomsom - Pokhara,de Havilland Canada DHC-6-300 Twin Otter,9N-AFR,726,18,15,3,18,15,3,0,The plane crashed into a hill 3 miles southeast of Pokhara Airport while on approach. The plane broke into several pieces and bodies and wreckage was scattered over a small area. There was poor weather in the area at the time of the accident. Controlled flight into terrain.</t>
  </si>
  <si>
    <t>08/29/2002,11:58,"Near Ayan, Russia",Vostok Aviakompania,HH-359,Khabarovsk - Ayan,Antonov AN-28,RA-28932,1A-J008-19,16,14,2,16,14,2,0,The twin prop plane crashed into a cliff in dense fog as it prepared to land at Ayan. ATC lost contact with the aircraft 12 minutes before it was scheduled to land.  The crew made four attempts to land before disappearing off radar. Crew error.</t>
  </si>
  <si>
    <t>08/30/2002,18:30,"Rio Branco, Brazil",Rico Taxi AÃ©reo,,Cruzeiro do Sul - Tarauaca - Rio Branco,Embraer 120ER Brasilia,PT-WRQ,120043,31,28,3,23,20,3,0,The plane crashed about 1 mile short of the runway in heavy rain and strong winds while attempting to land at Rio Branco Airport. Congressman Ildefonso Cordeiro was among the victims.</t>
  </si>
  <si>
    <t>09/14/2002,,"Paranapanema, Sao Paulo, Brazil",Total  Air Lines,,Guarulhos - Londrina,ATR 42-300,PT-MTS,026,2,0,2,2,0,2,0,"One hour after the takeoff , the the plane disappeared of  Curitiba  ATC. The wreckage was found on a farm, around a crater. Unknown cause."</t>
  </si>
  <si>
    <t>09/28/2002,11:35,"Near Natashquan, Quebec, Canada",Deraps Aviation,,Lake de l'Avion - Agunish River,de Havilland Canada DHC-3 Otter,C-FLGA,279,4,3,1,3,3,0,0,"The hunting charter crashed inverted in a forest while attempting to land at Agunish River. Because of the geographic and weather conditions, the pilot probably had trouble judging his horizontal and vertical distance with respect to the mountain, and the aircraft crashed."</t>
  </si>
  <si>
    <t>10/01/2002,,"Vasco, India",Military - Indian Navy,,Military exercises,Ilyushin IL-38 / Ilyushin IL-38,IN302 / IN304,IL38002/IL38004,12,0,12,12,0,12,5,"The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</si>
  <si>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11/06/2002,10:10,"Near Niederanven, Luxembourg",Luxair,9642/2420,"Berlin, Germany - Luxembourg",Fokker 50,LX-LGB,20221,22,19,3,20,18,2,0,"The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</si>
  <si>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11/07/2002,10:27,"Tarakan, Indonesia",Dirgantara Air Services,,Tarakan - Long Bawan,Britten-Norman BN-2A-21,PK-VIZ,697,10,9,1,7,6,1,0,"Two minutes after taking off, the aircraft went down in a swamp, about 1 mile from Juwata airport. The pilot radioed he was returning to the airport because of an engine failure."</t>
  </si>
  <si>
    <t>11/08/2002,14:58,"Taos, New Mexico",Richmor Aviation,,"Las Vegas, NV - Taos, NM",IAI 1124A Westwind,N61RS,384,2,0,2,2,0,2,0,"While on a positioning flight the plane entered an uncontrolled descent and crashed. The pilot's inadvertent flight into mountain wave weather conditions while IMC, resulting in a loss of aircraft control."</t>
  </si>
  <si>
    <t>11/11/2002,06:09,"Manila, Philippines",Laoag International Airlines,585,Manila - Laoag,Fokker F27 Friendship 100,RP-C6888,10571,34,29,5,19,18,1,0,The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</si>
  <si>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11/28/2002,14:15,"Masai Mara Game Reserve, Kenya",Eagle Aviation,-,Ol Kiombo - Mombasa,Let 410UVP-E20,5Y-ONT,871812,20,18,2,1,0,1,0,The plane crashed after developing engine trouble while flying from one airstrip to another in the Masai Mara National Reserve. The copilot was the only fatality.</t>
  </si>
  <si>
    <t>12/13/2002,,"Gohu Airstrip, Papua New Guinea",Island Airways Ltd.,,Gohu - Madang,Britten-Norman BN-2A-26 Islander,P2-CBB,140,8,7,1,8,7,1,0,The aircraft flew into the side of a cliff during it's inaugural flight from Gohu Airstrip in the Finisterre Mountains.</t>
  </si>
  <si>
    <t>12/17/2002,22:51,"Rockford, Illinois",Planemasters,1627,Decatur - Rockford,Cessna 208B Caravan I Super Cargomaster,N277PM,208B-0143,1,0,1,1,0,1,0,"While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</si>
  <si>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12/21/2002,01:52,"Off Pachao Tao, Taiwan",Transasia Airways,791,Taipei - Macau,AÃ©rospatiale/Aeritalia ATR-72-202,B-22708,322,2,0,2,2,0,2,0,While en route the stall warning sounded and the stick shaker activated. The crew of the cargo plane disconnected the autopilot and tried to gain control of the plane. The plane began to descend from FL170 until it impacted the ocean.</t>
  </si>
  <si>
    <t>12/23/2002,19:30,"Near Isfanan, Iran",Aeromist-Kharkiv,2137,"Kharkiv, Ukraine - Trabzon, Turkey - Isfanan, Iran",Antonov AN-140,UR-14003,0204,44,38,6,44,38,6,0,"While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</si>
  <si>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12/26/2002,11:20,"Curitiba, Brazil",Military - Brazilian Air Force,,Sao Paulo - Porto Alegre,Embraer-110 C-95B Bandeirante,FAB-2292,174,16,13,3,3,2,1,0,The plane diverted from it's original route to make an emergency landing at Curitiba after experiencing engine trouble and crashed 3.5km short of the runway.</t>
  </si>
  <si>
    <t>12/27/2002,15:00,"Anjouan, Comoros Islands",Ocean Airlines,,Moroni Hahaya - Anjouan,Let 410UVP,9XR-RB,810636,16,14,2,1,1,0,0,"The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</si>
  <si>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01/08/2003,08:53,"Charlotte, North Carolina",US Air Express/Air Midwest,5481,"Charlotte, NC - Greer, SC",Beech BE-1900D,N233YV,UE-233,21,19,2,21,19,2,0,"The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</si>
  <si>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01/08/2003,20:28,"Diyarbakir, Turkey",Turkish Airlines (THY),634,Istanbul - Ankara - Diyarbakir,BAe Avro RJ-100,TC-THG,E-3241,80,75,5,75,71,4,0,"The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</si>
  <si>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01/09/2003,08:43,"Near Chachapoyas, Peru",TANS Airlines,222,Chiclayo - Chachapoyas,Fokker 28 Fellowship 1000,OB-1396,11100,46,42,4,46,42,4,0,"The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</si>
  <si>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01/17/2003,,"Near NdjolÃ©, Gabon",Aerocom,,Brazzaville - Douala,Antonov 24B,ER-AFT,89901508,7,5,2,7,5,2,0,"On a positioning flight the plane, over Gabon, had problems with its navigation equipment, circled the airport 4 times before crashing into a wooded hillside."</t>
  </si>
  <si>
    <t>01/24/2003,16:45,"Busia, Kenya",African Commuter Services,,Busia - Nairobi,Grumman G-159 Gulfstream I,5Y-EMJ,158,13,11,2,3,1,2,0,"The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</si>
  <si>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01/31/2003,15:21,"Baucau, East Timor",Euro Asia Aviation,,Macau - Baucau,Ilyushin II-76TD,RDPL-34141,0053465941,6,2,4,6,2,4,0,The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</si>
  <si>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02/07/2003,,"Near Agadir, Morocco",Volare Aviation Enterprise,,Agadir - Algiers,Antonov 12BP,UR-LIP,9346405,8,0,8,8,0,8,0,"Crashed in the Atlas mountain range at 9,900 feet while en route."</t>
  </si>
  <si>
    <t>02/10/2003,19:42,"Tallinn, Estonia",Enimex,827,Tallinn - Helsinki,Antonov AN-28,ES-NOY,1AJ006-04,3,0,3,2,0,2,0,"Shortly after takeoff, the aircraft stalled, crashed and burst into flames in a wooded area. Engine failure."</t>
  </si>
  <si>
    <t>02/16/2003,20:02,"Ferguson, Kentucky",Air Taxi - Great Northern Aircraft Co.,,"Griffith-Merrill, IN - Somerset, KY",Cessna 421,N421TJ,421-0051,7,6,1,3,2,1,0,"The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</si>
  <si>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02/19/2003,17:30,"Near Shahdad, Iran",Military - Islamic Revolution's Guards Corps,,Zahedan - Kerman,Ilyushin Il-76MD,15-22,63471155,275,257,18,275,257,18,0,"The plane crashed into an 11,500 ft.  mountain in poor weather, about 20 miles from its destination of Kerman. Besides the 18 crew members, the victims included Iran's Revolutionary Guard."</t>
  </si>
  <si>
    <t>02/20/2003,08:52,"Near Kohat, Pakistan",Military - Pakistan Air Force,-,Islamabad - Kohat,Fokker F-27 Friendship 200,10254,10254,17,9,8,17,9,8,0,"The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</si>
  <si>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03/01/2003,14:25,"Near Barki, Russia",Private - Kabanov - skydiving,-,Skydiving,Let L-410UVP,FLARF-01032,831109,25,23,2,11,9,2,0,"While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</si>
  <si>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03/06/2003,15:45,"Tamanrasset, Algeria",Air Algerie,6289,Tamanrasset - Algiers,Boeing B-737-2T4,7T-VEZ,22700/885,103,97,6,102,96,6,0,"The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</si>
  <si>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03/27/2003,12:30,"Mulia, Indonesia",PT Air Regional,,Mulia - Wamena,de Havilland Canada DHC-6 Twin Otter,PK-WAY,261,16,14,2,4,2,2,0,"Crashed into a 7,000 ft. mountain three minutes after after taking off."</t>
  </si>
  <si>
    <t>03/28/2003,15:49,"New Vienna, Iowa",Morris Hancock Flying Club - Charter,-,"Aurora, IL - Morris, MN",Beech A36,N1636W,E-348,3,2,1,3,2,1,0,"The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</si>
  <si>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05/08/2003,,"Near Kinshasa, Congo",Ukrainian Cargo Airlines -  Congolese Army Charter,,Kinshasa - Lubumbashi,Illyushin 76,UR-UCB,0063467003,200,NULL,NULL,129,NULL,NULL,0,"A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</si>
  <si>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05/26/2003,04:45,"Near Macka, Turkey",Ukranian-Mediterranean Airlines,4230,"Kabul, Afghanistan - Trabzon, Turkey - Zaragoza, Spain",Yakovlev 42D,UR-42352,2042181195,75,62,13,75,62,13,0,The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</si>
  <si>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05/28/2003,13:30,"Talkeetna, Alaska",McKinley Air Service - Air Taxi,,,Cessna 185,N70176,18502037,4,3,1,4,3,1,0,"The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</si>
  <si>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06/01/2003,15:26,"Milan, Italy",Eurojet Italila,,Milan - Genoa - Farnborough,Gates Learjet 45,I-ERJC,45-093,2,0,2,2,0,2,0,Shortly after taking off the jet nosed into the ground. Malfunction of the trim tab system.</t>
  </si>
  <si>
    <t>06/04/2003,,"Near Oiapoque,  Brazil",Air Taxi - Marco Zero Air Taxi,,Oiapoque - Macapa,EMB 721C Sertanejo,PT-EPH,,5,4,1,5,4,1,0,Forty miles into it flight the aircraft crashed into the Amazon forest. The aircraft was not certified for IFR flight. Heavy cloud cover existed along the flight route.</t>
  </si>
  <si>
    <t>06/06/2003,19:15,"Christchurch, New Zealand",Charter - Air Adventures New Zealand Ltd,-,Palmerston North - Christchurch,Piper PA-31-350 Navajo Chieftain,ZK-NCA,31-7405203,10,9,1,8,7,1,0,"The aircraft crashed short of the runway in fog while on approach to Christchurch Airport. The plane crashed two kilometers from the airport, hitting a farm hedge and sliding across a paddock before smashing into a row of trees."</t>
  </si>
  <si>
    <t>06/11/2003,,"Belo Horizonte, Brazil",Astro Air Taxi,,,Embraer 820C Navajo,PT-EHH,,4,2,2,4,2,2,0,"After takeoff, the pilot reported low pressure of oil  in an engine and  decided to return to the airport. The plane made a 270 degree turn in the final approach, stalled  and crashed to the ground."</t>
  </si>
  <si>
    <t>06/15/2003,09:35,"Volcano, Hawaii",Paradise Tour Helicopters,,Sightseeing,McDonnell Douglas 369D,N4493M,570137D,4,3,1,4,3,1,0,"The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</si>
  <si>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06/22/2003,23:55,"Near Brest, France",Brit Air,5672,Nantes - Brest,Canadair CRJ-100ER,F-GRJS,7377,24,21,3,1,0,1,0,"The aircraft crashed onto a road and caught fire 1 km from Brest-Guipavas Airport in France's Brittany region, killing the pilot and injuring three others. There were thunderstorms in the area with 800 meters visibility at the time the accident took place."</t>
  </si>
  <si>
    <t>06/25/2003,13:00,"Near Rudshour, Iran",Military - Islamic Republic of Iran Air Force,,,Lockheed C-130 Hercules,,,7,0,7,7,0,7,0,Nose dived into the ground shortly after takeoff near the Shur River.</t>
  </si>
  <si>
    <t>06/25/2003,15:50,"Anchor Point, Alaska",Hallo Bay Air - Air Taxi,,"Hallo Bay, AK - Homer, AK",Cessna 180H,N91303,18052039,3,2,1,3,2,1,0,"The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</si>
  <si>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06/26/2003,19:30,"Near Rooisand Desert Ranch, Namibia",Comvac Aviation,,,Cessna 208B Grand Caravan,V5-CAS,208B-0549,4,3,1,4,3,1,0,Shortly after taking off the air ambulance hit a hill side in the Gamsberg Mountains.</t>
  </si>
  <si>
    <t>06/30/2003,10:50,"Blida, Algeria",Military - Algerian Air Force,,Training,Lockheed C-130H Hercules,7T-WHQ,4926,4,0,4,4,0,4,11,"The military plane crashed into houses in the Beni Mered neighborhood, west of the Algerian capital, shortly after takeoff from the Boufarik military airport, 25 miles southwest of the capital. Witnesses reported seeing an engine on fire prior to the crash."</t>
  </si>
  <si>
    <t>07/01/2003,19:57,"Belem, Para, Brazil",Heringer Air Taxi,,,Mitsubishi MU 2B 35,PT-LFX,,4,2,2,4,2,2,0,The plane crashed on final approach to Belem Airport during a strong  thunderstorm.</t>
  </si>
  <si>
    <t>07/05/2003,11:30,"MacaÃ©, Rio de Janeiro, Brazil",BHS - Brazilian Helicopter Services,,,Sikorsky  S 76 A,PT-YVM,,5,3,2,5,3,2,0,"The helicopter  was landing on the helideck of the ship Toisa Mariner, when the tail rotor collided with the flagpole on the ship. The pilot lost the control and the helicopter crashed into the  sea."</t>
  </si>
  <si>
    <t>07/08/2003,04:00,"Port Sudan, Sudan",Sudan Airways,139,Port Sudan - Khartoum,Boeing 737-2J8C,ST-AFK,21169/429,117,106,11,117,106,11,0,"The plane's crew reported technical difficulties (engine failure) 10 minutes after taking off from Port Sudan Airport. The plane crashed into a hillside, 3 miles from the airport as the crew tried to return and make emergency landing. A three-year-old boy was the only survivor."</t>
  </si>
  <si>
    <t>07/13/2003,12:15,"Near San Cristobal, Venezuela",Ruiban &amp; Duran Compania AÃ©rea,,La Carlota - San Cristobal,Let 410UVP-E,YV-1060CP,902505,10,8,2,4,4,0,0,Crashed atop a hill in Chorro del Indio National Park during a descent to San Cristobal.</t>
  </si>
  <si>
    <t>07/13/2003,15:30,"Off Treasure Cay, Bahamas",Air Sunshine,,"Ft. Lauderdale, FL - Treasure Cay",Cessna 402C,N314AB,402C0413,10,9,1,2,2,0,0,"Twenty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</si>
  <si>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07/19/2003,18:00,"Mount Kenya, Kenya",Ryan Blake Air Charter,-,Nairobi - Samburu National Park,Swearingen SA-226T Metro II,ZS-OYI,TC-349,14,12,2,14,12,2,0,"The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</si>
  <si>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07/23/2003,08:53,"Waialeale,Kauai, Hawaii",Jack Harter Helicopters,,Sightseeing,Bell 206B,N37741,1695,5,4,1,5,4,1,0,"The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</si>
  <si>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08/04/2003,06:39,"Groton, Connecticut",Jet Pro,,Farmingdale - Groton,Gates Learjet 35A,N135PT,35A-509,2,0,2,2,0,2,0,"During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</si>
  <si>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08/08/2003,09:32,"Tocomita, Venezuela",Servicios Aeronauticos Sucre (SASCA),,Porlamar - Canaima,Cessna 208B Grand Caravan,YV-1069C,208B-0713,16,14,2,1,0,1,0,The pilot decided to divert to Tocomita after experiencing engine problems but crashed into trees 100 meters short of the runway.</t>
  </si>
  <si>
    <t>08/17/2003,12:49,"Near Barrow, Alaska",Hageland Aviation Services Inc.,,Barrow - Wainwright,Reims Aviation 406,N6591L,,2,1,1,2,1,1,0,"The cargo plane crashed into the ocean 30.5 miles southwest of Barrow, Alaska. While some wreckage was recovered the pilot and passenger were never recovered."</t>
  </si>
  <si>
    <t>08/20/2003,13:05,"Kamchatka Peninsula, Russia",Khalatyrka,,Kamchatka - Kuril Islands,Mi-8 helicopter,,,20,19,1,20,19,1,0,"The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</si>
  <si>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08/24/2003,14:00,"Cap Haitien, Haiti",Tropical Airways,1301,Cap Haitien - Port au Paix,Let 420UVP-E,HH-TAD,861702,21,19,2,21,19,2,0,The plane crashed shortly after taking off from Cap Haitien Airport. Witnesses reported seeing smoke coming out of the back of the aircraft. The plane then nose dived into a sugarcane field and exploded.</t>
  </si>
  <si>
    <t>08/26/2003,15:38,"Off Hyannis, Massachusetts",US Airways Express,9446,,Beechcraft 1900D,N240CJ,24637,2,0,2,2,0,2,0,"Shortly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</si>
  <si>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09/11/2003,20:30,"Near Summer Beaver, Canada",Wasaya Airways,125,Pickle Lake - Summer Beaver,Cessna 208B Grand Caravan,C-FKAB,208B-0305,8,7,1,8,7,1,0,The aircraft crashed ten kilometers northwest of Summer Beaver one hour after leaving Pickle Lake Airport. Thunderstorm activity was reported along the route.</t>
  </si>
  <si>
    <t>09/19/2003,20:00,"Near La Quemada, Mexico",Military - Mexican Air Force,,Mexicali - Santa Lucia,Lockheed C-130A Hercules,3603,3025,6,0,6,6,0,6,0,Crashed while en route</t>
  </si>
  <si>
    <t>09/19/2003,17:10,"Del Rio, Texas",Ameristar Jet Charter,982,El Paso - Del Rio,Learjet 25B,N666TW,25-116,2,0,2,1,0,1,0,"After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</si>
  <si>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09/20/2003,19:55,"Near Meadview, Arizona",Sundance Helicopters,,Sightseeing,Aerospatiale AS350BA,N270SH,1864,7,6,1,7,6,1,0,"The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</si>
  <si>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09/27/2003,18:57,"GaspÃ©, Quebec, Canada",Les Ailes de GaspÃ© Inc.,,GaspÃ© - ÃŽles-de-la-Madeleine,Piper PA31-310,C-FARL,31306,3,2,1,3,2,1,0,"Cashed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</si>
  <si>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10/03/2003,,Sao Gabriel de Cachoeria,Air taxi - Rumo Notre Air Taxi,,Sao Gabriel de Cachoeria - Yauarete,EMB 721C Sertanejo,PT-EBK,,4,3,1,4,3,1,0,"The plane disappeared shortly after taking off. Wreckage was found at  2 miles south of Gabrielâ€™s runaway,  in the Amazon forest, 2 days later.  Mechanical failure after the takoff.  Remote area without ATC or radar."</t>
  </si>
  <si>
    <t>10/03/2003,21:25,"Off Waikanae, New Zealand",Air Freight New Zealand,642,Christchurch - Palmerston North,Convair CV-580F,ZK-KFU,017,2,0,2,2,0,2,0,"While at crusing altitude, one hour after taking off, the aircraft suddenly exploded in midair for unknown reasons."</t>
  </si>
  <si>
    <t>10/11/2003,16:00,"Uriman, Venezuela",Transmandu,,,Antonov AN-2TP,YV-1128C,1G238-12,2,0,2,1,0,1,0,Crashed into the Caroni River shortly after taking off.</t>
  </si>
  <si>
    <t>10/26/2003,04:31,"Buenos Aires, Argentina",CATA Linea Aerea,760,,Fairchild Hiller FH-227B,LV-MGV,567,5,0,5,5,0,5,0,Three minutes after taking off from Buenos Aires Airport the crew reported a technical problem and asked to turn around. They were cleared to land on Runway 17 but crashed 30 km southwest of Buenos Aires.</t>
  </si>
  <si>
    <t>10/27/2003,08:08,"Tampico, Mexico",Aeroextra,,Tampico - Las Potrancas Ranch Airstrip,Hawker 800A,XA-ISH,258036,3,0,3,3,0,3,0,"While on approach on a positioning flight,  in poor weather, the crew decided to go-around turned left and struck a 1,600 ft. hill."</t>
  </si>
  <si>
    <t>10/29/2003,08:51,"Cody, Wyoming",FedEx,8773,Casper - Cody,Cessna 208B Caravan I Super Cargomaster,N791FE,208-0289,1,0,1,1,0,1,0,"While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</si>
  <si>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11/02/2003,09:00,"Near Hasi, Iraq",Military - U.S. Army,-,Fallujah - Baghdad,CH-47 Chinook,,,36,34,2,15,15,0,0,The helicopter crashed into a corn field while ferrying troops from Fallujah to Baghdad. The CH-47 helicopter belonged to the 12th Aviation Brigade. The helicopter was shot down by a shoulder-fired missile.</t>
  </si>
  <si>
    <t>11/08/2003,10:26,"200 miles NE of Derby, Australia",Heliwork WA Pty Ltd. - Air Taxi,,,Robertson R44 helicopter,VH-YKL,0170,4,3,1,4,3,1,0,The helicopter crashed in the remote outback after colliding with terrain. The helicopter was destroyed in the post crash fire. Visual meteorological conditions prevailed at the time of the accident.</t>
  </si>
  <si>
    <t>11/08/2003,10:59,"Near Ogle, Guyana",Trans Guyana Airways,,"Ogle, Guyana - Ekereku, Guyana",Shorts SC-7 Skyvan 3M Variant 100,8R-GMC,SH-1959,7,4,3,2,1,1,0,The right engine failed one minute after takeoff. The pilot declared an emergency and made a forced landing in a cane field. The plane hit a ridge and slid approximately 100 ft. before coming to rest. A flight attendant and one passenger received fatal injuries.</t>
  </si>
  <si>
    <t>11/15/2003,18:30,"Mosul, Iraq",Military - U.S. Army,,,UH-60 Black Hawk / UH-60 Black Hawk,? / ?,,22,18,4,17,13,4,0,A midair collision occurred between two Black Hawk helicopters. One helicopter was climbing to avoid gunfire when it's rotor struck the other.</t>
  </si>
  <si>
    <t>11/29/2003,08:01,"Spokane, Washington",Ameriflight,1996,Seattle - Spokane,Swearingen SA227AT Merlin IVC,N439AF,AT-439B,1,0,1,1,0,1,0,"The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</si>
  <si>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11/29/2003,15:20,"Boende, Congo",Military - Congolese Air Force,,"Boende, Congo - Kinshasa, Congo",Antonov AN-26,9T-TAD,,24,18,6,20,14,6,13,The aircraft suffered a blowout of a tire while taking off for the second time after aborting the first takeoff. The pilot was not able to stop the aircraft and overran the runway and crashed into a small market square</t>
  </si>
  <si>
    <t>12/16/2003,12:00,"Jellicoe, Ontario, Canada",Huron Air,,,de Havilland DHC-3 Otter,C-GOFF,065,3,2,1,2,1,1,0,Crashed into Blackwater Lake shortly after taking off from a remote landing strip.</t>
  </si>
  <si>
    <t>12/18/2003,22:00,"Mitu, Colombia",LÃ­neas AÃ©reas Suramericanas,,El Yopal - Mitu,Douglas DC-9-15F,HK-4246X,47062,3,0,3,3,0,3,0,"While on approach to , the cargo plane obtained the authorization to descend from 23,000 to 7,000 ft. but  disappeared from radar screen when it struck a mountain. Wreckage was found 5 days later."</t>
  </si>
  <si>
    <t>12/23/2003,09:13,"Helendale, California",Pavair,,"Chino,CA - Sun Valley, ID",Gates Learjet 24B,N600XJ,24B-190,2,0,2,2,0,2,0,"While en route and cruising at 24,000 ft. the crew of the cargo plane declared an emergency and tried to return to Chino Airport but the aircraft suddenly nose dived and crashed into the Mojave Desert. A loss of airplane control for undetermined reasons."</t>
  </si>
  <si>
    <t>12/25/2003,14:55,"Cotonou, Benin",Union des Transports Aeriens de Guinee,141,"Conakry, Guinea - Cotonou, Benin - Beirut, Lebanon",Boeing B-727-223,3X-GDO,21370/1276,161,151,10,140,132,8,0,"The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</si>
  <si>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01/03/2004,04:44,"Off Sharm el Sheikh, Egypt",Flash Air,604,"Sharm el Sheikh, Egypt - Cairo, Egypt",Boeing B-737-3Q8,SU-ZCF,26283/2383,148,135,13,148,135,13,0,"Shortly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</si>
  <si>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01/13/2004,19:40,"Tashkent, Uzbekistan",Uzbekistan Airways,1154,Termez - Tashkent,Yakovlev YAK-40,UK-87985,9540844,37,32,5,37,32,5,0,"Crashed while attempting to land in heavy fog. The aircraft struck a stanchion of approach lights and flipped over, hitting the outside of a wall surrounding the landing area. Crew error."</t>
  </si>
  <si>
    <t>02/06/2004,08:01,"Bitonja, Bosnia-Herzegovina",Military - Government of Macedonia,,Skopje - Mostar,Beechcraft Super King Air 200,Z3-BAB,BB-652,9,7,2,9,7,2,0,"The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</si>
  <si>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02/10/2004,11:40,"Sharjah, United Arab Emirates",Kish Airlines,1770,Kish Island - Sharjah,Fokker F-50,EP-LCA,20273,46,40,6,43,37,6,0,"The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</si>
  <si>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03/04/2004,09:40,"Bakou, Azerbaijan 	 Bakou, Azerbaijan",Azov Avia Airlines,,Ankara - Baku - Kabul,Ilyushin II-76,UR-ZVA,0063468036,7,0,7,3,0,3,0,"Shortly after taking off and climbing to about 150 feet, the aircraft pitch down and crashed into a field 4 km from the airport."</t>
  </si>
  <si>
    <t>03/16/2004,04:01,"Tonopah, Nevada",Military - United States Air Force,,,Beechcraft 1900C,N27RA,UB-37,5,4,1,5,4,1,0,While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</si>
  <si>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03/21/2004,02:20,"Pyote, Texas",Air Ambulance - Med-Trans Corp.,,"Odessa, TX - Lubbock, TX",Bell 407,N502MT,53549,5,4,1,4,3,1,0,"The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</si>
  <si>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05/02/2004,16:00,"Near Milpillas, Mexico",Procuradoria General de la Republica,,Ciudad Juarez - Mexico City,Rockwell Gulfstream Jetprop 840,  XC-JEH,11678,7,5,2,7,5,2,0,"The aircraft crashed and was destroyed following a loss of control while en route at cruise altitude at 23,000 ft. after encountering unfavorable weather conditions."</t>
  </si>
  <si>
    <t>05/05/2004,13:00,"Carepa, Colombia",Aerotransportes Petroleros,,Bogota - Carepa,Swearingen SA227AC Metro III,HK-4275,AC-676,7,5,2,3,1,2,0,While on approach the plane hit the ground 300 ft. short of the runway.</t>
  </si>
  <si>
    <t>05/06/2004,15:00,"Jiech, Sudan",Charter - Air Cush,,Jiech - Ayod,Let 410UVP,9XR-DC,,10,8,2,6,5,1,0,"The plane crashed just seconds after taking off. It was on a mission of delivering humanitarian aid in Sudan. The cargo shifted after takeoff, causing the cg to change and the plane to stall and crash."</t>
  </si>
  <si>
    <t>05/11/2004,,"Dalang, Sudan",El Magal Aviation,,Khartoum - Juba - El Obeid,Antonov AN-12,ST-SIG,1400101,7,0,7,7,0,7,0,While flying in a thunderstorm the plane hit the side of a mountain. One survivor died a few hours after the accident.</t>
  </si>
  <si>
    <t>05/14/2004,18:30,"Near Manaus, Brazil",Rico Linhas Aereas,4815,Sao Paulo - Tefe - Manaus,Embraer 120ER Brasilia,PT-WRO,120070,33,30,3,33,30,3,0,"The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</si>
  <si>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05/18/2004,10:50,"Urumqi, China",AZAL Cargo Company,,Taiyuan - Urumqi - Baku,Ilyushin II-76TD,4K-AZ27,0053460827,7,0,7,7,0,7,0,"About two minutes after takeoff and  while climbing, the aircraft stalled and crashed in a field 10 km from the  airport."</t>
  </si>
  <si>
    <t>05/18/2004,10:40,"Bozoy, Kazakhstan",Aray-Avia,,Kyzyl-Orda - Bozoy - Vozrozhdenya Island,PZL-Mielec AN-2R,UN-70276,1G139-35,12,10,2,1,1,0,0,Crashed and stalled near the end of the runway while attempting to take off. The aircraft was overloaded.</t>
  </si>
  <si>
    <t>05/23/2004,07:30,"Mwingi, Kenya",Blue Bird Aviation,,Nairobi - Mogadiscio,Let 410UVP,5Y-VVD,872009,2,0,2,2,0,2,0,While en route the cargo plane collided with another Let 410 of the same operator. The first aircraft crashed killing both pilots while the second  made a safe landing.</t>
  </si>
  <si>
    <t>05/25/2004,13:56,"Near Lukla, Nepal",Yeti Airlines,117,Katmandou - Lukla,de Havilland DHC-6 Twin Otter 300,9N-AFD,651,3,0,3,3,0,3,0,"While on approach to Lukla, the cargo plane crashed into Lamjura Hill in heavy cloud cover. Hazardous behavior and attitudes of the captain such as over-confidence, being care-free, and non-compliance of the regulations caused the accident."</t>
  </si>
  <si>
    <t>06/08/2004,09:38,"Off Libreville, Gabon",Gabon Express,221,Libreville - Franceville,BAe HS-748-232 Srs 2A,TR-LFW,1611/82,30,26,4,19,18,1,0,The aircraft nosedived into the sea about 100 meters off a beach shortly after taking off from Leon Mba international airport. Engine failure forced the plane back towards the airport.</t>
  </si>
  <si>
    <t>06/28/2004,09:17,"Near Yengema, Sierra Leone",United Nations -  UTair Charter,,Freetown - Kailahun,Mi-8MTV-1,RA-27113,,24,21,3,24,21,3,0,The helicopter crashed into a slope of a mountain in a forested area. The helicopter took off from the Sierra Leone capital but never arrived at its destination in the western city of Kailahun.</t>
  </si>
  <si>
    <t>07/12/2004,07:15,"Off Beef Island, British Virgin Islands",Dodita Air Cargo,,San Juan - Saint Martten,Convair CV-440,N4826C,391,2,0,2,1,0,1,0,"While en route the cargo plane experienced a fire in the right engine which led to a ditching of the plane. The plane sank in 1,000 ft. of water the copilot was rescued but the captain was never found."</t>
  </si>
  <si>
    <t>07/22/2004,08:30,"Off  MacaÃ© , Rio de Janeiro , Brazil",BHS - Brazilian Helicopter Service  Air Taxi,,"Campos, Brazil  -  Off-shore oil rig",Sikorsky S 76,PP-MYM,,11,9,2,6,6,0,0,"During the approach to P-31 oil rig, at an altitude of 500 ft, an alarm sounded for the left turbine after which there was a loud noise. Then the main rotor and right turbine lost rotation and the helicopter crashed in the sea."</t>
  </si>
  <si>
    <t>07/29/2004,10:30,"Ononge, Papua New Guinea",Airlines of PNG,,Port Moresby - Ononge,de Havilland DHC-6 Twin Otter 300,P2-MBA,353,3,0,3,2,0,2,0,The cargo plane diverted to Yongai airport because of bad weather but collided with trees and crashed.The loadmaster was rescued a day later.</t>
  </si>
  <si>
    <t>08/13/2004,00:50,"Cincinnati, Ohio",Air Taroma,185,Memphis - Cincinnati,Convair CV-580,N586P,68,2,0,2,1,0,1,0,"While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</si>
  <si>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08/21/2004,16:28,"Near Maracay, Venezuela",Military - Venezuelan Air Force,,La Orchila Air Base - Maracay,Shorts 360,FAV-1652,SH3123,25,22,3,25,22,3,0,"Air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</si>
  <si>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08/24/2004,22:59,"Near Rostov-on-Don, Russia",Sibir Airlines,1047,Moscow - Sochi,Tupolev 154B-2,RA-85556,82A-556,46,38,8,46,38,8,0,The plane crashed 19 minutes after taking off from Moscow. It crashed almost simultaneously with a Volga-Avia Express Tupolov134 which crashed at 22:56. Detonation of an exposive device aboard.</t>
  </si>
  <si>
    <t>08/24/2004,22:56,"Near Toula, Russia",Volga-Avia Express,1303,Moscow - Volograd,Tupolev 134A-3,RA-65080,60065,41,34,7,41,34,7,0,The plane crashed 26 minutes after taking off from Moscow. Witnesses stated they saw the plane explode in midair before crashing. It crashed almost simultaneously with a Sibir Tupolov154 which crashed at 22:59. Detonation of an exposive device aboard.</t>
  </si>
  <si>
    <t>08/27/2004,16:30,"Near Mc Grath, Alaska",Mavrik Aire Transport,,Kenai - McGrath - Kotzebue,de Havilland DHC-3 Otter,N197TT,197,3,2,1,1,1,0,0,"Thirty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</si>
  <si>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09/09/2004,06:50,"Villahermosa, Mexico",Jett Paqueteria SA,,Mexico City - Villahermosa,Rockwell CT-39A Sabreliner,XA-TFD,265-10,2,0,2,2,0,2,0,On final approach the cargo flight crashed in a wooded area 3 km from the runway and was destroyed.</t>
  </si>
  <si>
    <t>09/11/2004,11:10,"Off Mount Athos, Greece",Military - Greek Army,,Athens - Mount Athos,CH-47D Chinook,,,17,13,4,17,13,4,0,"The helicopter crashed into the Aegean Sea, 5.5 nautical miles off Halkidiki peninsula.  Patriarch Petros VII of Alexandria , Egypt, spiritual leader of orthodox Christians throughout Africa, killed along with other clergy."</t>
  </si>
  <si>
    <t>09/29/2004,18:59,"Tortuguero lagoon, Puerto Rico",Air Flamence,,Mayaguez - San Juan,Pilatus-Britten Norman BN-2A-27 Islander,N902GD,905,1,0,1,1,0,1,0,"The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</si>
  <si>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10/05/2004,12:37,"Kaduqli, Sudan",Sarit Airlines,,El Obeid - Juba,Antonov AN-12,ST-SAF,00347606,4,0,4,4,0,4,0,The cargo plane reported an engine failure and tried to divert to the nearest airport but crashed and burned in a wooded area about 50 km from Kaduqli.</t>
  </si>
  <si>
    <t>10/14/2004,03:56,"Halifax, Nova Scotia, Canada",MK Airlines,1602,"Windsor Locks - Halifax - Zaragoza, Spain",Boeing 747-244B-SF,9G-MKJ,22170,7,0,7,7,0,7,0,"The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</si>
  <si>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10/14/2004,22:15,"Jefferson City, Missouri",Pinnacle Airlines/Northwest Airlink,3701,Little Rock - Minneapolis,Canadair CRJ200LR RegionalJet,N8396A,10161,2,0,2,2,0,2,0,"On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</si>
  <si>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10/15/2004,07:46,"Near Medellin, Colombia",Aerovanguardia,,Villavicencio - Medellin,Douglas DC-3C,HK-1503,34331,3,0,3,3,0,3,0,"During descent in poor weather, the cargo plane struck a mountain near the airport."</t>
  </si>
  <si>
    <t>10/16/2004,15:00,"Coron Island, Philippines",Pacific Air,,Coron Island - Manila,Pilatus Britten-Norman BN-2A-21 Islander,RP-C1325,593,2,0,2,2,0,2,0,"A few minutes after takeoff, the cargo plane struck the side Tagbao mountain a few  kilometers from the airport."</t>
  </si>
  <si>
    <t>10/19/2004,07:45,"Near Kirksville, Missouri",Corporate Airlines (American Connection),5966,"St. Louis, MO - Kirkville, MO",Bae Jetstream 3201,N875JX,875,15,13,2,13,11,2,0,"The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</si>
  <si>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10/24/2004,00:30,"San Diego, California",Med Flight Air Ambulance - Private,,"San Diego, CA - Albuquerque, NM",Learjet 35A,N30DK,35A-345,5,4,1,5,4,1,0,"Two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</si>
  <si>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10/24/2004,16:30,"Martinsville, Virginia",Private - Hendrick Motorsports Inc.,,"Concord, NC - Martinsville, VA",Beech 200 Super King Air,N501RH,BB-805,10,8,2,10,8,2,0,"The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</si>
  <si>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11/18/2004,13:02,"Caracas, Venezuela",Venezolana,213,El Vigia - Caracas,BAe 3101 Jetstream 31,YV-1083C,762,21,19,2,3,3,0,0,"The aircraft was arriving on runway 09 at Simon Bolivar Airport when it departed the right side of the runway and cashed into the airport fire house. Weather at the time of the accident was poor, with low ceiling and torrential rain."</t>
  </si>
  <si>
    <t>11/21/2004,08:20,"Baotou, Inner Mongolia, China",China Eastern Airlines,,Baotou - Shanghai,Bombardier CRJ200,B-3072,7697,53,47,6,53,47,6,0,"The aircraft crashed into a frozen lake in Nanhai Park, 10 seconds after taking off. Ice pollution of the wings of the aircraft led to the accident. Failure to deice the plane."</t>
  </si>
  <si>
    <t>11/22/2004,06:15,"Houston, Texas",Business Jet Services,,Dallas - Houston,Grumman Gulfstream G3,N85VT,449,3,0,3,3,0,3,0,"While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</si>
  <si>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11/27/2004,08:20,"Near Bagram, Afghanstan",Presidental Airways Inc. - Air Taxi,,"Bagram - Farah, Afghanstan",CASA 212-CC,N960BW,231,6,3,3,6,3,3,0,"Crashed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</si>
  <si>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11/28/2004,09:55,"Montrose, Colorado",Glow Air/Air Castle - Charter,73,"Montrose, CO - South Bend, IN",Canadair CL-601-2A12 Challenger,N873G,3009,6,3,3,3,1,2,0,"While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</si>
  <si>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11/30/2004,18:14,"Solo, Indonesia",Lion Air,583,"Jakarta, Indonesia - Solo, Indonesia",McDonnell-Douglas MD-82,PK-LMN,49189/1173,163,156,7,25,23,2,0,"While attempting to land, the plane overran the runway and crashed through the airport barrier fence, into a rice field, broke in two and  came to rest at a cemetery, 300 meters beyond the runway. Bad weather and a malfunctioning spoiler may have caused the crash."</t>
  </si>
  <si>
    <t>12/10/2004,,"El Junquito, Venezuela",Guardia Nacional de Venezuela,,Puerto Ayacucho - La Carlota,PZL-Mielec M28,GN-97121,AJE001-15,16,13,3,16,13,3,0,Crashed while en route in mountainous terrain.</t>
  </si>
  <si>
    <t>12/11/2004,,"Near Jeddah, Saudi Arabia",Airline Transport,,Baku - Kabul,Ilyushin II-76TD,ER-IBW,0033448390,7,0,7,1,0,1,0,A forward emergency exit opened in flight causing one of the crew members to be sucked out. An emergency landing was made in Jeddah.</t>
  </si>
  <si>
    <t>12/11/2004,05:30,"Uberaba, Brazil",NHR TÃ¡xi-AÃ©reo,,Sao Paulo - Uberaba,Embraer EMB-110 Bandeirante,PT-WAK,110071,2,0,2,2,0,2,1,"The crew was performing a mail flight under Total Linhas AÃ©reas from Sao Paulo-Guarulhos airport to Uberaba. While on final approach at night, the cargo plane crashed into houses located short of runway and burned."</t>
  </si>
  <si>
    <t>01/13/2005,16:10,"Tura,Siberia, Russia",Tura Air Enterprise,,Vanavara - Tura,Antonov AN-2,RA-62597,1G177-44,9,7,2,9,7,2,0,The aircraft disappeared from radar as it was attempting to land. It crashed into a hill 6 miles from its destination. Poor weather conditions existed at the time of the accident. Crew error. Ground proximity warning disabled. Artificial horizon not working.</t>
  </si>
  <si>
    <t>01/13/2005,,"Manguipayan, Colombia",Military - Colombian government,,,Black Hawk helicopter,,,20,18,2,20,18,2,0,The helicopter was on a counter-narcotics mission when it crashed in heavy fog.</t>
  </si>
  <si>
    <t>01/13/2005,22:18,"Keene, New Hampshire",AirNow,,"Bangor, ME - Concord, NH",Embraer EMB-110 Bandeirante,N49BA,110301,1,0,1,1,0,1,0,"The cargo plane diverted to Keene due to poor weather. During the final approach at night, the plane hit the ground short of Runway 02 and was destroyed."</t>
  </si>
  <si>
    <t>01/26/2005,01:20,"Rutbah, Iraq",Military - U.S. Marines,,Ferrying troops,CH53E Sea Stallion,164536,,31,29,2,31,29,2,0,The helicopter crashed in rain and a sandstorm.</t>
  </si>
  <si>
    <t>01/27/2005,08:10,"Lasi, Hungary",Farnair Hungary,,Bucharest -Lasi,Let 410UVP-E4,HA-LAR,871923,2,0,2,2,0,2,0,The cargo plane was attempting to land in a snowstorm when it turned left and descended until it crashed a mile from the airport.</t>
  </si>
  <si>
    <t>01/30/2005,16:30,"Near Al Taji, Iraq",Military - Royal Air Force,,Bagdad - Balad,Lockheed Hercules C.1,XV179,4195,10,8,2,10,8,2,0,"The plane was flying at a low level when it was hit by enemy fire. The right wing separated from the fuselage and the plane lost control, crashed and was destroyed."</t>
  </si>
  <si>
    <t>02/03/2005,17:00,"Near Kabul, Afghanistan",Kam Air,904,Herat - Kabul,Boeing B-737-200,EX-037,22075/630,104,96,8,104,96,8,0,"Unable to land at Kabul because of a blizzard, the crew tried to reach Peshawar, Pakistan but crashed into 11,000 ft. Chaperi Mountain near Kabul."</t>
  </si>
  <si>
    <t>02/03/2005,08:07,"Near Khartoum, Sudan",Air West,,Sharjah - Khartoum - Nyala,Ilyushin 76TD,ST-EWB,23438122,7,0,7,7,0,7,0,"After developing fuel system problems the cargo flight carrying humanitarian goods, was advised to land at Aad Babaker. The plane did not make it and crashed 15 km east of Khartoum."</t>
  </si>
  <si>
    <t>02/16/2005,09:13,"Near Pueblo, Colorado",Circuit City Stores - Charter,,"Richmond, VA - Saint Louis, MO  - Pueblo,CO - Irvine, CA",Cessna 560 Citation V,N500AT,560-0146,8,6,2,8,6,2,0,"While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</si>
  <si>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02/22/2005,13:22,"Bimin, Papua, New Guinea",Missionary Aviation Fellowship,,Tabubil - Bimin,de Havilland DHC-6 Twin Otter 300,P2-MFQ,174,13,10,3,2,0,2,0,While on approach to Runway 29 the aircraft crashed on a mountain.</t>
  </si>
  <si>
    <t>02/22/2005,07:15,"Off Sarmi, Indonesia 	 Sarmi, Indonesia",Indonesian National Police,,Jayapura - Sarmi,CASA 212 Aviocar,P-2032 P-2032,,18,14,4,15,11,4,0,"On final approach, the aircraft crashed into the sea 100 meters off shore, 400 meters short of runway."</t>
  </si>
  <si>
    <t>03/08/2005,09:23,"Chrallave, Venezuela",Air Global,,Maturin - Charallave,Cessna 500 Citation I,YV-21CP,500-0115,2,0,2,2,0,2,0,The cargo plane crashed into a wooded area short of the runway and was destroyed.</t>
  </si>
  <si>
    <t>03/15/2005,00:15,"Off Campbeltown, United Kingdom",Loganair,,Glasgow - Campbeltown,Pilatus-Britten Norman BN-2B-26 Islander,G-BOMG,2205,2,1,1,2,1,1,0,"While on final approach, the air ambulance crashed into the sea at night and in poor visibility."</t>
  </si>
  <si>
    <t>03/16/2005,13:57,"Varandey, Russia",Regional Airlines,,Ufa - Usinsk - Perm - Varandey - Naryan Mar,Antonov 24,RA-46489,27308107,52,45,7,28,26,2,0,"The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</si>
  <si>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03/23/2005,23:07,"Off Mwanza, Tanzania",Air Transport,,Mwanza - Khartoum - Zagreb,Ilyushin IL-76TD,ER-IBR,0043454623,8,0,8,8,0,8,0,"The cargo plane, after takeoff and climbing lost altitude and crashed into Lake Victoria."</t>
  </si>
  <si>
    <t>03/26/2005,10:15,"El Embrujo, Providencia Island, Colombia",West Caribbean Airways,,Old Providence - San Andres,Let-410UVP-E,HK-4146,902426,14,12,2,8,6,2,0,The small airliner crashed while taking off from the Colombian Caribbean Island of Old Providence. The aircraft climbed to a height of about 100 feet and then lost control and crashed into a hill.</t>
  </si>
  <si>
    <t>03/31/2005,20:00,"Near Rovie, Albania",Military - U.S. Air Force,,Training,Lockheed Hercules MC-130H,87-0127,5118,9,0,9,9,0,9,0,While on a training mission the aircraft crashed into a mountainous area and was destroyed.</t>
  </si>
  <si>
    <t>04/12/2005,12:10,"Enarotali, Indonesia",GT Air,,Timika - Enarotali,de Havilland Canada DHC-6 Twin Otter 100,PK-LTZ,23,18,15,3,18,15,3,0,The plane crashed while en route on a one hour flight. The wreckage was found 5 days later.</t>
  </si>
  <si>
    <t>04/20/2005,22:15,"Tehran, Iran",Saha Airline Services,,Krish - Teran,Boeing B-707-3J9C,EP-SHE,21127/915,169,157,12,3,3,0,0,Soon after experiencing a hard landing an engine began burning while the aircraft was taxiing. The plane then skidded of the runway and fell into the Kan River. One of the passenger's infant fell into the river and drowned while exiting the aircraft.</t>
  </si>
  <si>
    <t>04/21/2005,,"Near Baghdad, Iraq",Military - Bulgarian,,,Mil Mi-8,,,11,NULL,NULL,11,NULL,NULL,0,Shot down.</t>
  </si>
  <si>
    <t>04/28/2005,11:28,"Pisco, Peru",Military - Fuerza Del Peru,,Training,Let 410UVP,EP-830,790304,13,11,2,13,11,2,0,"While taking off on a training flight, the twin engine aircraft stalled and crashed near a petroleum facility near the airport."</t>
  </si>
  <si>
    <t>05/02/2005,22:14,"Near Stratford, New Zealand",Airwork NZ,23,Auckland - Blenheim,Swearingen SA.227AC Metro III,ZK-POA,AC-551B,2,0,2,2,0,2,0,"The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</si>
  <si>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05/05/2005,13:30,"Near Kisangani, Democratic Republic Congo",Kisangani Airlift,,Bangboka - Isiro,Antonov AN-26,EK-26060,17311107,11,7,4,10,6,4,0,The plane was heading for the town of Isiro when it lost radio contact. As it was returning to Kisangani its propeller hit a tree and the plane lost control.</t>
  </si>
  <si>
    <t>05/07/2005,11:45,"Lockhart River, Queensland, Australia",Aero-Tropics,,Bamaga - Lockhart River,Swearingen SA-227AC Metro III,VH-TFU,DC-818B,15,13,2,15,13,2,0,"The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</si>
  <si>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05/16/2005,12:20,"El Portezulo, Argentina",Transportes Aereos Don Carlos - Charter,,"Balmaceda, Argentina - Chile Chiro, Chile",Beech 65-A80 Queenaire,CC-CFS,LD-220,10,9,1,10,9,1,0,The charter flight crashed a few minutes after takeoff under unkown circumstances.</t>
  </si>
  <si>
    <t>05/18/2005,13:27,"Mongu, Zambia",Military - Zambia Air Force,,Lusaka - Livingstone - Mongu - Lusaka,Yunshuji Y-12,AF-216,0089,13,8,5,13,8,5,0,The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</si>
  <si>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05/25/2005,,"Walungu, Congo",Charter - Maniema Union (owner Victoria Air),,Goma - Kindu - Kongolo,Antonov AN-12BP,9Q-CVG,4342404,27,22,5,27,22,5,0,Crashed into mountains and dense forest. The plane lost contact with the tower 30 minutes after taking off from Goma. The wreckage was found at the bottom of a cliff.</t>
  </si>
  <si>
    <t>06/02/2005,11:15,"Khartoom, Sudan",Marsland Aviation,430,Kartoom - El Obeid - El Fasher,Antonov AN-24B,ST-WAL,6991004,42,36,6,7,6,1,0,The plane crashed during takeoff after a fire erupted in the No. 1 engine. The crew aborted the takeoff but crashed at the end of the runway.</t>
  </si>
  <si>
    <t>07/16/2005,10:00,"Baney, Equatorial Guinea",Ecuatair,,"Malabala, Bioko Island - Bata",Antonov AN-24B,3C-VQR,79901104,60,54,6,60,54,6,0,"The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</si>
  <si>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08/02/2005,16:04,"Toronto, Canada",Air France,358,"Paris, France - Toronto Canada",Airbus A-340,F-GLZQ,289,309,297,12,0,0,0,0,"The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</si>
  <si>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08/06/2005,15:40,"Off Palermo, Italy",Tuninter,1153,"Bari, Italy - Djerba, Tunisia",ATR-72-202,TS-LBB,258,39,35,4,16,14,2,0,"The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</si>
  <si>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08/10/2005,12:43,"Off Talinn, Estonia",Copterline,,"Talinn, Estonia - Helsinki, Finland",Sikorsky S-76C,OH-HCI,760508,14,12,2,14,12,2,0,"The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</si>
  <si>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08/14/2005,12:20,"Near Grammatikos, Greece",Helios Airways,522,"Larnaca, Cyprus - Athens, Greece - Prague, Czech Republic",Boeing 737-31S,5B-DBY,29099/2982,121,115,6,121,115,6,0,"While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</si>
  <si>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08/16/2005,03:30,"Near La Cucharita, Venezuela",West Caribbean Airways,708,"Panama City - Fort de France, Martinique",McDonnell Douglas MD-82,HK-4374X,49484/1315,160,152,8,160,152,8,0,"While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</si>
  <si>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08/23/2005,15:06,"Near Pucallpa, Peru",TANS Peru,204,Lima - Pucallpa - Iquitos,Boeing B-737-244,OB-1809,22580/87,98,92,6,40,36,4,0,"The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</si>
  <si>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09/05/2005,09:40,"Medan, Indonesia",Mandala Airlines,091,Medan - Jakarta,Boeing 737-230,PK-RIM,22136/738,117,112,5,99,94,5,44,"Seconds after taking off the jetliner shook violently, veered to the left and crashed into a residential neighborhood 500 yards past the end of the runway. It is speculated that the plane was overloaded."</t>
  </si>
  <si>
    <t>09/05/2005,07:30,"Isiro, Democtratic Republic Congo",Kavatshi Airlines,,Beni - Isiro,Antonov 26B,ER-AZT,9005,11,7,4,11,7,4,0,"While on approach to Runway 31 the plane hit trees, crashed and burned."</t>
  </si>
  <si>
    <t>09/09/2005,15:45,"Near Brazzaville, Congo",Air Kasai,,Boende - Kinshasa,Antonov AN-26A,9Q-CFD,37312901,14,11,3,14,11,3,0,"While en route, a witness saw the plane lose altitude and crash to the ground and disintegrate into pieces north of Brazzaville. Weather was poor with thunderstorms and strong winds."</t>
  </si>
  <si>
    <t>10/04/2005,,"Aru, Democratic Republic Cogo",Wimbi Dira Airways,,Kisangani - Bunia,Antonov 12V,9Q-CWC,2400901,100,96,4,2,2,0,0,The aircraft carrying troops made a hard landing causing the landing gear to penetrate the fuselage. Two passengers were killed when they exited the plane and ran into the propellers which were still turning.</t>
  </si>
  <si>
    <t>10/22/2005,20:40,"Lisa, Nigeria",Bellview Airlines,3210,Lagos - Abuja,Boeing B-737-2L9,5N-BFN,22734/818,117,111,6,117,111,6,0,"The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</si>
  <si>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12/06/2005,14:15,"Tehran, Iran",Military - Islamic Republic of Iran Air Force,,Tehran - Bandar Abbas,Lockheed C-130B Hercules,5-8512,4386,94,84,10,94,84,10,14,The military plane crashed into an apartment building in the Azari district after taking off from Mehrabad Airport. The plane suffered engine failure and was attempting to return for a emergency landing.</t>
  </si>
  <si>
    <t>12/08/2005,19:15,"Chicago, Illinois",Southwest Airlines,1248,"Baltimore, Maryland - Chicago, Illinois - Las Vegas, Nevada",Boeing B-737-7H4,N471WN,32471/1535,103,98,5,0,0,0,1,"The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</si>
  <si>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 xml:space="preserve"> 2) programming and design of its onboard performance computer, which did not present inherent assumptions in the program critical to pilot decision making</t>
  </si>
  <si>
    <t xml:space="preserve"> 3) plan to implement new autobrake procedures without a familiarization period</t>
  </si>
  <si>
    <t xml:space="preserve">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</si>
  <si>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12/10/2005,14:08,"Near Port Harcourt, Nigeria",Sosoliso Airlines,1145,Abuja - Port Harcourt,McDonnell DC-9-32,5N-BFD,47562/685,110,103,7,108,101,7,0,"The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</si>
  <si>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12/19/2005,14:40,"Off Miami Beach, Florida",Chalk's Ocean Airways,101,"Miami, Florida - Bimini, Bahamas",Grumman G73T Turbo Mallard,N2969,J-27,20,18,2,20,18,2,0,"The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</si>
  <si>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12/23/2005,22:27,"Nardaran, Azerbaijan",Azerbaijan Airlines,217,"Baku, Azerbaijan - Aktau, Kazakhstan",Antonov AN-140-100,  4K-AZ48,36525307036,23,18,5,23,18,5,0,The plane crashed along the shore of the Caspian Sea 8 minutes after taking off from Baku. Instrument failure left the crew unable to control the aircraft.</t>
  </si>
  <si>
    <t>01/02/2006,11:11,Near Karkov,Evolga,,Moscow - Karkov,British Aerospace BAe-125-700A,P4-AOD,257153,3,0,3,3,0,3,0,"On a positionning flight from Sheremetyevo to Kharkov to pick up passengers, while on final approach, the aircraft crashed in a frozen lake 3 km from runway threshold."</t>
  </si>
  <si>
    <t>01/07/2006,,"Near Tal Afar, Iraq",Military - US Army,,,UH-60L Black Hawk,91-26346,,12,NULL,NULL,12,NULL,NULL,0,Crashed in bad weather.</t>
  </si>
  <si>
    <t>01/08/2006,13:00,"Bukalaza, Uganda",Service Air,,Entebbe - Kinshasa,Antonov 12,9Q-CIH,4341803,6,0,6,6,0,6,0,The cargo plane carrying humanitarian relief items crashed shortly after takeoff. The cause was determined to be engine failure and an overweight and improperly balanced plane.</t>
  </si>
  <si>
    <t>01/09/2006,09:30,"Near Orumiyeh, Iran",Military - Iranian Revolutionary Guard Corps Air Force,,Tehran - Orumiyeh,Dassault Falcon 20,15-2233,318,11,8,3,11,8,3,0,"After a flyby to check on a stuck landing gear, the plane suffered a double engine flame-out and crashed into a field in poor weather conditions."</t>
  </si>
  <si>
    <t>01/19/2006,19:30,"Near Telkibanya, Hungary",Military - Slovak Air Force,,Pristina - Kosice,Antonov AN-24V,5605,97305605,43,35,8,42,34,8,0,"A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</si>
  <si>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02/05/2006,16:53,"Near Watertown, Wisconson",Air Cargo Carriers,,,Shorts 360-100 /Shorts 360-300,N3735W/N372AC,SH-3735/SH-3720,3,1,2,3,1,2,0,"The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</si>
  <si>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02/08/2006,12:12,"Near Paris, Tennessee",TriCoastal Air,,"Dayton, Ohio -",Swearingen SA.226TC Metro II,N629EK,TC-396,1,0,1,1,0,1,0,"The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</si>
  <si>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03/31/2006,17:39,"Rio Bonito, Brazil",Team Air,6865,MacaÃ© - Rio de Janeiro,Let L410UVP-E20,PT-FSE,912532,19,17,2,19,17,2,0,"Twenty minutes after taking off from MacaÃ©, the plane disappeared of Rio de Janeiro radar. The crew was flying VFR in poor weather conditions and changed their route attempting to fly to the coast. The plane crashed in a wooded area, exploded and burned."</t>
  </si>
  <si>
    <t>04/10/2006,10:00,"Marsabit, Kenya",Military - Kenya Air Force,,Nairobi - Eastleigh AFB,Harbin Yunshuji Y-12-II,132,0098,17,13,4,14,12,2,0,While on approach the airplane flew into the side of Mount Marsabit which was obscured by clouds.</t>
  </si>
  <si>
    <t>04/23/2006,04:55,"KoussÃ©ri, Cameroon",Military - Lybian Arab Air Force,,Sebha - N'Djamena,Antonov 74TK-200,UR-74038,36547097933,6,0,6,6,0,6,0,"Upon arrival of the cargo flight, the crew indicated a technical problem to ATC and few minutes later the plane crashed in an open field located near N'Djamena,"</t>
  </si>
  <si>
    <t>04/24/2006,11:45,"Lashkar Gah, Afghanistan",U.S. Government (leased),,Kabul - Kandahar - Lashkar Gah,Antonov AN-32B,ZS-PDV,3003,16,12,4,2,0,2,3,A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</si>
  <si>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05/03/2006,02:15,"Off Adler, Russia",Armavia,967,"Yerevan, Armenia - Sochi, Russia",Airbus A320-211,EK-32009,547,113,105,8,113,105,8,0,"The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</si>
  <si>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05/14/2006,12:32,"La Ronge, Saskatchewan",Saskatchewan Government Northern Air Operations,,Training,Convair CV-580,C-GSKJ,202,3,0,3,1,0,1,0,"On a climbout after a touch-and-go landing, the aircraft veered to the left, lost altitude and crashed in a wooded area 1 nm northwest of the airport."</t>
  </si>
  <si>
    <t>05/23/2006,18:22,Off SÃ£o TomÃ© Island,Air SÃ£o TomÃ©,,Training,de Havilland Canada DHC-6 Twin Otter 300,S9-BAL,648,4,2,2,4,2,2,0,The aircraft disappeared from radar screens while on approach to SÃ£o TomÃ© Island. The aircraft crashed in sea a  few km off shore.</t>
  </si>
  <si>
    <t>06/03/2006,15:00,"Yaocun, China",Military - Chinese Air Force,,,KJ-2000,,,40,35,5,40,35,5,0,"Witnesses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</si>
  <si>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06/11/2006,18:30,"AbÃ©chÃ©, Chad",Military - Chadian Air Force,,N'djamena - AbÃ©chÃ©,Lockheed C-130 Hercules,TT-PAF,5141,7,0,7,5,0,5,0,"The military plane crashed into trees past the end of the runway as it tried to land at night at an unlit airport. Chadian rebels however, claim to have shot it down with a surface-to-air missile. The pilot and copilot survived."</t>
  </si>
  <si>
    <t>06/21/2006,12:03,"Jumla, Napal",Yeti Airlines,,Surkhet - Jumla,de Havilland Canada DHC-6 Twin Otter 300,9N-AEQ,708,9,6,3,9,6,3,0,The plane crashed into a mountain on the east side of the airport after the pilot executed a go-around. The accident happened 1 kilometer from the airport.</t>
  </si>
  <si>
    <t>07/07/2006,15:35,"Sake, Democratic Republic Congo",Mango Airlines,,Goma - Kisangani,Antonov AN-12B,9Q-CVT,3341506,5,2,3,5,2,3,0,The cargo plane had engine failure and struck a hill as it lost altitude.</t>
  </si>
  <si>
    <t>07/09/2006,07:44,"Irkutsk, Russia",Sibir (S7),S7-778,Moscow - Irkutsk,Airbus A-310-324ET,F-OGYP,442,203,195,8,125,120,5,0,"The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</si>
  <si>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07/10/2006,12:05,"Multan, Pakistan",Pakistan International Airlines,688,Multan - Lahore,Fokker F-27 Friendship 200,AP-BAL,10243,45,41,4,45,41,4,0,"The plane lost an engine during take off, struck power lines and crashed into a wheat field bursting into flames. Possible engine fire."</t>
  </si>
  <si>
    <t>07/27/2006,,Afghanistan,Afghan Army,,Khost to Kabul,Mil Mi-8,,,17,14,3,17,14,3,0,Crashed while en route</t>
  </si>
  <si>
    <t>08/03/2006,,"Bukavu, Democratic Republic Congo",Tracep,,Lugushwa - Bukavu,Antonov AN-28,9Q-COM,1AJ008-21,17,14,3,17,14,3,0,The aircraft was flying in low cloud and poor weather conditions as it approached the airport at Bukavu when it clipped a mountainside and plunged into the forest in flames 9 miles short of the runway.</t>
  </si>
  <si>
    <t>08/04/2006,09:30,"Near Pownal, Vermont",AirNow,59,"Binghamton, NY - Benningham, VT",Embraer 110 Bandeirante,N59BA,110-396,1,0,1,1,0,1,0,"The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</si>
  <si>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08/13/2006,20:15,"Near Piacenza, Italy",Air Algerie,2208,Algiers - Frankfurt,Lockheed L-100-30 Hercules,7T-VHG,4880,3,0,3,3,0,3,0,The cargo plane crashed after reporting engine problems while en route .</t>
  </si>
  <si>
    <t>08/22/2006,15:30,"Near Donetsk, Ukraine",Pulkovo Airlines,SP-612,Anapa - St. Petersburg,Tupolev Tu-154M,RA-85185,894,170,160,10,170,160,10,0,"The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</si>
  <si>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08/27/2006,06:07,"Lexington, Kentucky",Comair,5191,Lexington - Atlanta,Canadair CRJ-200ER,N431CA,7472,50,47,3,49,47,2,0,"The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</si>
  <si>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09/01/2006,13:45,"Mahad, Iran",Iran Air Tours,,Bandar Abbas - Mashad,Tupolev Tu-154M,EP-MCF,88A788,148,137,11,29,29,0,0,The plane crashed while attempting to land. The plane's left wing may have come into contact with the ground causing the plane to skid off the runway and catch fire.</t>
  </si>
  <si>
    <t>09/02/2006,16:30,"Near Kandahar, Afghanistan",Military - Royal Air Force,,,British Aerospace Nimrod MR-2,XV-230,8005,14,12,2,14,12,2,0,The NATO supporting aircraft crashed 12 miles west of Kandahar after the crew reported technical problems. The accident was most likely caused by an ignited fuel leak.</t>
  </si>
  <si>
    <t>09/11/2006,17:30,"Vladikavkaz, Russia",Military - Russian Army,,Gizel - Khankala,Mi-8 helicopter,,,15,12,3,12,12,0,0,"Eleven high ranking officers were killed when the helicopter crashed to the ground, split in two and caught fire. A North Ossetian militant group called Kataib al-Khoul claimed responsibility for shooting down the helicopter."</t>
  </si>
  <si>
    <t>09/17/2006,10:15,"Vandeikya, Nigeria",Military - Nigerian Air Force,,Abuja - Obudu,Dornier 228,NAF033,8229,18,15,3,13,11,2,0,"The military plane crashed en route less than 20 minutes from the end of a one-hour flight, 18 nm from its destination. Ten top ranking military officials were killed in the crash. The weather was poor at the time of the accident."</t>
  </si>
  <si>
    <t>09/29/2006,15:59,"Near Sao Felix do Araguaia , Brazil",Gol Airlines / Private,1907,Manaus - Brasilia,Boeing B-737-8EH /EMB-135JB,PR-GTD / N600XL,34653/2039 /14500965,161,153,8,154,148,6,0,"The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</si>
  <si>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10/10/2006,07:35,"Stord, Norway",Atlantic Airways,670,Stavanger - Stord,BAe 146-200,OY-CRG,2075/75,16,12,4,4,3,1,0,"While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</si>
  <si>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10/19/2006,07:30,"Tashkent, Russia",Military - Russian Air Force/Uzbekistan Airways,,Training/Aranchi,Antonov An-2,UK-70152,1G137-26Â ,15,13,2,15,13,2,0,"The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</si>
  <si>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10/29/2006,11:30,"Near Abuja, Nigeria",ADC Airlines,053,Lagos - Abuja - Sokoto,Boeing 737-2B7,5N-BFK,22891/998,105,100,5,96,92,4,0,The jetliner crashed into a corn field about a mile from the end of the runway while attempting to take off from Abuja. The pilot did not heed air traffic controllers' advice to not depart in stormy weather. The pilotsâ€™ incorrect actions stalled the plane.</t>
  </si>
  <si>
    <t>11/17/2006,08:07,"Puncak Jaya, Indonesia",Trigana Air Service,,Mulia - Ilaga,de Havilland Canada DHC-6 Twin Otter 300,PK-YPY,535,12,9,3,12,9,3,0,The aircraft struck a mountain seven minutes before it was scheduled to land in the remote Indonesian province of Papua.</t>
  </si>
  <si>
    <t>11/18/2006,21:00,"Near Leticia, Colombia",Aerosucre Colombia,,Bogota - Leticia,Boeing 727-23F,HK-3667X,19430/366,5,2,3,5,2,3,0,The cargo plane was on final approach when it hit a antenna tower and crashed. Fog and poor visibility prevailed at the time of the accident.</t>
  </si>
  <si>
    <t>11/27/2006,07:20,"Tehran, Iran",Military - Iranian Revolutionary Guard Corps Air Force,,Tehran - Shiraz,Antonov 74T-200,15-2255,470991045/2010,38,32,6,38,32,6,0,"The aircraft crashed after losing the right engine during a critical point in the takeoff. The plane stalled, veered to the right and crashed in flames. Three survivors later died in the hospital."</t>
  </si>
  <si>
    <t>12/10/2006,02:00,"Cajon Pass, California",Air ambulance - Mercy Air Services,,Loma Linda - Victorville,Bell 412,N410MA,33125,3,0,3,3,0,3,0,"The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</si>
  <si>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01/01/2007,14:07,"Off Parepare, Indonesia",Adam Air,574,"Surabaya, East Java - Manado, Indonesia",Boeing B-737-4Q8,PK-KKW,24070,102,96,6,102,96,6,0,"While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</si>
  <si>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01/09/2007,,"Near Balad Air Base, Iraq",Moldovan Aeriantur-M Air Cargo,,"Adana, Turkey - Balad Air Base, Iraq",Antonov 26B-100,ER-26068,11308,35,30,5,34,29,5,0,"The cargo plane crashed in fog while attempting to land for a second time at Balad Air Base. After the first attempt to land was aborted, the plane crashed 2.5km short of the runway.The plane was carrying Turkish construction workers."</t>
  </si>
  <si>
    <t>01/20/2007,,"Near Baghdad, Iraq",Military - US Army,,,Sikorsky UH-60L Black Hawk,,,12,10,4,12,10,4,0,The helicopter crashed northeast of Baghdad. Shot down by a combination of several heavy machine guns and a shoulder-fired missile</t>
  </si>
  <si>
    <t>01/25/2007,11:15,"Pau, France",Regional Compagnie Aerienne Europeenne,7775,Pau - Paris,Fokker 100,F-GMPGÂ ,11362,54,50,4,0,0,0,1,"The crew abandoned their takeoff after the loss of an engine due to bird ingestion. The jet overshot the runway and collided with a truck, killing the driver. The landing gear sheared off and the plane came to rest in a field."</t>
  </si>
  <si>
    <t>03/07/2007,07:14,"Yogyakarta, Indonesia",Garuda Indonesia Airlines,200,Jakarta - Yogyakarta,Boeing B-737-497,PK-GZC,25664/2393,140,133,7,22,21,1,0,"While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</si>
  <si>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03/08/2007,15:00,"Princeville, Hawaii",Heli-USA Airways,,Sightseeing,Aerospatiale AS350BA Rotocraft,N354NT,1168,7,6,1,4,3,1,0,"The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</si>
  <si>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03/11/2007,23:20,"Hanea, Kauai, Hawaii",Inter-Island,,,Mc Donnell Douglas 369FF Rotocraft,N911VC,0049FF,5,4,1,1,1,0,0,"The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</si>
  <si>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03/14/2007,,"Fazenda Nossa Senhora de Lourdes, Brazil",Bahia Taxi AÃ©reo 	 Bahia Taxi AÃ©reo 	 Bahia Taxi AÃ©reo,,Petrolina - Salvador,Rockwell 500S Shrike Commander,PP-SEC,3094	3094,4,2,2,4,2,2,0,"Fifteen minutes before arriving at its destination  the crew informed ATC about a technical problem and that they were losing altitude. Few minutes  later, the twin engine plane crashed into an open field."</t>
  </si>
  <si>
    <t>03/17/2007,11:40,"Samara, Russia",UTAir Airlines,UT-471,Surgut - Samara,Tuolev 134AK,RA-65021,48390,57,50,7,6,6,0,0,"While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</si>
  <si>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03/23/2007,17:00,"Mogadishu, Somalia",Transaviaexport Airlines,,Mogadishu - Djibouti,Ilushin Il-76TD,EW-78849Â ,1013405192,11,5,6,11,5,6,0,"The cargo plane, carrying African peacekeepers, was struck by an anti-aircraft missile shortly after taking off from Mogadishu Airport. The aircraft lost a wing into the Indian Ocean and shortly thereafter crashed in the eastern outskirts of Mogadishu."</t>
  </si>
  <si>
    <t>04/25/2007,14:05,"Near Kopinang, Guyana",Air Services,,Kato - Kopinang,Pilatus Britten Norman BN-2A-27 Islander,8R-GET,484,5,4,1,3,2,1,0,The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</si>
  <si>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04/27/2007,11:34,"Shatoi, Chechnya",Military - Russian,,,Mi 8,,,18,15,3,18,15,3,0,The helicopter was carrying out a missiion with two other aircraft when a rotor blade struck an object while attempting to land. Conflicting reports say the helicopter may have been shot down by Chechnyan rebels.</t>
  </si>
  <si>
    <t>05/05/2007,00:08,"Near Dizangue, Cameroon",Kenya Airways,507,"Abidjan, Ivory Coast - Douala, Cameroon - Nairobi, Kenya",Boeing B-737-8AL,5Y-KYA,35071/2079,114,105,9,114,105,9,0,"The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</si>
  <si>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05/06/2007,09:10,"Near El-Thamad, Egypt",Military - French Air Force,,El-Gora - Santa Katarina,de Havilland Canada DHC-6 Twin Otter,742/CB,742,9,5,4,9,5,4,0,"Collided with a truck while attempting to make an emergency landing on a road. French soldiers aboard were with  the Sinai's peacekeeping force, the Multinational Force &amp; Observers."</t>
  </si>
  <si>
    <t>05/17/2007,11:00,"Walikale Airstrip, Congo",Safe Air Complany,,Walikale - Goma,Let 410UVP,TN-AHE,851335,3,1,2,3,1,2,0,An engine on the cargo plane caught fire shortly after taking off. An emergency return attempt to the airstrip was unsuccessful and the plane crashed into a nearby forest.</t>
  </si>
  <si>
    <t>05/24/2007,17:45,"Near Pampa Hermosa, Peru",Military - Peruvian Air Force,,Iquitos - Pucallpa,de Havilland Canada DHC-6 Twin Otter 300,FAP-303,483,20,17,3,13,10,3,0,Crashed into dense jungle shortly after taking off from Pampa Hermosa. The plane hit a hill and split in two.</t>
  </si>
  <si>
    <t>06/03/2007,20:30,"Freetown, Sierra Leone",Paramount Airlilnes,,Shuttle,Mi-8,,,22,20,2,21,20,1,0,The helicopter crashed and burned on the airport runway while attempting to land. It was shuttling passengers between Sierra Leone's coastal capital of Freetown and Lungi Airport.</t>
  </si>
  <si>
    <t>06/04/2007,16:04,"Near Milwaukee, Wisconson",University of Michigan Health System,,"Milwaukee, WI - Detroit, MI",Cessna 550 Citation II,N550BP,550-0246,6,4,2,6,4,2,0,"The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</si>
  <si>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06/13/2007,,"Selenge province, Mongolia",Mongolian Defense Ministry,,,Mi-8,,,22,19,3,15,12,3,0,"While en route to a forest fire, the helicopter crashed into dense forest on a mountain at an altitude of 6,100 feet."</t>
  </si>
  <si>
    <t>06/21/2007,,"Near Kamina, Congo",Karibu Airways,,Kamina - Lubumbashi,Let 410UVP,9Q-CEU,841217,25,22,3,1,1,0,0,The plane crashed shortly after taking off into a swamp coming to rest upside down. A parliment member of the Democratic Republic of Congo was killed.</t>
  </si>
  <si>
    <t>06/25/2007,10:40,"Near Sihanoukville, Cambodia",PMT Air,241,Siem Reap - Sihanoukville,Antonov AN-24V,XU-U4A,99901908,22,16,6,22,16,6,0,"The aircraft crashed into Phnom Damrey Mountain at an elevation of 1,640 feet, about 5 minutes from its destination of Sihanoukville."</t>
  </si>
  <si>
    <t>06/28/2007,13:40,"M'Banza Congo, Angola",TAAG Angola Airlines,,Luanda - M'Banza,Boeing 737-2M2,D2-TBP,23220/1084,78,69,9,5,4,1,0,"The crew undershot the runway and blew two tires on landing, causing the landing gear to collapse and one wing to dip and touch the runway. The plane then veered out of control, overran the runway and crashed into cars and a building."</t>
  </si>
  <si>
    <t>07/05/2007,09:30,"Culiacan, Mexico",Jett Paqueteria SA,,,North American CT-39A Sabreline,XA-TFL,265-48,3,0,3,3,0,3,6,"The small cargo jet blew a tire and failed to take off, barreling onto the CuliacÃ¡n-Navolato highway and crashing into cars, coming to a stop after hitting a building."</t>
  </si>
  <si>
    <t>07/08/2007,13:00,"Muncho Lake, British Columbia, Canada",Liard Air,,Muncho Lake - Vancouver,de Havilland DHC-6 Twim Otter 100,C-FAWC,108,5,3,2,1,1,0,0,The twin engine plane crashed shortly after taking off from a gravel airstrip at Muncho Lake. One passenger was killed.</t>
  </si>
  <si>
    <t>07/17/2007,18:52,"Sao Paulo, Brazil",TAM (Brazil),3054,Porto Alegre - Sao Paulo,Airbus A-320-233,PR-MBK,789,187,181,6,187,181,6,12,"The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</si>
  <si>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07/23/2007,13:00,"Near Shinile, Ethiopia",Djibouti Airlines,,Dire Dawa - Djibouti,Antonov AN-26V,EX-030,7306103,9,3,6,1,1,0,0,The cargo plane crashed shortly after taking off after an engine failed. The pilot was trying to return for an emergency landing.</t>
  </si>
  <si>
    <t>07/24/2007,14:05,"Rudyerd Bay, Alaska",Taquan Air Service,,Sightseeing,de Havilland DHC-2 MK.1 Beaver,N995WA,1100,5,4,1,5,4,1,0,"The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</si>
  <si>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07/29/2007,04:17,"Moscow, Russia",Atran,9655,Sightseeing,Antonov AN-12BP,RA-93912,4341709,9,0,9,9,0,9,0,"The cargo plane, carrying 9 tons of cargo, crashed 4 km from the runway as it was attempting to take off from Domodedovo airport. The aircraft slammed into a field shattering debris over a wide area."</t>
  </si>
  <si>
    <t>08/09/2007,12:00,"Off Moorea, French Polynesia",Air Moorea,1121,Moorea - Papeete,de Havilland Canada DHC-6 Twin Otter 300,F-OIQ,608,20,19,1,20,19,1,0,Soon after taking off the plane began loosing altitude and veered to the right until it crashed into the sea 1 mile beyond the runway. Loss of pitch control of the aircraft following a break in an elevator cable.</t>
  </si>
  <si>
    <t>08/16/2007,23:16,"Near Ketchikan, Alaska",SeaWind Aviation,,Sightseeing,de Havilland Canada DHC-2 Beaver,N345KA,1306,10,9,1,6,6,0,0,"The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</si>
  <si>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08/20/2007,10:33,"Okinawa, Japan",China Airlines,120,Taipei - Naha,Boeing 737-809,B-18616,30175/1182,165,157,8,0,0,0,0,"After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</si>
  <si>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08/22/2007,00:36,"Near Curitiba, Brazil",Two Taxi Aero,,Curitiba - Jundiai,Embraer EMB-110P1 Bandeirant,PT-SDB,110323,2,0,2,2,0,2,0,Crashed shortly after taking off from Curitiba</t>
  </si>
  <si>
    <t>08/22/2007,,"Near Kirkuk, Iraq",Military - U.S. Army,,Transporting troops,UH-60 Blackhawk helilcopter,,,14,12,2,14,12,2,0,Crashed most likely due to a mechanical problem while traveling with a second helicopter.</t>
  </si>
  <si>
    <t>08/26/2007,16:00,"Kongolo, Democratic Republic Congo",Great Lakes Business Complany,,Kongolo - Goma,Antonov AN-32,9Q-CAC,14-07,15,12,3,14,11,3,0,"The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</si>
  <si>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09/07/2007,,"Goma, Democratic Republic Congo",Galaxy Kavatsi Airlines,,Kisangi - Goma - Bukavu,Antonov AN-12BP,4L-SAS,3341108,8,6,2,8,6,2,0,"The cargo plane, carrying palm oil, overshot the runway, crashed into a petrified lava flow and caught fire."</t>
  </si>
  <si>
    <t>09/16/2007,15:35,"Phuket, Thailand",One-Two-Go Airlines,269,Bangkok - Phuket,McDonnell Douglas MD-82,HS-OMG,49183/1129,130,123,7,90,85,5,0,"While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</si>
  <si>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09/24/2007,13:00,"Malemba Nkulu, DR Congo",Karibu Airways,,Lubumbashi - Malemba Nkulu,Let 410,9Q-CVL, 81 06 17,6,5,1,1,0,1,0,Crashed while attempting to land and came to rest in a cemetery.</t>
  </si>
  <si>
    <t>10/04/2007,10:40,"Kinshasa, DR Congo",Africa One Congo,,Kinshasa - Tshikapa,Antonov AN-26,9Q-COS,47302001,22,17,5,21,17,4,30,While attempting to take off the No. 2 engine failed. The cargo plane crashed into a Congolese neighborhood and caught fire about three miles from the airport. The plane's mechanic was the only survivor aboard the plane.</t>
  </si>
  <si>
    <t>10/08/2007,15:30,"Near Cubarral, Colombia",Nacional de Aviacion,,Villavicencio - Uribe,Let 410 UVP-E10A,HK-4055,902521,17,15,2,17,15,2,0,Disappeared while en route.</t>
  </si>
  <si>
    <t>11/08/2007,08:00,"Khartoum, Sudan",Juba Air Cargo,,Khartoum - Juba,Antonov 12,ST-JUA,3341110,4,0,4,0,0,0,2,"While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</si>
  <si>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11/30/2007,01:36,"Near Isparta, Turkey",Atlasjet Airlines,4203,Istanbul - Isparta,McDonnell Douglas MD-83,TC-AKM,53185/2090,57,50,7,57,50,7,0,"While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</si>
  <si>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12/03/2007,17:18,"Off Whittier, Alaska","Evergreen Alaska Helicopters, Inc.",,Cordova - Ancorage,Eurocopter Deutschland BK117C1,N141LG,,4,3,1,4,3,1,0,"Crashed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</si>
  <si>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12/05/2007,06:48,"Columbus, Ohio",Castle Aviation,,"Columbus, OH - Buffalo, NY",Cessna 208B Caravan I Super Cargomaster,N28MG,208B-0732,2,1,1,2,1,1,0,"The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</si>
  <si>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01/04/2008,09:48,"Los Roques, Venezuela",Transaven,,Los Rogues - Carac,Let 410 UVP-E3,YV2081,872051,18,16,2,18,16,2,0,The commuter airliner crashed into the sea while en route after the pilot reported engine problems.</t>
  </si>
  <si>
    <t>01/12/2008,,"Blace, Macedonia",Military - Macedonian Air Force,,"Bosnia - Skopje, Macedonia",Mi-17 Helicopter,VAM-304,223M98,11,10,1,11,10,1,0,The helicopter crashed 15 miles southeast of Skopje in heavy fog while attempting to land. The aircraft was returning from European Union-led peacekeeping operations in Bosnia.</t>
  </si>
  <si>
    <t>01/17/2008,12:43,"London, England",British Airways,38,"Bejing, China - London, England",Boeing 777-236ER,G-YMMM,30314/342,152,136,16,0,0,0,0,"The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</si>
  <si>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 xml:space="preserve">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</si>
  <si>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01/23/2008,19:00,"Miroslawiec, Poland",Military - Polish Air Force,,Warsaw - Miroslawiec,CASA C-295M,019,S-043,20,16,4,20,16,4,0,"While attempting to land, the plane fell to the ground from about 500-650 feet and crashed into a wooded area, 2 miles from the airport."</t>
  </si>
  <si>
    <t>01/26/2008,09:35,"Near Malinau, Indonesia",Dirgantara Air Service,,Tarakan - Long Apung,CASA NC-212-200,PK-VSEÂ ,92N/412,3,0,3,3,0,3,0,The cargo plane crashed while en route.</t>
  </si>
  <si>
    <t>02/21/2008,17:00,"Merida, Venezuela",Santa Barbara Airlines,518,Merida - Caracas,ATR-42-300,YV-1449,028,46,43,3,46,43,3,0,"Struck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</si>
  <si>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02/26/2008,16:16,"Off Macae , Rio de Janeiro , Argentina",BHS - Brazilian Helicopter Service Air Taxi,,Oil Rig P18 - Macae,Eurocopter  AS332L2 Super Puma,PP-MUM,2570,20,17,3,5,4,1,0,"Less than half minute after the taking-off from the Oil Rig P-18,  and while still in low altitude, a failure in the tail rotor caused loss of control of the aircraft by the crew. The helicopter crashed in the sea."</t>
  </si>
  <si>
    <t>03/03/2008,16:00,"Near Bethani, Nepal",United Nations Mission,,,Mi-17,,,10,7,3,10,7,3,0,"The helicopter, carrying United Nations personnel, crashed in hilly terrain, in poor weather conditions and burst into flames."</t>
  </si>
  <si>
    <t>04/03/2008,11:00,"Lawa, Suriname",Blue Wing Airlines,,Paramaribo - Lawa,Antonov An-28,PZ-TSO,1AJ007-17,19,17,2,19,17,2,0,While attempting to land the crew aborted the the approach and executed a go-around. Soon after the plane flew into a hillside.</t>
  </si>
  <si>
    <t>04/09/2008,23:27,"Bundeena, Australia",Avtex Air Services,,Sydney - Brisbane,Swearingen SA227AC Metroliner III,VH-OZA,AC-600,1,0,1,1,0,1,0,The pilot of the mail plane reported some minor problems before the aircraft disapppeared off radar.</t>
  </si>
  <si>
    <t>04/11/2008,22:15,"Chrisinau, Moldova",Kata Transportation,,"Chrisinau, Moldova - Antalya, Turkey - Sudan",Antonov An-32,ST-AZL,3009,8,0,8,8,0,8,0,"Just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</si>
  <si>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04/15/2008,14:30,"Goma, Congo",Hewa Bora Airways,,Goma - Kisangani - Kinshasa,McDonnell Douglas DC-9-51,9Q-CHN,47731,85,79,6,0,0,0,47,"While attempting to takeoff, the plane failed to reach takeoff speed, overran the runway, proceeded through a perimeter fence and cashed into a crowded market."</t>
  </si>
  <si>
    <t>04/16/2008,14:23,"Off Annobon Island, Equatorial Guinea",Military - Government of Equatorial Guinea,,Bata - Annobon Island,Antonov An-32B,3C-5GE,1609,13,8,5,13,8,5,0,Crashed into the ocean after skidding off the runway in high winds and heavy rain.</t>
  </si>
  <si>
    <t>04/28/2008,09:38,"Off Crimea, Black Sea",Naftogaz,,,Mil Mi-8T,UR-24275,98734295,20,18,2,20,18,2,0,The helicopter crashed after the tail section hit the tower of the offshore drilling platform while it was attempting to land. The pilot was a trainee flying with an instructor. One survivor succumbed to his injuries soon after the crash.</t>
  </si>
  <si>
    <t>05/17/2008,16:30,"Stehekin, Washington",Chelan Air Service,,Chelan - Stehekin,de Havilland Canada DHC-2 Mark I Beaver,N5998Q,1151,5,4,1,2,2,0,0,The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</si>
  <si>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05/24/2008,09:30,"Two Harbors, Catalina Island, California",Island Express Helicopter Service,,Long Beach - Two Harbors,Eurocopter AS350D Astar,N67GE,1604,6,5,1,4,3,1,0,The tour helicopter crashed near Banning House lodge in rain and poor visibility. The engine appears to have failed. Loss of engine power during approach for landing due to a fatigue fracture of a power turbine blade.</t>
  </si>
  <si>
    <t>05/26/2008,18:15,"Near Chelyabinsk, Russia",Moskovia Airlines,GAI-9675,Chelyabinsk - Perm,Antonov An-12,RA-12957,8345508,9,0,9,9,0,9,0,"The crew of the cargo plane reported a fire shortly after taking off from Chelyabinsk. The plane crashed in a field while attempting to make an emergency landing, after striking a power transmission line."</t>
  </si>
  <si>
    <t>05/29/2008,14:13,"Panama City, Panama",Military - Servicio Aereo Nacional,,Tocumen - Colon,Bell UN-1N Huey,SAN-100,,12,9,3,11,9,2,0,"Chile's national police chief General Jose Alejandro Bernales, 59, and five others were killed when their helicopter crashed into a three story building. The helicopter pitched wildly before crashing into the building."</t>
  </si>
  <si>
    <t>05/30/2008,09:40,"Tegucigalpa, Honduras",TACA International Airlines,390,"San Salvador, El Salvador - Tegucigalpa, Honduras - Miami",Airbus A-320-233,EI-TAF,1374,136,131,5,3,2,1,2,"After making a missed approach and during the second attempt at landing at Toncontin Airport, the plane overran the runway, skidded across a street, struck cars and came to rest against an embankment. The runway was wet with rain from Tropical Storm Alma."</t>
  </si>
  <si>
    <t>06/08/2008,07:45,"Huntsville, Texas",PHI Air Medical,,Huntsville-Houston,Bell 407,N416PH,53276,4,1,3,4,1,3,0,"The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</si>
  <si>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06/10/2008,20:45,"Khartoum, Sudan",Sudan Airways,548,Aman - Damascus - Khartoum,Airbus A-310-324,ST-ATN,548,214,203,11,32,31,1,0,"While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</si>
  <si>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06/18/2008,10:03,"Hyannis, Massachusetts",Wiggins Airways,,Hyannis - Nantucket,de Havilland Canada DHC-6 Twin Otter 100,N656WA,47,1,0,1,1,0,1,0,"The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</si>
  <si>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06/20/2008,,"Bannang Sata, Thailand",Military - Thai Army,,,Bell UH-1N,,,10,8,2,10,8,2,0,The military helicopter developed a mechanical problem and crashed into a hill while attemping to land.</t>
  </si>
  <si>
    <t>06/26/2008,15:03,"Near Salak Mountain, Indonesia",Military - Indonesian Air Force,,Jakarta - aerial survelliance,CASA NC-212,A-2106,228/N68,18,13,5,18,13,5,0,The plane went missing in an area approximately 60 miles south of Jakarta while on a aerial surveillance mission.</t>
  </si>
  <si>
    <t>06/27/2008,07:05,"Near Malakal, Sudan",Juba Air Cargo,,Khartoum - Juba,Antonov 12BK,ST-ARN,8346010,8,6,2,7,5,2,0,The cargo plane crashed mid-flight after entering an area of thunderstorms. Triple engine failure.</t>
  </si>
  <si>
    <t>06/29/2008,15:48,"Flagstaff, Arizona",Air Methods / Classic Helicopters,,Medical flight,Bell 407 / Bell 407,N407GA / N407MJ,53104 / 53079,7,5,2,6,4,2,0,The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</si>
  <si>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06/30/2008,07:00,"Near Khartoum, Sudan",Ababeel Aviaition,,Khartoum - Juba,Ilysushin Il-76TD,ST-WTB,1003499994,4,0,4,4,0,4,0,"While taking off, the cargo plane hit an electricity pole, crashed into a field and burst into flames. All four crew members were killed."</t>
  </si>
  <si>
    <t>07/06/2008,02:15,"Saltillo, Mexico",USA Jet Airlines,199,"Hamilton, Ont, Can.- Shreveport, LA - Saltillo, Mexico",Douglas DC9-15F,N199US,47153/185,2,0,2,1,0,1,0,"While attempting to land, the cargo plane, loaded with auto parts, and experiencing engine trouble, crashed splitting into four pieces and scattering debris across an area of about 600 meters in diameter. The pilot was killed and the copilot seriously injured."</t>
  </si>
  <si>
    <t>07/07/2008,03:50,"Near Bogota, Colombia",Centurian Air Cargo,,"Bogota, Colombia - Miami, FL",Boeing B-747-209BSF,N714CK,22446/519,8,0,8,0,0,0,3,"The cargo plane carrying a load of flowers had taken off from Bogota when the crew radioed that they had an engine fire. They attempted to return to the airport, but crashed in a field and destroyed a farm house killing three people inside. Double engine failure."</t>
  </si>
  <si>
    <t>07/31/2008,09:53,"Owatonna, Minnesota",East Coast Jets,81,"Atlantic City, NJ- Owatonna,MN",British Aerospace BAe-125-800A,N818MV,258186,8,6,2,8,6,2,0,"While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</si>
  <si>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 xml:space="preserve"> fatigue, which likely impaired both pilots' performance and failure of the FAA to require crew resource management training and standard operating procedures for Part 135 operators."</t>
  </si>
  <si>
    <t>08/03/2008,07:00,"North Vancouver Island, British Colombia, Canada",Pacific Coastal Airlines,,"Port Hardy - Chamiss Bay, Vancouver Island",Grumman G-21A Goose,C-GPCD,B-76,7,6,1,5,4,1,0,"The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</si>
  <si>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08/05/2008,19:30,"Near Junction City, California",Junction City Fire Department,,Ferrying fire fighters,Sikorsky S-61N,N612AZ,61297,13,11,2,9,8,1,0,"The helicopter was ferrying fire fighters in Northern California's Shasta-Trinity National Forest when it crashed. The four survivors were seriously burned, with two listed in critical condition. The helicopter lost main rotor power during liftoff."</t>
  </si>
  <si>
    <t>08/06/2008,11:40,"Sunat Tanon, Thailand",Military - Royal Thai Air Force,,Betong - ?,Bell Huey UH-1H,,,10,8,2,10,8,2,0,The helicopter crashed while ferrying a forensic team to the site of a gun battle between Muslim rebels and security forces. The aircraft suffered engine failure and crashed into the side of a hill.</t>
  </si>
  <si>
    <t>08/13/2008,07:30,"K-50 Airport, Somalia",Fly 540,,Kenya - Somalia,Fokker F-27 Friendship 500,5Y-BVF,10627,3,0,3,3,0,3,0,While on approach in poor weather the cargo plane struck a telephone line and crashed. Extremely poor weather conditions.</t>
  </si>
  <si>
    <t>08/20/2008,14:45,"Madrid, Spain",Spanair,5022,"Madrid - Las Palmas, Canary Islands",McDonnell Douglas MD-82,EC-HFPÂ ,53148/2072,172,166,6,154,148,6,0,"The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</si>
  <si>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08/24/2008,20:30,"Bishkek, Kyrgyzstan",Itek Air,IRC6895,"Bishkek - Tehran, Iran",Boeing B-737-219,EX-009,22088/676,90,83,7,68,67,1,0,"The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</si>
  <si>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08/30/2008,21:50,"Near Toacaso, Ecuador",Conviasa,,Caracas - Latacunga,Boeing B-737-291,YV-102T,21545/525,3,0,3,3,0,3,0,The plane was on a positioning flight when it flew into the side of Iliniza Volcano.</t>
  </si>
  <si>
    <t>09/01/2008,12:10,"Columbus, Ohio",Air Tahoma,,Colombus - Mansfield,Convair CV-580,N587X,361,3,0,3,3,0,3,0,"Soon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</si>
  <si>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09/03/2008,20:20,"Off Dubai, United Arab Emirates",Aerogulf,,,Bell 212,A6-AVL,,7,5,2,7,5,2,0,"While attempting to take off, the helicopter struck a crane, crashed on to the deck of the Maersk Resilient oil drilling rig, broke up and fell into the sea 43 miles off Duabi."</t>
  </si>
  <si>
    <t>09/14/2008,03:15,"Perm, Russia",Aeroflot,SU821,Moscow - Perm,Boeing B-737-505,VP-BKO,25792/2353,88,82,6,88,82,6,0,"The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</si>
  <si>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09/19/2008,23:53,"Columbia, South Carolina",Global Executive Aviation,,"Colombia, SC - Los Angeles, CA",Learjet 60,N999LJ,314,6,4,2,4,2,2,0,"The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</si>
  <si>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09/27/2008,03:57,"Camp Springs, Maryland",Maryland State Police,,Medical evacuation flight,Aerospatiale SA365N-1 Dauphin II,N92MD,6311,5,4,1,4,3,1,0,The medical helicopter carrying victims of a traffic accident crashed in fog at Walker Mill Regional Park. The pilot radioed for help prior to the accident.</t>
  </si>
  <si>
    <t>10/08/2008,07:31,"Lukla, Nepal",Yeti Airlines,,Katmandu - Lukla,de Havilland Canada DHC-6 Twin Otter 300,9N-AFEÂ ,720,19,16,3,18,16,2,0,"As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</si>
  <si>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10/15/2008,23:58,"Aurora, Illinois",Air Angles Inc.,,Sandwich - Chicago,Bell 222,N992AA,47062,4,1,3,4,1,3,0,"The helicopter clipped a radio tower wire, crashed and burned killing all aboard."</t>
  </si>
  <si>
    <t>11/13/2008,11:35,"Fallujah, Iraq",Falcon Aviation Group,,al-Asad air base - Baghdad,Antonov An-12,S9-SAO,346908,7,0,7,7,0,7,0,"The cargo plane, chartered by FedEx, crashed west of Baghdad, shortly after taking off from al Asad air base and after the crew reported a malfunction with the plane."</t>
  </si>
  <si>
    <t>11/16/2008,10:32,"Thormanby Island, British Columbia, Canada",Pacific Coastal Airlines,,Vancouver - Powell River - Toba Inlet,Grumman G-21A Goose,C-FPCK,1187,8,7,1,7,6,1,0,The charter aircraft crashed into a steep hillside on south Thormanby Island 19 minutes after taking off and exploded into flames. Controlled flight into terrain caused by poor weather conditions and the decision by the pilot to fly in such conditions.</t>
  </si>
  <si>
    <t>11/27/2008,17:00,"Off Perpignan, France",XL Airways leased from Air New Zealand,,Training,Airbus A320-232,D-AXLA,2500,7,0,7,7,0,7,0,"The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</si>
  <si>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12/03/2008,12:13,"San Juan, Puerto Rico",Webstas Aviation Services Inc.,,"Tortola Virgin Islands - San Juan, PR",Rockwell International 690B,N318WAÂ ,11444,3,2,1,3,2,1,0,"The plane struck the side of El Yunque mountain 2,310 feet, east of San Juan in heavy fog."</t>
  </si>
  <si>
    <t>12/11/2008,06:25,"Off Sabine Pass, Texas",Rotorcraft Leasing Co,,Sabine Pass - Oil Platform,Bell 206-L4 Jet Ranger III,N180AL,52104,3,3,2,3,3,2,0,"The helicopter ferrying workers to an off shore drilling platform crashed into the Gulf, 8 miles from Sabine Pass."</t>
  </si>
  <si>
    <t>12/15/2008,16:40,Off Turks and Caicos Islands,Alantis Aviation,,"Santiago, Dominican Republic - Providenciales",Britten Norman BN-2A Trislander Mk3,N650LP,1029,12,11,1,12,11,1,0,The charter flight disappeared from radar 35 minutes into the flight and after the pilot radioed a mayday call. Probably crashed into the ocean. Never found.</t>
  </si>
  <si>
    <t>01/01/2009,04:37,"Lubock, Texas",Empire Airlines leased from FedEx,8284,Fort Worth - Lubbock,ATR-42-320,N902FX,175,2,0,2,2,0,2,0,"Crashed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</si>
  <si>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01/04/2009,15:30,Near Houma Louisiana,Petroleum Helicopters Inc,,Bayou Penchant - Off shore oil fields,Sikorsky S-76C++,N748P,760629,9,7,2,8,6,2,0,"A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</si>
  <si>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01/15/2009,,"Adraskan district, Afghanistan",Afghan Army,,,Mil Mi-17,,,13,NULL,NULL,13,NULL,NULL,0,Either shot down or crashed due to bad weather.</t>
  </si>
  <si>
    <t>01/15/2009,15:06,"New York, New York",US Airways,1549,"New York, NY- Charlotte, NC",Airbus A320-214,N106US,1044,155,150,5,0,0,0,0,"The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</si>
  <si>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02/07/2009,14:00,"Manacapuru, Brazil",Aerotaxi Manaus,,Coari - Manus,Bandeirante EMB-110P1,PT-SEA,110352,28,26,2,24,22,2,0,"The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</si>
  <si>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02/12/2009,22:17,"Clarence Center, New York",Continental Connection/Colgan Air,3407,"Newark, N.J. - Buffalo, NY",Bombardier DHC-8-402 Q400,N200WQ,4200,49,44,5,49,44,5,1,"The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</si>
  <si>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02/15/2009,19:15,"Chanco, Chile",Flight Service,,,Bell UH-1H,CC-CBW,,13,12,1,13,12,1,0,The helicopter was carrying firemen to a nearby forest fire when it crashed into a fog shrouded mountain killing all aboard.</t>
  </si>
  <si>
    <t>02/20/2009,04:10,"Luxor, Egypt",Aerolift,,"Entebbe, Uganda - Luxor, Egypt - Niklaev, Ukraine",Antonov 12V,S9-SVN,6344310,5,0,5,5,0,5,0,"While attemping to take off from Luxor, the cargo plane slammed to the ground, slid down the runway and caught fire."</t>
  </si>
  <si>
    <t>02/25/2009,10:31,"Amsterdam, Netherlands",Turkish Airlines,1951,"Istanbul, Turkey - Amsterdam, Netherlands",  Boeing 737-8F2,TC-JGE,29789/1065,134,127,7,9,6,3,0,The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</si>
  <si>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03/09/2009,05:40,"Lake Victoria, Uganda",Aerolift,,"Entebbe, Uganda - Mogadishu, Somalia",Ilyushin Il-76T,S9-SAB,073410301,11,7,4,11,7,4,0,"The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</si>
  <si>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03/12/2009,09:48,"Off St. Johns, Newfoundland",Cougar Helicopters,,St. Johns - Hibernia platform,Sikorsky S-92A,C-GZCH,920048,18,16,2,17,15,2,0,The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</si>
  <si>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03/22/2009,14:28,"Butte, Montana",Eagle Cap Leasing,,"Oroville, CA - Butte, MT",Pilatus PC-12/45,N128CM,403,14,13,1,14,13,1,0,"The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</si>
  <si>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03/23/2009,06:48,"Tokyo, Japan",FedEx,80,"Guangzhou, China - Tokyo, Japan",McDonnell Douglas MD-11,N526FE,48600/560,2,0,2,2,0,2,0,"The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</si>
  <si>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04/01/2009,14:00,"Off Crimond, Scotland",Bond Offshore Helicopters,,Miller field - Aberdeen,Eurocopter AS 332L2 Super Puma 2,G-REDL,,16,14,2,16,14,2,0,The helicopter crashed 35 miles East of Crimond in the North Sea while transporting oil workers. A mayday was received prior to the crash. Catastrophic failure of the main rotor gearbox.</t>
  </si>
  <si>
    <t>04/06/2009,12:30,"Bandung, Indonesia",Military - Indonesian Air Force,,Militiary training,Fokker F-27 Friendship 400M,A-2703,10538,24,18,6,24,18,6,0,"While returning from a military training exercise, and attempting to land, the aircraft struck a hanger and burst into flames."</t>
  </si>
  <si>
    <t>04/09/2009,07:00,"Near Wamena, Indonesia",Aviastar Mandiri,,Jayapura - Wamena,British Aerospace BAe-146-300,PK-BRD,E3189,6,0,6,6,0,6,0,"The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</si>
  <si>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04/29/2009,06:00,"Massamba, Democratic Republic of Congo",Bako Air,,"Bangui, CAR- Brazzaville, Congo - Harare, Zimbabwe",Boeing B-737-200,TL-ADMÂ ,22264/753,7,5,2,7,5,2,0,Crashed while en route on a ferrying flight. The plane had not been flown for a year.</t>
  </si>
  <si>
    <t>05/03/2009,12:00,"Near El Alto de Rubio, Venezuela",Military - Venezuelan Army,,Patrol,Mi-35,EV08114Â ,,18,16,2,18,16,2,0,The helicopter was patrolling along the Venezuelan / Colombian border when radar contact was lost.</t>
  </si>
  <si>
    <t>05/20/2009,06:30,"Near Madiun, Indonesia",Military - Indonesian Air Force,,Jakarta - Maduin,Lockheed C-130 Hercules,A-1325,1982,112,98,14,112,98,14,2,"While on approach, the military transport crashed into 4 houses, skidded into a rice field and burst into flames."</t>
  </si>
  <si>
    <t>05/26/2009,,"Near Isiro, Democratic Republic Congo",Service Air,,Goma - Isiro,Antonov An-26,9Q-CSA,5005,4,0,4,4,0,3,NULL,The cargo plane crashed while on approach to Isiro-Matari Airport.</t>
  </si>
  <si>
    <t>06/01/2009,00:15,"Atlantic Ocean, 570 miles northeast of Natal, Brazil",Air France,447,Rio de Janeiro - Paris,Airbus A330-203,F-GZCP,660,228,216,12,228,216,12,0,"The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</si>
  <si>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06/07/2009,08:30,"Near Port Hope Simpson, Newfoundland, Canada",Strait Air,,Lourdes de Blanc Sablon - Port Hope Simpson,Britten-Norman BN-2A-27 Islander,C-FJJRÂ ,424,1,0,1,1,0,1,0,The air ambulance crashed into hills while attempting to land in heavy fog about 4 miles from the airport.</t>
  </si>
  <si>
    <t>06/08/2009,,"State of Arunachal Pradesh, India",Military - Indian Air Force,,Mechuka - Jorhat,Antonov An-32,,,13,6,7,13,6,7,0,The military transport went missing while en route and might have crashed due to heavy rain in the mountainous region.</t>
  </si>
  <si>
    <t>06/29/2009,16:01,"Near Wamena, Indonesia",Aviastar Mandiri,,"Dekari - Wamena, Indonesia",de Havilland Canada DHC-6 Twin Otter 300,PK-BRO,756,3,0,3,3,0,3,0,"While en route and nearing it's destination, the cargo plane crashed into a 9,600 ft. mountain in the Tangma district."</t>
  </si>
  <si>
    <t>06/30/2009,01:51,"Off Mitsamiouli, Comoros",Yemenia Airway,626,"Sana'a, Yemen - Moroni, Comoros",Airbus A310-324,7O-ADJ,535,153,142,11,152,141,11,0,"The plane crashed into the Indian Ocean, 10 miles off the coast,while attempting a second approach to Hahaya Airport in Moroni. A 12 year old girl survived the accident. Crew error. The accident was due to inappropriate action by the crew during a non-stabilizing maneuver."</t>
  </si>
  <si>
    <t>07/03/2009,,"Near,  Peshawar ,  Pakistan",Military - Pakistan Army,,,Mil Mi-17,,,26,24,2,26,24,2,0,The military helicopter crashed en route while transporting troops.</t>
  </si>
  <si>
    <t>07/15/2009,11:33,"Near Qazvin, Iran",Caspian Airlines,RV-7908,"Tehran, Iran - Yerevan, Armenia",Tupolev 154M,EP-CPG,87A-748,168,153,15,168,153,15,0,"The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</si>
  <si>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07/19/2009,11:50,"Kandahar Airport, Afghanistan",Vertical-T Air,,,Mil Mi-8,,,21,NULL,NULL,16,NULL,NULL,0,A civilian contractor's helicopter crashed while attempting to take off.</t>
  </si>
  <si>
    <t>07/24/2009,18:20,"Mashad, Iran",Aria Airlines,1525,Tehran - Mashad,Ilyushin Il-62M,UP-16208,1591525/257,153,138,15,16,3,13,0,"While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</si>
  <si>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08/02/2009,10:25,"Ampisibil Village, Indonesia",Merpati Nusantara Airlines,9760D,Jayapura - Oksibil,de Havilland Canada DHC-6 Twin Otter 300,PK-NVC,626,16,13,3,16,13,3,0,"Contact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</si>
  <si>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08/04/2009,14:30,"Koh Samui, Thailand",Bangkok Airlines,226,Karabi - Koh Samui,ATR-72-212A,HS-PGL,670,72,68,4,1,0,1,0,"The plane skidded off the runway and collided with an unused control tower, killing the pilot."</t>
  </si>
  <si>
    <t>08/08/2009,12:00,"New York, New York",Liberty Helicopter Sightseeing Tours / Private,,"Sightseeing / Teteboro - Ocean City, NJ",Eurocopter AS-350BA / Piper PA-32R-300,N401lH / N71MC,3059 / 32R-7680172,9,7,2,9,7,2,0,Midair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</si>
  <si>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08/11/2009,11:14,"Near Port Moresby, Papua New Guinea", Airlines  PNG,4684,Port Moreby - Kokoda,de Havilland Canada DHC-6 Twin Otter 300,P2-MCB,441,13,11,2,13,11,2,0,"The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</si>
  <si>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08/26/2009,05:00,"Nganga Lingolo, Congo",Aero Fret Business,,Pointe Noire - Brazzaville,Antonov An-12BK,TN-AIA,6344607,7,2,5,7,2,5,0,"The cargo plane crashed 7 miles SE of Brazzaville into a cemetery, short of the runway, while on approach to land. Reports indicate the rear of the plane had been on fire and the aircraft broke up before it hit the ground."</t>
  </si>
  <si>
    <t>09/08/2009,10:30,"Ugamsk Gorge, South Kazakistan",Military - Kazakhstan border guard service,,Patrol,Mil Mi-8,,,13,NULL,NULL,10,NULL,NULL,0,The helicopter crashed while while pursuing suspected gunmen near the Uzbek border.</t>
  </si>
  <si>
    <t>09/24/2009,08:00,"Merebank, South Africa",SA Airlink,8911,"Durban - Pietemaritburg, South Africa",British Aerospace Jetstream 41,ZS-NRM,41069,3,0,3,1,0,1,0,"The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</si>
  <si>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09/25/2009,23:30,"Georgetown, South Carolina",Omniflight Helicopters Inc.,,Charleston - Conway,Eurocopter AS350-B2,N417AE,9032,3,2,1,3,2,1,0,"The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</si>
  <si>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10/17/2009,12:38,"Manila, Philippines",Victoria Air,,"Manila - Puerto Princesa, Philippines",Douglas DC-3C,RPC550Â ,25737/14292,4,0,4,4,0,4,0,Shortly after take off the crew reported engine problems and requested an emergency return to the airport. The pilot was not able to make the turn and the cargo plane crashed into an abandoned warehouse and burst into flames.</t>
  </si>
  <si>
    <t>10/21/2009,15:31,"Sharjah, United Arab Emirates",Azzi,,"Sharjar, UAE- Khartoum, Sudan",Boeing 707-330C,ST-AKW,20123/788,6,0,6,6,0,6,0,"The cargo plane took off, banked to the right and crashed into the desert, 3km from the airport."</t>
  </si>
  <si>
    <t>10/22/2009,10:45,"Off Bonaire, Netherlands Antilles",Divi Divi Air,016,"Curacao - Bonaire, Netherlands Antilles",Britten-Norman BN-2A-8 Island,PJ-SUN,377,10,9,1,1,0,1,0,"While on approach, the right engine failed and the pilot was not able to maintain altitude. The plane ditched into the ocean.Nine passengers were rescued but the pilot was not able to leave the sinking plane and died."</t>
  </si>
  <si>
    <t>11/01/2009,21:19,"Off Mongokhto, Russia",Military - Russian Navy,,Ferrying,Tupolev Tu-142M3,RF-76801,93495866/7207,11,0,11,11,0,11,0,Crashed 20 miles offshore in the Tartar Strait while on approach.</t>
  </si>
  <si>
    <t>11/01/2009,08:49,"Mirny, Russia",Russian Ministry of Interior,,Mirnyy - Irkutsk,Ilyushin Il-76,RF-76801,93495866/7207,11,0,11,11,0,11,0,"While taking off the aircraft barely rose off the ground, banked to the right and crashed 1.5 km from the airport. Seven crew as well as four members from a replacement crew were on board."</t>
  </si>
  <si>
    <t>11/12/2009,13:30,"Kigali, Rwanda",Rwandair,,"Kigali, Rwanda - Entebbe, Uganda",Canadair CRJ-100ER,5Y-JLD,7197,15,12,3,1,1,0,0,"Fifteen minutes after taking off, the pilot announced that the aircraft had a mechanical problem and was returning to the airport. After coming to a stop, for some unexplained reason, the plane took off again at full power, made a right turn and crashed into the VIP lounge."</t>
  </si>
  <si>
    <t>11/14/2009,02:00,"Near Reno, Nevada",Mountain Lifeflight,,"Reno, NV - Susanville, CA",Aerospatiale AS350,N5793P,1476,3,0,3,3,0,3,0,"The medical helicopter crashed and burned about 29 miles northwest of Reno, while returning to its base in Susanville, after dropping off a patient at a Reno hospital. All three crew members aboard were killled."</t>
  </si>
  <si>
    <t>11/28/2009,08:16,"Shanghai, China",Avient Aviation,324,"Shanghai, China - Bishkek, Kyrgyzstan",McDonnell Douglas MD-11F,Z-BAV,48408/457,7,0,7,3,0,3,0,"The cargo plane veered off the runway, crashed and burned after the tail struck the ground as it attempted to take off."</t>
  </si>
  <si>
    <t>11/29/2009,16:10,"Lyall Harbour, BC, Canada",Seair Seaplanes,,Lyall Harbour - Vancouver,de Havilland Canada DHC-2 Beaver MK- 1,C-GTMCÂ ,1171,8,7,1,6,6,0,0,The float plane crashed off Saturna Island after taking off from Lyall Harbour. A female passenger and the pilot survived.</t>
  </si>
  <si>
    <t>01/22/2010,00:10,"Off Sand Point, Alaska",Alaska Central Express,22,Sand Point - Anchorage,Beechcraft 1900C-1,N112AXÂ ,UC-45,2,0,2,2,0,2,0,The cargo plane crashed into the water shortly after taking off with a cargo of fish and mail.</t>
  </si>
  <si>
    <t>01/25/2010,02:35,"Off Na'ameh, Lebanon",Ethiopian Airlines,409,"Beirut, Lebanon - Addis Ababa, Ethiopia",Boeing 737-8AS,ET-ANB,29935/1061,90,82,8,90,82,8,0,"The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</si>
  <si>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01/25/2010,14:30,"Near Senador Jose PorfÃ­rio, Brazil",Piquiatuba Taxi Aereo,,Belem - Senador Jose PorfÃ­rio,Embraer EMB-110C Bandeirante,PT-TAF,110103,10,8,2,2,1,1,0,"The commuter plane crashed while attempting to land, killing the captain and one passenger."</t>
  </si>
  <si>
    <t>01/28/2010,11:30,"Cotabato City, Philippines",Military - Philippine Air Force,,Cotabato Cty - Zamboanga City,GAF N22B Nomad,18,N22B-18,8,6,2,8,6,2,1,"While taking off, the crew experienced an engine fire and tried to make an emergency landing but crashed into a residential neighborhood."</t>
  </si>
  <si>
    <t>02/14/2010,,"Near Saada, Yemen",Military - Yemeni Arm,,,Helicopter,,,11,9,2,11,9,2,2,The helicopter crashed into a military vehicle shortly after taking off from the military airport carrying seven wounded soldiers and its crew of four soldiers. The accident was reported to have been caused by a technical fault.</t>
  </si>
  <si>
    <t>04/10/2010,10:41,"Smolensk, Russia",Military - Polish Air Force, PLF 101,"Warsaw, Poland - Smolensk Russia",Tupolev 154M,101,90A837,96,88,8,96,88,8,0,"The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</si>
  <si>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04/10/2010,03:27,"Near Yelizovo, Russia",Kamchatka Airlines,,Elizovo - DukupÂ ,Mi-8,,,18,15,3,10,8,2,NULL,"The helicopter was flying German and Russian snowboarders during a showboarding tour when it crash, 67 km away from Yelizovo."</t>
  </si>
  <si>
    <t>04/13/2010,23:15,"Monterey, Mexico",Airborne Freight Company Union,302,Mexico City - Monterey - Los Angeles,Airbus A300B4-203F,XA-TUE,078,5,0,5,5,0,5,2,"The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</si>
  <si>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04/21/2010,21:10,"Pampanga, Philippines",Interisland Airlines,,Cebu - Pampanga,Antonov An-12BP,UP-AN216,402001,6,0,6,3,0,3,0,"An electrical fire forced the cargo plane's pilot to attempt an emergency landing in a rice field when the plane crashed, broke into pieces, and burst into flames."</t>
  </si>
  <si>
    <t>05/12/2010,06:10,"Tripoli, Libya",Afriqiyah Airways,771,"Johannesburg, South Africa - Tripoli, Libya",Airbus A330-202,5A-ONG,1024,104,93,11,103,92,11,0,"The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</si>
  <si>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05/15/2010,15:10,"Near Poeketi, Suriname",Blue Wings Airlines,,Godo Holo Air Strip - Paramaribo,Antonv An-28,PZ-TSV,1AJ007-10,8,6,2,8,6,2,0,"The plane crashed during poor weather into a forest ,10 minutes after taking off from Godo Olo Air Strip."</t>
  </si>
  <si>
    <t>05/17/2010,09:30,"Salang pass, Afghanistan",Pamir Airlines,,Kunduz - Kabul,Antonv An-24B,YA-PIS,27307903,44,38,6,44,38,6,0,"The plane crashed in Salang pass, 60 miles north of Kabul. Weather was poor in the general area. It was reported that an early ground proximity warning system was misunderstood by the crew, either due to language problems or because of previous false alerts"</t>
  </si>
  <si>
    <t>05/22/2010,06:10,"Mangalore, India",Air India Express,812,"Dubai, UAE - Mangalore, India",Boeing 737-8HG,VT-AXV,36333/2481Â ,166,160,6,159,153,6,0,"While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</si>
  <si>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06/19/2010,10:00,"Yangadou, Cameroon",Aero Service,,YaoundÃ©-Nsimalen - Yangadou Mine Airstrip,CASA 212 Aviocar,TN-AFAÂ ,151,11,9,2,11,9,2,0,The plane crashed in a remote area on the Cameroon / Congo border. The plane was carrying executives of the mining company Sundance Resources.</t>
  </si>
  <si>
    <t>06/23/2010,05:59,"Quebec, Canada",AÃ©ropro,201,Quebec -Sept-ÃŽles,Beechcraft A100 King Air,C-FGIN,B-164,7,5,2,7,5,2,0,"The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</si>
  <si>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07/05/2010,17:40,"Tuzla, Romania",Military - Romainian Air Force,,Tuzla - Tuzla,Antonov AN-2,53,1G194-53,14,10,4,12,NULL,3,0,"The military plane, on parachuting training flight, crashed 2 km from the airport  into a field shortly after taking off. Operational errors upon take-off most likely caused the accident."</t>
  </si>
  <si>
    <t>07/28/2010,09:45,"Islamabad, Pakistan",Airblue,202,Karachi - Islamabad,Airbus A321-231,AP-BJB,1218,152,146,6,152,146,6,0,"The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</si>
  <si>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07/28/2010,18:22,"Near Elmendorf AFB, Alaska",Military - US Air Force,,Practice maneuvers,McDonnell Douglas C-17A Globemaster III,00-0173,P-73,4,0,4,4,0,4,0,"The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</si>
  <si>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08/01/2010,15:15,"Near Denali National Park, Alaska",All West Freight,,Palmer-Wolf - Unalakleet,Fairchild C-123K,N709RR,20158,3,0,3,3,0,3,0,"The cargo plane crashed into Mount Healy while en route. The pilot's failure to maintain adequate airspeed to avoid a low altitude stall, resulting in a loss of control and collision with terrain."</t>
  </si>
  <si>
    <t>08/03/2010,01:19,"Igarka, Russia",Katekavia Airline,KYU9357,Karsnoyarsk - Igarka,  Antonov An-24 V,RA-46524, 47310003,15,12,3,12,11,1,0,"The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</si>
  <si>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08/09/2010,14:45,"Near Dillingham, Alaska",GCI Communications Corp.,,Lake Nerka - Nushagak River,de Havilland Canada DH-3T Otter,N455A,206,9,8,1,5,4,1,0,"The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</si>
  <si>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08/16/2010,01:49,"San Andreas Island, Colombia",AIRES Colombia,,Bogota - San Andreas Island,Boeing B-737-73V,HK-4882Â ,32416/1270,131,125,6,2,2,0,0,"The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</si>
  <si>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08/21/2010,14:12,"Off Kaminshak Bay, Alaska",Branch River Air Service,,Swikshak Lagoon - King Salmon,de Havilland Canada DHC-2 Beaver,N9313Z,441,4,3,1,4,3,1,0,Crashed in the water off Katmai National Park. Only fragments of the plane were foud. No bodies were ever found. The probable cause was undetermined.</t>
  </si>
  <si>
    <t>08/24/2010,07:30,"Bastipur, Nepal",Agni AirÂ ,101,Kathmandu - Lukla,Dornier 228-101,9NAHE,0732,14,11,3,14,11,3,0,"The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</si>
  <si>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08/24/2010,22:10,"Yichun, China",Henan Airlines,,Harbin - Yichun,Embraer ERJ-190-100LR,B-3130,19000223,96,91,5,44,41,3,0,"The plane overshot the runway while landing and burst into flames. The pilot violated aviation rules during the descent, did not locate the runway before landing and abandoned the crashed aircraft."</t>
  </si>
  <si>
    <t>08/25/2010,13:00,"Bandundu, Congo Democratic Republic",Filair,,Kinshasa - Bandundu,Let 410UVP-E,9Q-CCN,912608,20,17,3,19,16,3,0,"The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</si>
  <si>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08/27/2010,,"Buena Vista, Venezuela",Military - Venezuelan National Guard,,Buena Vista - Cararabo,Mi 17V-5,GN10139,,10,NULL,NULL,10,NULL,NULL,0,"The helicopter crashed while taking off on a counter-drug mission, killing all 10 soldiers on board. They were searching for a group of suspected drug traffickers in southwestern Apure state."</t>
  </si>
  <si>
    <t>09/03/2010,19:39,"Dubai, United Arab Emirates",United Parcel Service- UPS,006,"Dubai - Bonn, Germany",Boeing B747-44AF,N571UP,35668/1393,2,0,2,2,0,2,0,"The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</si>
  <si>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09/04/2010,01:15,Fox Glacier Airstrip,Sky Dive New Zealand,,Fox Glacier Airstrip - Fox Glacier Airstrip,Fletcher FU-24-954,ZK-EUF,281,9,8,1,9,8,1,0,"Seconds after taking off from Fox Glacier airstrip, the aircraft crashed and burned in a field. Investigators blamed an overloaded plane and too much weight towards the back of the plane."</t>
  </si>
  <si>
    <t>09/13/2010,10:32,"Puerto Ordaz, Venezuela",ConviasaÂ Airline,2350,Porlamar - Puerto Ordaz,ATR 42-320,YV-1010,371,51,47,4,17,14,3,0,"While en route, the passenger plane crashed and burned in a storage yard of a steel foundry, six miles SE of Puerto Ordaz Airport, after the pilot reported having problems controlling the aircraft."</t>
  </si>
  <si>
    <t>09/21/2010,,"Chopan district, Zabul Province, Afghanistan",International Security Assistance Force,,,Sikorsky UH-60 Black Hawk,	93-26517,,13,NULL,NULL,10,NULL,NULL,0,The military helicopter crashed while en route. There were no reports of enemy fire prior to the accident.</t>
  </si>
  <si>
    <t>10/06/2010,,"Rasht Valley, Tajikistan",	Military - Tajik National Guard,,,Mi-8,,,28,NULL,NULL,28,NULL,NULL,0,The military helicopter crashed after hitting power lines.</t>
  </si>
  <si>
    <t>10/12/2010,19:50,"Near Kabul, Afghanistan",National Air Cargo,,Bagram AB - Kabul,Lockheed L-100 Hercules,5X-TUC,4362,8,0,8,8,0,8,0,The cargo plane crashed into a mountainside about 18 miles east of Kabul Airport.</t>
  </si>
  <si>
    <t>10/21/2010,,"Near Bugulumisa, Congo",Tracep,,Bukavu - Shabund,Let 410UVP,9Q-CUA,X0101,2,0,2,2,0,2,0,The cargo plane experienced an engine failure 5 minutes after taking off causing the aircraft to crash.</t>
  </si>
  <si>
    <t>11/04/2010,17:45,"Near Guasimal, Cuba",Aerocaribbean,883,Santiago de Cuba- Havana,ATR-72-212,CU-T1549,459,68,61,7,68,61,7,0,"While the plane was en route, the pilot radioed an emergency message. Contact was lost and the plane crashed into mountainous terrain. All 61 passenger and 7 crew were killed.Icing  in combination with crew errors in handling the situation."</t>
  </si>
  <si>
    <t>11/05/2010,07:10,"Near Karachi, Pakistan",JS Air,,Karachi - Oil compound in Sindh province,Beechcraft 1900C-1,AP-BJD,UC-157,21,17,4,21,17,4,0,"The plane, carrying Italian oil company personne,l suffered an engine failure on climb-out and was attempting to return to the airport when it nose-dived and crashed near a residential area in Gulistan-e-Jauhar."</t>
  </si>
  <si>
    <t>11/25/2010,12:07,"Strezhevoy, Russia",NARZ,,,Mil Mi-8T,RA-22376,7257,10,NULL,NULL,7,NULL,NULL,0,"The helicopter, which was delivering workers to a drilling site, crashed and burned while attempting to land, after the tail rotor became entangled in wires."</t>
  </si>
  <si>
    <t>11/28/2010,01:53,"Karachi, Pakistan",Sun Way,4412,Karachi - Khartoum,Ilyushin Il-76TD,4L-GNI,43452546,8,0,8,8,0,8,4,"The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</si>
  <si>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12/04/2010,14:49,"Moscow, Russia",Dagestan Airlines,372,"Moscow -Makhachkala, Dagestan",Tupolev Tu-154M,RA-85744,92A-927,169,160,9,2,2,0,0,"About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</si>
  <si>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_x000D_
12/15/2010,15:30,Palunge Hill, Nepal",Tara Air,,Lamidanda - Kathmandu,de Havilland Canada DHC-6 Twin Otter,9N-AFX,806,22,19,3,22,19,3,0,The plane crashed into Palunge Hill after its right wing clipped the mountaintop while en route.</t>
  </si>
  <si>
    <t>01/01/2011,15:25,"Surgut, Russia",Kogalmavia,348,Surgut - Moscow,Tupolev Tu-154B-2,RA-85588,83A588,124,116,8,3,3,0,0,The passenger jet caught fire and exploded as it taxied for take off. Three passenger were killed and 43 injured during the evacuation. Electrical short.</t>
  </si>
  <si>
    <t>01/09/2011,19:45,"Orumiyeh, Iran",Iran Air,277,Tehran - Orumiyeh,Boeing B-727-286,EP-IRPÂ ,20945/1048,105,93,12,77,65,12,0,The accident happened after the plane was unable to land because of poor weather conditions and was attempting a go-around. The aircraft crashed 5 miles from the Orumiyeh airport in a snowy field..</t>
  </si>
  <si>
    <t>02/08/2011,16:40,"Off Plettenberg Bay, South Africa",Majuba Aviation,,Queenstown - Plettenberg Bay,Pilatus PC-12/47,ZS-GAA,858,9,7,2,9,7,2,0,"When the crew encountered dense fog, limiting visibility, the pilot aborted the landing and was in the process of a go-around when the plane crashed into the sea."</t>
  </si>
  <si>
    <t>02/10/2011,09:45,"Cork, Ireland",Manx2,7100,Belfast - Cork,Swearingen SA-227BC Metro III,EC-ITPÂ ,BC-789B,12,10,2,6,4,2,0,"The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</si>
  <si>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02/14/2011,08:02,"Near Santa Ana Francisco Morazan, Honduras",Central American Airways,731,San Pedro Sula - Tegucigalpa,Let L-410 UVPE-20,HR-AUQÂ ,912603,14,12,2,14,12,2,0,"The small airlilner crashed into a hill at an elevation of 2,000 feet while on approach in poor visibility. Windshear."</t>
  </si>
  <si>
    <t>03/21/2011,15:30,"Pointe-Noire, Congo",Trans Air Cargo,,Brazzaville - Pointe Noire,Antonov 12BP,TN-AGK,402006,9,5,4,9,5,4,14,The cargo plane was approaching Runway 17 at Pointe-Noire Airport when it crashed in the Mvou Mvou residential area and was destroyed.</t>
  </si>
  <si>
    <t>04/04/2011,13:30,"Kinshasa, Congo",United Nations,834,Kisangani - Kinshasa,Canadair CL-600 CRJ-100ER,4L-GAEÂ ,7070,33,29,4,32,28,4,0,"The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</si>
  <si>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04/19/2011,13:57,"	Tawang, India",	Pawan Hans Helicopters Ltd.,,,	Mil Mi-172,	VT-PHF,356C06,23,NULL,NULL,18,NULL,NULL,0,"The helicopter crashed into a hill as it attempted to land at a high altitude helipad Six, including the copilot escaped with minor injuries.."</t>
  </si>
  <si>
    <t>04/21/2011,14:52,"Manaus, Brazil",	AmazonavesAir Taxi,,Manaus - Santarem,Embraer/Piper EMB-810C Seneca,PT-EFS,	810055,7,6,1,7,6,1,0,The airl taxi crashed about one minute after taking off from Manaus Airport.</t>
  </si>
  <si>
    <t>05/07/2011,14:00,"Off Kaimana, Indonesia",Merpati Nusantara Airlines,,Sorong - Kaimana,Xian MA-60,PK-MZKÂ ,603,27,21,6,27,21,6,0,"The turboprop had been circling Kaimana Airport for about 15 minutes when it crashed into the sea, 400 meters offshore, in poor weather conditions."</t>
  </si>
  <si>
    <t>05/18/2011,20:53,"Near Prahuaniyeu, Argentina",SOL Lineas Aereas,5428,Neuquen - Comodoro Rivadavia,Saab 340A,LV-CEJ,25,22,19,3,22,19,3,0,"The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</si>
  <si>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06/20/2011,23:40,"Petrozavodsk, Russia",RusAir Airlines,7R-243,Moscow - Petrozavodsk,Tupolev Tu-134,RA-65691,63195/5703,52,43,9,47,39,8,0,"The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</si>
  <si>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07/06/2011,23:00,"Near Bagram Air Base, Afghanistan",Silk Way Airlines,,"Baku, Azerbaijan - Bagram Air Base, Afghanistan",Ilyushin76TD,4K-AZ55,2053420680,9,0,9,9,0,9,0,"While flying at 12,500 feet, the cargo plane crashed into a mountain peak, exploded and burned about 15 miles from Bagram. The aircraft was loaded with fuel for the International Security Assistance Force in Afghanistan."</t>
  </si>
  <si>
    <t>07/08/2011,15:00,"Kisangani, Congo",Hewa Bora Airways,952,Kinshasa - Kisangani,Boeing B-727-100,9Q-COP,18933,115,108,7,77,72,5,0,"The airliner crashed and broke up after missing the runway while attempting to land at Bangoka International Airport. There was heavy rain, thunderstorms and limited visibility at the time of the accident."</t>
  </si>
  <si>
    <t>07/11/2011,11:55,"Near Strezhevoy, Russia",Angara Airlines,5007,Tomsk - Surgut,Antonov An-24RV,RA-47302,57310302,37,33,4,7,7,0,0,"After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</si>
  <si>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07/13/2011,11:53,"Recife, Brazil",NOAR Linhas AÃ©reas,SP-5007,Recife - Natal,Let L-401UVP-20,PR-NOB,2722,16,14,2,16,14,2,0,"The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</si>
  <si>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07/26/2011,09:00,"Near Guelmim, Morocco",Military - Royal Moroccan Air Force,,Dakhla - Guelmim - Kinitra,Lockheed C-130 Hercule,CNA-OQ,4892,80,71,9,80,71,9,0,"The military transport plane crashed in the mountain, 6 miles northeast of Guelmim in bad weather while attempting to land."</t>
  </si>
  <si>
    <t>07/28/2011,04:12,"Off Jeju, South Korean",Asiana Airlines,991,Seoul - Shanghai,Boeing B-747-48EF,HL-7604,29907/1370,2,0,2,2,0,2,0,"The cargo plane crashed into the sea about 70 miles west of Jeju after the crew reported a fire in a cargo hold. The plane was carrying 58 tons of electronic and machine parts, including lithium batteries."</t>
  </si>
  <si>
    <t>08/06/2011,,"Tangi Valley, Afghanistan",Military - U.S. Army,,,Boeing CH-47 Chinook,,,38,NULL,NULL,38,NULL,NULL,0,"Thirty-eight people, including 31 U.S. special forces troops and 7 Afghan soldiers were killed when their helicopter was shot down with a rocket-propelled grenade during overnight operations against Taliban insurgents."</t>
  </si>
  <si>
    <t>08/09/2011,14:34,"Near Omsukchan, Russia",Avis Amur, LN-9209,Magdan - Keperveem,Antonov 12,RA-11125,3341006,11,2,9,11,2,9,0,"After leaving Magdan the crew of the cargo plane reported a fuel leak and an engine fire. While trying to return to Magdan, the plane crashed 6 miels from Omsukchan, 190 miles from its original take-off point. The plane carried 18 tons of cargo."</t>
  </si>
  <si>
    <t>08/20/2011,12:50,"Resolute Bay, Nunavut, Canada",First Air,6560,Yellowknife - Resolute Bay,Boeing B-737-210C(A) Combi,C-GNWN,21067/414,15,11,4,12,8,4,0,"While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</si>
  <si>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08/26/2011,19:00,"Mosby, Missouri",LifeNet,,Bethany - Mosby,Eurocopter AS350B2,N352LN,3728,4,3,1,4,3,1,0,"The helicopter was headed for Mosby to refuel when it crashed in a field 1.7 nm north-northeast of Midwest National Air Center. The pilot, nurse, paramedic and patient were all killed."</t>
  </si>
  <si>
    <t>09/02/2011,17:48,"Juan Fernandez Island, Chile",Chilean Air Force,,Santiago - Juan Fernandez Island,CASA C-212 Aviocar 300DF,966,443,21,17,4,21,17,4,0,"The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</si>
  <si>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09/06/2011,18:50,"Near Trinidad, Bolivia",Aerocon,A4-238,"Santa Cruz - Trinidad, Bolivia",Swearingen SA-227BC Metroliner III,CP-2548,BC-768B,9,7,2,8,6,2,0,"The plane crashed into the jungle while on approach to Runway 14 at Trinidad Airport. After the crew reported they were turning into the final approach, radio contact was lost. The plane was found 2 days later, 10 km from the airport. One passenger survived."</t>
  </si>
  <si>
    <t>09/07/2011,15:50,"Yaroslavl, Russia",YAK Service,9633,Yaroslavl - Minsk,Yakovlev 42D,RA-42434,4520424305017,45,37,8,44,37,7,0,"The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</si>
  <si>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09/14/2011,12:00,"Huambo, Angola",Military - FANA Forca Aerea Nacional Angolana,,Huambo - Luanda,Embraer 120ER Brasilia,T-500,120357,36,34,2,30,30,0,0,"The military plane crashed, broke in two and burned while attempting to takeoff from Huambo Airport. Six persons survived including the pilot and copilot."</t>
  </si>
  <si>
    <t>09/16/2011,16:25,"Reno, Nevada",Private - Aero Trans Corp,,Air race,North American P-51D-15-NA Mustang,N79111,109-35934,1,0,1,1,0,1,10,The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</si>
  <si>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09/22/2011,13:15,"Yellowknife, Northwest Territories, Canada",Arctic Sunwest Charters,,Thor Lake - Great Slave Lake,De Havilland Canada DHC-6-300 Twin Otter,C-GARWÂ ,367,9,7,2,2,0,2,0,"While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</si>
  <si>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09/25/2011,07:31,"Near Kathmandu, Nepal",Buddha Air,,Sightseeing,Beechcraft 1900D,9N-AEK,UE-295,19,16,3,19,16,3,0,The sightseeing flight of Mt. Everest struck terrain while on approach to Kathmandu-Tribhuvan Airport. One passenger survived the accident but died on the way to the hospital.</t>
  </si>
  <si>
    <t>09/29/2011,07:38,"Near Bohorok, Indonesia",Nusantara Buana Air,,Medan - Kutacane,CASA NC-212 Aviocar 200,PK-TLF,,18,14,4,18,14,4,0,"Contact with the plane was lost 10 minutes after taking off from Medan. Wreckage was located near Bohorok, on the slope of a mountain 6,100 feet high. VFR flight into IMC conditions. Lack of crew coordination."</t>
  </si>
  <si>
    <t>10/13/2011,17:00,"Near Madang, Papua New Guinea",Airline PNG,1600,Lae - Madang,de Havilland Canada DHC-8-102,P2-MCJ,125,32,28,4,28,26,2,0,"While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</si>
  <si>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10/27/2011,04:12,"Vancouver, BC, Canada",Northern Thunderbird Air Inc.,,Vancouver - Kelowna,Beechcraft 100 King Air,C-GXRX,B-36,9,7,2,1,0,1,0,"After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</si>
  <si>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11/10/2011,12:14,"NearÂ Kilohana, Molokai, Hawaii",Blue Hawaiian Helicopter,,Sightseeing,Eurocopter EC-130 B4,N11QV,4909,5,4,1,5,4,1,0,"The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</si>
  <si>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11/11/2011,08:55,"Near Santa Catarina Atoyzingo, Mexico",Fuerza Aerea Mexicana,,"Campo Militar Marte - Ciudad de Cuernavaca, Morelos",Aerospatiale AS 332L1 Super Puma,XC-UHM,2127,8,7,1,8,7,1,0,"The Mexican presidential helicopter crashed into the side of a hill in low clouds, at a height of 2,600 meters.Â The helicopter carried the Secretary of the Interior, JosÃ© Francisco Blake Mora and other government officials."</t>
  </si>
  <si>
    <t>12/07/2011,16:45,"Near Henderson, Nevada",Sundance Helicopters Inc.,,Sightseeing,Aerospatiale AS-350 B2 Ecureuil,N37SH,2300,5,4,1,5,4,1,0,"The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</si>
  <si>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12/26/2011,05:54,"Green Grove, Florida",,,"Jacksonville, FL - Gainsville, FL",Bell 206B,N5016M,2636,3,2,1,3,2,1,0,The on-demand air taxi was on a flight to procure an organ for transplantation when it crashed in a wooded area near the Jacksonville Sheriff's Department Aviation Unit. The helicopter was at a height of 30 feet when it struck a 50 ft. tree.</t>
  </si>
  <si>
    <t>01/30/2012,08:45,"Namoya, Congo",TRACEP Congo Aviation,,Bukavu - Namoya,Antonov AN-28,9Q-CUN,1AJ006-11,5,3,3,3,1,2,0,"The cargo plane was on approach to land when it crashed in a forest 10km from Namoya.  The airworthiness of this aircraft had expired on June 12, 1993."</t>
  </si>
  <si>
    <t>03/15/2012,07:15,"Near San Juan, Puerto Rico",Jet One Express,,San Juan - Saint Croix,Convair CV-340,N153JR,117,2,0,2,2,0,2,0,"The cargo plane just took off and was carrying 2,500 lbs of bread when the pilot radioed he was having engine trouble and returning to the airport. The plane crashed in the Torrecilla Lagoon, killing both pilots."</t>
  </si>
  <si>
    <t>03/16/2012,10:45,"Kabul, Afghanistan",Military - Turkish Army (NATO),,,Sikorsky S-70A-28,10981,,12,NULL,NULL,12,NULL,NULL,4,The helicopter crashed on the outskirts of Kabul in the Bagrami District. It appeared the plane was trying to make an emergency landing when it crashed into houses killing four people on the ground.</t>
  </si>
  <si>
    <t>04/02/2012,07:44,"Tyumen, Russia",UTAir,120,Tyurmen - Surgut,ATR 72-201,VP-BYZ,332,43,39,4,33,29,4,0,"After taking off, the plane lost height during the initial climb and crash landed in a snowy field, 1.5 miles past the end of the runway. The impact split the plane into three pieces.Â Icing. The plane was not deiced before taking off."</t>
  </si>
  <si>
    <t>04/20/2012,18:40,"Islamabad, Pakistan",Bhoja Airlines,213,Karachi - Islamabad,Boeing 737-236,AP-BKCÂ ,23167/1074,127,121,6,127,121,6,0,"While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</si>
  <si>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04/30/2012,16:30,"Sabanagrande, Colombia",Military -Fuerza Aerea Colombiana,,Barranquilla - Caucasia,Bell 212,FAC 4020Â ,31272,13,11,2,13,11,2,0,The helicopter caught fire and crashed while en route.</t>
  </si>
  <si>
    <t>05/09/2012,15:30,"Near Cidahu, Indonesia",Sukhoi,36801,Demonstration flight,Sukhoi Superjet 100-95,RA-97004, 95004,45,39,6,45,39,6,0,"The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</si>
  <si>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05/14/2012,09:15,"Jomsom, Nepal",Agni Air,,Pokhara - Jomsom,Dornier 228-212,9N-AIG,8216,21,18,3,15,13,2,0, 	The plane was attempting to land and went around on final approach to Runway 06. The aircraft joined a left downwind when a wing contacted a hilltop about 900 feet north of the airport.The flight attendant and 5 passengers survived the accident.</t>
  </si>
  <si>
    <t>06/02/2012,15:30,"Accra, Ghana",Allied Air,111,"Lagos, Nigerai - Accra, Ghana",Boeing B-727-200,5N-BJN, 22540/1796,4,0,4,0,0,4,12,"While on approach to Runway 21 at Kotika International Airport, the cargo plane overran the runway, broke through the perimeter fence, went across a main road and collided with a bus."</t>
  </si>
  <si>
    <t>06/03/2012,16:45,"Lagos, Nigeria",Dana Air,992,Abuja - Lagos,McDonnell Douglas MD-83,5N-RAM,53019/1783,153,146,7,153,146,7,10,"The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</si>
  <si>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06/06/2012,,"Hualla Hualla, Mount Mamarosa, Peru", HeliCusco,,Mazuco - Cusco,Sikorsly S-58ET,OB-1840-P,581672,14,12,2,14,12,2,0,"The helicopter was flying back to Cusco after conducting aerial surveillance on a possible site for a hydroelectric project near Puno, in southern Peru when it hit the side of a cliff."</t>
  </si>
  <si>
    <t>06/11/2012,,"Near Serov, Russia",Illegal flight,,,Antonov An-2R,RA-40312,1G221-48,13,12,1,13,12,1,0,"The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</si>
  <si>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06/21/2012,14:45,"Jakarta, Indonesia",Military - Indonesian Air Force,,Training flight,Fokker F-27 Friendship 400M,A-2708,10546,7,0,7,7,0,7,4,The plane was attempting to land on runway 18 during a training exercise when it crashed about 1 mile from the runway into houses in the Rajawali housing complex.</t>
  </si>
  <si>
    <t>08/18/2012,16:25,"Off Masbate Island, Philippines",Aviatour's Fly'n Inc.,,Cebu-Naga,PA-34-200 Seneca I,RP-C4431,34-7350051,4,2,2,3,2,1,0,"While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</si>
  <si>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 xml:space="preserve"> and that during his last flight proficiency test he had not been tested with respect to flying with one engine inoperative."</t>
  </si>
  <si>
    <t>08/19/2012,08:00,"Talodi, Sudan",Alfa Airlines,,Khartoum - Talodi,Antonov An-26-100,ST-ARL,2606,32,26,6,32,26,6,0,"After an aborted landing, the plane flew into a slope of the Nuba mountains while on approach and attempting to land at Talodi air strip. There was a dust storm in the area at the time. All 26 passengers and crew of 6 were killed including 2 Sudanese ministers."</t>
  </si>
  <si>
    <t>09/12/2012,12:28,"Near Palana, Russia",Petropavlovsk-Kamchatsky Air Enteprise,261,Petropavlovsk-Kamchatsky - Palana,Antonov An-28,RA-28715,25-1AJ006,14,12,2,10,8,2,0,"Crashed in a cedar forest, 6 miles from Palana Airport while on approach. There were heavy storm clouds and poor weather at the time of the accident. Both pilots were found to be intoxicated."</t>
  </si>
  <si>
    <t>09/28/2012,06:15,"Kathmandu, Nepal",Sita Air,,,Dornier 228-202,9N-AHA,8123,19,16,3,19,16,3,0,The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</si>
  <si>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10/07/2012,12:00,"Near Omdurman, Sudan",Military - Sudanese Air Force,,,Antonov An-12BP,ST-ASA,402010,22,16,6,15,NULL,NULL,0,"The transport, carrying military personnel and equipment, crashed 25 miles southwest of Omdurman after experiencing engine trouble. The captain reported that both engines stopped working prior to the crash."</t>
  </si>
  <si>
    <t>10/07/2012,16:16,Antigua,Fly Montserrat,107,Antigua - Montserrat,Britten-Norman BN-2A-26 Islander,VP-MO,082,4,3,1,3,2,1,0,"The small airliner took off from Runway 7 at V.C. Bird International Airport, lost height immediately after becoming airborne and crashed to the ground, nose first. There was heavy rains and lightning at the time of the accident."</t>
  </si>
  <si>
    <t>11/21/2012,,"San'a, Yemen",Military - Yemen Air Force,,Training,Antonov An-26,420,,10,0,10,10,0,10,0,"The military transport crashed into the abandoned Al-Hasaba marketplace about 6 miles from Sanaa International Airport, shortly after taking off from runway 18. The crew was trying to make an emergency landing after an engine failed."</t>
  </si>
  <si>
    <t>11/30/2012,17:50,"Near Brazzaville, Congo",Aero Service,,Pointe Noire - Brazzaville,Ilysushin Il-76T,EK-76300,083410300,7,0,7,7,0,7,25,The cargo plane crashed into a dozen houses in the Mselou district in Bazzaville while attempting to land at the local airport. The plane caught on fire and came to rest in a ravine. There was heavy rain and thunderstorms in the area at the time of the accident.</t>
  </si>
  <si>
    <t>12/05/2012,09:45,"Near Ladysmith, South Africa",Military - South African Air Force,,Pretoria - Mthatha Airport,Douglas C47-TP,6840,13866/25311,11,5,6,11,5,6,0,"The military transport went missing while en route. The wreckage was found in the Drakensberg mountains near Ladysmith in KwaZulu-Natal province, some 210 miles southeast of Waterkloof Air Force Base. There was severe weather at the time of the accident."</t>
  </si>
  <si>
    <t>12/09/2012,03:30,"Near Iturbide, Mexico",Starwood Management LLC,,"Monterey, Mexico - Toluca, Mexico",Learjet 25,N345MC,25-046,7,5,2,7,5,2,0,"The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</si>
  <si>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12/25/2012,18:55,"Near Shymkent, Kazakhstan",Military - Kazakhstan Border Guards,,Astana - Shymkent,Antonov AN-72-100D,UN-72859,36576092859,27,20,7,27,20,7,0,"The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</si>
  <si>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12/25/2012,08:50,"Heho, Myanmar",Air Bagan,W9-011,Mandalay - Heho,Fokker 100,XY-AGC,11327,71,65,6,1,0,1,1,"The passenger plane crash in a field two miles from Heho Airport and caught fire, after attempting to land in foggy weather. A tour guide and an 11-year-old child on board the plane, and a man riding a motorcycle on the ground were killed. Eleven others were injured."</t>
  </si>
  <si>
    <t>12/29/2012,16:33,"Moscow, Russia",Red Wings Airlines,9268,"Pardubice, Czech Republic - Moscow, Russia",Tupolev TU-204-100VÂ ,RA-64047,1450744864047,8,0,8,5,0,5,0,"While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</si>
  <si>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01/02/2013,20:57,"Near Clear Lake, Iowa",Med-Trans Corporaion,,Mercy Hospital - Palo Alto Couonty Hospital,Bell 407,N445MT,53959,3,2,1,3,2,1,0,"The air ambulance crashed and burned north of Ventura near Clear Lake Iowa in ice, haze and misty conditons."</t>
  </si>
  <si>
    <t>01/04/2013,11:40,"Off Los Roques, Venezuela",Transaereo 5074,,Los Roques - Caracas,Britten Norman BN-2A-27 Islander,YV-2615,20,6,5,1,6,5,1,0,"The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</si>
  <si>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01/29/2013,13:13,"Near Kyzyltu, Kazakhstan",SCAT Air,760,"Kokshetau - Almaty, Kazakhstan",Canadair CRJ-200ER,UP-CJ006,7431,21,16,5,21,16,5,0,The jet crashed in heavy fog outside of Almaty while attempting to land at Almaty Airport for a second time. The aircraft was found in swampy terrain about 1 mile short of the runway threshold.</t>
  </si>
  <si>
    <t>02/13/2013,18:09,"Donetsk, Ukraine",South Airlines,8971,Odessa - Donetsk,Antonov AN-24RV,UR-WRAÂ ,37308709,45,41,4,5,5,0,0,"While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</si>
  <si>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03/04/2013,17:55,"Goma, Congo",Compagnie Africaine d' Aviation (CAA)Â ,,Lodja - Goma,Fokker 50,9Q-CBD,20270Â ,10,4,6,7,1,6,0,The aircraft crashed short of the runway while attempting to land in heavy rain at Goma Airport crashing into the back yards of several houses in the Lake Kivu area.</t>
  </si>
  <si>
    <t>03/08/2013,08:15,"Near Dillingham, Alaska",Ace Air Cargo,51,King Salmon - Dillingham,Beechcraft 1900C,N116AX,UC-17,2,0,2,2,0,2,0,"The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</si>
  <si>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04/13/2013,15:35,"Denpasar, Indonesia",Lion Air,904,Bandung - Denpasar,Boeing B-737-8GP,PK-LKS,38728/4350,108,101,7,0,0,0,0,"The airliner came down in the ocean, 150 feet short of the runway, while on final approach to Denpasar-Ngurah Rai Bali International Airport. All 101 passengers and crew of 7 survived. Forty-five people were injured."</t>
  </si>
  <si>
    <t>04/29/2013,15:25,"Bagram Air Base, Afghanistan",National Air Cargo,102,Bagram - Dubai Al Maktoum,Boeing B-747-428BCF,N949CA,25630/960,7,0,7,7,0,7,0,"The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</si>
  <si>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05/31/2013,12:11,"Moosonee, Ontario",Ornge Air Ambulance,,Moosonee- Attawapiskat,Sikorsky S-76,,,4,2,2,4,2,2,0,"The air ambulance helicopter crashed 0.7 miles from its departure point. The pilot, copilot and two paramedics were killed. The helicopter was headed to Attawapiskat to pick up a patient."</t>
  </si>
  <si>
    <t>06/25/2013,,"Gaurikund, near Kedarnath, Uttarakhand State, India.",Indian Air Force,,From Gauchar airstrip,MI 172 V5 helicopter,,,20,15,5,20,15,5,0,Crashed during flood relief operations. The passengers were from paramilitary forces.</t>
  </si>
  <si>
    <t>07/06/2013,11:38,"San Francisco, California",Asiana Airlines,214,Shanghai - Seoul - San Francisco,Boeing B-777-28EER,HL7742Â ,29171/553,307,291,16,3,3,0,0,"The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</si>
  <si>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07/07/2013,11:20,"Soldotna, Alaksa",Rediske Air,,Soldotna - Bear Lodge,de Havilland Canada DHC-3T,N93PC,280,10,9,1,10,9,1,0,"As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</si>
  <si>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08/09/2013,08:00,"Mogadishu, Somalia",Military - Ethiopian Air Force,,Dire Dawa - Mogadishu,Antonov An-12,,,6,0,6,4,0,4,0,The cargo plane crashed on the runway and caught fire while attempting to land at Mofadisu International Airport.</t>
  </si>
  <si>
    <t>08/14/2013,04:49,"Birmingham, Alabama",United Parcel Service,1354,Louisville - Birmingham,Airbus A300F-622R,N155UP,841,2,0,2,2,0,2,0,"The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</si>
  <si>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10/03/2013,09:32,"Lagos, Nigeria",Associated Aviation,361,Lagos - Akure,Embraer 120RT Brasilia,5N-BJY,120174Â ,20,13,7,16,11,5,0,"The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</si>
  <si>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10/10/2013,14:50,"Kudat, Malaysia",MASwings,3002,Kota - Kudat,de Havilland Canada DHC-6 Twin Otter 310,9M-MDM,804,16,14,2,2,1,1,0,"While attempting to land, the Twin Otter struck a house located to the right of runway 22. The nose section was destroyed and the right wing broke off. The co-pilot and one passenger were killed. Procedural errors by the captain."</t>
  </si>
  <si>
    <t>10/16/2013,16:10,"Near Pakse, Laos",Lao Airlines,301,Vientiane - Pakse,ATR-72-50,RDPL-34233Â ,1071,49,44,5,49,44,5,0,"The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</si>
  <si>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11/03/2013,16:00,"Riberalta, Bolivia",Aerocon,,"Trinidad, Bolivia - Riberalta, Bolivia",Swearingen SA227-AC Metro III,CP-275,AC-721BÂ ,18,16,2,8,8,0,0,"While landing in heavy rain, the aircraft veered off the runway, caught fire after hitting some brush and came to rest inverted."</t>
  </si>
  <si>
    <t>11/09/2013,10:30,"Pujungan, Malinau district, Borneo",Military - Indonesian Army,,Tarakan - Malinau,Mil- Mi-17B-5,,,21,13,8,13,7,6,0,"After losing power, the helicopter crashed into dense jungle and burst into flames. It was carrying construction materials, 8 military personnel and 13 civilian construction workers. Two military personnel and 6 passengers survived."</t>
  </si>
  <si>
    <t>11/10/2013,18:34,"Red Lake, Ontario, Canada",Bearskin Airlines,,Sioux Lookout - Red Lake,Swearingen SA227-AC Metro II,C-FFZN,AC785B,7,5,2,5,3,2,0,"The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</si>
  <si>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11/17/2013,19:20,"Near Kazan, Russia",Tararstan Airlilnes,363,Moscow - Kastan,Boeing 737-53A,VQ-BBN,24785/1882,50,44,6,50,44,6,0,"The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</si>
  <si>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11/29/2013,20:25,Glasgow Scotland,Bond Air Services Ltd.,,,Eurocopter EC135 T2,G-SPAO,0546,3,2,1,3,2,1,5,The police helicopter crashed into the roof of the Clutha Pub in central Glasgow killing at least 5 patrons along with 3 aboard he helicopter. The helicopter was carrying a civilian pilot and two Strathclyde police officers.</t>
  </si>
  <si>
    <t>11/29/2013,13:30,"Bwabwata National Park, Nambia",Mozambique Airline,470,"Maputo, Mozambique - Luanda, Angola",Embraer ERJ-190AR,C9-EMC,19000581,33,27,6,33,27,6,0,"The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</si>
  <si>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12/05/2013,,"Near Cachimbo, Brazil",Heringer Taxi Aero,,Pukanu - Novo Progresso,Britten Norman BN-2A-3 Islander,PT-WMY,314,5,3,2,5,3,2,0,"While performing an ambulance flight, the aircraft crashed under unknown circumstances in a wooded area killing 3 passengers and 2 pilots."</t>
  </si>
  <si>
    <t>12/26/2013,21:39,"Irkutsk, Russia",IrAvia,,Novosibirsk - Ikustsk,Antonov 12,12162,3341509,9,3,6,9,3,6,0,"The cargo plane, carrying spare parts, crashed into a military army arsenal at Ikustsk-2 Airport while attempting to land. The crew of 6 and 3 technicians were all killed."</t>
  </si>
  <si>
    <t>01/20/2014,16:34,Near Petreasa Romania,Scoala Superioara de Aviatie Civla,,Bucharest - Oradea,Britten Norman BN-2A-27 Islander,YR-BNP,822,7,5,2,2,1,1,0,The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</si>
  <si>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02/11/2014,11:59,"Near Ain Kercha, Algeria",Military - Algerian Air Force,,Tamanarasset - Constatine,Lockheed C-130H-30 Hercules,7T-WHM,4919,77,73,4,76,72,4,0,The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</si>
  <si>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02/16/2014,13:15,"Sandhikhark, Nepal",Nepal Airlines,183,Kathmandu - Pokhara - Jumla,de Havilland Canada DHC-6 Twin Otter 300,9N-ABBÂ ,302,18,15,3,18,15,3,0,"The passenger plane crashed into a snow covered mountain and burst into flames while en route from Pokhara to Jamia. Weather was poor at the time of the accident. The PIC lost situation awareness while cruising in IMC, causing the aircraft to collide with terrain."</t>
  </si>
  <si>
    <t>02/21/2014,01:45,"Grombalia, Tunisia",Libyan Air Cargo,,Tripoli - Tunis,Antonov 26,5A-DOWÂ ,11809,11,6,5,11,6,5,0,"The aircraft, carrying a medical team with three patients, was destroyed when it crashed in a field, 20 miles from Tunis-Carthage Airport. The pilot reported an engine on fire prior to the accident."</t>
  </si>
  <si>
    <t>03/08/2014,02:41,South Indian Ocean,Malaysia Airlines,370,Kuala LumpurÂ - Beijing,Boeing 777-200,9M-MRO,28420/404,239,227,12,239,227,12,0,Radar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</si>
  <si>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03/18/2014,07:52,"Seattle, Washington",Helicopters Inc / KOMO TV,,News reporting,Urocopter AS350 B2,N250FB,3669,2,1,1,2,1,1,0,The news helicopter crashed and burst into flames shortl after taking off striking three vehicles. One person in one of the vehicles was badly burned. The helicopter Photojournalist Bill Strothman and the pilot were both killed.</t>
  </si>
  <si>
    <t>04/19/2014,19:45,"Ramos Arizpe, Mexico",Lineas Aereas Comerciales,,Cozumel - Ramos Arizpe,British Aerospace BAe 125-700A Hawker,XA-UKR,25719,8,6,2,8,6,2,0,"While on approach, in fog, the jet crashed into an park about half-a-mile north of Saltillo-Plan de Guadalupe International Airport."</t>
  </si>
  <si>
    <t>04/20/2014,15:30,"Jamijarvi, Finland",Suomen Urheiluilmailijat,,Skydiving,Aerocomp Comp Air 8,OH-XDZÂ ,,8,7,1,8,7,1,0,"While carrying skydivers, the experimental plane went into a spin and crashed and burned in a forest. The pilot and two skydivers were able to parachute to safety with minor injuries."</t>
  </si>
  <si>
    <t>05/08/2014,12:45,"Near San Vicente del Caguan, Colombia",Alisansa Colombia,,Villavicencio - Florencia,Douglas DC-3C,HK-4700,9700,6,0,6,6,0,6,0,The Cargo plane sruck the side of a mountain about 25 miles north of San Vicente del CaguÃ¡nÂ while en route. The accident was the result of a controlled flight into terrain. The crew failed to evaluate properly the risks and the danger of poor weather conditions and decided to perform the flight in VFR mode.</t>
  </si>
  <si>
    <t>05/17/2014,08:00,"Xiang Khouang province, Laos",Laos Air Force,,Vientiane - Xiangkhoung,Antonov 74TK-300,RDPL-34020Â ,36547098982,17,11,6,16,10,6,0,"The military aircraft crashed in a wooded area while approaching Xiangkhoung's airport, killing 16 people. Among those killed were defense minister Douangchay Phichit and other high ranking officials. For unknown reason, crew was approaching at a too low altitude."</t>
  </si>
  <si>
    <t>06/14/2014,00:50,"Lugansk, Ukraine",Military - Ukraine Air Force,,Melitopol - Luhansk,Ilyushin 76MD,76777,0083482490,49,40,9,49,40,9,0,The military transport crashed in a wheat field  near Lugansk Airport after being shot down by anti-aircraft fire.</t>
  </si>
  <si>
    <t>07/02/2014,,"Near Nairobi, Kenya",Skyward International Aviation,,"Nairobi - Mogadishu, Somalia",Fokker 50,5Y-CET,20262,4,0,4,4,0,4,0,"The cargo plane, transporting the mild stimulant known as Khat to the Somali capital, Mogadishu, crashed into a commercial building after taking off from Jomo Kenyatta International Airport. While climbing by night, crew lost control of the aircraft."</t>
  </si>
  <si>
    <t>07/07/2014,07:50,"Thach That district, Vietnam",Military - Vietnam People's Army Air Force,,Training,Mil Mi-171,,,19,21,2,18,NULL,NULL,0,"The helicopter crashed about  40 km west of Hanoi, 15 minutes after taking off during a parachute training mission."</t>
  </si>
  <si>
    <t>07/17/2014,16:19,"Hrabove, Ukraine",Malaysia Airlines,17,Amsterdam - Kuala Lumpur,Boeing 777-2H6ER,9M-MRD,28411/84,298,283,15,298,283,15,0,"A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</si>
  <si>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07/23/2014,19:06,"Magong, Taiwan",TransAsia Airways,222,Kaohsiung - Magong,ATR 72-500,B-22810,642,58,54,4,48,44,4,0,"The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</si>
  <si>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07/24/2014,01:47,"Aguelhok, Mali",Air Algerie,AH5017,"Ouagadougou, Burkina Faso - Algiers, Algeria",Mc Donnell Douglas MD-83,EC-LTV,53190/2148,116,110,6,116,110,6,0,"Radar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</si>
  <si>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08/10/2014,09:18,"Tehran, Iran",Sepahan Airlines,5915,Tehran - Tabas,HESA Iran-140-100,EP-GPA,9005,48,40,8,39,31,8,0,"After taking off, the passenger banked to the right, lost altitude, and crashed into a residential neighborhood, bursting into flames. The plane appeared to have lost an engine during the takeoff. Excessive load and malfuncioning propeller."</t>
  </si>
  <si>
    <t>08/30/2014,02:44,"Tamanraset, Algeria",Ukraine Air Alliance,,Glascow -Tamanraset - Equitorial Guinea,Antonov An-12BK,UR-DWF,8345802,7,5,2,7,5,2,0,"The cargo plane crashed in the mountainous southeastern region of Algereia, 15 km south of the airport, shortly after taking off."</t>
  </si>
  <si>
    <t>08/31/2014,19:45,"Mwanza, Tanzania",Safari Express Cargo,,Mwanza - Nairobi,Fokker F-27 MK 500,5Y-SXP,10681,3,1,2,3,1,2,0,"The cargo plane crashed within the borders of Serengeti National Park not far from the Kenya - Tanzania border, shortly after taking off from Mwanza."</t>
  </si>
  <si>
    <t>09/20/2014,09:35,"Near Port Moresby, Papua New Guinea",Hevlift,,Woitape - Port Moresby,de Havilland Canada DHC-6 Twin Otter 300,P2-KSV,528,9,7,2,4,2,2,0,"While approaching Port Moresby Jacksons International Airport, the unscheduled passenger plane impacted terrain near the top of Mt. Lawes, 7 miles east northeast of the airport in poor weather. The pl</t>
  </si>
  <si>
    <t>ane was too low for unknown reasons."</t>
  </si>
  <si>
    <t>10/04/2014,01:56,"Wichita Falls, Texas",Air Evac Lifeteam,,"Waurika, OK - Wichita Falls, TX",Bell 206L,,,4,1,3,2,1,1,0,"The air ambulance crashed while transporting a patient from Waurika, Oklahoma to United Regional Health Center. The patient was killed and 3 crew members injured."</t>
  </si>
  <si>
    <t>12/28/2014,03:00,"Near Uvira, Congo",Air Sirin,902,"Bujumbura, Burundi - Pointe Noire, Congo",Antonov An-26,4L-AFS,8606,6,0,6,6,0,6,0,The cargo plane impacted a mountainside while en route.</t>
  </si>
  <si>
    <t>12/28/2014,06:18,Java Sea,AirAsia,8501,Surabaya - Singapore,Airbus A-320-216,PK-AXC,3648,162,155,7,162,155,7,0,"The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</si>
  <si>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01/18/2015,,"Near Abu adh Dhuhur Air Base, Syria",Syrian Air Force,,Damascus - Abu Adh Dhuhur,Antonov An-26,,,37,35,2,37,35,2,0,"The army transport crashed while attempting to land in fog after hitting electric lines. The Al Nursa front, claimed that it shot down the aircraft."</t>
  </si>
  <si>
    <t>02/04/2015,10:55,"Taipei, Taiwan",Transasia,235,Taipei - Kinmen,ATR 72-600,B-22816,1141,58,53,5,43,39,4,0,"After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</si>
  <si>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03/10/2015,,"Villa Castelli, Argenina",Private,,,NULL,,,10,8,2,10,8,2,0,Three French sports figures participating in a reality show were killed along with seven other people when the two helicopters filming the show collided.</t>
  </si>
  <si>
    <t>03/24/2015,10:53,"Near Digne-Les-Bains, France",Germanwings,9525,"Barcelona, Spain - Dusseldorf, Germany",Airbus A320-211,D-AIPX,147,150,144,6,150,144,6,0,"The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</si>
  <si>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06/25/2015,13:43,"Ella Lake, Alaska",Promech Air,,Sightseeing,de Havilland DHC-3T Vazar TurbineOtter,N270PA,270,9,8,1,9,8,1,0,"The Twin Otter crashed while on a sightseeing tour carrying cruise ship passengers. The plane impacted a granite rock face cliff near Ella Lake, about 25 miles northeast of Ketchikan."</t>
  </si>
  <si>
    <t>06/30/2015,11:48,"Medan, Indonesia",Military - Indonesian Air Force,,"Medan - Tanjung Pinang, Sumatra.",Lockheed C130-B Hercules,A-1310,3616,122,110,12,122,110,12,19,"The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</si>
  <si>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07/31/2015,,"Near Agustin Codazzi, Colombia",Military - Colombia Air Force,,Palanquero AB -Valledupar,CASA CN-235-100,FAC1261,C-118,11,0,11,11,0,11,0,The military transport crashed while en route after the crew reported engine problems. The weather was reported to be poor at the time of the crash.</t>
  </si>
  <si>
    <t>08/12/2015,08:45,"Ninia, Indonesia",Komala Air,,Wamena - Ninia,Pacific Aerospace,PK-KIG,650-0151,6,4,2,1,0,1,0,"Strong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</si>
  <si>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08/16/2015,14:55,"Tangok mountain, Papua",Trigana Air Service,267,Jayapura- Oksibil,ATR 42-300,PK-YRN,102,54,49,5,54,49,5,0,The passenger plane crashed into Tangok mountain located in a remote area of Papua's eastern most provence. There was no distress call from the aircraft. High winds and heavy rain was reported in the accident area.</t>
  </si>
  <si>
    <t>09/05/2015,19:08,"Off Dakar, Near Dioubel, Senegal",Senegalair,71,Ouagadougou - Dakar,Hawker Siddeley HS-125,6V-AIM,257062,7,5,2,7,2,5,0,"The air ambulance went missing while on a medical flight. Seven people were on board, including two pilots from Algeria, a flight engineer from Congo, three Senegalese medical crew and a French patient."</t>
  </si>
  <si>
    <t>09/15/2015,06:24,"Iliamna East Wind Lake, Alaska",Rainbow King Lodge,,Iliamna - Remote lake,de Havilland Canada DHC 3T Turbine Otter,N928PK,61,7,6,1,3,3,0,0,"While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</si>
  <si>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10/02/2015,00:19,"Jalalabad, Afghanistan",Military - U.S. Army,,Jalalabad - Bagram,Lockheed C-130J Hercules,08-3174,5648,11,5,6,11,5,6,2,"The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</si>
  <si>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10/02/2015,14:29,"Near Masamba, Indonesia",Avistar MandariÂ ,7503,Masamba - Makassar,de Havilland DHC-6 Twin OtterÂ ,PK-BRM,741,10,7,3,10,7,3,0,The aircraft went missing minutes after talking off from the airport. Seven passengers and three crew were on board. Wreckage was located on Mount Latimojong.</t>
  </si>
  <si>
    <t>10/31/2015,08:30,"Near Ilaga, Indonesia",Trigana Air Service,,Timik - Ilaga,de Havilland DCH-4T Caribou,PK-SWW,303,4,0,4,4,0,4,0,"The cargo plane carrying construction materials, hit the slope of a mountain in Iiaga Pass, 12 km south of Ilaga airport and disintegrated upon impact."</t>
  </si>
  <si>
    <t>10/31/2015,06:13,"Near Hasna, Egypt",Metrojet,9268,Sharem el Sheikh - St. Petersburg,Airbus A321-231,EI-ETJ,663,224,217,7,224,217,7,0,"Approximate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</si>
  <si>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11/04/2015,09:00,"Juba, South Sudan",Allied Services LimitedÂ ,,Juba - Paloich,Antonov 12BK,EY-406Â ,1347704,43,38,5,41,37,4,0,"The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</si>
  <si>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11/21/2015,11:55,"  Fox Glacier, South Valley, New Zealand",Alpine Adventures,,Sightseeing,Aerospatiale AS 350B2 Ecureuil,ZK-HKU,1132,7,6,1,7,6,1,0,"The sightseeing helicopter crashed into a crevasse on Fox Glacier. The wreckage site was 2, 500 feet up the valley with debris scattered across hundreds of feet."</t>
  </si>
  <si>
    <t>11/24/2015,10:15,"Near Igarka, Russia",Turuhan Avia,,Igarka - Krasnyi Selkub,Mil MI-8T,RA-2561,98206821/59,26,22,4,15,13,2,0,"Contact with the helicopter, which was heading to an oil pumping station, was lost 15 minutes after taking off. One of the pilots and a mechanic were among the crew members killed."</t>
  </si>
  <si>
    <t>01/08/2016,00:20,"Akkajaure Lake, Norrbotten, Sweden",West Air Sweden,294,Oslo - TromsÃ¸,Canadair CRJ-200,SE-DUX,7010,2,0,2,2,0,2,0,"While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</si>
  <si>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02/02/2016,," Near Mogadishu, Somalia",Daallo Airlines,3159,Mogadishu - Djibouti,Airbus A321-111,SX-BHS,642,72,72,NULL,1,1,NULL,0,Shortly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</si>
  <si>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02/24/2016,08:15,"Dana, Nepal",Tara Air,193, Pokhara - Jomsom,de Havilland DHC-6 Twin Otter 400,9N-AHH,926,23,20,3,23,20,3,0,"The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</si>
  <si>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02/26/2016,,"250 miles northwest of Kathmandu, Nepal",Kasthamandap Airlines,,Nepalganj - Jumla,PAC 750XL,9N-AJB,160,11,9,2,2,0,2,0,The plane went into a steep descent and crashed onto a field in the mountains of the Kalikot district. The plane was reported to be trying to make an emergency landing. Both the pilot and copilot were killed and nine passengers were injured.</t>
  </si>
  <si>
    <t>03/09/2016,09:05,"Cox's Bazar, Bangladesh",True Aviation Ltd.,,Cox's Bazar - Jessore,Antonov AN-26Â ,S2-AGZ,13408,4,0,4,3,0,3,0,"The cargo plane, carrying shrimp, crashed less than 5 minutes after taking off from Cox's Bazar Airport. The pilot declaired an emergency and tried to return to the airport but crashed into the shallow waters of the Bay of Bengal just offshore."</t>
  </si>
  <si>
    <t>03/15/2016,14:30,"Fatima Pastaza, Ecuador",Military - Ecuador Army,,Training,IAI Attava 201Â ,E-206,090,22,19,3,22,19,3,0,"The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</si>
  <si>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03/19/2016,03:41,"	Rostov-on-Don, Russia",Flydubai,981,Dubai - Rostov,	Boeing 737-8KN (WL),A6-FDN,40241/3517,62,55,7,62,55,7,0,"At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</si>
  <si>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03/29/2016,11:40,"Magdelen Islands, Quebec, Canada",Marquise Aviation Corp.,,Montreal - Iles-de-la-Magdelen,Mitsubishi MU-2B 60 Marquise,N246W,1552S-A,7,5,2,7,5,2,0,"The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</si>
  <si>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04/04/2016,15:30,"Near Pigeon Forge, Tennessee",Smoky Mountain Helicopters,,Sightseeing,Bell 206L,N16760,45081,5,4,1,5,4,1,0,The helicopter crashed in a wooded hillside while on a sightseeing flight..</t>
  </si>
  <si>
    <t>04/13/2016,14:20,"Kiunga, Papua New Guinea",Sunbird Aviation,,Oksapmin - Kiungaraining,Britten-Norman Islander,P2-SBC,3010,12,11,1,12,11,1,0,"While on approach, the plane stalled and crased in a wooded area 1 km short of the runway. The accident took place in stormy weather.Three survived, but later died of their injuries. Possible engine failure."</t>
  </si>
  <si>
    <t>04/29/2016,11:50,"Sorta, Norway",	CHC Helikopter Service,,Gullfflex B - Bergen,	Eurocopter EC225LP Super Puma M2+, 	LN-OJF,2721,13,11,2,13,11,2,0,The helicopter crashed on the rocky shores of Tuoy Island whle returning to Bergen from Oil platform Gullflex B. All 11 passengers and 2 pilots were killed. A video taken by an eyewitness shows the main rotor separating from the helicopter before it crashed.</t>
  </si>
  <si>
    <t>05/19/2016,02:49,175 miles off the Egyptian coast,EgyptAir,804,Paris - Cairo,Airbus A320-232,SU-GCC,2088,66,56,10,66,56,10,0,"The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</si>
  <si>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07/22/2016,,"Bay of Bengal, Indian Ocean",Indian Air Force,,Chennai (Tambram AFB) - Port Blair,Antonov 32,K2743,0809,29,23,6,29,23,6,0,"The aircraft was taking part in fire fighting in the region of Bayanday, when under unknown circumstances, it impact trees and crashed in a wooded area."</t>
  </si>
  <si>
    <t>07/30/2016,07:42,"Near Lockhart, Texas",Heart of Texas Hot Air Balloon Rides,,Sightseeing Fentress Airpark, Kubicek BB85Z Hot Air Balloon,N2469L,,16,15,1,16,15,1,NULL,The hot air balloon struck power lines and crashed in a field. The pilot was likely impaired by opioids and sedatives when he ignored weather warnings and flew the ride into a power line.</t>
  </si>
  <si>
    <t>08/05/2016,12:38,"Dubai, United Arab Emirates",Emirates,521,"Thiruvanthapuram, India - Dubai, UAE",Boeing 777-31H,A6-EMW,32700/434,300,282,18,0,0,0,1,"After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</si>
  <si>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08/31/2016,11:00,"Russian Mission, Alaksa",Hageland Aviiation,3190,	Russian Mission- Marshall,Cessna 208 Grand Caravan,	N752RV,208B5088,5,4,1,5,4,1,0,A midair collision occurred between a Cessna 208 and a Piper PA-18 Super Cub just northwest of Russian Mission Airport. Three on the Cessna and 2 on the Piper were fatally injured. Rough terrain complicated removal of the victims.</t>
  </si>
  <si>
    <t>10/24/2016,07:20,Malta International Airport,AE Aviation,,Malta-Luqa - Malta-Luga,Swearingen SA277-AT Expditer,N577MX,AT-577,5,3,2,5,3,2,0,"Shortly after taking off, the plane banked to the right, lost altitude and impacted the ground just past the airport. French ministry officials on board were attempting to trace routes of illicit trafficking both human and drug, leaving Libya."</t>
  </si>
  <si>
    <t>11/28/2016,22:00,"Near La Union, Colombia",LAMIA Bolivia,2933,"Santa Cruz, Bolivia - Medellin,Colombia",Avro RJ-85,CP-2933,E-2348,77,68,9,71,64,7,0,"The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</si>
  <si>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12/03/2016,11:22,"Near Tanjung Pinanga, Indonesia",Indonesian Police,,Pangkal Pinang - Batam Island,M28 Skytruck,P-4201,,13,8,5,13,8,5,0,"The Indonesian police aircraft crashed in the waters off Kabupaten Lingga, Riau Islands during a 1.5 hour scheduled flight."</t>
  </si>
  <si>
    <t>12/07/2016,16:20,"Near Havlien, Pakistan",Pakistan International Airlines,661,Chitral - Islamabad,ATR-42-500,AP-BHO,663,48,42,6,48,42,6,0,"While en route, the crew made a mayday call reporting they lost one of two engines. Contact was lost and the plane soon after crashed into mountains near Abbottabad and Havelian."</t>
  </si>
  <si>
    <t>12/18/2016,06:10,"Near Wamena, Papua, Indonesia",Indonesian Air Force,,Timika - Warmera, 	Lockheed C-130H Hercules,  	A-1134,4785,13,10,3,13,10,3,0,The military plane crashed into mountainous terrain in an eastern section of the country while attempting to land at Warmera.</t>
  </si>
  <si>
    <t>12/20/2016,17:23,"Puerto Carreno, Colombia",Aerosucre Colombia,,Puerto Carreno - Bogota,Boeing 727-2JOF,HK-4544,21105/1158,6,0,6,5,0,5,0,"After taking off on runway 24, the cargo jet failed to lift off properly, just cleared the perimeter fence, became airborne, turned to the right, lost altitude and crashed in an open field. One engine suffered a flame-out."</t>
  </si>
  <si>
    <t>12/25/2016,05:27,"Near Adar, Russia",Russian Air Force,,Chkalovsky AB -Ader - Latakia,Tupolev 154B-2,RA-85572,83A-572,92,84,8,92,84,8,0,"The plane, carrying the Alexandrov Emsemble choir, reporters and service men, made a climbout out of Ader, turned back towards the coastline and crashed into the waters of the Black Sea about a mile offshore."</t>
  </si>
  <si>
    <t>01/16/2017,07:19,"Bishkek, Kyrgyzstan",My Cargo Airlines (ACT Airlines),6491,Hong Kong - Bishkek - Istanbul,Boeing 747-412F,TC-MCL,32897/1322,4,0,4,4,0,4,35,"While approaching Bishkek for a fuel stop, the cargo plane crashed past the end of the runway destroying 23 houses. The weather at the time of the accident was freezing fog."</t>
  </si>
  <si>
    <t>02/21/2017,09:00,"Melbourne, Victoria, Australia",Australian Corporate Jet Centres PTY. LTD,,Melbournen - King Island,Beechcraft B200 Super King Air,VH-ZCRÂ ,BB1544,5,4,1,5,4,1,0,"The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</si>
  <si>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03/10/2017,11:20,"Istanbul, Turkey",Swan Aviation,,Istanbul - Bozuyuk,Sikorsky S-76C,TC-HEZ,760717,7,5,2,7,5,2,0,"The helicopter crashed on a highway after hitting a TV tower, six minutes after taking off. The helicopter was carrying an executive of the Eczacibasi group of companies, four of his Russian guests and two pilots."</t>
  </si>
  <si>
    <t>03/27/2017,08:15,"Mautaer, Zimbabwe",ETA Air Charter,,"Beira, Mozambique - Harare, Zimbabwe",Britten-Norman BN2 Islander,C9-AOV,024,6,4,2,6,4,2,0,While en route the air transport plane collided with Mount Vumba in poor weather conditions.</t>
  </si>
  <si>
    <t>05/05/2017,06:53,"Charleston, West Virginia",Air Cargo Carriers,,Louisville - Charleston,Shorts 300-200,N334AC,SH-3029,2,0,2,2,0,2,0,"The cargo plane was destroyed when it crashed while attempting to land on runway 05 at Charleston Yeager Airport. After touching down hard, the aircraft when off the left side of the runway and fell into a wooded ravine."</t>
  </si>
  <si>
    <t>05/27/2017,14:02,"Tenzing, Nepal",Summit Air,409,,Let L-410UVP-E20,9N-AKY,2917,3,0,3,2,0,2,0,"The cargo plane crashed short of the runway threshhold whille attempting to land at Lukla-Tenzing Airport, coming to rest on a steep wooded area close to the airport perimeter fence. Both the pilot and copilot were killed."</t>
  </si>
  <si>
    <t>06/07/2017,13:35,"Off Dawei, Myanmar",Military - Myanmar Air Force,,Myeik - Yangon,Shaanxi Y-8F-200W,5820,,122,108,14,122,108,14,0,"The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</si>
  <si>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06/28/2017,10:15,"Mount Gambier, South Australia",Angel Flight,,Suttontown - Adelaide,Socata TB1-10 Tobago,VH-YTM,1518,3,2,1,3,2,1,0,The medical flight crashed 3 km south of Mount Gambier Airport in heavy fog. The plane had just taken off and was bound for Adelaide with a patient and her daughter. Angel Flight is used to help people in rural areas access medical treatment.</t>
  </si>
  <si>
    <t>07/10/2017,16:00,"Near Itta Bena, Mississipi",USMC,,"Cherry Point, NC - El Centro, CA",Lockheed KC-130T Hercules,165000,382-5303,16,14,2,16,14,2,0,"While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</si>
  <si>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09/30/2017,07:30,"Near Kinshasa, Congo",Air Force of the Democratic Republic of the Congo,,"Kinshasa, - Bunia",Antonov An-12B,EX-001,5343606,8,5,3,8,5,3,0,The aircraft departed Kinshasa and crashed about 20 km NE of Kinshasa.</t>
  </si>
  <si>
    <t>10/12/2017,17:15,"Near CuÃ­lo, Angola",Guicango,,Dundo - Luanda,Embraer EMB-120ER,D2-FDO,120082,7,4,3,7,4,3,0,"The air ambulance crashed en route shortly after the pilot reported a malfunction in the engine, followed by fire."</t>
  </si>
  <si>
    <t>10/14/2017,08:30,"Abidjan, Ivory Coast",Valan International Cargo Charter,,Burkina Faso - Abidjan,Antonov AN-26-100,ER-AVB,3204,10,4,6,4,4,0,0,"The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</si>
  <si>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11/15/2017,08:00,"Empakaai, Tanzania",Costal Aviation,,Arusha - Serengeti,Cessna 208B Grand Caravan,5H-EGG,208B-0476,11,10,1,11,10,1,0,The chartered Cessna was flying tourists from Kilimanjaro to Arusha. The plane circled for 30 minuets due to poor weather conditions before crashing.</t>
  </si>
  <si>
    <t>12/13/2017,18:15,"Near Fond-du-Lac, Saskatchewan",West Wind Aviation,,Fond-du-Lac - Stony Rapids,ATR42-320,C-GWEA,240,25,22,3,1,1,0,0,"Shortly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</si>
  <si>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12/31/2017,12:16,"Punta Islita, Costa Rica",Naure Air,,Punta Islita - San Jose,Cessna 208B Grand Caravan,TI-BEI,208B-0900,12,10,2,12,10,2,0,"The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</si>
  <si>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01/29/2018,,"	Zhengchang, Suiyang County, Guizhou Province",People's Liberation Army Air Force,,Training,Shaanxi Y-8GX-3,30513,,12,7,5,12,7,5,0,"While completing a training mission, the airplane crashed in unknown circumstances near the Zhengchang village, in the Guizhou Province."</t>
  </si>
  <si>
    <t>02/10/2018,17:31,"Grand Canyon, Arizona",Papillon,,Sightseeing,Eurocopter EC 130B4,N155GC,7091,7,6,1,3,3,0,0,The helicopter was observed making strange manoeuvres before clipping a cliff which snapped off its tail end. The aircraft then plummeted 600ft to the base of a gorge. There were strong winds in the area at the time of the accident.</t>
  </si>
  <si>
    <t>02/11/2018,14:31,"Argunovo, Russia",Saratov Airlines,703,Moscow - Orsk,Antonov AN-148-100,RA-61704,27015040004,71,65,6,71,65,6,0,"The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</si>
  <si>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02/18/2018,09:32,"Kohangan village, Iran",Iran Aseman Airlines,EP3704,Tehran - Yasuj,ATR 72-212,EP-ATS,391,66,60,6,66,60,6,0,"The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</si>
  <si>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03/06/2018,14:51,"Latakia, Syria",Military - Russian Air Force,,Kuweires Air Base - Latakia-Khmeimim Air Base,Antonov An-26,RF-92955/52,10107,39,33,6,39,33,6,0,"While on approach to Latakia-Khmeimim Air Base, the military transport plane crashed 1,600 feet short of the runway. The aircraft approached with a tail wind and was caught by a windshear on finals."</t>
  </si>
  <si>
    <t>03/11/2018,19:08,"New York, New York",Liberty Helicopters,,Sightseeing,Eurocopter AS 350B2,N350LH,7654,6,5,1,5,5,0,0,The sightseeing helicopter suddenly lost power and crashed in the East River. Two passengers were killed. Three other passengers later died in the hospital.</t>
  </si>
  <si>
    <t>03/12/2018,14:15,"Kathmandu, Nepal",US-Bangla Airlines,221,Dhaka - Kathmandu,de Havilland Canada DHC-8-402Q Dash 8,S2-AGUÂ ,BS4041,71,67,4,51,47,4,0,"After getting clearance to land, the aircraft was observed flying low. Soon after, the plane impacted terrain and caught fire. The cause of the accident was due to disorientation and  complete loss of situational awareness of the crew."</t>
  </si>
  <si>
    <t>04/11/2018,08:00,"Boufarik AB, Algeria",Military - Algerian Air Force,,Boufarik AB - Bechar - Tindouf,Ilyushin 76-TD,7T-WIP,1043419636,257,247,10,257,247,10,0,The Algerian military plane crashed soon after takeoff in a field and burst into flames. The plane was totally destroyed.</t>
  </si>
  <si>
    <t>04/17/2018,10:04,"NW of Philadelphia, Pennsylvania",Southwest Airlines,1380,New York - Dallas,Boeing 737-7H4,N722SW,27880/601,149,144,5,1,1,0,0,"While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</si>
  <si>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05/02/2018,11:30,"Port Wentworth, Georgia",Military - US Air Force,,Savannah - Tuscon,Lockheed HC-130H Hercules,65-0968,382-4110,9,0,9,9,0,9,0,A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</si>
  <si>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05/18/2018,12:08,"Havana, Cuba",Cubana (leased from Global Air),972,Havana- Holguin,Boeing 737-201,XA-UHZ,21816/592,113,107,6,112,106,6,0,"After taking off from runway 06 at Havana-JosÃ©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</si>
  <si>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07/10/2018,07:44,"Pretoria, South Africa",Rovos Air,,Test Flight,Convair CV-340,ZS-BRV,215,19,16,3,1,0,1,1,"Shortly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</si>
  <si>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08/04/2018,16:55,"Flims, Switzerland",Ju Air,,Locorno - Dubendorf,Junkers JU-52,HB-HOT,6595,20,17,3,20,17,3,1,"The vintage aircraft crashed onto Piz Segnas mountain while on a sightseeing flight. The plane plunged almost vertically at high speed and crashed at an elevation of 8,000 ft."</t>
  </si>
  <si>
    <t>09/28/2018,10:10,"Chuuk, Micronesia",Air Niugini,,Pohnpei - Chuuk,Boeing 737-8BK,P2-PXE,33024/1688,47,35,12,1,1,0,0,The aircraft was approaching for a landing at Chuuk/Weno Airport in rain when it landed in a lagoon 500 feet short of the runway. A passenger was found in the plane 3 days after the accident.</t>
  </si>
  <si>
    <t>10/29/2018,06:31,"Off Jakarta, Indonesia",Lion Air,610,Jakarta - Pangkal Pinang,Boeing 737-MAX 8,PK-LQP,43000/7058,189,181,8,189,181,8,0,"The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</si>
  <si>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11/06/2018,02:53,"Georgetown, Guyana",Fly Jamaica Airways,,Georgetown - Toronto,Boeing 757-N23,N524ATÂ ,30233/895,128,120,8,1,1,0,0,"After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</si>
  <si>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01/14/2019,08:30,"Karaj, Iran",Saha Air,,Bishkek - Payam,Boeing 707-3J9C,EP-CPP,21128/917,16,13,3,15,13,2,0,"The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</si>
  <si>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02/23/2019,12:45,"Houston, Texas",Atlas Air serving AmazonÂ ,3591,Miami - Houston,Boeing 767-375ER,N1217A,25865,3,0,3,3,0,3,0,ATC lost radar contact with the cargo jet when it was 30 miles southeast of George Bush International Airport. The plane crashed into Trinity Bay and broke apart in muddy water about 5 feet deep.</t>
  </si>
  <si>
    <t>03/09/2019,10:40,"Vereda La Bendicion, Colombia",Laser Aereo Colombia,,San Jose - Villavicencio,Douglas DC-3,HK-2494,:33105/16357,14,11,3,14,11,3,0,"While on approach to land, the crew contacted ATC and declared an emergency after which the airplane crashed in flames in a palm grove, 35 km south of La Vanguardia Airport. The crew reported engine problems."</t>
  </si>
  <si>
    <t>03/10/2019,08:44,"Bishoftu, Ethiopia",Ethiopian Airlines,302,Addis Ababa - Nairobi,Boeing 737 Max 8,ET-AVJ,63450/7243,157,149,8,157,149,8,0,"The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</si>
  <si>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04/16/2019,11:00,"Puerto Montt, Chile",Archipelagos Service Aereos,,Puerto Montt - Ayacara,Pilatus-Britten Norman BN-2B-27 Islander,CC-CYRÂ ,2169,6,5,1,6,5,1,0,"While the aircraft was in the initial climb, plane lost height and crashed in flames into a house located in a residential area about 400 meters from the airfield."</t>
  </si>
  <si>
    <t>05/05/2019,18:30,"Near Monclava, Mexico",TVPX Aircraft Solutions,,Las Vegas - Monterrey,Canadair CL-600-2B16-Challenger,N601VH,5043,13,11,2,13,11,2,0,"The aircraft crashed while en route on a return trip from Las Vegas to Monterrey, Mexico."</t>
  </si>
  <si>
    <t>05/05/2019,18:30,"Moscow, Russia",Aeroflot Russian International Airlines,,Moscow - Murmansk,Sukhoi Superjet-100-95B,RA-89098Â ,95135,78,73,5,41,40,1,0,"Forty-five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t>
  </si>
  <si>
    <t xml:space="preserve">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aircraftâ€™s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â€˜GLIDESLOPEâ€™ warning occurred. Descending between 180 to 40 feet the engine thrust was increased causing the aircraft to accelerate to 164 knots. At 16 feet AGL the speed was 170 KIAS. A Terrain Awareness Warning System aural signal â€˜Retardâ€™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</si>
  <si>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06/03/2019,13:00,"Near Lipo, India",Military - Indian Air Force,, Jorhat-Rowriah - Mechuka,Antonov An-32,K2752,1009,13,5,8,13,5,8,0,Crashed about 34km WNW of Mechuka.</t>
  </si>
  <si>
    <t>07/30/2019,02:00,"Rawalpindi, India",Military - Pakistan Army,,Training,Beechcraft B300 King Air,766,B766,5,0,5,5,0,5,14,"The Pakistani military plane, on a training flight, crashed into residential structures in Mora Kalu Village on the outskirts of Rawalpindi. The aircraft was destroyed killing 18 people, including the 2 pilots, 3 crew members and 14 civilians on the ground."</t>
  </si>
  <si>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</si>
  <si>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</si>
  <si>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</si>
  <si>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</si>
  <si>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</si>
  <si>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</si>
  <si>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</si>
  <si>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</si>
  <si>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</si>
  <si>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</si>
  <si>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</si>
  <si>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</si>
  <si>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</si>
  <si>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</si>
  <si>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</si>
  <si>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</si>
  <si>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</si>
  <si>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</si>
  <si>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</si>
  <si>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</si>
  <si>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</si>
  <si>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</si>
  <si>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</si>
  <si>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</si>
  <si>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</si>
  <si>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</si>
  <si>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Eugene Lefebvre was the first pilot to ever be killed in an air accident, after his controls jambed while flying in an air show.</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</si>
  <si>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</si>
  <si>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</si>
  <si>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</si>
  <si>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</si>
  <si>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</si>
  <si>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</si>
  <si>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</si>
  <si>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</si>
  <si>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</si>
  <si>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Over the North Sea</t>
  </si>
  <si>
    <t>Military - German Navy</t>
  </si>
  <si>
    <t>Zeppelin L-1 (airship)</t>
  </si>
  <si>
    <t>NULL</t>
  </si>
  <si>
    <t>The airship flew into a thunderstorm and encountered a severe downdraft crashing 20 miles north of Helgoland Island into the sea. The ship broke in two and the control car immediately sank drowning its occupants.</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</si>
  <si>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</si>
  <si>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</si>
  <si>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</si>
  <si>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</si>
  <si>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</si>
  <si>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</si>
  <si>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</si>
  <si>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</si>
  <si>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</si>
  <si>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</si>
  <si>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</si>
  <si>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</si>
  <si>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</si>
  <si>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</si>
  <si>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</si>
  <si>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</si>
  <si>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</si>
  <si>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</si>
  <si>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</si>
  <si>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</si>
  <si>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</si>
  <si>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</si>
  <si>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</si>
  <si>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</si>
  <si>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</si>
  <si>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</si>
  <si>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</si>
  <si>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</si>
  <si>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</si>
  <si>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</si>
  <si>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Baltic Sea.</t>
  </si>
  <si>
    <t>Near Texel Island, North Sea</t>
  </si>
  <si>
    <t>Zeppelin L-22 (airship)</t>
  </si>
  <si>
    <t>Crashed into the sea from an altitude of 3,000 ft. after being hit by British aircraft fire.</t>
  </si>
  <si>
    <t>Off Vlieland Island, North Sea</t>
  </si>
  <si>
    <t>Zeppelin L-43 (airship)</t>
  </si>
  <si>
    <t>Shot down by British aircraft.</t>
  </si>
  <si>
    <t>Near Yarmouth, England</t>
  </si>
  <si>
    <t>Zepplin LZ-95 (air ship)</t>
  </si>
  <si>
    <t>L-48</t>
  </si>
  <si>
    <t>Shot down by aircraft.</t>
  </si>
  <si>
    <t>Off western Denmark</t>
  </si>
  <si>
    <t>Zeppelin L-23 (airship)</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</si>
  <si>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</si>
  <si>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</si>
  <si>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</si>
  <si>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</si>
  <si>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</si>
  <si>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</si>
  <si>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</si>
  <si>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</si>
  <si>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</si>
  <si>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</si>
  <si>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</si>
  <si>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</si>
  <si>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</si>
  <si>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</si>
  <si>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</si>
  <si>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</si>
  <si>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Cleveland, Ohio</t>
  </si>
  <si>
    <t>Caught fire in midair. The pilot leaped from the plane to his death as the plane began to go into a dive.</t>
  </si>
  <si>
    <t>Dix Run, Pennsylvania</t>
  </si>
  <si>
    <t>The mail plane crashed under unknown circumstances.</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</si>
  <si>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</si>
  <si>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</si>
  <si>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</si>
  <si>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</si>
  <si>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</si>
  <si>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</si>
  <si>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</si>
  <si>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</si>
  <si>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</si>
  <si>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</si>
  <si>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</si>
  <si>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</si>
  <si>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Cantonsville, Maryland</t>
  </si>
  <si>
    <t>Curtiss R-4LM</t>
  </si>
  <si>
    <t>The pilot was performing a mail flight to Baltimore. While on final approach, in fog, the aircraft hit tree tops and crashed into the woods.</t>
  </si>
  <si>
    <t>English Channel off Forkstone, Kent</t>
  </si>
  <si>
    <t>G-EAHG</t>
  </si>
  <si>
    <t>Crashed into the sea while attempting to land in fog.</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</si>
  <si>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</si>
  <si>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</si>
  <si>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</si>
  <si>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</si>
  <si>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</si>
  <si>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</si>
  <si>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</si>
  <si>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</si>
  <si>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</si>
  <si>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New Paris, Indiana</t>
  </si>
  <si>
    <t>While on a a mail flight, the aircraft hit trees in fog and crashed in a wooded area.</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</si>
  <si>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</si>
  <si>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</si>
  <si>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</si>
  <si>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</si>
  <si>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Heller Field, New Jersey</t>
  </si>
  <si>
    <t>Curtiss JN-4H</t>
  </si>
  <si>
    <t>The aircraft crashed while on approach for unknown reasons.</t>
  </si>
  <si>
    <t>Oskaloosa, Iowa</t>
  </si>
  <si>
    <t>In worsening weather conditions, the pilot lost his sense of orientation and crashed in a field.</t>
  </si>
  <si>
    <t>The aircraft suffered engine failure and crashed shortly after taking off.</t>
  </si>
  <si>
    <t>Cartagena, Columbia</t>
  </si>
  <si>
    <t>CompaÃ±ia Colombiana de NavegaciÃ³n AÃ©rea</t>
  </si>
  <si>
    <t>Farman F-40</t>
  </si>
  <si>
    <t>Crashed while taking off after engine failure. Engine failure due to fuel exhaustion.</t>
  </si>
  <si>
    <t>Bedford, England</t>
  </si>
  <si>
    <t>By Air</t>
  </si>
  <si>
    <t>Armstrong-Whitworth F-K-8</t>
  </si>
  <si>
    <t>G-EALW</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</si>
  <si>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</si>
  <si>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</si>
  <si>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</si>
  <si>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</si>
  <si>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</si>
  <si>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mail plane went out of control and crashed after experiencing an in flight fire.</t>
  </si>
  <si>
    <t>Pemberville, Ohio</t>
  </si>
  <si>
    <t>Junkers F-13</t>
  </si>
  <si>
    <t>The pilot crashed after attempting to make an emergency landing after the engine caught fire.</t>
  </si>
  <si>
    <t>Hillersburg, Pennsylvania</t>
  </si>
  <si>
    <t>The plane struck power lines and crashed in flames after flying at a low altitude in poor visibility.</t>
  </si>
  <si>
    <t>Off Port Vendres, France</t>
  </si>
  <si>
    <t>Latecoere Airlines</t>
  </si>
  <si>
    <t>Salmson 2-A-2</t>
  </si>
  <si>
    <t>F-ALAI</t>
  </si>
  <si>
    <t>Crashed into the Mediterranean while on a mail flight.</t>
  </si>
  <si>
    <t>Valencia, Spain</t>
  </si>
  <si>
    <t>Breguet 14</t>
  </si>
  <si>
    <t>F-ALTA</t>
  </si>
  <si>
    <t>While on a mail flight the plane crashed while attempting to land.</t>
  </si>
  <si>
    <t>Batavia, Illinois</t>
  </si>
  <si>
    <t>While attempting to land in fog the aircraft hit an obstruction and crashed.</t>
  </si>
  <si>
    <t>Tie Siding, Wyoming</t>
  </si>
  <si>
    <t>The aircraft crashed into a mountain in poor weather condtions.</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</si>
  <si>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</si>
  <si>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</si>
  <si>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</si>
  <si>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</si>
  <si>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</si>
  <si>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</si>
  <si>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</si>
  <si>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Barcelona, Spain</t>
  </si>
  <si>
    <t>Aeropostale</t>
  </si>
  <si>
    <t>F-ALBO</t>
  </si>
  <si>
    <t>The aircraft stalled and crashed when an engine failed.</t>
  </si>
  <si>
    <t>Mendotta, Minnisota</t>
  </si>
  <si>
    <t>Shortly after takeoff from Minneapolis-World Chamberlain Field the engine failed. The aircraft lost altitude and crashed  in a field.</t>
  </si>
  <si>
    <t>La Crosse, Wisconsin</t>
  </si>
  <si>
    <t>Crashed for unknown reasons. Both pilots and the mechanic were killed.</t>
  </si>
  <si>
    <t>Off Gibraltar</t>
  </si>
  <si>
    <t>F-ALBA</t>
  </si>
  <si>
    <t>The mail fligh encountered poor weather conditions and crashed into the ocean while on approach to Gibraltar. The bodies of the crew were never recovered.</t>
  </si>
  <si>
    <t>Elko, Nevada</t>
  </si>
  <si>
    <t>Shortly after taking off, the aircraft stalled and crashed .</t>
  </si>
  <si>
    <t>Point Cook, Australia</t>
  </si>
  <si>
    <t>Military - Royal Australian Air Force</t>
  </si>
  <si>
    <t>H3021</t>
  </si>
  <si>
    <t>Shortly after taking off on a training flight, the aircraft dove into the ground and exploded in flames.</t>
  </si>
  <si>
    <t>Mitchel Field, NY</t>
  </si>
  <si>
    <t>After taking off the aircraft stalled and crashed.</t>
  </si>
  <si>
    <t>The aircraft crashed in a field, short of the runway, a few minutes before its scheduled arrival in Cleveland. The weather was poor with fog.</t>
  </si>
  <si>
    <t>Rock Springs, Wyoming</t>
  </si>
  <si>
    <t>De Havilland DH-4 De Havilland DH-4</t>
  </si>
  <si>
    <t>Crashed while attempting to land.</t>
  </si>
  <si>
    <t>Toulouse, France</t>
  </si>
  <si>
    <t>F-ALBI</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</si>
  <si>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</si>
  <si>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</si>
  <si>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</si>
  <si>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</si>
  <si>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</si>
  <si>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</si>
  <si>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</si>
  <si>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Warsaw - Prague - Strasbourg - Paris</t>
  </si>
  <si>
    <t>Potez IX</t>
  </si>
  <si>
    <t>F-ADCD</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</si>
  <si>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</si>
  <si>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</si>
  <si>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</si>
  <si>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</si>
  <si>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</si>
  <si>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</si>
  <si>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On approach to Geraldton the plane crashed near the Murchinson River. Considered the first commercial flight in Australila.</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</si>
  <si>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</si>
  <si>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</si>
  <si>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</si>
  <si>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</si>
  <si>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</si>
  <si>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</si>
  <si>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</si>
  <si>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</si>
  <si>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</si>
  <si>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</si>
  <si>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</si>
  <si>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</si>
  <si>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</si>
  <si>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</si>
  <si>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</si>
  <si>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</si>
  <si>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</si>
  <si>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</si>
  <si>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</si>
  <si>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</si>
  <si>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</si>
  <si>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</si>
  <si>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</si>
  <si>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</si>
  <si>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</si>
  <si>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</si>
  <si>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F-ACMH</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</si>
  <si>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</si>
  <si>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</si>
  <si>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</si>
  <si>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</si>
  <si>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</si>
  <si>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</si>
  <si>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</si>
  <si>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</si>
  <si>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</si>
  <si>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</si>
  <si>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</si>
  <si>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Cadix, Spain</t>
  </si>
  <si>
    <t>Grands Express Aeriens</t>
  </si>
  <si>
    <t>F-ALVE</t>
  </si>
  <si>
    <t>While attempting to make an emergency landing due to engine problems, the aircraft hit telephone lines and crashed.</t>
  </si>
  <si>
    <t>Indianapolis, Indiana</t>
  </si>
  <si>
    <t>The plane stalled shortly after takeoff and crashed.</t>
  </si>
  <si>
    <t>Venice, Italy</t>
  </si>
  <si>
    <t>de Havilland Air Service</t>
  </si>
  <si>
    <t>Venice - London</t>
  </si>
  <si>
    <t>de Havilland DH-9</t>
  </si>
  <si>
    <t>G-EAYT</t>
  </si>
  <si>
    <t>Shortly after taking off the plane crashed into the sea and sank.</t>
  </si>
  <si>
    <t>Larache, Morocco</t>
  </si>
  <si>
    <t>Crashed under unknown circumstances.</t>
  </si>
  <si>
    <t>Fez, Morocco</t>
  </si>
  <si>
    <t>Toulouse - Barcelona - Valencia - Alicante - Malaga - Rabat</t>
  </si>
  <si>
    <t>F-ALNA</t>
  </si>
  <si>
    <t>While flying in foggy conditions the pilot reduced altitude and crashed into a hill.</t>
  </si>
  <si>
    <t>Ajaccio, France</t>
  </si>
  <si>
    <t>Amee de l'Air</t>
  </si>
  <si>
    <t>LiorÃ©-et-Olivier H-13</t>
  </si>
  <si>
    <t>F-AEIB</t>
  </si>
  <si>
    <t>The plane crashed mid-air due to a structural failure of the tail.</t>
  </si>
  <si>
    <t>F-ALJU</t>
  </si>
  <si>
    <t>6083-130</t>
  </si>
  <si>
    <t>Crashed into a mountain during a snowstorm.</t>
  </si>
  <si>
    <t>Cheyenne, Wyoming</t>
  </si>
  <si>
    <t>Crashed during a mail flight.</t>
  </si>
  <si>
    <t>Meadville, Pennsylvania</t>
  </si>
  <si>
    <t>The pilot lost control of the aircraft  while on approach in poor weather conditions.</t>
  </si>
  <si>
    <t>Near Amiens, Picrdie, France</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</si>
  <si>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</si>
  <si>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</si>
  <si>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</si>
  <si>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</si>
  <si>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</si>
  <si>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</si>
  <si>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</si>
  <si>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</si>
  <si>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</si>
  <si>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</si>
  <si>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</si>
  <si>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</si>
  <si>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</si>
  <si>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BlÃ©riot Spad 46</t>
  </si>
  <si>
    <t>F-AEGN</t>
  </si>
  <si>
    <t>Crashed while on approach to Bucharesst.</t>
  </si>
  <si>
    <t>Colton, Ohio</t>
  </si>
  <si>
    <t>Crashed during an emergency landing attempt.</t>
  </si>
  <si>
    <t>Near Ivinghoe, Buckinghamshire, England</t>
  </si>
  <si>
    <t>Daimler Airways</t>
  </si>
  <si>
    <t>Croydon - Manchester</t>
  </si>
  <si>
    <t>de Havilland DH-34</t>
  </si>
  <si>
    <t>G-EBBS</t>
  </si>
  <si>
    <t>Crashed while attempting a forced landing after encountering heavy rain.</t>
  </si>
  <si>
    <t>Russia</t>
  </si>
  <si>
    <t>CCCP</t>
  </si>
  <si>
    <t>D-257</t>
  </si>
  <si>
    <t>Crashed during a training flight.</t>
  </si>
  <si>
    <t>Castalia, Ohio</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</si>
  <si>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</si>
  <si>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</si>
  <si>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</si>
  <si>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</si>
  <si>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</si>
  <si>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</si>
  <si>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</si>
  <si>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Crashed into a montain in poor weather conditions.</t>
  </si>
  <si>
    <t>Grampian, Pennsylvania</t>
  </si>
  <si>
    <t>Crashed during a snowstorm.</t>
  </si>
  <si>
    <t>Over the English Channel</t>
  </si>
  <si>
    <t>KLM Royal Dutch Airlines</t>
  </si>
  <si>
    <t>Lympne, England - Rotterdam, The Netherlands</t>
  </si>
  <si>
    <t>Fokker F.III</t>
  </si>
  <si>
    <t>H-NABS</t>
  </si>
  <si>
    <t>The aircraft disappeared over the North Sea. The plane and passengers were never found.</t>
  </si>
  <si>
    <t>Barranquilla, Colombia</t>
  </si>
  <si>
    <t>SCADTA</t>
  </si>
  <si>
    <t>Barranquilla - Bogota</t>
  </si>
  <si>
    <t>A16</t>
  </si>
  <si>
    <t>Stalled after taking off and crashed into houses..</t>
  </si>
  <si>
    <t>United States</t>
  </si>
  <si>
    <t>The pliot made a low pass in honor of another pilot who had died, stalled and cashed.</t>
  </si>
  <si>
    <t>Cabrerolles, France</t>
  </si>
  <si>
    <t>F-AFBD</t>
  </si>
  <si>
    <t>While en route the pilot encountered thunderstorms, lost control and crashed.</t>
  </si>
  <si>
    <t>Goshen, Indiana</t>
  </si>
  <si>
    <t>Lost in a snowstorm, the pilot decided to bail out of the plane but was killed.</t>
  </si>
  <si>
    <t>Purley, England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</si>
  <si>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</si>
  <si>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</si>
  <si>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</si>
  <si>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</si>
  <si>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Near Tiflis, Georgia, USSR</t>
  </si>
  <si>
    <t>Zakavia</t>
  </si>
  <si>
    <t>Tiflis - Suchumi</t>
  </si>
  <si>
    <t>R-RECA</t>
  </si>
  <si>
    <t>Shortly after take off the plane went out of control and crashed in flames.</t>
  </si>
  <si>
    <t>Alicante, Spain</t>
  </si>
  <si>
    <t>Alicante - Barcelona - Toulouse</t>
  </si>
  <si>
    <t>F-AFBB</t>
  </si>
  <si>
    <t>Shortly after takeoff, while flying at a low altitude, in poor visibility, the, aircraft hit a lightning rod, stalled and crashed.</t>
  </si>
  <si>
    <t>LandrÃ©cies, France</t>
  </si>
  <si>
    <t>Amsterdam - Paris</t>
  </si>
  <si>
    <t>H-NABM</t>
  </si>
  <si>
    <t>While in a turn in bad weather, the right wing struck trees and the plane crashed. Failure of an aileron in flight.</t>
  </si>
  <si>
    <t>Oran - Alicante</t>
  </si>
  <si>
    <t>LiorÃ©-et-Olivier LeO H-13</t>
  </si>
  <si>
    <t>F-FREM</t>
  </si>
  <si>
    <t>While attempting to land the seaplane hit a lightning mast and crashed.</t>
  </si>
  <si>
    <t>Rosas, Spain</t>
  </si>
  <si>
    <t>Lignes Aeriennes Latecoere</t>
  </si>
  <si>
    <t>Toulouse - Barcelona</t>
  </si>
  <si>
    <t>F-AFBI</t>
  </si>
  <si>
    <t>Crashed in unknown circumstance.</t>
  </si>
  <si>
    <t>Budapest, Hungary</t>
  </si>
  <si>
    <t>CIDNA</t>
  </si>
  <si>
    <t>Crashed while attempting to land 10 km from the airport</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</si>
  <si>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</si>
  <si>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</si>
  <si>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</si>
  <si>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</si>
  <si>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</si>
  <si>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</si>
  <si>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</si>
  <si>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Mt. Nittany, Ohio</t>
  </si>
  <si>
    <t>New York - San Francisco</t>
  </si>
  <si>
    <t>Crashed into a wooded area on Mt. Nittany in fog and low visibility.</t>
  </si>
  <si>
    <t>Nouadhibou, Mauritania</t>
  </si>
  <si>
    <t>F-AEGZ</t>
  </si>
  <si>
    <t>The pilot suffered sunstroke lost control of the plane and crashed.</t>
  </si>
  <si>
    <t>Off Boulogne-sur-Mer, France</t>
  </si>
  <si>
    <t>F-AMFY</t>
  </si>
  <si>
    <t>Montpelier, Ohio</t>
  </si>
  <si>
    <t>Curtiss Carrier Pigeon</t>
  </si>
  <si>
    <t>While the mail plane was flying at a low altitude, the  aircraft hit trees and crashed in a wooded area.</t>
  </si>
  <si>
    <t>Staaken, Germany</t>
  </si>
  <si>
    <t>Deutche Lufthansa</t>
  </si>
  <si>
    <t>D-290 D-290</t>
  </si>
  <si>
    <t>While in a training filight the aircraft stalled and crashed while attempting to land.</t>
  </si>
  <si>
    <t>English Channel</t>
  </si>
  <si>
    <t>Paris - Cryodon</t>
  </si>
  <si>
    <t>F-ADAI</t>
  </si>
  <si>
    <t>The mail plane crashed into the English Channel and was never found.</t>
  </si>
  <si>
    <t>Rossaugpt, Czechoslovakia</t>
  </si>
  <si>
    <t>Compagnie Internationale de Navigation AÃ©rienne</t>
  </si>
  <si>
    <t>Paris - Prague - Budapest</t>
  </si>
  <si>
    <t>Caudron C-61</t>
  </si>
  <si>
    <t>F-AFBT</t>
  </si>
  <si>
    <t>Crashed while en route into a mountain in adverse weather conditions. The pilot was flying at too low of an altitude.</t>
  </si>
  <si>
    <t>Wolvertem, Belgium</t>
  </si>
  <si>
    <t>Amsterdam - Rotterdam - Brussels - Paris</t>
  </si>
  <si>
    <t>Fokker F7</t>
  </si>
  <si>
    <t>H-NACC</t>
  </si>
  <si>
    <t>Crashed into the ground while descending in poor weather.</t>
  </si>
  <si>
    <t>Juist, Germany</t>
  </si>
  <si>
    <t>Deutsche Lufthansa</t>
  </si>
  <si>
    <t>D-272</t>
  </si>
  <si>
    <t>Crashed under weather related.circumstances.</t>
  </si>
  <si>
    <t>Hurst, Kent, England</t>
  </si>
  <si>
    <t>Lebourget, France - Croydon, England</t>
  </si>
  <si>
    <t>Bleriot 155</t>
  </si>
  <si>
    <t>F-AIEB</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</si>
  <si>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</si>
  <si>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</si>
  <si>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</si>
  <si>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</si>
  <si>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</si>
  <si>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</si>
  <si>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</si>
  <si>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</si>
  <si>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Bueren, Germany</t>
  </si>
  <si>
    <t>Fokker FG III</t>
  </si>
  <si>
    <t>D-468</t>
  </si>
  <si>
    <t>Weather related.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</si>
  <si>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</si>
  <si>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</si>
  <si>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</si>
  <si>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</si>
  <si>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</si>
  <si>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</si>
  <si>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</si>
  <si>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</si>
  <si>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</si>
  <si>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</si>
  <si>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</si>
  <si>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</si>
  <si>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Estaires, France</t>
  </si>
  <si>
    <t>Fokker</t>
  </si>
  <si>
    <t>Delivery flight</t>
  </si>
  <si>
    <t>Fokker F-VII</t>
  </si>
  <si>
    <t>G-EBPL</t>
  </si>
  <si>
    <t>The flight crew encountered poor weather conditions and made an emergency landing. The aircraft landed in a field badly damaged and written off.</t>
  </si>
  <si>
    <t>Rabat, Morocco</t>
  </si>
  <si>
    <t>Casablanca - Oran</t>
  </si>
  <si>
    <t>F-ALRA</t>
  </si>
  <si>
    <t>Unknown.</t>
  </si>
  <si>
    <t>Tambo, Qld, Australia</t>
  </si>
  <si>
    <t>Qantas</t>
  </si>
  <si>
    <t>Charleville - Tambo - Blackall</t>
  </si>
  <si>
    <t>de Havilland DH-9C</t>
  </si>
  <si>
    <t>G-AUED</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</si>
  <si>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</si>
  <si>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</si>
  <si>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</si>
  <si>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</si>
  <si>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</si>
  <si>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</si>
  <si>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Floh, Germany</t>
  </si>
  <si>
    <t>D-729</t>
  </si>
  <si>
    <t>Crashed following engine failure.</t>
  </si>
  <si>
    <t>Douglas M-4</t>
  </si>
  <si>
    <t>Crashed into a field during a snow storm.</t>
  </si>
  <si>
    <t>Algiers, Algeria</t>
  </si>
  <si>
    <t>SPCA Meteore 63</t>
  </si>
  <si>
    <t>F-AIFN</t>
  </si>
  <si>
    <t>The three engine seaplane stalled and crashed into the sea shortly after taking off.</t>
  </si>
  <si>
    <t>Amoneburg, Germany</t>
  </si>
  <si>
    <t>Kassel - Frankfurt</t>
  </si>
  <si>
    <t>D-206</t>
  </si>
  <si>
    <t>Crashed after experiencing engine failure and attempting to make a forced landing.</t>
  </si>
  <si>
    <t>Sevenoaks, England</t>
  </si>
  <si>
    <t>Croydon - Schiphol</t>
  </si>
  <si>
    <t>Fokker F-VIII</t>
  </si>
  <si>
    <t>H-NADU H-NADU</t>
  </si>
  <si>
    <t>A broken wire led to the partial loss of the the rudder and a crash landing which resulted in the aircraft striking a tree, killing the flight engineer.</t>
  </si>
  <si>
    <t>Willington, Connecticut</t>
  </si>
  <si>
    <t>Colonial Air Transport</t>
  </si>
  <si>
    <t>Fokker Universal</t>
  </si>
  <si>
    <t>NC52  	 NC52</t>
  </si>
  <si>
    <t>The postal plane crashed for unknown reasons.</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</si>
  <si>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</si>
  <si>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</si>
  <si>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</si>
  <si>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</si>
  <si>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</si>
  <si>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</si>
  <si>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</si>
  <si>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</si>
  <si>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</si>
  <si>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</si>
  <si>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Schleiz, Germany</t>
  </si>
  <si>
    <t>Berlin - Munich</t>
  </si>
  <si>
    <t>Dornier Merkur</t>
  </si>
  <si>
    <t>D-585</t>
  </si>
  <si>
    <t>From an altitude of 500 ft. the plane went out of control and crashed  due to a broken wing strut.</t>
  </si>
  <si>
    <t>Thies, Mauritania</t>
  </si>
  <si>
    <t>Saint Louis - Dakar</t>
  </si>
  <si>
    <t>F-AGBN</t>
  </si>
  <si>
    <t>The plane crashed while attempting to land at Dakar.</t>
  </si>
  <si>
    <t>New Brunswick, New Jersey</t>
  </si>
  <si>
    <t>Fairchild FC-2</t>
  </si>
  <si>
    <t>Went into a tailspin and crashed into a corn field about 10 km from the airport.</t>
  </si>
  <si>
    <t>Strasburg, France</t>
  </si>
  <si>
    <t>Farman F-121 Jabiru</t>
  </si>
  <si>
    <t>F-AIBR</t>
  </si>
  <si>
    <t>The mail plane crashed shortly after taking off.</t>
  </si>
  <si>
    <t>Over the Gulf of Finland</t>
  </si>
  <si>
    <t>Aero O-Y</t>
  </si>
  <si>
    <t>Tallinn - Helsinki</t>
  </si>
  <si>
    <t>K-SALD</t>
  </si>
  <si>
    <t>Crashed in the gulf of Finland and never found.</t>
  </si>
  <si>
    <t>Corunna, Indiana</t>
  </si>
  <si>
    <t>National Air Transport</t>
  </si>
  <si>
    <t>NC62  	 NC1062</t>
  </si>
  <si>
    <t>PO641</t>
  </si>
  <si>
    <t>The postal plane crashed at night in poor weather.</t>
  </si>
  <si>
    <t>Almeria, Spain</t>
  </si>
  <si>
    <t>Dakar - Casablanca - Alicante - Perpignan - Toulouse</t>
  </si>
  <si>
    <t>F-AFGS</t>
  </si>
  <si>
    <t>A fire erupted aboard the mail plane while en route and crashed.</t>
  </si>
  <si>
    <t>Near Marseille,France</t>
  </si>
  <si>
    <t>LatÃ©coÃ¨re 23 (flying boat)</t>
  </si>
  <si>
    <t>F-AIHP</t>
  </si>
  <si>
    <t>Suffered structural failure at an altitude of 1,000 ft.</t>
  </si>
  <si>
    <t>Near Canajoharie, New York</t>
  </si>
  <si>
    <t>Colonial Western Airlines</t>
  </si>
  <si>
    <t>Minola - Albany - Buffalo</t>
  </si>
  <si>
    <t>NC3780</t>
  </si>
  <si>
    <t>Became lost in dense fog and flew into trees in the Mohawk Valley while proceeding to Buffalo..</t>
  </si>
  <si>
    <t>Solis, Uruguay</t>
  </si>
  <si>
    <t>F-AIKG</t>
  </si>
  <si>
    <t>Buenos Aires - Montevideo</t>
  </si>
  <si>
    <t>Latecoere 25</t>
  </si>
  <si>
    <t>The wing on the mail plane detached from the aircraft and crashed into the sea.</t>
  </si>
  <si>
    <t>L'Hospitalet, AriÃ¨ge</t>
  </si>
  <si>
    <t>Toulouse - Perpignan - Alicante - Casablanca - Dakar</t>
  </si>
  <si>
    <t xml:space="preserve">  F-AHEQ</t>
  </si>
  <si>
    <t>Crashed after experiencing mechanical difficulties.</t>
  </si>
  <si>
    <t>Tarragona, Spain</t>
  </si>
  <si>
    <t>Casablanca - Alicante - Perpignan - Toulouse</t>
  </si>
  <si>
    <t>F-AHEQ</t>
  </si>
  <si>
    <t>Crashed in unknown circumstances.</t>
  </si>
  <si>
    <t>F-AFHN</t>
  </si>
  <si>
    <t>After experiencing turbulence the pilot's seat belt broke and ejecting the pilot.</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</si>
  <si>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</si>
  <si>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</si>
  <si>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</si>
  <si>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</si>
  <si>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</si>
  <si>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</si>
  <si>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</si>
  <si>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F-AEFC</t>
  </si>
  <si>
    <t>62/6943</t>
  </si>
  <si>
    <t>Crashed into the sea while delivering mail in poor weather.</t>
  </si>
  <si>
    <t>Federal, Wyoming</t>
  </si>
  <si>
    <t>NC282 NC282</t>
  </si>
  <si>
    <t>Spatial disorientation after entering a snowstorm.</t>
  </si>
  <si>
    <t>Minuesa, Spain</t>
  </si>
  <si>
    <t>Iberia Airlines</t>
  </si>
  <si>
    <t>Barcelona - Madrid</t>
  </si>
  <si>
    <t>Rohrbach Roland</t>
  </si>
  <si>
    <t>M-CCCC</t>
  </si>
  <si>
    <t>Crashed into a field after getting lost in fog.</t>
  </si>
  <si>
    <t>Florianopolis, Brazil Florianopolis, Brazil Florianopolis, Brazil</t>
  </si>
  <si>
    <t>Latecoere 26</t>
  </si>
  <si>
    <t>F-AIMQ</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</si>
  <si>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</si>
  <si>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</si>
  <si>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</si>
  <si>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</si>
  <si>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</si>
  <si>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</si>
  <si>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</si>
  <si>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</si>
  <si>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Radevormwald, Germany</t>
  </si>
  <si>
    <t>Essen - Dortmund - Frankfurt</t>
  </si>
  <si>
    <t>D-583</t>
  </si>
  <si>
    <t>After taking off and encountering fog, the pilot decided to  to make a precautionary landing in a field but t hit a cow, crashed and burned. Pilot error.</t>
  </si>
  <si>
    <t>Frankfurt, Germany</t>
  </si>
  <si>
    <t>AEGK</t>
  </si>
  <si>
    <t>D-74</t>
  </si>
  <si>
    <t>The "Viper" crashed for unknown reasons.</t>
  </si>
  <si>
    <t>Lebo, Kansas</t>
  </si>
  <si>
    <t>Chicago - Dallas</t>
  </si>
  <si>
    <t>NC1059</t>
  </si>
  <si>
    <t>The mail plane flew into tornado like winds and crashed in a field.</t>
  </si>
  <si>
    <t>K-SALB</t>
  </si>
  <si>
    <t>Crashed under unknown circumstances</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</si>
  <si>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</si>
  <si>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</si>
  <si>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</si>
  <si>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</si>
  <si>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Waalhaven, Netherlands</t>
  </si>
  <si>
    <t>Sightseeing over Rotterdam</t>
  </si>
  <si>
    <t>Fokker (KLM) F.III</t>
  </si>
  <si>
    <t>H-NABR</t>
  </si>
  <si>
    <t>1533 (KLM-1)</t>
  </si>
  <si>
    <t>The plane became airborne in a stalled condition, hit a shipsmast and crashed into the Waalhaven.</t>
  </si>
  <si>
    <t>Near Port Townsend, BC, Canada</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</si>
  <si>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</si>
  <si>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</si>
  <si>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</si>
  <si>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</si>
  <si>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</si>
  <si>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</si>
  <si>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</si>
  <si>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</si>
  <si>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</si>
  <si>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</si>
  <si>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</si>
  <si>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</si>
  <si>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</si>
  <si>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</si>
  <si>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</si>
  <si>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</si>
  <si>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</si>
  <si>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</si>
  <si>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</si>
  <si>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</si>
  <si>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</si>
  <si>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Heroldbach, Germany</t>
  </si>
  <si>
    <t>D-180</t>
  </si>
  <si>
    <t>Crashed due to engine failure.</t>
  </si>
  <si>
    <t>Gerona, Spain</t>
  </si>
  <si>
    <t>Casablanca - Alicante - Barcelona - Perpignan - Toulouse</t>
  </si>
  <si>
    <t>F-AEEJ F-AEEJ</t>
  </si>
  <si>
    <t>Encountered fog and crashed into a mountain slope near the monastery of Sant Pere de Rodes, south of LlancÃ ,</t>
  </si>
  <si>
    <t>Polk, Pennsylvania</t>
  </si>
  <si>
    <t>NC1064</t>
  </si>
  <si>
    <t>The mail plane crashed into a hill and burned during the night during poor weather conditons.</t>
  </si>
  <si>
    <t>Valence, France</t>
  </si>
  <si>
    <t>Paris - Lyon - Marseille</t>
  </si>
  <si>
    <t>Bleriot Spad 56</t>
  </si>
  <si>
    <t>F-AIMN</t>
  </si>
  <si>
    <t>4381.9</t>
  </si>
  <si>
    <t>The pilot attempted an emergency landing in a muddy field and crashed.</t>
  </si>
  <si>
    <t>Marseille - Palma de Majorca</t>
  </si>
  <si>
    <t>Latecoere 32</t>
  </si>
  <si>
    <t>F-AISN</t>
  </si>
  <si>
    <t>The sea plane stuck a lightning mast and crashed into houses. Pilot error.</t>
  </si>
  <si>
    <t>Edgerton, Ohio</t>
  </si>
  <si>
    <t>Universal Airlines</t>
  </si>
  <si>
    <t>Cleveland - Chicago</t>
  </si>
  <si>
    <t>Hamilton H-47</t>
  </si>
  <si>
    <t>NC7521</t>
  </si>
  <si>
    <t>The mail plane crashed in a heavy snow storm.</t>
  </si>
  <si>
    <t>Continental Air Lines</t>
  </si>
  <si>
    <t>Cleveland - Louisville</t>
  </si>
  <si>
    <t>Travel Air 4000</t>
  </si>
  <si>
    <t>NC5436</t>
  </si>
  <si>
    <t>The mail plane crashed in a heavy snow storm</t>
  </si>
  <si>
    <t>Bristolville, Ohio</t>
  </si>
  <si>
    <t>NC792</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</si>
  <si>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</si>
  <si>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</si>
  <si>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</si>
  <si>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</si>
  <si>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</si>
  <si>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</si>
  <si>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</si>
  <si>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Near Rio de Janeiro,Brazil</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</si>
  <si>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</si>
  <si>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</si>
  <si>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</si>
  <si>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</si>
  <si>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 Washington</t>
  </si>
  <si>
    <t>Spokane Airways</t>
  </si>
  <si>
    <t>Colfax - Spokane</t>
  </si>
  <si>
    <t>Ford Tri-motor 4</t>
  </si>
  <si>
    <t>NC7687</t>
  </si>
  <si>
    <t>4-AT-045</t>
  </si>
  <si>
    <t>The aircraft crashed while attempting to land in fog.</t>
  </si>
  <si>
    <t>Letzlingen, Germany</t>
  </si>
  <si>
    <t>Cologne -  Berlin</t>
  </si>
  <si>
    <t>Junkers G-31</t>
  </si>
  <si>
    <t>D-1473</t>
  </si>
  <si>
    <t>After a fuel line broke in flight, the pilot was forced to make an emergency landing in an open field. On landing, the aircraft crashed, overturned and came to rest in flames.</t>
  </si>
  <si>
    <t>Huron, Ohio</t>
  </si>
  <si>
    <t>NC790</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</si>
  <si>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</si>
  <si>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</si>
  <si>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</si>
  <si>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</si>
  <si>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</si>
  <si>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</si>
  <si>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</si>
  <si>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</si>
  <si>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</si>
  <si>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Stafford Springs, Connecticut</t>
  </si>
  <si>
    <t>NC5650</t>
  </si>
  <si>
    <t>Struck a mountain slope  in poor weather.</t>
  </si>
  <si>
    <t>Cove, Oregon</t>
  </si>
  <si>
    <t>Boise, ID - Pasco, WA</t>
  </si>
  <si>
    <t>Stearman C-38</t>
  </si>
  <si>
    <t>NC1682</t>
  </si>
  <si>
    <t>While attempting to make an emergency landing on the Minam river the mail plane hit a bolder killing the pilot.</t>
  </si>
  <si>
    <t>Near Corfu, Greece</t>
  </si>
  <si>
    <t>Aeroespresso</t>
  </si>
  <si>
    <t>Brindisi - Athens - Istanbul</t>
  </si>
  <si>
    <t>CMASA Wal</t>
  </si>
  <si>
    <t>I-AZDA</t>
  </si>
  <si>
    <t>The passenger plane diverted off Kerkira in the Ionian Sea due to poor weather conditions and thunderstoms and sank in rough seas.</t>
  </si>
  <si>
    <t>Off Morocco</t>
  </si>
  <si>
    <t>Agadir - Casablanca</t>
  </si>
  <si>
    <t>F-AIMU F-AIMU</t>
  </si>
  <si>
    <t>While cruising along the coast, the mail plane crashed into the Atlantic Ocean for unknown reasons.</t>
  </si>
  <si>
    <t>Morgantown, West Virginia</t>
  </si>
  <si>
    <t>Skyline Transportation Company</t>
  </si>
  <si>
    <t>NC6480</t>
  </si>
  <si>
    <t>While attempting to land, the aircraft overran the runway and hit the perimeter fence.</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</si>
  <si>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</si>
  <si>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</si>
  <si>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</si>
  <si>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</si>
  <si>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</si>
  <si>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</si>
  <si>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</si>
  <si>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</si>
  <si>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</si>
  <si>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</si>
  <si>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</si>
  <si>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</si>
  <si>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</si>
  <si>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</si>
  <si>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</si>
  <si>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</si>
  <si>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</si>
  <si>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</si>
  <si>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</si>
  <si>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</si>
  <si>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M-SCAL</t>
  </si>
  <si>
    <t>An engine failed, the plane stalled and crashed.</t>
  </si>
  <si>
    <t>TÃ¶kÃ¶l,  Pest Hungary</t>
  </si>
  <si>
    <t>MALERT</t>
  </si>
  <si>
    <t>Fokker F-III</t>
  </si>
  <si>
    <t>H-MABC</t>
  </si>
  <si>
    <t>A wing separated in flight and the plane crashed.</t>
  </si>
  <si>
    <t>Algiers</t>
  </si>
  <si>
    <t>Algiers - Marseille</t>
  </si>
  <si>
    <t>Cams 53</t>
  </si>
  <si>
    <t>F-AISX</t>
  </si>
  <si>
    <t>The plane collided with a submerged object while taking off.</t>
  </si>
  <si>
    <t>Santiago de Cuba, Cuba</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</si>
  <si>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</si>
  <si>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</si>
  <si>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</si>
  <si>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</si>
  <si>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</si>
  <si>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Janeiro - Buenos Aires</t>
  </si>
  <si>
    <t>F-AFEJ</t>
  </si>
  <si>
    <t>Took off, lost power and altitude and crashed into a telegraph tower.</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</si>
  <si>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</si>
  <si>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</si>
  <si>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</si>
  <si>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</si>
  <si>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</si>
  <si>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</si>
  <si>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</si>
  <si>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</si>
  <si>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</si>
  <si>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</si>
  <si>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</si>
  <si>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</si>
  <si>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Near Lindau, Bavaria, Germany</t>
  </si>
  <si>
    <t>Bodensee Aerolloyd</t>
  </si>
  <si>
    <t>Domier Delphin III (flying boat)</t>
  </si>
  <si>
    <t>D-1620</t>
  </si>
  <si>
    <t>The seaplane crashed into lake Constance while attempting to landing. The landing was hard and the plane broke in two and sank.</t>
  </si>
  <si>
    <t>Columbus, Ohio</t>
  </si>
  <si>
    <t>NC5435</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</si>
  <si>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</si>
  <si>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</si>
  <si>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</si>
  <si>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</si>
  <si>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</si>
  <si>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</si>
  <si>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Sochi, Russia</t>
  </si>
  <si>
    <t>Ukvozduchput</t>
  </si>
  <si>
    <t>Kalinin K-4</t>
  </si>
  <si>
    <t>CCCP-217</t>
  </si>
  <si>
    <t>Elm, Germany</t>
  </si>
  <si>
    <t>Frankfurt - Berlin</t>
  </si>
  <si>
    <t>Fokker FG II</t>
  </si>
  <si>
    <t>D-757</t>
  </si>
  <si>
    <t>The aorcraft hit a hill in fog and poor visibility.</t>
  </si>
  <si>
    <t>Needles, California</t>
  </si>
  <si>
    <t>Associated Aviators</t>
  </si>
  <si>
    <t>Lockheed Vega</t>
  </si>
  <si>
    <t>NR859E</t>
  </si>
  <si>
    <t>The plane crashed after going into a tail spin in a thunderstorm. The mechanic was able to parachute to safety.</t>
  </si>
  <si>
    <t>Mt. Taylor, near Grants, New Mexico</t>
  </si>
  <si>
    <t>Trans Continental Air Transport</t>
  </si>
  <si>
    <t>Albuquerque - Los Angeles</t>
  </si>
  <si>
    <t>NC9649</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</si>
  <si>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</si>
  <si>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</si>
  <si>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</si>
  <si>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</si>
  <si>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</si>
  <si>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</si>
  <si>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Toulouse, France - Casablanca, Morocco</t>
  </si>
  <si>
    <t>F-AIUJ</t>
  </si>
  <si>
    <t>Crashed at sea, 30 miles from Larache, Morocco for unknown reasons.</t>
  </si>
  <si>
    <t>Saint Catharines, Ontario</t>
  </si>
  <si>
    <t>Skyways</t>
  </si>
  <si>
    <t>Travel Air 6000</t>
  </si>
  <si>
    <t>CF-ABE</t>
  </si>
  <si>
    <t>The aircraft went out of control and crashed for unknown reasons.</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</si>
  <si>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</si>
  <si>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</si>
  <si>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</si>
  <si>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</si>
  <si>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</si>
  <si>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</si>
  <si>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</si>
  <si>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</si>
  <si>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</si>
  <si>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</si>
  <si>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</si>
  <si>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</si>
  <si>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Off Spezia, Italy</t>
  </si>
  <si>
    <t>Naples - Genoa</t>
  </si>
  <si>
    <t>Short Calcutta (flying boat)</t>
  </si>
  <si>
    <t>G-AADN</t>
  </si>
  <si>
    <t>S748</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</si>
  <si>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</si>
  <si>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</si>
  <si>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</si>
  <si>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</si>
  <si>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</si>
  <si>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</si>
  <si>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</si>
  <si>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</si>
  <si>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The air taxi crashed into Puget Sound as it attempted to take off.</t>
  </si>
  <si>
    <t>Cerro del Carbon, Mexico</t>
  </si>
  <si>
    <t>Corp. Aeronautica de Transportes</t>
  </si>
  <si>
    <t>Matamoros - Mexico City - Juarez</t>
  </si>
  <si>
    <t>Lockheed Vega 5</t>
  </si>
  <si>
    <t>NC46M</t>
  </si>
  <si>
    <t>The mail plane crashed in dense fog.</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</si>
  <si>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</si>
  <si>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</si>
  <si>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</si>
  <si>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</si>
  <si>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</si>
  <si>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Off Corsica, France</t>
  </si>
  <si>
    <t>Marseille - Ajaccio - Tunis</t>
  </si>
  <si>
    <t>Liore et Olivier 190</t>
  </si>
  <si>
    <t>F-AIGB</t>
  </si>
  <si>
    <t>While flying along the Corsican coast, the aircraft crashed into the Mediterranean in fog. No trace of the plane was ever found.</t>
  </si>
  <si>
    <t>Terranova Pausania, East Sardinia</t>
  </si>
  <si>
    <t>S.A.M. SocietÃ  Aerea Mediterranea</t>
  </si>
  <si>
    <t>Cagliari, Terranova - Rome</t>
  </si>
  <si>
    <t>Savoia Marchetti S55</t>
  </si>
  <si>
    <t>I-TACO</t>
  </si>
  <si>
    <t>The plane crashed due to  an optical phenomenon caused by calm waters and an erroneous height assessment.</t>
  </si>
  <si>
    <t>Vancouver, Washington</t>
  </si>
  <si>
    <t>Stearman M-2 Speedmail</t>
  </si>
  <si>
    <t>NC8199</t>
  </si>
  <si>
    <t>The mail plane crashed into a fog bound tower of the interstate bridge spanning the Columbia River.</t>
  </si>
  <si>
    <t>Chagrin Falls, Ohio</t>
  </si>
  <si>
    <t>Douglas M-3</t>
  </si>
  <si>
    <t>NC789</t>
  </si>
  <si>
    <t>The mail plane crashed en route during a storm.</t>
  </si>
  <si>
    <t>Near Berlin, Germany</t>
  </si>
  <si>
    <t>Marseille - Berlin</t>
  </si>
  <si>
    <t>Arado V1</t>
  </si>
  <si>
    <t>D-1594</t>
  </si>
  <si>
    <t>In fog, the pilot lost his bearing in fog and crashed 60 km from the airport.</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</si>
  <si>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</si>
  <si>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</si>
  <si>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</si>
  <si>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</si>
  <si>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</si>
  <si>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</si>
  <si>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</si>
  <si>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</si>
  <si>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</si>
  <si>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</si>
  <si>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</si>
  <si>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</si>
  <si>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</si>
  <si>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Crrashed moments after taking off from Port-Francqui.</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</si>
  <si>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</si>
  <si>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</si>
  <si>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</si>
  <si>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</si>
  <si>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</si>
  <si>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</si>
  <si>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</si>
  <si>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</si>
  <si>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</si>
  <si>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</si>
  <si>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Ran into thunderstorms and crashed into the sea.</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</si>
  <si>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</si>
  <si>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</si>
  <si>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</si>
  <si>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</si>
  <si>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</si>
  <si>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</si>
  <si>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</si>
  <si>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</si>
  <si>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</si>
  <si>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</si>
  <si>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</si>
  <si>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</si>
  <si>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</si>
  <si>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</si>
  <si>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Jersey City, New Jersey</t>
  </si>
  <si>
    <t>Canadian Colonial Airways</t>
  </si>
  <si>
    <t>Albany, NY - Jersey City, NJ</t>
  </si>
  <si>
    <t>NC9148</t>
  </si>
  <si>
    <t>Crashed into power lines 150 feet above the ground in fog.</t>
  </si>
  <si>
    <t>Buenos Aires, Argentina</t>
  </si>
  <si>
    <t>Latecoere 28</t>
  </si>
  <si>
    <t>F-AJPD</t>
  </si>
  <si>
    <t>While flying in foggy conditions at night, the captain lowered his altitude, hit a wave and fiipped over.</t>
  </si>
  <si>
    <t>Boston, Massachusetts</t>
  </si>
  <si>
    <t>Boston - Newark</t>
  </si>
  <si>
    <t>Ford Tri-Motor 5</t>
  </si>
  <si>
    <t>NC9675</t>
  </si>
  <si>
    <t>5-AT-033</t>
  </si>
  <si>
    <t>Crashed into Boston Harbor after losing the right  engine on takeoff.</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</si>
  <si>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</si>
  <si>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</si>
  <si>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</si>
  <si>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</si>
  <si>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</si>
  <si>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</si>
  <si>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</si>
  <si>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</si>
  <si>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The aircraft exploded in the air at an altitude of 4,000 feet shortly after taking off. The plane was flying in an area of fog and thunderstorms.</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</si>
  <si>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</si>
  <si>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</si>
  <si>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</si>
  <si>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</si>
  <si>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</si>
  <si>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</si>
  <si>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Iglau, Czechoslovakia</t>
  </si>
  <si>
    <t>Ceskoslovenske Aerolinie</t>
  </si>
  <si>
    <t>Prague - Bratislava</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</si>
  <si>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</si>
  <si>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</si>
  <si>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</si>
  <si>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</si>
  <si>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</si>
  <si>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</si>
  <si>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</si>
  <si>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</si>
  <si>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</si>
  <si>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</si>
  <si>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</si>
  <si>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</si>
  <si>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CF-AIN</t>
  </si>
  <si>
    <t>The air mail plane crashed in fog  while attempting to land in fog.</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</si>
  <si>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</si>
  <si>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</si>
  <si>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</si>
  <si>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</si>
  <si>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</si>
  <si>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</si>
  <si>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</si>
  <si>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Dresden, Germany</t>
  </si>
  <si>
    <t>Berlin - Vienna</t>
  </si>
  <si>
    <t>Messerschmitt M-20B</t>
  </si>
  <si>
    <t>D-1930</t>
  </si>
  <si>
    <t>Crashed into hill while attempting to land after running into a strong gust of wind..</t>
  </si>
  <si>
    <t>La Rache, Morocco</t>
  </si>
  <si>
    <t>Casablanca - Bahat - Toulouse</t>
  </si>
  <si>
    <t>F-AJUU</t>
  </si>
  <si>
    <t>The french postal plane crashed into mountains.</t>
  </si>
  <si>
    <t>Perth, Australia</t>
  </si>
  <si>
    <t>Wings Ltd</t>
  </si>
  <si>
    <t>de Havilland DH.80 Puss Moth</t>
  </si>
  <si>
    <t>VH-UPC</t>
  </si>
  <si>
    <t>Fflying over the Darling Range, aircraft went out of control and dove into a hilly terrain,</t>
  </si>
  <si>
    <t>Prince Rupert, BC, Canada</t>
  </si>
  <si>
    <t>Alaska-Washington Airways</t>
  </si>
  <si>
    <t>NC103W</t>
  </si>
  <si>
    <t>Crashed while taking off.</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</si>
  <si>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</si>
  <si>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</si>
  <si>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</si>
  <si>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</si>
  <si>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</si>
  <si>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</si>
  <si>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</si>
  <si>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</si>
  <si>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</si>
  <si>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</si>
  <si>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</si>
  <si>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</si>
  <si>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Crashed into the sea.</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</si>
  <si>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</si>
  <si>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</si>
  <si>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</si>
  <si>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</si>
  <si>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</si>
  <si>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</si>
  <si>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</si>
  <si>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</si>
  <si>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</si>
  <si>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</si>
  <si>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</si>
  <si>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OO-AIL</t>
  </si>
  <si>
    <t>After deciding to return to his base because of fog, the pilot of the mail plane  lowered his altitude and struck the ground.</t>
  </si>
  <si>
    <t xml:space="preserve"> Bluff Mountain, Washington</t>
  </si>
  <si>
    <t>Portland - Pasco</t>
  </si>
  <si>
    <t>NC741K</t>
  </si>
  <si>
    <t>The mail plane flew into Bluff Mountain in dense fog.</t>
  </si>
  <si>
    <t>Wairoa, New Zealand</t>
  </si>
  <si>
    <t>Dominion Air Lines</t>
  </si>
  <si>
    <t>Gisborne - Hastings</t>
  </si>
  <si>
    <t>Desoutter II</t>
  </si>
  <si>
    <t>ZK-ACA</t>
  </si>
  <si>
    <t>D-36</t>
  </si>
  <si>
    <t>While droping a mail bag the plane stalled and crashed.</t>
  </si>
  <si>
    <t>Bagot, Manitoba, Canada</t>
  </si>
  <si>
    <t>Winnigeg - Moosejaw</t>
  </si>
  <si>
    <t>Fokker Universal F-14</t>
  </si>
  <si>
    <t>The plane carrying mail, crashed into a field, turned over and burst into flames. There was heavy fog in the area of the accident.</t>
  </si>
  <si>
    <t>Off Spain</t>
  </si>
  <si>
    <t>Algiers â€“ Marseille</t>
  </si>
  <si>
    <t>F-AITX</t>
  </si>
  <si>
    <t>Crashed due to fuel exhaustion after encountering strong headwinds and getting lost.</t>
  </si>
  <si>
    <t>New South Wales, Australia</t>
  </si>
  <si>
    <t>Australian National Airways</t>
  </si>
  <si>
    <t>Sydney - Melbourne</t>
  </si>
  <si>
    <t>Avro 10</t>
  </si>
  <si>
    <t>VH-UMF</t>
  </si>
  <si>
    <t>Crashed in the Snowy Mountains in poor weather conditions. Wreckage found 10/26/1958.</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</si>
  <si>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</si>
  <si>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</si>
  <si>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</si>
  <si>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</si>
  <si>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</si>
  <si>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</si>
  <si>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</si>
  <si>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</si>
  <si>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</si>
  <si>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</si>
  <si>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</si>
  <si>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</si>
  <si>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</si>
  <si>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</si>
  <si>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Wampit, Australia</t>
  </si>
  <si>
    <t>Guiena Airways</t>
  </si>
  <si>
    <t>Lae - Bulolo</t>
  </si>
  <si>
    <t>Junkers W-34</t>
  </si>
  <si>
    <t>VH-UNR</t>
  </si>
  <si>
    <t>Hit trees in fog and cashed into the jungle.</t>
  </si>
  <si>
    <t>Bellefonte, Pennsylvania</t>
  </si>
  <si>
    <t>NC397E</t>
  </si>
  <si>
    <t>Crashed into a mountain and burned in poor visibility and icing conditions.</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</si>
  <si>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</si>
  <si>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</si>
  <si>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</si>
  <si>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</si>
  <si>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</si>
  <si>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</si>
  <si>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</si>
  <si>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</si>
  <si>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</si>
  <si>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</si>
  <si>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Saarbrucken, Germany</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</si>
  <si>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</si>
  <si>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</si>
  <si>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</si>
  <si>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</si>
  <si>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</si>
  <si>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</si>
  <si>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</si>
  <si>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</si>
  <si>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</si>
  <si>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</si>
  <si>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</si>
  <si>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</si>
  <si>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</si>
  <si>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</si>
  <si>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</si>
  <si>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F-ALGT</t>
  </si>
  <si>
    <t>The aircraft caught fire in mid air and crashed.</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</si>
  <si>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</si>
  <si>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</si>
  <si>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</si>
  <si>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</si>
  <si>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</si>
  <si>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</si>
  <si>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</si>
  <si>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</si>
  <si>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Near Craiova, Oltenia, Romania</t>
  </si>
  <si>
    <t>Paris - Bucharest</t>
  </si>
  <si>
    <t>Fokker F-VIIb-3m</t>
  </si>
  <si>
    <t>F-AIGT</t>
  </si>
  <si>
    <t>Crashed in low overcast and darkness while en route.</t>
  </si>
  <si>
    <t>Oakland, California</t>
  </si>
  <si>
    <t>Oakland, CA - Seattle, WA</t>
  </si>
  <si>
    <t>NC10347</t>
  </si>
  <si>
    <t>Crashed into San Francisco Bay shortly after taking off from Oakland airport.</t>
  </si>
  <si>
    <t>Novia Scotia, Canada</t>
  </si>
  <si>
    <t>Sydney - New York</t>
  </si>
  <si>
    <t>Heinkel HE-2</t>
  </si>
  <si>
    <t>D-1717</t>
  </si>
  <si>
    <t>Crashed into the sea while en route.</t>
  </si>
  <si>
    <t>Brazil</t>
  </si>
  <si>
    <t>P-BALSA</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</si>
  <si>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</si>
  <si>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</si>
  <si>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</si>
  <si>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</si>
  <si>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</si>
  <si>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</si>
  <si>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</si>
  <si>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</si>
  <si>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Durban - Cape Town</t>
  </si>
  <si>
    <t>De Havilland DH.80</t>
  </si>
  <si>
    <t>ZS-ACD</t>
  </si>
  <si>
    <t>Flew into a thunderstorm over mountains, lost a wing and crashed.</t>
  </si>
  <si>
    <t>Salt Lake City, Utah</t>
  </si>
  <si>
    <t>NC7465</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</si>
  <si>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</si>
  <si>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</si>
  <si>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</si>
  <si>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</si>
  <si>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</si>
  <si>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</si>
  <si>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</si>
  <si>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</si>
  <si>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</si>
  <si>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</si>
  <si>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</si>
  <si>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</si>
  <si>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</si>
  <si>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</si>
  <si>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</si>
  <si>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</si>
  <si>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</si>
  <si>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</si>
  <si>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</si>
  <si>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</si>
  <si>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</si>
  <si>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</si>
  <si>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</si>
  <si>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</si>
  <si>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</si>
  <si>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</si>
  <si>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</si>
  <si>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</si>
  <si>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</si>
  <si>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</si>
  <si>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</si>
  <si>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</si>
  <si>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</si>
  <si>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</si>
  <si>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Lebec, California</t>
  </si>
  <si>
    <t>Century Pacific Lines</t>
  </si>
  <si>
    <t>San Francisco - Bakersfield - Los Angeles, CA</t>
  </si>
  <si>
    <t>Stinson SM-6000B</t>
  </si>
  <si>
    <t>NC10813</t>
  </si>
  <si>
    <t>Crashed into a canyon, in mountains, during a blizzard. Wreckage found a week later.</t>
  </si>
  <si>
    <t>Off Miami, Florida</t>
  </si>
  <si>
    <t>Bimini Airways</t>
  </si>
  <si>
    <t>Fairchild</t>
  </si>
  <si>
    <t>Disappeared while en route on a 45 minute flight.</t>
  </si>
  <si>
    <t>Rio Vista, California</t>
  </si>
  <si>
    <t xml:space="preserve"> NC291</t>
  </si>
  <si>
    <t>Struck an irrigation ditch and caught fire during landing.</t>
  </si>
  <si>
    <t>Marcellus, Michigan</t>
  </si>
  <si>
    <t>Transamerican Airlines</t>
  </si>
  <si>
    <t>Chicago - Kalamazoo</t>
  </si>
  <si>
    <t>Stearman C-3MB</t>
  </si>
  <si>
    <t>NC6411</t>
  </si>
  <si>
    <t>The mail plane crashed in a snowstorm.</t>
  </si>
  <si>
    <t>Off Setiba, Brazil</t>
  </si>
  <si>
    <t>F-AJOX</t>
  </si>
  <si>
    <t>Crashed into the ocean after flying into a thunderstorm.</t>
  </si>
  <si>
    <t>Saint Louis, Illinois</t>
  </si>
  <si>
    <t>Century Air Lines</t>
  </si>
  <si>
    <t>Training</t>
  </si>
  <si>
    <t>NC11122</t>
  </si>
  <si>
    <t>Crashed into a skeleton of an old windmill, 500 yards from the edge of the field while practicing night landings.</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</si>
  <si>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</si>
  <si>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</si>
  <si>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</si>
  <si>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</si>
  <si>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</si>
  <si>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Steubenville, Ohio</t>
  </si>
  <si>
    <t>Columbus - McKeesport</t>
  </si>
  <si>
    <t>Northrop Alpha 3</t>
  </si>
  <si>
    <t>NC966Y</t>
  </si>
  <si>
    <t>The mail plane pilot drowned when his parachute tangled in the fuselage and he was dragged into the Ohio River after his plane crashed.</t>
  </si>
  <si>
    <t>Rutbah Wells, Iraq</t>
  </si>
  <si>
    <t>Damascus - Baghdad - Karachi</t>
  </si>
  <si>
    <t>Farman F-190</t>
  </si>
  <si>
    <t>F-AJDP F-AJDP</t>
  </si>
  <si>
    <t>Crashed into the ground during a sand storm.</t>
  </si>
  <si>
    <t>Bedford, Ohio</t>
  </si>
  <si>
    <t>NC191E</t>
  </si>
  <si>
    <t>Fort Wayne, Indiana</t>
  </si>
  <si>
    <t>Transamerica Airlines</t>
  </si>
  <si>
    <t>NC6412</t>
  </si>
  <si>
    <t>Crashed while in final approach.</t>
  </si>
  <si>
    <t>San Diego - Burbank - Oakland</t>
  </si>
  <si>
    <t>NC5589</t>
  </si>
  <si>
    <t>Crashed and burned  in fog while attempting to land at Burbank Airport.</t>
  </si>
  <si>
    <t>Portland, Oregon</t>
  </si>
  <si>
    <t>NC830M</t>
  </si>
  <si>
    <t>Crashed in a river after the engine exploded.</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</si>
  <si>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</si>
  <si>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</si>
  <si>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</si>
  <si>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</si>
  <si>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</si>
  <si>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</si>
  <si>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</si>
  <si>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 xml:space="preserve"> Marseille - Naples - Beyrouth - Saigon</t>
  </si>
  <si>
    <t>CAMS 53</t>
  </si>
  <si>
    <t>F-AIQY</t>
  </si>
  <si>
    <t>Crrashed and sunk while landing in Beyrough harbor.</t>
  </si>
  <si>
    <t>Tubergen, Germany</t>
  </si>
  <si>
    <t>A B Aerotransport</t>
  </si>
  <si>
    <t>Amsterdam - Hanover - Copenagen - MalmÃ¶</t>
  </si>
  <si>
    <t>Junkers G-23</t>
  </si>
  <si>
    <t>SE-AAE</t>
  </si>
  <si>
    <t>The crew radioed they had problems with engine 3. The crew lowered their altitude and attempted an emergency landing. In low visibility and at night they hit a chimney and crashed.</t>
  </si>
  <si>
    <t>Salt Flats, Texas</t>
  </si>
  <si>
    <t>El Paso - Dallas</t>
  </si>
  <si>
    <t>Fokker F-10</t>
  </si>
  <si>
    <t>NC9716</t>
  </si>
  <si>
    <t>The mail plane struck a mountain and burned after encountering poor weather conditions.</t>
  </si>
  <si>
    <t>Selsdon Park, England</t>
  </si>
  <si>
    <t>Liore-et-Olivier 213</t>
  </si>
  <si>
    <t>F-AIFE</t>
  </si>
  <si>
    <t>On approach to Croydon in fog and reduced visibility the plane crashed in a hotel parking lot.</t>
  </si>
  <si>
    <t>Byron Bay, Australia</t>
  </si>
  <si>
    <t>New England Airways</t>
  </si>
  <si>
    <t>Sydney - Lismore - Brisbane</t>
  </si>
  <si>
    <t>De Havilland DH-80</t>
  </si>
  <si>
    <t>VH-UPM</t>
  </si>
  <si>
    <t>The left wing and rudder detached in strong winds and turbulence after the pilot made a sharp left turn.</t>
  </si>
  <si>
    <t>Port Etienne, Mauritania</t>
  </si>
  <si>
    <t>Dakar - Port Etienne - Algiers - Paris</t>
  </si>
  <si>
    <t>F-AJIP</t>
  </si>
  <si>
    <t>Crashed shortly afer taking off.</t>
  </si>
  <si>
    <t>Villa Monte, Bolivia</t>
  </si>
  <si>
    <t>Lloyd Aero Boliviano</t>
  </si>
  <si>
    <t>Ford Tri-motor 5</t>
  </si>
  <si>
    <t>Former American army flyer Donald Duke was killed when his plane carrying Bolivian army supplies crashed.</t>
  </si>
  <si>
    <t>Ramsgate, England</t>
  </si>
  <si>
    <t>London - Cologne - Berlin</t>
  </si>
  <si>
    <t>Junkers W-33</t>
  </si>
  <si>
    <t xml:space="preserve"> D-2017</t>
  </si>
  <si>
    <t>The mail plane ditched into the English Channel after encountering 60 mile-an-hour gale force winds.</t>
  </si>
  <si>
    <t>Echterpfuhl, Germany</t>
  </si>
  <si>
    <t>Nuremberg - Frankfort</t>
  </si>
  <si>
    <t>D-724</t>
  </si>
  <si>
    <t>Crashed into mountainous terrain in the Spessart mountains in fog, after a wing separated from the aircraft due to overstressing..</t>
  </si>
  <si>
    <t>Marianna, Arkansas</t>
  </si>
  <si>
    <t>Hunter Airways</t>
  </si>
  <si>
    <t>Little Rock, AR - Memphis, TN</t>
  </si>
  <si>
    <t xml:space="preserve"> NC369M</t>
  </si>
  <si>
    <t>Became lost and circled  until the plane struck an oak tree and crashed onto a island in the bayou.</t>
  </si>
  <si>
    <t>Ford 5</t>
  </si>
  <si>
    <t>NC9650</t>
  </si>
  <si>
    <t>5-AT-037</t>
  </si>
  <si>
    <t>The mail plane crashed in a snowstorm. The pilot died two days later from his injuries.</t>
  </si>
  <si>
    <t>Rocky Ridge, Colorado</t>
  </si>
  <si>
    <t>NC281</t>
  </si>
  <si>
    <t>Struck a mountain when the pilot reduced altitude to maintain contact with the ground.</t>
  </si>
  <si>
    <t>Wau, Australia</t>
  </si>
  <si>
    <t>Guinea Airways</t>
  </si>
  <si>
    <t>De Havilland DH-60</t>
  </si>
  <si>
    <t>VH-UMJ</t>
  </si>
  <si>
    <t>The pilot lost control and crashed after attempting an aerobatic maneuver.</t>
  </si>
  <si>
    <t>F-AISV</t>
  </si>
  <si>
    <t>On the second attempt at taking off, the float plane struck waves and overturned.</t>
  </si>
  <si>
    <t>Eastern Air Transport</t>
  </si>
  <si>
    <t>Curtiss Condor 18</t>
  </si>
  <si>
    <t>NC185H</t>
  </si>
  <si>
    <t>Went into a vertical bank and crashed and burned.</t>
  </si>
  <si>
    <t>Marietta, Georgia</t>
  </si>
  <si>
    <t>Stearman 4</t>
  </si>
  <si>
    <t>N490W</t>
  </si>
  <si>
    <t>Crashed into a mountainside.</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</si>
  <si>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</si>
  <si>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</si>
  <si>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</si>
  <si>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</si>
  <si>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</si>
  <si>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</si>
  <si>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</si>
  <si>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</si>
  <si>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</si>
  <si>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</si>
  <si>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</si>
  <si>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</si>
  <si>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</si>
  <si>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</si>
  <si>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</si>
  <si>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</si>
  <si>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</si>
  <si>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</si>
  <si>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</si>
  <si>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</si>
  <si>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</si>
  <si>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</si>
  <si>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</si>
  <si>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</si>
  <si>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</si>
  <si>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</si>
  <si>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</si>
  <si>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</si>
  <si>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</si>
  <si>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</si>
  <si>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</si>
  <si>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</si>
  <si>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Near Castrovillari, Calabria, Italy</t>
  </si>
  <si>
    <t>Corfu - Naples</t>
  </si>
  <si>
    <t>Cams 53-1</t>
  </si>
  <si>
    <t>F-ALCE</t>
  </si>
  <si>
    <t>Crashed into a mountain after encountering a mountain wave..</t>
  </si>
  <si>
    <t>Traunstein, Germany</t>
  </si>
  <si>
    <t>Eurasia</t>
  </si>
  <si>
    <t>D-4</t>
  </si>
  <si>
    <t>Crashed on a test flight before delivery to Eurasia in China.</t>
  </si>
  <si>
    <t>Near Viladrau, Spain</t>
  </si>
  <si>
    <t>Aeropostale - La Tecoere Company</t>
  </si>
  <si>
    <t>Paris - Morroco</t>
  </si>
  <si>
    <t>Latecoere 28-1</t>
  </si>
  <si>
    <t>F-AJIX</t>
  </si>
  <si>
    <t>Crashed after being forced down to the ground by strong downdrafts.</t>
  </si>
  <si>
    <t>Bowling Green, Virginia</t>
  </si>
  <si>
    <t>Pitcairns PA-6</t>
  </si>
  <si>
    <t>The mail plane had engine faiure and crashed into a ravine.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</si>
  <si>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</si>
  <si>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</si>
  <si>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</si>
  <si>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</si>
  <si>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</si>
  <si>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Aegean Sea</t>
  </si>
  <si>
    <t>Societa Anonima Aero Expresso Italiana</t>
  </si>
  <si>
    <t>Athens - Rhodes</t>
  </si>
  <si>
    <t>CMASA Wal (flying boat)</t>
  </si>
  <si>
    <t>I-AZEE</t>
  </si>
  <si>
    <t>The float plane was forced to ditch in gale force winds. No trace of the plane or those onboard were ever found.</t>
  </si>
  <si>
    <t>Quay, New Mexico</t>
  </si>
  <si>
    <t>Amarillo, TX - Albuquerque, NM</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</si>
  <si>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</si>
  <si>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</si>
  <si>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</si>
  <si>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</si>
  <si>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</si>
  <si>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</si>
  <si>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</si>
  <si>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</si>
  <si>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</si>
  <si>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Chesterton, Indiana</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</si>
  <si>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</si>
  <si>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</si>
  <si>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</si>
  <si>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</si>
  <si>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</si>
  <si>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</si>
  <si>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</si>
  <si>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Zurich - Basel - Paris</t>
  </si>
  <si>
    <t>Farman F-301</t>
  </si>
  <si>
    <t>F-AJMI</t>
  </si>
  <si>
    <t>Seattle, WA - Dallas, TX</t>
  </si>
  <si>
    <t>NC13345</t>
  </si>
  <si>
    <t>Crashed in a thickly wooded area upon taking off after the pilot became lost in fog.</t>
  </si>
  <si>
    <t>Moriarty, New Mexico</t>
  </si>
  <si>
    <t>Northrop Delta</t>
  </si>
  <si>
    <t>NC12292</t>
  </si>
  <si>
    <t>The pilot bailed out after the engine caught fire. He was not injured.</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</si>
  <si>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</si>
  <si>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</si>
  <si>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</si>
  <si>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</si>
  <si>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</si>
  <si>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</si>
  <si>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</si>
  <si>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</si>
  <si>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</si>
  <si>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</si>
  <si>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</si>
  <si>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</si>
  <si>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Crashed after striking an obstacle while landing in poor visibility and snow.</t>
  </si>
  <si>
    <t>Eshowe, South Africa</t>
  </si>
  <si>
    <t>ZS-AEB</t>
  </si>
  <si>
    <t>Crashed in poor weather conditions while enroute.</t>
  </si>
  <si>
    <t>Near Ruysselede, Belgium</t>
  </si>
  <si>
    <t>Brussels, Belgium - Croydon, England</t>
  </si>
  <si>
    <t>G-ABLU</t>
  </si>
  <si>
    <t>Crashed  into a field in desnse fog after hitting a radio antenna tower which tore off a wing.</t>
  </si>
  <si>
    <t>Corbigny, France</t>
  </si>
  <si>
    <t>Saigon - Paris</t>
  </si>
  <si>
    <t>Dewoitine D-332</t>
  </si>
  <si>
    <t>F-AMMY</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</si>
  <si>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</si>
  <si>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</si>
  <si>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</si>
  <si>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</si>
  <si>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</si>
  <si>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</si>
  <si>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</si>
  <si>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</si>
  <si>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</si>
  <si>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Rio de Oro, Morocco</t>
  </si>
  <si>
    <t>LatÃ©coÃ¨re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</si>
  <si>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</si>
  <si>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</si>
  <si>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</si>
  <si>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</si>
  <si>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</si>
  <si>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</si>
  <si>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</si>
  <si>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</si>
  <si>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</si>
  <si>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</si>
  <si>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</si>
  <si>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</si>
  <si>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</si>
  <si>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</si>
  <si>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</si>
  <si>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</si>
  <si>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</si>
  <si>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</si>
  <si>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</si>
  <si>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</si>
  <si>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</si>
  <si>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</si>
  <si>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</si>
  <si>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</si>
  <si>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</si>
  <si>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</si>
  <si>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</si>
  <si>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</si>
  <si>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</si>
  <si>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</si>
  <si>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</si>
  <si>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</si>
  <si>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</si>
  <si>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</si>
  <si>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</si>
  <si>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</si>
  <si>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 The aircraft was named "San Pedro."</t>
  </si>
  <si>
    <t>Chausseehausen, Germany</t>
  </si>
  <si>
    <t>D-1445</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</si>
  <si>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</si>
  <si>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</si>
  <si>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</si>
  <si>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</si>
  <si>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</si>
  <si>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</si>
  <si>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</si>
  <si>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</si>
  <si>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</si>
  <si>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</si>
  <si>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</si>
  <si>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</si>
  <si>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</si>
  <si>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</si>
  <si>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</si>
  <si>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</si>
  <si>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</si>
  <si>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</si>
  <si>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The crew lost control of the aircraft and crashed while taking off from Bahia while on a mail flight.</t>
  </si>
  <si>
    <t>Ningbo, China</t>
  </si>
  <si>
    <t>Sikorsky S-38B</t>
  </si>
  <si>
    <t>Amazonia, Missouri</t>
  </si>
  <si>
    <t>Rapid Air Transport</t>
  </si>
  <si>
    <t>Kansas City - Saint Joseph - Omaha</t>
  </si>
  <si>
    <t>NC11118</t>
  </si>
  <si>
    <t>The plane crashed about 11 miles from St. Joseph in heavy fog. Pilot error in taking off in dangerous weather conditions and turning too close the the ground in a fog-bound area. Inaccurate weather conditions reported to the pilot.</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</si>
  <si>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</si>
  <si>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</si>
  <si>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</si>
  <si>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</si>
  <si>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</si>
  <si>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de Havilland DH-50A</t>
  </si>
  <si>
    <t>VH-UHE</t>
  </si>
  <si>
    <t>Crashed after in-flight loss of control, possibly stalled at low altitude in dusty low-visibility conditions.</t>
  </si>
  <si>
    <t>Bass Strait, Australia</t>
  </si>
  <si>
    <t>Holymans Airways</t>
  </si>
  <si>
    <t>Launceston, Tasmania - Melbourne, Australia</t>
  </si>
  <si>
    <t>de Havilland DH-86</t>
  </si>
  <si>
    <t>VH-URN</t>
  </si>
  <si>
    <t>Crashed 10 miles off the coast under unknown circumstances</t>
  </si>
  <si>
    <t>Kiapit, Australia</t>
  </si>
  <si>
    <t>Holdens Air Transport Service</t>
  </si>
  <si>
    <t>Rabaul - Kaiapit</t>
  </si>
  <si>
    <t>De Havilland DH-61</t>
  </si>
  <si>
    <t>VH-UHW</t>
  </si>
  <si>
    <t>On final approach to Kaiapit, the aircraft was too low and hit a house short of runway and caught fir. The aircraft was named "Canberra."</t>
  </si>
  <si>
    <t>Near Longreach, Australia</t>
  </si>
  <si>
    <t>London - Sydney</t>
  </si>
  <si>
    <t>VH-USG</t>
  </si>
  <si>
    <t>The aircraft suddenly went out of control and crashed to the ground on its delivery flight from England to Brisbane. Improper loading of parts resulting in an aft center of gravity.</t>
  </si>
  <si>
    <t>Amazonia, Montana</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</si>
  <si>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</si>
  <si>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</si>
  <si>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</si>
  <si>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</si>
  <si>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Salchau, Germany</t>
  </si>
  <si>
    <t>Berlin - Hanover</t>
  </si>
  <si>
    <t>D-OMAS</t>
  </si>
  <si>
    <t>Columbia, Missouri</t>
  </si>
  <si>
    <t>Kansas City, MO - Chicago, IL</t>
  </si>
  <si>
    <t>Lockheed Vega 5C</t>
  </si>
  <si>
    <t>NC106W</t>
  </si>
  <si>
    <t>The mail plane crashed to the ground from a low altitude. Icing.</t>
  </si>
  <si>
    <t>Palma Soriano, Cuba</t>
  </si>
  <si>
    <t>Cubana de Aviacion</t>
  </si>
  <si>
    <t>Havana - Santiago de Cuba</t>
  </si>
  <si>
    <t>Ford 4-AT-E Tri-motor</t>
  </si>
  <si>
    <t>NM-7</t>
  </si>
  <si>
    <t>4-AT-63</t>
  </si>
  <si>
    <t>Crashed into a mountain in poor weater condtions and low visiblity while en route.</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</si>
  <si>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</si>
  <si>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</si>
  <si>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</si>
  <si>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</si>
  <si>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</si>
  <si>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</si>
  <si>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</si>
  <si>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</si>
  <si>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</si>
  <si>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</si>
  <si>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</si>
  <si>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</si>
  <si>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</si>
  <si>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Near Karachi, Pakistan</t>
  </si>
  <si>
    <t>Indian Air Force</t>
  </si>
  <si>
    <t>Wapiti</t>
  </si>
  <si>
    <t>Crashed into a column of soldiers during training. The crew survived with injuries but 15 soldiers were killed and 11 injured. Later the pilot was court-martialled and dismissed.</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</si>
  <si>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</si>
  <si>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</si>
  <si>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</si>
  <si>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</si>
  <si>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</si>
  <si>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</si>
  <si>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</si>
  <si>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</si>
  <si>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</si>
  <si>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</si>
  <si>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Crashed full speed into a hill, 450 feet high in rain and fog. Icing.</t>
  </si>
  <si>
    <t>Schievelbein, Germany</t>
  </si>
  <si>
    <t>Rochrbach Roland</t>
  </si>
  <si>
    <t>D-AJYP</t>
  </si>
  <si>
    <t>Fuselage failure forced an emergency landing in a field.</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</si>
  <si>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</si>
  <si>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</si>
  <si>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</si>
  <si>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</si>
  <si>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</si>
  <si>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</si>
  <si>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</si>
  <si>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</si>
  <si>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The crew,(3 student pilots and 2 instructors were performing a training flight over Baltic Sea when the  aircraft crashed into the sea for reasons unknown.</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</si>
  <si>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</si>
  <si>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</si>
  <si>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</si>
  <si>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</si>
  <si>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</si>
  <si>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</si>
  <si>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</si>
  <si>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</si>
  <si>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</si>
  <si>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</si>
  <si>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Near Walsenberg, Colorado</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</si>
  <si>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</si>
  <si>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</si>
  <si>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</si>
  <si>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</si>
  <si>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</si>
  <si>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</si>
  <si>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</si>
  <si>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</si>
  <si>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</si>
  <si>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</si>
  <si>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</si>
  <si>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</si>
  <si>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</si>
  <si>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</si>
  <si>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</si>
  <si>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</si>
  <si>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</si>
  <si>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</si>
  <si>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</si>
  <si>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</si>
  <si>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</si>
  <si>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</si>
  <si>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</si>
  <si>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</si>
  <si>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</si>
  <si>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</si>
  <si>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</si>
  <si>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</si>
  <si>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</si>
  <si>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</si>
  <si>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</si>
  <si>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San Barbra, Honduras</t>
  </si>
  <si>
    <t>Crashed into the Ulua River.</t>
  </si>
  <si>
    <t>Medellin, Colombia</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</si>
  <si>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</si>
  <si>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</si>
  <si>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</si>
  <si>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</si>
  <si>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</si>
  <si>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</si>
  <si>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</si>
  <si>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</si>
  <si>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</si>
  <si>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PH-AJQ</t>
  </si>
  <si>
    <t>The plane lost altitude while attempting an emergency landing after taking off and losing two engines. The wing hit a dyke and the plane burst into flames.</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</si>
  <si>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</si>
  <si>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</si>
  <si>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</si>
  <si>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</si>
  <si>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</si>
  <si>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</si>
  <si>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</si>
  <si>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</si>
  <si>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</si>
  <si>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</si>
  <si>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</si>
  <si>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</si>
  <si>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</si>
  <si>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</si>
  <si>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</si>
  <si>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</si>
  <si>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</si>
  <si>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El Retiro, Colombia</t>
  </si>
  <si>
    <t>Fuerza Aerea Colombiana</t>
  </si>
  <si>
    <t>Palanquero - Tres Esquinas</t>
  </si>
  <si>
    <t>While en route,, the crew encountered engine trouble, lost control of the aircraft and crashed  near the Rio Magdalena.</t>
  </si>
  <si>
    <t>Cairo, Egypt</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</si>
  <si>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</si>
  <si>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</si>
  <si>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</si>
  <si>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</si>
  <si>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</si>
  <si>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Hangow, China</t>
  </si>
  <si>
    <t>NV40V</t>
  </si>
  <si>
    <t>Destoryed in a storm.</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</si>
  <si>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</si>
  <si>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</si>
  <si>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</si>
  <si>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</si>
  <si>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</si>
  <si>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</si>
  <si>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</si>
  <si>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</si>
  <si>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</si>
  <si>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</si>
  <si>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</si>
  <si>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</si>
  <si>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</si>
  <si>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</si>
  <si>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</si>
  <si>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</si>
  <si>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</si>
  <si>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</si>
  <si>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</si>
  <si>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</si>
  <si>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Near Tambo, Panama</t>
  </si>
  <si>
    <t>Panama Airways</t>
  </si>
  <si>
    <t>Panama City - David</t>
  </si>
  <si>
    <t>Ford Tri-Motor</t>
  </si>
  <si>
    <t>Crashed and burned in mountainous terrain in  adverse weather conditions.</t>
  </si>
  <si>
    <t>Off Finders Island, Victoria, Australia</t>
  </si>
  <si>
    <t>Holyman Airways</t>
  </si>
  <si>
    <t>Melbourne - Sydney</t>
  </si>
  <si>
    <t>VH-URT</t>
  </si>
  <si>
    <t>Crashed in the Bass Strait. Went in to an uncontrollable spin following an engine failure.</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</si>
  <si>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</si>
  <si>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</si>
  <si>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</si>
  <si>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</si>
  <si>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</si>
  <si>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</si>
  <si>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</si>
  <si>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Troy, New York</t>
  </si>
  <si>
    <t>Chamberlin Flying Service</t>
  </si>
  <si>
    <t>Troy - Teterboro</t>
  </si>
  <si>
    <t>NC725K</t>
  </si>
  <si>
    <t>G-2</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</si>
  <si>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</si>
  <si>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</si>
  <si>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</si>
  <si>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</si>
  <si>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</si>
  <si>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</si>
  <si>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</si>
  <si>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</si>
  <si>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The postal plane crashed at Atalaya Beach in unknown circumstances.</t>
  </si>
  <si>
    <t>Near Fort Worth, Texas</t>
  </si>
  <si>
    <t>Dallas - Waco</t>
  </si>
  <si>
    <t>NC980Y</t>
  </si>
  <si>
    <t>Plunged to the ground thirty minutes after leaving Fort Worth. Tried to return to Dallas airport due to inclement weather.</t>
  </si>
  <si>
    <t>Brindisi, Italy</t>
  </si>
  <si>
    <t>London - Brindisi - Alexandria</t>
  </si>
  <si>
    <t>Short S-17 Kent</t>
  </si>
  <si>
    <t>G-ABFB</t>
  </si>
  <si>
    <t>S-759</t>
  </si>
  <si>
    <t>While preparing for departure a fire broke out. The fire erupted while fueling.</t>
  </si>
  <si>
    <t>Istres, France</t>
  </si>
  <si>
    <t>F-AJPB</t>
  </si>
  <si>
    <t>6-926</t>
  </si>
  <si>
    <t>Crashed whille flying in the vicinity of a thunderstorm.</t>
  </si>
  <si>
    <t>Tours, France</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</si>
  <si>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</si>
  <si>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</si>
  <si>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</si>
  <si>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</si>
  <si>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</si>
  <si>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</si>
  <si>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</si>
  <si>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</si>
  <si>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Wroctaw, Poland</t>
  </si>
  <si>
    <t>Heinkel He-70</t>
  </si>
  <si>
    <t>D-UVOR</t>
  </si>
  <si>
    <t>Off Alexandria, Egypt</t>
  </si>
  <si>
    <t>London - Brindisi - Mirabella - Alexandria</t>
  </si>
  <si>
    <t>Short S-8 Calcutta flying boat</t>
  </si>
  <si>
    <t>G-AASJ</t>
  </si>
  <si>
    <t>S-752</t>
  </si>
  <si>
    <t>The aircraft ran out of fuel and crashed off Alexandria. The plane was named "The City of Khartoum."</t>
  </si>
  <si>
    <t xml:space="preserve"> Tres Esquinas, Colombia</t>
  </si>
  <si>
    <t>Military - Fuerza Aerea Colombiana</t>
  </si>
  <si>
    <t>Junkers JU-52</t>
  </si>
  <si>
    <t>The float plane crashed after experiencing unknown technical difficulties while attempting to land.</t>
  </si>
  <si>
    <t>Goodwin, Arkansas</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</si>
  <si>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</si>
  <si>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</si>
  <si>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</si>
  <si>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</si>
  <si>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</si>
  <si>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</si>
  <si>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</si>
  <si>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Crashed into a mountain near the village of Tapacari, 23 miles from Chochabanba.</t>
  </si>
  <si>
    <t>Off Ajaccio, Corsica, France</t>
  </si>
  <si>
    <t xml:space="preserve"> Marseille - Ajaccio - Tunis</t>
  </si>
  <si>
    <t>F-AJIR</t>
  </si>
  <si>
    <t>Vanished off the coast of Corsica after sending a distress call that the engine had failed.</t>
  </si>
  <si>
    <t>Denton, Texas</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</si>
  <si>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</si>
  <si>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</si>
  <si>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</si>
  <si>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</si>
  <si>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</si>
  <si>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</si>
  <si>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</si>
  <si>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</si>
  <si>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South Atlantic Ocean</t>
  </si>
  <si>
    <t>Rio de Janerio - Berlin</t>
  </si>
  <si>
    <t>Dormier Do-J-Iif Bos Wal flying boat</t>
  </si>
  <si>
    <t>D-ADYS</t>
  </si>
  <si>
    <t>The mail plane disappeared while en route.</t>
  </si>
  <si>
    <t>Near Tengya, China</t>
  </si>
  <si>
    <t>Ford 5-AT-D Tri-Motor</t>
  </si>
  <si>
    <t>Crash landed in mountains during a snowstorm.</t>
  </si>
  <si>
    <t>Ovalle, Chile</t>
  </si>
  <si>
    <t>Lan Chile</t>
  </si>
  <si>
    <t>Went out of control while taking off and crashed in a rivine.</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</si>
  <si>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</si>
  <si>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</si>
  <si>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</si>
  <si>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</si>
  <si>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</si>
  <si>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Pavillon, New York</t>
  </si>
  <si>
    <t>Newwark - Buffalo</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</si>
  <si>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</si>
  <si>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</si>
  <si>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</si>
  <si>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</si>
  <si>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</si>
  <si>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</si>
  <si>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</si>
  <si>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</si>
  <si>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</si>
  <si>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</si>
  <si>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</si>
  <si>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</si>
  <si>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</si>
  <si>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</si>
  <si>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</si>
  <si>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</si>
  <si>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Crashed on the slopes of Mount Basso, 20 miles from Turin.</t>
  </si>
  <si>
    <t>Orvin, Switzerland</t>
  </si>
  <si>
    <t>D-ASOR</t>
  </si>
  <si>
    <t>Deviated from the prescribed course and hit a mountain in poor weather conditions. Navigation error by the crew.</t>
  </si>
  <si>
    <t>Senlis, France</t>
  </si>
  <si>
    <t>Paris - Brussels - Cologne</t>
  </si>
  <si>
    <t>OO-AIF</t>
  </si>
  <si>
    <t>Following taking off the cargo plane went out of control and crashed near Le Bourget Airport.</t>
  </si>
  <si>
    <t>Basel, Switzerland</t>
  </si>
  <si>
    <t>General Aviation GA-43</t>
  </si>
  <si>
    <t>HB-ITU</t>
  </si>
  <si>
    <t>The cargo plane crashed into Mt. Rigi at night in poor weather conditons.</t>
  </si>
  <si>
    <t>Mount Waverley, Australia</t>
  </si>
  <si>
    <t>De Havilland DH-60 Moth</t>
  </si>
  <si>
    <t>VH-UII</t>
  </si>
  <si>
    <t>The aircraft hit telephone wires and a chimney before crashing in flames into a house.</t>
  </si>
  <si>
    <t>Malmo, Sweden</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</si>
  <si>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</si>
  <si>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</si>
  <si>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</si>
  <si>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Hannover, Germany</t>
  </si>
  <si>
    <t>Junkers JU-160</t>
  </si>
  <si>
    <t>D-UPYM</t>
  </si>
  <si>
    <t>The pilot attempted an emergency landing in a field after the engine failured. The aircraft was named "Puma."</t>
  </si>
  <si>
    <t>Mt. Lihesten, Norway</t>
  </si>
  <si>
    <t>Den Norske Luftfartskole</t>
  </si>
  <si>
    <t>Bergen - Trondheim</t>
  </si>
  <si>
    <t>LN-DAE</t>
  </si>
  <si>
    <t>While cruising, the aircraft crashed into the south face of Mt. Lyhesten in fog.</t>
  </si>
  <si>
    <t>Zagreb, Croatia</t>
  </si>
  <si>
    <t>Belgrade - Zagreb - Ljubljana</t>
  </si>
  <si>
    <t>Spartan Cruiser</t>
  </si>
  <si>
    <t>YU-SAP</t>
  </si>
  <si>
    <t>Shortly after taking off in fog the aircraft went out of control and crashed into a field.</t>
  </si>
  <si>
    <t>Kulyab, Tajikistan</t>
  </si>
  <si>
    <t>The landing gear failed on landing. The aircraft veered off the runway and burst into flames.</t>
  </si>
  <si>
    <t>Off Channel Islands, Jersey</t>
  </si>
  <si>
    <t>Guernsey Airways</t>
  </si>
  <si>
    <t xml:space="preserve"> Saint Pierre - Saint-HÃ©lier</t>
  </si>
  <si>
    <t>Saro A-19 Cloud</t>
  </si>
  <si>
    <t>G-ABXW</t>
  </si>
  <si>
    <t>A-19/4</t>
  </si>
  <si>
    <t>Ditched at sea. Loss of all engines necessitating a ditching at sea.</t>
  </si>
  <si>
    <t>Mazamet, France</t>
  </si>
  <si>
    <t>Paris - Toulouse - Dakar - Natal - Rio de Janeiro</t>
  </si>
  <si>
    <t>Wibault 280</t>
  </si>
  <si>
    <t>F-ANBL F-ANBL</t>
  </si>
  <si>
    <t>The mail plane crashed into mountains 50 miles from Toulouse in fog.</t>
  </si>
  <si>
    <t>Ciudad Serdan,Mexico</t>
  </si>
  <si>
    <t>Lockheed 9 Orion</t>
  </si>
  <si>
    <t>XA-BAY</t>
  </si>
  <si>
    <t>Crashed while delivering mail.</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</si>
  <si>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</si>
  <si>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</si>
  <si>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</si>
  <si>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</si>
  <si>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</si>
  <si>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</si>
  <si>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</si>
  <si>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</si>
  <si>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The float plane crashed under unknown circumstances.</t>
  </si>
  <si>
    <t>Altenkirchen, Germany</t>
  </si>
  <si>
    <t>British Airways</t>
  </si>
  <si>
    <t>Hanover - Cologne - London-Gatwick</t>
  </si>
  <si>
    <t>De Havilland DH-86</t>
  </si>
  <si>
    <t>G-ADEB</t>
  </si>
  <si>
    <t>The mail plane crashed at night under unknown circumstances.</t>
  </si>
  <si>
    <t>Mirabella, Greece</t>
  </si>
  <si>
    <t>Alexandria - Mirabella - Brindisi - Southampton</t>
  </si>
  <si>
    <t>G-ABFA</t>
  </si>
  <si>
    <t>S-758</t>
  </si>
  <si>
    <t>While attempting to land, the plane hit high waves and broke up. Strong lateral winds while landing on rough sea.</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</si>
  <si>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</si>
  <si>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</si>
  <si>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</si>
  <si>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</si>
  <si>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</si>
  <si>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Boulton and Paul P-71</t>
  </si>
  <si>
    <t>G-ACOX</t>
  </si>
  <si>
    <t>P-71-1</t>
  </si>
  <si>
    <t>Crashed under unknown circumstances while delivering mail.</t>
  </si>
  <si>
    <t>Walsenberg, Colorado</t>
  </si>
  <si>
    <t>El Paso, TX - Pueblo, CO</t>
  </si>
  <si>
    <t>NC176W</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</si>
  <si>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</si>
  <si>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</si>
  <si>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</si>
  <si>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</si>
  <si>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</si>
  <si>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</si>
  <si>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</si>
  <si>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Napierville, Illinois</t>
  </si>
  <si>
    <t>Blue Bird Air Service</t>
  </si>
  <si>
    <t>NC959Y</t>
  </si>
  <si>
    <t>A half-hour after taking off, the engine failed and the plane crashed into a fence and burst into flames  while making a forced landing.</t>
  </si>
  <si>
    <t xml:space="preserve"> Francisco Rueda,  Tabasco, Mexico</t>
  </si>
  <si>
    <t>XA-BDH</t>
  </si>
  <si>
    <t>The mail plane crashed for reasons unknown.</t>
  </si>
  <si>
    <t>Selby, North Yorkshire, United Kingdom</t>
  </si>
  <si>
    <t>North Sea Aerial and General Transport</t>
  </si>
  <si>
    <t>Blackburn B-2</t>
  </si>
  <si>
    <t>G-ABWI</t>
  </si>
  <si>
    <t>4700-1</t>
  </si>
  <si>
    <t>Near Tabarz, Germany</t>
  </si>
  <si>
    <t>Frankfurt - Erfurt</t>
  </si>
  <si>
    <t>D-APOO</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</si>
  <si>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</si>
  <si>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Nurnberg, Germany</t>
  </si>
  <si>
    <t>Leipzig - Nuremberg</t>
  </si>
  <si>
    <t>D-ASUI</t>
  </si>
  <si>
    <t>On approach to Nuremberg Airport in foggy conditions, the aircraft deviated from the prescribed course and was too low when it hit tree tops and crashed in a wooded area. Pilot error.</t>
  </si>
  <si>
    <t>Hanover - London</t>
  </si>
  <si>
    <t>Fokker F-XII</t>
  </si>
  <si>
    <t>G-AEOT</t>
  </si>
  <si>
    <t>The mail plane attempted to land in strong winds and poor weather conditons. Pilot error.</t>
  </si>
  <si>
    <t>Near Grenoble, France</t>
  </si>
  <si>
    <t>Lisbon - Burgos - Geneva - Munich</t>
  </si>
  <si>
    <t>D-ASIH</t>
  </si>
  <si>
    <t>Crashed into the French Alps  in high winds. The plane was named "Rudolf Windisch."</t>
  </si>
  <si>
    <t>Berlin - Moscow</t>
  </si>
  <si>
    <t>Antonov AN-9</t>
  </si>
  <si>
    <t>CCCP-D311</t>
  </si>
  <si>
    <t>Crashed short of the runway while attempting to land.</t>
  </si>
  <si>
    <t>Off Dakar, French West Africa</t>
  </si>
  <si>
    <t>Marseille - Dakar - Natal - Rio de Janeiro</t>
  </si>
  <si>
    <t>LatÃ©coÃ¨re 300 (float plane.</t>
  </si>
  <si>
    <t>F-AKGF</t>
  </si>
  <si>
    <t xml:space="preserve"> The last message from the aviator was "we have switched off the rear engine." The plane and crew of four were never found. Aviator Jean Mermoz killed.</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</si>
  <si>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</si>
  <si>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</si>
  <si>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</si>
  <si>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</si>
  <si>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</si>
  <si>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</si>
  <si>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</si>
  <si>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</si>
  <si>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</si>
  <si>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</si>
  <si>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</si>
  <si>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</si>
  <si>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Near Milford, Pennsylvania</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</si>
  <si>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</si>
  <si>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</si>
  <si>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</si>
  <si>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</si>
  <si>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</si>
  <si>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</si>
  <si>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After an attempted go-around the right engine failed and the plane crashed and burst into flames into a corn field..</t>
  </si>
  <si>
    <t>Nanking, China</t>
  </si>
  <si>
    <t>NC14269</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</si>
  <si>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</si>
  <si>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</si>
  <si>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</si>
  <si>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</si>
  <si>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Playa V icente, Veracruz, Mexico</t>
  </si>
  <si>
    <t>Mexico City - MinatitlÃ¡n - MÃ©rida</t>
  </si>
  <si>
    <t>Lockheed 10E Electra</t>
  </si>
  <si>
    <t>X-ABEO</t>
  </si>
  <si>
    <t>After starting a descent, the aircraft crashed into Playa Vincente in adverse weather.</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</si>
  <si>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</si>
  <si>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</si>
  <si>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</si>
  <si>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</si>
  <si>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</si>
  <si>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Elizabethville - Gao - Colomb-BÃ©char - Oran - Brussels</t>
  </si>
  <si>
    <t>Sabca S-73</t>
  </si>
  <si>
    <t>OO-AGR</t>
  </si>
  <si>
    <t>While attempting to land the aircraft went out of control and crashed.</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</si>
  <si>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</si>
  <si>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</si>
  <si>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</si>
  <si>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</si>
  <si>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</si>
  <si>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</si>
  <si>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</si>
  <si>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</si>
  <si>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</si>
  <si>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</si>
  <si>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Bathurst, Gambia</t>
  </si>
  <si>
    <t>Las Palmas, Canary Islands - Bathhurst, Gambia</t>
  </si>
  <si>
    <t>Heinkel He-111V2</t>
  </si>
  <si>
    <t>D-ALIX</t>
  </si>
  <si>
    <t>The German mail plane crashed into a swamp. The plane was named 'Rostock."</t>
  </si>
  <si>
    <t>Near Ouroux, France</t>
  </si>
  <si>
    <t>Southhampton, England - Alexandria, Egypt</t>
  </si>
  <si>
    <t>G-ADVA</t>
  </si>
  <si>
    <t>S-818</t>
  </si>
  <si>
    <t>Crashed into trees on a mountainside in a snowstorm.</t>
  </si>
  <si>
    <t>Clifton, Pennsylvania</t>
  </si>
  <si>
    <t>15A</t>
  </si>
  <si>
    <t>Newark - Camden - Pittsburg</t>
  </si>
  <si>
    <t>NC13730</t>
  </si>
  <si>
    <t>While attempting to land the aircraft banked left and crashed short of the runway. Heavy icing which rendered the plane uncontrollable.</t>
  </si>
  <si>
    <t>Wetnum, Germany</t>
  </si>
  <si>
    <t>D-UPOZ</t>
  </si>
  <si>
    <t>Engine failure led to a crash landing in a field.</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</si>
  <si>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</si>
  <si>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</si>
  <si>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</si>
  <si>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</si>
  <si>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</si>
  <si>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</si>
  <si>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</si>
  <si>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</si>
  <si>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</si>
  <si>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D-UXUV</t>
  </si>
  <si>
    <t>Stalled and crashed on takeoff.</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</si>
  <si>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</si>
  <si>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</si>
  <si>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</si>
  <si>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</si>
  <si>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</si>
  <si>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</si>
  <si>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Off Lae, New Guinea</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</si>
  <si>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</si>
  <si>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</si>
  <si>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</si>
  <si>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</si>
  <si>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</si>
  <si>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Douglas DC-2-115L</t>
  </si>
  <si>
    <t>PH-ALF</t>
  </si>
  <si>
    <t>The aircraft crashed  into a potato field after possibly being struck by lightning and after an in-flight fire.</t>
  </si>
  <si>
    <t>Wadi Halfa, Sudan</t>
  </si>
  <si>
    <t>Rome, Italy - Kartoum</t>
  </si>
  <si>
    <t>Crashed into a building on takeoff. The accident happened after the crew abandoned the approach and attempt an overshoot maneuver,</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</si>
  <si>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</si>
  <si>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</si>
  <si>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</si>
  <si>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</si>
  <si>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</si>
  <si>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 xml:space="preserve"> Bistrita, Romania</t>
  </si>
  <si>
    <t>CCCP-M25</t>
  </si>
  <si>
    <t>While en route, the plane caught fire and crashed. A passenger lit a cigarette in the rear toilet and ignited accumulated vapors.</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</si>
  <si>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</si>
  <si>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</si>
  <si>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</si>
  <si>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</si>
  <si>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</si>
  <si>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</si>
  <si>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</si>
  <si>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</si>
  <si>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</si>
  <si>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</si>
  <si>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</si>
  <si>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The cargo plane crashed and burned in a field while en route after entering dense fog.</t>
  </si>
  <si>
    <t>Wau, Papua New Guinea</t>
  </si>
  <si>
    <t>Stinson SR-7 Reliant</t>
  </si>
  <si>
    <t>VH-URC</t>
  </si>
  <si>
    <t>After taking off in foggy condition, the cargo plane lost altitude and crashed into a house.</t>
  </si>
  <si>
    <t>Phaleron Bay, Greece</t>
  </si>
  <si>
    <t>Alexandria, Egypt  - Athens, Greece</t>
  </si>
  <si>
    <t>Short Empire flying boat</t>
  </si>
  <si>
    <t>G-ADVC</t>
  </si>
  <si>
    <t>S-820</t>
  </si>
  <si>
    <t>Crashed as it landed in Phaleron Bay. Two passengers drowned. Poor visibility was blamed for the accident.</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</si>
  <si>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</si>
  <si>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</si>
  <si>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</si>
  <si>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</si>
  <si>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</si>
  <si>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</si>
  <si>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</si>
  <si>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</si>
  <si>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</si>
  <si>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Off Western Africa</t>
  </si>
  <si>
    <t>Dakar - Casablanca</t>
  </si>
  <si>
    <t>Dewoitine D-333</t>
  </si>
  <si>
    <t>F-ALQA</t>
  </si>
  <si>
    <t>Disappeared after sending a distress call while en route.</t>
  </si>
  <si>
    <t>Warsaw, Poland</t>
  </si>
  <si>
    <t>LOT</t>
  </si>
  <si>
    <t>Krakow - Warsaw</t>
  </si>
  <si>
    <t>Lockhed 10 Electra</t>
  </si>
  <si>
    <t>SP-AYD</t>
  </si>
  <si>
    <t>On final approach at night and in poor visibility due to fog, the pilot flew too low, hit power lines and crashed in a field.</t>
  </si>
  <si>
    <t>Mannheim, Germany</t>
  </si>
  <si>
    <t xml:space="preserve"> Berlin - Mannheim</t>
  </si>
  <si>
    <t>Heinkel He-111</t>
  </si>
  <si>
    <t>D-AXAV</t>
  </si>
  <si>
    <t>Hit the ground prematurely while attempting to land in fog.</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</si>
  <si>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</si>
  <si>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</si>
  <si>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</si>
  <si>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</si>
  <si>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United Kingdom</t>
  </si>
  <si>
    <t>D-AGAV</t>
  </si>
  <si>
    <t>Engine failure on takeoff caused the cargo plane to stall and crash into a hanger.</t>
  </si>
  <si>
    <t>Munich, Germany</t>
  </si>
  <si>
    <t>Rome - Munich - Berlin</t>
  </si>
  <si>
    <t>I-BAUS</t>
  </si>
  <si>
    <t>Crashed into a hill while on approach in low visibility.</t>
  </si>
  <si>
    <t xml:space="preserve"> Brindisi, Italy</t>
  </si>
  <si>
    <t>Short S-23 (flying boat)</t>
  </si>
  <si>
    <t>G-ADUZ</t>
  </si>
  <si>
    <t>S-817</t>
  </si>
  <si>
    <t>Stalled during takeoff and crashed into the sea. Wrong flap setting for takeoff, causing the aircraft to stall.</t>
  </si>
  <si>
    <t>Brindisi Harbor, Italy</t>
  </si>
  <si>
    <t>India - London</t>
  </si>
  <si>
    <t>Short Empire Flying Boat</t>
  </si>
  <si>
    <t>The flying boat crashed while attempting to take off. The aircraft was named Cygnus.</t>
  </si>
  <si>
    <t>Saint Sauveur, France</t>
  </si>
  <si>
    <t>Marseille - Lyon - Paris</t>
  </si>
  <si>
    <t>Potez 621</t>
  </si>
  <si>
    <t>F-AOTZ</t>
  </si>
  <si>
    <t>Crashed in poor weather conditions while flying too low hitting Pas de la Motte peak.</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</si>
  <si>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</si>
  <si>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</si>
  <si>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</si>
  <si>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</si>
  <si>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</si>
  <si>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</si>
  <si>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</si>
  <si>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</si>
  <si>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</si>
  <si>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</si>
  <si>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</si>
  <si>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</si>
  <si>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</si>
  <si>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</si>
  <si>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</si>
  <si>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</si>
  <si>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</si>
  <si>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</si>
  <si>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</si>
  <si>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</si>
  <si>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</si>
  <si>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North Pine, Ontario, Canada</t>
  </si>
  <si>
    <t>General Airways</t>
  </si>
  <si>
    <t>Sioux Lookout - Hudson</t>
  </si>
  <si>
    <t>Stinson Reliant SR-9</t>
  </si>
  <si>
    <t>CF-BEI</t>
  </si>
  <si>
    <t>5212-S</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</si>
  <si>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</si>
  <si>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</si>
  <si>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</si>
  <si>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</si>
  <si>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</si>
  <si>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</si>
  <si>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</si>
  <si>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</si>
  <si>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</si>
  <si>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</si>
  <si>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</si>
  <si>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</si>
  <si>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</si>
  <si>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XA-BAS</t>
  </si>
  <si>
    <t>Crashed on a second test flight.</t>
  </si>
  <si>
    <t>Marseille, France</t>
  </si>
  <si>
    <t>Marseille, France - Ajaccio, Corsica</t>
  </si>
  <si>
    <t>LiorÃ©-et-Olivier H-242</t>
  </si>
  <si>
    <t>F-ANPB</t>
  </si>
  <si>
    <t>The flying boat struck the breakwater in fog at 60 miles an hour and burst into flames while attempting to take off.</t>
  </si>
  <si>
    <t>Mediterranean Sea</t>
  </si>
  <si>
    <t>Cadiz - PollenÃ§a -Alghero - Rome</t>
  </si>
  <si>
    <t>Cant Z-506</t>
  </si>
  <si>
    <t>I-ORIA</t>
  </si>
  <si>
    <t>Disappeared over the Mediterranean Sea while flying in a storm.</t>
  </si>
  <si>
    <t>Pontoise, France</t>
  </si>
  <si>
    <t>Berlin, Germany - Paris, France</t>
  </si>
  <si>
    <t>Junkers JU.52</t>
  </si>
  <si>
    <t>D-APAR</t>
  </si>
  <si>
    <t>The mail plane crashed in fog within a few miles of it's destination near Bourget Airport.</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</si>
  <si>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</si>
  <si>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</si>
  <si>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</si>
  <si>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</si>
  <si>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</si>
  <si>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</si>
  <si>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</si>
  <si>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</si>
  <si>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</si>
  <si>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</si>
  <si>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</si>
  <si>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The pilot made a sharp turn, lost control of the aircraft and chrashed.</t>
  </si>
  <si>
    <t>Corsavy, France</t>
  </si>
  <si>
    <t>Dakar - Casablanca - Oran - Toulouse - Paris</t>
  </si>
  <si>
    <t>Dewoitine D-338</t>
  </si>
  <si>
    <t>F-AQBB</t>
  </si>
  <si>
    <t>The mail plane crashed into Cinq Croix peak in  the Pyrenees mountains while en route.</t>
  </si>
  <si>
    <t>Near Formia, Italy</t>
  </si>
  <si>
    <t>Brindisi - Rome</t>
  </si>
  <si>
    <t>Struck cloud obscured Mount Maranola.</t>
  </si>
  <si>
    <t>Balbuena, Mexico</t>
  </si>
  <si>
    <t>Lineas AÃ©reas Mineras</t>
  </si>
  <si>
    <t>Mexico City - Juarez</t>
  </si>
  <si>
    <t>Lockheed Vega 5B</t>
  </si>
  <si>
    <t>XA-BFR</t>
  </si>
  <si>
    <t>Mangere, New Zealand</t>
  </si>
  <si>
    <t>United Airways of New Zealand</t>
  </si>
  <si>
    <t>Auckland - Palmerston North</t>
  </si>
  <si>
    <t>ZK-AFC</t>
  </si>
  <si>
    <t>After experiencing engine failure while taking off, the plane crashed into trees and exploded in flames.</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</si>
  <si>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</si>
  <si>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</si>
  <si>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</si>
  <si>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</si>
  <si>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</si>
  <si>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Sao Paulo, Brazil</t>
  </si>
  <si>
    <t>Cruzeiro do Sul</t>
  </si>
  <si>
    <t>Santos - Sao Paulo - Rio de Janeiro - Natal</t>
  </si>
  <si>
    <t>PP-CBC</t>
  </si>
  <si>
    <t>Shortly after taking the plane stalled and crashed into Santos estuary.</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</si>
  <si>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</si>
  <si>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</si>
  <si>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</si>
  <si>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</si>
  <si>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</si>
  <si>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</si>
  <si>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Vancouver - Zeballos</t>
  </si>
  <si>
    <t>Fairchild 51</t>
  </si>
  <si>
    <t>CF-AUX</t>
  </si>
  <si>
    <t>Crashed into a wooded area after hitting trees</t>
  </si>
  <si>
    <t>Langeoog, Germany</t>
  </si>
  <si>
    <t>Heinkel 116</t>
  </si>
  <si>
    <t>D-ATIO</t>
  </si>
  <si>
    <t>Crashed on Langeoog Island.</t>
  </si>
  <si>
    <t>Near Singida, Tanzania</t>
  </si>
  <si>
    <t>Wilson Airways</t>
  </si>
  <si>
    <t>De Havilland DH-85</t>
  </si>
  <si>
    <t>VP-KBE</t>
  </si>
  <si>
    <t>Crashed about 50 miles from Singida.</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</si>
  <si>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</si>
  <si>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</si>
  <si>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</si>
  <si>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</si>
  <si>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</si>
  <si>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</si>
  <si>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</si>
  <si>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</si>
  <si>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</si>
  <si>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</si>
  <si>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</si>
  <si>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</si>
  <si>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The flying boat crashed into the Tyrrhenian Sea after the collapse of a wing.</t>
  </si>
  <si>
    <t>Andes</t>
  </si>
  <si>
    <t>Disappeared over the Andes mountains. Wreckage found Feb 1941at Mt. Mercedario.</t>
  </si>
  <si>
    <t>Stulpica, Romania</t>
  </si>
  <si>
    <t>LOT Polish Airlines</t>
  </si>
  <si>
    <t>Warsaw, Poland - Bucharest, Romania</t>
  </si>
  <si>
    <t>SP-BNG</t>
  </si>
  <si>
    <t>Crashed in strong turbulence and after being struck by lightning .</t>
  </si>
  <si>
    <t>Kisumu, Kenya</t>
  </si>
  <si>
    <t>London - Kisumu - Cape Town</t>
  </si>
  <si>
    <t>Armstrong-Withworth Atlanta</t>
  </si>
  <si>
    <t>G-ABTG</t>
  </si>
  <si>
    <t>AW-785</t>
  </si>
  <si>
    <t>Flew into a hillside soon after takeoff from Kisumu. The ship was named "Amalthea."</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</si>
  <si>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</si>
  <si>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</si>
  <si>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</si>
  <si>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</si>
  <si>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</si>
  <si>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</si>
  <si>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</si>
  <si>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</si>
  <si>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</si>
  <si>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</si>
  <si>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</si>
  <si>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</si>
  <si>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</si>
  <si>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</si>
  <si>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</si>
  <si>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Near San Andres Tuxtla, VeraCruz, Mexico</t>
  </si>
  <si>
    <t>Villahermosa - Veracruz - Mexico City</t>
  </si>
  <si>
    <t>X-ABAS</t>
  </si>
  <si>
    <t>Crashed into a mountain in heavy rain in an area being affected by a hurricane.</t>
  </si>
  <si>
    <t>Kiel, Germany</t>
  </si>
  <si>
    <t>CSA Czech Airlines</t>
  </si>
  <si>
    <t>Prague - Strasbourg - Paris</t>
  </si>
  <si>
    <t>OK-BAG</t>
  </si>
  <si>
    <t>Crashed into the Black Forest mountains in poor weather conditions. One stewardess survived but died a day later..</t>
  </si>
  <si>
    <t>Guanabara, Brazil</t>
  </si>
  <si>
    <t>Guanabara - Victoria</t>
  </si>
  <si>
    <t>PP-CAT</t>
  </si>
  <si>
    <t>Flew into a mountain wave after taking off, went into a dive and crashed into Guanabara Bay.</t>
  </si>
  <si>
    <t>SP-BNJ</t>
  </si>
  <si>
    <t>Caught fire after a ground looping.</t>
  </si>
  <si>
    <t>Montnago, Italy</t>
  </si>
  <si>
    <t>Macchi</t>
  </si>
  <si>
    <t>Macchi C-94</t>
  </si>
  <si>
    <t>I-NILO</t>
  </si>
  <si>
    <t>The sea plane crashed shortly after taking off on a test flight and sank.</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</si>
  <si>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</si>
  <si>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</si>
  <si>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</si>
  <si>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</si>
  <si>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</si>
  <si>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</si>
  <si>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</si>
  <si>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Near Tucumcari, New Mexico</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</si>
  <si>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</si>
  <si>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</si>
  <si>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</si>
  <si>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</si>
  <si>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</si>
  <si>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</si>
  <si>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</si>
  <si>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</si>
  <si>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</si>
  <si>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</si>
  <si>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Crashed into a cane field short of the runwa while attempting to land when the pilot swerved to avoid a tractor.</t>
  </si>
  <si>
    <t>Off Bathurst, Gambia</t>
  </si>
  <si>
    <t>Frankfurt, Germany - Milan, Italy</t>
  </si>
  <si>
    <t>Dornier DO.18 (float plane)</t>
  </si>
  <si>
    <t>D-AROZ</t>
  </si>
  <si>
    <t>Disappeared over the Atlantic ocean.</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</si>
  <si>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</si>
  <si>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</si>
  <si>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</si>
  <si>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Soest, Germany</t>
  </si>
  <si>
    <t>Brussels - DÃ¼sseldorf - Berlin</t>
  </si>
  <si>
    <t>OO-AGT</t>
  </si>
  <si>
    <t>The aircraft broke-up in midair and crashed to the ground.  A propeller may have broken, tearing loose an engine.</t>
  </si>
  <si>
    <t>Mt. Dandenong, Australia</t>
  </si>
  <si>
    <t>Adelaide - Melbourne</t>
  </si>
  <si>
    <t>VH-UYC</t>
  </si>
  <si>
    <t>Crashed into Mt. Daodenong in heavy fog while en route. Procedural errors by the pilot.</t>
  </si>
  <si>
    <t>Somerset, England</t>
  </si>
  <si>
    <t>Lockheed 14 Electra</t>
  </si>
  <si>
    <t>CF-TCL</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</si>
  <si>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</si>
  <si>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</si>
  <si>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</si>
  <si>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</si>
  <si>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</si>
  <si>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</si>
  <si>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</si>
  <si>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</si>
  <si>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Regina, Saskatchewan, Canada</t>
  </si>
  <si>
    <t>Trans Canada Air Lines</t>
  </si>
  <si>
    <t>Winnipeg - Regina - Vancouver</t>
  </si>
  <si>
    <t>The mail plane crashed several minutes after taking off from Regina</t>
  </si>
  <si>
    <t>Junkers JU90V2</t>
  </si>
  <si>
    <t>D-AIVI</t>
  </si>
  <si>
    <t>During takeoff the aircraft hit a palm tree and burst into flames due to double engine failure.</t>
  </si>
  <si>
    <t>Bagdad, Iraq</t>
  </si>
  <si>
    <t>Southampton - Sydney</t>
  </si>
  <si>
    <t>G-AETW</t>
  </si>
  <si>
    <t>S839</t>
  </si>
  <si>
    <t>The flying boat crashed on Lake Ramadi at night in a sandstorm.</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</si>
  <si>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</si>
  <si>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</si>
  <si>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</si>
  <si>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</si>
  <si>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</si>
  <si>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Mexico City, Mexico</t>
  </si>
  <si>
    <t>Mexico City - Merida</t>
  </si>
  <si>
    <t>X-ABAU</t>
  </si>
  <si>
    <t>Crashed and burned on a hill while taking off in foggy conditions. The pilot did not have authorization to take off during poor visibility.</t>
  </si>
  <si>
    <t>Off Kuba Island, Okinawa</t>
  </si>
  <si>
    <t>Japan Aviation Corporation</t>
  </si>
  <si>
    <t>Fukuoka - Taihoku</t>
  </si>
  <si>
    <t>Nakajima A-T2</t>
  </si>
  <si>
    <t>J-BDOH</t>
  </si>
  <si>
    <t>1481-1</t>
  </si>
  <si>
    <t>Crashed into the East China Sea after experiencing engine failure.</t>
  </si>
  <si>
    <t>Instructional Flight</t>
  </si>
  <si>
    <t>Lockheed 14-WF62 Super Electra</t>
  </si>
  <si>
    <t>PH-APE</t>
  </si>
  <si>
    <t>Whle taking off the aircraft stalled and struck a dyke near Schiphol Airport and caught fire.</t>
  </si>
  <si>
    <t>Darwin, Australia</t>
  </si>
  <si>
    <t>Short S23 â€˜Câ€™ Class flying boat</t>
  </si>
  <si>
    <t>G-AEUH</t>
  </si>
  <si>
    <t>Shot down by Japanese aircraft. Owned by Imperial Airways and operated by Qantas.</t>
  </si>
  <si>
    <t>Zurich - Geneva - Paris</t>
  </si>
  <si>
    <t>Douglas DC-2-115B</t>
  </si>
  <si>
    <t>HB-ITA</t>
  </si>
  <si>
    <t>The aircraft crashed onto a field losing both wings while attempting to land in low overcast.</t>
  </si>
  <si>
    <t>Rio de Janeiro, Brazil</t>
  </si>
  <si>
    <t>Vitoria - Rio de Janeiro</t>
  </si>
  <si>
    <t>PP-CAY</t>
  </si>
  <si>
    <t>In reduced visibility and strong winds, the seaplane crashed into the side of Mt. Chambe while attempting to land at Rio de Janerio.</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</si>
  <si>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</si>
  <si>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</si>
  <si>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</si>
  <si>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</si>
  <si>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</si>
  <si>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Katherine, Australia</t>
  </si>
  <si>
    <t>Katherine - Adelaide</t>
  </si>
  <si>
    <t>VH-ABI</t>
  </si>
  <si>
    <t>The mail plane failed to gain height after taking off, stalled and crashed into the Katherine River during a storm.</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</si>
  <si>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</si>
  <si>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</si>
  <si>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</si>
  <si>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</si>
  <si>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</si>
  <si>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Juneau, Alaska</t>
  </si>
  <si>
    <t>Marine Airways</t>
  </si>
  <si>
    <t>Ketchikan - Juneau</t>
  </si>
  <si>
    <t>Fairchild 71(amphibious)</t>
  </si>
  <si>
    <t>NC9777</t>
  </si>
  <si>
    <t>The air taxi encountered low visibility and snow and crashed on Grand Island. The wreckage was found 1 month later</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</si>
  <si>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</si>
  <si>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</si>
  <si>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</si>
  <si>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</si>
  <si>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</si>
  <si>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London - Brussels</t>
  </si>
  <si>
    <t>OO-AUA</t>
  </si>
  <si>
    <t>The cargo plane stalled and crashed into a field short of the runway.</t>
  </si>
  <si>
    <t>Manzanares, Colombia</t>
  </si>
  <si>
    <t>Junkers JU-86</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</si>
  <si>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</si>
  <si>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</si>
  <si>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</si>
  <si>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</si>
  <si>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</si>
  <si>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</si>
  <si>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</si>
  <si>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</si>
  <si>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</si>
  <si>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</si>
  <si>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</si>
  <si>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Crashed into a mountain.</t>
  </si>
  <si>
    <t>Lumbo, Mozambique</t>
  </si>
  <si>
    <t>London - Cairo- Mombasa - Dar es-Salaam - Lumbo - Maputo</t>
  </si>
  <si>
    <t>Short S-23 Empire Flying Boat</t>
  </si>
  <si>
    <t>G-ADVD</t>
  </si>
  <si>
    <t>S-821</t>
  </si>
  <si>
    <t>After an aborted landing the plane hit the water and came to rest off Ilha de Mocambique island.</t>
  </si>
  <si>
    <t>Casablanca, Morocco - Dakar, Senegal</t>
  </si>
  <si>
    <t>F-ARIC</t>
  </si>
  <si>
    <t>Crashed and burned in a mountainous area due to icing.</t>
  </si>
  <si>
    <t>Guayaquil, Ecuador</t>
  </si>
  <si>
    <t>Military - Ecuadorian Air Force</t>
  </si>
  <si>
    <t>Curtiss-Wright C-14 Osprey</t>
  </si>
  <si>
    <t>While performing aerobatics, the aircraft lost control and crashed into numerous building near a college.</t>
  </si>
  <si>
    <t>KLM Royal Duch Airlines</t>
  </si>
  <si>
    <t>PH-AKN</t>
  </si>
  <si>
    <t>During  a training flight with one engine out,  the crew hit an obstacle and then a sentry-box with 9 soldiers inside. One soldier  died and 3 others were wounded. The aircraft was repaired.</t>
  </si>
  <si>
    <t>Vlissingen, The Netherlands</t>
  </si>
  <si>
    <t>Haamstede - Vlissingen</t>
  </si>
  <si>
    <t>Koolhoven FK.43</t>
  </si>
  <si>
    <t>PH-AJK</t>
  </si>
  <si>
    <t>The crew  made a steep turn over a beach at too low a speed, stalled and crashed. Two student pilots.were flying the plane.</t>
  </si>
  <si>
    <t xml:space="preserve"> Forest-in-Teesdale. United Kingdom</t>
  </si>
  <si>
    <t xml:space="preserve"> British American Air Services</t>
  </si>
  <si>
    <t>Heston - Newcastle</t>
  </si>
  <si>
    <t>de Havilland DH.89 Dragon Rapide</t>
  </si>
  <si>
    <t>G-AERE</t>
  </si>
  <si>
    <t>The aircraft hit the slope of Mt Dora's Seat when flying too low.</t>
  </si>
  <si>
    <t>Konstanz, Switzerland</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</si>
  <si>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</si>
  <si>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</si>
  <si>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</si>
  <si>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</si>
  <si>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</si>
  <si>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</si>
  <si>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</si>
  <si>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</si>
  <si>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</si>
  <si>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</si>
  <si>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</si>
  <si>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</si>
  <si>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</si>
  <si>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</si>
  <si>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</si>
  <si>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</si>
  <si>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 Leakage of fuel from the overflow boxes, which resulted from overfilling of the fuel tanks.</t>
  </si>
  <si>
    <t>Lahore, India</t>
  </si>
  <si>
    <t>Indian National Airways</t>
  </si>
  <si>
    <t>Calcutta - Dum Dum</t>
  </si>
  <si>
    <t>De Havilland D-84</t>
  </si>
  <si>
    <t>VT-AEL</t>
  </si>
  <si>
    <t>Crashed en route for unknown reasons.</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</si>
  <si>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</si>
  <si>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</si>
  <si>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</si>
  <si>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</si>
  <si>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Copenhagen - Amsterdam</t>
  </si>
  <si>
    <t>PH-ASM</t>
  </si>
  <si>
    <t>One Swedish passenger was killed when the plane was attacked by a German fighter. The plane was able to land safely in Amsterdam.</t>
  </si>
  <si>
    <t xml:space="preserve"> Calarmar, Colombia</t>
  </si>
  <si>
    <t>Scarta</t>
  </si>
  <si>
    <t>Barranquilla - Girardot</t>
  </si>
  <si>
    <t>C-53</t>
  </si>
  <si>
    <t>Crashed while en route.</t>
  </si>
  <si>
    <t>Gosport, England</t>
  </si>
  <si>
    <t>Airspeed Oxford</t>
  </si>
  <si>
    <t>G-AFFM</t>
  </si>
  <si>
    <t>Collided with the mooring of a ballon.went out of control and crashed.</t>
  </si>
  <si>
    <t>South of Gibraltar</t>
  </si>
  <si>
    <t>Tetouan- Seville - Alicante</t>
  </si>
  <si>
    <t>M-CABA</t>
  </si>
  <si>
    <t>Shot down by a British RAF fighter. Crashed 6 miles south of Europa Point.</t>
  </si>
  <si>
    <t>Off Malta-Luqa</t>
  </si>
  <si>
    <t>Egypt - England</t>
  </si>
  <si>
    <t>G-AFYU</t>
  </si>
  <si>
    <t>Ditched into the sea, 300 miles NW of Alexandria, Egypt. A ship rescued six survivers.</t>
  </si>
  <si>
    <t>Mogador, Morocco</t>
  </si>
  <si>
    <t>Linee Aeree Italiane</t>
  </si>
  <si>
    <t>Rome - Rio de Janerio</t>
  </si>
  <si>
    <t>Savoia-Marchetti SM83</t>
  </si>
  <si>
    <t>I-ARPA</t>
  </si>
  <si>
    <t>Crashed into a mountain  60 km southeast of Mogadorin in  a storm while attempting to make a forced landing.</t>
  </si>
  <si>
    <t>Denpasar, Indonesia</t>
  </si>
  <si>
    <t>KNILM</t>
  </si>
  <si>
    <t>Batavia - Denpasar - Kupang - Darwin - Sydney</t>
  </si>
  <si>
    <t>PK-AFO</t>
  </si>
  <si>
    <t>Crashed into the sea shortly after take-off. Cause unknown</t>
  </si>
  <si>
    <t>Near Cosenza, Italy</t>
  </si>
  <si>
    <t>Catania - Brindisi - Rome</t>
  </si>
  <si>
    <t>Savoia-Marchetti SM-75</t>
  </si>
  <si>
    <t>I-LEAL</t>
  </si>
  <si>
    <t>Crashed and burned on a hill side in fog. Prior to crashing the crew reported ice on the wings.</t>
  </si>
  <si>
    <t>Near Bucaramanga, Columbia</t>
  </si>
  <si>
    <t>Bogota - Cucuta</t>
  </si>
  <si>
    <t>C-79</t>
  </si>
  <si>
    <t>The plane hit a mountain in the Andes  near Tona, northeast of Bucaramanga after the crew lost their bearings in fog.</t>
  </si>
  <si>
    <t>Gulf of Oman</t>
  </si>
  <si>
    <t>Calcutta - Jask - Sharjah - Alexandria - London</t>
  </si>
  <si>
    <t>Handley Page HP-42</t>
  </si>
  <si>
    <t>G-AAGX</t>
  </si>
  <si>
    <t>HP42/1</t>
  </si>
  <si>
    <t>Crashed in the Persian Gulf while en route with out a trace. The aircraft was named "Hannibal."</t>
  </si>
  <si>
    <t>Stromboli Island, Italy</t>
  </si>
  <si>
    <t xml:space="preserve"> Tripol- Catania - Rome - Milan</t>
  </si>
  <si>
    <t>Savoia Marchetti SM 73</t>
  </si>
  <si>
    <t>I- SUTO</t>
  </si>
  <si>
    <t>The plane crashed into Stromboli Volcano. The cause was possibly bad weather or some electromagnetic phenomena.</t>
  </si>
  <si>
    <t>Near Loch Lomond, Scotland</t>
  </si>
  <si>
    <t>British Overseas Airways</t>
  </si>
  <si>
    <t>Stockholm - Perth - Heston</t>
  </si>
  <si>
    <t>G-AFKD</t>
  </si>
  <si>
    <t>Struck a mountain after being off course 10 miles to the west in reduced visibility.</t>
  </si>
  <si>
    <t>El Segundo, California</t>
  </si>
  <si>
    <t>Douglas Aircraft Company</t>
  </si>
  <si>
    <t>Douglas DC-5</t>
  </si>
  <si>
    <t>Crashed and burned during a government test flight</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</si>
  <si>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</si>
  <si>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</si>
  <si>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</si>
  <si>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</si>
  <si>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</si>
  <si>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</si>
  <si>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</si>
  <si>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</si>
  <si>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</si>
  <si>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</si>
  <si>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</si>
  <si>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</si>
  <si>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</si>
  <si>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No cause was described except it being pilot error.</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</si>
  <si>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</si>
  <si>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</si>
  <si>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</si>
  <si>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</si>
  <si>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 xml:space="preserve"> Gospic,,Coatia</t>
  </si>
  <si>
    <t>Zagreb - Split</t>
  </si>
  <si>
    <t xml:space="preserve"> YU-SBC</t>
  </si>
  <si>
    <t>Hit a mountain slope while en route.</t>
  </si>
  <si>
    <t>Cluj, Romania</t>
  </si>
  <si>
    <t>LARES</t>
  </si>
  <si>
    <t xml:space="preserve"> Baia Mare - Cluj-Napoca - Sibiu - Bucharest</t>
  </si>
  <si>
    <t>YR-PAF</t>
  </si>
  <si>
    <t>While approaching Cluj-Napoca from the west, the aircraft was not on the assigned track and hit the slope of Mt Gaina during a hail and thunderstorm.</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</si>
  <si>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</si>
  <si>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</si>
  <si>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</si>
  <si>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</si>
  <si>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</si>
  <si>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Osijek, Croatia</t>
  </si>
  <si>
    <t>Belgrade - Osijek - Zagreb</t>
  </si>
  <si>
    <t>YU-SBE</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</si>
  <si>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</si>
  <si>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</si>
  <si>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</si>
  <si>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</si>
  <si>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</si>
  <si>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</si>
  <si>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Hit the ground short of the runway in reduced visibility.</t>
  </si>
  <si>
    <t>Near Rincon, Bolivia</t>
  </si>
  <si>
    <t>Lloyd Aero Boliviano SA</t>
  </si>
  <si>
    <t>Santa Cruz - Corumba</t>
  </si>
  <si>
    <t>Junkers Ju-52/3m</t>
  </si>
  <si>
    <t>CB-17</t>
  </si>
  <si>
    <t>Crashe in a storm while en route. Wreckage found 15 months later.</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</si>
  <si>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</si>
  <si>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</si>
  <si>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</si>
  <si>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</si>
  <si>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</si>
  <si>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</si>
  <si>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</si>
  <si>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</si>
  <si>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</si>
  <si>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Brandenburg, Germany</t>
  </si>
  <si>
    <t>Berlin - Budapest</t>
  </si>
  <si>
    <t>Junkers JU-90A-1</t>
  </si>
  <si>
    <t>D-AVMF</t>
  </si>
  <si>
    <t>Crashed while en route in poor weather condtions . Icing.</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</si>
  <si>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</si>
  <si>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</si>
  <si>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</si>
  <si>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</si>
  <si>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</si>
  <si>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</si>
  <si>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Capri Island, Italy</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</si>
  <si>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</si>
  <si>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</si>
  <si>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</si>
  <si>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</si>
  <si>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</si>
  <si>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</si>
  <si>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</si>
  <si>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</si>
  <si>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</si>
  <si>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</si>
  <si>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Off  Fernando de Noronha, Brazil</t>
  </si>
  <si>
    <t>Rio de Janeiro - Natal - Sal - Seville - Rome</t>
  </si>
  <si>
    <t>I-BAYR</t>
  </si>
  <si>
    <t>Crashed near the Equator after the crew had lost an engine. Three hours after taking off, an SOS was transmitted. No trace of the plane was ever found.</t>
  </si>
  <si>
    <t>Near Nagyvarad, Hungary</t>
  </si>
  <si>
    <t>Malert Airlines</t>
  </si>
  <si>
    <t>Budapest - Maros-Vasarhely</t>
  </si>
  <si>
    <t>HA-JUA</t>
  </si>
  <si>
    <t>An engine stalled during the initial climb and the plane crashed and burned,</t>
  </si>
  <si>
    <t>Near Kian, China</t>
  </si>
  <si>
    <t>Ford 5-AT Tri-Motor</t>
  </si>
  <si>
    <t>5-AT-101</t>
  </si>
  <si>
    <t>Crashed into a mountain during a thunderstorm and reduced visibility.</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</si>
  <si>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</si>
  <si>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</si>
  <si>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</si>
  <si>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</si>
  <si>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</si>
  <si>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</si>
  <si>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Toronto - Winnipeg</t>
  </si>
  <si>
    <t>CF-TCP</t>
  </si>
  <si>
    <t>The plane crashed after the right wing struck a tree as the pilot was attempting to land in adverse weather. Struck several other trees and landed inverted in a swamp.</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</si>
  <si>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</si>
  <si>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</si>
  <si>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</si>
  <si>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</si>
  <si>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</si>
  <si>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</si>
  <si>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 and sunk.</t>
  </si>
  <si>
    <t>Elands Bay, South Africa</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</si>
  <si>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</si>
  <si>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</si>
  <si>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</si>
  <si>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</si>
  <si>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</si>
  <si>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</si>
  <si>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</si>
  <si>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</si>
  <si>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</si>
  <si>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Bucharest - Sofia</t>
  </si>
  <si>
    <t>Stalled and crashed during takeoff.</t>
  </si>
  <si>
    <t>Sea of Japan</t>
  </si>
  <si>
    <t>Manchurian Air Lines</t>
  </si>
  <si>
    <t>Mitsubishi MC-20</t>
  </si>
  <si>
    <t>M-604</t>
  </si>
  <si>
    <t>Crashed while en route. Cause unknown.</t>
  </si>
  <si>
    <t>Rome, Italy</t>
  </si>
  <si>
    <t>Rome - Cagliari</t>
  </si>
  <si>
    <t>Macchi C.100</t>
  </si>
  <si>
    <t>I-PACE</t>
  </si>
  <si>
    <t>After an engine failed the crew decided to return but encountered turbulence and crashed.</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</si>
  <si>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</si>
  <si>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</si>
  <si>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</si>
  <si>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</si>
  <si>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</si>
  <si>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</si>
  <si>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</si>
  <si>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</si>
  <si>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</si>
  <si>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</si>
  <si>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</si>
  <si>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Curitiba - Sao Paulo</t>
  </si>
  <si>
    <t>Lockheed 18 LodeStar</t>
  </si>
  <si>
    <t>PP-PBD</t>
  </si>
  <si>
    <t>After a goaround the plane diverted from its prescribed course and crashed into a mountain.</t>
  </si>
  <si>
    <t>Coen, Australila</t>
  </si>
  <si>
    <t>Horn Island - Coen - Cairns</t>
  </si>
  <si>
    <t>VH-UQL</t>
  </si>
  <si>
    <t>On approach the left wing broke off and the aircraft crashed in a field.</t>
  </si>
  <si>
    <t>Campbeltown, Argyll, Scotland</t>
  </si>
  <si>
    <t>Consolidated 32-2 Liberator I</t>
  </si>
  <si>
    <t>AM-915</t>
  </si>
  <si>
    <t>Crashed into a hillside.</t>
  </si>
  <si>
    <t>Bollemont, France</t>
  </si>
  <si>
    <t>Marseille - Toulouse</t>
  </si>
  <si>
    <t>Bloch 220</t>
  </si>
  <si>
    <t>F-AQNL</t>
  </si>
  <si>
    <t>The aircraft crashed into lake Bolomon after engine failure during takeoff in windy conditions.</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</si>
  <si>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</si>
  <si>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</si>
  <si>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</si>
  <si>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</si>
  <si>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</si>
  <si>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</si>
  <si>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Athens - Sofia</t>
  </si>
  <si>
    <t>Junkers JU-53/3m</t>
  </si>
  <si>
    <t>D-AUXZ</t>
  </si>
  <si>
    <t>Crashed on the Greek/Hungarian border. Cause unknown,</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</si>
  <si>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</si>
  <si>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</si>
  <si>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</si>
  <si>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</si>
  <si>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</si>
  <si>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</si>
  <si>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</si>
  <si>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</si>
  <si>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 xml:space="preserve"> Chardzhou, Turkmenistan</t>
  </si>
  <si>
    <t>Chardzhou - Urgench</t>
  </si>
  <si>
    <t>CP-L2010</t>
  </si>
  <si>
    <t>During the initial climb at night, the pilot in command suffered a spatial disorientation stalled the plane and crashed.</t>
  </si>
  <si>
    <t>Miami, Florida</t>
  </si>
  <si>
    <t>NC21V</t>
  </si>
  <si>
    <t xml:space="preserve"> Baiserke, Kazakhstan</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</si>
  <si>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</si>
  <si>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</si>
  <si>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</si>
  <si>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Sabang, Indonesia</t>
  </si>
  <si>
    <t>BOAC</t>
  </si>
  <si>
    <t xml:space="preserve"> G-ADUX</t>
  </si>
  <si>
    <t>S-815</t>
  </si>
  <si>
    <t>While taking off the plane hit debris in the water and broke up.</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</si>
  <si>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</si>
  <si>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</si>
  <si>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</si>
  <si>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</si>
  <si>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 xml:space="preserve"> Kupang, Indonesia</t>
  </si>
  <si>
    <t>Lockheed Hudson</t>
  </si>
  <si>
    <t>A16-79</t>
  </si>
  <si>
    <t>414-1933</t>
  </si>
  <si>
    <t>Shortly after taking off the left engine caught fire, the plane stalled and crashed.</t>
  </si>
  <si>
    <t>Kupang, Timor</t>
  </si>
  <si>
    <t>Grumman G-21 Goose</t>
  </si>
  <si>
    <t>PK-AFS</t>
  </si>
  <si>
    <t>Shot down by Japanese military aircraft.</t>
  </si>
  <si>
    <t>Near Kupang, Timor</t>
  </si>
  <si>
    <t>Darwin - Surabaya, Dutch East Indies</t>
  </si>
  <si>
    <t>S-850</t>
  </si>
  <si>
    <t>Shot down by Japanese military aircraft. Owned by British Overseas Airways.</t>
  </si>
  <si>
    <t>English Channel, near Plymouth, England</t>
  </si>
  <si>
    <t>Cairo, Egypt - England</t>
  </si>
  <si>
    <t>Consolidated Liberator</t>
  </si>
  <si>
    <t>G-AGDR</t>
  </si>
  <si>
    <t>Shot down in error by two Royal Air Force Spitfire fighters..</t>
  </si>
  <si>
    <t xml:space="preserve"> Zhengzhou-Xinzheng, China</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</si>
  <si>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</si>
  <si>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</si>
  <si>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</si>
  <si>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</si>
  <si>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</si>
  <si>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</si>
  <si>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</si>
  <si>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</si>
  <si>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</si>
  <si>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</si>
  <si>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Wyndham, Australia</t>
  </si>
  <si>
    <t>Java - Australia</t>
  </si>
  <si>
    <t>PK-AFV</t>
  </si>
  <si>
    <t>Off Broome, Australia</t>
  </si>
  <si>
    <t>Military - U.S. Army Air Force</t>
  </si>
  <si>
    <t xml:space="preserve"> Broome - Kupang</t>
  </si>
  <si>
    <t>Consolidated B-24 Liberator</t>
  </si>
  <si>
    <t>40-2370</t>
  </si>
  <si>
    <t>Shot down shortly after taking off by a Japanese fighter.</t>
  </si>
  <si>
    <t>Kunming, China</t>
  </si>
  <si>
    <t>Kunming - Chungking</t>
  </si>
  <si>
    <t>Douglas DC-2-221</t>
  </si>
  <si>
    <t>Crashed 2 km from the Kunming Airdome shortly after takeoff.  Possible causes include engine failure,  overloading, sabotage and temporary blinding by a bright light.</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</si>
  <si>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</si>
  <si>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</si>
  <si>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</si>
  <si>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</si>
  <si>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</si>
  <si>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</si>
  <si>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</si>
  <si>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</si>
  <si>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</si>
  <si>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</si>
  <si>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</si>
  <si>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</si>
  <si>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</si>
  <si>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I-MELE</t>
  </si>
  <si>
    <t>Stalled, struck trees, crashed and burned immediately after takeoff.</t>
  </si>
  <si>
    <t>Near Premier, West Virginia</t>
  </si>
  <si>
    <t>Military - U.S. Army Air Forces</t>
  </si>
  <si>
    <t>Battle Creek - Cincinnati - Florence</t>
  </si>
  <si>
    <t>Douglas C-49E</t>
  </si>
  <si>
    <t>42-56093</t>
  </si>
  <si>
    <t>Flew into a thunderstorm and was observed in a near vertical dive before crashing to the ground.  Icing, possible overloading.</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</si>
  <si>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</si>
  <si>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</si>
  <si>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</si>
  <si>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</si>
  <si>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</si>
  <si>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Llanfair, England</t>
  </si>
  <si>
    <t>Sydenham - Hendon</t>
  </si>
  <si>
    <t>N7253</t>
  </si>
  <si>
    <t xml:space="preserve"> 414-1649</t>
  </si>
  <si>
    <t>The aircraft went out of control while flying in thunderstorm activity and may have been struck by lightning.</t>
  </si>
  <si>
    <t>Liore et Olivier H-246 Air Boat</t>
  </si>
  <si>
    <t>F-AREJ</t>
  </si>
  <si>
    <t>Attacked by Royal Air Force fighters.  Crashed in the water while attempting to land and sank.</t>
  </si>
  <si>
    <t>Siebel Si-204</t>
  </si>
  <si>
    <t>Lufthansa chairman, Von Gablenz killed.</t>
  </si>
  <si>
    <t>Trinidad</t>
  </si>
  <si>
    <t>Trinidad - Curacao</t>
  </si>
  <si>
    <t>PJ-AIP</t>
  </si>
  <si>
    <t xml:space="preserve"> Shortly after taking off all radio contact was lost with the aircraft. Next day, the wreckage was found near the airport. The cause was never determined. Possible encounter with a severe thunderstorm.</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</si>
  <si>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</si>
  <si>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</si>
  <si>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</si>
  <si>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</si>
  <si>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</si>
  <si>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</si>
  <si>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 Bathurst - Lisbon - Poole</t>
  </si>
  <si>
    <t>Short S-30 (flying boat)</t>
  </si>
  <si>
    <t>G-AFCZ</t>
  </si>
  <si>
    <t>S-885</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</si>
  <si>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</si>
  <si>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</si>
  <si>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</si>
  <si>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</si>
  <si>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</si>
  <si>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</si>
  <si>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</si>
  <si>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</si>
  <si>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</si>
  <si>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</si>
  <si>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Douglas C-47</t>
  </si>
  <si>
    <t>Crashed while attempting to land after losing oil pressure on one engine.</t>
  </si>
  <si>
    <t>Near Coamo, Puerto Rico</t>
  </si>
  <si>
    <t>Juana DÃ­az-Losey Field - San Juan</t>
  </si>
  <si>
    <t>38-524</t>
  </si>
  <si>
    <t>The aircraft made a wide descending turn with engines running roughly and crashed into a hill in poor visibility.</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</si>
  <si>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</si>
  <si>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</si>
  <si>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</si>
  <si>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</si>
  <si>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</si>
  <si>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</si>
  <si>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 xml:space="preserve"> Yanaul, Russia</t>
  </si>
  <si>
    <t>Moscow - Kazan - Sverdlovsk</t>
  </si>
  <si>
    <t>GVF PS-84</t>
  </si>
  <si>
    <t>CCCP-L3903</t>
  </si>
  <si>
    <t>Crashed while on final approach. Icing. Incorrect weather conditions supplied to crew.</t>
  </si>
  <si>
    <t>Budapest, Romania</t>
  </si>
  <si>
    <t xml:space="preserve"> Budapest - Belgrade</t>
  </si>
  <si>
    <t>D-AYGX</t>
  </si>
  <si>
    <t>The aircraft struck the north slope of Mt. Fruka Gora. Improper weather information provided to the crew.</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</si>
  <si>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</si>
  <si>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</si>
  <si>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</si>
  <si>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</si>
  <si>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</si>
  <si>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</si>
  <si>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 xml:space="preserve"> La Esperanza, Colombia</t>
  </si>
  <si>
    <t>Avianca</t>
  </si>
  <si>
    <t>C-144</t>
  </si>
  <si>
    <t>Struck a mouintian 8km from La Esperanza.</t>
  </si>
  <si>
    <t>Norway</t>
  </si>
  <si>
    <t>Handley Page HP-57 Halifax</t>
  </si>
  <si>
    <t>W7773</t>
  </si>
  <si>
    <t>After a flight of ten hours, while overflying the south part of Norway, the bomber was shot down by enemy fire and crashed.</t>
  </si>
  <si>
    <t>Near Kranoyarsk, Russia</t>
  </si>
  <si>
    <t>Kranoyarskie Vozhjushnye Trassy</t>
  </si>
  <si>
    <t>Kranoyarsk - Kirensk</t>
  </si>
  <si>
    <t>Grazhdansky Vozdushnyi Flot PS-84</t>
  </si>
  <si>
    <t>CCCP-L-3965</t>
  </si>
  <si>
    <t>Stalled immediately after becoming airborne and crashed. Icing.</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</si>
  <si>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</si>
  <si>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</si>
  <si>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</si>
  <si>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</si>
  <si>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</si>
  <si>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</si>
  <si>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</si>
  <si>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</si>
  <si>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</si>
  <si>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</si>
  <si>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</si>
  <si>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</si>
  <si>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</si>
  <si>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</si>
  <si>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Crashed 2 km from the airport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</si>
  <si>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</si>
  <si>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</si>
  <si>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</si>
  <si>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</si>
  <si>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</si>
  <si>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</si>
  <si>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</si>
  <si>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</si>
  <si>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</si>
  <si>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</si>
  <si>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</si>
  <si>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</si>
  <si>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</si>
  <si>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</si>
  <si>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Exploded in mid-air and crashed along the coast of South American while en route to Africa.</t>
  </si>
  <si>
    <t>Off the Brazilian coast,  Atlantic Ocean</t>
  </si>
  <si>
    <t>Accra, Ghana - Natal, Brazil</t>
  </si>
  <si>
    <t>Consolidated C-87</t>
  </si>
  <si>
    <t>41-1708</t>
  </si>
  <si>
    <t>Disappeared while en route. Life boats with dead bodies found 100 km away.</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</si>
  <si>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</si>
  <si>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</si>
  <si>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</si>
  <si>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</si>
  <si>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</si>
  <si>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</si>
  <si>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</si>
  <si>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</si>
  <si>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</si>
  <si>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</si>
  <si>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</si>
  <si>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</si>
  <si>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</si>
  <si>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</si>
  <si>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</si>
  <si>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</si>
  <si>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</si>
  <si>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</si>
  <si>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</si>
  <si>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</si>
  <si>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</si>
  <si>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</si>
  <si>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</si>
  <si>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</si>
  <si>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</si>
  <si>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</si>
  <si>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</si>
  <si>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</si>
  <si>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</si>
  <si>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</si>
  <si>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</si>
  <si>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Brisbane - Sydney</t>
  </si>
  <si>
    <t>Douglas C-47-DL</t>
  </si>
  <si>
    <t>A65-2</t>
  </si>
  <si>
    <t>The aircraft, taking off in darkness and poor visibility, crashed in heavy timber and caught fire.</t>
  </si>
  <si>
    <t>Stockholm, Sweden - RAF Leuchars, Scotland</t>
  </si>
  <si>
    <t>Lockheed C-56B Lodestar</t>
  </si>
  <si>
    <t>G-AGEJ</t>
  </si>
  <si>
    <t>Shot down  by German fighters, 30 miles from Skagen, Denmark</t>
  </si>
  <si>
    <t>Off Port Moresby, New Guinea</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</si>
  <si>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</si>
  <si>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</si>
  <si>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</si>
  <si>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</si>
  <si>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</si>
  <si>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</si>
  <si>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</si>
  <si>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</si>
  <si>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</si>
  <si>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Red Springs, North Carolina</t>
  </si>
  <si>
    <t>Pope Field - Maxton</t>
  </si>
  <si>
    <t>Douglas C-47A-DL</t>
  </si>
  <si>
    <t>42-23512</t>
  </si>
  <si>
    <t>Crashed in thunderstorm activity while attempting to land.</t>
  </si>
  <si>
    <t xml:space="preserve"> Noumea,  New Caledonia</t>
  </si>
  <si>
    <t>Military - US Navy</t>
  </si>
  <si>
    <t>Noumea - Sydney</t>
  </si>
  <si>
    <t>Douglas C-47 Skytrain (DC-3)</t>
  </si>
  <si>
    <t>During the initial climb one engine failed. While attempting an emergency landing, the plane stalled and crashed.</t>
  </si>
  <si>
    <t>Near Mackay, OLD, Australia</t>
  </si>
  <si>
    <t>Mackay - Port Moresby</t>
  </si>
  <si>
    <t>B-17C Flying Fortress</t>
  </si>
  <si>
    <t>The aircraft took off into ground fog and leveled off at an altitude of about 300 feet. The plane stalled and crashed and exploded.</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</si>
  <si>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</si>
  <si>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</si>
  <si>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</si>
  <si>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</si>
  <si>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</si>
  <si>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</si>
  <si>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</si>
  <si>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</si>
  <si>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</si>
  <si>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</si>
  <si>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</si>
  <si>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</si>
  <si>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</si>
  <si>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</si>
  <si>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</si>
  <si>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</si>
  <si>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</si>
  <si>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</si>
  <si>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</si>
  <si>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</si>
  <si>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</si>
  <si>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</si>
  <si>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</si>
  <si>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</si>
  <si>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</si>
  <si>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Twenty minutes after taking off the aircraft crashed into Cleveland Bay several miles offshore.</t>
  </si>
  <si>
    <t>Fort Hertz, China</t>
  </si>
  <si>
    <t>The cargo plane was shot down by Japanese fighters.</t>
  </si>
  <si>
    <t>Rhodes, Greece</t>
  </si>
  <si>
    <t xml:space="preserve"> I-BETA</t>
  </si>
  <si>
    <t>While taking off the aircraft lost control and crashed offshore.</t>
  </si>
  <si>
    <t>Sao Paulo - Rio de Janeiro</t>
  </si>
  <si>
    <t>PP-SPD</t>
  </si>
  <si>
    <t>Struck a Naval Academy building while attemptin to take off in heavy fog.  The plane then broke in two and fell into the harbor. The plane was named "City of Rio de Janiero."</t>
  </si>
  <si>
    <t>AB Aerotransport</t>
  </si>
  <si>
    <t>Aberdeen - Stockholm</t>
  </si>
  <si>
    <t>SE-BAF</t>
  </si>
  <si>
    <t>Shot down by German military aircraft and crashed 70 km west of Hirsthals, Denmark.</t>
  </si>
  <si>
    <t>Off Galveston, Texas</t>
  </si>
  <si>
    <t>Boeing B-17F / Boeing B-17F</t>
  </si>
  <si>
    <t>42-4621/42-6031</t>
  </si>
  <si>
    <t>Midair collision over the Gulf of Mexico while flying in formation. Eleven killed on each plane.</t>
  </si>
  <si>
    <t>Near Maxton, North Carolina</t>
  </si>
  <si>
    <t>Maxton - Godman</t>
  </si>
  <si>
    <t>Douglas C-53D-DO</t>
  </si>
  <si>
    <t>42-68729</t>
  </si>
  <si>
    <t>Crashed into a wooded area after nearly colliding with a glider being towed by another aircraft.  The evasive maneuver caused the aircraft to stall and crash.</t>
  </si>
  <si>
    <t>Near Calcutta, India</t>
  </si>
  <si>
    <t>42-6471</t>
  </si>
  <si>
    <t>Cashed into trees shortly after taking off.</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</si>
  <si>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</si>
  <si>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</si>
  <si>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</si>
  <si>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</si>
  <si>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</si>
  <si>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</si>
  <si>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</si>
  <si>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Gander - Mont-Joli</t>
  </si>
  <si>
    <t>The plane crashed in a snowstorm, on a cliff near the summit of Black Mountain, 60 miles north of its destination, Montreal. The wreckage was located three years later.</t>
  </si>
  <si>
    <t>Hallo, Sweden</t>
  </si>
  <si>
    <t>SE-BAG</t>
  </si>
  <si>
    <t>Shot down by a Ju88, German military aircraft. While attempting to ditch the plane the aircraft hit a cliff.</t>
  </si>
  <si>
    <t>Columbus, Georgia</t>
  </si>
  <si>
    <t>42-5677</t>
  </si>
  <si>
    <t>Stalled when it was making a descending turn during a parachute exercise.</t>
  </si>
  <si>
    <t>Eastern Libya</t>
  </si>
  <si>
    <t>Cairo - Djerba - Poole</t>
  </si>
  <si>
    <t>Short Sunderland 3</t>
  </si>
  <si>
    <t>G-AGIB</t>
  </si>
  <si>
    <t>Crashed after an In-flight fire started behind one of the engines.</t>
  </si>
  <si>
    <t>Poona, India</t>
  </si>
  <si>
    <t>Military - Indian Air Force</t>
  </si>
  <si>
    <t>Crashed into a village.</t>
  </si>
  <si>
    <t>The cargo plane crashed short of the runway in poor weather conditions.</t>
  </si>
  <si>
    <t>A navigational error caused the cargo plane to strike a mountain.</t>
  </si>
  <si>
    <t>Port Moresby, New Guinea</t>
  </si>
  <si>
    <t>Port Moresby - Townsville,, Queensland, Australia</t>
  </si>
  <si>
    <t>Lockheed L-18-56 Lodestar</t>
  </si>
  <si>
    <t>VH-CAB</t>
  </si>
  <si>
    <t>Flew into a hill shortly after talking off from Ward's Strip operated by Qantas for Allied Directorate of Air Transport.</t>
  </si>
  <si>
    <t>Off Montrose, Scotland</t>
  </si>
  <si>
    <t>Stockholm - Leuchars</t>
  </si>
  <si>
    <t>Lockheed 18-56 Lodestar</t>
  </si>
  <si>
    <t>G-AGdE</t>
  </si>
  <si>
    <t>Went out of control from cruising altiude and crashed into the sea. Icing.</t>
  </si>
  <si>
    <t>Suifu, China</t>
  </si>
  <si>
    <t>The cargo plane struck a mountain while attempting a go-around.</t>
  </si>
  <si>
    <t>Canal Creek, Australia</t>
  </si>
  <si>
    <t>Townsville - Rockhampton - Brisbane</t>
  </si>
  <si>
    <t>Douglas C-47A-60-DL</t>
  </si>
  <si>
    <t>43-30742</t>
  </si>
  <si>
    <t>Crashed and exploded while en route.</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</si>
  <si>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</si>
  <si>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</si>
  <si>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</si>
  <si>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</si>
  <si>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</si>
  <si>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</si>
  <si>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</si>
  <si>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Thessaloniki - Belgrade</t>
  </si>
  <si>
    <t>D-ADQW</t>
  </si>
  <si>
    <t>While approaching to land the aircraft was too low and hit a hill located 16 km east of the Belgrade-Zemun Airport.</t>
  </si>
  <si>
    <t>Memphis, Tennessee</t>
  </si>
  <si>
    <t>Little Rock - Memphis</t>
  </si>
  <si>
    <t>NC21767</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</si>
  <si>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</si>
  <si>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</si>
  <si>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</si>
  <si>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</si>
  <si>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</si>
  <si>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</si>
  <si>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</si>
  <si>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The cargo plane flew into a mountain</t>
  </si>
  <si>
    <t>Eubeoa, Greece</t>
  </si>
  <si>
    <t>D-ABAS</t>
  </si>
  <si>
    <t>After radioing they were returning , the plane went missing and was never found.</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</si>
  <si>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</si>
  <si>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</si>
  <si>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</si>
  <si>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</si>
  <si>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</si>
  <si>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</si>
  <si>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</si>
  <si>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</si>
  <si>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Vienna - Belgrade - Sofia - Thessaloniki - Athens</t>
  </si>
  <si>
    <t>D-AOCA</t>
  </si>
  <si>
    <t>Shot down by allied fighters.</t>
  </si>
  <si>
    <t>Frederikstad, Norway</t>
  </si>
  <si>
    <t>Copenhagen - Oslo</t>
  </si>
  <si>
    <t>D-AAIG</t>
  </si>
  <si>
    <t>Crashed  50 miles from its destination after a signal flare started an onboard fire causing the plane to ditch.</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</si>
  <si>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</si>
  <si>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</si>
  <si>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</si>
  <si>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</si>
  <si>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</si>
  <si>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</si>
  <si>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</si>
  <si>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</si>
  <si>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Barneville, France</t>
  </si>
  <si>
    <t>Douglas C-47A</t>
  </si>
  <si>
    <t>42-93095</t>
  </si>
  <si>
    <t>Shot down by anti-aircraft fire during the Normandy invasion.</t>
  </si>
  <si>
    <t>Flamanville, France</t>
  </si>
  <si>
    <t>42-100905</t>
  </si>
  <si>
    <t>Carentan, France</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</si>
  <si>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</si>
  <si>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</si>
  <si>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</si>
  <si>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</si>
  <si>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</si>
  <si>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</si>
  <si>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</si>
  <si>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</si>
  <si>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</si>
  <si>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</si>
  <si>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While on approach the aircraft crashed into the river Guiaba</t>
  </si>
  <si>
    <t>Portland, Maine</t>
  </si>
  <si>
    <t>Barksdale - Portland</t>
  </si>
  <si>
    <t>Douglas A-26B Invader</t>
  </si>
  <si>
    <t xml:space="preserve"> 43-22253</t>
  </si>
  <si>
    <t>Smoke and fire was seen coming out of one engine before the aircraft crashed. A wing hit the ground and the plane cartwheeled into the Redbank trailer park.</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</si>
  <si>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</si>
  <si>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</si>
  <si>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</si>
  <si>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</si>
  <si>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England - Long Island, N.Y.</t>
  </si>
  <si>
    <t>Douglas C-54A-DO (DC-4)</t>
  </si>
  <si>
    <t>42-107470</t>
  </si>
  <si>
    <t>Disappeared while en route from Iceland to Newfoundland.</t>
  </si>
  <si>
    <t>Port Logan, Scotland</t>
  </si>
  <si>
    <t>Bristol - Preswick</t>
  </si>
  <si>
    <t>Douglas C-47A-DK</t>
  </si>
  <si>
    <t>42-93038</t>
  </si>
  <si>
    <t>As the aircraft approached land, it began a climb but was not able to gain sufficient altitude to clear a cloud shrouded cliff.</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</si>
  <si>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</si>
  <si>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</si>
  <si>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</si>
  <si>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</si>
  <si>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</si>
  <si>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</si>
  <si>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</si>
  <si>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</si>
  <si>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</si>
  <si>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</si>
  <si>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</si>
  <si>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</si>
  <si>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</si>
  <si>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</si>
  <si>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</si>
  <si>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</si>
  <si>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</si>
  <si>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</si>
  <si>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</si>
  <si>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</si>
  <si>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Boston - Gander - Keflavik - Prestwick</t>
  </si>
  <si>
    <t>Douglas C-54A-DC (DC-4)</t>
  </si>
  <si>
    <t>42-72171</t>
  </si>
  <si>
    <t>Crashed into a roof of a residence in poor visiblility while attemping to land after a trans-Atlantic flilght.</t>
  </si>
  <si>
    <t>Near LidkÃ¶ping, VÃ¤stergÃ¶tland, Swden</t>
  </si>
  <si>
    <t>Lockheed 18-56 Loadstar</t>
  </si>
  <si>
    <t>G-AGIH</t>
  </si>
  <si>
    <t>While cruising at night, the aircraft crashed into the slopes of Mt. Kinnekulle after diverting towards Gothenburg due to radio problems.</t>
  </si>
  <si>
    <t>PP-PBI</t>
  </si>
  <si>
    <t>Crashed in fog, short of the runway, while attempting to land at Congonhas Airport.</t>
  </si>
  <si>
    <t>Athens - Sofia - Belgrade - Vienna</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</si>
  <si>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</si>
  <si>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</si>
  <si>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</si>
  <si>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</si>
  <si>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</si>
  <si>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</si>
  <si>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</si>
  <si>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</si>
  <si>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Copeland, Kansas</t>
  </si>
  <si>
    <t>The bomber crashed into a farmhouse.</t>
  </si>
  <si>
    <t>Alaska</t>
  </si>
  <si>
    <t>U. S. Air Force</t>
  </si>
  <si>
    <t>Elmindorf AFB, Anchorage - Ladd Field, Fairbanks</t>
  </si>
  <si>
    <t>Douglas C-47A-90-DL</t>
  </si>
  <si>
    <t>43-15738</t>
  </si>
  <si>
    <t>Struck the side of a mountain while in full flight. Cause unknown but weather conditions suspected.</t>
  </si>
  <si>
    <t>Rio Doce, Brazil</t>
  </si>
  <si>
    <t>Rio de Janeiro - Belem</t>
  </si>
  <si>
    <t>PP-PBH</t>
  </si>
  <si>
    <t>While en route, the right engine failed, forcing the crew to reduce their altitude in an attempt to make an emergency landing. Eventually, the aircraft went out of control and crashed.</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</si>
  <si>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</si>
  <si>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</si>
  <si>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</si>
  <si>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</si>
  <si>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</si>
  <si>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</si>
  <si>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</si>
  <si>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</si>
  <si>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</si>
  <si>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</si>
  <si>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</si>
  <si>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</si>
  <si>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</si>
  <si>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</si>
  <si>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</si>
  <si>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</si>
  <si>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</si>
  <si>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Telemark, Norway</t>
  </si>
  <si>
    <t>Frankfurt - Berlin - Hamburg - Copenhagen - Oslo</t>
  </si>
  <si>
    <t>D-ADQV</t>
  </si>
  <si>
    <t>Crashed into Mt Skorvefjell in poor weather conditions.</t>
  </si>
  <si>
    <t xml:space="preserve"> Komarom,, Hungary</t>
  </si>
  <si>
    <t>D-ASHE</t>
  </si>
  <si>
    <t>Shot down by British Mosquito fighters.</t>
  </si>
  <si>
    <t>Birkenhead, England</t>
  </si>
  <si>
    <t>Liverpool - New York</t>
  </si>
  <si>
    <t>Consolidated B24H</t>
  </si>
  <si>
    <t>42-50347</t>
  </si>
  <si>
    <t>Broke-up in flight either due to an explosion or catastrophic 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</si>
  <si>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</si>
  <si>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</si>
  <si>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</si>
  <si>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</si>
  <si>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Colllided with a Navy Goodyear FG-1A Corsair airship.</t>
  </si>
  <si>
    <t>Seljord, Norway</t>
  </si>
  <si>
    <t>Military - U.S. Army Air Corps</t>
  </si>
  <si>
    <t>42-52196</t>
  </si>
  <si>
    <t>Near Kumming, Yunan, China</t>
  </si>
  <si>
    <t>CATC</t>
  </si>
  <si>
    <t>Lewes, England</t>
  </si>
  <si>
    <t>Chateaudun - Greenham Common</t>
  </si>
  <si>
    <t>43-15046</t>
  </si>
  <si>
    <t>Flying in low overcast, the aircraft struck a hill, exploded and burned.</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</si>
  <si>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</si>
  <si>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</si>
  <si>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</si>
  <si>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</si>
  <si>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</si>
  <si>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</si>
  <si>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</si>
  <si>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</si>
  <si>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</si>
  <si>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Off Falsterbo, Sweden</t>
  </si>
  <si>
    <t>Stockholm, Sweden - Berlin Germany</t>
  </si>
  <si>
    <t>D-ARHW</t>
  </si>
  <si>
    <t>Shot down by a German patrol boat.</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</si>
  <si>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</si>
  <si>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</si>
  <si>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</si>
  <si>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</si>
  <si>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</si>
  <si>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</si>
  <si>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</si>
  <si>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</si>
  <si>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</si>
  <si>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 xml:space="preserve"> Orlivka, Ukraine</t>
  </si>
  <si>
    <t>Chisinau - Kiev - Moscow</t>
  </si>
  <si>
    <t>Lisunov LI-2</t>
  </si>
  <si>
    <t>CCCP-L4161</t>
  </si>
  <si>
    <t>Crashed in a revine in fog. Wrong decision on part of the crew to reduce their altitude and flying in minima weather conditions.</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</si>
  <si>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</si>
  <si>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</si>
  <si>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</si>
  <si>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</si>
  <si>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</si>
  <si>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</si>
  <si>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</si>
  <si>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</si>
  <si>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</si>
  <si>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</si>
  <si>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</si>
  <si>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</si>
  <si>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</si>
  <si>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</si>
  <si>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</si>
  <si>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</si>
  <si>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</si>
  <si>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A72-70</t>
  </si>
  <si>
    <t>Redesdale, Australia</t>
  </si>
  <si>
    <t>Melbourne - Kerang - Mildura - Broken Hill</t>
  </si>
  <si>
    <t>VH-UYY</t>
  </si>
  <si>
    <t>Crashed while en route from Melbourne to Broken Hill. Believed caused by metal fatigue in the outer port wing which broke off during severe turbulence.</t>
  </si>
  <si>
    <t>Near Montieri, Italy</t>
  </si>
  <si>
    <t>Florence - Rome</t>
  </si>
  <si>
    <t>41-18603</t>
  </si>
  <si>
    <t>Crashed into a mountain after encountering a fog bank and not climbing in sufficient time to avoid the terrain.</t>
  </si>
  <si>
    <t>Nunters Burgh, England</t>
  </si>
  <si>
    <t>Thorney Island - Amiens</t>
  </si>
  <si>
    <t>Douglas C-47 Dakota</t>
  </si>
  <si>
    <t>KG630</t>
  </si>
  <si>
    <t>Struck a mountain while flying in low clouds and poor visibility.</t>
  </si>
  <si>
    <t>Off Oakland, California</t>
  </si>
  <si>
    <t>Douglas R4D-6</t>
  </si>
  <si>
    <t>14848/26293</t>
  </si>
  <si>
    <t>Crashed into San Francisco bay shortly after taking off. The right wing struck to water as the plane made a wide turn. Malfunction of the gyro.</t>
  </si>
  <si>
    <t>Lagoa Santa, Brazil</t>
  </si>
  <si>
    <t>Navegacao Aerea Brasileira</t>
  </si>
  <si>
    <t>PP-NAE</t>
  </si>
  <si>
    <t>Snezka mountains, Poland</t>
  </si>
  <si>
    <t>Junkers 52/3m</t>
  </si>
  <si>
    <t xml:space="preserve"> 4V+DR</t>
  </si>
  <si>
    <t>Crashed in the Snezka mountains during an ice storm.</t>
  </si>
  <si>
    <t>Casablanca, Morocco</t>
  </si>
  <si>
    <t>Military - United States Army Air Force</t>
  </si>
  <si>
    <t>Curtiss C-46A</t>
  </si>
  <si>
    <t>42-107377</t>
  </si>
  <si>
    <t>Marion, Virginia</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</si>
  <si>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</si>
  <si>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</si>
  <si>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</si>
  <si>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</si>
  <si>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Cooktown - Finschafen</t>
  </si>
  <si>
    <t>43-16011</t>
  </si>
  <si>
    <t>Disappeared en route.</t>
  </si>
  <si>
    <t>Kunming - Sichang</t>
  </si>
  <si>
    <t>The cargo plane struck a mountain in the Himalayas under poor weather conditions.</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</si>
  <si>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</si>
  <si>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</si>
  <si>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</si>
  <si>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Near Perth, Australia</t>
  </si>
  <si>
    <t>Perth - Adelaide</t>
  </si>
  <si>
    <t>Failed to gain altitude while taking off. The transport crashed into a hillside as it took off in heavy fog at Guildford Airport.</t>
  </si>
  <si>
    <t>Sweetwater, Texas</t>
  </si>
  <si>
    <t>Midland, TX - Nashville, TN</t>
  </si>
  <si>
    <t>41-18451</t>
  </si>
  <si>
    <t>Broke-up after entering an area of thunderstorms. Initial structural failure involved the elevator followed by the entire aircraft.</t>
  </si>
  <si>
    <t>Near Steinreich, Germany</t>
  </si>
  <si>
    <t>Berlin - Prague - Vienna - Munich</t>
  </si>
  <si>
    <t>D-ANAJ</t>
  </si>
  <si>
    <t>Missing on an evacuation flight from Berlin to Munich. Shot down by Soviet forces south of Berlin.</t>
  </si>
  <si>
    <t>Near Piesenkofen, Germany</t>
  </si>
  <si>
    <t>D-ASHH</t>
  </si>
  <si>
    <t>Shot down by Allied forces 50 miles from its destination.</t>
  </si>
  <si>
    <t>North Barrule, Isle of Man, England</t>
  </si>
  <si>
    <t>Ridgewell - Nutts Corner</t>
  </si>
  <si>
    <t>B17G Flying Fortress</t>
  </si>
  <si>
    <t>43-38856</t>
  </si>
  <si>
    <t>While cruising at an altitude of 2,000 feet, the aircraft hit the slope of Mt North Barrule located 2 miles south of Ramsey.</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</si>
  <si>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</si>
  <si>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</si>
  <si>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</si>
  <si>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</si>
  <si>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</si>
  <si>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</si>
  <si>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Lorengau - Biak</t>
  </si>
  <si>
    <t>Douglas C-54E-DO (DC-4)</t>
  </si>
  <si>
    <t>44-9043</t>
  </si>
  <si>
    <t>Crashed into a wooded area shortly after taking off from Sorido airstrip at night.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</si>
  <si>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</si>
  <si>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</si>
  <si>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</si>
  <si>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</si>
  <si>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</si>
  <si>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</si>
  <si>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</si>
  <si>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</si>
  <si>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</si>
  <si>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Iran Jayas, New Guinea</t>
  </si>
  <si>
    <t>Douglas C-47B-DK</t>
  </si>
  <si>
    <t>43-49788</t>
  </si>
  <si>
    <t>Crashed into a mountain at 7,000 feet. Three passengers rescued two weeks later. All occupants were members of the women's military corps of the US Army.</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</si>
  <si>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</si>
  <si>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</si>
  <si>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</si>
  <si>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</si>
  <si>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</si>
  <si>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</si>
  <si>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</si>
  <si>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</si>
  <si>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</si>
  <si>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</si>
  <si>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</si>
  <si>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</si>
  <si>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</si>
  <si>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</si>
  <si>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</si>
  <si>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</si>
  <si>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</si>
  <si>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</si>
  <si>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</si>
  <si>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</si>
  <si>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</si>
  <si>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 Gander - Keflavik - Prestwick - Northolt</t>
  </si>
  <si>
    <t>JT982</t>
  </si>
  <si>
    <t>Disappeared on a trans-Atlantic flight from Montreal to England.</t>
  </si>
  <si>
    <t>Near Kisumu, Kenya</t>
  </si>
  <si>
    <t>Military - South African Air Force</t>
  </si>
  <si>
    <t>Kisumu - Durban</t>
  </si>
  <si>
    <t>Crashed  on an island  located in Winam Bay shortly after take off Kismu.</t>
  </si>
  <si>
    <t>Near Florence, South Carolina</t>
  </si>
  <si>
    <t>Eastern Air Lines / Military - U.S. Army Air Corps</t>
  </si>
  <si>
    <t>Boston - NY - Washington DC - Jacksonville - Miami</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</si>
  <si>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</si>
  <si>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</si>
  <si>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</si>
  <si>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</si>
  <si>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</si>
  <si>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</si>
  <si>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</si>
  <si>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Near San Luis Potosi, Mexico</t>
  </si>
  <si>
    <t>Lineas Aereas Mineras</t>
  </si>
  <si>
    <t>Mexico City - Nogales</t>
  </si>
  <si>
    <t>XA-DUY</t>
  </si>
  <si>
    <t>Crashed into mountainous terrain after encountering engine failure..</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</si>
  <si>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</si>
  <si>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</si>
  <si>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</si>
  <si>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</si>
  <si>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</si>
  <si>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</si>
  <si>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Tapachula - Mexico City</t>
  </si>
  <si>
    <t>Douglas DC-2-243</t>
  </si>
  <si>
    <t>XA-DOT</t>
  </si>
  <si>
    <t>Crashed in Ixtaccihuatl mountain 40 miles east-sout-east of Mexico City. Navigational error as the crew's last message stated they were in an entirely different area.</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</si>
  <si>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</si>
  <si>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</si>
  <si>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</si>
  <si>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</si>
  <si>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</si>
  <si>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</si>
  <si>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</si>
  <si>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</si>
  <si>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Near Kansas, Missouri</t>
  </si>
  <si>
    <t>45-1011</t>
  </si>
  <si>
    <t>Failed to gain altitude while taking off, struck trees, lost both wings, exploded and burned. Engine failure.</t>
  </si>
  <si>
    <t>Puncak Jaya, Papua New Guinea</t>
  </si>
  <si>
    <t>Pitu - Merauke - Bamaga - Townsville</t>
  </si>
  <si>
    <t>Douglas C-47B-5-DK</t>
  </si>
  <si>
    <t>A65-61</t>
  </si>
  <si>
    <t>14554/25999</t>
  </si>
  <si>
    <t>A month later the wreckage was found  on the slope of a mountain located near Mt Puncak Jaya, southwest of Mulia, 100 feet from the summit. It</t>
  </si>
  <si>
    <t>Near Chihkiang, China</t>
  </si>
  <si>
    <t>Curtiss C-46D</t>
  </si>
  <si>
    <t>42-101183</t>
  </si>
  <si>
    <t>Crash 32 km southeast of Chinkiang under unknown circumstances.</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</si>
  <si>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</si>
  <si>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</si>
  <si>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</si>
  <si>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</si>
  <si>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</si>
  <si>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</si>
  <si>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</si>
  <si>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</si>
  <si>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</si>
  <si>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</si>
  <si>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</si>
  <si>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</si>
  <si>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</si>
  <si>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 short of the runway.</t>
  </si>
  <si>
    <t>Melsbroek, Belgium</t>
  </si>
  <si>
    <t>London - Brussels - New Delhi</t>
  </si>
  <si>
    <t>Consolidated LB-30-A Liberator</t>
  </si>
  <si>
    <t>KL595</t>
  </si>
  <si>
    <t>The aircraft failed to gain speed or altitude and struck a hill at the end of the runway.</t>
  </si>
  <si>
    <t>Near Peking, China</t>
  </si>
  <si>
    <t>Hankou - Peking</t>
  </si>
  <si>
    <t>Curtiss-Wright C-46F-CU</t>
  </si>
  <si>
    <t>44-78591</t>
  </si>
  <si>
    <t>Struck a radio transmission tower while on approach for landing at Nanyman field after encountering low clouds and poor visibility.</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</si>
  <si>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</si>
  <si>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</si>
  <si>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</si>
  <si>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</si>
  <si>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</si>
  <si>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</si>
  <si>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</si>
  <si>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</si>
  <si>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</si>
  <si>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</si>
  <si>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</si>
  <si>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</si>
  <si>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Valetta, Malta</t>
  </si>
  <si>
    <t>London - Valetta - Cairo</t>
  </si>
  <si>
    <t>G-AGHR</t>
  </si>
  <si>
    <t>The engine failed on takeoff and the plane stalled and crashed.</t>
  </si>
  <si>
    <t>Tarapoto, Peru</t>
  </si>
  <si>
    <t>Faucett</t>
  </si>
  <si>
    <t>Faucett F-19</t>
  </si>
  <si>
    <t>OB-PAG-139</t>
  </si>
  <si>
    <t>Crashed on takeoff.</t>
  </si>
  <si>
    <t>Chihchiang, China</t>
  </si>
  <si>
    <t>Zhijiang - Shanghai</t>
  </si>
  <si>
    <t>Curtiss-Wright C-46A-CK</t>
  </si>
  <si>
    <t>43-47228</t>
  </si>
  <si>
    <t>Crashed and burned on takeoff striking a hill.  Possible engine failure or overloading.</t>
  </si>
  <si>
    <t>Herrenalb, Germany</t>
  </si>
  <si>
    <t>Bovingdon - Schleissheim</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</si>
  <si>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</si>
  <si>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</si>
  <si>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</si>
  <si>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</si>
  <si>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</si>
  <si>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</si>
  <si>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 Wreckage found a month later.</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</si>
  <si>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</si>
  <si>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</si>
  <si>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</si>
  <si>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</si>
  <si>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</si>
  <si>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</si>
  <si>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</si>
  <si>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</si>
  <si>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</si>
  <si>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</si>
  <si>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</si>
  <si>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</si>
  <si>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Castel, Libya</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</si>
  <si>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</si>
  <si>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</si>
  <si>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</si>
  <si>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</si>
  <si>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</si>
  <si>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</si>
  <si>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</si>
  <si>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Near Picinisco, Italy</t>
  </si>
  <si>
    <t>France - Athens</t>
  </si>
  <si>
    <t>Boeing B-17G</t>
  </si>
  <si>
    <t>43-9197</t>
  </si>
  <si>
    <t>The plane disappeared after the pilot radioed he was exeriencing heavy icing and asked to divert to Rome.  The plane was found 5 months later on Mt. Meta.</t>
  </si>
  <si>
    <t>Near Tacloban, Philippines</t>
  </si>
  <si>
    <t>Douglas C-48</t>
  </si>
  <si>
    <t>VH-CDC</t>
  </si>
  <si>
    <t>Crashed into the sea afte an aborted landing at the island of Leyte. The plane touched down hard, pulled up, circled and crashed into the sea. Pilot error. Decision to land in unfavorable weather.</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</si>
  <si>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</si>
  <si>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</si>
  <si>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</si>
  <si>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</si>
  <si>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</si>
  <si>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White's Farm, England</t>
  </si>
  <si>
    <t>Merryfield - Bombay</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</si>
  <si>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</si>
  <si>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</si>
  <si>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</si>
  <si>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</si>
  <si>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</si>
  <si>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</si>
  <si>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</si>
  <si>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</si>
  <si>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</si>
  <si>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</si>
  <si>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Minneapolis - Fargo - Billings</t>
  </si>
  <si>
    <t>45-0922</t>
  </si>
  <si>
    <t>16925/34183</t>
  </si>
  <si>
    <t>Crashed into a field after hitting trees while attempting to land in a snowstorm.</t>
  </si>
  <si>
    <t>Voksenkollen, Norway</t>
  </si>
  <si>
    <t>Down Ampney - Copenhagen - Oslo</t>
  </si>
  <si>
    <t>KN413</t>
  </si>
  <si>
    <t>16090/32838</t>
  </si>
  <si>
    <t>Flew into the side of a hill after icing caused loss of power while attempting to land.</t>
  </si>
  <si>
    <t>Bangui, French Equatorial Africa</t>
  </si>
  <si>
    <t xml:space="preserve"> Paris - Nâ€™Djamena - Bangui - Antananarivo</t>
  </si>
  <si>
    <t>F-BALV</t>
  </si>
  <si>
    <t>The aircraft went out of control and crashed in a wooded area located about 60 km west of Bangui Airport.</t>
  </si>
  <si>
    <t>Near Dudinka, Russia</t>
  </si>
  <si>
    <t>Polyarnya Aviatsiya</t>
  </si>
  <si>
    <t>Crashed 50 miles northwest of Norilsk after catching fire in the air.</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</si>
  <si>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</si>
  <si>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</si>
  <si>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</si>
  <si>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</si>
  <si>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</si>
  <si>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</si>
  <si>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</si>
  <si>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</si>
  <si>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</si>
  <si>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</si>
  <si>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</si>
  <si>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</si>
  <si>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</si>
  <si>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</si>
  <si>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</si>
  <si>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Marseilles, France</t>
  </si>
  <si>
    <t>KN557</t>
  </si>
  <si>
    <t>Crashed into a mountainside in a snowstorm.</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</si>
  <si>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</si>
  <si>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</si>
  <si>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</si>
  <si>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</si>
  <si>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</si>
  <si>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</si>
  <si>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</si>
  <si>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</si>
  <si>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</si>
  <si>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</si>
  <si>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</si>
  <si>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</si>
  <si>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</si>
  <si>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</si>
  <si>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</si>
  <si>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</si>
  <si>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</si>
  <si>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</si>
  <si>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</si>
  <si>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</si>
  <si>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</si>
  <si>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</si>
  <si>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</si>
  <si>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</si>
  <si>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</si>
  <si>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</si>
  <si>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</si>
  <si>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</si>
  <si>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</si>
  <si>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</si>
  <si>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</si>
  <si>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</si>
  <si>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</si>
  <si>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</si>
  <si>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</si>
  <si>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</si>
  <si>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Off Hobart, Tasmania</t>
  </si>
  <si>
    <t>Hobart - Melbourne</t>
  </si>
  <si>
    <t>Douglas DC-3 (C-47DL)</t>
  </si>
  <si>
    <t>VH-AET</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</si>
  <si>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</si>
  <si>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</si>
  <si>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</si>
  <si>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</si>
  <si>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</si>
  <si>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</si>
  <si>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</si>
  <si>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</si>
  <si>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</si>
  <si>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45-1085</t>
  </si>
  <si>
    <t>The aircraft lost its right wing and disintegrated over Donner Summit for reasons unknown.</t>
  </si>
  <si>
    <t>Off 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</si>
  <si>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</si>
  <si>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</si>
  <si>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</si>
  <si>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</si>
  <si>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</si>
  <si>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</si>
  <si>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</si>
  <si>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</si>
  <si>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</si>
  <si>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</si>
  <si>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</si>
  <si>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</si>
  <si>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</si>
  <si>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</si>
  <si>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</si>
  <si>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</si>
  <si>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</si>
  <si>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</si>
  <si>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</si>
  <si>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</si>
  <si>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</si>
  <si>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</si>
  <si>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 xml:space="preserve"> FZ559</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</si>
  <si>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</si>
  <si>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</si>
  <si>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</si>
  <si>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</si>
  <si>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</si>
  <si>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</si>
  <si>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</si>
  <si>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</si>
  <si>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</si>
  <si>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</si>
  <si>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</si>
  <si>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 Norwegian Air Lines</t>
  </si>
  <si>
    <t>Oslo - Stockholm</t>
  </si>
  <si>
    <t>LN-LAB</t>
  </si>
  <si>
    <t>Crashed into Oslo Fjord shortly after takeoff. Engine trouble forced the plane back but it stalled and crashed into trees and a house.</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</si>
  <si>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</si>
  <si>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</si>
  <si>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</si>
  <si>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</si>
  <si>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</si>
  <si>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Taboga Island, Panama</t>
  </si>
  <si>
    <t>Douglas C-54D-DC (DC-4)</t>
  </si>
  <si>
    <t>43-17231</t>
  </si>
  <si>
    <t>Crashed into a summit after flying below the prescribed altitude.</t>
  </si>
  <si>
    <t>Near Abeokuta, Nigeria</t>
  </si>
  <si>
    <t>Kano - Ikeja</t>
  </si>
  <si>
    <t>KG747</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</si>
  <si>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</si>
  <si>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</si>
  <si>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</si>
  <si>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</si>
  <si>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</si>
  <si>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</si>
  <si>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</si>
  <si>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</si>
  <si>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</si>
  <si>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</si>
  <si>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</si>
  <si>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</si>
  <si>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</si>
  <si>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</si>
  <si>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</si>
  <si>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</si>
  <si>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</si>
  <si>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</si>
  <si>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</si>
  <si>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</si>
  <si>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</si>
  <si>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</si>
  <si>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</si>
  <si>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</si>
  <si>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</si>
  <si>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</si>
  <si>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HC-SCA</t>
  </si>
  <si>
    <t>Overshot the runway. The pilot was unable to regain altitude and the plane crashed into a hill and burst into flames.</t>
  </si>
  <si>
    <t>Goodland, Kansas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</si>
  <si>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</si>
  <si>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</si>
  <si>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</si>
  <si>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</si>
  <si>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</si>
  <si>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</si>
  <si>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</si>
  <si>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</si>
  <si>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</si>
  <si>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Crashed into a swamp soon after taking off after suffering structural failure of the left wing in adverse weather conditions.</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</si>
  <si>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</si>
  <si>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</si>
  <si>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</si>
  <si>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</si>
  <si>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</si>
  <si>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</si>
  <si>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</si>
  <si>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</si>
  <si>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</si>
  <si>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</si>
  <si>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</si>
  <si>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</si>
  <si>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</si>
  <si>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</si>
  <si>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</si>
  <si>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</si>
  <si>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</si>
  <si>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Palestine - London</t>
  </si>
  <si>
    <t>G-AGMF</t>
  </si>
  <si>
    <t>Descended through clouds and crashed. Premature descent by the crew without establishing their position.  Training flight.</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</si>
  <si>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</si>
  <si>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</si>
  <si>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</si>
  <si>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</si>
  <si>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</si>
  <si>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</si>
  <si>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</si>
  <si>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</si>
  <si>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</si>
  <si>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</si>
  <si>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</si>
  <si>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</si>
  <si>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</si>
  <si>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</si>
  <si>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</si>
  <si>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</si>
  <si>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</si>
  <si>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</si>
  <si>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</si>
  <si>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Le Bourget, France</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</si>
  <si>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</si>
  <si>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</si>
  <si>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</si>
  <si>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</si>
  <si>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</si>
  <si>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</si>
  <si>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</si>
  <si>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</si>
  <si>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</si>
  <si>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</si>
  <si>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</si>
  <si>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</si>
  <si>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</si>
  <si>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</si>
  <si>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</si>
  <si>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</si>
  <si>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</si>
  <si>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</si>
  <si>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Brussels, Belgium</t>
  </si>
  <si>
    <t>Brussels - Croydon</t>
  </si>
  <si>
    <t>OO-AUR</t>
  </si>
  <si>
    <t>During its climb the plane rolled and crashed into hangers. Loss of airspeed for undetermined reasons.</t>
  </si>
  <si>
    <t>Brussels - Shannon - Gander - New York City</t>
  </si>
  <si>
    <t>Douglas DC-4-1009</t>
  </si>
  <si>
    <t>OO-CBG</t>
  </si>
  <si>
    <t>The aircraft crashed 24 mi SW of the runway at Gander. Improper approach procedures by the pilot in poor weather.</t>
  </si>
  <si>
    <t>Near Tripoli, Libya</t>
  </si>
  <si>
    <t>St. Mawan, England - Almaza, Egypt</t>
  </si>
  <si>
    <t>NX690</t>
  </si>
  <si>
    <t>Crashed after possibly being hit by lightning.</t>
  </si>
  <si>
    <t>Lochi Mountain, China</t>
  </si>
  <si>
    <t>Sichang - Kunming, Yunnan</t>
  </si>
  <si>
    <t>Curtiss Wright C-46</t>
  </si>
  <si>
    <t>Crashed into a 15,000 ft. mountain shortly after taking off from Sichang.</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</si>
  <si>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</si>
  <si>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</si>
  <si>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</si>
  <si>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</si>
  <si>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</si>
  <si>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</si>
  <si>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</si>
  <si>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</si>
  <si>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</si>
  <si>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</si>
  <si>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</si>
  <si>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</si>
  <si>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</si>
  <si>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</si>
  <si>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</si>
  <si>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</si>
  <si>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</si>
  <si>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</si>
  <si>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</si>
  <si>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</si>
  <si>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</si>
  <si>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</si>
  <si>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</si>
  <si>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</si>
  <si>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</si>
  <si>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</si>
  <si>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</si>
  <si>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</si>
  <si>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</si>
  <si>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</si>
  <si>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</si>
  <si>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</si>
  <si>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</si>
  <si>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</si>
  <si>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</si>
  <si>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</si>
  <si>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</si>
  <si>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</si>
  <si>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</si>
  <si>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</si>
  <si>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</si>
  <si>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</si>
  <si>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</si>
  <si>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</si>
  <si>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</si>
  <si>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</si>
  <si>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</si>
  <si>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</si>
  <si>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</si>
  <si>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</si>
  <si>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</si>
  <si>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</si>
  <si>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</si>
  <si>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</si>
  <si>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</si>
  <si>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</si>
  <si>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</si>
  <si>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</si>
  <si>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</si>
  <si>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</si>
  <si>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</si>
  <si>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</si>
  <si>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</si>
  <si>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</si>
  <si>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</si>
  <si>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</si>
  <si>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</si>
  <si>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</si>
  <si>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</si>
  <si>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</si>
  <si>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</si>
  <si>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</si>
  <si>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</si>
  <si>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AÃ©reas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</si>
  <si>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</si>
  <si>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</si>
  <si>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</si>
  <si>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</si>
  <si>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</si>
  <si>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</si>
  <si>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</si>
  <si>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</si>
  <si>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</si>
  <si>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</si>
  <si>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San Jose, Costa Rica</t>
  </si>
  <si>
    <t>Lineas AÃ©reas Costarricenses  LACSA</t>
  </si>
  <si>
    <t>Douglas DC-3 (C-47A-90-DL)</t>
  </si>
  <si>
    <t>RX-76</t>
  </si>
  <si>
    <t>Struck Cedrel mountain while making an approach to San Jose.</t>
  </si>
  <si>
    <t>El Palomar, Argentina</t>
  </si>
  <si>
    <t>Fuerza AÃ©rea Argentina</t>
  </si>
  <si>
    <t>Vickers 620 Viking 1</t>
  </si>
  <si>
    <t>T-1</t>
  </si>
  <si>
    <t>Following engine failure, the captain lost control and crashed while trying to land.</t>
  </si>
  <si>
    <t>Meshed, Iran</t>
  </si>
  <si>
    <t>Meshed - Teheran</t>
  </si>
  <si>
    <t>Crashed shortly after takeoff from Meshed airport.</t>
  </si>
  <si>
    <t>Near Osaka, Japan</t>
  </si>
  <si>
    <t>44-78604</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</si>
  <si>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</si>
  <si>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</si>
  <si>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</si>
  <si>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</si>
  <si>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</si>
  <si>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</si>
  <si>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</si>
  <si>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</si>
  <si>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</si>
  <si>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</si>
  <si>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</si>
  <si>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</si>
  <si>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</si>
  <si>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</si>
  <si>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</si>
  <si>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</si>
  <si>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</si>
  <si>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Disappeared en route. Never found.</t>
  </si>
  <si>
    <t>Near Rio de Janeiro, Brazil</t>
  </si>
  <si>
    <t>FAMA (Argentina)</t>
  </si>
  <si>
    <t>London - Buenos Aires.</t>
  </si>
  <si>
    <t>LV-XIG</t>
  </si>
  <si>
    <t>Poor weather at the destination airport forced the crew to divert to Rio de Janeiro. While approaching to land the aircraft flew into a mountain, 14 miles from the airport.</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</si>
  <si>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</si>
  <si>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</si>
  <si>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</si>
  <si>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</si>
  <si>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</si>
  <si>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</si>
  <si>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</si>
  <si>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</si>
  <si>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Chunking - Shanghi</t>
  </si>
  <si>
    <t>Curtiss C-47</t>
  </si>
  <si>
    <t>Crashed after a failed landing attempt at Kiangwan Airport in rain fog and overcast. The plan overshot the runway and crashed into a residential area.</t>
  </si>
  <si>
    <t>Near Shanghai, China</t>
  </si>
  <si>
    <t>While attempting to land in rain and fog, the aircraft ran out of fuel, stalled and crashed at Lunghwa field.</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</si>
  <si>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</si>
  <si>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</si>
  <si>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</si>
  <si>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</si>
  <si>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</si>
  <si>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</si>
  <si>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</si>
  <si>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</si>
  <si>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</si>
  <si>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</si>
  <si>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</si>
  <si>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</si>
  <si>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</si>
  <si>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</si>
  <si>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</si>
  <si>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</si>
  <si>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</si>
  <si>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</si>
  <si>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</si>
  <si>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</si>
  <si>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Tsingtao, China</t>
  </si>
  <si>
    <t>Shanghai - Tsingtao - Beijing</t>
  </si>
  <si>
    <t>Curtis C-46</t>
  </si>
  <si>
    <t>XT-T51</t>
  </si>
  <si>
    <t>Crashed into  a mountain while on approach in low overcast.</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</si>
  <si>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</si>
  <si>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</si>
  <si>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</si>
  <si>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</si>
  <si>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</si>
  <si>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</si>
  <si>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</si>
  <si>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</si>
  <si>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</si>
  <si>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</si>
  <si>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</si>
  <si>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</si>
  <si>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</si>
  <si>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</si>
  <si>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The plane ditched into the Pacific Ocean 80 miles west of Laoaq after a fire broke out in the No. 2 engine.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</si>
  <si>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</si>
  <si>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</si>
  <si>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</si>
  <si>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</si>
  <si>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</si>
  <si>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</si>
  <si>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</si>
  <si>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</si>
  <si>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</si>
  <si>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</si>
  <si>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Puesto Araujo, Colombia</t>
  </si>
  <si>
    <t>AVIANCA</t>
  </si>
  <si>
    <t>Bogota - Barrancabermeja</t>
  </si>
  <si>
    <t>Douglas DC-3 ( C-47-DO)</t>
  </si>
  <si>
    <t>C-108</t>
  </si>
  <si>
    <t>Crashed in the jungles of the Magdalena river valley. Wreckage found a week later.</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</si>
  <si>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</si>
  <si>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</si>
  <si>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</si>
  <si>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</si>
  <si>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</si>
  <si>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</si>
  <si>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</si>
  <si>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</si>
  <si>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</si>
  <si>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</si>
  <si>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</si>
  <si>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</si>
  <si>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</si>
  <si>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The cargo plane struck Mt. Parker on approach.</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</si>
  <si>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</si>
  <si>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</si>
  <si>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</si>
  <si>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</si>
  <si>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</si>
  <si>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</si>
  <si>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</si>
  <si>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 A four-year-old boy survived. Fire in the left wing leading to separation of the wing.</t>
  </si>
  <si>
    <t>Near Lisbon, Portugal</t>
  </si>
  <si>
    <t>Paris - Bordeaux - Lisbon</t>
  </si>
  <si>
    <t>Douglas DC-3C</t>
  </si>
  <si>
    <t>F-BAXQ</t>
  </si>
  <si>
    <t>13806/25251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</si>
  <si>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</si>
  <si>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</si>
  <si>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</si>
  <si>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</si>
  <si>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</si>
  <si>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</si>
  <si>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</si>
  <si>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</si>
  <si>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</si>
  <si>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</si>
  <si>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</si>
  <si>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</si>
  <si>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and in adverse weather conditions.  The plane was named "Ruta de Colon."</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</si>
  <si>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</si>
  <si>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</si>
  <si>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</si>
  <si>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</si>
  <si>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</si>
  <si>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</si>
  <si>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Near Bogota, Colombia</t>
  </si>
  <si>
    <t>C-114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</si>
  <si>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</si>
  <si>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</si>
  <si>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</si>
  <si>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</si>
  <si>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</si>
  <si>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</si>
  <si>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</si>
  <si>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</si>
  <si>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</si>
  <si>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</si>
  <si>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</si>
  <si>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</si>
  <si>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</si>
  <si>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</si>
  <si>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 Never found.</t>
  </si>
  <si>
    <t>Near Georgia, USSR</t>
  </si>
  <si>
    <t>Tbilisi - Moscow - Vnoukovo</t>
  </si>
  <si>
    <t>Doublas C-47</t>
  </si>
  <si>
    <t>CCCP-L952</t>
  </si>
  <si>
    <t>14874/26319</t>
  </si>
  <si>
    <t>Crashed in the Cacasus mountains,Nizhnesvanetsky Range, while en route. Pilot error. Pilot in command changed the route of flight</t>
  </si>
  <si>
    <t>L'isola di Ischia, Italy</t>
  </si>
  <si>
    <t>Hassani - Rome - Northolt</t>
  </si>
  <si>
    <t>KK122</t>
  </si>
  <si>
    <t>15131/26576</t>
  </si>
  <si>
    <t>Due to low visibility, the crew did not realize they were off course when the aircraft hit the slope of Mt Epomeo on Ischia Island.</t>
  </si>
  <si>
    <t>Cordillera, Colombia</t>
  </si>
  <si>
    <t>VIARCO</t>
  </si>
  <si>
    <t>Villavicencio - Bogota</t>
  </si>
  <si>
    <t>C-400</t>
  </si>
  <si>
    <t>Crashed in the Cordillera mountain range shortly after taking off and climbing.</t>
  </si>
  <si>
    <t>Mt. Moucherolles, France</t>
  </si>
  <si>
    <t>Lyons - Nice - Paris</t>
  </si>
  <si>
    <t>F-BAXO</t>
  </si>
  <si>
    <t>Flew into 4,000 foot Mt. Moucherolles, 25 miles south of Grenoble in poor weather. The crash started an avalanche which buried most of the wreckage. Naviation error.</t>
  </si>
  <si>
    <t>Near Medellin, Colombia</t>
  </si>
  <si>
    <t>Medellin, Colombia - San Jose, Costa Rica</t>
  </si>
  <si>
    <t>YS-28</t>
  </si>
  <si>
    <t>Crashed shortly after taking off. Hit the slope of Cerro del Padre Amaya located 12 km northwest of the airport.</t>
  </si>
  <si>
    <t>Negombo, Sri Lanka</t>
  </si>
  <si>
    <t>Negombo - Northolt</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</si>
  <si>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</si>
  <si>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</si>
  <si>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</si>
  <si>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</si>
  <si>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</si>
  <si>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</si>
  <si>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</si>
  <si>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</si>
  <si>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Off Dakar, Senegal</t>
  </si>
  <si>
    <t>Lisbon - Dakar</t>
  </si>
  <si>
    <t>G-AHEZ</t>
  </si>
  <si>
    <t>The plane crashed while making a third landing attempt. Unwise decision to try a third landing attempt. No approach lights. No radio facilities.</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</si>
  <si>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</si>
  <si>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</si>
  <si>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</si>
  <si>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</si>
  <si>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</si>
  <si>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</si>
  <si>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</si>
  <si>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</si>
  <si>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</si>
  <si>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</si>
  <si>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 San Jose</t>
  </si>
  <si>
    <t>TI-84</t>
  </si>
  <si>
    <t>18-2374</t>
  </si>
  <si>
    <t>Crashed 100 miles west of San Jose. Possible act of sabotage on one of the engines.</t>
  </si>
  <si>
    <t>Delaware Bay, New Jersey</t>
  </si>
  <si>
    <t>NC86508</t>
  </si>
  <si>
    <t>Went into a turn and lost control, spiraled into the ground. Loss of control of the aircraft for reasons undetermined.</t>
  </si>
  <si>
    <t>Near Khabarovsk, Russia</t>
  </si>
  <si>
    <t>Nikolayevsk-on-Amur - Khabarovsk</t>
  </si>
  <si>
    <t>Douglas DC-47</t>
  </si>
  <si>
    <t>CCCP-L1048</t>
  </si>
  <si>
    <t>The plane was attempting to land in poor visibility, below weather minimumns the plane hit a broadcast radio mast, crashed and burned. Crew error, ATC error.</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</si>
  <si>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</si>
  <si>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</si>
  <si>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</si>
  <si>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</si>
  <si>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</si>
  <si>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</si>
  <si>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</si>
  <si>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</si>
  <si>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Turned the wrong way while attempting to land and slammed into a mountain, bursting into flames.</t>
  </si>
  <si>
    <t>Hjedinsfjordur, Iceland</t>
  </si>
  <si>
    <t>Flugefelag</t>
  </si>
  <si>
    <t>ReykjavÃ­k - Akureyri</t>
  </si>
  <si>
    <t>TF-ISI</t>
  </si>
  <si>
    <t>Crashed on the north coast of Iceland in poor weather. the aircraft hit the slope of Mt Hestfjall located on the west coast of HÃ©Ã°insfjÃ¶rÃ°ur Bay.</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</si>
  <si>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</si>
  <si>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</si>
  <si>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</si>
  <si>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</si>
  <si>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</si>
  <si>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</si>
  <si>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</si>
  <si>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</si>
  <si>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</si>
  <si>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</si>
  <si>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Near Natal, Brazil</t>
  </si>
  <si>
    <t>Flota AÃ©rea Mercante Argentina</t>
  </si>
  <si>
    <t>Buenos Aires - Natal - London</t>
  </si>
  <si>
    <t>Avro 691 Lancastrian</t>
  </si>
  <si>
    <t>LV-ACS</t>
  </si>
  <si>
    <t>Veered off runway, struck a building while landing.</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</si>
  <si>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</si>
  <si>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</si>
  <si>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</si>
  <si>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</si>
  <si>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</si>
  <si>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</si>
  <si>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</si>
  <si>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</si>
  <si>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</si>
  <si>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</si>
  <si>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</si>
  <si>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</si>
  <si>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CCCP-L4138</t>
  </si>
  <si>
    <t xml:space="preserve"> The plane ditched in the Black Sea. Engine failure due to disconnection of traction altitude corrector.</t>
  </si>
  <si>
    <t>Near Eaeka, French Cameroons</t>
  </si>
  <si>
    <t>Bangu i- YaoundÃ© - Douala</t>
  </si>
  <si>
    <t>F-BALF</t>
  </si>
  <si>
    <t>Crashed into the slope of a mountain while en route in reduced visibility.</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</si>
  <si>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</si>
  <si>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</si>
  <si>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</si>
  <si>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</si>
  <si>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</si>
  <si>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</si>
  <si>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</si>
  <si>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</si>
  <si>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</si>
  <si>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</si>
  <si>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</si>
  <si>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</si>
  <si>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</si>
  <si>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</si>
  <si>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</si>
  <si>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</si>
  <si>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</si>
  <si>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</si>
  <si>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</si>
  <si>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</si>
  <si>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</si>
  <si>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Crashed in a mountainous area.</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</si>
  <si>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</si>
  <si>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</si>
  <si>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</si>
  <si>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</si>
  <si>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</si>
  <si>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</si>
  <si>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</si>
  <si>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</si>
  <si>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</si>
  <si>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</si>
  <si>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</si>
  <si>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</si>
  <si>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</si>
  <si>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</si>
  <si>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</si>
  <si>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</si>
  <si>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</si>
  <si>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Hanksville, Utah</t>
  </si>
  <si>
    <t>NC59488</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</si>
  <si>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</si>
  <si>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</si>
  <si>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</si>
  <si>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</si>
  <si>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</si>
  <si>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</si>
  <si>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</si>
  <si>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</si>
  <si>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</si>
  <si>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</si>
  <si>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</si>
  <si>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</si>
  <si>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</si>
  <si>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 Navigational error by the crew.</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</si>
  <si>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</si>
  <si>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</si>
  <si>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</si>
  <si>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</si>
  <si>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</si>
  <si>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Ocean, 800 miles east of Newfoundland</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</si>
  <si>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</si>
  <si>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</si>
  <si>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</si>
  <si>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</si>
  <si>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</si>
  <si>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</si>
  <si>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</si>
  <si>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</si>
  <si>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</si>
  <si>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</si>
  <si>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Crashed into the sea following engine failure. The mechanic and a passenger survived.</t>
  </si>
  <si>
    <t>Sylva, North Carolina</t>
  </si>
  <si>
    <t>Stratofreight</t>
  </si>
  <si>
    <t>Charlotte, NC - Gainsville, GA</t>
  </si>
  <si>
    <t>The cargo plane struck a mountain en route.</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</si>
  <si>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</si>
  <si>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</si>
  <si>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</si>
  <si>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</si>
  <si>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</si>
  <si>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</si>
  <si>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</si>
  <si>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</si>
  <si>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</si>
  <si>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</si>
  <si>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</si>
  <si>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</si>
  <si>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</si>
  <si>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</si>
  <si>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</si>
  <si>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</si>
  <si>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</si>
  <si>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M965</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</si>
  <si>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</si>
  <si>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</si>
  <si>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</si>
  <si>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</si>
  <si>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</si>
  <si>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</si>
  <si>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</si>
  <si>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</si>
  <si>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</si>
  <si>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</si>
  <si>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</si>
  <si>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</si>
  <si>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</si>
  <si>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</si>
  <si>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</si>
  <si>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</si>
  <si>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</si>
  <si>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</si>
  <si>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</si>
  <si>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</si>
  <si>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</si>
  <si>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Strayed off course, stuck tree tops and then crashed into Mt. Santa Maria del Monte. Pilot's failure to realize the plane strayed off course and was in mountainous territory.</t>
  </si>
  <si>
    <t>Phouznicie, Romania</t>
  </si>
  <si>
    <t>TARS</t>
  </si>
  <si>
    <t>Bucurest - Prague</t>
  </si>
  <si>
    <t>YR-TAI</t>
  </si>
  <si>
    <t>Crashed and burned on 2,000 ft. Tabor Peak in fog. The crew became lost after radio failure.</t>
  </si>
  <si>
    <t>The cargo plane was shot down by communist anti -aircraft fire.</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</si>
  <si>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</si>
  <si>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</si>
  <si>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</si>
  <si>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</si>
  <si>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</si>
  <si>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</si>
  <si>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</si>
  <si>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 xml:space="preserve"> Zagreb - Titograd</t>
  </si>
  <si>
    <t>YU-BAD</t>
  </si>
  <si>
    <t>184 270 09</t>
  </si>
  <si>
    <t>The aircraft crashed and burned 2 miles from Titograd airport while attempting to land in a snowstorm.</t>
  </si>
  <si>
    <t>Near Trappa, Italy</t>
  </si>
  <si>
    <t>43-48736</t>
  </si>
  <si>
    <t>14552/25997</t>
  </si>
  <si>
    <t>Drifting 30 miles off the prescribed course, the aircraft crashed into snow covered mountains. The wreckage was discovered 8 months later.</t>
  </si>
  <si>
    <t>Alaska Airlines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</si>
  <si>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</si>
  <si>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</si>
  <si>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</si>
  <si>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</si>
  <si>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</si>
  <si>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</si>
  <si>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</si>
  <si>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</si>
  <si>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El Paso - Memphis</t>
  </si>
  <si>
    <t>Douglas C-47-DK</t>
  </si>
  <si>
    <t>44-76366</t>
  </si>
  <si>
    <t>15950/32698</t>
  </si>
  <si>
    <t>After preparing to land, the aircraft went into a right-hand spiral and crashed  for reasons unknown.</t>
  </si>
  <si>
    <t>Krasnoyarsk, Russia</t>
  </si>
  <si>
    <t>Krasnoyarsk - Omsk</t>
  </si>
  <si>
    <t>Ilyushin IL-12</t>
  </si>
  <si>
    <t>CCCP-L1343</t>
  </si>
  <si>
    <t>30 049</t>
  </si>
  <si>
    <t>Crash landed due to engine failure after an attempted go-around.</t>
  </si>
  <si>
    <t>Air Transport</t>
  </si>
  <si>
    <t>OO-XAC</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</si>
  <si>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</si>
  <si>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</si>
  <si>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</si>
  <si>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</si>
  <si>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</si>
  <si>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</si>
  <si>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</si>
  <si>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</si>
  <si>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</si>
  <si>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</si>
  <si>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</si>
  <si>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</si>
  <si>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</si>
  <si>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</si>
  <si>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</si>
  <si>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</si>
  <si>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</si>
  <si>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</si>
  <si>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</si>
  <si>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</si>
  <si>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</si>
  <si>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</si>
  <si>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</si>
  <si>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</si>
  <si>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</si>
  <si>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</si>
  <si>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</si>
  <si>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</si>
  <si>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</si>
  <si>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</si>
  <si>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 50 miles south of Algiers after an engine failed.</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</si>
  <si>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</si>
  <si>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</si>
  <si>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</si>
  <si>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</si>
  <si>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</si>
  <si>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</si>
  <si>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</si>
  <si>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</si>
  <si>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</si>
  <si>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</si>
  <si>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</si>
  <si>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</si>
  <si>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</si>
  <si>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</si>
  <si>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</si>
  <si>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</si>
  <si>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</si>
  <si>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</si>
  <si>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</si>
  <si>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</si>
  <si>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</si>
  <si>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</si>
  <si>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</si>
  <si>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</si>
  <si>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</si>
  <si>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</si>
  <si>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</si>
  <si>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</si>
  <si>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Near Padalarang, Indonesia</t>
  </si>
  <si>
    <t>Bandung - Jakarta - Banjoemans - Semarang</t>
  </si>
  <si>
    <t>PK-REA</t>
  </si>
  <si>
    <t>16380/33128</t>
  </si>
  <si>
    <t>Crashed and burned on the island of Java. The crew reported they lost an engine. While trying to return the plane crashed and exploded.</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</si>
  <si>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</si>
  <si>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</si>
  <si>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</si>
  <si>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</si>
  <si>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</si>
  <si>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Collesalvetti,  Italy</t>
  </si>
  <si>
    <t>SocietÃ  Aerea Teseo</t>
  </si>
  <si>
    <t>Florence - Pisa - Rome</t>
  </si>
  <si>
    <t>I-REGI</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</si>
  <si>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</si>
  <si>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</si>
  <si>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</si>
  <si>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</si>
  <si>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</si>
  <si>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</si>
  <si>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</si>
  <si>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</si>
  <si>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</si>
  <si>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</si>
  <si>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</si>
  <si>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</si>
  <si>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</si>
  <si>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Near Belem, Brazil</t>
  </si>
  <si>
    <t>Military - Brazilian Air Force</t>
  </si>
  <si>
    <t>Rio de Janeiro - Bele - Cayenne</t>
  </si>
  <si>
    <t>The plane, carrying Brazilian service personnel and their dependents crashed and burned after stalling short of the runway while attempting to land.</t>
  </si>
  <si>
    <t>Off Perpignan, France</t>
  </si>
  <si>
    <t>SociÃ©tÃ© de Transports AÃ©riens</t>
  </si>
  <si>
    <t>Oran - Perpignan - Lyon</t>
  </si>
  <si>
    <t>F-BBYC</t>
  </si>
  <si>
    <t>AAC223</t>
  </si>
  <si>
    <t>The cargo flight crashed into the Gulf of Lion</t>
  </si>
  <si>
    <t>Heathrow Airport, London, England</t>
  </si>
  <si>
    <t>OO-AWH</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</si>
  <si>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</si>
  <si>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</si>
  <si>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</si>
  <si>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</si>
  <si>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TF-RVL</t>
  </si>
  <si>
    <t>Crashed into a slope of Mt Skalafell located near Hellisheioi in poor weather condtions.</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</si>
  <si>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</si>
  <si>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</si>
  <si>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</si>
  <si>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</si>
  <si>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</si>
  <si>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</si>
  <si>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</si>
  <si>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</si>
  <si>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</si>
  <si>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</si>
  <si>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</si>
  <si>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</si>
  <si>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Struck a mountain peak in the Sierra Cristais.</t>
  </si>
  <si>
    <t>Villa Pinzon, Colombia</t>
  </si>
  <si>
    <t>Agencia Interamericana de Aviada</t>
  </si>
  <si>
    <t>El Secreto - Bogota</t>
  </si>
  <si>
    <t>Douglas DC-3 (C47-DL)</t>
  </si>
  <si>
    <t>C-1002</t>
  </si>
  <si>
    <t>Crashed into the slope of Alto El Arrastradero mountain located 50 miles from Bogota.</t>
  </si>
  <si>
    <t>Monte Cardo, Corsica, France</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</si>
  <si>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</si>
  <si>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</si>
  <si>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</si>
  <si>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</si>
  <si>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</si>
  <si>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</si>
  <si>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</si>
  <si>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</si>
  <si>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</si>
  <si>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</si>
  <si>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</si>
  <si>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</si>
  <si>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</si>
  <si>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</si>
  <si>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</si>
  <si>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</si>
  <si>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</si>
  <si>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</si>
  <si>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</si>
  <si>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</si>
  <si>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</si>
  <si>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</si>
  <si>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</si>
  <si>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</si>
  <si>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</si>
  <si>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</si>
  <si>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</si>
  <si>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</si>
  <si>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Croydon - Paris - Cannes</t>
  </si>
  <si>
    <t>de Havilland Dove 1</t>
  </si>
  <si>
    <t>G-AJOU</t>
  </si>
  <si>
    <t>The aircraft crashed in a storm.  Kathleen Kennedy Cavendish, 28, sister of  President John F. Kennedy, killed.</t>
  </si>
  <si>
    <t>Near Magazini, Belgian Congo (Zaire)</t>
  </si>
  <si>
    <t>Leopoldville - Libenga</t>
  </si>
  <si>
    <t>OO-CBE</t>
  </si>
  <si>
    <t>While cruising, the aircraft penetrated a very turbulent line of clouds, lost height and crashed into a forest. The aircraft apparently flew into a tornado at low altitude.</t>
  </si>
  <si>
    <t>Vrede, South Africa</t>
  </si>
  <si>
    <t>Mercury Aviation</t>
  </si>
  <si>
    <t>Durban - Johannesburg - London</t>
  </si>
  <si>
    <t>Douglas DC-3-455</t>
  </si>
  <si>
    <t>ZS-BWY</t>
  </si>
  <si>
    <t>Crashed into Spitzkop mountain after drifting off course in poor weather. The aircraft was named "Miss France."</t>
  </si>
  <si>
    <t>Newark, NJ - Chicago, IL</t>
  </si>
  <si>
    <t>NC59489</t>
  </si>
  <si>
    <t>Cargo flight. The in-flight failure of the fuselage carry-in structure beneath the fin, due to extreme turbulence.</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</si>
  <si>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</si>
  <si>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</si>
  <si>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</si>
  <si>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</si>
  <si>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</si>
  <si>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</si>
  <si>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</si>
  <si>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</si>
  <si>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 xml:space="preserve"> CCCP-L1073</t>
  </si>
  <si>
    <t>17054/34321</t>
  </si>
  <si>
    <t>The aircraft collided with the western slope of  Marchekanskoy  hill, 70 m from the top. ATC error.</t>
  </si>
  <si>
    <t>Albacete, Spain</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</si>
  <si>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</si>
  <si>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</si>
  <si>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</si>
  <si>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</si>
  <si>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</si>
  <si>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</si>
  <si>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</si>
  <si>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</si>
  <si>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</si>
  <si>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</si>
  <si>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</si>
  <si>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</si>
  <si>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</si>
  <si>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</si>
  <si>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</si>
  <si>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</si>
  <si>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</si>
  <si>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</si>
  <si>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</si>
  <si>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</si>
  <si>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</si>
  <si>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</si>
  <si>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</si>
  <si>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</si>
  <si>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</si>
  <si>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Keerbergen, Belgium</t>
  </si>
  <si>
    <t>Milano - Brussels</t>
  </si>
  <si>
    <t>Fiat G.212CP</t>
  </si>
  <si>
    <t>I-ELSA</t>
  </si>
  <si>
    <t>Crashed after overrunning the runway in heavy rain.</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</si>
  <si>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</si>
  <si>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</si>
  <si>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</si>
  <si>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</si>
  <si>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</si>
  <si>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</si>
  <si>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</si>
  <si>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</si>
  <si>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</si>
  <si>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</si>
  <si>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</si>
  <si>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Crashed into mountains 50 miles southwest of Da Lat in adverse meteriological conditions and absence of adequate ground facililities.</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</si>
  <si>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</si>
  <si>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</si>
  <si>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</si>
  <si>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</si>
  <si>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</si>
  <si>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</si>
  <si>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</si>
  <si>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</si>
  <si>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</si>
  <si>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</si>
  <si>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</si>
  <si>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</si>
  <si>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</si>
  <si>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The aircraft hit a mountain top at Cap-des-Rosiers, 12 miles from its destination in fog and burned.</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</si>
  <si>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</si>
  <si>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</si>
  <si>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</si>
  <si>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</si>
  <si>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</si>
  <si>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</si>
  <si>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</si>
  <si>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</si>
  <si>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</si>
  <si>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</si>
  <si>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</si>
  <si>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Karachi, Pakistan</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</si>
  <si>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</si>
  <si>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</si>
  <si>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</si>
  <si>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</si>
  <si>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</si>
  <si>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</si>
  <si>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</si>
  <si>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</si>
  <si>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</si>
  <si>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</si>
  <si>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</si>
  <si>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</si>
  <si>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</si>
  <si>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</si>
  <si>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</si>
  <si>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La Guaira, Venezuela</t>
  </si>
  <si>
    <t>Avensa</t>
  </si>
  <si>
    <t>MaiquetÃ­a - Las Piedras - Maracaibo</t>
  </si>
  <si>
    <t>YV-C-AVN</t>
  </si>
  <si>
    <t>The cargo plane disappeared en route  over the Caribbean Sea.</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</si>
  <si>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</si>
  <si>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</si>
  <si>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</si>
  <si>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</si>
  <si>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</si>
  <si>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</si>
  <si>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</si>
  <si>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</si>
  <si>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</si>
  <si>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</si>
  <si>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</si>
  <si>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</si>
  <si>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</si>
  <si>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</si>
  <si>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</si>
  <si>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</si>
  <si>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</si>
  <si>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Near Trondheim, Norway</t>
  </si>
  <si>
    <t>Fornebu - Hommelvik</t>
  </si>
  <si>
    <t>Short Sandringham 6 (flying boat)</t>
  </si>
  <si>
    <t>LN-IWA</t>
  </si>
  <si>
    <t>SH-52C</t>
  </si>
  <si>
    <t>Crashed in Hommelvika Bay  while attempting to land in crosswinds and high seas.</t>
  </si>
  <si>
    <t>Near Yevlakh, Azerbaijan, USSR</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</si>
  <si>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</si>
  <si>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</si>
  <si>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</si>
  <si>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</si>
  <si>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</si>
  <si>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</si>
  <si>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</si>
  <si>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</si>
  <si>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</si>
  <si>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</si>
  <si>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</si>
  <si>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</si>
  <si>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</si>
  <si>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Crashed 700 feet from the summit of a mountain while en route in low visibility. Lack of navigational aids in the area contributed to the accident cause.</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</si>
  <si>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</si>
  <si>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</si>
  <si>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</si>
  <si>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</si>
  <si>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</si>
  <si>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Near Edmonton, Alberta, Canada</t>
  </si>
  <si>
    <t>Minneapolis - Edmonton - Anchorage - Tokyo</t>
  </si>
  <si>
    <t>NC88785</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</si>
  <si>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</si>
  <si>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</si>
  <si>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</si>
  <si>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</si>
  <si>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</si>
  <si>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</si>
  <si>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Cape Spencer, Alaska</t>
  </si>
  <si>
    <t>Pacific Alaska Air Freight</t>
  </si>
  <si>
    <t>Anchorage - Homer - Yakutat - Annette Island - Seattle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</si>
  <si>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</si>
  <si>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</si>
  <si>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</si>
  <si>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</si>
  <si>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</si>
  <si>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</si>
  <si>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</si>
  <si>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</si>
  <si>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Isle of Man - Dublin, Ireland</t>
  </si>
  <si>
    <t>G-AKOF</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</si>
  <si>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</si>
  <si>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</si>
  <si>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</si>
  <si>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</si>
  <si>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</si>
  <si>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</si>
  <si>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</si>
  <si>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</si>
  <si>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</si>
  <si>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</si>
  <si>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</si>
  <si>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Chengdu - Shanghai</t>
  </si>
  <si>
    <t>XT-538</t>
  </si>
  <si>
    <t>Overshot runway, crashed and burned.</t>
  </si>
  <si>
    <t>Milan, Italy</t>
  </si>
  <si>
    <t>Avio Linee Italiane Avio Linee Italiane</t>
  </si>
  <si>
    <t>Milan - Brussels</t>
  </si>
  <si>
    <t>I-ETNA</t>
  </si>
  <si>
    <t>The aircraft crashed during takeoff in fog.</t>
  </si>
  <si>
    <t>Taipei, Taiwan</t>
  </si>
  <si>
    <t>Shanghai - Taipei</t>
  </si>
  <si>
    <t>Near Bogata, Colombia</t>
  </si>
  <si>
    <t>LANSA</t>
  </si>
  <si>
    <t>Bogota - Barranquilla</t>
  </si>
  <si>
    <t>C-310</t>
  </si>
  <si>
    <t>Crashed shortly after taking off from Bogota. Possible accidental detonation of fire works being carried aboard leading to the in-flight separation of the wing.</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</si>
  <si>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</si>
  <si>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</si>
  <si>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</si>
  <si>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</si>
  <si>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</si>
  <si>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Pilos, Greece</t>
  </si>
  <si>
    <t>Rome - Athens</t>
  </si>
  <si>
    <t>OK-WDE</t>
  </si>
  <si>
    <t>Crashed in the Taigetos Mountains while en route after being shot down by Greek insurgents.</t>
  </si>
  <si>
    <t>Near Madrid, Spain</t>
  </si>
  <si>
    <t>Madrid - Barcelona</t>
  </si>
  <si>
    <t>Douglas DC-3 (C-47-DL)</t>
  </si>
  <si>
    <t>EC-ABK</t>
  </si>
  <si>
    <t>Crashed into Pandols Mountain while en route in poor weather conditions.</t>
  </si>
  <si>
    <t>Off San Juan, Puerto Rico</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</si>
  <si>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</si>
  <si>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</si>
  <si>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</si>
  <si>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</si>
  <si>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</si>
  <si>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Mt. Argentari, Italy</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</si>
  <si>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</si>
  <si>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</si>
  <si>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</si>
  <si>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</si>
  <si>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</si>
  <si>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</si>
  <si>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</si>
  <si>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</si>
  <si>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</si>
  <si>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</si>
  <si>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</si>
  <si>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</si>
  <si>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</si>
  <si>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</si>
  <si>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</si>
  <si>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</si>
  <si>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</si>
  <si>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</si>
  <si>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</si>
  <si>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</si>
  <si>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</si>
  <si>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</si>
  <si>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</si>
  <si>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</si>
  <si>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</si>
  <si>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Ditched in a lagoon.</t>
  </si>
  <si>
    <t>Dalmia Jain Airways</t>
  </si>
  <si>
    <t>VT-CDZ</t>
  </si>
  <si>
    <t>14145/25590</t>
  </si>
  <si>
    <t>Crashed en route.</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</si>
  <si>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</si>
  <si>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</si>
  <si>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</si>
  <si>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</si>
  <si>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</si>
  <si>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</si>
  <si>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</si>
  <si>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</si>
  <si>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</si>
  <si>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</si>
  <si>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</si>
  <si>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</si>
  <si>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</si>
  <si>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</si>
  <si>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</si>
  <si>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</si>
  <si>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</si>
  <si>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</si>
  <si>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</si>
  <si>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</si>
  <si>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</si>
  <si>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</si>
  <si>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Crashed shortly after taking off.</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</si>
  <si>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</si>
  <si>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</si>
  <si>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</si>
  <si>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</si>
  <si>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</si>
  <si>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</si>
  <si>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</si>
  <si>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</si>
  <si>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</si>
  <si>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</si>
  <si>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</si>
  <si>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</si>
  <si>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</si>
  <si>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</si>
  <si>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</si>
  <si>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</si>
  <si>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</si>
  <si>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</si>
  <si>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</si>
  <si>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</si>
  <si>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</si>
  <si>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</si>
  <si>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</si>
  <si>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</si>
  <si>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</si>
  <si>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</si>
  <si>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</si>
  <si>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</si>
  <si>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</si>
  <si>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Crashed near Braemar Resevoir after a go-around in poor weather. The crash was attributed to pilot error.</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</si>
  <si>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</si>
  <si>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</si>
  <si>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</si>
  <si>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</si>
  <si>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</si>
  <si>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G-AHFI</t>
  </si>
  <si>
    <t>The cargo plane crashed while attempting to land.</t>
  </si>
  <si>
    <t>Near Waikanae, New Zealand</t>
  </si>
  <si>
    <t>Auckland - Wellington</t>
  </si>
  <si>
    <t>ZK-AKX</t>
  </si>
  <si>
    <t>Crashed into a hill while on approach in low overcast. A navigational error by the pilot-in-command..</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</si>
  <si>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</si>
  <si>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</si>
  <si>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</si>
  <si>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</si>
  <si>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</si>
  <si>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</si>
  <si>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</si>
  <si>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</si>
  <si>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</si>
  <si>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</si>
  <si>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</si>
  <si>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</si>
  <si>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</si>
  <si>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</si>
  <si>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</si>
  <si>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</si>
  <si>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</si>
  <si>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</si>
  <si>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</si>
  <si>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</si>
  <si>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</si>
  <si>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</si>
  <si>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</si>
  <si>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</si>
  <si>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</si>
  <si>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</si>
  <si>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</si>
  <si>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</si>
  <si>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</si>
  <si>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</si>
  <si>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</si>
  <si>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</si>
  <si>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</si>
  <si>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</si>
  <si>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</si>
  <si>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</si>
  <si>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</si>
  <si>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</si>
  <si>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</si>
  <si>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</si>
  <si>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</si>
  <si>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</si>
  <si>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</si>
  <si>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</si>
  <si>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</si>
  <si>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</si>
  <si>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</si>
  <si>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</si>
  <si>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</si>
  <si>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</si>
  <si>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</si>
  <si>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</si>
  <si>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</si>
  <si>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</si>
  <si>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</si>
  <si>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</si>
  <si>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</si>
  <si>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</si>
  <si>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</si>
  <si>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</si>
  <si>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</si>
  <si>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</si>
  <si>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Crashed into a garage near Jamnagar railway station while on a training flight. Apart from the pilot, at least 14 on the ground were killed and about 60 were injured.</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</si>
  <si>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</si>
  <si>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</si>
  <si>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</si>
  <si>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</si>
  <si>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</si>
  <si>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Marga, Russia</t>
  </si>
  <si>
    <t>Krasnoyarsk - Irkutsk</t>
  </si>
  <si>
    <t>L1714</t>
  </si>
  <si>
    <t>The plane crashed after the left engine caught fire.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</si>
  <si>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</si>
  <si>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</si>
  <si>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</si>
  <si>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</si>
  <si>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</si>
  <si>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</si>
  <si>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</si>
  <si>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</si>
  <si>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</si>
  <si>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</si>
  <si>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</si>
  <si>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</si>
  <si>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</si>
  <si>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</si>
  <si>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</si>
  <si>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</si>
  <si>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</si>
  <si>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</si>
  <si>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</si>
  <si>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</si>
  <si>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</si>
  <si>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</si>
  <si>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</si>
  <si>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</si>
  <si>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</si>
  <si>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SAETA</t>
  </si>
  <si>
    <t>Bogota - Ibague</t>
  </si>
  <si>
    <t>HK-1200</t>
  </si>
  <si>
    <t>Crashed in the Andes mountains while  en route.</t>
  </si>
  <si>
    <t>Off Lurga Point, Ireland</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</si>
  <si>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</si>
  <si>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</si>
  <si>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</si>
  <si>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</si>
  <si>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</si>
  <si>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</si>
  <si>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</si>
  <si>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</si>
  <si>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</si>
  <si>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</si>
  <si>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</si>
  <si>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</si>
  <si>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</si>
  <si>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</si>
  <si>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</si>
  <si>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</si>
  <si>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</si>
  <si>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</si>
  <si>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</si>
  <si>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</si>
  <si>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</si>
  <si>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</si>
  <si>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</si>
  <si>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</si>
  <si>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</si>
  <si>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Crashed into a 15,000 ft. snow covered volcano, Mt. Popocatepetl. Flying VFR in IFR conditions.</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</si>
  <si>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</si>
  <si>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</si>
  <si>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</si>
  <si>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</si>
  <si>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</si>
  <si>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</si>
  <si>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</si>
  <si>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</si>
  <si>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</si>
  <si>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</si>
  <si>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</si>
  <si>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</si>
  <si>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</si>
  <si>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</si>
  <si>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</si>
  <si>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</si>
  <si>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</si>
  <si>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</si>
  <si>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</si>
  <si>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</si>
  <si>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</si>
  <si>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</si>
  <si>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</si>
  <si>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</si>
  <si>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</si>
  <si>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</si>
  <si>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</si>
  <si>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Near Oslo, Norway</t>
  </si>
  <si>
    <t>Aero Holland</t>
  </si>
  <si>
    <t>Brussels - Oslo</t>
  </si>
  <si>
    <t>PH-TFA</t>
  </si>
  <si>
    <t>Crashed into a hill during the approach. Pilot continued VFR in IFR condtions.</t>
  </si>
  <si>
    <t>Near Bucaramanga, Colombia</t>
  </si>
  <si>
    <t>Bucaramanga - Cucuta</t>
  </si>
  <si>
    <t>HK-305</t>
  </si>
  <si>
    <t>Struck a mountain shortly after taking off.</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</si>
  <si>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</si>
  <si>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</si>
  <si>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</si>
  <si>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</si>
  <si>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</si>
  <si>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</si>
  <si>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</si>
  <si>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F-BELO</t>
  </si>
  <si>
    <t>Crashed while on approach to Lyons.</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</si>
  <si>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</si>
  <si>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</si>
  <si>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</si>
  <si>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</si>
  <si>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</si>
  <si>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</si>
  <si>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</si>
  <si>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</si>
  <si>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</si>
  <si>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 plan.</t>
  </si>
  <si>
    <t>Near Lanchow, China</t>
  </si>
  <si>
    <t>Curtiss C-46D-CU</t>
  </si>
  <si>
    <t>XT-820</t>
  </si>
  <si>
    <t>Near Hoikow, China</t>
  </si>
  <si>
    <t>Chengdu - Hoikow</t>
  </si>
  <si>
    <t>XT-814</t>
  </si>
  <si>
    <t>Crashed on the outskirts of Hoikow, Hainan Island.</t>
  </si>
  <si>
    <t>Washington, D.C.</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</si>
  <si>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</si>
  <si>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</si>
  <si>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</si>
  <si>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</si>
  <si>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</si>
  <si>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Jungshahi, Pakistan</t>
  </si>
  <si>
    <t>Pakair</t>
  </si>
  <si>
    <t>AP-ADI</t>
  </si>
  <si>
    <t>Hit a mountain and burned 30 miles north of  Karachi airport. Navigational error.</t>
  </si>
  <si>
    <t>Orizaba, Mexico</t>
  </si>
  <si>
    <t>XA-DUK</t>
  </si>
  <si>
    <t>Crashed into a mountain while en route.</t>
  </si>
  <si>
    <t>Aulnay-sous-Bois, France</t>
  </si>
  <si>
    <t>OO-AUQ</t>
  </si>
  <si>
    <t>Crashed after the wing failed during takeoff.</t>
  </si>
  <si>
    <t>Comilla, Pakistan</t>
  </si>
  <si>
    <t>Bharat Airways</t>
  </si>
  <si>
    <t>Agartala - Calcutta</t>
  </si>
  <si>
    <t>Douglas C-54A-DO</t>
  </si>
  <si>
    <t>VT-CYK</t>
  </si>
  <si>
    <t>Crashed and burned after attempting an emergency landing.</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</si>
  <si>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</si>
  <si>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</si>
  <si>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</si>
  <si>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</si>
  <si>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</si>
  <si>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</si>
  <si>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</si>
  <si>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</si>
  <si>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</si>
  <si>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</si>
  <si>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</si>
  <si>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</si>
  <si>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</si>
  <si>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</si>
  <si>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</si>
  <si>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</si>
  <si>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</si>
  <si>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</si>
  <si>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</si>
  <si>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</si>
  <si>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</si>
  <si>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</si>
  <si>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</si>
  <si>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</si>
  <si>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</si>
  <si>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</si>
  <si>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North Sea during a night mail flight shortly after takeoff, 40 miles off the Dutch coast.</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</si>
  <si>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</si>
  <si>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</si>
  <si>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</si>
  <si>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</si>
  <si>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</si>
  <si>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</si>
  <si>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</si>
  <si>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</si>
  <si>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</si>
  <si>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</si>
  <si>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</si>
  <si>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</si>
  <si>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</si>
  <si>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</si>
  <si>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</si>
  <si>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</si>
  <si>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</si>
  <si>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</si>
  <si>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</si>
  <si>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</si>
  <si>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</si>
  <si>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Crashed and caught fire during landing at Etimeagut airport.</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</si>
  <si>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</si>
  <si>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</si>
  <si>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</si>
  <si>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</si>
  <si>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</si>
  <si>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</si>
  <si>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</si>
  <si>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</si>
  <si>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</si>
  <si>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Near Hastings, England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</si>
  <si>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</si>
  <si>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</si>
  <si>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</si>
  <si>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</si>
  <si>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</si>
  <si>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</si>
  <si>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Near Atsugi, Japan</t>
  </si>
  <si>
    <t>Philippines - Japan</t>
  </si>
  <si>
    <t>Douglas C-54D</t>
  </si>
  <si>
    <t>42-72704</t>
  </si>
  <si>
    <t>Flew off its prescribed course and crashed into Mt. Tanzawa in a rainstorm.</t>
  </si>
  <si>
    <t>Chimborazo, Ecuador</t>
  </si>
  <si>
    <t>Quito - Guayaquil</t>
  </si>
  <si>
    <t>Douglas C-47DL</t>
  </si>
  <si>
    <t>HK-120</t>
  </si>
  <si>
    <t>Flew into a mountain.</t>
  </si>
  <si>
    <t>Lagens Air Force Base, Azores</t>
  </si>
  <si>
    <t>Bermuda - England</t>
  </si>
  <si>
    <t>Boeing B-29</t>
  </si>
  <si>
    <t>Crashed while attempting to land after being diverted to Lagens due to engine trouble.</t>
  </si>
  <si>
    <t>Myrtle Beach, South Carolina</t>
  </si>
  <si>
    <t>44-77577</t>
  </si>
  <si>
    <t>Lost the left aileron after taking off, lost control and crashed.</t>
  </si>
  <si>
    <t>Near Pasto, Colombia</t>
  </si>
  <si>
    <t>Popayan - Ipiales</t>
  </si>
  <si>
    <t>HK-307</t>
  </si>
  <si>
    <t>Struck the side of Galeras Volcano.</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</si>
  <si>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</si>
  <si>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</si>
  <si>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</si>
  <si>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</si>
  <si>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Near Ilheus,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</si>
  <si>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</si>
  <si>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</si>
  <si>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</si>
  <si>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</si>
  <si>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</si>
  <si>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</si>
  <si>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</si>
  <si>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</si>
  <si>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</si>
  <si>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</si>
  <si>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</si>
  <si>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</si>
  <si>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</si>
  <si>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</si>
  <si>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</si>
  <si>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</si>
  <si>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</si>
  <si>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</si>
  <si>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</si>
  <si>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</si>
  <si>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</si>
  <si>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</si>
  <si>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</si>
  <si>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</si>
  <si>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</si>
  <si>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</si>
  <si>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</si>
  <si>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</si>
  <si>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</si>
  <si>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</si>
  <si>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</si>
  <si>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Struck a mountain.</t>
  </si>
  <si>
    <t>Paris - Dakar</t>
  </si>
  <si>
    <t>F-BFGL</t>
  </si>
  <si>
    <t>Crashed on climb-out.</t>
  </si>
  <si>
    <t>Near Pathankot, India</t>
  </si>
  <si>
    <t>Delhi - Sringagar</t>
  </si>
  <si>
    <t>VT-ATS</t>
  </si>
  <si>
    <t>The left wing separated from the plane in extreme turbulence from a thunderstorm.</t>
  </si>
  <si>
    <t>Near Bocoio, Angola</t>
  </si>
  <si>
    <t>DTA Angola Airlines</t>
  </si>
  <si>
    <t>Nova Lisboa - Lobito</t>
  </si>
  <si>
    <t>CR-LBK</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</si>
  <si>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</si>
  <si>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</si>
  <si>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</si>
  <si>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</si>
  <si>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</si>
  <si>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</si>
  <si>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</si>
  <si>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</si>
  <si>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The aircraft flew into power lines during a landing attempt after running out of fuel while in a holding pattern.</t>
  </si>
  <si>
    <t>Tunbukta, Algeria</t>
  </si>
  <si>
    <t>Cie Air Transport</t>
  </si>
  <si>
    <t>Algiers - Gao</t>
  </si>
  <si>
    <t>F-BENF</t>
  </si>
  <si>
    <t>An explosion in the left wing fuel tank tore off the upper wing surface leading to loss of control of the aircraft.</t>
  </si>
  <si>
    <t>Algrete, Brazil</t>
  </si>
  <si>
    <t>SAVG (S.A. Viacao Gaucha, ) SAVG</t>
  </si>
  <si>
    <t>Karaganda, Russia</t>
  </si>
  <si>
    <t>L-1803</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</si>
  <si>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</si>
  <si>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</si>
  <si>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</si>
  <si>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</si>
  <si>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</si>
  <si>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</si>
  <si>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</si>
  <si>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</si>
  <si>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</si>
  <si>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</si>
  <si>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</si>
  <si>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</si>
  <si>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</si>
  <si>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</si>
  <si>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The plane crashed in the steep forested foothills in the Gua Musang district.</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</si>
  <si>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</si>
  <si>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</si>
  <si>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</si>
  <si>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</si>
  <si>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</si>
  <si>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</si>
  <si>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</si>
  <si>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</si>
  <si>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</si>
  <si>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</si>
  <si>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</si>
  <si>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</si>
  <si>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</si>
  <si>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Crashed during takeoff.</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</si>
  <si>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</si>
  <si>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</si>
  <si>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</si>
  <si>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</si>
  <si>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</si>
  <si>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</si>
  <si>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YU-ABD</t>
  </si>
  <si>
    <t>Crashed during landing.</t>
  </si>
  <si>
    <t>Karlstad, Sweden</t>
  </si>
  <si>
    <t>Svenska Aero</t>
  </si>
  <si>
    <t>Karlstad - Stockholm</t>
  </si>
  <si>
    <t>Avro Ninteen I</t>
  </si>
  <si>
    <t>SE-BRS</t>
  </si>
  <si>
    <t>Reached an altitude of 200 feet, stalled and crashed to the ground.</t>
  </si>
  <si>
    <t>Near Kyushu Island, Japan</t>
  </si>
  <si>
    <t>Ashiya AB - Kimpo AB</t>
  </si>
  <si>
    <t>42-72457</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</si>
  <si>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</si>
  <si>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</si>
  <si>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</si>
  <si>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</si>
  <si>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</si>
  <si>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</si>
  <si>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</si>
  <si>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G-AGIW</t>
  </si>
  <si>
    <t>Crashed into trees on Mill Hill after engine failure during takeoff. Everyone except one flight attendant was killed.</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</si>
  <si>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</si>
  <si>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</si>
  <si>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</si>
  <si>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</si>
  <si>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</si>
  <si>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</si>
  <si>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</si>
  <si>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</si>
  <si>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</si>
  <si>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</si>
  <si>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</si>
  <si>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</si>
  <si>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</si>
  <si>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</si>
  <si>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</si>
  <si>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</si>
  <si>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</si>
  <si>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</si>
  <si>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</si>
  <si>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</si>
  <si>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</si>
  <si>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</si>
  <si>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Veered off the runway and crashed into a ditch..</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</si>
  <si>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</si>
  <si>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</si>
  <si>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</si>
  <si>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</si>
  <si>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</si>
  <si>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</si>
  <si>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</si>
  <si>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</si>
  <si>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</si>
  <si>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</si>
  <si>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</si>
  <si>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</si>
  <si>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</si>
  <si>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</si>
  <si>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</si>
  <si>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</si>
  <si>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</si>
  <si>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</si>
  <si>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</si>
  <si>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</si>
  <si>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</si>
  <si>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</si>
  <si>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</si>
  <si>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</si>
  <si>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</si>
  <si>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</si>
  <si>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</si>
  <si>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</si>
  <si>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</si>
  <si>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</si>
  <si>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</si>
  <si>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</si>
  <si>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</si>
  <si>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</si>
  <si>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</si>
  <si>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</si>
  <si>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</si>
  <si>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</si>
  <si>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</si>
  <si>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</si>
  <si>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</si>
  <si>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Proceeding on instruments, the aircraft crashed into Mt. Tabayoc while en route.  Navigation error.</t>
  </si>
  <si>
    <t>Penticton, British Columbia, Canada</t>
  </si>
  <si>
    <t>Vancouver - Penticton</t>
  </si>
  <si>
    <t>CF-CUF</t>
  </si>
  <si>
    <t>Struck trees on  Mt. Okanagan while making an approach to Penticton. Drifted below the minimum altitude permissible.</t>
  </si>
  <si>
    <t>Santiago del Estado, Argentina</t>
  </si>
  <si>
    <t>Aerolineas Argentinas</t>
  </si>
  <si>
    <t>Mar del Plata - Buenos</t>
  </si>
  <si>
    <t>LV-ACH</t>
  </si>
  <si>
    <t>Crashed 60 miles north of the airport after taking off from Mar del Plata.</t>
  </si>
  <si>
    <t>Ixopo, South Africa</t>
  </si>
  <si>
    <t>United Airways</t>
  </si>
  <si>
    <t>Margate - Ladysmith - Johannesburg</t>
  </si>
  <si>
    <t>ZS-DDW</t>
  </si>
  <si>
    <t>Broke up in turbulence.</t>
  </si>
  <si>
    <t>Mt. Bukit, Besar,Thailand</t>
  </si>
  <si>
    <t>Air Carriers</t>
  </si>
  <si>
    <t>Butterworth - Kota Bharu</t>
  </si>
  <si>
    <t>VR-HEP</t>
  </si>
  <si>
    <t>15782/32530</t>
  </si>
  <si>
    <t>Crashed into Bukit Besar Mountain while en route.</t>
  </si>
  <si>
    <t>Philadelphia, Pennsylvania</t>
  </si>
  <si>
    <t>Newark - Philadelphia</t>
  </si>
  <si>
    <t>N74685</t>
  </si>
  <si>
    <t>The plane overshot the landing, ran into a ditch and caught fire. Pilot error in electing to land long, on a wet and snow covered runway instead of executing a missed approach.</t>
  </si>
  <si>
    <t>Near Reardan,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</si>
  <si>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</si>
  <si>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</si>
  <si>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</si>
  <si>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</si>
  <si>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</si>
  <si>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</si>
  <si>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</si>
  <si>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</si>
  <si>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</si>
  <si>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Huilyo, Peru</t>
  </si>
  <si>
    <t>Military - TAM</t>
  </si>
  <si>
    <t>Near An tung, Taiwan</t>
  </si>
  <si>
    <t>Hong Kong - Iwakuni</t>
  </si>
  <si>
    <t>Short Sunderland 9 (flying boat)</t>
  </si>
  <si>
    <t>PP107</t>
  </si>
  <si>
    <t>Crashed into mountainous terrain while en route. Most likely weather related.</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</si>
  <si>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</si>
  <si>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</si>
  <si>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</si>
  <si>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</si>
  <si>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</si>
  <si>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</si>
  <si>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</si>
  <si>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</si>
  <si>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</si>
  <si>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</si>
  <si>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</si>
  <si>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</si>
  <si>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Yali, Colombia</t>
  </si>
  <si>
    <t>MedellÃ­n - Barranquilla</t>
  </si>
  <si>
    <t>HK-333</t>
  </si>
  <si>
    <t>En route, the cargo plane hit the slope of a mountain located 12 km from YalÃ­.</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</si>
  <si>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</si>
  <si>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</si>
  <si>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</si>
  <si>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</si>
  <si>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</si>
  <si>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</si>
  <si>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</si>
  <si>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</si>
  <si>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</si>
  <si>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</si>
  <si>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Corozal, Colombia</t>
  </si>
  <si>
    <t>San Marcos - Cartagena</t>
  </si>
  <si>
    <t>HK-315</t>
  </si>
  <si>
    <t>aircraft later crashed in an uninhabited area located near Hato Nuevo after encountering thunderstorms.</t>
  </si>
  <si>
    <t>Off Florianopolis, Brazil</t>
  </si>
  <si>
    <t xml:space="preserve"> Rio de Janeiro - SÃ£o Paulo - Curitiba - FlorianÃ³polis</t>
  </si>
  <si>
    <t>PP-CCX</t>
  </si>
  <si>
    <t>The No. 2 engine failed on a go-around in reduced visibility and rain and the aircraft crashed into the ocean.</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</si>
  <si>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</si>
  <si>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</si>
  <si>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</si>
  <si>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</si>
  <si>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</si>
  <si>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</si>
  <si>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</si>
  <si>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</si>
  <si>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</si>
  <si>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</si>
  <si>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Rio Grande, Argentina</t>
  </si>
  <si>
    <t>Ushuaia - RÃ­o Grande - Buenos Aires</t>
  </si>
  <si>
    <t>LV-ACY</t>
  </si>
  <si>
    <t>On final approach to RÃ­o Grande Airport, the aircraft stalled and crashed in a fieldlshort of runway.</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</si>
  <si>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</si>
  <si>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</si>
  <si>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</si>
  <si>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</si>
  <si>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</si>
  <si>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</si>
  <si>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</si>
  <si>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On final approach to Techo Airport, the aircraft went out of control and crashed in an explosion short of runway.</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</si>
  <si>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</si>
  <si>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</si>
  <si>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</si>
  <si>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</si>
  <si>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</si>
  <si>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</si>
  <si>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</si>
  <si>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</si>
  <si>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</si>
  <si>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</si>
  <si>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</si>
  <si>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</si>
  <si>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</si>
  <si>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</si>
  <si>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</si>
  <si>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</si>
  <si>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</si>
  <si>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</si>
  <si>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</si>
  <si>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</si>
  <si>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</si>
  <si>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</si>
  <si>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</si>
  <si>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</si>
  <si>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</si>
  <si>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</si>
  <si>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</si>
  <si>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</si>
  <si>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</si>
  <si>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</si>
  <si>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</si>
  <si>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</si>
  <si>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</si>
  <si>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</si>
  <si>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</si>
  <si>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</si>
  <si>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</si>
  <si>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</si>
  <si>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about 8 km from Rancheria.. Pilot's decision to fly VFR in unfavorable weather conditions.</t>
  </si>
  <si>
    <t>New Boston, Texas</t>
  </si>
  <si>
    <t>Fort Campbell - Lawton</t>
  </si>
  <si>
    <t>Fairchild C-82</t>
  </si>
  <si>
    <t>45-57761</t>
  </si>
  <si>
    <t>Struck by lightning and crashed.</t>
  </si>
  <si>
    <t>Lineas AÃ©reas Trans. Brasileira</t>
  </si>
  <si>
    <t>PP-NAL</t>
  </si>
  <si>
    <t>Crashed into high ground while on a VFR apporach in IFR conditions. The pilot attempted a descent over an area where the minimum safe altitude was 1,200 ft.</t>
  </si>
  <si>
    <t>Sociedad Aeronautica Medellin</t>
  </si>
  <si>
    <t>MedellÃ­n - Cartagena</t>
  </si>
  <si>
    <t>HK-504</t>
  </si>
  <si>
    <t xml:space="preserve"> While approaching the airfield for an emergency landing, the airplane hit the chimney of the TejÃ­condor factory located in the suburb of BelÃ©n, stalled and crashed in a huge explosion.</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</si>
  <si>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</si>
  <si>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</si>
  <si>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</si>
  <si>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</si>
  <si>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</si>
  <si>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 Zagreb</t>
  </si>
  <si>
    <t>YU-ACE</t>
  </si>
  <si>
    <t>The plane encountered poor weather conditions with thunderstorm activity and turbulence leading to loss of control and crash.</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</si>
  <si>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</si>
  <si>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</si>
  <si>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</si>
  <si>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</si>
  <si>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</si>
  <si>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</si>
  <si>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</si>
  <si>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Luqa - Lyneham - Dishforth</t>
  </si>
  <si>
    <t>Vickers Valetta C-1</t>
  </si>
  <si>
    <t>VW194</t>
  </si>
  <si>
    <t>One engine caught fire. The propellers of the working engine were feathered in error. The plane crashed.</t>
  </si>
  <si>
    <t>Near Tezpur, India</t>
  </si>
  <si>
    <t>Calcutta - Tezpur</t>
  </si>
  <si>
    <t>VT-CHT</t>
  </si>
  <si>
    <t>The cargo plane hit the slope of a mountain.</t>
  </si>
  <si>
    <t>Aracaju, Brazil</t>
  </si>
  <si>
    <t>Loide Aereo Nacional</t>
  </si>
  <si>
    <t>Natal - Recife - MaceiÃ³ - Aracaju</t>
  </si>
  <si>
    <t>PP-LPG</t>
  </si>
  <si>
    <t>14822/26267</t>
  </si>
  <si>
    <t>Crashed during a landing attempt in adverse weather conditions under VFR and hit high ground. The pilot attempted a visual approach and made a turn at low altitude in adverse weather conditions.</t>
  </si>
  <si>
    <t>Wau - Bulolo - Lae</t>
  </si>
  <si>
    <t>de Havilland DHA-3 Drover II</t>
  </si>
  <si>
    <t>VH-EBQ</t>
  </si>
  <si>
    <t>Crashed into the Huon Gulf after the center propeller failed.</t>
  </si>
  <si>
    <t>Thudamot, China</t>
  </si>
  <si>
    <t>Air Outre-Mer</t>
  </si>
  <si>
    <t>Pakse - Saigon</t>
  </si>
  <si>
    <t>F-OABX</t>
  </si>
  <si>
    <t>The cargo plane crashed in a field while attempting to land..</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</si>
  <si>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</si>
  <si>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</si>
  <si>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</si>
  <si>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</si>
  <si>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Gao, Mali</t>
  </si>
  <si>
    <t>Brussels - Gao - LÃ©opoldville</t>
  </si>
  <si>
    <t>OO-CBA</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</si>
  <si>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</si>
  <si>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</si>
  <si>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</si>
  <si>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</si>
  <si>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</si>
  <si>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Hit a tree while taking off and crashed.</t>
  </si>
  <si>
    <t>Barilla Bay, Australia</t>
  </si>
  <si>
    <t>Trans Australia Airlines</t>
  </si>
  <si>
    <t>Hobart Melbourne</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</si>
  <si>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</si>
  <si>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</si>
  <si>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</si>
  <si>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</si>
  <si>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</si>
  <si>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</si>
  <si>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</si>
  <si>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</si>
  <si>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</si>
  <si>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</si>
  <si>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</si>
  <si>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</si>
  <si>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</si>
  <si>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</si>
  <si>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</si>
  <si>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Off Ialas Baeares, Spain</t>
  </si>
  <si>
    <t>Societe Alpes Provence</t>
  </si>
  <si>
    <t>Perpignan - Oran</t>
  </si>
  <si>
    <t>F-BEIZ</t>
  </si>
  <si>
    <t>15985/32733</t>
  </si>
  <si>
    <t>Crashed into the Mediterranean due to structural failure following loss of control in severe weather.</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</si>
  <si>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</si>
  <si>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</si>
  <si>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</si>
  <si>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</si>
  <si>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</si>
  <si>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</si>
  <si>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</si>
  <si>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</si>
  <si>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</si>
  <si>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</si>
  <si>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</si>
  <si>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</si>
  <si>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</si>
  <si>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</si>
  <si>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</si>
  <si>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</si>
  <si>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</si>
  <si>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La Paz, Bolivia</t>
  </si>
  <si>
    <t>Frigorifico Cooperativo Los Andes</t>
  </si>
  <si>
    <t>Curtiss C-46D-15-CU</t>
  </si>
  <si>
    <t>CB-43</t>
  </si>
  <si>
    <t>Crashed shortly after takeoff from La Paz-El Alto Airport.</t>
  </si>
  <si>
    <t>Cerro Blanco, Mexico</t>
  </si>
  <si>
    <t>Aero Transportes</t>
  </si>
  <si>
    <t>Mexico City - MinatitlÃ¡n - Villahermosa</t>
  </si>
  <si>
    <t>XA-GOR</t>
  </si>
  <si>
    <t>14007/25452</t>
  </si>
  <si>
    <t>While en route, the aircraft hit the slope of the Cerro Blanco.</t>
  </si>
  <si>
    <t>North Atlantic</t>
  </si>
  <si>
    <t>Azores - Westover AFB</t>
  </si>
  <si>
    <t>Boeing C-97A Stratofreighter</t>
  </si>
  <si>
    <t>49-2602</t>
  </si>
  <si>
    <t>Went missing en route. No trace of the aircraft was ever found.</t>
  </si>
  <si>
    <t>East Griqualand, South Africa</t>
  </si>
  <si>
    <t>Port Elizabeth - Durbin</t>
  </si>
  <si>
    <t>ZS-AVJ</t>
  </si>
  <si>
    <t>While en route in clouds, the airplane crashed on Mt Ingeli  about 17 km southeast of Kokstad.</t>
  </si>
  <si>
    <t>Mt. Benson, BC, Canada</t>
  </si>
  <si>
    <t>Kildala - Vancouver</t>
  </si>
  <si>
    <t>CF-FOQ</t>
  </si>
  <si>
    <t>While flying VFR in adverse weather conditions, the pilot mistook Nanaimo for Vancouver.  The plane crashed into Mt. Benson, 20 miles west of Vancouver.</t>
  </si>
  <si>
    <t>Skopje, Yugoslavia</t>
  </si>
  <si>
    <t>Belgrad - Skopje</t>
  </si>
  <si>
    <t>YU-ACC</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</si>
  <si>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</si>
  <si>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</si>
  <si>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</si>
  <si>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</si>
  <si>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</si>
  <si>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</si>
  <si>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</si>
  <si>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</si>
  <si>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</si>
  <si>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</si>
  <si>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</si>
  <si>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</si>
  <si>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</si>
  <si>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</si>
  <si>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While cruising in marginal weather conditions, the aircraft hit the slope of Mt. Dore, about 32 km southwest of Clermont-Ferrand.Flew into Mt. Dore.</t>
  </si>
  <si>
    <t>Near Lodz, Poland</t>
  </si>
  <si>
    <t>Lodz - Krakow</t>
  </si>
  <si>
    <t>Lisunov Li-2P</t>
  </si>
  <si>
    <t>SP-KLA</t>
  </si>
  <si>
    <t xml:space="preserve">	18438505</t>
  </si>
  <si>
    <t>Shortly after taking off the aircraft flew into high voltage cable and crashed.</t>
  </si>
  <si>
    <t>CCCP-L1775</t>
  </si>
  <si>
    <t>The plane crashed shortly after taking off due to icing.</t>
  </si>
  <si>
    <t>Devlet Hava Yollari</t>
  </si>
  <si>
    <t>Ankara - Cairo</t>
  </si>
  <si>
    <t>TC-ACA</t>
  </si>
  <si>
    <t>Crashed into a sand dune while attempting to land in poor weather condtions.</t>
  </si>
  <si>
    <t>Nagpur - Calcutta</t>
  </si>
  <si>
    <t>VT-AUO</t>
  </si>
  <si>
    <t>The aircraft struck trees in fog during a missed approach 3 miles north of Dum Dum airport as the crew descended too low in poor visibility.</t>
  </si>
  <si>
    <t>Zurich, Switzerland</t>
  </si>
  <si>
    <t>El Al</t>
  </si>
  <si>
    <t>Tel Aviv - Rome - Zurich - Amsterdam</t>
  </si>
  <si>
    <t>4X-AND</t>
  </si>
  <si>
    <t>The cargo plane crashed on approach when flying too low in poor visibility</t>
  </si>
  <si>
    <t>San Luis Acatlan, Mexico</t>
  </si>
  <si>
    <t>Lineas Aereas Unidas</t>
  </si>
  <si>
    <t>San Luis AcatlÃ¡n - Acapulco</t>
  </si>
  <si>
    <t>DC-2-243</t>
  </si>
  <si>
    <t>XA-DOQ</t>
  </si>
  <si>
    <t>Shortly after taking and while in an initial climb, the plane hit an obstacle and crashed.</t>
  </si>
  <si>
    <t>N17109</t>
  </si>
  <si>
    <t>Stalled, entered a spin and crashed. An inadvertent spin at an altitude too low for recovery.</t>
  </si>
  <si>
    <t>Yaramunda, Papua, New Guinea</t>
  </si>
  <si>
    <t>Mount Hagen - Madang</t>
  </si>
  <si>
    <t>VH-UR</t>
  </si>
  <si>
    <t>While flying in a narrow valley, the pilot elected to gain height when the aircraft hit trees and crashed in flames. Pilot error.</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</si>
  <si>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</si>
  <si>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</si>
  <si>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</si>
  <si>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</si>
  <si>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</si>
  <si>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Cairo - Baghdad - Tehran</t>
  </si>
  <si>
    <t>SNCASE Languedoc</t>
  </si>
  <si>
    <t>SU-AHH</t>
  </si>
  <si>
    <t>Crashed at Mehrabad airport during a third landing attempt. The pilot attempted to land despite warnings of poor visibility and snow.</t>
  </si>
  <si>
    <t>Near Namtso, Russia</t>
  </si>
  <si>
    <t>Yakutsk - Vilyuisk</t>
  </si>
  <si>
    <t>L4228</t>
  </si>
  <si>
    <t>Crashed after running out of fuel. Fuel starvaion. Crew switched to the wrong fuel tank.</t>
  </si>
  <si>
    <t>Curtiss C-46A-50-CU</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</si>
  <si>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</si>
  <si>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</si>
  <si>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</si>
  <si>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</si>
  <si>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</si>
  <si>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</si>
  <si>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</si>
  <si>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</si>
  <si>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</si>
  <si>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</si>
  <si>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Kalinga Airlines</t>
  </si>
  <si>
    <t>VT-COA</t>
  </si>
  <si>
    <t>13859/25304</t>
  </si>
  <si>
    <t>The cargo plane crashed on takeoff after hitting trees.</t>
  </si>
  <si>
    <t>Andapa, Madagascar</t>
  </si>
  <si>
    <t>F-BAMQ</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</si>
  <si>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</si>
  <si>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</si>
  <si>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</si>
  <si>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</si>
  <si>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</si>
  <si>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</si>
  <si>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</si>
  <si>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</si>
  <si>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</si>
  <si>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</si>
  <si>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</si>
  <si>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</si>
  <si>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</si>
  <si>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</si>
  <si>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</si>
  <si>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</si>
  <si>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</si>
  <si>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</si>
  <si>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</si>
  <si>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</si>
  <si>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</si>
  <si>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</si>
  <si>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</si>
  <si>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</si>
  <si>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</si>
  <si>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</si>
  <si>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</si>
  <si>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</si>
  <si>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</si>
  <si>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Nagpur, India</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</si>
  <si>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</si>
  <si>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</si>
  <si>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</si>
  <si>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</si>
  <si>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</si>
  <si>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F-BEFX</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</si>
  <si>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</si>
  <si>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</si>
  <si>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</si>
  <si>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</si>
  <si>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</si>
  <si>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</si>
  <si>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</si>
  <si>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</si>
  <si>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</si>
  <si>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</si>
  <si>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</si>
  <si>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</si>
  <si>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</si>
  <si>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</si>
  <si>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</si>
  <si>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</si>
  <si>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</si>
  <si>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</si>
  <si>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</si>
  <si>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</si>
  <si>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</si>
  <si>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</si>
  <si>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</si>
  <si>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</si>
  <si>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</si>
  <si>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</si>
  <si>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Near Gao, French West Africa</t>
  </si>
  <si>
    <t>SociÃ©tÃ© AÃ©rienne de Tr. Tropicaux</t>
  </si>
  <si>
    <t>Gao, FWA - Nice, France</t>
  </si>
  <si>
    <t>F-ARTE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</si>
  <si>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</si>
  <si>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</si>
  <si>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</si>
  <si>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</si>
  <si>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</si>
  <si>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</si>
  <si>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</si>
  <si>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</si>
  <si>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</si>
  <si>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Crashed during takeoff. The plane hit an unidentified obstruction on the runway and the wheels collapsed.</t>
  </si>
  <si>
    <t>US Airlines</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</si>
  <si>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</si>
  <si>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</si>
  <si>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</si>
  <si>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</si>
  <si>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</si>
  <si>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</si>
  <si>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</si>
  <si>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</si>
  <si>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</si>
  <si>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</si>
  <si>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carrying a load of tea,  crashed while taking off after losing an engine and attempting an emergency landing.</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</si>
  <si>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</si>
  <si>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</si>
  <si>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</si>
  <si>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</si>
  <si>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</si>
  <si>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</si>
  <si>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</si>
  <si>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</si>
  <si>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</si>
  <si>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</si>
  <si>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</si>
  <si>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</si>
  <si>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</si>
  <si>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</si>
  <si>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</si>
  <si>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</si>
  <si>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</si>
  <si>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</si>
  <si>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</si>
  <si>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</si>
  <si>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</si>
  <si>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</si>
  <si>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</si>
  <si>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</si>
  <si>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</si>
  <si>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</si>
  <si>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</si>
  <si>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</si>
  <si>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</si>
  <si>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</si>
  <si>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</si>
  <si>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</si>
  <si>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</si>
  <si>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</si>
  <si>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</si>
  <si>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</si>
  <si>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</si>
  <si>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</si>
  <si>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</si>
  <si>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</si>
  <si>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</si>
  <si>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</si>
  <si>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Baltic Sea</t>
  </si>
  <si>
    <t>Swedish Air Force</t>
  </si>
  <si>
    <t>Radio surveillance mission</t>
  </si>
  <si>
    <t>Shot down by  a Mig-15 Russian Air Force fighter over the Baltic Sea in international waters while on a radio surveillance mission. Wreckage found 06/17/2003, recovered 03/19/2004.</t>
  </si>
  <si>
    <t>Near Brighton, East Sussex, England</t>
  </si>
  <si>
    <t>Morton Air Services</t>
  </si>
  <si>
    <t>Croydon - Le Mans</t>
  </si>
  <si>
    <t>Airspeed AS-65 Consul</t>
  </si>
  <si>
    <t>G-AHFT</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</si>
  <si>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</si>
  <si>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</si>
  <si>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</si>
  <si>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</si>
  <si>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</si>
  <si>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</si>
  <si>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</si>
  <si>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</si>
  <si>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</si>
  <si>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</si>
  <si>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</si>
  <si>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</si>
  <si>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</si>
  <si>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</si>
  <si>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Off Rio de Janeiro, Brazil</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</si>
  <si>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</si>
  <si>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</si>
  <si>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</si>
  <si>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</si>
  <si>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</si>
  <si>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</si>
  <si>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</si>
  <si>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</si>
  <si>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</si>
  <si>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</si>
  <si>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</si>
  <si>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</si>
  <si>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</si>
  <si>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</si>
  <si>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</si>
  <si>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</si>
  <si>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</si>
  <si>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Military - Pakistan Air Force</t>
  </si>
  <si>
    <t>Khewra - Peshawar</t>
  </si>
  <si>
    <t>Bristol 170 Freighter</t>
  </si>
  <si>
    <t>G783</t>
  </si>
  <si>
    <t>Crashed shortly after taking off from Khewra. Possible engine failure.</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</si>
  <si>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</si>
  <si>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</si>
  <si>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</si>
  <si>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</si>
  <si>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</si>
  <si>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</si>
  <si>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</si>
  <si>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</si>
  <si>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</si>
  <si>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</si>
  <si>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</si>
  <si>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</si>
  <si>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</si>
  <si>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</si>
  <si>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Skvoritsy, Russia</t>
  </si>
  <si>
    <t>Minsk - Leningrad</t>
  </si>
  <si>
    <t>L1328</t>
  </si>
  <si>
    <t>Midair collision with a TC-62 aircraft. ATC error.</t>
  </si>
  <si>
    <t>Off Tarbat Ness, Scotland</t>
  </si>
  <si>
    <t>VP286</t>
  </si>
  <si>
    <t>Was on air-sea practice when it crashed near Tarbat Ness.</t>
  </si>
  <si>
    <t>San Fransisco do Paula, Brazil</t>
  </si>
  <si>
    <t>Aero Brasil</t>
  </si>
  <si>
    <t>PP-AXJ</t>
  </si>
  <si>
    <t>After being cleared to land the aircraft struck high ground and burst int flames. Navigational error in not knowing where the aircraft was located. Poor weather.</t>
  </si>
  <si>
    <t>Off Kangnung, South Korea</t>
  </si>
  <si>
    <t>44-77538</t>
  </si>
  <si>
    <t>The aircraft crashed into the Sea of Japan while en route. No signs of the wreckage were ever found and only two bodies were recovered when they washed ashore.</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</si>
  <si>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</si>
  <si>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</si>
  <si>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</si>
  <si>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</si>
  <si>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</si>
  <si>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</si>
  <si>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</si>
  <si>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</si>
  <si>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</si>
  <si>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</si>
  <si>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</si>
  <si>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</si>
  <si>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</si>
  <si>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Near Seoul, South Korea</t>
  </si>
  <si>
    <t>51-2551A</t>
  </si>
  <si>
    <t>Struck a mountain at an elevation of 2,000 ft. as it prepared to land at U.S. military base K-16. The mountains were obscured by low clouds.</t>
  </si>
  <si>
    <t>Near Anchorage, Alaska</t>
  </si>
  <si>
    <t>Elemndorf AFB - Kodiak NAS</t>
  </si>
  <si>
    <t>51-2570</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</si>
  <si>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</si>
  <si>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</si>
  <si>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</si>
  <si>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</si>
  <si>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</si>
  <si>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</si>
  <si>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</si>
  <si>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Bound for Elmendorf Air Force Base, the aircraft struck the south slope of Mount Gannett. The plane drifted off course due to high winds. Wreckage found in 06/26/2012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</si>
  <si>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</si>
  <si>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</si>
  <si>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</si>
  <si>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</si>
  <si>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</si>
  <si>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</si>
  <si>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</si>
  <si>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</si>
  <si>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</si>
  <si>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</si>
  <si>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</si>
  <si>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</si>
  <si>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</si>
  <si>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</si>
  <si>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</si>
  <si>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Disappeared over the Atlantic. Never found.</t>
  </si>
  <si>
    <t>Damascus, Syria</t>
  </si>
  <si>
    <t>Syrian Air</t>
  </si>
  <si>
    <t>Off Caracas, Venezuela</t>
  </si>
  <si>
    <t>YV-C-AVX</t>
  </si>
  <si>
    <t>Lost altitude and ditched near shore after taking off.</t>
  </si>
  <si>
    <t>Abadan - Tehran</t>
  </si>
  <si>
    <t>EP-ACJ</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</si>
  <si>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</si>
  <si>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</si>
  <si>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</si>
  <si>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</si>
  <si>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</si>
  <si>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</si>
  <si>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</si>
  <si>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</si>
  <si>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</si>
  <si>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</si>
  <si>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</si>
  <si>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</si>
  <si>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</si>
  <si>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</si>
  <si>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</si>
  <si>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</si>
  <si>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</si>
  <si>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</si>
  <si>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</si>
  <si>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</si>
  <si>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</si>
  <si>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</si>
  <si>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</si>
  <si>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</si>
  <si>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</si>
  <si>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Sinnai, Sardinia, Italy</t>
  </si>
  <si>
    <t>I-LAIL</t>
  </si>
  <si>
    <t>Crashed 10 miles east of Cagliari in the Sinnai mountains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</si>
  <si>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</si>
  <si>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</si>
  <si>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</si>
  <si>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</si>
  <si>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</si>
  <si>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</si>
  <si>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</si>
  <si>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</si>
  <si>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</si>
  <si>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</si>
  <si>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</si>
  <si>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</si>
  <si>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</si>
  <si>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</si>
  <si>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</si>
  <si>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</si>
  <si>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</si>
  <si>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</si>
  <si>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</si>
  <si>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</si>
  <si>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</si>
  <si>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</si>
  <si>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</si>
  <si>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</si>
  <si>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</si>
  <si>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</si>
  <si>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</si>
  <si>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</si>
  <si>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</si>
  <si>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</si>
  <si>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</si>
  <si>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</si>
  <si>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</si>
  <si>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</si>
  <si>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</si>
  <si>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</si>
  <si>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</si>
  <si>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</si>
  <si>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</si>
  <si>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Crashed into a mountain while en route in severe weather. The pilot descended in poor visibility in order to find his position.</t>
  </si>
  <si>
    <t>Off Da Nang, Vietnam</t>
  </si>
  <si>
    <t>Hue - Da Nang</t>
  </si>
  <si>
    <t>F-BEFG</t>
  </si>
  <si>
    <t>Crashed into the sea in poor weather conditions.</t>
  </si>
  <si>
    <t>Random Island, Newfoundland</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</si>
  <si>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</si>
  <si>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</si>
  <si>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</si>
  <si>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</si>
  <si>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Alvarado, California</t>
  </si>
  <si>
    <t>Roswell - Oakland - Guam</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</si>
  <si>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</si>
  <si>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</si>
  <si>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</si>
  <si>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</si>
  <si>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</si>
  <si>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</si>
  <si>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</si>
  <si>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</si>
  <si>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</si>
  <si>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</si>
  <si>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</si>
  <si>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</si>
  <si>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</si>
  <si>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</si>
  <si>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</si>
  <si>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</si>
  <si>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</si>
  <si>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</si>
  <si>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</si>
  <si>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</si>
  <si>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</si>
  <si>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</si>
  <si>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Miandrivazo - Antananarivo</t>
  </si>
  <si>
    <t>Junkers JU-5/-3m</t>
  </si>
  <si>
    <t>F-BALE</t>
  </si>
  <si>
    <t>The cargo plane crashed on take off after experiencing duel engine failure.</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</si>
  <si>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</si>
  <si>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</si>
  <si>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</si>
  <si>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</si>
  <si>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</si>
  <si>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</si>
  <si>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</si>
  <si>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</si>
  <si>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</si>
  <si>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NW of Hanoi, Vietnam</t>
  </si>
  <si>
    <t>Hanoi - Na San</t>
  </si>
  <si>
    <t>F-BESS</t>
  </si>
  <si>
    <t>Crashed after takeoff due to wing failure.</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</si>
  <si>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</si>
  <si>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</si>
  <si>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</si>
  <si>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</si>
  <si>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</si>
  <si>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</si>
  <si>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</si>
  <si>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</si>
  <si>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</si>
  <si>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</si>
  <si>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</si>
  <si>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</si>
  <si>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Crashed into the sea. Unknown cause.</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</si>
  <si>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</si>
  <si>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</si>
  <si>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</si>
  <si>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</si>
  <si>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</si>
  <si>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</si>
  <si>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</si>
  <si>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</si>
  <si>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</si>
  <si>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</si>
  <si>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</si>
  <si>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</si>
  <si>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Teterboro - Saint Louis</t>
  </si>
  <si>
    <t>N53596</t>
  </si>
  <si>
    <t>Mismanagement of fuel resulting in loss of power and control while circling the field preparatory to an approach for landing.</t>
  </si>
  <si>
    <t>Convair CV-240-4</t>
  </si>
  <si>
    <t>PH-TEI</t>
  </si>
  <si>
    <t>While taking off the plane reached a height of about  50 ft. after which flaps were retracted. The plane began to lose height and crash landed into a meadow. While no one on the plane died, two girls on a bicycle path were killed.</t>
  </si>
  <si>
    <t>Goose Wade, Russia</t>
  </si>
  <si>
    <t>Krasnoyarsk - Novosibirsk</t>
  </si>
  <si>
    <t>Li-2 / Li-2T</t>
  </si>
  <si>
    <t>CCCP-L4534</t>
  </si>
  <si>
    <t>Midair collision. Crew did not follow the prescribed route. Inadequate preparation for flight. Tweny killed on the Li-2 and seven crew on the Li-2T</t>
  </si>
  <si>
    <t>Near  Zugdidi, Georgia</t>
  </si>
  <si>
    <t>Krasnodar - Tbilisi</t>
  </si>
  <si>
    <t>Ilyushin IL-2</t>
  </si>
  <si>
    <t>CCCP-L1375</t>
  </si>
  <si>
    <t>Crashed after being struck by lightning. Poor planning by the crew in entering an area of deteriorating weather conditions.</t>
  </si>
  <si>
    <t>Near Reo Copiapo, Chile</t>
  </si>
  <si>
    <t>LAN Chile</t>
  </si>
  <si>
    <t>CopiapÃ³ - Santiago</t>
  </si>
  <si>
    <t>CC-CLD-0100</t>
  </si>
  <si>
    <t>Crashed after taking off.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</si>
  <si>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</si>
  <si>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</si>
  <si>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</si>
  <si>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</si>
  <si>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</si>
  <si>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</si>
  <si>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</si>
  <si>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</si>
  <si>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</si>
  <si>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Crashed after on-board fire.  Possibly shot down.</t>
  </si>
  <si>
    <t>London - Bueno Aires</t>
  </si>
  <si>
    <t>PP-PDA</t>
  </si>
  <si>
    <t>Crashed while on final approach to Sao Paulo. Error of judgement by the crew during poor visibility at night.</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</si>
  <si>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</si>
  <si>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</si>
  <si>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</si>
  <si>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</si>
  <si>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</si>
  <si>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Pacific 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</si>
  <si>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</si>
  <si>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</si>
  <si>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</si>
  <si>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</si>
  <si>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</si>
  <si>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</si>
  <si>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</si>
  <si>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</si>
  <si>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</si>
  <si>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Near Kanggye, North Korea</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</si>
  <si>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</si>
  <si>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</si>
  <si>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</si>
  <si>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</si>
  <si>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</si>
  <si>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</si>
  <si>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</si>
  <si>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Karachi - Jeddah</t>
  </si>
  <si>
    <t>AP-AAD</t>
  </si>
  <si>
    <t>Shortly after taking off, the aircraft entered a turn and crashed to the ground. The failure of the captain to supervise the first officer in flying the plane who was not able to fly on instruments in the dark.</t>
  </si>
  <si>
    <t>Off Irish coast</t>
  </si>
  <si>
    <t xml:space="preserve"> Travis - Lakenheath</t>
  </si>
  <si>
    <t>52-1369</t>
  </si>
  <si>
    <t>Crashed into the Atlantic Ocean after two of itâ€™s engines caught fire, 500 miles off the Irish coast.</t>
  </si>
  <si>
    <t>Aerovias Contreras</t>
  </si>
  <si>
    <t>XA-GOT</t>
  </si>
  <si>
    <t>The cargo plane flew into a mountain east of San Diego.</t>
  </si>
  <si>
    <t>Near Barcelonnette, France</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</si>
  <si>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</si>
  <si>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</si>
  <si>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</si>
  <si>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</si>
  <si>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Fort Ord - McChord</t>
  </si>
  <si>
    <t>N19941</t>
  </si>
  <si>
    <t>Crashed on the fringe of the Cascade mountains,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</si>
  <si>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</si>
  <si>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</si>
  <si>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</si>
  <si>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</si>
  <si>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</si>
  <si>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</si>
  <si>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</si>
  <si>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</si>
  <si>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</si>
  <si>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The cargo plane struck a tower in fog while attempting to land. Too low approach.</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</si>
  <si>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</si>
  <si>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</si>
  <si>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</si>
  <si>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</si>
  <si>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</si>
  <si>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</si>
  <si>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Crashed to the ground after an engine fire during takeoff. As the plane returned, it stalled and crashed.</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</si>
  <si>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</si>
  <si>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</si>
  <si>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</si>
  <si>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</si>
  <si>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</si>
  <si>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Salzburg - Frankfurt - Brussels</t>
  </si>
  <si>
    <t>Convair CV-240-12</t>
  </si>
  <si>
    <t>OO-AWQ</t>
  </si>
  <si>
    <t>Crashed while attempting to take off. Loss of engine power on takeoff. The loss of power may possibly be attributed to the heavy deposit of lead on the spark plugs.</t>
  </si>
  <si>
    <t>Compagnie Sila</t>
  </si>
  <si>
    <t>F-VNAE</t>
  </si>
  <si>
    <t>The cargo plane crashed under unknown circumstances.</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</si>
  <si>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</si>
  <si>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</si>
  <si>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</si>
  <si>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Near Monterrey, Mexico</t>
  </si>
  <si>
    <t>Monterrey - Falcon Dam</t>
  </si>
  <si>
    <t>Douglas C-46A-CU ( DC-3)</t>
  </si>
  <si>
    <t>Crashed into a ravine while carring reporters and officials to the inauguration of Falcon Dam.</t>
  </si>
  <si>
    <t>Near Magadan, Russia</t>
  </si>
  <si>
    <t>Magadan - Okhotsk - Nikolayevsk-on-Amur - Khabarovsk</t>
  </si>
  <si>
    <t>L1765</t>
  </si>
  <si>
    <t>Stalled and crashed 6 km from the airport. Overloaded. Snow not removed from the wings. Icing.</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</si>
  <si>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</si>
  <si>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</si>
  <si>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</si>
  <si>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</si>
  <si>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</si>
  <si>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</si>
  <si>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</si>
  <si>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</si>
  <si>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</si>
  <si>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</si>
  <si>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</si>
  <si>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Tarabuco, Bolivia</t>
  </si>
  <si>
    <t>Camiri - Sucre</t>
  </si>
  <si>
    <t>CP-600</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</si>
  <si>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</si>
  <si>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</si>
  <si>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</si>
  <si>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</si>
  <si>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</si>
  <si>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</si>
  <si>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</si>
  <si>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</si>
  <si>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</si>
  <si>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</si>
  <si>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</si>
  <si>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</si>
  <si>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</si>
  <si>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</si>
  <si>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 xml:space="preserve">	Tecpan Mt., Guatemala</t>
  </si>
  <si>
    <t>Aviateca</t>
  </si>
  <si>
    <t>Brownsville - Guatemala City</t>
  </si>
  <si>
    <t>TG-AQA</t>
  </si>
  <si>
    <t>The cargo plane with a load of citrus fruit flew into a 8,000 ft. mountain.</t>
  </si>
  <si>
    <t>Near Cairo, Egypt</t>
  </si>
  <si>
    <t>Misair</t>
  </si>
  <si>
    <t>Cairo - Luxor</t>
  </si>
  <si>
    <t>VC-Viking</t>
  </si>
  <si>
    <t>SU-AFK</t>
  </si>
  <si>
    <t>Crashed on takeoff from Cairo-Almaza Airport.</t>
  </si>
  <si>
    <t>Guam, Mariana Islands</t>
  </si>
  <si>
    <t>44-87741</t>
  </si>
  <si>
    <t>The aircraft crashed into an officer's housing area after attemping to make an emergency landing with an engine out,at Anderson Air Force Base on Guam.</t>
  </si>
  <si>
    <t>Brussels - Zurich</t>
  </si>
  <si>
    <t>Convair CV-240</t>
  </si>
  <si>
    <t>OO-AWO</t>
  </si>
  <si>
    <t>Descended below the glide path in poor weather and darkness and crashed 1.5 miles short of the runway. Poor approach procedures performed by the pilot.</t>
  </si>
  <si>
    <t>Dah-el-Kadeeb, Syria</t>
  </si>
  <si>
    <t>Syrian Airways</t>
  </si>
  <si>
    <t>YK-AAF</t>
  </si>
  <si>
    <t>TDB</t>
  </si>
  <si>
    <t>Herat, Afghanistan</t>
  </si>
  <si>
    <t>Ariana Afghan Airlines</t>
  </si>
  <si>
    <t>Two Russian trade delegates were killed when the plane crashed near Herat in a showstorm.</t>
  </si>
  <si>
    <t>Lapseki, Turkey</t>
  </si>
  <si>
    <t>Istanbull - Bandirma - Canakkal7</t>
  </si>
  <si>
    <t>TC-BAG</t>
  </si>
  <si>
    <t>Flew into a mountain near Lapseki.</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</si>
  <si>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</si>
  <si>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</si>
  <si>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</si>
  <si>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</si>
  <si>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</si>
  <si>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</si>
  <si>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</si>
  <si>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</si>
  <si>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One of two accidents with the same cause. The aircraft was nicknamed "Yoke Peter."</t>
  </si>
  <si>
    <t>Manizales, Colombia</t>
  </si>
  <si>
    <t>Medellin  - Armenia</t>
  </si>
  <si>
    <t>HK-160</t>
  </si>
  <si>
    <t>While descending to Manizales by night and poor weather conditions, the aircraft collided with a mountain shrouded by clouds and disintegrated on impact.</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</si>
  <si>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</si>
  <si>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</si>
  <si>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</si>
  <si>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</si>
  <si>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</si>
  <si>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Signal Hill, California</t>
  </si>
  <si>
    <t>Williams AFB  - Long Beach</t>
  </si>
  <si>
    <t>F-88 Sabre Jet</t>
  </si>
  <si>
    <t>The jet fighter crashed into homes killing 6 people and destroying 3 homes while attempting to land at Long Beach Airport..</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</si>
  <si>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</si>
  <si>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</si>
  <si>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</si>
  <si>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</si>
  <si>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</si>
  <si>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</si>
  <si>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</si>
  <si>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</si>
  <si>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</si>
  <si>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</si>
  <si>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</si>
  <si>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</si>
  <si>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</si>
  <si>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</si>
  <si>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</si>
  <si>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</si>
  <si>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</si>
  <si>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</si>
  <si>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</si>
  <si>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</si>
  <si>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</si>
  <si>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The test flight crashed after attempting to determine the cause of a crash at Nagpur on 12/12/1953.</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</si>
  <si>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</si>
  <si>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</si>
  <si>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</si>
  <si>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</si>
  <si>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</si>
  <si>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</si>
  <si>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</si>
  <si>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</si>
  <si>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Dien Bien Phu, South Vietnam</t>
  </si>
  <si>
    <t>C-46</t>
  </si>
  <si>
    <t>Shot down.</t>
  </si>
  <si>
    <t>Kallang Airport, Singapore</t>
  </si>
  <si>
    <t>Australia - London</t>
  </si>
  <si>
    <t>Lockheed 749A-79-33 Constellation</t>
  </si>
  <si>
    <t>G-ALAM</t>
  </si>
  <si>
    <t>Crashed short of the runway, hit a wall, overturned and caught fire. Improper procedures used in landing.  Pilot fatigue.</t>
  </si>
  <si>
    <t>Off Mackay, Australia</t>
  </si>
  <si>
    <t>Mackay - Rockhampton</t>
  </si>
  <si>
    <t>VH-BBV</t>
  </si>
  <si>
    <t>One minute after taking off, the cargo plane crashed into the sea off Mackay.</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</si>
  <si>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</si>
  <si>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</si>
  <si>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</si>
  <si>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</si>
  <si>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</si>
  <si>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</si>
  <si>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</si>
  <si>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</si>
  <si>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</si>
  <si>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Crashed and burned on Friar's Peak in the Salinas mountains after being waved off for landing due to a dust storm.</t>
  </si>
  <si>
    <t>Kabassaak, Turkey</t>
  </si>
  <si>
    <t>Adana - Istanbul</t>
  </si>
  <si>
    <t>TC-ARK</t>
  </si>
  <si>
    <t>Exploded in midair about 25 miles from Adana, 15 minutes after takeoff from Adana.</t>
  </si>
  <si>
    <t>Hanoi, Vietnam</t>
  </si>
  <si>
    <t>Autrex</t>
  </si>
  <si>
    <t>F-BFGQ</t>
  </si>
  <si>
    <t>The cargo plane crashed into the Red River while on final approach.</t>
  </si>
  <si>
    <t>Off Stromboli, Italy</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</si>
  <si>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</si>
  <si>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</si>
  <si>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</si>
  <si>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</si>
  <si>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</si>
  <si>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</si>
  <si>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</si>
  <si>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</si>
  <si>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</si>
  <si>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Xieng Kouang, Laos</t>
  </si>
  <si>
    <t>Societe Indochinoise de Raviteillement</t>
  </si>
  <si>
    <t>F-OALK</t>
  </si>
  <si>
    <t>Stalled and crashed and burned during takeoff.</t>
  </si>
  <si>
    <t>Batuco, Chile</t>
  </si>
  <si>
    <t>LAN</t>
  </si>
  <si>
    <t>Santiago - Iquique</t>
  </si>
  <si>
    <t>Shortly after taking off and climbing the plane crashed near Lake Batuco.</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</si>
  <si>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</si>
  <si>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</si>
  <si>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</si>
  <si>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</si>
  <si>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</si>
  <si>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</si>
  <si>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</si>
  <si>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</si>
  <si>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</si>
  <si>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</si>
  <si>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</si>
  <si>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</si>
  <si>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</si>
  <si>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</si>
  <si>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</si>
  <si>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</si>
  <si>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</si>
  <si>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The aircraft deviated from its normal course by 30 miles and struck the slope of Mt CipÃ³a.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</si>
  <si>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</si>
  <si>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</si>
  <si>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</si>
  <si>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</si>
  <si>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</si>
  <si>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</si>
  <si>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Da Nang, Vietnam</t>
  </si>
  <si>
    <t>Soc. de Tr. AÃ©riens d'ExtrÃªme Orient</t>
  </si>
  <si>
    <t>Tourane - Saigon</t>
  </si>
  <si>
    <t>F-BCCL</t>
  </si>
  <si>
    <t>Crashed en route under unknown circumstances..</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</si>
  <si>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</si>
  <si>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</si>
  <si>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</si>
  <si>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</si>
  <si>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</si>
  <si>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</si>
  <si>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</si>
  <si>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</si>
  <si>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</si>
  <si>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</si>
  <si>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</si>
  <si>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</si>
  <si>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</si>
  <si>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</si>
  <si>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</si>
  <si>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</si>
  <si>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The cargo plane 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</si>
  <si>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</si>
  <si>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</si>
  <si>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</si>
  <si>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</si>
  <si>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</si>
  <si>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</si>
  <si>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</si>
  <si>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</si>
  <si>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The cargo plane crashed en route.</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</si>
  <si>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</si>
  <si>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</si>
  <si>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</si>
  <si>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</si>
  <si>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</si>
  <si>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</si>
  <si>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</si>
  <si>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</si>
  <si>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</si>
  <si>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</si>
  <si>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</si>
  <si>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</si>
  <si>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</si>
  <si>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</si>
  <si>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Crashed into the North Sea in rain showers and heavy seas. Cause not determined.</t>
  </si>
  <si>
    <t>Sakhalin Oblast, Russia</t>
  </si>
  <si>
    <t>Khabarovsk - Yuzhno-Sakhalinsk</t>
  </si>
  <si>
    <t>CCCP-L4679</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</si>
  <si>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</si>
  <si>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</si>
  <si>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</si>
  <si>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</si>
  <si>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</si>
  <si>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</si>
  <si>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</si>
  <si>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</si>
  <si>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</si>
  <si>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</si>
  <si>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</si>
  <si>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</si>
  <si>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</si>
  <si>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Stalled and crashed during a test flight.</t>
  </si>
  <si>
    <t xml:space="preserve"> Novosibirsk, Russia</t>
  </si>
  <si>
    <t>CCCP-L1365</t>
  </si>
  <si>
    <t xml:space="preserve"> 30 086</t>
  </si>
  <si>
    <t>Crashed in fog while attempting to land. Crew error, landing in conditions below minimums.</t>
  </si>
  <si>
    <t>Near Nice, Italy</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</si>
  <si>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</si>
  <si>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</si>
  <si>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</si>
  <si>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 xml:space="preserve"> Krasnoyarsk Territory, Russia</t>
  </si>
  <si>
    <t>Ilyushin IL -12</t>
  </si>
  <si>
    <t xml:space="preserve"> CCCP-L1789</t>
  </si>
  <si>
    <t>Hit the east slope of Mt Sivukha  located 30 km from the Mana River in strong winds while en route. Crew error.</t>
  </si>
  <si>
    <t>Off Ocean City, Maryland</t>
  </si>
  <si>
    <t>Patuxent River NAS - Kenitra, Morocco</t>
  </si>
  <si>
    <t>Lockheed R7V-1</t>
  </si>
  <si>
    <t>The aircraft disappeared approximately 300 miles east of Ocean City, Maryland and no trace of the wreckage or bodies was ever found.</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</si>
  <si>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</si>
  <si>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</si>
  <si>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</si>
  <si>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</si>
  <si>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</si>
  <si>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</si>
  <si>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</si>
  <si>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</si>
  <si>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</si>
  <si>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</si>
  <si>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</si>
  <si>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</si>
  <si>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Boston - Concord - Laconia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</si>
  <si>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</si>
  <si>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</si>
  <si>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</si>
  <si>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</si>
  <si>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</si>
  <si>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</si>
  <si>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in the jungle about 30 km north of Luang Prabang on the company's first commercial flight.</t>
  </si>
  <si>
    <t>Bratislava, Slovakia</t>
  </si>
  <si>
    <t>CeskoslovenskÃ©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</si>
  <si>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</si>
  <si>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</si>
  <si>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</si>
  <si>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</si>
  <si>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</si>
  <si>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</si>
  <si>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</si>
  <si>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</si>
  <si>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</si>
  <si>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</si>
  <si>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The cargo plane crashed into a mountain while en route.</t>
  </si>
  <si>
    <t>Johnson Flying Service</t>
  </si>
  <si>
    <t>4844-C</t>
  </si>
  <si>
    <t>Newark - Pittsburgh - Colorado Springs</t>
  </si>
  <si>
    <t>N24320</t>
  </si>
  <si>
    <t>Ditched into the Monongahela River after running out of fuel. Inadequate flight planning. Contributing factors were inadequate crew supervision and training.</t>
  </si>
  <si>
    <t>Prestwick, Ayrshire, Scotland</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</si>
  <si>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</si>
  <si>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</si>
  <si>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</si>
  <si>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</si>
  <si>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</si>
  <si>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</si>
  <si>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</si>
  <si>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</si>
  <si>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</si>
  <si>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</si>
  <si>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</si>
  <si>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</si>
  <si>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</si>
  <si>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</si>
  <si>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</si>
  <si>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</si>
  <si>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</si>
  <si>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</si>
  <si>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</si>
  <si>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</si>
  <si>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</si>
  <si>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</si>
  <si>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</si>
  <si>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</si>
  <si>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</si>
  <si>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</si>
  <si>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</si>
  <si>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</si>
  <si>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</si>
  <si>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</si>
  <si>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</si>
  <si>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</si>
  <si>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</si>
  <si>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</si>
  <si>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</si>
  <si>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</si>
  <si>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</si>
  <si>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</si>
  <si>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</si>
  <si>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</si>
  <si>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</si>
  <si>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</si>
  <si>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</si>
  <si>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</si>
  <si>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</si>
  <si>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</si>
  <si>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</si>
  <si>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Abruzzio Mountains, Italy</t>
  </si>
  <si>
    <t>Brussels - Rome</t>
  </si>
  <si>
    <t>OO-SDB</t>
  </si>
  <si>
    <t>43063/60</t>
  </si>
  <si>
    <t>Crashed into a mountain while on approach. Navigational error due to failure to use radio equipment.</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</si>
  <si>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</si>
  <si>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</si>
  <si>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</si>
  <si>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</si>
  <si>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</si>
  <si>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</si>
  <si>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</si>
  <si>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</si>
  <si>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</si>
  <si>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</si>
  <si>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</si>
  <si>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</si>
  <si>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de Havilland DH.104 Dove</t>
  </si>
  <si>
    <t xml:space="preserve"> LQ-XWW</t>
  </si>
  <si>
    <t>The aircraft was not able to get airborne and hit the end marker of the runway then hit the airport fence. Use of spark plugs inappropriate to the engine type. Overloaded.</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</si>
  <si>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</si>
  <si>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</si>
  <si>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</si>
  <si>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</si>
  <si>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Tampico - Mexico City</t>
  </si>
  <si>
    <t>XB-ZEH</t>
  </si>
  <si>
    <t>While cruising by night, the twin engine aircraft hit the slope of the Cerro El Sabino located near Ciudad Valles.</t>
  </si>
  <si>
    <t>Mascota, Mexico</t>
  </si>
  <si>
    <t>Puerto Vallarta - Talpa de Allende - Mascota - Guadalajara</t>
  </si>
  <si>
    <t>XA-DIK</t>
  </si>
  <si>
    <t>the airplane hit the slope of the Cerro del Cabre located about 20 km northwest of the airport.</t>
  </si>
  <si>
    <t>Trujillo, Colombia</t>
  </si>
  <si>
    <t>Condoto - Cali</t>
  </si>
  <si>
    <t>HK-328</t>
  </si>
  <si>
    <t>The cargo plane crashed with a gold and platinum shipment aboard. Wreckage found one month later.</t>
  </si>
  <si>
    <t>Springfield, Missouri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</si>
  <si>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</si>
  <si>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</si>
  <si>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</si>
  <si>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</si>
  <si>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</si>
  <si>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</si>
  <si>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</si>
  <si>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</si>
  <si>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</si>
  <si>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</si>
  <si>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</si>
  <si>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</si>
  <si>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</si>
  <si>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</si>
  <si>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</si>
  <si>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</si>
  <si>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</si>
  <si>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in the Gulf of Mexico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</si>
  <si>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</si>
  <si>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</si>
  <si>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</si>
  <si>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</si>
  <si>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</si>
  <si>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</si>
  <si>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</si>
  <si>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</si>
  <si>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</si>
  <si>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</si>
  <si>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Yaounde - Douala</t>
  </si>
  <si>
    <t>F-BGOI</t>
  </si>
  <si>
    <t>The aircraft hit the slope of Mt KoupÃ© located about 80 km north of Douala. Wreckage found after 10 months.</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</si>
  <si>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</si>
  <si>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</si>
  <si>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</si>
  <si>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</si>
  <si>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</si>
  <si>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</si>
  <si>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</si>
  <si>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Caracas - Barcelona</t>
  </si>
  <si>
    <t>YV-C-ALU</t>
  </si>
  <si>
    <t>Ditched into the sea a few km from shore.</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</si>
  <si>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</si>
  <si>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</si>
  <si>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</si>
  <si>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</si>
  <si>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</si>
  <si>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</si>
  <si>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</si>
  <si>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</si>
  <si>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</si>
  <si>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</si>
  <si>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</si>
  <si>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</si>
  <si>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</si>
  <si>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Tigres Voladores</t>
  </si>
  <si>
    <t>Leon - Mexico City</t>
  </si>
  <si>
    <t>XA-LID</t>
  </si>
  <si>
    <t>Lost an engine on takeoff and crashed into trees and caught fire.</t>
  </si>
  <si>
    <t>Oaxaca, Mexico</t>
  </si>
  <si>
    <t>Lineas Areas Unidas</t>
  </si>
  <si>
    <t>Acapulco - Oaxaca</t>
  </si>
  <si>
    <t>XA-DOB</t>
  </si>
  <si>
    <t>Crashed in a mountainous area located 39 km from the airport in the Zimathan district while en route.</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</si>
  <si>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</si>
  <si>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</si>
  <si>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</si>
  <si>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</si>
  <si>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</si>
  <si>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</si>
  <si>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</si>
  <si>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</si>
  <si>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</si>
  <si>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</si>
  <si>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</si>
  <si>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</si>
  <si>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</si>
  <si>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</si>
  <si>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</si>
  <si>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L5057</t>
  </si>
  <si>
    <t>The right engine caught on fire due to a fuel leak leading to distruction of the plane in the air.</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</si>
  <si>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</si>
  <si>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</si>
  <si>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</si>
  <si>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</si>
  <si>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</si>
  <si>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</si>
  <si>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</si>
  <si>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</si>
  <si>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</si>
  <si>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Hit Caparao Mountain while en route, 1 hour after taking off.  Failure to follow flight plan.</t>
  </si>
  <si>
    <t>Simra, Nepal</t>
  </si>
  <si>
    <t>VT-AZX</t>
  </si>
  <si>
    <t>The cargo plane lifted off too early, stalled and crashed. The pilot tried to avoid a person on the runway.</t>
  </si>
  <si>
    <t>Lanywa, Burma (Myanmar)</t>
  </si>
  <si>
    <t>Union of Burma Airways</t>
  </si>
  <si>
    <t>Meiktila - Lanywa</t>
  </si>
  <si>
    <t>XY-ACQ</t>
  </si>
  <si>
    <t>Flew into Mount Popa located about 45 km east of Lanywa.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</si>
  <si>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</si>
  <si>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</si>
  <si>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</si>
  <si>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</si>
  <si>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</si>
  <si>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</si>
  <si>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F-BDRE</t>
  </si>
  <si>
    <t>Crashed into the Cameroon mountains after the wing separated due to severe turbulence.</t>
  </si>
  <si>
    <t>Near Thorhild, Alberta, Canada</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</si>
  <si>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</si>
  <si>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</si>
  <si>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</si>
  <si>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</si>
  <si>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</si>
  <si>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Idris, Libya</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</si>
  <si>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</si>
  <si>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</si>
  <si>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</si>
  <si>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</si>
  <si>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</si>
  <si>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</si>
  <si>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</si>
  <si>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</si>
  <si>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</si>
  <si>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Shepard Bay -Yellowknife</t>
  </si>
  <si>
    <t>CF-HMV</t>
  </si>
  <si>
    <t>The cargo plane ditched into the Thoa river. The pilot radioed he was going down and was ditching into a lake.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</si>
  <si>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</si>
  <si>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</si>
  <si>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</si>
  <si>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</si>
  <si>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</si>
  <si>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</si>
  <si>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</si>
  <si>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</si>
  <si>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</si>
  <si>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</si>
  <si>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</si>
  <si>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</si>
  <si>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</si>
  <si>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</si>
  <si>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</si>
  <si>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</si>
  <si>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</si>
  <si>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</si>
  <si>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</si>
  <si>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</si>
  <si>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44-9068</t>
  </si>
  <si>
    <t>Crashed into the  peak of Mount Charleston 30 miles WNW of Las Vegas during a storm.</t>
  </si>
  <si>
    <t>Seattle, Washingon</t>
  </si>
  <si>
    <t>Peninsular</t>
  </si>
  <si>
    <t>17K</t>
  </si>
  <si>
    <t>Seattle - Newark</t>
  </si>
  <si>
    <t>N88852</t>
  </si>
  <si>
    <t>Crashed on takeoff. In-flight prop failure.  Maintenance error.  The excessively high drag resulting from the improperly indexed propeller blades and inability to feather.</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</si>
  <si>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</si>
  <si>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</si>
  <si>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</si>
  <si>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</si>
  <si>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</si>
  <si>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Near Ballico, California</t>
  </si>
  <si>
    <t>Boeing RB-52B</t>
  </si>
  <si>
    <t>52-8716</t>
  </si>
  <si>
    <t>The aircraft crashed into a wooded area in 5 degree nose-down attitude.  Abnormal nose-down trim condition which could not be corrected due to an unknown malfunction.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</si>
  <si>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</si>
  <si>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</si>
  <si>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</si>
  <si>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</si>
  <si>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Khabarovsk Territory, Russia</t>
  </si>
  <si>
    <t>Yuzhno-Sakhalinsk - Khabarovsk</t>
  </si>
  <si>
    <t>CCCP-L4993</t>
  </si>
  <si>
    <t>Flew into a mountain wave in the Sikhote-Alin Mountain Range while en route.</t>
  </si>
  <si>
    <t>Hollywood, South Carolina</t>
  </si>
  <si>
    <t>Riddle Airlines</t>
  </si>
  <si>
    <t>New York - Miami</t>
  </si>
  <si>
    <t>N9904F</t>
  </si>
  <si>
    <t>The cargo plane was carrying mail . An in-flight structural failure resulting from a violent pitch-down induced by the erratic action of nonconforming elevator tab controls.</t>
  </si>
  <si>
    <t>Cruzeiro Do Sud</t>
  </si>
  <si>
    <t>Sao Paulo - Belem</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</si>
  <si>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</si>
  <si>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</si>
  <si>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</si>
  <si>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</si>
  <si>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</si>
  <si>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</si>
  <si>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</si>
  <si>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</si>
  <si>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</si>
  <si>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</si>
  <si>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</si>
  <si>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</si>
  <si>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</si>
  <si>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</si>
  <si>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</si>
  <si>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</si>
  <si>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</si>
  <si>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After being diverted, while cruising in bad weather conditions, the aircraft hit trees and crashed in a snow covered and wooded area located in the Tatra Mountain Range.</t>
  </si>
  <si>
    <t>Lyon, France</t>
  </si>
  <si>
    <t>Nice - Marseille - Lyon - Paris</t>
  </si>
  <si>
    <t>F-BCYK</t>
  </si>
  <si>
    <t>While in heavy fog and on final approach, the airplane was too low and hit telephone lines before crashing in a field  about 2 km short of the runway.</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</si>
  <si>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</si>
  <si>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</si>
  <si>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</si>
  <si>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</si>
  <si>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</si>
  <si>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</si>
  <si>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</si>
  <si>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Crashed on a ferrying flight. Soldier-of-fortune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</si>
  <si>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</si>
  <si>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</si>
  <si>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</si>
  <si>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</si>
  <si>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Near Zurrieg, Malta</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</si>
  <si>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</si>
  <si>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</si>
  <si>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</si>
  <si>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</si>
  <si>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</si>
  <si>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</si>
  <si>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Karachi - Bahrain - Cairo - Paris</t>
  </si>
  <si>
    <t>F-BGOD</t>
  </si>
  <si>
    <t>43835/380</t>
  </si>
  <si>
    <t>The flight crashed while on approach 18 miles SE of Cairo.  Pilot's inexperience in ILS approaches.  Improper approach.  Crew error. Crew fatigue.</t>
  </si>
  <si>
    <t>Near Aleppo, Syria</t>
  </si>
  <si>
    <t>Aleppo - Damascus</t>
  </si>
  <si>
    <t>YK-AAE</t>
  </si>
  <si>
    <t>14918/2636</t>
  </si>
  <si>
    <t>Crashed shortly after taking off 15 miles from Aleppo.  Double engine failure during a thunderstorm.</t>
  </si>
  <si>
    <t>Jalkot, Pakistan</t>
  </si>
  <si>
    <t>Pakistan International Airlines</t>
  </si>
  <si>
    <t>Gilgit  - Islamabad</t>
  </si>
  <si>
    <t>AP-ACZ</t>
  </si>
  <si>
    <t>16813/33561</t>
  </si>
  <si>
    <t>Struck  Lash Golath Mountain while en route. Pilot error while he was attempting a flight beyond his ability or experience.</t>
  </si>
  <si>
    <t>Tezpur, India</t>
  </si>
  <si>
    <t>Gaughail - Tezpur</t>
  </si>
  <si>
    <t>VT-CGN</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</si>
  <si>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</si>
  <si>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</si>
  <si>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</si>
  <si>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</si>
  <si>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</si>
  <si>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</si>
  <si>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</si>
  <si>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</si>
  <si>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</si>
  <si>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</si>
  <si>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</si>
  <si>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</si>
  <si>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</si>
  <si>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</si>
  <si>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</si>
  <si>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</si>
  <si>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</si>
  <si>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</si>
  <si>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</si>
  <si>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</si>
  <si>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</si>
  <si>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</si>
  <si>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</si>
  <si>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Skilak Lake, Alaska</t>
  </si>
  <si>
    <t>Cordova Airlines</t>
  </si>
  <si>
    <t>Anchorage - Seward</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</si>
  <si>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</si>
  <si>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</si>
  <si>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</si>
  <si>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</si>
  <si>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</si>
  <si>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</si>
  <si>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</si>
  <si>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Stansted - Luqa - Habbaniya</t>
  </si>
  <si>
    <t>G-AMUL</t>
  </si>
  <si>
    <t>MW308</t>
  </si>
  <si>
    <t>The aircraft made a sudden turn to the right while talking off from Stansted. Overcorrection by the pilot in command which caused the aircraft to veer to the right.</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</si>
  <si>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</si>
  <si>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</si>
  <si>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</si>
  <si>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</si>
  <si>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</si>
  <si>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</si>
  <si>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</si>
  <si>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</si>
  <si>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</si>
  <si>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Guatemala City, Guatemala</t>
  </si>
  <si>
    <t>Guatemala City - La Tinta</t>
  </si>
  <si>
    <t>Douglas C-47-DL (DC-3)</t>
  </si>
  <si>
    <t>TG-AHA</t>
  </si>
  <si>
    <t>The plane struck trees on a mountainside and crashed at an altitude of 8,500 ft. The sole survivor, Roberto Obando, was found and rescued on May 30.</t>
  </si>
  <si>
    <t>Over North Carolina</t>
  </si>
  <si>
    <t>Piedmont</t>
  </si>
  <si>
    <t>A passenger fell to his death after the door of the plane opened.</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</si>
  <si>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</si>
  <si>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</si>
  <si>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</si>
  <si>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</si>
  <si>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</si>
  <si>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</si>
  <si>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</si>
  <si>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</si>
  <si>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</si>
  <si>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</si>
  <si>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</si>
  <si>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</si>
  <si>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</si>
  <si>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</si>
  <si>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</si>
  <si>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</si>
  <si>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</si>
  <si>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</si>
  <si>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</si>
  <si>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</si>
  <si>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</si>
  <si>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</si>
  <si>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Near Brows Mills, New Jersey</t>
  </si>
  <si>
    <t>McGuire AFB - Harmon AFB</t>
  </si>
  <si>
    <t>Douglas C-118A</t>
  </si>
  <si>
    <t>53-3301A</t>
  </si>
  <si>
    <t>Crashed into a wooded area 2 minutes after taking off from McGuire Air Force Base. There was thunderstorm activity at the time. Microburst windshear.</t>
  </si>
  <si>
    <t>Convair CV-440-11</t>
  </si>
  <si>
    <t>HB-IMD</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</si>
  <si>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</si>
  <si>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</si>
  <si>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</si>
  <si>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</si>
  <si>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</si>
  <si>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</si>
  <si>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</si>
  <si>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</si>
  <si>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</si>
  <si>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Struck Mt Pindaya near Thazi .</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</si>
  <si>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</si>
  <si>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</si>
  <si>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</si>
  <si>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</si>
  <si>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</si>
  <si>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</si>
  <si>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</si>
  <si>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</si>
  <si>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</si>
  <si>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</si>
  <si>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</si>
  <si>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</si>
  <si>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</si>
  <si>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</si>
  <si>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</si>
  <si>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</si>
  <si>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</si>
  <si>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</si>
  <si>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</si>
  <si>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</si>
  <si>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</si>
  <si>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</si>
  <si>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</si>
  <si>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</si>
  <si>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</si>
  <si>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</si>
  <si>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43691/321</t>
  </si>
  <si>
    <t>The plane disappeared over the Atlantic while on a flight from Royal Air Force Base in England to McGuire Air Force Base in New Jersey. Cause unknown.</t>
  </si>
  <si>
    <t>Over the Pacific Ocean</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</si>
  <si>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</si>
  <si>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</si>
  <si>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</si>
  <si>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KAL-2</t>
  </si>
  <si>
    <t>The cargo plane crashed after an attempted go-around. On final, as the pilot-in-command was unable to locate the runway, he decided to make a new go around when the aircraft struck trees and crashed in flames few km short of runway.</t>
  </si>
  <si>
    <t>Damascus- Cairo</t>
  </si>
  <si>
    <t>SU-AAB</t>
  </si>
  <si>
    <t>Shot down by the Israeli Air Force.</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</si>
  <si>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</si>
  <si>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</si>
  <si>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</si>
  <si>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</si>
  <si>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</si>
  <si>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</si>
  <si>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</si>
  <si>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</si>
  <si>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</si>
  <si>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</si>
  <si>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</si>
  <si>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</si>
  <si>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</si>
  <si>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Puerto Somoza, Nicaragua</t>
  </si>
  <si>
    <t>Aerovias Guest</t>
  </si>
  <si>
    <t>Tocumen - Guatemala City</t>
  </si>
  <si>
    <t>Douglas C-54A-10-DC</t>
  </si>
  <si>
    <t>XA-HEG</t>
  </si>
  <si>
    <t>An unsuccessful belly landing was attempted on flat terrain following a fire in the fuel system.</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</si>
  <si>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</si>
  <si>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</si>
  <si>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</si>
  <si>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</si>
  <si>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</si>
  <si>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</si>
  <si>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</si>
  <si>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</si>
  <si>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</si>
  <si>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</si>
  <si>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</si>
  <si>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</si>
  <si>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Crashed into a field shortly after taking off about 12 km north of the airport.</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</si>
  <si>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</si>
  <si>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</si>
  <si>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</si>
  <si>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</si>
  <si>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</si>
  <si>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</si>
  <si>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</si>
  <si>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</si>
  <si>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</si>
  <si>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</si>
  <si>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</si>
  <si>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</si>
  <si>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</si>
  <si>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</si>
  <si>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</si>
  <si>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</si>
  <si>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</si>
  <si>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</si>
  <si>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</si>
  <si>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</si>
  <si>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</si>
  <si>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</si>
  <si>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</si>
  <si>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</si>
  <si>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</si>
  <si>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</si>
  <si>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 Pilot error.</t>
  </si>
  <si>
    <t>Dhahran, Saudi Arabia</t>
  </si>
  <si>
    <t>Charleston - Hamilton - Horta - Lisbon - Tripoli - Dhahran</t>
  </si>
  <si>
    <t>Lockheed C-121C Super Constellation</t>
  </si>
  <si>
    <t>54-0165</t>
  </si>
  <si>
    <t>Crashed and burned while attempting to land in heavy fog at night.</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</si>
  <si>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</si>
  <si>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</si>
  <si>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</si>
  <si>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</si>
  <si>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</si>
  <si>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</si>
  <si>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</si>
  <si>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</si>
  <si>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</si>
  <si>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</si>
  <si>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</si>
  <si>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</si>
  <si>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</si>
  <si>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</si>
  <si>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</si>
  <si>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</si>
  <si>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</si>
  <si>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</si>
  <si>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</si>
  <si>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</si>
  <si>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</si>
  <si>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</si>
  <si>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</si>
  <si>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</si>
  <si>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</si>
  <si>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</si>
  <si>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</si>
  <si>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</si>
  <si>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</si>
  <si>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</si>
  <si>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</si>
  <si>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</si>
  <si>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</si>
  <si>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</si>
  <si>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</si>
  <si>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</si>
  <si>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</si>
  <si>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</si>
  <si>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</si>
  <si>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</si>
  <si>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</si>
  <si>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</si>
  <si>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</si>
  <si>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While attempting to land, the plane lost air speed and crashed into the sea, 400 yards offshore.</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</si>
  <si>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</si>
  <si>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</si>
  <si>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</si>
  <si>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</si>
  <si>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</si>
  <si>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El Soldado, Colombia</t>
  </si>
  <si>
    <t>Condoto - Buenaventura - Cali</t>
  </si>
  <si>
    <t>HK-155</t>
  </si>
  <si>
    <t>Crashed into mountains  located 32 km west of TuluÃ¡ while en route. Pilot did not follow prescribed route nor follow prescribed IFR procedures.</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</si>
  <si>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</si>
  <si>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</si>
  <si>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</si>
  <si>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</si>
  <si>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</si>
  <si>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</si>
  <si>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</si>
  <si>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</si>
  <si>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</si>
  <si>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</si>
  <si>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</si>
  <si>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</si>
  <si>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Crashed into Andies peak while en route. Wreckage found 100 miles northeast of Cochabamba.</t>
  </si>
  <si>
    <t>Over the North Pacific Ocean</t>
  </si>
  <si>
    <t>Travis AFB - Tokyo</t>
  </si>
  <si>
    <t>Boeing C-97C</t>
  </si>
  <si>
    <t>50-702A</t>
  </si>
  <si>
    <t>Disappeared in  a storm 200 miles southeast of Tokyo, Japan while on a flight from Travis Air Force Base to Tokyo.  Cause unknown.</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</si>
  <si>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</si>
  <si>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</si>
  <si>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</si>
  <si>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</si>
  <si>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</si>
  <si>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</si>
  <si>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</si>
  <si>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</si>
  <si>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</si>
  <si>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</si>
  <si>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</si>
  <si>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</si>
  <si>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</si>
  <si>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</si>
  <si>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</si>
  <si>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</si>
  <si>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</si>
  <si>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</si>
  <si>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</si>
  <si>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</si>
  <si>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</si>
  <si>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</si>
  <si>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</si>
  <si>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</si>
  <si>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</si>
  <si>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</si>
  <si>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</si>
  <si>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</si>
  <si>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</si>
  <si>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</si>
  <si>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</si>
  <si>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</si>
  <si>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</si>
  <si>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</si>
  <si>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</si>
  <si>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</si>
  <si>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</si>
  <si>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</si>
  <si>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</si>
  <si>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</si>
  <si>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The aircraft hit the ground with the front part of the fuselage, the right wing and the right engine propeller and caught fire. Procedural errors by the pilot.</t>
  </si>
  <si>
    <t>Narsarressuak, Greenland</t>
  </si>
  <si>
    <t>U.S. Overseas Airways</t>
  </si>
  <si>
    <t>Broughton Island - Narsarsuaq</t>
  </si>
  <si>
    <t>N68736</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</si>
  <si>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</si>
  <si>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</si>
  <si>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</si>
  <si>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</si>
  <si>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</si>
  <si>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</si>
  <si>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</si>
  <si>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Warsaw - Moscow</t>
  </si>
  <si>
    <t>Ilyushin P-14</t>
  </si>
  <si>
    <t>SP-LNF</t>
  </si>
  <si>
    <t>The aircraft descended below safe altitude and struck the ground in rain and poor visibility. The crew's application of an approach procedure other than that prescribed by the airport authority.</t>
  </si>
  <si>
    <t>Bodensee, Switzerland</t>
  </si>
  <si>
    <t>HB-IRK</t>
  </si>
  <si>
    <t>The stalling of the aircraft following a loss of airspeed, whereupon it unintentionally went into a spin and crashed into the water. In view of insufficient altitude, it was not possible to level off the aircraft.</t>
  </si>
  <si>
    <t>Near Clarksburg, Maryland</t>
  </si>
  <si>
    <t>N88835</t>
  </si>
  <si>
    <t>Loss of airspeed while executing maneuvers during a training flight, resulting in a stall followed immediately by a spin from an altitude too low to effect recovery.</t>
  </si>
  <si>
    <t>Port Hardy, BC, Canada</t>
  </si>
  <si>
    <t>Pacific Western</t>
  </si>
  <si>
    <t>Port Hardy - Vancouver</t>
  </si>
  <si>
    <t>CF-EPI</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</si>
  <si>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</si>
  <si>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</si>
  <si>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</si>
  <si>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</si>
  <si>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</si>
  <si>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</si>
  <si>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</si>
  <si>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</si>
  <si>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Went into a spin and cashed onto tidal flats off Charlakhi Island during a storm.</t>
  </si>
  <si>
    <t>Near Fort Rupert, Quebec, Canada</t>
  </si>
  <si>
    <t>Kenting Air</t>
  </si>
  <si>
    <t>Great Whale River â€“ Val-dâ€™Or</t>
  </si>
  <si>
    <t>CF-CRL</t>
  </si>
  <si>
    <t>414-7546</t>
  </si>
  <si>
    <t>Crashed on takeoff. The pilot took off in weather conditions below permissible limits, in an area sparsely served with aids to navigation, in an aircraft not equipped with de- icing equipment.</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</si>
  <si>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</si>
  <si>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</si>
  <si>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</si>
  <si>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</si>
  <si>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</si>
  <si>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</si>
  <si>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</si>
  <si>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</si>
  <si>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</si>
  <si>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</si>
  <si>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</si>
  <si>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</si>
  <si>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</si>
  <si>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</si>
  <si>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</si>
  <si>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</si>
  <si>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</si>
  <si>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</si>
  <si>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</si>
  <si>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</si>
  <si>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</si>
  <si>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</si>
  <si>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 Crew error. ATC error.</t>
  </si>
  <si>
    <t>Assam, India</t>
  </si>
  <si>
    <t>Supply mission</t>
  </si>
  <si>
    <t>VT-ARH</t>
  </si>
  <si>
    <t>While making a sharp turn the cargo plane stalled and crashed.</t>
  </si>
  <si>
    <t>Near Juticalpa, Honduras</t>
  </si>
  <si>
    <t>Sahsa Airlines</t>
  </si>
  <si>
    <t>Catacamas - Juticalpa - Tegucigalpa</t>
  </si>
  <si>
    <t>XH-SAF</t>
  </si>
  <si>
    <t>17139/3440</t>
  </si>
  <si>
    <t>Blew up and burned in flight after taking off.</t>
  </si>
  <si>
    <t>Niquitao, Venezuela</t>
  </si>
  <si>
    <t>Maiquetia - Barinas</t>
  </si>
  <si>
    <t>YV-C-AVG</t>
  </si>
  <si>
    <t>Strayed off course and collided with a mountain in the Penas Blancas hills. Pilot error.  Weather's influence on radio communications. Leaving the prescribed route and flying at too low an altitude.</t>
  </si>
  <si>
    <t>New Bedford, Massachusetts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</si>
  <si>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</si>
  <si>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</si>
  <si>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</si>
  <si>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</si>
  <si>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</si>
  <si>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</si>
  <si>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</si>
  <si>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Flying VFR, the aircraft encountered fog during the approach, undershot the runway and crashed. Pilot error.</t>
  </si>
  <si>
    <t>Bhiwandi, Maharashtra, India</t>
  </si>
  <si>
    <t>Ã¨koda (India) Ltd</t>
  </si>
  <si>
    <t>Bombay - Indore</t>
  </si>
  <si>
    <t>Let Aero 45S</t>
  </si>
  <si>
    <t>VT-DHO</t>
  </si>
  <si>
    <t>While in it's initial climb, the ferry /positioning  flight crashed soon after.</t>
  </si>
  <si>
    <t>Islay-Glenegedale Airport, Scotland</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</si>
  <si>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</si>
  <si>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</si>
  <si>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</si>
  <si>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</si>
  <si>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</si>
  <si>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</si>
  <si>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</si>
  <si>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</si>
  <si>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Beirut, Lebanon</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</si>
  <si>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</si>
  <si>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</si>
  <si>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</si>
  <si>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</si>
  <si>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</si>
  <si>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</si>
  <si>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</si>
  <si>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Belfast, Ireland</t>
  </si>
  <si>
    <t>London - Belfast</t>
  </si>
  <si>
    <t>Vickers 802 Viscount</t>
  </si>
  <si>
    <t>G-AOJA</t>
  </si>
  <si>
    <t>While attempting to land at Belfast, in poor weather, the plane drifted to the right of the runway, overshot the runway and crashed. Cause unknown.</t>
  </si>
  <si>
    <t>Madrid, Spain</t>
  </si>
  <si>
    <t>Tanger - Madrid</t>
  </si>
  <si>
    <t>EC-ACH</t>
  </si>
  <si>
    <t>Intense fire in the No.1 engine while en route, caused by foreign objects entering from the nacelle.</t>
  </si>
  <si>
    <t>Near Campeche, Mexico</t>
  </si>
  <si>
    <t>Transportes Aereos Mexicanos</t>
  </si>
  <si>
    <t>test flight</t>
  </si>
  <si>
    <t>Fairchild C-82A</t>
  </si>
  <si>
    <t>XA-LIW</t>
  </si>
  <si>
    <t>Dusseldorf, West Germany</t>
  </si>
  <si>
    <t>Herfurtner Company</t>
  </si>
  <si>
    <t>DÃ¼sseldorf - Reykjavik - New York</t>
  </si>
  <si>
    <t>D-ALAF</t>
  </si>
  <si>
    <t>Crashed shortly after taking off. The aircraft plunged into the suburb of Derendorf, setting afire an office building and crushing a small house. The lone occupant of the the house, an elderly woman, was killed</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</si>
  <si>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</si>
  <si>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</si>
  <si>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</si>
  <si>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</si>
  <si>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</si>
  <si>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</si>
  <si>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</si>
  <si>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</si>
  <si>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</si>
  <si>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</si>
  <si>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</si>
  <si>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</si>
  <si>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</si>
  <si>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</si>
  <si>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</si>
  <si>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</si>
  <si>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</si>
  <si>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</si>
  <si>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</si>
  <si>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</si>
  <si>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</si>
  <si>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</si>
  <si>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</si>
  <si>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</si>
  <si>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</si>
  <si>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</si>
  <si>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</si>
  <si>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</si>
  <si>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</si>
  <si>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</si>
  <si>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</si>
  <si>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</si>
  <si>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</si>
  <si>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</si>
  <si>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</si>
  <si>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</si>
  <si>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</si>
  <si>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</si>
  <si>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</si>
  <si>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</si>
  <si>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</si>
  <si>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CF-GKV</t>
  </si>
  <si>
    <t>13837/25282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</si>
  <si>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</si>
  <si>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</si>
  <si>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</si>
  <si>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</si>
  <si>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</si>
  <si>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</si>
  <si>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</si>
  <si>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</si>
  <si>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</si>
  <si>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</si>
  <si>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</si>
  <si>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</si>
  <si>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</si>
  <si>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</si>
  <si>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</si>
  <si>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</si>
  <si>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</si>
  <si>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</si>
  <si>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</si>
  <si>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</si>
  <si>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The flying boat sank in Buenos Aires harbor while trying to make an emergency landing after losing an engine.</t>
  </si>
  <si>
    <t>PP-CEF</t>
  </si>
  <si>
    <t>The cargo plane lost the No. 1 engine on takeoff, dove into the ground and crashed and burned.</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</si>
  <si>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</si>
  <si>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</si>
  <si>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</si>
  <si>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</si>
  <si>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</si>
  <si>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</si>
  <si>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</si>
  <si>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</si>
  <si>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</si>
  <si>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</si>
  <si>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</si>
  <si>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</si>
  <si>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</si>
  <si>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</si>
  <si>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</si>
  <si>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</si>
  <si>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</si>
  <si>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</si>
  <si>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</si>
  <si>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</si>
  <si>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</si>
  <si>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</si>
  <si>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</si>
  <si>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</si>
  <si>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Raiatea, French Polynesia</t>
  </si>
  <si>
    <t>RÃ©seau AÃ©rien Interinsulaire</t>
  </si>
  <si>
    <t>Papeete, French Polynesia - Raiatea</t>
  </si>
  <si>
    <t>F-AOVV</t>
  </si>
  <si>
    <t>Struck the water and sank after the right wing tip float contacted the water during a shallow turn for final approach.</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</si>
  <si>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</si>
  <si>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</si>
  <si>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Off Corvo Island, Azores</t>
  </si>
  <si>
    <t>Argentina - Azores</t>
  </si>
  <si>
    <t>BU-141310</t>
  </si>
  <si>
    <t>Disappeared while on patrol about 100 miles from the Azores. No trace of the aircraft was ever found.</t>
  </si>
  <si>
    <t>Horwich, Lancs, England</t>
  </si>
  <si>
    <t>Silver City Airways</t>
  </si>
  <si>
    <t>Isle of Man - Manchester</t>
  </si>
  <si>
    <t>G-AICS</t>
  </si>
  <si>
    <t>Crashed into a mountain near Winter Hill during an approach. The First Officer used the wrong radio beacon (Oldham Becaon instead of on Wigan Beacon).</t>
  </si>
  <si>
    <t>Menzalah Lake, Egypt</t>
  </si>
  <si>
    <t>Athens - Cairo</t>
  </si>
  <si>
    <t>SU-AGN</t>
  </si>
  <si>
    <t>While approaching Cairo, the aircraft was diverted to Port Said where it ditched into Menzalah Lake.</t>
  </si>
  <si>
    <t>Off Ryukyu Islands, Okinawa</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</si>
  <si>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</si>
  <si>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</si>
  <si>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</si>
  <si>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</si>
  <si>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</si>
  <si>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</si>
  <si>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</si>
  <si>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</si>
  <si>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</si>
  <si>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</si>
  <si>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Simrla - Kathmandu</t>
  </si>
  <si>
    <t>VT-CYN</t>
  </si>
  <si>
    <t>Due to a navigational error the aircraft flew the wrong route into a valley. While maneuvering to make a turn, the aircraft stalled and crashed. Wreckage was found 16 miles from Kathmandu.</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</si>
  <si>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</si>
  <si>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</si>
  <si>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</si>
  <si>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</si>
  <si>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</si>
  <si>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Bridgeport, Texas</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</si>
  <si>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</si>
  <si>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</si>
  <si>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</si>
  <si>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</si>
  <si>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</si>
  <si>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</si>
  <si>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</si>
  <si>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</si>
  <si>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</si>
  <si>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</si>
  <si>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</si>
  <si>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</si>
  <si>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</si>
  <si>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</si>
  <si>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</si>
  <si>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</si>
  <si>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</si>
  <si>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</si>
  <si>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</si>
  <si>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</si>
  <si>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</si>
  <si>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</si>
  <si>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Off Castell de Fels, Spain</t>
  </si>
  <si>
    <t>Zaragoza - Barcelona</t>
  </si>
  <si>
    <t>EC-ANJ</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</si>
  <si>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</si>
  <si>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</si>
  <si>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</si>
  <si>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</si>
  <si>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</si>
  <si>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</si>
  <si>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</si>
  <si>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</si>
  <si>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</si>
  <si>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</si>
  <si>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</si>
  <si>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</si>
  <si>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The cargo plane broke up in midair while flying through a thunderstorm.</t>
  </si>
  <si>
    <t>Near Casablanca, Morocco</t>
  </si>
  <si>
    <t>Brussels - Lisbon - LÃ©opoldville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</si>
  <si>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</si>
  <si>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</si>
  <si>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</si>
  <si>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</si>
  <si>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</si>
  <si>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</si>
  <si>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</si>
  <si>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</si>
  <si>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</si>
  <si>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</si>
  <si>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</si>
  <si>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</si>
  <si>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</si>
  <si>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</si>
  <si>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</si>
  <si>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</si>
  <si>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Paraense Transportes AÃ©reos</t>
  </si>
  <si>
    <t>Rio de Janeiro - BelÃ©m</t>
  </si>
  <si>
    <t>PP-BTB</t>
  </si>
  <si>
    <t>The cargo plane plunged into the water when, a front wheel glanced off a freighter when it was taking off.</t>
  </si>
  <si>
    <t>SW of Algiers, Algeria</t>
  </si>
  <si>
    <t>Algier - Colomb-Bechar - Tindouf</t>
  </si>
  <si>
    <t>F-BHKV</t>
  </si>
  <si>
    <t>Crashed into mountains 100 miles southwest of Algiers.</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</si>
  <si>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</si>
  <si>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</si>
  <si>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</si>
  <si>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</si>
  <si>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</si>
  <si>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</si>
  <si>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</si>
  <si>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</si>
  <si>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</si>
  <si>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</si>
  <si>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</si>
  <si>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</si>
  <si>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</si>
  <si>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CCCP-L1364</t>
  </si>
  <si>
    <t xml:space="preserve"> 30 082</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</si>
  <si>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</si>
  <si>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</si>
  <si>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</si>
  <si>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</si>
  <si>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</si>
  <si>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</si>
  <si>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</si>
  <si>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</si>
  <si>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</si>
  <si>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</si>
  <si>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</si>
  <si>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</si>
  <si>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</si>
  <si>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</si>
  <si>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</si>
  <si>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</si>
  <si>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</si>
  <si>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</si>
  <si>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The cargo plane suffered structural failure in thunderstorm activity.</t>
  </si>
  <si>
    <t>Wadi Halfa - Benina</t>
  </si>
  <si>
    <t>Vickers Viscount 748D</t>
  </si>
  <si>
    <t>VP-YNE</t>
  </si>
  <si>
    <t>Crashed into high ground during approach. Misinterpreted or misread altimeter reading. Possible fatigue.</t>
  </si>
  <si>
    <t xml:space="preserve">	Loide AÃ©reo Nacional</t>
  </si>
  <si>
    <t>Manaus - Belem</t>
  </si>
  <si>
    <t>PP-LEQ</t>
  </si>
  <si>
    <t>Crashed on approach 10 minutes from the airport. Cause unknown.</t>
  </si>
  <si>
    <t>Sakiya Saugye, Japan</t>
  </si>
  <si>
    <t>All Nippon Airways</t>
  </si>
  <si>
    <t>Tokyo - Nagoya</t>
  </si>
  <si>
    <t>JA5045</t>
  </si>
  <si>
    <t>Ditched into the sea near Izu Island appoximately 1 hour after taking off after experiencing engine trouble.</t>
  </si>
  <si>
    <t>North Atlantic 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</si>
  <si>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</si>
  <si>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</si>
  <si>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</si>
  <si>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</si>
  <si>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</si>
  <si>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Nantucket, Massachusetts</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</si>
  <si>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</si>
  <si>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</si>
  <si>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</si>
  <si>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</si>
  <si>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Near Chita, Russia</t>
  </si>
  <si>
    <t>Khabarovsk - Irkutsk</t>
  </si>
  <si>
    <t>Tupolev TU-104-A</t>
  </si>
  <si>
    <t>CCCP-L5442</t>
  </si>
  <si>
    <t>The aircraft stalled after flying over a thunderstorm. The aircraft climbed in excess of its operational ceiling considering its weight.</t>
  </si>
  <si>
    <t>Sasnashen, Russia</t>
  </si>
  <si>
    <t>Survey flight</t>
  </si>
  <si>
    <t>Lockheed C-130A-II Hercules</t>
  </si>
  <si>
    <t>56-0528</t>
  </si>
  <si>
    <t>Shot down by Soviet Mig fighters.</t>
  </si>
  <si>
    <t>Off Guam</t>
  </si>
  <si>
    <t>Guam - Clark AB</t>
  </si>
  <si>
    <t>Douglas C-124C Globemaster</t>
  </si>
  <si>
    <t>52-1081A</t>
  </si>
  <si>
    <t>The aircraft crashed 35 miles west of Agana Naval Air Station. In-flight fire of unknown origin.</t>
  </si>
  <si>
    <t>Independent Air Travel</t>
  </si>
  <si>
    <t>London, England - Nice, France</t>
  </si>
  <si>
    <t>Vickers 621 Viking 1</t>
  </si>
  <si>
    <t>G-AIJE</t>
  </si>
  <si>
    <t>The cargo plane lost an engine on the initial climb and was not able to maintain altitude and crashed.</t>
  </si>
  <si>
    <t>Campina Grande, Brazil</t>
  </si>
  <si>
    <t>Paraiba - Rio de Janerio</t>
  </si>
  <si>
    <t>Curtiss C-46A-CU</t>
  </si>
  <si>
    <t>PP-LDX</t>
  </si>
  <si>
    <t>The aircraft crashed after a second landing attempt. Improper approach procedure. Pilot error. A contributing cause was incorrect forcast provided to the crew.</t>
  </si>
  <si>
    <t xml:space="preserve">  Kazakh, Russia</t>
  </si>
  <si>
    <t>Frunze - Aktyubinsk - Uralsk - Moscow</t>
  </si>
  <si>
    <t>CCCP-L1692</t>
  </si>
  <si>
    <t>The aircraft crashed shortly after being struck by lightning in a thunderstorm.</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</si>
  <si>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</si>
  <si>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</si>
  <si>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</si>
  <si>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</si>
  <si>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</si>
  <si>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</si>
  <si>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</si>
  <si>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</si>
  <si>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</si>
  <si>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</si>
  <si>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Triel, France</t>
  </si>
  <si>
    <t>Evreux - Spangdahlem</t>
  </si>
  <si>
    <t>Lockheed C-130A Hercules</t>
  </si>
  <si>
    <t>56-0526</t>
  </si>
  <si>
    <t>Collided with a French Air Force Dassault MystÃ¨re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</si>
  <si>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</si>
  <si>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</si>
  <si>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</si>
  <si>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</si>
  <si>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</si>
  <si>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Middle East Airlines</t>
  </si>
  <si>
    <t>Beirut - Rome - London</t>
  </si>
  <si>
    <t>OD-ADB</t>
  </si>
  <si>
    <t>The cargo plane disappeared over the Mediterranean Sea and was never found.</t>
  </si>
  <si>
    <t>Payette, Idaho</t>
  </si>
  <si>
    <t>Ogden Hill AFB - McChord AFB</t>
  </si>
  <si>
    <t>Fairchild C-123 Provider</t>
  </si>
  <si>
    <t>55-4521A</t>
  </si>
  <si>
    <t>Crashed and exploded on flat terrain east of Payette. A loss of control or the incapacitation of one of the pilots may have factored in the accident.</t>
  </si>
  <si>
    <t>Mt. Alto del Cedro, Venezuela</t>
  </si>
  <si>
    <t>Panama City - Maracaibo</t>
  </si>
  <si>
    <t>Lockheed 1049E Super Constellation</t>
  </si>
  <si>
    <t>YV-C-ANC</t>
  </si>
  <si>
    <t>Crashed into the Alto del Cedro mountain. Premature descent. Navigation error. Lack of navigation facilities in the area.</t>
  </si>
  <si>
    <t>Villa Montes, Bolivia</t>
  </si>
  <si>
    <t>Military - TAM (Bolivia)</t>
  </si>
  <si>
    <t>Fortin Campero - Tarija</t>
  </si>
  <si>
    <t>TAM-03</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</si>
  <si>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</si>
  <si>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</si>
  <si>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</si>
  <si>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</si>
  <si>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</si>
  <si>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</si>
  <si>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</si>
  <si>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</si>
  <si>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</si>
  <si>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</si>
  <si>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</si>
  <si>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</si>
  <si>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</si>
  <si>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</si>
  <si>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</si>
  <si>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</si>
  <si>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</si>
  <si>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</si>
  <si>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</si>
  <si>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</si>
  <si>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</si>
  <si>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</si>
  <si>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</si>
  <si>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</si>
  <si>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</si>
  <si>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</si>
  <si>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</si>
  <si>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</si>
  <si>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</si>
  <si>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</si>
  <si>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</si>
  <si>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</si>
  <si>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</si>
  <si>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</si>
  <si>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</si>
  <si>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</si>
  <si>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</si>
  <si>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</si>
  <si>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</si>
  <si>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</si>
  <si>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</si>
  <si>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</si>
  <si>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 xml:space="preserve"> Tashkent, Uzbekstan</t>
  </si>
  <si>
    <t>Ashgabat - Tashkent</t>
  </si>
  <si>
    <t>Ilyushin IL-14</t>
  </si>
  <si>
    <t>CCCP-61663</t>
  </si>
  <si>
    <t>Missed the approach and crashed in a snowy field. Landing below weather minimums.</t>
  </si>
  <si>
    <t>Winkton, England</t>
  </si>
  <si>
    <t>Bristol 175 Britannia 312</t>
  </si>
  <si>
    <t>G-AOVD</t>
  </si>
  <si>
    <t>While descending the aircraft struck the ground in heavy fog.</t>
  </si>
  <si>
    <t>Salisbury, Zimbabwe (Harare,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</si>
  <si>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</si>
  <si>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</si>
  <si>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</si>
  <si>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</si>
  <si>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</si>
  <si>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</si>
  <si>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</si>
  <si>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</si>
  <si>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</si>
  <si>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</si>
  <si>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</si>
  <si>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</si>
  <si>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</si>
  <si>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</si>
  <si>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</si>
  <si>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</si>
  <si>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</si>
  <si>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</si>
  <si>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</si>
  <si>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</si>
  <si>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</si>
  <si>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</si>
  <si>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 Seattle</t>
  </si>
  <si>
    <t>N1240N</t>
  </si>
  <si>
    <t>The cargo plane crashed into Panther Peak at 8,500 ft. while en route.</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</si>
  <si>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</si>
  <si>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</si>
  <si>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</si>
  <si>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</si>
  <si>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</si>
  <si>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Stalingrad, Russia</t>
  </si>
  <si>
    <t>Voronezh - Stalingrad</t>
  </si>
  <si>
    <t>CCCP-41863</t>
  </si>
  <si>
    <t>Crashed in a snow covered field while attempting to land. Cause undetermined. Possibly hit by machine gun fire.</t>
  </si>
  <si>
    <t>Near Merida, Venezuela</t>
  </si>
  <si>
    <t>Linea Expresa Bolivar</t>
  </si>
  <si>
    <t>MÃ©rida - Lagunillas - Maracaibo</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</si>
  <si>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</si>
  <si>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</si>
  <si>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</si>
  <si>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</si>
  <si>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Amman</t>
  </si>
  <si>
    <t>JY-ACB</t>
  </si>
  <si>
    <t>Struck trees during approach and crashed 2.8 miles northwest of Wadi-Es-Sir. Adverse weather conditions.</t>
  </si>
  <si>
    <t>Air Charter</t>
  </si>
  <si>
    <t>England to Australia</t>
  </si>
  <si>
    <t>Avro 688</t>
  </si>
  <si>
    <t>G-AGRG</t>
  </si>
  <si>
    <t>The cargo plane 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</si>
  <si>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</si>
  <si>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</si>
  <si>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</si>
  <si>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</si>
  <si>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</si>
  <si>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</si>
  <si>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</si>
  <si>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</si>
  <si>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</si>
  <si>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</si>
  <si>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</si>
  <si>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</si>
  <si>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</si>
  <si>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</si>
  <si>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</si>
  <si>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</si>
  <si>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</si>
  <si>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</si>
  <si>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</si>
  <si>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</si>
  <si>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</si>
  <si>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</si>
  <si>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 Puerto Suarez</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</si>
  <si>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</si>
  <si>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</si>
  <si>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</si>
  <si>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</si>
  <si>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</si>
  <si>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</si>
  <si>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</si>
  <si>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</si>
  <si>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Jorhat - Noklok - Jorhat</t>
  </si>
  <si>
    <t>VT-CYH</t>
  </si>
  <si>
    <t>The cargo plane crashed during an attempt by the pilot to clear high terrain under poor visibility conditions. He had previously descended to a low altitude in order to determine his position.</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</si>
  <si>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</si>
  <si>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</si>
  <si>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</si>
  <si>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</si>
  <si>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Near Bangui, Central African Republic</t>
  </si>
  <si>
    <t>BerbÃ©rati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</si>
  <si>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</si>
  <si>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</si>
  <si>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</si>
  <si>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</si>
  <si>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</si>
  <si>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</si>
  <si>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Sustained structural failure while flying through a thunderstorm.</t>
  </si>
  <si>
    <t>Alma, Georgia</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</si>
  <si>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</si>
  <si>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</si>
  <si>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</si>
  <si>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Puerto Kino, Mexico</t>
  </si>
  <si>
    <t>Mexicale - Guaymas</t>
  </si>
  <si>
    <t>XA-MIS</t>
  </si>
  <si>
    <t>Exlpoded and caught fire near Bahia de Kino.  A bomb is believed to have exploded onboard.</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</si>
  <si>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</si>
  <si>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</si>
  <si>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</si>
  <si>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</si>
  <si>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</si>
  <si>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</si>
  <si>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</si>
  <si>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</si>
  <si>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</si>
  <si>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</si>
  <si>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</si>
  <si>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</si>
  <si>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</si>
  <si>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</si>
  <si>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</si>
  <si>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</si>
  <si>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</si>
  <si>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</si>
  <si>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</si>
  <si>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</si>
  <si>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</si>
  <si>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</si>
  <si>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</si>
  <si>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</si>
  <si>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</si>
  <si>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OB-WBP-507</t>
  </si>
  <si>
    <t>Crashed into the slope of a mountain while en route.</t>
  </si>
  <si>
    <t>Off Mar del Plata, Aregntina</t>
  </si>
  <si>
    <t>Mar del Plata - Bahia Blanca</t>
  </si>
  <si>
    <t>LV-AFW</t>
  </si>
  <si>
    <t>Crashed into the sea during a steep turn following a takeoff at night. Undetermined cause.</t>
  </si>
  <si>
    <t>Moro, Peru</t>
  </si>
  <si>
    <t>Lineas AÃ©reas Interpolar</t>
  </si>
  <si>
    <t>Miami - Panama City - Talara - Arica</t>
  </si>
  <si>
    <t>CC-CIA-497</t>
  </si>
  <si>
    <t>Crashed into a  mountain while en route..</t>
  </si>
  <si>
    <t>Nicaragua</t>
  </si>
  <si>
    <t>Aerolineas Nacionales</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</si>
  <si>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</si>
  <si>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</si>
  <si>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</si>
  <si>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</si>
  <si>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</si>
  <si>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</si>
  <si>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</si>
  <si>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</si>
  <si>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</si>
  <si>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</si>
  <si>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</si>
  <si>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</si>
  <si>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</si>
  <si>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</si>
  <si>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</si>
  <si>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</si>
  <si>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Crashed  into the slope of Cerro Baco located about 12 km northwest of Huaricanga.</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</si>
  <si>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</si>
  <si>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</si>
  <si>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</si>
  <si>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</si>
  <si>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</si>
  <si>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</si>
  <si>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</si>
  <si>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</si>
  <si>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</si>
  <si>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Kuwait City, Kuwait</t>
  </si>
  <si>
    <t>PAS</t>
  </si>
  <si>
    <t>Kuwait City - Tehran</t>
  </si>
  <si>
    <t>EP-ADE</t>
  </si>
  <si>
    <t>MW295</t>
  </si>
  <si>
    <t>Shortly after takeoff from Kuwait City Airport and while climbing, the aircraft stalled and crashed in the desert  6 km from the airfield.</t>
  </si>
  <si>
    <t>Sagone, India</t>
  </si>
  <si>
    <t>Mohanbari - Along</t>
  </si>
  <si>
    <t>VT-DGP</t>
  </si>
  <si>
    <t>The cargo plane 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</si>
  <si>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</si>
  <si>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</si>
  <si>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</si>
  <si>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</si>
  <si>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</si>
  <si>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</si>
  <si>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</si>
  <si>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</si>
  <si>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</si>
  <si>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</si>
  <si>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</si>
  <si>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</si>
  <si>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</si>
  <si>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</si>
  <si>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Buenos Aires - AsunciÃ³n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</si>
  <si>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</si>
  <si>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</si>
  <si>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</si>
  <si>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</si>
  <si>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</si>
  <si>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</si>
  <si>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</si>
  <si>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</si>
  <si>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</si>
  <si>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</si>
  <si>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</si>
  <si>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</si>
  <si>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</si>
  <si>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Saab Scandia 90A-1</t>
  </si>
  <si>
    <t>PP-SQV</t>
  </si>
  <si>
    <t>Crashed a few minutes after taking off from Sao Paulo Airport. Cause undetermined.</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</si>
  <si>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</si>
  <si>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</si>
  <si>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</si>
  <si>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</si>
  <si>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</si>
  <si>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</si>
  <si>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</si>
  <si>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</si>
  <si>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</si>
  <si>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Crashed shortly after takeoff, not gaining altitude and colliding with trees. Loss of an engine. Crew did not properly monitor altimeter.</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</si>
  <si>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</si>
  <si>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</si>
  <si>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</si>
  <si>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</si>
  <si>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</si>
  <si>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</si>
  <si>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</si>
  <si>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</si>
  <si>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</si>
  <si>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</si>
  <si>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Baku - Moscow</t>
  </si>
  <si>
    <t>CCCP-41806</t>
  </si>
  <si>
    <t>Crashed on approach. Crew's handling of the plane led to a premature loss of altitude and collision with obstacles. Crew fatigue,</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</si>
  <si>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</si>
  <si>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</si>
  <si>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</si>
  <si>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</si>
  <si>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</si>
  <si>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</si>
  <si>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</si>
  <si>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</si>
  <si>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</si>
  <si>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</si>
  <si>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Athens, Greece</t>
  </si>
  <si>
    <t>Olympic Airways</t>
  </si>
  <si>
    <t>Athens - Thessaloniki</t>
  </si>
  <si>
    <t>SX-BAD</t>
  </si>
  <si>
    <t>Engine failure on takeoff. The plane crashed 5 minutes later. Failure of the gudgeon pin bearing of the No.6 piston of the left engine.</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</si>
  <si>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</si>
  <si>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</si>
  <si>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</si>
  <si>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</si>
  <si>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</si>
  <si>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Lvov, Ukraine, USSR</t>
  </si>
  <si>
    <t>Moscow - Kiev - Lvov</t>
  </si>
  <si>
    <t>Antonov AN-10</t>
  </si>
  <si>
    <t>CCCP-11167</t>
  </si>
  <si>
    <t>Loss of control in icing conditions when the flaps were downed to 45Â°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</si>
  <si>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</si>
  <si>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</si>
  <si>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</si>
  <si>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</si>
  <si>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</si>
  <si>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</si>
  <si>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</si>
  <si>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</si>
  <si>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</si>
  <si>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</si>
  <si>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</si>
  <si>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</si>
  <si>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</si>
  <si>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</si>
  <si>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</si>
  <si>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</si>
  <si>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</si>
  <si>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</si>
  <si>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</si>
  <si>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</si>
  <si>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Near Tashkent, Uzbekistan, USSR</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</si>
  <si>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</si>
  <si>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</si>
  <si>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</si>
  <si>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</si>
  <si>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Ketchikan, Alaska</t>
  </si>
  <si>
    <t>California Aircraft</t>
  </si>
  <si>
    <t>Juneau - Annette Island</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</si>
  <si>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</si>
  <si>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</si>
  <si>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</si>
  <si>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</si>
  <si>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</si>
  <si>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</si>
  <si>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</si>
  <si>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</si>
  <si>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</si>
  <si>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</si>
  <si>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</si>
  <si>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</si>
  <si>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</si>
  <si>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San JosÃ© de Chiquitos - La Paz</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</si>
  <si>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</si>
  <si>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</si>
  <si>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</si>
  <si>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</si>
  <si>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</si>
  <si>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</si>
  <si>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</si>
  <si>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</si>
  <si>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</si>
  <si>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</si>
  <si>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</si>
  <si>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</si>
  <si>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</si>
  <si>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</si>
  <si>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</si>
  <si>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</si>
  <si>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</si>
  <si>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</si>
  <si>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</si>
  <si>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</si>
  <si>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</si>
  <si>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</si>
  <si>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</si>
  <si>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</si>
  <si>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</si>
  <si>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</si>
  <si>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Off Bathurst Island, Australia</t>
  </si>
  <si>
    <t>Transportes AÃ©reos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</si>
  <si>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</si>
  <si>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</si>
  <si>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</si>
  <si>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</si>
  <si>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</si>
  <si>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</si>
  <si>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</si>
  <si>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</si>
  <si>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</si>
  <si>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</si>
  <si>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</si>
  <si>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Lvov-Snilow,  Ukraine</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</si>
  <si>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</si>
  <si>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</si>
  <si>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</si>
  <si>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</si>
  <si>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</si>
  <si>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</si>
  <si>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</si>
  <si>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</si>
  <si>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El Refugio, Colombia</t>
  </si>
  <si>
    <t>Aracacuara - Villavicencio</t>
  </si>
  <si>
    <t>HK-1001E</t>
  </si>
  <si>
    <t>Crashed in the jungle  en route.</t>
  </si>
  <si>
    <t>Nagoya, Japan</t>
  </si>
  <si>
    <t>JA-5018</t>
  </si>
  <si>
    <t>Mid-air collision with a Japan Air Self Defence Force F-86 fighter which was taking off from Nagoya. Both planes crashed but the F-86 pilot ejected safely.</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</si>
  <si>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</si>
  <si>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</si>
  <si>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</si>
  <si>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</si>
  <si>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</si>
  <si>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</si>
  <si>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</si>
  <si>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</si>
  <si>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</si>
  <si>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</si>
  <si>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</si>
  <si>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</si>
  <si>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</si>
  <si>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</si>
  <si>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</si>
  <si>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</si>
  <si>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JaguarÃ£o - Rio Grande - Pelotas - Porto Alegre</t>
  </si>
  <si>
    <t>PP-CDS</t>
  </si>
  <si>
    <t>While taking off, the plane drifted to the right, overcorrected to the left and struck two other aircraft. Pilot error.  Incorrect use of the brakes and controls while on the ground.</t>
  </si>
  <si>
    <t>Taipei,Taiwan</t>
  </si>
  <si>
    <t>Taipei - Bangkok</t>
  </si>
  <si>
    <t>Struck Mt Wuzhi located 8 km northeast of the airport.</t>
  </si>
  <si>
    <t>Dover-Stephenville - Lajes - Mildenhall</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</si>
  <si>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</si>
  <si>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</si>
  <si>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</si>
  <si>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</si>
  <si>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</si>
  <si>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</si>
  <si>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</si>
  <si>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</si>
  <si>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</si>
  <si>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</si>
  <si>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</si>
  <si>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</si>
  <si>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</si>
  <si>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</si>
  <si>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</si>
  <si>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</si>
  <si>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</si>
  <si>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</si>
  <si>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</si>
  <si>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</si>
  <si>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</si>
  <si>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</si>
  <si>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Jebel Marra, Sudan</t>
  </si>
  <si>
    <t>Balair</t>
  </si>
  <si>
    <t>Niamey - Khartoum</t>
  </si>
  <si>
    <t>HB-ILA</t>
  </si>
  <si>
    <t>Crashed into 8,000 ft. Mt. Marra. Navigation error by the crew who were using an astrofix to estimate their position.</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</si>
  <si>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</si>
  <si>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</si>
  <si>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</si>
  <si>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</si>
  <si>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</si>
  <si>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</si>
  <si>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</si>
  <si>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</si>
  <si>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</si>
  <si>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Nea Tkvarcheli, Georgia</t>
  </si>
  <si>
    <t>Kutaisi - Rostov-on-Don</t>
  </si>
  <si>
    <t>CCCP-91571</t>
  </si>
  <si>
    <t>The plane crashed in hillside woods while en route. Poor organization and overseeing the preparation of the flight by the crew.</t>
  </si>
  <si>
    <t>Off  Mackay, Qld. Australia</t>
  </si>
  <si>
    <t>Rockhampton - MacKay</t>
  </si>
  <si>
    <t>Fokker F-27 Friendship 100</t>
  </si>
  <si>
    <t>VH-TFB</t>
  </si>
  <si>
    <t>The flight crashed into the sea, 7.5 miles from the airport after being in a holding pattern waiting for fog to lift.  Cause could not be determined.</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</si>
  <si>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</si>
  <si>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</si>
  <si>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</si>
  <si>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</si>
  <si>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</si>
  <si>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</si>
  <si>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</si>
  <si>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</si>
  <si>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</si>
  <si>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</si>
  <si>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</si>
  <si>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</si>
  <si>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</si>
  <si>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Persian Gulf</t>
  </si>
  <si>
    <t>Gulf Aviation (Kalinga Airways)</t>
  </si>
  <si>
    <t>BahraÃ¯n - Doha - Sharjah</t>
  </si>
  <si>
    <t>VT-DGS</t>
  </si>
  <si>
    <t>Crashed into the Persian Gulf while en route. Cause undetermined. Wreckage never found.</t>
  </si>
  <si>
    <t>Near Quito, Ecuador</t>
  </si>
  <si>
    <t>Military - U.S. Misson</t>
  </si>
  <si>
    <t>Bogota - Quito</t>
  </si>
  <si>
    <t>45-1109A</t>
  </si>
  <si>
    <t>Crashed and burned on Mt. Pichincha as it prepared to land at Quito.</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</si>
  <si>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</si>
  <si>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</si>
  <si>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</si>
  <si>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</si>
  <si>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</si>
  <si>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</si>
  <si>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</si>
  <si>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</si>
  <si>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</si>
  <si>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</si>
  <si>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</si>
  <si>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</si>
  <si>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</si>
  <si>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</si>
  <si>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</si>
  <si>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Near Goma, Zaire</t>
  </si>
  <si>
    <t>Military - Royal Belgian Air Force</t>
  </si>
  <si>
    <t>Fairchild C-119G</t>
  </si>
  <si>
    <t>CP-36</t>
  </si>
  <si>
    <t>Crashed into mountainous terrain north of Lake Kivu after experiencing engine failure.</t>
  </si>
  <si>
    <t>Near Syktyvkar, Russia</t>
  </si>
  <si>
    <t>Leningrad - Syktyvkar</t>
  </si>
  <si>
    <t>Ilushin IL-14</t>
  </si>
  <si>
    <t>CCCP-61696</t>
  </si>
  <si>
    <t>Broke up in mid air after flying through a thunderstorm and experiencing heavy g loads.</t>
  </si>
  <si>
    <t>Forest Park, Illinois</t>
  </si>
  <si>
    <t>Chicago Helicopter Airways</t>
  </si>
  <si>
    <t>Sikorsky S-58C helicopter</t>
  </si>
  <si>
    <t>N879</t>
  </si>
  <si>
    <t>The helicopter crashed into Forest Home Cemetery. The structural disintegration in flight, initiated by a fatigue fracture of a main rotor blade.</t>
  </si>
  <si>
    <t>Near Rimini, Italy</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</si>
  <si>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</si>
  <si>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</si>
  <si>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</si>
  <si>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</si>
  <si>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</si>
  <si>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</si>
  <si>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</si>
  <si>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</si>
  <si>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Near Kiev, Ukraine</t>
  </si>
  <si>
    <t>Cairo - Moscow</t>
  </si>
  <si>
    <t>Ilyushin IL-18B</t>
  </si>
  <si>
    <t>CCCP-75705</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</si>
  <si>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</si>
  <si>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</si>
  <si>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</si>
  <si>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</si>
  <si>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</si>
  <si>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KelÃ¢a des Sraghna.</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</si>
  <si>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</si>
  <si>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</si>
  <si>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</si>
  <si>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</si>
  <si>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</si>
  <si>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</si>
  <si>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</si>
  <si>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</si>
  <si>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</si>
  <si>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</si>
  <si>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</si>
  <si>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</si>
  <si>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</si>
  <si>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</si>
  <si>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</si>
  <si>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</si>
  <si>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</si>
  <si>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</si>
  <si>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</si>
  <si>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</si>
  <si>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</si>
  <si>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</si>
  <si>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</si>
  <si>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</si>
  <si>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</si>
  <si>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</si>
  <si>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</si>
  <si>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</si>
  <si>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</si>
  <si>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</si>
  <si>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</si>
  <si>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</si>
  <si>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</si>
  <si>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</si>
  <si>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</si>
  <si>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</si>
  <si>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</si>
  <si>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</si>
  <si>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</si>
  <si>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Crashed on approach to Moscow, 11 nm short of the runway. Malfunctioning or misread altimeter.</t>
  </si>
  <si>
    <t>Near Juchetipec, Mexico</t>
  </si>
  <si>
    <t>Douglas DC-3 (C-53-DO)</t>
  </si>
  <si>
    <t>XA-HUS</t>
  </si>
  <si>
    <t>Crashed on the slopes of a mountain near Juchitepec, about 40 km south of Mexico City Airport in dense fog.</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</si>
  <si>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</si>
  <si>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</si>
  <si>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</si>
  <si>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</si>
  <si>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</si>
  <si>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</si>
  <si>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</si>
  <si>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</si>
  <si>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</si>
  <si>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</si>
  <si>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</si>
  <si>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</si>
  <si>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</si>
  <si>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Hit Mt. Capanne while en route.  Cause unknown.</t>
  </si>
  <si>
    <t>Plain City, Utah</t>
  </si>
  <si>
    <t>Rapid City - Ogden</t>
  </si>
  <si>
    <t>N1300N</t>
  </si>
  <si>
    <t>The right wing of the cargo plane separated from the aircraft at 6,500 ft. Fatigue of the right wing lower attach angle bolts resulting in an in-flight wing failure.</t>
  </si>
  <si>
    <t>Ust-Orda, Russia</t>
  </si>
  <si>
    <t>Moscow - Omsk - Irkutsk - Khabarovsk</t>
  </si>
  <si>
    <t>Tupolev Tu-104A</t>
  </si>
  <si>
    <t>CCCP-42452</t>
  </si>
  <si>
    <t>Crashed after a premature descent. The decision by the captain to perform a go-around was ccrrect but the very low pass above the runway was unacceptable.</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</si>
  <si>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</si>
  <si>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</si>
  <si>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</si>
  <si>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</si>
  <si>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</si>
  <si>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Toledo, Ohio</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</si>
  <si>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</si>
  <si>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</si>
  <si>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</si>
  <si>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</si>
  <si>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</si>
  <si>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</si>
  <si>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</si>
  <si>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</si>
  <si>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</si>
  <si>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</si>
  <si>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</si>
  <si>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</si>
  <si>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</si>
  <si>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</si>
  <si>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</si>
  <si>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PI-C133</t>
  </si>
  <si>
    <t>Crashed into Mt. Baco while en route. Navigational error under adverse weather conditions.</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</si>
  <si>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</si>
  <si>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</si>
  <si>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</si>
  <si>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</si>
  <si>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</si>
  <si>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</si>
  <si>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</si>
  <si>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</si>
  <si>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</si>
  <si>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</si>
  <si>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</si>
  <si>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</si>
  <si>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</si>
  <si>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</si>
  <si>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</si>
  <si>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</si>
  <si>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Staten Island / Brooklyn, New York</t>
  </si>
  <si>
    <t>826/266</t>
  </si>
  <si>
    <t>Chicago - New York City / Columbus - New York City</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</si>
  <si>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</si>
  <si>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</si>
  <si>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</si>
  <si>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</si>
  <si>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</si>
  <si>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</si>
  <si>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</si>
  <si>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</si>
  <si>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Cebu City, Philippines</t>
  </si>
  <si>
    <t>S85</t>
  </si>
  <si>
    <t>Cebu - Davao</t>
  </si>
  <si>
    <t>PI-C126</t>
  </si>
  <si>
    <t>Crashed on takeoff. Failure of the No. 1 engine shortly after take-off but after V2. Inappropriate emergency procedures by crew.</t>
  </si>
  <si>
    <t>Near Ulyanovsk, Russia</t>
  </si>
  <si>
    <t>Kuibyshev - Ulyanovsk</t>
  </si>
  <si>
    <t>Ilyushin IL-18A</t>
  </si>
  <si>
    <t>CCCP-75651</t>
  </si>
  <si>
    <t>Loss of control resulted after 40 degrees flaps was selected causing the plane to crash. Icing.</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</si>
  <si>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</si>
  <si>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</si>
  <si>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</si>
  <si>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</si>
  <si>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</si>
  <si>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</si>
  <si>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</si>
  <si>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</si>
  <si>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</si>
  <si>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</si>
  <si>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</si>
  <si>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</si>
  <si>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</si>
  <si>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</si>
  <si>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</si>
  <si>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</si>
  <si>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</si>
  <si>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</si>
  <si>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</si>
  <si>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</si>
  <si>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Mt. Burangrang, Indonesia</t>
  </si>
  <si>
    <t>Jakarta - Bandung</t>
  </si>
  <si>
    <t>PK-GDI</t>
  </si>
  <si>
    <t>The aircraft struck Mt. Burangrang . Attempt by the pilot to fly over mountainous terrain when unsure of his position and in weather conditions which severely restricted visibility.</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</si>
  <si>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</si>
  <si>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</si>
  <si>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</si>
  <si>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</si>
  <si>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Off Montauk Point, New York</t>
  </si>
  <si>
    <t>N7502A</t>
  </si>
  <si>
    <t>17629/8</t>
  </si>
  <si>
    <t>The aircraaft banked left, entered a dive and eventually crashed into the ocean five miles off shore.</t>
  </si>
  <si>
    <t>Off Surabaya, Indonesia</t>
  </si>
  <si>
    <t>Surabaya - Balikpapan</t>
  </si>
  <si>
    <t>PK-GDY</t>
  </si>
  <si>
    <t>Disappeared while en route. The wreckage was never found. It is believed the aircraft crashed into the sea off the island of Madura.</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</si>
  <si>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</si>
  <si>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</si>
  <si>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</si>
  <si>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</si>
  <si>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</si>
  <si>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</si>
  <si>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</si>
  <si>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</si>
  <si>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</si>
  <si>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Rio de Janerio - Belem</t>
  </si>
  <si>
    <t>C-47-2055</t>
  </si>
  <si>
    <t>Forcheim,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</si>
  <si>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</si>
  <si>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</si>
  <si>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</si>
  <si>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</si>
  <si>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</si>
  <si>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</si>
  <si>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 Wreckage found 54 years after the accident.</t>
  </si>
  <si>
    <t>Mount Parker, Hong Kong</t>
  </si>
  <si>
    <t>Hong Kong - Tainan AFB</t>
  </si>
  <si>
    <t>C-47(DC-3)</t>
  </si>
  <si>
    <t>43-49014</t>
  </si>
  <si>
    <t>26275/14830</t>
  </si>
  <si>
    <t>The aircraft impacted Mount Parker shortly after taking off in foggy weather conditions.</t>
  </si>
  <si>
    <t>Ghadames, Algeria</t>
  </si>
  <si>
    <t>Fort Lamy, Chad - Marseilles, France</t>
  </si>
  <si>
    <t>F-BHBM</t>
  </si>
  <si>
    <t>While en route from Fort Lamy, Chad to Marseilles, France, the airliner crashed and burned in the Sahara Desert on the Algeria / Libya border. Detonation of a nitrocellulose bomb.</t>
  </si>
  <si>
    <t>McChord - Lawton</t>
  </si>
  <si>
    <t>Douglas C-124A-DL</t>
  </si>
  <si>
    <t>51-0174</t>
  </si>
  <si>
    <t>After a night takeoff, while climbing to a height of 500 feet, the airplane went out of control and crashed in a wooded area.</t>
  </si>
  <si>
    <t>Singapore</t>
  </si>
  <si>
    <t>Traing</t>
  </si>
  <si>
    <t>Handley Page Hastings C-2</t>
  </si>
  <si>
    <t>WD497</t>
  </si>
  <si>
    <t>Lost an engine, stalled and crashed.</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</si>
  <si>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</si>
  <si>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</si>
  <si>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</si>
  <si>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</si>
  <si>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</si>
  <si>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</si>
  <si>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</si>
  <si>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</si>
  <si>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</si>
  <si>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</si>
  <si>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</si>
  <si>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</si>
  <si>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</si>
  <si>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</si>
  <si>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</si>
  <si>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</si>
  <si>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</si>
  <si>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LV-FTO</t>
  </si>
  <si>
    <t>Crashed into a trees and telegraph poles on final approach.The pilot failed to follow the instrument approach procedures during the approach.</t>
  </si>
  <si>
    <t xml:space="preserve">	Sverdlovsk, Russia</t>
  </si>
  <si>
    <t xml:space="preserve">	Kazan - 	Sverdlovsk</t>
  </si>
  <si>
    <t>CCCP-41848</t>
  </si>
  <si>
    <t>The plane ran out of fuel and crash landed. Crew did not refuel at Kazan.</t>
  </si>
  <si>
    <t>Odessa, Ukraine, USSR</t>
  </si>
  <si>
    <t>Leningrad - Odessa</t>
  </si>
  <si>
    <t>Tupolev TU-104B</t>
  </si>
  <si>
    <t>CCCP-42447</t>
  </si>
  <si>
    <t>Hit apporach lights while trying to land in heavy rain.</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</si>
  <si>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</si>
  <si>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</si>
  <si>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</si>
  <si>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</si>
  <si>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</si>
  <si>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</si>
  <si>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</si>
  <si>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</si>
  <si>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</si>
  <si>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</si>
  <si>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The aircraft disintegrated in flight following the application of loads in excess of the design loads. The aircraft entered an area of extreme turbulence and was struck by lightning.</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</si>
  <si>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</si>
  <si>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</si>
  <si>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</si>
  <si>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</si>
  <si>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</si>
  <si>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</si>
  <si>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</si>
  <si>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</si>
  <si>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</si>
  <si>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</si>
  <si>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</si>
  <si>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</si>
  <si>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</si>
  <si>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</si>
  <si>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Turkish Airlines THY</t>
  </si>
  <si>
    <t>Nicosia - Adana - Ankara</t>
  </si>
  <si>
    <t>TC-TAY</t>
  </si>
  <si>
    <t>Crashed during approach. During the approach to the airport the aircraft was not in the normal pattern and was below the normal altitude.</t>
  </si>
  <si>
    <t>SondrestrÃ¶mfjord, Greenland</t>
  </si>
  <si>
    <t>Eastern Provincial Airways</t>
  </si>
  <si>
    <t>CF-MEX</t>
  </si>
  <si>
    <t>An in-flight fire, initiated and sustained by a severe fuel leak. The fuel leak was caused by the locking of a carburetor drain plug to unscrew.</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</si>
  <si>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</si>
  <si>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</si>
  <si>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</si>
  <si>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</si>
  <si>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</si>
  <si>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</si>
  <si>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</si>
  <si>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the plane stalled and crashed.</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</si>
  <si>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</si>
  <si>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</si>
  <si>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</si>
  <si>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</si>
  <si>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</si>
  <si>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</si>
  <si>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Cerro del Aernal, Costa Rica</t>
  </si>
  <si>
    <t>Lineas AÃ©reas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</si>
  <si>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</si>
  <si>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</si>
  <si>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</si>
  <si>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</si>
  <si>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</si>
  <si>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</si>
  <si>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</si>
  <si>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</si>
  <si>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</si>
  <si>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</si>
  <si>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</si>
  <si>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</si>
  <si>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Chicago - Tampa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</si>
  <si>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</si>
  <si>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</si>
  <si>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Ndola, Zambia</t>
  </si>
  <si>
    <t>Transair Sweden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</si>
  <si>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</si>
  <si>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</si>
  <si>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</si>
  <si>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</si>
  <si>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</si>
  <si>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</si>
  <si>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</si>
  <si>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</si>
  <si>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</si>
  <si>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</si>
  <si>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</si>
  <si>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</si>
  <si>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El Adem - Luqa</t>
  </si>
  <si>
    <t>WD498</t>
  </si>
  <si>
    <t>The plane stalled and crashed during takeoff.</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</si>
  <si>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</si>
  <si>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</si>
  <si>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</si>
  <si>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</si>
  <si>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Les Prevosts, Guernsey</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</si>
  <si>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</si>
  <si>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</si>
  <si>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</si>
  <si>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</si>
  <si>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</si>
  <si>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</si>
  <si>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</si>
  <si>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</si>
  <si>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</si>
  <si>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</si>
  <si>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</si>
  <si>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</si>
  <si>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</si>
  <si>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</si>
  <si>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</si>
  <si>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Mt Ruapehu, North Island, New Zealand</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</si>
  <si>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</si>
  <si>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</si>
  <si>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</si>
  <si>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</si>
  <si>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</si>
  <si>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</si>
  <si>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</si>
  <si>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</si>
  <si>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</si>
  <si>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</si>
  <si>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</si>
  <si>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</si>
  <si>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</si>
  <si>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</si>
  <si>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</si>
  <si>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</si>
  <si>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</si>
  <si>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</si>
  <si>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Sydney, NSW, Australia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</si>
  <si>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</si>
  <si>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</si>
  <si>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</si>
  <si>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</si>
  <si>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</si>
  <si>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</si>
  <si>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</si>
  <si>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</si>
  <si>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</si>
  <si>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</si>
  <si>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</si>
  <si>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</si>
  <si>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</si>
  <si>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</si>
  <si>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Managua - Miami</t>
  </si>
  <si>
    <t>AN-AOE</t>
  </si>
  <si>
    <t>The cargo plane cashed while attempting to land. Shifting cargo.</t>
  </si>
  <si>
    <t>Near Chebotovka, Russia</t>
  </si>
  <si>
    <t>Moscow - Adler</t>
  </si>
  <si>
    <t>CCCP-75654</t>
  </si>
  <si>
    <t>The plane made an unconcrolled dive and crashed into a snow covered field. The flight engineer inadvertently caused the flaps to be selected to 40 degrees.</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</si>
  <si>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</si>
  <si>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</si>
  <si>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</si>
  <si>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</si>
  <si>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</si>
  <si>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</si>
  <si>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</si>
  <si>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</si>
  <si>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</si>
  <si>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</si>
  <si>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Jakarta -Surabaya</t>
  </si>
  <si>
    <t>PK-GDZ</t>
  </si>
  <si>
    <t>On approach to Surabaya Airport, the plane struck a mountain.</t>
  </si>
  <si>
    <t>Near Mineral Waters, Russia</t>
  </si>
  <si>
    <t>Tbilisi - Mineral Waters</t>
  </si>
  <si>
    <t>CCCP-75757</t>
  </si>
  <si>
    <t>The plane crashed about 3 km southwest of the airport on a second attempt to land at Mineral Waters. Inattention of the crew due to unnecessary interactions among the crew.</t>
  </si>
  <si>
    <t>Near Tippi, Ethiopia</t>
  </si>
  <si>
    <t>Tippi - Jimma</t>
  </si>
  <si>
    <t>ET-T-1</t>
  </si>
  <si>
    <t>Swerved off the runway while taking off and struck a structure.</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</si>
  <si>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</si>
  <si>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</si>
  <si>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</si>
  <si>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</si>
  <si>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</si>
  <si>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</si>
  <si>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</si>
  <si>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 xml:space="preserve">	 9400801</t>
  </si>
  <si>
    <t>Crashed on take off due to engine failure. The No..4 propeller did not feather and the airplane banked to the right, lost speed and crashed.</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</si>
  <si>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</si>
  <si>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</si>
  <si>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</si>
  <si>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</si>
  <si>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</si>
  <si>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</si>
  <si>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</si>
  <si>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</si>
  <si>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</si>
  <si>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</si>
  <si>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</si>
  <si>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</si>
  <si>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</si>
  <si>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</si>
  <si>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</si>
  <si>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</si>
  <si>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</si>
  <si>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</si>
  <si>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</si>
  <si>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</si>
  <si>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</si>
  <si>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</si>
  <si>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</si>
  <si>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</si>
  <si>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</si>
  <si>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</si>
  <si>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</si>
  <si>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</si>
  <si>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</si>
  <si>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</si>
  <si>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</si>
  <si>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</si>
  <si>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</si>
  <si>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Near Alencon, France</t>
  </si>
  <si>
    <t>Training exercise</t>
  </si>
  <si>
    <t>55-0020</t>
  </si>
  <si>
    <t>The transport was taking part in a parachute drop mission with five other aircraft when it crashed.</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</si>
  <si>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</si>
  <si>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</si>
  <si>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</si>
  <si>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</si>
  <si>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Western Pacific 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</si>
  <si>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</si>
  <si>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</si>
  <si>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</si>
  <si>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</si>
  <si>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</si>
  <si>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</si>
  <si>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</si>
  <si>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</si>
  <si>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</si>
  <si>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</si>
  <si>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</si>
  <si>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</si>
  <si>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</si>
  <si>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</si>
  <si>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</si>
  <si>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</si>
  <si>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</si>
  <si>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</si>
  <si>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</si>
  <si>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</si>
  <si>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</si>
  <si>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</si>
  <si>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</si>
  <si>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</si>
  <si>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</si>
  <si>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</si>
  <si>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</si>
  <si>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</si>
  <si>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</si>
  <si>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</si>
  <si>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</si>
  <si>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</si>
  <si>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</si>
  <si>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</si>
  <si>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</si>
  <si>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 xml:space="preserve"> Tachilek - Mandalay</t>
  </si>
  <si>
    <t>UB-BG-707</t>
  </si>
  <si>
    <t>The plane crashed and burned in a ravine after experiencing engine failue minutes after taking off.</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</si>
  <si>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</si>
  <si>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</si>
  <si>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</si>
  <si>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</si>
  <si>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</si>
  <si>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</si>
  <si>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</si>
  <si>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</si>
  <si>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</si>
  <si>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</si>
  <si>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</si>
  <si>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</si>
  <si>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</si>
  <si>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</si>
  <si>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</si>
  <si>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 xml:space="preserve"> Tripoli - Nairobi</t>
  </si>
  <si>
    <t>56-0546</t>
  </si>
  <si>
    <t>Struck a mountain in poor weather conditons.</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</si>
  <si>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</si>
  <si>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</si>
  <si>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</si>
  <si>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</si>
  <si>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</si>
  <si>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</si>
  <si>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</si>
  <si>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</si>
  <si>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</si>
  <si>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Bitter, Russia</t>
  </si>
  <si>
    <t>Bitter - Moscow</t>
  </si>
  <si>
    <t>CCCP-54997</t>
  </si>
  <si>
    <t>The plane lost an engine on take off and crashed 7 km southeast of the Airport.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</si>
  <si>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</si>
  <si>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</si>
  <si>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</si>
  <si>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</si>
  <si>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</si>
  <si>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</si>
  <si>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</si>
  <si>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Sofia - Moscow</t>
  </si>
  <si>
    <t>Tupolev Tu-104B</t>
  </si>
  <si>
    <t>CCCP-42491</t>
  </si>
  <si>
    <t>The cargo plane struck a mountain after losing an engine.</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</si>
  <si>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</si>
  <si>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</si>
  <si>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</si>
  <si>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</si>
  <si>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</si>
  <si>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</si>
  <si>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</si>
  <si>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</si>
  <si>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</si>
  <si>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</si>
  <si>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Irkutsk - Omsk</t>
  </si>
  <si>
    <t>CCCP-42370</t>
  </si>
  <si>
    <t>The aircraft went into an uncontrollable dive from FL 290.</t>
  </si>
  <si>
    <t>Bukhara - Tashkent</t>
  </si>
  <si>
    <t>CCCP-91554</t>
  </si>
  <si>
    <t xml:space="preserve">	147001216</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</si>
  <si>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</si>
  <si>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</si>
  <si>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</si>
  <si>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</si>
  <si>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</si>
  <si>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</si>
  <si>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</si>
  <si>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</si>
  <si>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</si>
  <si>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</si>
  <si>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</si>
  <si>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</si>
  <si>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</si>
  <si>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</si>
  <si>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A vulture crashed through the cockpit window and killed the copilot.</t>
  </si>
  <si>
    <t>Near Loheshyphn, India</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</si>
  <si>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</si>
  <si>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</si>
  <si>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</si>
  <si>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Near Bangkok, Thailand</t>
  </si>
  <si>
    <t>de Havilland Comet 4C</t>
  </si>
  <si>
    <t>SU-AMW</t>
  </si>
  <si>
    <t>Crashed into a jungle on the side of a mountain, 52 nm from the Bangkok airport while on approach. Premature descent. Navigational error.</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</si>
  <si>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</si>
  <si>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</si>
  <si>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</si>
  <si>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</si>
  <si>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</si>
  <si>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</si>
  <si>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</si>
  <si>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</si>
  <si>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</si>
  <si>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</si>
  <si>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</si>
  <si>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</si>
  <si>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</si>
  <si>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</si>
  <si>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</si>
  <si>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</si>
  <si>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</si>
  <si>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</si>
  <si>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</si>
  <si>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</si>
  <si>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</si>
  <si>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Barrancabermeja,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</si>
  <si>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</si>
  <si>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</si>
  <si>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</si>
  <si>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</si>
  <si>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</si>
  <si>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</si>
  <si>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Crashed into the jungle near San Ramon.</t>
  </si>
  <si>
    <t>Yanoyaki, Japan</t>
  </si>
  <si>
    <t>Military - Japan Maritime Self Defense Force</t>
  </si>
  <si>
    <t>Lockheed P2V-7</t>
  </si>
  <si>
    <t>KA-4628</t>
  </si>
  <si>
    <t>On a disaster relief mission, the plane clipped tree tops and crashed.</t>
  </si>
  <si>
    <t>Near Khabarovsk, USSR</t>
  </si>
  <si>
    <t>Khabarovk - Petropavlovsk</t>
  </si>
  <si>
    <t>CCCP-42366</t>
  </si>
  <si>
    <t>The airliner crashed and burned 10 minutes after taking off from Khabarovsk Airport.The crew reported that they were experiencing shaking and uncontrollable roll and yaw.</t>
  </si>
  <si>
    <t>Near Lake Milton, Ohio</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</si>
  <si>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</si>
  <si>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</si>
  <si>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</si>
  <si>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</si>
  <si>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Brno, Czechoslovakia</t>
  </si>
  <si>
    <t>Bratislava - Brno</t>
  </si>
  <si>
    <t>OK-MCT</t>
  </si>
  <si>
    <t>Near Milan, Washington</t>
  </si>
  <si>
    <t>Ellsworth AFB - Fairchild AFB</t>
  </si>
  <si>
    <t>60-0352</t>
  </si>
  <si>
    <t>Crashed into a fog shrouded wooded ravine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</si>
  <si>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</si>
  <si>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</si>
  <si>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</si>
  <si>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</si>
  <si>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</si>
  <si>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Yakut, Russia</t>
  </si>
  <si>
    <t>Chersky - Bilibino</t>
  </si>
  <si>
    <t>CCCP-61628</t>
  </si>
  <si>
    <t>Collided with a mountain while en route. Crew error. Flew below minimums into a cloud covered mountainous area.</t>
  </si>
  <si>
    <t>Sela Pass, India</t>
  </si>
  <si>
    <t>VT-DGX</t>
  </si>
  <si>
    <t>While en route in bad weather conditions, the airplane struck the slope of a mountain located in the region of the Sela Pass.</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</si>
  <si>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</si>
  <si>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</si>
  <si>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</si>
  <si>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</si>
  <si>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</si>
  <si>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</si>
  <si>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</si>
  <si>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Bagotville, Quebec, Canada</t>
  </si>
  <si>
    <t xml:space="preserve">	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</si>
  <si>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</si>
  <si>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</si>
  <si>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</si>
  <si>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</si>
  <si>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</si>
  <si>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</si>
  <si>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</si>
  <si>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</si>
  <si>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</si>
  <si>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</si>
  <si>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</si>
  <si>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</si>
  <si>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</si>
  <si>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</si>
  <si>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</si>
  <si>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</si>
  <si>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</si>
  <si>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</si>
  <si>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</si>
  <si>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</si>
  <si>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</si>
  <si>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Near Nagoya, Japan</t>
  </si>
  <si>
    <t>Vickers 828 Viscount</t>
  </si>
  <si>
    <t>JA8202</t>
  </si>
  <si>
    <t>Made a sharp turn, nosed up and hit the ground.</t>
  </si>
  <si>
    <t>Sao TomÃ© &amp; Principe</t>
  </si>
  <si>
    <t>Crashed while taking off in a storm.</t>
  </si>
  <si>
    <t>Frankfurt - Paris</t>
  </si>
  <si>
    <t>Ilyushin IL-18D</t>
  </si>
  <si>
    <t>HA-MOD</t>
  </si>
  <si>
    <t>Stalled and crashed during approach, 0.5 miles from the outer marker. Cause undetermined.</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</si>
  <si>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</si>
  <si>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</si>
  <si>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</si>
  <si>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</si>
  <si>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Paraibuna, Brazil</t>
  </si>
  <si>
    <t>VASP / Private</t>
  </si>
  <si>
    <t>Saab Scandia / Cessna 310</t>
  </si>
  <si>
    <t>PP-SRA</t>
  </si>
  <si>
    <t>Midair collision with a Cessna at 2,400 m. Twenty-three killed on the Saab, three on the Cessna. Both pilots failed to maintain adequate lookouts for other aircraft.</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</si>
  <si>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</si>
  <si>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</si>
  <si>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</si>
  <si>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</si>
  <si>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</si>
  <si>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</si>
  <si>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</si>
  <si>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</si>
  <si>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</si>
  <si>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</si>
  <si>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</si>
  <si>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</si>
  <si>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</si>
  <si>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</si>
  <si>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</si>
  <si>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</si>
  <si>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</si>
  <si>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</si>
  <si>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</si>
  <si>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Berlin - Warsaw</t>
  </si>
  <si>
    <t>Vickers Viscount 804</t>
  </si>
  <si>
    <t>SP-LVB</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</si>
  <si>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</si>
  <si>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</si>
  <si>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</si>
  <si>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</si>
  <si>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</si>
  <si>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</si>
  <si>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</si>
  <si>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</si>
  <si>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</si>
  <si>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</si>
  <si>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</si>
  <si>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</si>
  <si>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</si>
  <si>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</si>
  <si>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Monte Renoso,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</si>
  <si>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</si>
  <si>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</si>
  <si>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</si>
  <si>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</si>
  <si>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</si>
  <si>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</si>
  <si>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</si>
  <si>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</si>
  <si>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</si>
  <si>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</si>
  <si>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 xml:space="preserve"> Rio de Janeiro - SÃ£o Paulo</t>
  </si>
  <si>
    <t>PP-CEV</t>
  </si>
  <si>
    <t>The crippled airliner crashed into houses and burst into flames as it was coming in for an emergency landing in steady rain. Control was lost while attempting a go around manoeuvre due top the failure of the left engine.</t>
  </si>
  <si>
    <t>Great Salt Lake, Utah</t>
  </si>
  <si>
    <t>West Coast Airlines</t>
  </si>
  <si>
    <t>N2703</t>
  </si>
  <si>
    <t>Crashed into the Great Salt Lake while practicing an emergency decent during training. Crews lack of vigilance for undetermined reason.</t>
  </si>
  <si>
    <t>Kotzebue, Alaska</t>
  </si>
  <si>
    <t>Skyvan Airways</t>
  </si>
  <si>
    <t>Kotzebue - Cape Lisburne</t>
  </si>
  <si>
    <t>N67933</t>
  </si>
  <si>
    <t>The cargo plane crashed after a go-around was attempted.  An uncontrollable loss of altitude caused by adverse wind conditions during an attempted go-around.</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</si>
  <si>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</si>
  <si>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</si>
  <si>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</si>
  <si>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</si>
  <si>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</si>
  <si>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</si>
  <si>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</si>
  <si>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</si>
  <si>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</si>
  <si>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</si>
  <si>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</si>
  <si>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</si>
  <si>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</si>
  <si>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</si>
  <si>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</si>
  <si>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</si>
  <si>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</si>
  <si>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</si>
  <si>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</si>
  <si>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</si>
  <si>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</si>
  <si>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</si>
  <si>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</si>
  <si>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</si>
  <si>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</si>
  <si>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</si>
  <si>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</si>
  <si>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</si>
  <si>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</si>
  <si>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</si>
  <si>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</si>
  <si>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</si>
  <si>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</si>
  <si>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</si>
  <si>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</si>
  <si>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Ashgabat, Turkmenistan</t>
  </si>
  <si>
    <t xml:space="preserve">	Krasnovodsk - Ashgabat</t>
  </si>
  <si>
    <t>Ilyushin IL-18V</t>
  </si>
  <si>
    <t>CCCP-75765</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</si>
  <si>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</si>
  <si>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</si>
  <si>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</si>
  <si>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</si>
  <si>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</si>
  <si>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</si>
  <si>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</si>
  <si>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</si>
  <si>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</si>
  <si>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</si>
  <si>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</si>
  <si>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</si>
  <si>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</si>
  <si>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</si>
  <si>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</si>
  <si>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</si>
  <si>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</si>
  <si>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Monte Matto, Italy</t>
  </si>
  <si>
    <t>Saudi Arabian Royal Flight</t>
  </si>
  <si>
    <t>Geneva - Nice</t>
  </si>
  <si>
    <t>SA-R-7</t>
  </si>
  <si>
    <t>Tthe airplane struck the slope of Mt Matto located 28 km southwest of Cuneo.</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</si>
  <si>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</si>
  <si>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</si>
  <si>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</si>
  <si>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</si>
  <si>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</si>
  <si>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</si>
  <si>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</si>
  <si>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</si>
  <si>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</si>
  <si>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</si>
  <si>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</si>
  <si>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</si>
  <si>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</si>
  <si>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</si>
  <si>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</si>
  <si>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</si>
  <si>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</si>
  <si>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</si>
  <si>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</si>
  <si>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</si>
  <si>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</si>
  <si>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</si>
  <si>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</si>
  <si>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</si>
  <si>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</si>
  <si>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</si>
  <si>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</si>
  <si>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climbing in a sand storm.</t>
  </si>
  <si>
    <t>Pacific 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</si>
  <si>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</si>
  <si>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</si>
  <si>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</si>
  <si>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</si>
  <si>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</si>
  <si>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</si>
  <si>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</si>
  <si>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</si>
  <si>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</si>
  <si>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</si>
  <si>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</si>
  <si>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</si>
  <si>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Crashed  into Mt. Kaolokung while attempting to land.</t>
  </si>
  <si>
    <t>Near Aysen, Chile</t>
  </si>
  <si>
    <t>Military - Chilean Air Force</t>
  </si>
  <si>
    <t>Coihaique - Pueto AysÃ©n</t>
  </si>
  <si>
    <t>FAC-953</t>
  </si>
  <si>
    <t>While descending, the aircraft struck the slope of Mt PÃ©rez located 42 km from the airport.</t>
  </si>
  <si>
    <t>Bekkessamson, Hungary</t>
  </si>
  <si>
    <t>Tarom</t>
  </si>
  <si>
    <t>Munchen - Constanta</t>
  </si>
  <si>
    <t>VEB 14P</t>
  </si>
  <si>
    <t>YR-ILL</t>
  </si>
  <si>
    <t>Crashed between Totkomlos Bekessamson while en route.</t>
  </si>
  <si>
    <t>Near Augustdorf, West Germany</t>
  </si>
  <si>
    <t>Brussels - GÃ¼tersloh</t>
  </si>
  <si>
    <t>Fairchild C-119</t>
  </si>
  <si>
    <t>CP-45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</si>
  <si>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</si>
  <si>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</si>
  <si>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</si>
  <si>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</si>
  <si>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</si>
  <si>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</si>
  <si>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</si>
  <si>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</si>
  <si>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</si>
  <si>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</si>
  <si>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</si>
  <si>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</si>
  <si>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</si>
  <si>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</si>
  <si>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</si>
  <si>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</si>
  <si>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</si>
  <si>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</si>
  <si>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</si>
  <si>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Crashed 2 miles short of the runway during approach. Premature descent.</t>
  </si>
  <si>
    <t>Farafangana, Madagascar</t>
  </si>
  <si>
    <t>Air Madagascar</t>
  </si>
  <si>
    <t>5R-MAJ</t>
  </si>
  <si>
    <t>Pak Tha, Laos</t>
  </si>
  <si>
    <t>Air America</t>
  </si>
  <si>
    <t>B-148</t>
  </si>
  <si>
    <t>The cargo plane crashed into a fog shrouded mountain.</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</si>
  <si>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</si>
  <si>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</si>
  <si>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</si>
  <si>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IbicarÃ©, Brazil</t>
  </si>
  <si>
    <t>Sadai</t>
  </si>
  <si>
    <t>JoaÃ§aba - Videira</t>
  </si>
  <si>
    <t>PP-SLL</t>
  </si>
  <si>
    <t>While flying under VFR rules, the airplane struck the slope of a mountain located near IbicarÃ©, 25 km southwest of Videira.</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</si>
  <si>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</si>
  <si>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</si>
  <si>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</si>
  <si>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</si>
  <si>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</si>
  <si>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</si>
  <si>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</si>
  <si>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</si>
  <si>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</si>
  <si>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</si>
  <si>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</si>
  <si>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Hachijo-jima - Tokyo</t>
  </si>
  <si>
    <t>JA6155</t>
  </si>
  <si>
    <t>Crashed into mountains shortly after taking off from Hachijo. Navigation error. Followed wrong departure route.</t>
  </si>
  <si>
    <t>Near Leningrad , Russia</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</si>
  <si>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</si>
  <si>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</si>
  <si>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</si>
  <si>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</si>
  <si>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</si>
  <si>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</si>
  <si>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</si>
  <si>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</si>
  <si>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</si>
  <si>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</si>
  <si>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</si>
  <si>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</si>
  <si>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</si>
  <si>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</si>
  <si>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</si>
  <si>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</si>
  <si>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</si>
  <si>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</si>
  <si>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</si>
  <si>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</si>
  <si>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</si>
  <si>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</si>
  <si>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</si>
  <si>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</si>
  <si>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</si>
  <si>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VT-DIO</t>
  </si>
  <si>
    <t>Went into a steep dive and crashed into a field. Cause unknown.</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</si>
  <si>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</si>
  <si>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</si>
  <si>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</si>
  <si>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</si>
  <si>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</si>
  <si>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</si>
  <si>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</si>
  <si>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</si>
  <si>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Near Marseilles, France</t>
  </si>
  <si>
    <t>Aeronaves de Panama</t>
  </si>
  <si>
    <t>Marseilles, France - Dhah, Saudi Arabia</t>
  </si>
  <si>
    <t>Douglas C-74</t>
  </si>
  <si>
    <t>HP-385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</si>
  <si>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</si>
  <si>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</si>
  <si>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</si>
  <si>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</si>
  <si>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</si>
  <si>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</si>
  <si>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</si>
  <si>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</si>
  <si>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Cairo - Aswan</t>
  </si>
  <si>
    <t>Antonov AN-12</t>
  </si>
  <si>
    <t>Crashed and  burned in a sandstorm while attempting to land at Aswan.</t>
  </si>
  <si>
    <t>Hayes Island, Russia</t>
  </si>
  <si>
    <t>CCCP-04188</t>
  </si>
  <si>
    <t>Failure of the crew to follow the published procedure while cruising at an insufficient altitude in limited visibility.</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</si>
  <si>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</si>
  <si>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</si>
  <si>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</si>
  <si>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</si>
  <si>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</si>
  <si>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</si>
  <si>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</si>
  <si>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</si>
  <si>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</si>
  <si>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</si>
  <si>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</si>
  <si>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</si>
  <si>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</si>
  <si>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</si>
  <si>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</si>
  <si>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</si>
  <si>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</si>
  <si>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</si>
  <si>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</si>
  <si>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</si>
  <si>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</si>
  <si>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</si>
  <si>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</si>
  <si>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</si>
  <si>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</si>
  <si>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</si>
  <si>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</si>
  <si>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</si>
  <si>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</si>
  <si>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</si>
  <si>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</si>
  <si>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</si>
  <si>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</si>
  <si>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</si>
  <si>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</si>
  <si>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</si>
  <si>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</si>
  <si>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</si>
  <si>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</si>
  <si>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</si>
  <si>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</si>
  <si>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</si>
  <si>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</si>
  <si>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</si>
  <si>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</si>
  <si>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</si>
  <si>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</si>
  <si>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</si>
  <si>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</si>
  <si>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</si>
  <si>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</si>
  <si>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AÃ©reo Boliviano</t>
  </si>
  <si>
    <t>Yacuiba - La Paz</t>
  </si>
  <si>
    <t>CP- 568</t>
  </si>
  <si>
    <t>The aircraft stalled and  crashed at the end of the runway after liftoff.</t>
  </si>
  <si>
    <t>Banihal Pass, India</t>
  </si>
  <si>
    <t>Srinagar - Udhampur</t>
  </si>
  <si>
    <t>Marawi, Philippines</t>
  </si>
  <si>
    <t>Cotabato - Malabang - Iligan - Cayagan de Oro</t>
  </si>
  <si>
    <t>PI-C97</t>
  </si>
  <si>
    <t>14944/2638</t>
  </si>
  <si>
    <t>Struck trees on a mountain ridge and crashed while attempting to land. Continued flight under VFR into IFR conditions.</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</si>
  <si>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</si>
  <si>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</si>
  <si>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</si>
  <si>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</si>
  <si>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</si>
  <si>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</si>
  <si>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</si>
  <si>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</si>
  <si>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</si>
  <si>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</si>
  <si>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</si>
  <si>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</si>
  <si>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</si>
  <si>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</si>
  <si>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</si>
  <si>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</si>
  <si>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</si>
  <si>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</si>
  <si>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</si>
  <si>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</si>
  <si>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</si>
  <si>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</si>
  <si>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</si>
  <si>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</si>
  <si>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</si>
  <si>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</si>
  <si>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</si>
  <si>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</si>
  <si>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</si>
  <si>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</si>
  <si>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</si>
  <si>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</si>
  <si>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</si>
  <si>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</si>
  <si>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</si>
  <si>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</si>
  <si>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</si>
  <si>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</si>
  <si>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</si>
  <si>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</si>
  <si>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</si>
  <si>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</si>
  <si>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</si>
  <si>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Commercial Air Taxi</t>
  </si>
  <si>
    <t>Piper PA-23</t>
  </si>
  <si>
    <t>N4320P</t>
  </si>
  <si>
    <t>The aircraft suffered engine failure in flight and crashed. Carburetor icing. Improper emergency procedures. Alcohol impairment.</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</si>
  <si>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</si>
  <si>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</si>
  <si>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</si>
  <si>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</si>
  <si>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</si>
  <si>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</si>
  <si>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</si>
  <si>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</si>
  <si>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Hargeisa, Somalia</t>
  </si>
  <si>
    <t>Aden Airways</t>
  </si>
  <si>
    <t>Aden - Hargeisa</t>
  </si>
  <si>
    <t>VR-AAM</t>
  </si>
  <si>
    <t>15530/26975</t>
  </si>
  <si>
    <t>Crashed while approaching the airport.</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</si>
  <si>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</si>
  <si>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</si>
  <si>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</si>
  <si>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</si>
  <si>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</si>
  <si>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</si>
  <si>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</si>
  <si>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</si>
  <si>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</si>
  <si>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</si>
  <si>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</si>
  <si>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</si>
  <si>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</si>
  <si>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</si>
  <si>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</si>
  <si>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</si>
  <si>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</si>
  <si>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</si>
  <si>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</si>
  <si>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</si>
  <si>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</si>
  <si>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</si>
  <si>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</si>
  <si>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</si>
  <si>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</si>
  <si>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</si>
  <si>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Itapecerica da Serra, Brazil</t>
  </si>
  <si>
    <t>PP-SPZ</t>
  </si>
  <si>
    <t>The plane was being used for training. Witnesses reported the plane exploded in the air  and broke in three parts before reaching the ground. The body of one of the crew was seen being thrown out of the cabin.</t>
  </si>
  <si>
    <t>Jeddah, Saudia Arabia Jeddah, Saudia Arabia</t>
  </si>
  <si>
    <t>Saudi Arabian Airlines</t>
  </si>
  <si>
    <t>HZ-AAN</t>
  </si>
  <si>
    <t>Crashed into the Red Sea.</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</si>
  <si>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</si>
  <si>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</si>
  <si>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</si>
  <si>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</si>
  <si>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</si>
  <si>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</si>
  <si>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</si>
  <si>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</si>
  <si>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</si>
  <si>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Both engines failed and the plane ditched 1 mile offshore and sank.</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</si>
  <si>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</si>
  <si>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</si>
  <si>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</si>
  <si>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</si>
  <si>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</si>
  <si>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</si>
  <si>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</si>
  <si>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</si>
  <si>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New York City - Richmond - Jacksonville</t>
  </si>
  <si>
    <t>N809D</t>
  </si>
  <si>
    <t>44860/616</t>
  </si>
  <si>
    <t>Landed 17 feet short of the runway threshold, tore off the landing gear, slid and caught fire. Pilot misjudged altitude and distance and undershot during landing.</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</si>
  <si>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</si>
  <si>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</si>
  <si>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</si>
  <si>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</si>
  <si>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</si>
  <si>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Servicios AÃ©reos Cochabamba</t>
  </si>
  <si>
    <t>Douglas C-47A-25-DK</t>
  </si>
  <si>
    <t>CP-680</t>
  </si>
  <si>
    <t>Struck Huayna Hill in poor weather. The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</si>
  <si>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</si>
  <si>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</si>
  <si>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</si>
  <si>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</si>
  <si>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Vaong Nong, Thailand</t>
  </si>
  <si>
    <t>Khoke Kathiam - Vaong Nong</t>
  </si>
  <si>
    <t>Struck a tree and crashed during a nighttime landing attempt.</t>
  </si>
  <si>
    <t>Pico da Caledonia, Brazil</t>
  </si>
  <si>
    <t>Vickers Viscount 710C</t>
  </si>
  <si>
    <t>PP-SRR</t>
  </si>
  <si>
    <t>Crashed into Mt. Nova. Deviated off course for unknown reasons.</t>
  </si>
  <si>
    <t>Near Condoto, Colombia</t>
  </si>
  <si>
    <t>Condoto - Medellin</t>
  </si>
  <si>
    <t>HK-319</t>
  </si>
  <si>
    <t>The cargo plane touched down, bounced twice, climbed and crashed. Improperly loaded cargo.</t>
  </si>
  <si>
    <t>Addis Ababa, Ethiopia</t>
  </si>
  <si>
    <t>Interocean</t>
  </si>
  <si>
    <t>Dublin, Ireland - Addis Ababa</t>
  </si>
  <si>
    <t>Lockheed L-749A-79 Constellation</t>
  </si>
  <si>
    <t>LX-IOK</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</si>
  <si>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</si>
  <si>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</si>
  <si>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</si>
  <si>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</si>
  <si>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</si>
  <si>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</si>
  <si>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Near Sibiu, Romania</t>
  </si>
  <si>
    <t>Timisoara - Bucharest</t>
  </si>
  <si>
    <t>YR-ILB</t>
  </si>
  <si>
    <t>En route, the airplane encountered strong downdrafts and severe turbulences, causing the fuselage to fail.</t>
  </si>
  <si>
    <t>Near Belgrade, Yugoslavia</t>
  </si>
  <si>
    <t>Moscow - Belgrade</t>
  </si>
  <si>
    <t>CCCP-75668</t>
  </si>
  <si>
    <t>183 0057 04</t>
  </si>
  <si>
    <t>Instructed to land at Belgrade from the west, the aircraft was too low and off course when it hit Avala Hill, 600 ft. below the peak, exploding in flames.</t>
  </si>
  <si>
    <t>Branson, Colorado</t>
  </si>
  <si>
    <t>Mustang Aviati</t>
  </si>
  <si>
    <t>Beechcraft C45G</t>
  </si>
  <si>
    <t>N2849G</t>
  </si>
  <si>
    <t xml:space="preserve"> AF-383</t>
  </si>
  <si>
    <t>Crashed while en route after pilot continued VFR flight into adverse weather conditions.</t>
  </si>
  <si>
    <t>Las Vegas, Nevada</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</si>
  <si>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</si>
  <si>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</si>
  <si>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</si>
  <si>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</si>
  <si>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</si>
  <si>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</si>
  <si>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185-5075</t>
  </si>
  <si>
    <t>Crashed into the ocean while on maneuvers.</t>
  </si>
  <si>
    <t>Angelholm, Sweden</t>
  </si>
  <si>
    <t>Linjeflyg</t>
  </si>
  <si>
    <t>Stockholm - Hultsfred - Halmstad - Ã„ngelholm</t>
  </si>
  <si>
    <t>Convair CV-440</t>
  </si>
  <si>
    <t>SE-CCK</t>
  </si>
  <si>
    <t>Descended prematurely struck the ground 2 km short of  the runway. Crew mistook lights perpendicular to the runway for runway lights and descended prematurely.</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</si>
  <si>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</si>
  <si>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</si>
  <si>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</si>
  <si>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</si>
  <si>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</si>
  <si>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</si>
  <si>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</si>
  <si>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</si>
  <si>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</si>
  <si>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</si>
  <si>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</si>
  <si>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</si>
  <si>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</si>
  <si>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</si>
  <si>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</si>
  <si>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</si>
  <si>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</si>
  <si>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</si>
  <si>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</si>
  <si>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</si>
  <si>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</si>
  <si>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</si>
  <si>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</si>
  <si>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</si>
  <si>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</si>
  <si>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</si>
  <si>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</si>
  <si>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</si>
  <si>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</si>
  <si>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</si>
  <si>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</si>
  <si>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</si>
  <si>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Guatemala City - Panama City</t>
  </si>
  <si>
    <t>CC-CAN</t>
  </si>
  <si>
    <t>The cargo plane crashed on slope of the Turrialba Volcano while en route.</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</si>
  <si>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</si>
  <si>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</si>
  <si>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</si>
  <si>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</si>
  <si>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</si>
  <si>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Near Darwaza, Russia</t>
  </si>
  <si>
    <t xml:space="preserve"> Darwaza - Ashgabat</t>
  </si>
  <si>
    <t>CCCP-63842</t>
  </si>
  <si>
    <t>The plane took off and crashed. Fuel starvation. Fuel selector positioned to an empty tank.</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</si>
  <si>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</si>
  <si>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</si>
  <si>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</si>
  <si>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</si>
  <si>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</si>
  <si>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</si>
  <si>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</si>
  <si>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</si>
  <si>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Near Durango, Mexico</t>
  </si>
  <si>
    <t>Aerovias del Norte</t>
  </si>
  <si>
    <t>Durango  Zapotes</t>
  </si>
  <si>
    <t>XA-NUT</t>
  </si>
  <si>
    <t>Crashed while attempting to land and caught fire.</t>
  </si>
  <si>
    <t>Mt. Helmos. Greece</t>
  </si>
  <si>
    <t>Aviano - Athens</t>
  </si>
  <si>
    <t>52-1058</t>
  </si>
  <si>
    <t>In poor visibility, struck Mt Helmos located near KalÃ¡vryta, 40 km southeast of Patras.</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</si>
  <si>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</si>
  <si>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</si>
  <si>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</si>
  <si>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</si>
  <si>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</si>
  <si>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</si>
  <si>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</si>
  <si>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</si>
  <si>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</si>
  <si>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</si>
  <si>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</si>
  <si>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</si>
  <si>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</si>
  <si>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Near Shirinbulak, Azerbaijan</t>
  </si>
  <si>
    <t>A-3</t>
  </si>
  <si>
    <t>Yevlakh - Nuha</t>
  </si>
  <si>
    <t>CCCP-52003</t>
  </si>
  <si>
    <t>Crashed. Crew error. Premature descent.</t>
  </si>
  <si>
    <t>Near Aradan, Russia</t>
  </si>
  <si>
    <t>CCCP-54971</t>
  </si>
  <si>
    <t>Crashed into mountainous area while en route. Failure of the rudder assembly.</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</si>
  <si>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</si>
  <si>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</si>
  <si>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</si>
  <si>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</si>
  <si>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</si>
  <si>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 xml:space="preserve"> Kuibyshev , Russia</t>
  </si>
  <si>
    <t>Kuibyshev - Rostov-on-Don</t>
  </si>
  <si>
    <t>Tupolev Tu-124V</t>
  </si>
  <si>
    <t>CCCP-45028</t>
  </si>
  <si>
    <t>The plane crashed in a snowy field after taking off. Jamming of the elevator control and engine trouble.</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</si>
  <si>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</si>
  <si>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</si>
  <si>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</si>
  <si>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</si>
  <si>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</si>
  <si>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Khanty, Russia</t>
  </si>
  <si>
    <t>CCCP-46764</t>
  </si>
  <si>
    <t>Tyumen - Khanty</t>
  </si>
  <si>
    <t>Antonov AN-24</t>
  </si>
  <si>
    <t>While attempting to land the plane  undershot the runway, hit a snowdrift, broke up and caught fire.</t>
  </si>
  <si>
    <t>Sugar Loaf Mountain, Colombia</t>
  </si>
  <si>
    <t>Bogota - Bucaramanga</t>
  </si>
  <si>
    <t>HK-109</t>
  </si>
  <si>
    <t>Crashed into Pan de Azucar Peak, 35 nm from Bucaramanga. Flying under VFR in IFR conditions.</t>
  </si>
  <si>
    <t>Canadair CP-107 MK-2</t>
  </si>
  <si>
    <t>The plane was participating in U.S. - Canadian maneuvers.</t>
  </si>
  <si>
    <t>Lowery Pass, Pakistan</t>
  </si>
  <si>
    <t>Peshawar - Chitral</t>
  </si>
  <si>
    <t>AP-AAH</t>
  </si>
  <si>
    <t>Crashed into a mountain  near the Lowari Pass.</t>
  </si>
  <si>
    <t>Off Tangier, Morocco</t>
  </si>
  <si>
    <t>Malaga - Tangiers</t>
  </si>
  <si>
    <t>EC-ATH</t>
  </si>
  <si>
    <t>Stalled and crashed into the sea 10 nm off the coast of Tangier. Reason unknown.</t>
  </si>
  <si>
    <t>Near Damascus, Syria</t>
  </si>
  <si>
    <t>Alia Royal Jordanian Airlines</t>
  </si>
  <si>
    <t>Beirut  - Amman</t>
  </si>
  <si>
    <t>Handley Page Dart Herald 207</t>
  </si>
  <si>
    <t>JY-ACQ</t>
  </si>
  <si>
    <t>The plane flew into a mountain at 4,200 ft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</si>
  <si>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</si>
  <si>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</si>
  <si>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</si>
  <si>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</si>
  <si>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</si>
  <si>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</si>
  <si>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</si>
  <si>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</si>
  <si>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</si>
  <si>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</si>
  <si>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</si>
  <si>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</si>
  <si>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</si>
  <si>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</si>
  <si>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</si>
  <si>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</si>
  <si>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</si>
  <si>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</si>
  <si>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</si>
  <si>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</si>
  <si>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</si>
  <si>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</si>
  <si>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</si>
  <si>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</si>
  <si>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</si>
  <si>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</si>
  <si>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</si>
  <si>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</si>
  <si>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</si>
  <si>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</si>
  <si>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</si>
  <si>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</si>
  <si>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</si>
  <si>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</si>
  <si>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</si>
  <si>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</si>
  <si>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</si>
  <si>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</si>
  <si>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</si>
  <si>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</si>
  <si>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</si>
  <si>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</si>
  <si>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</si>
  <si>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</si>
  <si>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</si>
  <si>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</si>
  <si>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</si>
  <si>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</si>
  <si>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</si>
  <si>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</si>
  <si>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</si>
  <si>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</si>
  <si>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</si>
  <si>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</si>
  <si>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</si>
  <si>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</si>
  <si>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</si>
  <si>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</si>
  <si>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</si>
  <si>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</si>
  <si>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</si>
  <si>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</si>
  <si>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</si>
  <si>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</si>
  <si>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</si>
  <si>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</si>
  <si>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</si>
  <si>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</si>
  <si>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</si>
  <si>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</si>
  <si>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</si>
  <si>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</si>
  <si>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</si>
  <si>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</si>
  <si>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</si>
  <si>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</si>
  <si>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</si>
  <si>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</si>
  <si>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</si>
  <si>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</si>
  <si>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</si>
  <si>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</si>
  <si>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</si>
  <si>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</si>
  <si>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</si>
  <si>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Aero Commander 680</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</si>
  <si>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</si>
  <si>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</si>
  <si>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</si>
  <si>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</si>
  <si>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</si>
  <si>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</si>
  <si>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</si>
  <si>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Gore, Ethiopia</t>
  </si>
  <si>
    <t>Addis Ababa - Gore</t>
  </si>
  <si>
    <t>ET-ABI</t>
  </si>
  <si>
    <t>Quang Ngai, South Vietnam</t>
  </si>
  <si>
    <t>Qu?ng NgÃ£i - Saigon</t>
  </si>
  <si>
    <t>XV-NIC</t>
  </si>
  <si>
    <t>Shot down by Communist ground fire.</t>
  </si>
  <si>
    <t>Near Pastaza, Ecuador</t>
  </si>
  <si>
    <t>TAO</t>
  </si>
  <si>
    <t>Coca - Pastaza</t>
  </si>
  <si>
    <t>Transportes AÃ©reos Orientales</t>
  </si>
  <si>
    <t>HC-AFQ</t>
  </si>
  <si>
    <t>17009/34272</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</si>
  <si>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</si>
  <si>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</si>
  <si>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</si>
  <si>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</si>
  <si>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</si>
  <si>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</si>
  <si>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</si>
  <si>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</si>
  <si>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</si>
  <si>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AF-45</t>
  </si>
  <si>
    <t>Collided with houses during an uncontrolled descent.</t>
  </si>
  <si>
    <t>Near Patian, Pakistan</t>
  </si>
  <si>
    <t>Rawalpindi - Skardu</t>
  </si>
  <si>
    <t>Fokker F-27 Friendship 200</t>
  </si>
  <si>
    <t>AP-ATT</t>
  </si>
  <si>
    <t>The cago plane did not clear a ridge and crashed.</t>
  </si>
  <si>
    <t>Bucaramanga, Colombia</t>
  </si>
  <si>
    <t>Douglas DC-3 / Piper PA-18A</t>
  </si>
  <si>
    <t>HK-118/HK-922F</t>
  </si>
  <si>
    <t>Midair collision between a Douglas DC-3 and Piper PA-18.  Eighteen killed on the DC-3, one on the Piper.</t>
  </si>
  <si>
    <t>Near Hanoi, Vietnam</t>
  </si>
  <si>
    <t>International Control Commision</t>
  </si>
  <si>
    <t>Vientiane - Hanoi</t>
  </si>
  <si>
    <t>Boeing 307 Stratoliner B-1</t>
  </si>
  <si>
    <t>F-BELV</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</si>
  <si>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</si>
  <si>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</si>
  <si>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</si>
  <si>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</si>
  <si>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</si>
  <si>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</si>
  <si>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</si>
  <si>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</si>
  <si>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</si>
  <si>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</si>
  <si>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</si>
  <si>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Puerto Lemon, Costa Rica</t>
  </si>
  <si>
    <t>Buenos Aires - Howard - San Salvador</t>
  </si>
  <si>
    <t>TC-48</t>
  </si>
  <si>
    <t>Disappeared over the Gulf after the pilot sent a distress message reporting a fire in the No. 3 engine. Cause unknown.</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</si>
  <si>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</si>
  <si>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</si>
  <si>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</si>
  <si>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</si>
  <si>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</si>
  <si>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</si>
  <si>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</si>
  <si>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</si>
  <si>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</si>
  <si>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</si>
  <si>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The plane crashed while en route. Flight on an prohibited route in adverse weather. Flight VFR in IFR conditions.</t>
  </si>
  <si>
    <t>Murmansk, Russia</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</si>
  <si>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</si>
  <si>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</si>
  <si>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</si>
  <si>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</si>
  <si>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</si>
  <si>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</si>
  <si>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</si>
  <si>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</si>
  <si>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</si>
  <si>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</si>
  <si>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</si>
  <si>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</si>
  <si>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</si>
  <si>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</si>
  <si>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</si>
  <si>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</si>
  <si>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</si>
  <si>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</si>
  <si>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</si>
  <si>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</si>
  <si>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</si>
  <si>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</si>
  <si>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</si>
  <si>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</si>
  <si>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</si>
  <si>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</si>
  <si>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</si>
  <si>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</si>
  <si>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</si>
  <si>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</si>
  <si>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</si>
  <si>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</si>
  <si>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</si>
  <si>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</si>
  <si>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</si>
  <si>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</si>
  <si>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</si>
  <si>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</si>
  <si>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Legaspi, Philippines</t>
  </si>
  <si>
    <t>Air Manila</t>
  </si>
  <si>
    <t>Manila - Legazpi</t>
  </si>
  <si>
    <t>PI-C856</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</si>
  <si>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</si>
  <si>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</si>
  <si>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</si>
  <si>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</si>
  <si>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</si>
  <si>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</si>
  <si>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</si>
  <si>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</si>
  <si>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Kamchatsky, Russia</t>
  </si>
  <si>
    <t>Magadan - Petropavlovsk-Kamchatsky</t>
  </si>
  <si>
    <t>CCCP-61618</t>
  </si>
  <si>
    <t>Crashed due to engine failure due to the destruction of the cylinder head number 12</t>
  </si>
  <si>
    <t>Chipaque, Cundinamarca, Colombia</t>
  </si>
  <si>
    <t>Satena</t>
  </si>
  <si>
    <t>Tres Esquinas - Bogota</t>
  </si>
  <si>
    <t>DC3(C47)</t>
  </si>
  <si>
    <t>FAC-675</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</si>
  <si>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</si>
  <si>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</si>
  <si>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</si>
  <si>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</si>
  <si>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</si>
  <si>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</si>
  <si>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Bogata - Crespo</t>
  </si>
  <si>
    <t>Douglas DC-6-54B</t>
  </si>
  <si>
    <t>HK-730</t>
  </si>
  <si>
    <t>Crashed shortly after taking off. The plane rose less than 100 ft. and then crashed into shallow water.  Possible engine failure. Maintenance error and inadequate inspections.</t>
  </si>
  <si>
    <t>Port-au-Prince, Haiti</t>
  </si>
  <si>
    <t>COHATA</t>
  </si>
  <si>
    <t>Les Cayes -JÃ©rÃ©mie</t>
  </si>
  <si>
    <t>N4662</t>
  </si>
  <si>
    <t>Crashed into a mountain  5 minutes after taking off from Las Cayee.</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</si>
  <si>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</si>
  <si>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</si>
  <si>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</si>
  <si>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</si>
  <si>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</si>
  <si>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</si>
  <si>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Near Binh Khe, South Vietnam</t>
  </si>
  <si>
    <t>Fairchild C-123B</t>
  </si>
  <si>
    <t>54-0702</t>
  </si>
  <si>
    <t>Struck trees inverted, 10 minutes after taking off from An Khe airfield. Evidence was found of a fire in the No. 2 engine.</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</si>
  <si>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</si>
  <si>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</si>
  <si>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</si>
  <si>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</si>
  <si>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</si>
  <si>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</si>
  <si>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</si>
  <si>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</si>
  <si>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</si>
  <si>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</si>
  <si>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</si>
  <si>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</si>
  <si>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</si>
  <si>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</si>
  <si>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</si>
  <si>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</si>
  <si>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</si>
  <si>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</si>
  <si>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</si>
  <si>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 xml:space="preserve"> Pechora, Russia</t>
  </si>
  <si>
    <t>Vorkuta - Syktyvkar</t>
  </si>
  <si>
    <t>CCCP-52058</t>
  </si>
  <si>
    <t>An hour after he departed Vorkuta Airport bound for Syktyvkar, the crew reported a fire on the right engine. After the engine detached, the plane crashed in a lake.</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</si>
  <si>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</si>
  <si>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</si>
  <si>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</si>
  <si>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</si>
  <si>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</si>
  <si>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</si>
  <si>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</si>
  <si>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</si>
  <si>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</si>
  <si>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</si>
  <si>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</si>
  <si>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</si>
  <si>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</si>
  <si>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</si>
  <si>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</si>
  <si>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</si>
  <si>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</si>
  <si>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</si>
  <si>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</si>
  <si>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</si>
  <si>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</si>
  <si>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</si>
  <si>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</si>
  <si>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</si>
  <si>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</si>
  <si>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</si>
  <si>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</si>
  <si>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</si>
  <si>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</si>
  <si>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</si>
  <si>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</si>
  <si>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</si>
  <si>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</si>
  <si>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Reef Island, Alaska</t>
  </si>
  <si>
    <t>Grumman G-21A</t>
  </si>
  <si>
    <t>CF-MSK</t>
  </si>
  <si>
    <t>B-32</t>
  </si>
  <si>
    <t>On approach, the aircraft struck power cables, stalled and crashed into the Portland Canal. after the pilot misjudged altitude and clearance. VFR flight into adverse weather conditiions.</t>
  </si>
  <si>
    <t>Nicosia - Cairo</t>
  </si>
  <si>
    <t>Antonov AN-24B</t>
  </si>
  <si>
    <t>SU-AOA</t>
  </si>
  <si>
    <t>Crashed into sand dunes. Improper approach during a sandstorm with turbulence and icing. Descent of the aircraft below the safe flight altitude in the final approach.</t>
  </si>
  <si>
    <t>Asuncion, Paraguay</t>
  </si>
  <si>
    <t>Servicios Americanos</t>
  </si>
  <si>
    <t>AsunciÃ³n â€“ Montevideo</t>
  </si>
  <si>
    <t>N1245N</t>
  </si>
  <si>
    <t>The cargo plane crashed on takeoff.</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</si>
  <si>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</si>
  <si>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</si>
  <si>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</si>
  <si>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</si>
  <si>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</si>
  <si>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</si>
  <si>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Off Baku, Azerbaijan</t>
  </si>
  <si>
    <t>Baku, Azerbaijan - 	Makhachkala, Russia</t>
  </si>
  <si>
    <t>CCCP-61772</t>
  </si>
  <si>
    <t>The pilot reported both engine were losing power and he was going to ditch the plane into the ocean. Engine failure cause unknown. The wreckage was never found.</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</si>
  <si>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</si>
  <si>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</si>
  <si>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</si>
  <si>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</si>
  <si>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</si>
  <si>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</si>
  <si>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</si>
  <si>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Sablayan,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</si>
  <si>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</si>
  <si>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</si>
  <si>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</si>
  <si>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</si>
  <si>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</si>
  <si>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</si>
  <si>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</si>
  <si>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</si>
  <si>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</si>
  <si>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</si>
  <si>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</si>
  <si>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</si>
  <si>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</si>
  <si>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</si>
  <si>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Cerro el Planchon, Chile</t>
  </si>
  <si>
    <t>Aeropesca Colombia</t>
  </si>
  <si>
    <t>BogotÃ¡ - La Paz - Santiago - Buenos Aires</t>
  </si>
  <si>
    <t>HK-527</t>
  </si>
  <si>
    <t>While cruising in poor weather conditions, the cargo plane struck the slope of Mt PlanchÃ³n-Peteroa  located about 200 km south of Santiago.plane. The wreckage was never found.</t>
  </si>
  <si>
    <t>Pakistan</t>
  </si>
  <si>
    <t>Lockheed C-130B Hercules</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</si>
  <si>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</si>
  <si>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</si>
  <si>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</si>
  <si>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</si>
  <si>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</si>
  <si>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</si>
  <si>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</si>
  <si>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</si>
  <si>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</si>
  <si>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</si>
  <si>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</si>
  <si>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</si>
  <si>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</si>
  <si>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</si>
  <si>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</si>
  <si>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</si>
  <si>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</si>
  <si>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</si>
  <si>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</si>
  <si>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</si>
  <si>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</si>
  <si>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</si>
  <si>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</si>
  <si>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</si>
  <si>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Near Juneau, Alaska</t>
  </si>
  <si>
    <t>Alaska Coastal Airlines</t>
  </si>
  <si>
    <t>N88820</t>
  </si>
  <si>
    <t>Crashed into a glacial crevasse near Juneau.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</si>
  <si>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</si>
  <si>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</si>
  <si>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</si>
  <si>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</si>
  <si>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</si>
  <si>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</si>
  <si>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</si>
  <si>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</si>
  <si>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</si>
  <si>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</si>
  <si>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</si>
  <si>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</si>
  <si>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An overspeeding and failed attempt to feather the No. 1 engine necessitated ditching the plane. The plane sank after 5 minutes.  One passenger refused to leave the aircraft and drowned.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</si>
  <si>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</si>
  <si>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</si>
  <si>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</si>
  <si>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</si>
  <si>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</si>
  <si>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</si>
  <si>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</si>
  <si>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</si>
  <si>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</si>
  <si>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</si>
  <si>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</si>
  <si>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</si>
  <si>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</si>
  <si>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</si>
  <si>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Hammond - An Khe</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</si>
  <si>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</si>
  <si>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</si>
  <si>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</si>
  <si>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</si>
  <si>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</si>
  <si>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</si>
  <si>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</si>
  <si>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</si>
  <si>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Off Chatham, Massachusetts</t>
  </si>
  <si>
    <t>Lockheed EC-121H</t>
  </si>
  <si>
    <t>55-5262</t>
  </si>
  <si>
    <t>The aircraft was observed flying low and emitting smoke from one of its engines before crashing into the sea and exploding, 125 miles east of Nantucket.</t>
  </si>
  <si>
    <t>Off Matsuyama, Japan</t>
  </si>
  <si>
    <t>Osaka - Matsuyama</t>
  </si>
  <si>
    <t>NAMC-YS-11-111</t>
  </si>
  <si>
    <t>JA8658</t>
  </si>
  <si>
    <t>The plane crashed into the sea after overshooting the runway and during a go-around. Undetermined cause.</t>
  </si>
  <si>
    <t>Near Dallgow, Germany</t>
  </si>
  <si>
    <t>Boeing 727-21</t>
  </si>
  <si>
    <t>N317PA</t>
  </si>
  <si>
    <t>18995/221</t>
  </si>
  <si>
    <t>The cargo plane crashed while landing. The descent of the flight below its altitude clearance limit for reasons unknown.</t>
  </si>
  <si>
    <t>Near New Bern, North Carolina</t>
  </si>
  <si>
    <t>Wilmington - New Bern</t>
  </si>
  <si>
    <t>N40406</t>
  </si>
  <si>
    <t>Crashed while on approach. Descent below obstructing terrain.</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</si>
  <si>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</si>
  <si>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</si>
  <si>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</si>
  <si>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</si>
  <si>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</si>
  <si>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</si>
  <si>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</si>
  <si>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</si>
  <si>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</si>
  <si>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</si>
  <si>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Saigon, South Vietnam</t>
  </si>
  <si>
    <t>Saigon - Korat AB</t>
  </si>
  <si>
    <t>Crashed and burst into flames into a rice paddy after experiencing a malfunction of the left engine.</t>
  </si>
  <si>
    <t>Near La Pedrera, Colombia</t>
  </si>
  <si>
    <t>La Pedrera -Leticia</t>
  </si>
  <si>
    <t>FAC-621</t>
  </si>
  <si>
    <t xml:space="preserve"> Shortly after takeoff from  La Pedrera Airport, while in an initial climb, the seaplane stalled and crashed into the Rio CaquetÃ¡.</t>
  </si>
  <si>
    <t>Moscow - Brazzaville</t>
  </si>
  <si>
    <t>Tupolev TU-114B</t>
  </si>
  <si>
    <t>CCCP-76457</t>
  </si>
  <si>
    <t>Crashed into a snowbank on the takeoff roll in poor visibility.</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</si>
  <si>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</si>
  <si>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</si>
  <si>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</si>
  <si>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</si>
  <si>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</si>
  <si>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</si>
  <si>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</si>
  <si>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</si>
  <si>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</si>
  <si>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</si>
  <si>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</si>
  <si>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</si>
  <si>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</si>
  <si>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</si>
  <si>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Aleppo, Syria</t>
  </si>
  <si>
    <t>Syrian Arab Airlines</t>
  </si>
  <si>
    <t>Damascus - Aleppo</t>
  </si>
  <si>
    <t>YK-ACB</t>
  </si>
  <si>
    <t>Crashed into building while landing in marginal weather and limited visibility.</t>
  </si>
  <si>
    <t>Near Hourghada, UAR</t>
  </si>
  <si>
    <t>Crashed after an explosion aboard the aircraft.</t>
  </si>
  <si>
    <t>Near Mexico City, Mexico</t>
  </si>
  <si>
    <t>Havana - Mexico City</t>
  </si>
  <si>
    <t>CU-T827</t>
  </si>
  <si>
    <t>Crashed due to 18 km from the runway. Pilot error,</t>
  </si>
  <si>
    <t>Manado,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</si>
  <si>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</si>
  <si>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</si>
  <si>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</si>
  <si>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</si>
  <si>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</si>
  <si>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</si>
  <si>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</si>
  <si>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</si>
  <si>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</si>
  <si>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</si>
  <si>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PI-C501</t>
  </si>
  <si>
    <t>Crashed after undershooting the runway. Loss of control at low altitude. Improper loading which placed the center of gravity in back of the center of gravity limits of the plane.</t>
  </si>
  <si>
    <t>Near Marseille, Ohio</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</si>
  <si>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</si>
  <si>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</si>
  <si>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</si>
  <si>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</si>
  <si>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</si>
  <si>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</si>
  <si>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</si>
  <si>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</si>
  <si>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</si>
  <si>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</si>
  <si>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</si>
  <si>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</si>
  <si>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</si>
  <si>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</si>
  <si>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</si>
  <si>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</si>
  <si>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</si>
  <si>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</si>
  <si>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</si>
  <si>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</si>
  <si>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</si>
  <si>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</si>
  <si>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</si>
  <si>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</si>
  <si>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</si>
  <si>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</si>
  <si>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</si>
  <si>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</si>
  <si>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</si>
  <si>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</si>
  <si>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</si>
  <si>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</si>
  <si>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</si>
  <si>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</si>
  <si>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</si>
  <si>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</si>
  <si>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Near Yakutsk, Russia</t>
  </si>
  <si>
    <t xml:space="preserve">	Olyokminsk - Yakutsk</t>
  </si>
  <si>
    <t>CCCP-61657</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</si>
  <si>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</si>
  <si>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</si>
  <si>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</si>
  <si>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</si>
  <si>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</si>
  <si>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</si>
  <si>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</si>
  <si>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</si>
  <si>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</si>
  <si>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</si>
  <si>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</si>
  <si>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</si>
  <si>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</si>
  <si>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</si>
  <si>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AsunciÃ³n</t>
  </si>
  <si>
    <t>N706G</t>
  </si>
  <si>
    <t>Ditched in the ocean 2 km  off shore.</t>
  </si>
  <si>
    <t>Tamanrasset, Algeria</t>
  </si>
  <si>
    <t>Air Algerie</t>
  </si>
  <si>
    <t>Algiers - Tamanrasset</t>
  </si>
  <si>
    <t>7T-VAU</t>
  </si>
  <si>
    <t>Crashed into a mountainside while descending to land at Tamanrasset. Cause unknown.</t>
  </si>
  <si>
    <t>Near Mamuniyeh, Iran</t>
  </si>
  <si>
    <t>Military - Imperial Iranian Air Force</t>
  </si>
  <si>
    <t>Shiraz - TerhanI</t>
  </si>
  <si>
    <t>Lockheed C-130B</t>
  </si>
  <si>
    <t>5-107</t>
  </si>
  <si>
    <t>Crashed after flying through thunderstorm activity and being struck by lightning.</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</si>
  <si>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</si>
  <si>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</si>
  <si>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</si>
  <si>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</si>
  <si>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</si>
  <si>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Near Sogamosa, Colombia</t>
  </si>
  <si>
    <t xml:space="preserve"> Sogamoso - Trinidad</t>
  </si>
  <si>
    <t>HK-326</t>
  </si>
  <si>
    <t>Stalled and crashed shortly after taking off.</t>
  </si>
  <si>
    <t>Malaybalay, Philippines</t>
  </si>
  <si>
    <t>Pelita Air Service</t>
  </si>
  <si>
    <t>Fokker F-27 Friendship 400</t>
  </si>
  <si>
    <t>PK-PFB</t>
  </si>
  <si>
    <t>The plane crashed at the west end of of the runway on takeoff while on a demonstration flight. Overloaded.</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</si>
  <si>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</si>
  <si>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</si>
  <si>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</si>
  <si>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</si>
  <si>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</si>
  <si>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Cape Dyer, Northwest Territories Canada</t>
  </si>
  <si>
    <t>Nordair</t>
  </si>
  <si>
    <t>Curtiss C-46T</t>
  </si>
  <si>
    <t>CF-NAD</t>
  </si>
  <si>
    <t>Crashed short of the runway in whiteout conditions. Improper  procedures by crew in whiteout weather conditions.</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</si>
  <si>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</si>
  <si>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</si>
  <si>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</si>
  <si>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</si>
  <si>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</si>
  <si>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</si>
  <si>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</si>
  <si>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</si>
  <si>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</si>
  <si>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</si>
  <si>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</si>
  <si>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</si>
  <si>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</si>
  <si>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</si>
  <si>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</si>
  <si>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</si>
  <si>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</si>
  <si>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</si>
  <si>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Madinah - Jeddah</t>
  </si>
  <si>
    <t>HZ-AAJ</t>
  </si>
  <si>
    <t>15235/26680</t>
  </si>
  <si>
    <t>Crashed on final approach.</t>
  </si>
  <si>
    <t>Near La Paz, Mexico</t>
  </si>
  <si>
    <t>La Paz - Mazatlan</t>
  </si>
  <si>
    <t>Douglas DC-3A-197D</t>
  </si>
  <si>
    <t>XA-FUW</t>
  </si>
  <si>
    <t>Crashed into a residential neighborhood while attempting to return to the airport following an engine failure.</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</si>
  <si>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</si>
  <si>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</si>
  <si>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</si>
  <si>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</si>
  <si>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</si>
  <si>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</si>
  <si>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</si>
  <si>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</si>
  <si>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</si>
  <si>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</si>
  <si>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</si>
  <si>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</si>
  <si>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</si>
  <si>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The plane crashed after an aborted takeoff caused the plane to break apart and catch fire.</t>
  </si>
  <si>
    <t>Blossburg, Pennsylvania</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</si>
  <si>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</si>
  <si>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</si>
  <si>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</si>
  <si>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</si>
  <si>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</si>
  <si>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</si>
  <si>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</si>
  <si>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</si>
  <si>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</si>
  <si>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</si>
  <si>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</si>
  <si>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</si>
  <si>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</si>
  <si>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</si>
  <si>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</si>
  <si>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</si>
  <si>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</si>
  <si>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</si>
  <si>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</si>
  <si>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</si>
  <si>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</si>
  <si>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</si>
  <si>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</si>
  <si>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</si>
  <si>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</si>
  <si>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</si>
  <si>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</si>
  <si>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</si>
  <si>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Tananarive, Malagasy Republic</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</si>
  <si>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</si>
  <si>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</si>
  <si>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</si>
  <si>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Near Luang Prabang, Laos</t>
  </si>
  <si>
    <t>Vehu Akat</t>
  </si>
  <si>
    <t>Vientiane - Luang Prabang</t>
  </si>
  <si>
    <t>XW-PDL</t>
  </si>
  <si>
    <t>Struck a mountain in the Phou Pha Bon range while in a holding pattern. Encountered strong turbulence and downdrafts.</t>
  </si>
  <si>
    <t>Taiwan Aviation</t>
  </si>
  <si>
    <t>B-112</t>
  </si>
  <si>
    <t>Near Gander, Newfoundland, Canada</t>
  </si>
  <si>
    <t>Gander - Havana</t>
  </si>
  <si>
    <t>OK-WAI</t>
  </si>
  <si>
    <t>Unable to maintain altitude after taking off, the aircraft crashed 4,000 feet past the runway and burned. Cause unknown.</t>
  </si>
  <si>
    <t>Near Huong Thuy, South Vietnam</t>
  </si>
  <si>
    <t>Lockheed C130B</t>
  </si>
  <si>
    <t>61-2649</t>
  </si>
  <si>
    <t>The aircraft struck a mountain at 1,700 ft., exploded and disintegrated 10 minutes after taking off from Da Nang.</t>
  </si>
  <si>
    <t>Off Rhodes, Greece</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</si>
  <si>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</si>
  <si>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</si>
  <si>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</si>
  <si>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</si>
  <si>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</si>
  <si>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</si>
  <si>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</si>
  <si>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</si>
  <si>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</si>
  <si>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</si>
  <si>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</si>
  <si>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</si>
  <si>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</si>
  <si>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</si>
  <si>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</si>
  <si>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</si>
  <si>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</si>
  <si>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</si>
  <si>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</si>
  <si>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</si>
  <si>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</si>
  <si>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</si>
  <si>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</si>
  <si>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</si>
  <si>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</si>
  <si>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</si>
  <si>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</si>
  <si>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</si>
  <si>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</si>
  <si>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</si>
  <si>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</si>
  <si>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Sverdlovsk  - Tashken</t>
  </si>
  <si>
    <t>CCCP-75538</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</si>
  <si>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</si>
  <si>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</si>
  <si>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</si>
  <si>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</si>
  <si>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</si>
  <si>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</si>
  <si>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</si>
  <si>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</si>
  <si>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</si>
  <si>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</si>
  <si>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</si>
  <si>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</si>
  <si>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</si>
  <si>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</si>
  <si>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</si>
  <si>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The cargo plane crashed inverted into a river.</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</si>
  <si>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</si>
  <si>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</si>
  <si>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</si>
  <si>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</si>
  <si>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</si>
  <si>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</si>
  <si>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</si>
  <si>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</si>
  <si>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</si>
  <si>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</si>
  <si>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</si>
  <si>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Denver, CO - Scottsbluff, NE</t>
  </si>
  <si>
    <t>N65276</t>
  </si>
  <si>
    <t>The cargo plane crashed on takeoff. The failure of the crew to perform a pre-takeoff control check resulting in takeoff with the elevators immobilized by a control batten.</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</si>
  <si>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</si>
  <si>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</si>
  <si>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</si>
  <si>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</si>
  <si>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</si>
  <si>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Liepaja, Latvia</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</si>
  <si>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</si>
  <si>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</si>
  <si>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</si>
  <si>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</si>
  <si>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Near Olekminsk, Russia</t>
  </si>
  <si>
    <t xml:space="preserve">	Olekminsk - 	Lensk</t>
  </si>
  <si>
    <t>Antonov An-24B</t>
  </si>
  <si>
    <t>CCCP-47733</t>
  </si>
  <si>
    <t xml:space="preserve">	 69901001</t>
  </si>
  <si>
    <t>Entered an uncontrolled descent and crashed 92 km from Olekminsk. The cause of the accident could not be determined.</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</si>
  <si>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</si>
  <si>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</si>
  <si>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</si>
  <si>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</si>
  <si>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</si>
  <si>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</si>
  <si>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</si>
  <si>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</si>
  <si>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</si>
  <si>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</si>
  <si>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</si>
  <si>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</si>
  <si>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</si>
  <si>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</si>
  <si>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</si>
  <si>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</si>
  <si>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</si>
  <si>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</si>
  <si>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</si>
  <si>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</si>
  <si>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</si>
  <si>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</si>
  <si>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</si>
  <si>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</si>
  <si>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</si>
  <si>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</si>
  <si>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</si>
  <si>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</si>
  <si>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</si>
  <si>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</si>
  <si>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</si>
  <si>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</si>
  <si>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The aircraft descended below the glideslope, struck trees and  a house, short of runway, at night, in poor weather. Pilot was not qualified to fly.</t>
  </si>
  <si>
    <t>Ban Napa, Laos</t>
  </si>
  <si>
    <t>Royal Air Lao</t>
  </si>
  <si>
    <t>Vientiane - Sayaboury</t>
  </si>
  <si>
    <t>XW-TAD</t>
  </si>
  <si>
    <t>Crashed into the Mekong River. Engine failure.</t>
  </si>
  <si>
    <t>Near Bratsk, Russia</t>
  </si>
  <si>
    <t xml:space="preserve">	Krasnoyarsk - 	Petropavlovsk</t>
  </si>
  <si>
    <t>CCCP-74252</t>
  </si>
  <si>
    <t>After an emergency situation and emergency descent the plane broke apart at FL100 and crashed. One passenger survived. Fuel leak.</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</si>
  <si>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</si>
  <si>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</si>
  <si>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</si>
  <si>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</si>
  <si>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</si>
  <si>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</si>
  <si>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</si>
  <si>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</si>
  <si>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</si>
  <si>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</si>
  <si>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</si>
  <si>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</si>
  <si>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</si>
  <si>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</si>
  <si>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</si>
  <si>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</si>
  <si>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</si>
  <si>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</si>
  <si>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</si>
  <si>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</si>
  <si>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</si>
  <si>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</si>
  <si>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</si>
  <si>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</si>
  <si>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</si>
  <si>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</si>
  <si>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</si>
  <si>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</si>
  <si>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</si>
  <si>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</si>
  <si>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</si>
  <si>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</si>
  <si>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</si>
  <si>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</si>
  <si>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</si>
  <si>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</si>
  <si>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</si>
  <si>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</si>
  <si>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</si>
  <si>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</si>
  <si>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</si>
  <si>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Crashed while on approach 5 minutes from its destination. Failure of the right wing due to turbulence.</t>
  </si>
  <si>
    <t xml:space="preserve"> Near Mexico City, Mexico</t>
  </si>
  <si>
    <t>Aerovias Rojas</t>
  </si>
  <si>
    <t>Aguascalientes - Mexico City</t>
  </si>
  <si>
    <t>XA-GEV</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</si>
  <si>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</si>
  <si>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</si>
  <si>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</si>
  <si>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</si>
  <si>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</si>
  <si>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</si>
  <si>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</si>
  <si>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</si>
  <si>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</si>
  <si>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</si>
  <si>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</si>
  <si>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</si>
  <si>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</si>
  <si>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</si>
  <si>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</si>
  <si>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</si>
  <si>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</si>
  <si>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</si>
  <si>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</si>
  <si>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Vietnam</t>
  </si>
  <si>
    <t>Kham Duc  - Saigon</t>
  </si>
  <si>
    <t>60-0297</t>
  </si>
  <si>
    <t>Shot down by enemy fire while attempting to evacuate Kham Duc civilians.  The aircraft shook  violently, crashed and burst into flames in a ravine at the end of the airstrip.</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</si>
  <si>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</si>
  <si>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</si>
  <si>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</si>
  <si>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</si>
  <si>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</si>
  <si>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</si>
  <si>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Jakarta - Bombay - Karachi - Cairo - Rome - Amsterdam</t>
  </si>
  <si>
    <t>Convair CV-990-30A-5</t>
  </si>
  <si>
    <t>PK-GJA</t>
  </si>
  <si>
    <t>The aircraft crashed in a nearly vertical attitude, 5 minutes after takeoff, 20 nm from the airport.</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</si>
  <si>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</si>
  <si>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</si>
  <si>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</si>
  <si>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</si>
  <si>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</si>
  <si>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</si>
  <si>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</si>
  <si>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</si>
  <si>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</si>
  <si>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turning in the wrong direction.</t>
  </si>
  <si>
    <t>Near Bearcat, South Vietnam</t>
  </si>
  <si>
    <t>Bell UH-1H / Bell UH-1H / Bell UH-1H</t>
  </si>
  <si>
    <t>A mid-air collision between three helicopters at 900 ft. (66-16202) (66-16592) (66-16601).</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</si>
  <si>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</si>
  <si>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</si>
  <si>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</si>
  <si>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</si>
  <si>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</si>
  <si>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</si>
  <si>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</si>
  <si>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</si>
  <si>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</si>
  <si>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</si>
  <si>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</si>
  <si>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</si>
  <si>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</si>
  <si>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</si>
  <si>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</si>
  <si>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</si>
  <si>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</si>
  <si>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</si>
  <si>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</si>
  <si>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</si>
  <si>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SÃ£o Paulo - Recife</t>
  </si>
  <si>
    <t>Curtiss C-46C</t>
  </si>
  <si>
    <t>PP-VBJ</t>
  </si>
  <si>
    <t>Off Chili</t>
  </si>
  <si>
    <t>Aerolineas Flecha Austral</t>
  </si>
  <si>
    <t>CC-CDI</t>
  </si>
  <si>
    <t>Lost at sea.</t>
  </si>
  <si>
    <t>Rome - Milan - Montreal</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</si>
  <si>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</si>
  <si>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</si>
  <si>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</si>
  <si>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</si>
  <si>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</si>
  <si>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</si>
  <si>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</si>
  <si>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</si>
  <si>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</si>
  <si>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</si>
  <si>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</si>
  <si>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</si>
  <si>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</si>
  <si>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</si>
  <si>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</si>
  <si>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</si>
  <si>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</si>
  <si>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</si>
  <si>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</si>
  <si>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</si>
  <si>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</si>
  <si>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</si>
  <si>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</si>
  <si>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</si>
  <si>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Ditched into the Mediterranean sea. Cause unknown.</t>
  </si>
  <si>
    <t>Near Maturin, Venezuela</t>
  </si>
  <si>
    <t>MaturÃ­n - Tucupita</t>
  </si>
  <si>
    <t>Hawker Siddeley HS-748-215-2</t>
  </si>
  <si>
    <t>YV-C-AMY</t>
  </si>
  <si>
    <t>The plane crashed while returning to the airport for an emergency landing after the No. 1 engine failed on takeoff.</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</si>
  <si>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</si>
  <si>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</si>
  <si>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</si>
  <si>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</si>
  <si>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</si>
  <si>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</si>
  <si>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</si>
  <si>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</si>
  <si>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</si>
  <si>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</si>
  <si>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</si>
  <si>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</si>
  <si>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</si>
  <si>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</si>
  <si>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</si>
  <si>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</si>
  <si>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</si>
  <si>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</si>
  <si>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Port Harcourt, Biafra, Nigeria</t>
  </si>
  <si>
    <t>Pan African Airlines</t>
  </si>
  <si>
    <t>Lagos - Port Harcourt</t>
  </si>
  <si>
    <t>N90427</t>
  </si>
  <si>
    <t>While on final approach, the aircraft hit trees and crashed into a village and caught fire.</t>
  </si>
  <si>
    <t>Puerto Cortes, Costa Rica</t>
  </si>
  <si>
    <t>Aerovias del Valle</t>
  </si>
  <si>
    <t>San JosÃ©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</si>
  <si>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</si>
  <si>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</si>
  <si>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</si>
  <si>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</si>
  <si>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</si>
  <si>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</si>
  <si>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</si>
  <si>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FeijÃ³,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</si>
  <si>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</si>
  <si>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</si>
  <si>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</si>
  <si>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</si>
  <si>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</si>
  <si>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</si>
  <si>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</si>
  <si>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</si>
  <si>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</si>
  <si>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</si>
  <si>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</si>
  <si>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</si>
  <si>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</si>
  <si>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</si>
  <si>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</si>
  <si>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</si>
  <si>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</si>
  <si>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</si>
  <si>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</si>
  <si>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</si>
  <si>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</si>
  <si>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</si>
  <si>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</si>
  <si>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</si>
  <si>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 xml:space="preserve"> SavannakhÃ©t - Vientiane</t>
  </si>
  <si>
    <t>N1386N</t>
  </si>
  <si>
    <t>Crashed shortly after taking off after one of the engines failed.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</si>
  <si>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</si>
  <si>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</si>
  <si>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</si>
  <si>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</si>
  <si>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</si>
  <si>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</si>
  <si>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</si>
  <si>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</si>
  <si>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</si>
  <si>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</si>
  <si>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</si>
  <si>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</si>
  <si>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</si>
  <si>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</si>
  <si>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</si>
  <si>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</si>
  <si>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</si>
  <si>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</si>
  <si>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</si>
  <si>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</si>
  <si>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</si>
  <si>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</si>
  <si>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</si>
  <si>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</si>
  <si>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Ensenada, Mexico</t>
  </si>
  <si>
    <t>Exportada De Sal S.A.</t>
  </si>
  <si>
    <t>Tijuana - Guerrero Negro</t>
  </si>
  <si>
    <t>Crashed into a mountain after being blown off course by a storm while en route.</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</si>
  <si>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</si>
  <si>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</si>
  <si>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</si>
  <si>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</si>
  <si>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</si>
  <si>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</si>
  <si>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</si>
  <si>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</si>
  <si>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</si>
  <si>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</si>
  <si>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</si>
  <si>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</si>
  <si>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</si>
  <si>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</si>
  <si>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</si>
  <si>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</si>
  <si>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</si>
  <si>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</si>
  <si>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</si>
  <si>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</si>
  <si>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</si>
  <si>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</si>
  <si>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Encountered extreme turbulence and downdrafts while en route near mountains.</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</si>
  <si>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</si>
  <si>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</si>
  <si>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</si>
  <si>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</si>
  <si>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</si>
  <si>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</si>
  <si>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</si>
  <si>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</si>
  <si>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</si>
  <si>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</si>
  <si>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Off Los Angeles, California</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</si>
  <si>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</si>
  <si>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</si>
  <si>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</si>
  <si>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</si>
  <si>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</si>
  <si>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Hue - da Nang</t>
  </si>
  <si>
    <t>Struck a mountain in poor weather while en route.</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</si>
  <si>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</si>
  <si>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</si>
  <si>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</si>
  <si>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</si>
  <si>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</si>
  <si>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</si>
  <si>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</si>
  <si>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</si>
  <si>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</si>
  <si>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</si>
  <si>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</si>
  <si>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</si>
  <si>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</si>
  <si>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</si>
  <si>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</si>
  <si>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</si>
  <si>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</si>
  <si>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</si>
  <si>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</si>
  <si>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</si>
  <si>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</si>
  <si>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</si>
  <si>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</si>
  <si>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</si>
  <si>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</si>
  <si>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</si>
  <si>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</si>
  <si>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</si>
  <si>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</si>
  <si>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</si>
  <si>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</si>
  <si>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</si>
  <si>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</si>
  <si>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</si>
  <si>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</si>
  <si>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</si>
  <si>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</si>
  <si>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</si>
  <si>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</si>
  <si>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</si>
  <si>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</si>
  <si>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</si>
  <si>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</si>
  <si>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</si>
  <si>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</si>
  <si>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</si>
  <si>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</si>
  <si>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</si>
  <si>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</si>
  <si>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</si>
  <si>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</si>
  <si>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</si>
  <si>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The cargo aircraft crashed into the ocean after a reported fire.</t>
  </si>
  <si>
    <t>Sept-ÃŽles, Quebec, Canada</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</si>
  <si>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</si>
  <si>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</si>
  <si>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</si>
  <si>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</si>
  <si>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Atsuji - Atsuji</t>
  </si>
  <si>
    <t>Lockheed EC-121M</t>
  </si>
  <si>
    <t>The aircraft was shot down over the Sea of Japan by two North Korean MiG jet fighters while making a reconnaissance flight.</t>
  </si>
  <si>
    <t>Kinshasa, Zaire</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</si>
  <si>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</si>
  <si>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</si>
  <si>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</si>
  <si>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</si>
  <si>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Khulna, East Pakistan</t>
  </si>
  <si>
    <t>Silchar, India - Khulna, Bangladesh</t>
  </si>
  <si>
    <t>VT-DOJ</t>
  </si>
  <si>
    <t>The aircraft crashed in adverse weather conditions. Windshear. The crew tried to fly through thunderstorms at a low level but lost control in severe downdrafts.</t>
  </si>
  <si>
    <t>Near Takoradi, Ghana</t>
  </si>
  <si>
    <t>Ghana Airways</t>
  </si>
  <si>
    <t>9G-AAF</t>
  </si>
  <si>
    <t>The aircraft struck high ground after engine problems required  a forced landing.</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</si>
  <si>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</si>
  <si>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</si>
  <si>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</si>
  <si>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</si>
  <si>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</si>
  <si>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</si>
  <si>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</si>
  <si>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</si>
  <si>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</si>
  <si>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Near Lashio, Burma</t>
  </si>
  <si>
    <t>XY-ACR</t>
  </si>
  <si>
    <t>Lost control on approach and nosed into the ground in a field. Flap asymmetry in the final stages of the flight.</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</si>
  <si>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</si>
  <si>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</si>
  <si>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</si>
  <si>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</si>
  <si>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</si>
  <si>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</si>
  <si>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</si>
  <si>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</si>
  <si>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</si>
  <si>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</si>
  <si>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</si>
  <si>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</si>
  <si>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</si>
  <si>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</si>
  <si>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</si>
  <si>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</si>
  <si>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Vanished en route. A message was received from the aircraft stating they were experiencing a vibration but not declaring an emergency followed by "crew go to oxygen."</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</si>
  <si>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</si>
  <si>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</si>
  <si>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</si>
  <si>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</si>
  <si>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</si>
  <si>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</si>
  <si>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 xml:space="preserve"> Near Talas, Kyrgyzstan</t>
  </si>
  <si>
    <t>F-28</t>
  </si>
  <si>
    <t>Talas, Kyrgyzstan - Frunze, Russia</t>
  </si>
  <si>
    <t>CCCP-91495</t>
  </si>
  <si>
    <t>The passenger plane struck a mountian 34 km from Talas. Crew error. The crew made a right turn  towards the mountains instead of  a left turn.</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</si>
  <si>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</si>
  <si>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</si>
  <si>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</si>
  <si>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</si>
  <si>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</si>
  <si>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</si>
  <si>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</si>
  <si>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</si>
  <si>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</si>
  <si>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</si>
  <si>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</si>
  <si>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New York - Newark</t>
  </si>
  <si>
    <t>N558MA</t>
  </si>
  <si>
    <t>The plane flew into wake turbulence and crashed.  The pilot was 12 minutes behind schedule and made an intersection takeoff. The tower warned him of wake turbulence from a recently departing jet.</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</si>
  <si>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</si>
  <si>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</si>
  <si>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</si>
  <si>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</si>
  <si>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</si>
  <si>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</si>
  <si>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Biskra, Algeria</t>
  </si>
  <si>
    <t>Marseille- Algiers - Hassi Messaoud</t>
  </si>
  <si>
    <t>Sud Aviation SE-210 Caravelle 6N</t>
  </si>
  <si>
    <t>7T-VAK</t>
  </si>
  <si>
    <t>073/73</t>
  </si>
  <si>
    <t>Crash landed while attempting an emergency landing after a fire in an electrical panel led to a cabin fire.</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</si>
  <si>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</si>
  <si>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</si>
  <si>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</si>
  <si>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</si>
  <si>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 xml:space="preserve">	Preobrazhenka, Ukraine</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</si>
  <si>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</si>
  <si>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</si>
  <si>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</si>
  <si>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</si>
  <si>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</si>
  <si>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</si>
  <si>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</si>
  <si>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</si>
  <si>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Near Long Tieng, Laos</t>
  </si>
  <si>
    <t>Long Tieng, Laos - Sam Thong, Laos</t>
  </si>
  <si>
    <t>Pilatus Pc-6C</t>
  </si>
  <si>
    <t>N196X</t>
  </si>
  <si>
    <t>The plane crashed into a hillside as it was about to come in for a landing and after the pilot was shot.</t>
  </si>
  <si>
    <t>Sucre, Ecuador</t>
  </si>
  <si>
    <t>HC-ALK</t>
  </si>
  <si>
    <t>15777/27222</t>
  </si>
  <si>
    <t xml:space="preserve">	Noril'sk - Moscow</t>
  </si>
  <si>
    <t xml:space="preserve">	 CCCP-75708</t>
  </si>
  <si>
    <t>On final approach to Moscow-Vnukovo, the flying crew failed to lower the landing gear.</t>
  </si>
  <si>
    <t xml:space="preserve"> Khovu-Aksy, Russia</t>
  </si>
  <si>
    <t>Kyzyl - Khovu-Aksy</t>
  </si>
  <si>
    <t>CCCP-41971</t>
  </si>
  <si>
    <t>1 33 473 11</t>
  </si>
  <si>
    <t>The crew encountered below-minima weather conditions with low clouds over the mountains.The airplane struck the slope of a mountain</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</si>
  <si>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</si>
  <si>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</si>
  <si>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</si>
  <si>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</si>
  <si>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</si>
  <si>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</si>
  <si>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</si>
  <si>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</si>
  <si>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</si>
  <si>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</si>
  <si>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</si>
  <si>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</si>
  <si>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</si>
  <si>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</si>
  <si>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</si>
  <si>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Near Medina, Colombia</t>
  </si>
  <si>
    <t>SATENA</t>
  </si>
  <si>
    <t>Bogota - Villavicencio</t>
  </si>
  <si>
    <t>FAC-685</t>
  </si>
  <si>
    <t>Flew into a mountain, 30 miles from its destination after being diverted because of a severe storm.</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</si>
  <si>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</si>
  <si>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</si>
  <si>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</si>
  <si>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</si>
  <si>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</si>
  <si>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</si>
  <si>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</si>
  <si>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</si>
  <si>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</si>
  <si>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</si>
  <si>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</si>
  <si>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</si>
  <si>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</si>
  <si>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</si>
  <si>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</si>
  <si>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</si>
  <si>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</si>
  <si>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Campbell River, Canada</t>
  </si>
  <si>
    <t>Vancouver - Campbell River</t>
  </si>
  <si>
    <t>Convair CV-640</t>
  </si>
  <si>
    <t>CF-PWR</t>
  </si>
  <si>
    <t>Crashed into a hill  while attempting to land in inclement weather. Non-compliance with the instrument approach procedures. Pilot error.</t>
  </si>
  <si>
    <t>Near Hoi An, Vietnam</t>
  </si>
  <si>
    <t>Pleiku - Da Nang</t>
  </si>
  <si>
    <t>Douglas DC-4 / USAF F-4E</t>
  </si>
  <si>
    <t>XV-NUG</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</si>
  <si>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</si>
  <si>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</si>
  <si>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</si>
  <si>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</si>
  <si>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</si>
  <si>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</si>
  <si>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</si>
  <si>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</si>
  <si>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</si>
  <si>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</si>
  <si>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</si>
  <si>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SÃ£o TomÃ©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</si>
  <si>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</si>
  <si>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</si>
  <si>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</si>
  <si>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</si>
  <si>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</si>
  <si>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</si>
  <si>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Nizhnevartovsk, Russia</t>
  </si>
  <si>
    <t>Surgut - Nizhnevartovsk</t>
  </si>
  <si>
    <t>CCCP-47772</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</si>
  <si>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</si>
  <si>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</si>
  <si>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</si>
  <si>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</si>
  <si>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</si>
  <si>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</si>
  <si>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</si>
  <si>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Near Anderma, Russia</t>
  </si>
  <si>
    <t>Amderma - Moscow</t>
  </si>
  <si>
    <t>Antonov An-12TB</t>
  </si>
  <si>
    <t>CCCP-11376</t>
  </si>
  <si>
    <t>Crashed on approach. Icing.</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</si>
  <si>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</si>
  <si>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</si>
  <si>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</si>
  <si>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</si>
  <si>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</si>
  <si>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</si>
  <si>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</si>
  <si>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</si>
  <si>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</si>
  <si>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</si>
  <si>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</si>
  <si>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</si>
  <si>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</si>
  <si>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</si>
  <si>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</si>
  <si>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</si>
  <si>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</si>
  <si>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</si>
  <si>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</si>
  <si>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</si>
  <si>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Near Khantanga, Russia</t>
  </si>
  <si>
    <t>Syktyvkar - Khatanga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</si>
  <si>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</si>
  <si>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</si>
  <si>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</si>
  <si>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</si>
  <si>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</si>
  <si>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</si>
  <si>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</si>
  <si>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</si>
  <si>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</si>
  <si>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</si>
  <si>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</si>
  <si>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CCCP-52010</t>
  </si>
  <si>
    <t>ATC lost contact with the aircraft shortly after it took off crashing into the ocean. Cause unknown. Possible collision with a flock of birds.</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</si>
  <si>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</si>
  <si>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</si>
  <si>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</si>
  <si>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</si>
  <si>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Laos Air</t>
  </si>
  <si>
    <t>XW-TDJ</t>
  </si>
  <si>
    <t>Crashed while approaching Luang Prabang Airport in thick fog.</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</si>
  <si>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</si>
  <si>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</si>
  <si>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</si>
  <si>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</si>
  <si>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</si>
  <si>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</si>
  <si>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</si>
  <si>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</si>
  <si>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</si>
  <si>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</si>
  <si>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</si>
  <si>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</si>
  <si>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</si>
  <si>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Mt. Pumacona, Peru</t>
  </si>
  <si>
    <t>Trujillo - Juanjui</t>
  </si>
  <si>
    <t>OB-R-776</t>
  </si>
  <si>
    <t>Flew into a 10,500 ft. mountain. The mental state of the pilot-in-command adversely affected his judgement and efficiency. Contributing factors  ATC error, navigational aids not functional.</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</si>
  <si>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</si>
  <si>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</si>
  <si>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</si>
  <si>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</si>
  <si>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</si>
  <si>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</si>
  <si>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</si>
  <si>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</si>
  <si>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</si>
  <si>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Near Batagai, Russia</t>
  </si>
  <si>
    <t>Chokurdakh - Batagay</t>
  </si>
  <si>
    <t>CCCP-47701</t>
  </si>
  <si>
    <t>Crashed into a mountain while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</si>
  <si>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</si>
  <si>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</si>
  <si>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</si>
  <si>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</si>
  <si>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</si>
  <si>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Near Murmansk, Russia</t>
  </si>
  <si>
    <t>Leningrad - Murmansk</t>
  </si>
  <si>
    <t>CCCP-45083</t>
  </si>
  <si>
    <t>Collided with a snow-covered rocky mountain slope 40 km northeast of Batagay Airport at an altitude of 1020 meters. The crew had initiated a descent prematurely.</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</si>
  <si>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</si>
  <si>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</si>
  <si>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</si>
  <si>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</si>
  <si>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</si>
  <si>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</si>
  <si>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</si>
  <si>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</si>
  <si>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</si>
  <si>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Near Samarkand, USSR</t>
  </si>
  <si>
    <t>Tashkent - Samarkand</t>
  </si>
  <si>
    <t>CCCP-75798</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</si>
  <si>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</si>
  <si>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</si>
  <si>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</si>
  <si>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</si>
  <si>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</si>
  <si>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</si>
  <si>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</si>
  <si>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</si>
  <si>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Villavicencio - Puerto InÃ­rida</t>
  </si>
  <si>
    <t>HK-1270</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</si>
  <si>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</si>
  <si>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</si>
  <si>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</si>
  <si>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</si>
  <si>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</si>
  <si>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</si>
  <si>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</si>
  <si>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</si>
  <si>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</si>
  <si>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9Q-CUD</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</si>
  <si>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</si>
  <si>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</si>
  <si>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</si>
  <si>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</si>
  <si>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</si>
  <si>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</si>
  <si>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</si>
  <si>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</si>
  <si>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</si>
  <si>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</si>
  <si>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</si>
  <si>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</si>
  <si>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</si>
  <si>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</si>
  <si>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</si>
  <si>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</si>
  <si>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</si>
  <si>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</si>
  <si>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</si>
  <si>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</si>
  <si>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</si>
  <si>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</si>
  <si>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</si>
  <si>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</si>
  <si>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Novosibirsk, Russia</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</si>
  <si>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</si>
  <si>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</si>
  <si>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</si>
  <si>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</si>
  <si>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</si>
  <si>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</si>
  <si>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</si>
  <si>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</si>
  <si>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Zaporozhye, Ukraine</t>
  </si>
  <si>
    <t xml:space="preserve">	Rostov - Zaporozhye</t>
  </si>
  <si>
    <t>CCCP-52002</t>
  </si>
  <si>
    <t>The plane was destroyed when it crashed while on approach. The crew descended prematurely and was not monitored.</t>
  </si>
  <si>
    <t>Cuayan - Manila</t>
  </si>
  <si>
    <t>Hawker Siddeley HS-748-209</t>
  </si>
  <si>
    <t>PI-C-1022</t>
  </si>
  <si>
    <t>The aircraft was on a flight from Cauayan, Isabela to Manila when it crashed into mountainous terrain after a bomb explosion in the rear lavatory of the aircraft  broke off the tail section.</t>
  </si>
  <si>
    <t>Rivolto, Italy</t>
  </si>
  <si>
    <t>Military - Italian Air Force</t>
  </si>
  <si>
    <t>Rivolto - Grazzanise</t>
  </si>
  <si>
    <t>MM52-6018</t>
  </si>
  <si>
    <t>Crashed after experiencing engine problems during the initial climb.</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</si>
  <si>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</si>
  <si>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</si>
  <si>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</si>
  <si>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</si>
  <si>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</si>
  <si>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</si>
  <si>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</si>
  <si>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</si>
  <si>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</si>
  <si>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</si>
  <si>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</si>
  <si>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</si>
  <si>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Hamilton - Spokane</t>
  </si>
  <si>
    <t>52-5822</t>
  </si>
  <si>
    <t>The airplane struck trees and crashed on a mountain slope located eight miles from the airbase.</t>
  </si>
  <si>
    <t>Mogadishu, Somalia</t>
  </si>
  <si>
    <t>Somali Airlines</t>
  </si>
  <si>
    <t>6O-AAJ</t>
  </si>
  <si>
    <t>After losing all flight controls on approach, the aircraft hit the runway hard, collapsing the nose gear and sliding off the runway. In-flight fire of unknown origin which resulted in loss of the flight controls.</t>
  </si>
  <si>
    <t>Iligan, Philippines</t>
  </si>
  <si>
    <t>Iligan - Manila</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</si>
  <si>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</si>
  <si>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</si>
  <si>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</si>
  <si>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</si>
  <si>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</si>
  <si>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</si>
  <si>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</si>
  <si>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</si>
  <si>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</si>
  <si>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</si>
  <si>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</si>
  <si>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9 4 008 02</t>
  </si>
  <si>
    <t>On final, the airplane banked left, lost height and crashed in a large explosion a few km short of runway threshold. Pilot error.</t>
  </si>
  <si>
    <t>Aeroservicios</t>
  </si>
  <si>
    <t>HR-ASN</t>
  </si>
  <si>
    <t>While on approach, the plane banked to the left and crashed to the ground. The pilot stalled the plane in turbulence at a low altitude.</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</si>
  <si>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</si>
  <si>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</si>
  <si>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</si>
  <si>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</si>
  <si>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</si>
  <si>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</si>
  <si>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Prague - Tripoli</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</si>
  <si>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</si>
  <si>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</si>
  <si>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</si>
  <si>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</si>
  <si>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</si>
  <si>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</si>
  <si>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</si>
  <si>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</si>
  <si>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</si>
  <si>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</si>
  <si>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</si>
  <si>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 xml:space="preserve"> Struck a 15,000 ft  mountain located in the region of Huaricanga.</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</si>
  <si>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</si>
  <si>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</si>
  <si>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</si>
  <si>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</si>
  <si>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</si>
  <si>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</si>
  <si>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</si>
  <si>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</si>
  <si>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</si>
  <si>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</si>
  <si>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</si>
  <si>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</si>
  <si>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</si>
  <si>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</si>
  <si>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</si>
  <si>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</si>
  <si>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</si>
  <si>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</si>
  <si>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</si>
  <si>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</si>
  <si>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</si>
  <si>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</si>
  <si>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</si>
  <si>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</si>
  <si>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</si>
  <si>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</si>
  <si>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</si>
  <si>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</si>
  <si>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</si>
  <si>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</si>
  <si>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</si>
  <si>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</si>
  <si>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</si>
  <si>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</si>
  <si>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</si>
  <si>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</si>
  <si>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</si>
  <si>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</si>
  <si>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</si>
  <si>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 and thunderstorm activity.</t>
  </si>
  <si>
    <t>Near Tam Ky, South Vietnam</t>
  </si>
  <si>
    <t>Boeing Vertol CH47B (helicopter)</t>
  </si>
  <si>
    <t>67-18445</t>
  </si>
  <si>
    <t>Shot down by a rocket grenade.</t>
  </si>
  <si>
    <t>Silchar - Gauhati</t>
  </si>
  <si>
    <t>VT-DWT</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</si>
  <si>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</si>
  <si>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</si>
  <si>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</si>
  <si>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</si>
  <si>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</si>
  <si>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</si>
  <si>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 xml:space="preserve"> Lihovka, Ukraine</t>
  </si>
  <si>
    <t>Rostov-on-Don - Vilnius</t>
  </si>
  <si>
    <t>CCCP-45012</t>
  </si>
  <si>
    <t>The plane lost control and crashed about 30 minutes after taking off. Cause undetermined.</t>
  </si>
  <si>
    <t>Near Dnepropetrovsk, Ukraine, USSR</t>
  </si>
  <si>
    <t>Crashed while cruising at FL270.</t>
  </si>
  <si>
    <t>Near Leningrad, USSR</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</si>
  <si>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</si>
  <si>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</si>
  <si>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</si>
  <si>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</si>
  <si>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</si>
  <si>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</si>
  <si>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</si>
  <si>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</si>
  <si>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</si>
  <si>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</si>
  <si>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</si>
  <si>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Near Vagar, Faeroe Islands, Denmark</t>
  </si>
  <si>
    <t>Reykjavik - VÃ¡gar</t>
  </si>
  <si>
    <t>Fokker F-27 Friendship 300</t>
  </si>
  <si>
    <t>TF-FIL</t>
  </si>
  <si>
    <t>Crashed into the slope of Mt Knuku mountains on Mueggenaes Island at  an altitude of 1,500 ft., 2 miles off course, while descending, after holding for 20 minutes.</t>
  </si>
  <si>
    <t>Near Da Nang, Vietnam</t>
  </si>
  <si>
    <t>Pleiku - Hue</t>
  </si>
  <si>
    <t>Douglas DC-3-DST</t>
  </si>
  <si>
    <t>B- 305</t>
  </si>
  <si>
    <t>Flew into high ground after being diverted to Da Nang in poor weather conditions.</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</si>
  <si>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</si>
  <si>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</si>
  <si>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</si>
  <si>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</si>
  <si>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</si>
  <si>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</si>
  <si>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</si>
  <si>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</si>
  <si>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</si>
  <si>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</si>
  <si>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</si>
  <si>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</si>
  <si>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</si>
  <si>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</si>
  <si>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</si>
  <si>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</si>
  <si>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</si>
  <si>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</si>
  <si>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</si>
  <si>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</si>
  <si>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</si>
  <si>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</si>
  <si>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</si>
  <si>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</si>
  <si>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</si>
  <si>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</si>
  <si>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The crew of the cargo plane became disoriented and struck the ground 5,000 ft. short of the runway. Fog, low ceiling, spatial disorientation, improper IFR operation.</t>
  </si>
  <si>
    <t>Pointe-Ã -Pitre, Guadeloupe</t>
  </si>
  <si>
    <t>Aerocosta Colombia</t>
  </si>
  <si>
    <t>HK-792</t>
  </si>
  <si>
    <t>The cargo plane crashed while attempting to make an emergency landing.</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</si>
  <si>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</si>
  <si>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</si>
  <si>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</si>
  <si>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</si>
  <si>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</si>
  <si>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</si>
  <si>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</si>
  <si>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Near Nha Trang, South Vietnam</t>
  </si>
  <si>
    <t>Saigon - Nha Trang AB</t>
  </si>
  <si>
    <t>55-4574</t>
  </si>
  <si>
    <t>Crashed into high ground on a mountainside while on a flight from Saigon to Nha Trang Air Base. Cause unknown.</t>
  </si>
  <si>
    <t>Anchorage, Alaska</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</si>
  <si>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</si>
  <si>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</si>
  <si>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</si>
  <si>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</si>
  <si>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</si>
  <si>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</si>
  <si>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</si>
  <si>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</si>
  <si>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</si>
  <si>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</si>
  <si>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</si>
  <si>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</si>
  <si>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</si>
  <si>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</si>
  <si>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Jamair</t>
  </si>
  <si>
    <t>New Delhi - Jaipur</t>
  </si>
  <si>
    <t>VT-CZC</t>
  </si>
  <si>
    <t>The No. 2 engine failed on takeoff due to fuel starvation. The plane made a right turn, lost control and crashed.</t>
  </si>
  <si>
    <t>Near Constanta, Romania</t>
  </si>
  <si>
    <t>Tel Aviv - Bucharest</t>
  </si>
  <si>
    <t>YR-BCA</t>
  </si>
  <si>
    <t>Crashed 4 kms short of the runway on approach in poor weather after being diverted to Bucurest. The visibility was limited due to fog and the crew continued the approach below the minimum descent altitude, in violation of the published procedures.</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</si>
  <si>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</si>
  <si>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</si>
  <si>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</si>
  <si>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</si>
  <si>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</si>
  <si>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</si>
  <si>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Algiers - MahÃ³n</t>
  </si>
  <si>
    <t xml:space="preserve"> AP-AUV</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</si>
  <si>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</si>
  <si>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</si>
  <si>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</si>
  <si>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</si>
  <si>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</si>
  <si>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</si>
  <si>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</si>
  <si>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</si>
  <si>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</si>
  <si>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</si>
  <si>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</si>
  <si>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Ben Gashir, Libya</t>
  </si>
  <si>
    <t>Algiers - Tripoli - Cairo</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</si>
  <si>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</si>
  <si>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</si>
  <si>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</si>
  <si>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</si>
  <si>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</si>
  <si>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</si>
  <si>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</si>
  <si>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</si>
  <si>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</si>
  <si>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</si>
  <si>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</si>
  <si>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</si>
  <si>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</si>
  <si>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</si>
  <si>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</si>
  <si>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</si>
  <si>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</si>
  <si>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</si>
  <si>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</si>
  <si>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</si>
  <si>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</si>
  <si>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</si>
  <si>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</si>
  <si>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</si>
  <si>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 The crew may misunderstood and mixed both altitude clearances of 8,000 feet till MontÃ©limar and 5,000 feet till Orange, descending prematurely.  Controlled flight into terrain.</t>
  </si>
  <si>
    <t>Surgut, USSR</t>
  </si>
  <si>
    <t xml:space="preserve">	Omsk - 	Surgut</t>
  </si>
  <si>
    <t>Antonov AN-12B</t>
  </si>
  <si>
    <t>CCCP 11000</t>
  </si>
  <si>
    <t>Crashed 15 km short of the runway. Icing. The engine bleed valves were not open causing  the anti-icing system to become ineffective.</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</si>
  <si>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</si>
  <si>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</si>
  <si>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</si>
  <si>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</si>
  <si>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</si>
  <si>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</si>
  <si>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Merida, Venezuela</t>
  </si>
  <si>
    <t>MÃ©rida - Caracas</t>
  </si>
  <si>
    <t>Vickers Viscount 749</t>
  </si>
  <si>
    <t>YV-C-AMV</t>
  </si>
  <si>
    <t>Crash landed onto Cruces de Daji mountain in the Andes eight minutes after taking off off from Merida.</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</si>
  <si>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</si>
  <si>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</si>
  <si>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</si>
  <si>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</si>
  <si>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Cunatineuta, Ecuador</t>
  </si>
  <si>
    <t>TAM (Transportes Aereos Militares)</t>
  </si>
  <si>
    <t>La Paz - San Borja</t>
  </si>
  <si>
    <t>TAM-60</t>
  </si>
  <si>
    <t>Cashed into a mountain 15 minutes after taking off in poor weather conditions. Controlled flight into terrain.</t>
  </si>
  <si>
    <t>Gauhati, India</t>
  </si>
  <si>
    <t>Guwahati - Bagdogra - Calcutta</t>
  </si>
  <si>
    <t>VT-ATT</t>
  </si>
  <si>
    <t>Hit  a mountain after deviating from the prescribed course. Wreckage found 6 days later. Controlled flight into terrain.</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</si>
  <si>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</si>
  <si>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</si>
  <si>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</si>
  <si>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</si>
  <si>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</si>
  <si>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</si>
  <si>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</si>
  <si>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</si>
  <si>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</si>
  <si>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</si>
  <si>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</si>
  <si>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</si>
  <si>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</si>
  <si>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</si>
  <si>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</si>
  <si>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</si>
  <si>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</si>
  <si>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</si>
  <si>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</si>
  <si>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</si>
  <si>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</si>
  <si>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</si>
  <si>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</si>
  <si>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</si>
  <si>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</si>
  <si>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</si>
  <si>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</si>
  <si>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</si>
  <si>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Santiago, Chile</t>
  </si>
  <si>
    <t xml:space="preserve">	Aerolineas Flecha Austral - ALFA</t>
  </si>
  <si>
    <t>Santiago - Arica</t>
  </si>
  <si>
    <t xml:space="preserve">	Curtiss C-46</t>
  </si>
  <si>
    <t xml:space="preserve">	CC-CAZ</t>
  </si>
  <si>
    <t>The cargo plane lost an engine while taking off and crashed 2 km from the airport..</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</si>
  <si>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</si>
  <si>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</si>
  <si>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</si>
  <si>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</si>
  <si>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</si>
  <si>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</si>
  <si>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</si>
  <si>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</si>
  <si>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</si>
  <si>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</si>
  <si>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</si>
  <si>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</si>
  <si>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</si>
  <si>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</si>
  <si>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</si>
  <si>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</si>
  <si>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</si>
  <si>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</si>
  <si>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</si>
  <si>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</si>
  <si>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</si>
  <si>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</si>
  <si>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</si>
  <si>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</si>
  <si>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</si>
  <si>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</si>
  <si>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</si>
  <si>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</si>
  <si>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</si>
  <si>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</si>
  <si>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</si>
  <si>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</si>
  <si>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</si>
  <si>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Domestic Airline (Japan)</t>
  </si>
  <si>
    <t>Sapporo - Hakodate</t>
  </si>
  <si>
    <t>NAMC YS-11A-227</t>
  </si>
  <si>
    <t>JA8764</t>
  </si>
  <si>
    <t>The aircraft crashed into Yokotsu Mountain while on approach. Navigational error after strong winds caused flight to drift.</t>
  </si>
  <si>
    <t>Near Bamako, Mali</t>
  </si>
  <si>
    <t>Air Ivoire</t>
  </si>
  <si>
    <t>Bamako - Abidjan</t>
  </si>
  <si>
    <t>6V-AAP</t>
  </si>
  <si>
    <t>Crashed into high terrain during a right turn on takeoff at night.</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</si>
  <si>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</si>
  <si>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</si>
  <si>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</si>
  <si>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</si>
  <si>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</si>
  <si>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</si>
  <si>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</si>
  <si>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</si>
  <si>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</si>
  <si>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</si>
  <si>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</si>
  <si>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</si>
  <si>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</si>
  <si>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</si>
  <si>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</si>
  <si>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</si>
  <si>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</si>
  <si>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</si>
  <si>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</si>
  <si>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</si>
  <si>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</si>
  <si>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</si>
  <si>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</si>
  <si>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</si>
  <si>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</si>
  <si>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</si>
  <si>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</si>
  <si>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</si>
  <si>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</si>
  <si>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</si>
  <si>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</si>
  <si>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</si>
  <si>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</si>
  <si>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</si>
  <si>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</si>
  <si>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</si>
  <si>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</si>
  <si>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</si>
  <si>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</si>
  <si>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</si>
  <si>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</si>
  <si>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</si>
  <si>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</si>
  <si>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</si>
  <si>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</si>
  <si>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</si>
  <si>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Presevo, Russia</t>
  </si>
  <si>
    <t>Belgrade - Athens - Cairo - Jeddah - Aden</t>
  </si>
  <si>
    <t>4W-ABI</t>
  </si>
  <si>
    <t>The cargo plane crashed while taking off. Icing.</t>
  </si>
  <si>
    <t>Kiev, Ukraine, USSR</t>
  </si>
  <si>
    <t>Budapest - Kiev</t>
  </si>
  <si>
    <t>HA-LBD</t>
  </si>
  <si>
    <t>While on approach to Kiev,   generator failed forcing the crew to switch to batteries. After two aborted attempts to land in fog, the plane crashed and broke up.</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</si>
  <si>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</si>
  <si>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</si>
  <si>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</si>
  <si>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</si>
  <si>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</si>
  <si>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</si>
  <si>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</si>
  <si>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</si>
  <si>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The aircraft tried to return to the airport after an engine fire during takeoff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</si>
  <si>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</si>
  <si>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</si>
  <si>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</si>
  <si>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</si>
  <si>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</si>
  <si>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</si>
  <si>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</si>
  <si>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</si>
  <si>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</si>
  <si>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</si>
  <si>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</si>
  <si>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</si>
  <si>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Caguan, Colombia</t>
  </si>
  <si>
    <t>San Vicente del CaguÃ¡n  - Neiva</t>
  </si>
  <si>
    <t>HK- 595</t>
  </si>
  <si>
    <t>The aircraft crashed and burned short of the runway. A girl, 6, and a boy 3, were the only survivors.</t>
  </si>
  <si>
    <t>Peoria, Illinois</t>
  </si>
  <si>
    <t>Chicago, IL - Peoria, IL</t>
  </si>
  <si>
    <t>Beech E18S</t>
  </si>
  <si>
    <t>N51CS</t>
  </si>
  <si>
    <t>BA-211</t>
  </si>
  <si>
    <t>Collided with wires/poles while attempting to land. Improper IFR operation. Descended below MDA.</t>
  </si>
  <si>
    <t>Crashed short of the after flying during a typhoon and landing in heavy rain.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</si>
  <si>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</si>
  <si>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</si>
  <si>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</si>
  <si>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</si>
  <si>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</si>
  <si>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</si>
  <si>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</si>
  <si>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</si>
  <si>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</si>
  <si>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</si>
  <si>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</si>
  <si>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</si>
  <si>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</si>
  <si>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</si>
  <si>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</si>
  <si>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</si>
  <si>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</si>
  <si>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The plane crashed into the sea while on approach to Padang. Unknown cause.</t>
  </si>
  <si>
    <t>Vinnitsa, Russia</t>
  </si>
  <si>
    <t>H-63</t>
  </si>
  <si>
    <t>Kiev - Vinnitsa</t>
  </si>
  <si>
    <t>CCCP-46809</t>
  </si>
  <si>
    <t>The plane crashed  on a a go-around 850 m short of the runway. Stalled for unknown reasons.</t>
  </si>
  <si>
    <t>Near Penghu Island, Taiwan</t>
  </si>
  <si>
    <t>Taipei - Hong Kong</t>
  </si>
  <si>
    <t>B-1852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</si>
  <si>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</si>
  <si>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</si>
  <si>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</si>
  <si>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</si>
  <si>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</si>
  <si>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</si>
  <si>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</si>
  <si>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Ufa - Saratov</t>
  </si>
  <si>
    <t>CCCP-46788</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</si>
  <si>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</si>
  <si>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</si>
  <si>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</si>
  <si>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</si>
  <si>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</si>
  <si>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</si>
  <si>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</si>
  <si>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</si>
  <si>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</si>
  <si>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</si>
  <si>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ST-AAY</t>
  </si>
  <si>
    <t xml:space="preserve">The aircraft experienced a forced landing after being hijacked and running out of fuel.      </t>
  </si>
  <si>
    <t>Chinnamanur, India</t>
  </si>
  <si>
    <t>Trivandrum - Madurai</t>
  </si>
  <si>
    <t>HAL-748-224 Srs.2</t>
  </si>
  <si>
    <t>VT-DXG</t>
  </si>
  <si>
    <t>Strayed off course and flew into a mountain. Crew error.</t>
  </si>
  <si>
    <t>Sofia IAP - Algiers</t>
  </si>
  <si>
    <t>LZ-BES</t>
  </si>
  <si>
    <t>Crashed in adverse weather conditions shortly after taking off. Technicians failed to comply with maintenance procedure and it was determined that the aileron control cables were not properly connected.</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</si>
  <si>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</si>
  <si>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</si>
  <si>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</si>
  <si>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Near Chetumal, Mexico</t>
  </si>
  <si>
    <t>SAESA</t>
  </si>
  <si>
    <t>Chetumel - Merida - Mexico City</t>
  </si>
  <si>
    <t>Hawker Siddeley HS-748-230 Srs. 2A</t>
  </si>
  <si>
    <t>XA-SEV</t>
  </si>
  <si>
    <t>The aircraft crashed about 40 km northwest of Chetumal.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</si>
  <si>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</si>
  <si>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</si>
  <si>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</si>
  <si>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</si>
  <si>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</si>
  <si>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Near Funza, Colombia</t>
  </si>
  <si>
    <t>Lineas AÃ©reas la Urraca</t>
  </si>
  <si>
    <t>Bogota - San Andres</t>
  </si>
  <si>
    <t>HK-1347</t>
  </si>
  <si>
    <t>Crashed shortly after leaving Bogota after an explosion aboard.</t>
  </si>
  <si>
    <t>Near Betania, Colombia</t>
  </si>
  <si>
    <t>MedellÃ­n - QuibdÃ³ - BahÃ­a Solano - Buenaventura - Cali</t>
  </si>
  <si>
    <t>FAC-661</t>
  </si>
  <si>
    <t>The aircraft struck a mountain in rain and thunderstorms operating as a non-scheduled passenger airliner run by the military.</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</si>
  <si>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</si>
  <si>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</si>
  <si>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</si>
  <si>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</si>
  <si>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</si>
  <si>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</si>
  <si>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</si>
  <si>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</si>
  <si>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</si>
  <si>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XW-PEH</t>
  </si>
  <si>
    <t>43126/132</t>
  </si>
  <si>
    <t>Due to a compass error the aircraft became lost and crashed during a forced landing due to fuel starvation.</t>
  </si>
  <si>
    <t>Pha Khao, Laos</t>
  </si>
  <si>
    <t>Ban Xon - Pha Khao</t>
  </si>
  <si>
    <t>After a go-around due to an obstruction on the runway, the aircraft crashed while attempting to land a second time. Overloaded</t>
  </si>
  <si>
    <t>Near Valledupar, Colombia</t>
  </si>
  <si>
    <t>TAC Colombia</t>
  </si>
  <si>
    <t>Bogota - Valledupar</t>
  </si>
  <si>
    <t>HK-1139</t>
  </si>
  <si>
    <t>Disappeared while en route. Wreckage found 3 days later. The accident was the result of a controlled flight into terrain due to a premature descent.</t>
  </si>
  <si>
    <t>Near Vientiane, Laos</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</si>
  <si>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</si>
  <si>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</si>
  <si>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</si>
  <si>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</si>
  <si>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</si>
  <si>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</si>
  <si>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</si>
  <si>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</si>
  <si>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</si>
  <si>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</si>
  <si>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</si>
  <si>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</si>
  <si>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</si>
  <si>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Shamsam Mountains, South Yemen</t>
  </si>
  <si>
    <t>Egyptair</t>
  </si>
  <si>
    <t>Cairo - Jeddah - Aden</t>
  </si>
  <si>
    <t>YU-AHR</t>
  </si>
  <si>
    <t>47503/587</t>
  </si>
  <si>
    <t>The aircraft crashed into Shamsam Mountain and exploded, during a visual approach, 4 miles SW of the airport. Controlled flight into terrain.</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</si>
  <si>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</si>
  <si>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</si>
  <si>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</si>
  <si>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</si>
  <si>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Near Ardinello di Amaseno, Italy</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</si>
  <si>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</si>
  <si>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</si>
  <si>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</si>
  <si>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</si>
  <si>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</si>
  <si>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</si>
  <si>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</si>
  <si>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</si>
  <si>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</si>
  <si>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</si>
  <si>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</si>
  <si>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</si>
  <si>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</si>
  <si>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</si>
  <si>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</si>
  <si>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</si>
  <si>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</si>
  <si>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</si>
  <si>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</si>
  <si>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</si>
  <si>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Bratsk, USSR</t>
  </si>
  <si>
    <t xml:space="preserve">	Irkutsk - 	Bratsk</t>
  </si>
  <si>
    <t>CCCP-87778</t>
  </si>
  <si>
    <t>Crashed on approach. The plane entered an area of severe wind. Windshear. ATC error. Current weather was not passed on to the plane.</t>
  </si>
  <si>
    <t>Near Carini, Sicily, Italy</t>
  </si>
  <si>
    <t>Rome - Palermo</t>
  </si>
  <si>
    <t>I-DIWB</t>
  </si>
  <si>
    <t>45625/150</t>
  </si>
  <si>
    <t>The plane cashed into Mt. Lunga during an approach to Palermo. The crew's non-adherence to airport traffic regulations. The aircraft was named Antonio Pigafetta.</t>
  </si>
  <si>
    <t xml:space="preserve"> Venezuela</t>
  </si>
  <si>
    <t>Aerotechnia</t>
  </si>
  <si>
    <t>Ciudad BolÃ­var - Cuchivero</t>
  </si>
  <si>
    <t>YV-C-GAI</t>
  </si>
  <si>
    <t>Struck a mountain near Rio Orinoco while en route.</t>
  </si>
  <si>
    <t>Near Gia Dinh, South Vietnam</t>
  </si>
  <si>
    <t>Bien Hoa - Vung Tau</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</si>
  <si>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</si>
  <si>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</si>
  <si>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</si>
  <si>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</si>
  <si>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</si>
  <si>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</si>
  <si>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Moscow - :	Kharkov</t>
  </si>
  <si>
    <t>CCCP-11215</t>
  </si>
  <si>
    <t xml:space="preserve">	 0402502</t>
  </si>
  <si>
    <t>Structural failure and separation of both wings due to a fatigue crack in the center wing section.</t>
  </si>
  <si>
    <t>Lobito, Angola</t>
  </si>
  <si>
    <t>Luanda - Lobito - Lubango</t>
  </si>
  <si>
    <t>CR-LLD</t>
  </si>
  <si>
    <t>Overshot the runway in heavy fog and crashed into the ocean while landing.</t>
  </si>
  <si>
    <t>Near Helgoland, Germany</t>
  </si>
  <si>
    <t>General Air</t>
  </si>
  <si>
    <t>Helgoland - Wangerooge</t>
  </si>
  <si>
    <t>de Havilland Canada DHC-6 Twin Otter</t>
  </si>
  <si>
    <t>D-IDHC</t>
  </si>
  <si>
    <t>Crashed after taking off from this North sea island for another island.</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</si>
  <si>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</si>
  <si>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</si>
  <si>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</si>
  <si>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</si>
  <si>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</si>
  <si>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</si>
  <si>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</si>
  <si>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</si>
  <si>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</si>
  <si>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</si>
  <si>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</si>
  <si>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</si>
  <si>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</si>
  <si>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</si>
  <si>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 xml:space="preserve"> Hue - Pleiku - BuÃ´n Ma Thuot - Saigon</t>
  </si>
  <si>
    <t>EM2</t>
  </si>
  <si>
    <t>The crew failed to realize his altitude was too low when the airplane struck the slope of a mountain located few km from the airport.</t>
  </si>
  <si>
    <t>CC-CDU</t>
  </si>
  <si>
    <t>On approach the cargo plane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</si>
  <si>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</si>
  <si>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</si>
  <si>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</si>
  <si>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</si>
  <si>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</si>
  <si>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</si>
  <si>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</si>
  <si>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</si>
  <si>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</si>
  <si>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</si>
  <si>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</si>
  <si>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</si>
  <si>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</si>
  <si>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</si>
  <si>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</si>
  <si>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</si>
  <si>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</si>
  <si>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</si>
  <si>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</si>
  <si>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San Juan - Ponce</t>
  </si>
  <si>
    <t>N554PR</t>
  </si>
  <si>
    <t>The pilot over-rotated during a go-around from a landing attempt , lost control and crashed. Crew error. The reason for rejecting the landing is not known.</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</si>
  <si>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</si>
  <si>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</si>
  <si>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</si>
  <si>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</si>
  <si>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</si>
  <si>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</si>
  <si>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</si>
  <si>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</si>
  <si>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</si>
  <si>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</si>
  <si>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</si>
  <si>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</si>
  <si>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Off Las Palmas, Canary Islands, Spain</t>
  </si>
  <si>
    <t>Las Palmas - Hamberg</t>
  </si>
  <si>
    <t>McDonnell Douglas DC-8-52</t>
  </si>
  <si>
    <t>EC-ARA</t>
  </si>
  <si>
    <t>45617/136</t>
  </si>
  <si>
    <t>The plane ditched into the sea, 14 miles from Gran Canana Island while on approach. Reasons unknown.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</si>
  <si>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</si>
  <si>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</si>
  <si>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</si>
  <si>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</si>
  <si>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</si>
  <si>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</si>
  <si>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</si>
  <si>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</si>
  <si>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</si>
  <si>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</si>
  <si>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</si>
  <si>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</si>
  <si>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</si>
  <si>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</si>
  <si>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</si>
  <si>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</si>
  <si>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</si>
  <si>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</si>
  <si>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Crashed on second approach after the pilot used the wrong flap setting and gears down after initiating a go-around.</t>
  </si>
  <si>
    <t>Near Soc Trang, South Vietnam</t>
  </si>
  <si>
    <t>62-1853</t>
  </si>
  <si>
    <t>The aircraft was hit by small arms fire shortly after taking off from Soc Trang Air Base.</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</si>
  <si>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</si>
  <si>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</si>
  <si>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</si>
  <si>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</si>
  <si>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</si>
  <si>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</si>
  <si>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</si>
  <si>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</si>
  <si>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Douglas DC-3 (C-47A-DK)</t>
  </si>
  <si>
    <t>XY-ACM</t>
  </si>
  <si>
    <t>Lost control soon after it took off and crashed into the sea.</t>
  </si>
  <si>
    <t>Canaima, Venezuela</t>
  </si>
  <si>
    <t>Lineas Areas Venezolanas</t>
  </si>
  <si>
    <t>Canaima - C iudad</t>
  </si>
  <si>
    <t>YV-C-AKE</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</si>
  <si>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</si>
  <si>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</si>
  <si>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</si>
  <si>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</si>
  <si>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</si>
  <si>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</si>
  <si>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</si>
  <si>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</si>
  <si>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</si>
  <si>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</si>
  <si>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</si>
  <si>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</si>
  <si>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</si>
  <si>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</si>
  <si>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</si>
  <si>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</si>
  <si>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</si>
  <si>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</si>
  <si>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</si>
  <si>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</si>
  <si>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</si>
  <si>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</si>
  <si>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</si>
  <si>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 caused by the presence of fatigue cracks in the root.</t>
  </si>
  <si>
    <t>Near Dhulikhel, Nepal</t>
  </si>
  <si>
    <t>Military - Royal Nepalese Air Force</t>
  </si>
  <si>
    <t>Panchkhal - Tribuvan</t>
  </si>
  <si>
    <t>9N-RF10</t>
  </si>
  <si>
    <t>Crashed while en route with paratroopers in limited visibility</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</si>
  <si>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</si>
  <si>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</si>
  <si>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</si>
  <si>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</si>
  <si>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</si>
  <si>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</si>
  <si>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</si>
  <si>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</si>
  <si>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</si>
  <si>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</si>
  <si>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</si>
  <si>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</si>
  <si>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</si>
  <si>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</si>
  <si>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</si>
  <si>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Shot down by a mortar shell while approaching to land at Kampot.</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</si>
  <si>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</si>
  <si>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</si>
  <si>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</si>
  <si>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</si>
  <si>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</si>
  <si>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</si>
  <si>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</si>
  <si>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</si>
  <si>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</si>
  <si>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</si>
  <si>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</si>
  <si>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</si>
  <si>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</si>
  <si>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</si>
  <si>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</si>
  <si>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</si>
  <si>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</si>
  <si>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</si>
  <si>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</si>
  <si>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Crashed into the sea just short of the runway while on approach in poor visibility. Controlled flight into water.</t>
  </si>
  <si>
    <t>Tanna, Vanuatu</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</si>
  <si>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</si>
  <si>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</si>
  <si>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</si>
  <si>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</si>
  <si>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</si>
  <si>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Near Noiretable, Loire, France</t>
  </si>
  <si>
    <t>Lyon - Clermont</t>
  </si>
  <si>
    <t>Vickers Viscount 724</t>
  </si>
  <si>
    <t>F-BMCH</t>
  </si>
  <si>
    <t>Crashed while landing in severe turbulence. Faulty indication by radio compass.</t>
  </si>
  <si>
    <t>Poggiorsini, Italy</t>
  </si>
  <si>
    <t>Napoli - Bari</t>
  </si>
  <si>
    <t>I-ATIR</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</si>
  <si>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</si>
  <si>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</si>
  <si>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</si>
  <si>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</si>
  <si>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</si>
  <si>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</si>
  <si>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The crew elected to divert to Plovdiv due to fog. While on approach, the aircraft flew into a mountain. ATC error.</t>
  </si>
  <si>
    <t>Elkton, Kentucky</t>
  </si>
  <si>
    <t>Metro Air Systems</t>
  </si>
  <si>
    <t>Hopkinsville, KY - Lexington, KY</t>
  </si>
  <si>
    <t>Beech G18S</t>
  </si>
  <si>
    <t>N2700S</t>
  </si>
  <si>
    <t>BA-567</t>
  </si>
  <si>
    <t>Improperly loaded aircraft, weight and center of gravity.</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</si>
  <si>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</si>
  <si>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</si>
  <si>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</si>
  <si>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</si>
  <si>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</si>
  <si>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</si>
  <si>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</si>
  <si>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</si>
  <si>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</si>
  <si>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Near Rawalpindi, Pakistan</t>
  </si>
  <si>
    <t>Gilgit - Rawalpindi</t>
  </si>
  <si>
    <t>AP-AUS</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</si>
  <si>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</si>
  <si>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</si>
  <si>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</si>
  <si>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</si>
  <si>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</si>
  <si>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</si>
  <si>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</si>
  <si>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</si>
  <si>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</si>
  <si>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</si>
  <si>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</si>
  <si>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</si>
  <si>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</si>
  <si>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</si>
  <si>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Off St. Maarten off, Netherlands Antilles</t>
  </si>
  <si>
    <t>Air Guadeloupe</t>
  </si>
  <si>
    <t>Guadeloupe - St. Maarten</t>
  </si>
  <si>
    <t>de Havilland Canada DHC-6 Twin Otter 300</t>
  </si>
  <si>
    <t>F-OGFE</t>
  </si>
  <si>
    <t>Crashed on approach into the sea at night.</t>
  </si>
  <si>
    <t>Skaugum, Norway</t>
  </si>
  <si>
    <t>Alesund - Oslo</t>
  </si>
  <si>
    <t>Fokker F-28 Fellowship 1000</t>
  </si>
  <si>
    <t>LN-SUY</t>
  </si>
  <si>
    <t>Hit high ground while on approach to Fornebu Airport in Oslo. The aircraft descended well below the MDA and was off course by 2,5Â° at the time of the accident.Pilot error.</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</si>
  <si>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</si>
  <si>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</si>
  <si>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</si>
  <si>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</si>
  <si>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</si>
  <si>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</si>
  <si>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</si>
  <si>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</si>
  <si>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</si>
  <si>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</si>
  <si>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</si>
  <si>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</si>
  <si>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</si>
  <si>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</si>
  <si>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</si>
  <si>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</si>
  <si>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</si>
  <si>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</si>
  <si>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</si>
  <si>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</si>
  <si>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</si>
  <si>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</si>
  <si>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</si>
  <si>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</si>
  <si>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</si>
  <si>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The landing gear collapsed after hitting a depression in the runway while landing. The aircraft ran off the side of the runway and caught fire. Wake turbulence during the landing.</t>
  </si>
  <si>
    <t>TAN</t>
  </si>
  <si>
    <t>Miami - Tegucigalpa</t>
  </si>
  <si>
    <t>HR-TNO</t>
  </si>
  <si>
    <t>45476/977</t>
  </si>
  <si>
    <t>The cargo plane crashed and burned ten miles from the destination airport.</t>
  </si>
  <si>
    <t>Near Kyrenia, Cyprus</t>
  </si>
  <si>
    <t>Cairo - Nicosia</t>
  </si>
  <si>
    <t>SU-AOY</t>
  </si>
  <si>
    <t>Crashed into the Kyrenia Mountains while on approach. Controlled flight into terrain.</t>
  </si>
  <si>
    <t>Prague, Czechoslovakia</t>
  </si>
  <si>
    <t>Moscow - Praha</t>
  </si>
  <si>
    <t>Tupolev TU-154</t>
  </si>
  <si>
    <t>CCCP-85023</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</si>
  <si>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</si>
  <si>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</si>
  <si>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</si>
  <si>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</si>
  <si>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</si>
  <si>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</si>
  <si>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</si>
  <si>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</si>
  <si>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</si>
  <si>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</si>
  <si>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</si>
  <si>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Flew into Cerro Horqueta Mountain. Controlled flight into terrain.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</si>
  <si>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</si>
  <si>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</si>
  <si>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</si>
  <si>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</si>
  <si>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</si>
  <si>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</si>
  <si>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</si>
  <si>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Near Leningrad, Russia</t>
  </si>
  <si>
    <t xml:space="preserve">	Dushanbe - 	Leninabad</t>
  </si>
  <si>
    <t>CCCP-75712</t>
  </si>
  <si>
    <t>The aircraft entered a spin after the plane banked 60 degrees and then dove into the ground.</t>
  </si>
  <si>
    <t>Semipalatinsk, Kazakhstan</t>
  </si>
  <si>
    <t>Semipalatinsk - Karaganda</t>
  </si>
  <si>
    <t>CCCP-87602</t>
  </si>
  <si>
    <t>Crashed back on the the runway and broke apart. Official cause could not be determined.</t>
  </si>
  <si>
    <t>Near Nabire, Indonesia</t>
  </si>
  <si>
    <t>PK-NUC</t>
  </si>
  <si>
    <t>Crashed while en route 45 km east of Nabire.</t>
  </si>
  <si>
    <t>Moscow, USSR</t>
  </si>
  <si>
    <t>LZ-BEM</t>
  </si>
  <si>
    <t>Crashed, broke up and burst in flames while on second approach after descending below glide slope. Icing of tailplane.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</si>
  <si>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</si>
  <si>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</si>
  <si>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</si>
  <si>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</si>
  <si>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</si>
  <si>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</si>
  <si>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</si>
  <si>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</si>
  <si>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</si>
  <si>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</si>
  <si>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</si>
  <si>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</si>
  <si>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Ben Me Thuot, South Vietnam</t>
  </si>
  <si>
    <t>Saigon - Ban Me</t>
  </si>
  <si>
    <t>XV-NUI</t>
  </si>
  <si>
    <t>Crashed after an explosion in the cargo hold.</t>
  </si>
  <si>
    <t>Near Basel,  Switzerland</t>
  </si>
  <si>
    <t>Invicta International Airlines (UK)</t>
  </si>
  <si>
    <t>Bristol - Basel</t>
  </si>
  <si>
    <t>Vickers Vanguard 952</t>
  </si>
  <si>
    <t>G-AXOP</t>
  </si>
  <si>
    <t>Crashed into a forest during a snowstorm. Malfunctioning navigation equipment. Navigational error by crew.</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</si>
  <si>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</si>
  <si>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</si>
  <si>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</si>
  <si>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</si>
  <si>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</si>
  <si>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</si>
  <si>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</si>
  <si>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</si>
  <si>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</si>
  <si>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</si>
  <si>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</si>
  <si>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Near Semipalatinsk, USSR</t>
  </si>
  <si>
    <t xml:space="preserve">	Tashkent, Uzbekistan - 	Novosibirsk, Russia</t>
  </si>
  <si>
    <t>SSR-75687</t>
  </si>
  <si>
    <t>The plane disintegrated during an emergency descent and crashed 84km from Semipalatins. Collision with a foreign object causing damage to the wing.</t>
  </si>
  <si>
    <t>Chita, Siberia, USSR</t>
  </si>
  <si>
    <t>Moscow - Chita</t>
  </si>
  <si>
    <t>CCCP-42411</t>
  </si>
  <si>
    <t>The aircraft broke up at FL 300. Detonation of a bomb in the cabin being carried by a hijacker.</t>
  </si>
  <si>
    <t>Svay Rieng, Cambodia</t>
  </si>
  <si>
    <t>Svay Rieng - Phnom Penh</t>
  </si>
  <si>
    <t>XW-TDM</t>
  </si>
  <si>
    <t>Crashed shortly after taking off after being hit by ground fire.</t>
  </si>
  <si>
    <t>Near Rimouski, Prov. Quebec, Canada</t>
  </si>
  <si>
    <t>Air GaspÃ©</t>
  </si>
  <si>
    <t>CF-QBB</t>
  </si>
  <si>
    <t>the crew failed to realize their altitude was too low when the plane struck a tree and crashed, 5 km southeast of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</si>
  <si>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</si>
  <si>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</si>
  <si>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</si>
  <si>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</si>
  <si>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</si>
  <si>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</si>
  <si>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</si>
  <si>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</si>
  <si>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</si>
  <si>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</si>
  <si>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</si>
  <si>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</si>
  <si>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</si>
  <si>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</si>
  <si>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</si>
  <si>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</si>
  <si>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</si>
  <si>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</si>
  <si>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</si>
  <si>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Monterrey - Puerto Vallarta - Mexico City</t>
  </si>
  <si>
    <t>McDonnell Douglas DC-9-15</t>
  </si>
  <si>
    <t>XA-SOC</t>
  </si>
  <si>
    <t>47100/153</t>
  </si>
  <si>
    <t>The aircraft hit high ground during an approach, 32 kms from the airport.</t>
  </si>
  <si>
    <t>SU-512</t>
  </si>
  <si>
    <t>Amman, Jordan - Beirut, Lebanon - Yerevan, Armenia</t>
  </si>
  <si>
    <t>CCCP-65668</t>
  </si>
  <si>
    <t>The aircraft was not able to lift off during takeoff, overshot the runway and crashed into a house bursting into flames.</t>
  </si>
  <si>
    <t>Near Shakhtyorsk, Russia</t>
  </si>
  <si>
    <t>Yuzhno -Shakhtyorsk</t>
  </si>
  <si>
    <t>CCCP-91534</t>
  </si>
  <si>
    <t>Controlled flight into terrain, 53 km south of Shakhtyorsk. The crew descended below a safe altitude during the approach.</t>
  </si>
  <si>
    <t>Nnear Kuybyshev, Russia</t>
  </si>
  <si>
    <t>Kuibyshev - Simferopol</t>
  </si>
  <si>
    <t>Tupolev TU-124V</t>
  </si>
  <si>
    <t>CCCP-45062</t>
  </si>
  <si>
    <t>Made a forced landing after experiencing engine failure. Complete destruction of turbine and due to a design and manufacturing defect.</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</si>
  <si>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</si>
  <si>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</si>
  <si>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</si>
  <si>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</si>
  <si>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</si>
  <si>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</si>
  <si>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</si>
  <si>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</si>
  <si>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</si>
  <si>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</si>
  <si>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</si>
  <si>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</si>
  <si>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</si>
  <si>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</si>
  <si>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</si>
  <si>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</si>
  <si>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</si>
  <si>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</si>
  <si>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</si>
  <si>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</si>
  <si>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</si>
  <si>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</si>
  <si>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</si>
  <si>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</si>
  <si>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</si>
  <si>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</si>
  <si>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Near La  CoruÃ±a, Spain</t>
  </si>
  <si>
    <t>Aviaco Condor</t>
  </si>
  <si>
    <t>Madrid - La CoruÃ±a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</si>
  <si>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</si>
  <si>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</si>
  <si>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</si>
  <si>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</si>
  <si>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</si>
  <si>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</si>
  <si>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</si>
  <si>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While flying too low, the plane struck a mountain shrouded in clouds and located in Dondon, 21 km south of the airport. Controlled flight into terrain..</t>
  </si>
  <si>
    <t>Baku, Azerbaijan, USSR</t>
  </si>
  <si>
    <t>A-13</t>
  </si>
  <si>
    <t>Baku - Aktau</t>
  </si>
  <si>
    <t>CCCP-46435</t>
  </si>
  <si>
    <t>Crashed after after attemping a return to the airport for an emergency landing. Left engine failure.</t>
  </si>
  <si>
    <t>El Yopal, Colombia</t>
  </si>
  <si>
    <t>Villavicencio - El Yopal</t>
  </si>
  <si>
    <t>HK-111</t>
  </si>
  <si>
    <t>Struck a hill in heavy fog. Flying VFR in IFR conditions.</t>
  </si>
  <si>
    <t>Aerocondor Colombia</t>
  </si>
  <si>
    <t>Bogota - Cartagena</t>
  </si>
  <si>
    <t>Lockheed L-188A Electra</t>
  </si>
  <si>
    <t>HK-777</t>
  </si>
  <si>
    <t>Crashed into El Cable Mountain after taking off in fog. Crew failed to follow departure procedures.</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</si>
  <si>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</si>
  <si>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</si>
  <si>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</si>
  <si>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</si>
  <si>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</si>
  <si>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</si>
  <si>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</si>
  <si>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</si>
  <si>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</si>
  <si>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</si>
  <si>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</si>
  <si>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King Cove, Alaska</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</si>
  <si>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</si>
  <si>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</si>
  <si>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</si>
  <si>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</si>
  <si>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</si>
  <si>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Skopje - Titograd</t>
  </si>
  <si>
    <t>Aerospatiale Caravelle 6N</t>
  </si>
  <si>
    <t>YU-AHD</t>
  </si>
  <si>
    <t>151/149</t>
  </si>
  <si>
    <t>The aircraft struck Moganik Mountain at 6,300 ft., while descending. Controlled flight into terrain.</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</si>
  <si>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</si>
  <si>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</si>
  <si>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</si>
  <si>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</si>
  <si>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</si>
  <si>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</si>
  <si>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</si>
  <si>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</si>
  <si>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</si>
  <si>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</si>
  <si>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</si>
  <si>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</si>
  <si>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</si>
  <si>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</si>
  <si>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</si>
  <si>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</si>
  <si>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</si>
  <si>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</si>
  <si>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</si>
  <si>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</si>
  <si>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</si>
  <si>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</si>
  <si>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</si>
  <si>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CCCP-12967</t>
  </si>
  <si>
    <t>The cargo plane struck high ground after going off course during a go-around. Crew error.</t>
  </si>
  <si>
    <t>Near  Domodedovo, Russia</t>
  </si>
  <si>
    <t>Tbilisi - Moscow</t>
  </si>
  <si>
    <t>CCCP-42486</t>
  </si>
  <si>
    <t>After making a right turn, the aircraft plunged to earth from 1,500 ft.  Electrical failure of the compass and main gyro.</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</si>
  <si>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</si>
  <si>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</si>
  <si>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</si>
  <si>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</si>
  <si>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</si>
  <si>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</si>
  <si>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</si>
  <si>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</si>
  <si>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</si>
  <si>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</si>
  <si>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</si>
  <si>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</si>
  <si>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</si>
  <si>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</si>
  <si>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</si>
  <si>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</si>
  <si>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</si>
  <si>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</si>
  <si>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</si>
  <si>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</si>
  <si>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on - Quang Ngai</t>
  </si>
  <si>
    <t>XV-NIE</t>
  </si>
  <si>
    <t>14910/26355</t>
  </si>
  <si>
    <t>Flew into a mountain while en route. Flying under VFR in IFR conditons.</t>
  </si>
  <si>
    <t>Mineral Waters - Moscow</t>
  </si>
  <si>
    <t>CCCP-42503</t>
  </si>
  <si>
    <t>The aircraft crashed after the wing touched the ground while landing short of the runway. Crew error in not executing a missed approach.</t>
  </si>
  <si>
    <t>Near Karacharovo, USSR</t>
  </si>
  <si>
    <t>Vilnius - Moscow</t>
  </si>
  <si>
    <t>CCCP-45061</t>
  </si>
  <si>
    <t>Went into a sudden dive and crashed to the ground. A short circuit occurred in the elevator trim system.</t>
  </si>
  <si>
    <t>N407PA</t>
  </si>
  <si>
    <t>18838/412</t>
  </si>
  <si>
    <t>Two phosphorus bombs were thrown into the aircraft prior to its departure. The aircraft was named "Clipper Celestial."</t>
  </si>
  <si>
    <t>Near Siagon, South Vietnam</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</si>
  <si>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</si>
  <si>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</si>
  <si>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</si>
  <si>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</si>
  <si>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</si>
  <si>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</si>
  <si>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</si>
  <si>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</si>
  <si>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Lviv - Kiev - Kuybyshev</t>
  </si>
  <si>
    <t>CCCP-45004</t>
  </si>
  <si>
    <t>Crashed after takeoff. Engine failure. A defective turbine blade failed resulting in violent vibration of the engine and rupturing of a fuel line and causing an in-flight fire.</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</si>
  <si>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</si>
  <si>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</si>
  <si>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</si>
  <si>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</si>
  <si>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</si>
  <si>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</si>
  <si>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upside down during an approach in fog and heavy rain.</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</si>
  <si>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</si>
  <si>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</si>
  <si>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</si>
  <si>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</si>
  <si>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</si>
  <si>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</si>
  <si>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</si>
  <si>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</si>
  <si>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AÃ©reos Boliviano</t>
  </si>
  <si>
    <t>CP-990</t>
  </si>
  <si>
    <t>The cargo plane hit a mountain en route.</t>
  </si>
  <si>
    <t>Mukachevo, Ukraine</t>
  </si>
  <si>
    <t>H-75</t>
  </si>
  <si>
    <t xml:space="preserve">	Ivano-Frankovsk, Ukraine - Uzhgorod, Ukraine</t>
  </si>
  <si>
    <t>CCCP-46357</t>
  </si>
  <si>
    <t>The plane dove into the ground 100 meters behind the outer marker while on approach.  Icing of the horizontal stabilizer.</t>
  </si>
  <si>
    <t>Near Nevia, Colombia</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</si>
  <si>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</si>
  <si>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</si>
  <si>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</si>
  <si>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</si>
  <si>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</si>
  <si>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</si>
  <si>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</si>
  <si>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Cigorodo, Colombia</t>
  </si>
  <si>
    <t>Cessnyca</t>
  </si>
  <si>
    <t>ChigorodÃ³ - MedellÃ­n</t>
  </si>
  <si>
    <t>HK-1216</t>
  </si>
  <si>
    <t>Crashed after climbing to cruising altitude.</t>
  </si>
  <si>
    <t>Izmir, Turkey</t>
  </si>
  <si>
    <t>Izmir - Istanbul</t>
  </si>
  <si>
    <t>TC-JAO</t>
  </si>
  <si>
    <t>The plane yawed left, pitched nose down and crashed shortly after taking off. Icing. Frost on the wings along with over rotation resulted in a stall. Crew error.</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</si>
  <si>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</si>
  <si>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</si>
  <si>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</si>
  <si>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</si>
  <si>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</si>
  <si>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</si>
  <si>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</si>
  <si>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</si>
  <si>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</si>
  <si>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</si>
  <si>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</si>
  <si>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</si>
  <si>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</si>
  <si>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</si>
  <si>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</si>
  <si>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</si>
  <si>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</si>
  <si>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</si>
  <si>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</si>
  <si>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</si>
  <si>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</si>
  <si>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Trinidad - Oruro</t>
  </si>
  <si>
    <t>CP-1052</t>
  </si>
  <si>
    <t>Severe turbulence possibly caused the failure of ropes securing cargo. The center of gravity shifted causing a loss of control. The wreckage was found 2 days later.</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</si>
  <si>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</si>
  <si>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</si>
  <si>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</si>
  <si>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</si>
  <si>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</si>
  <si>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</si>
  <si>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</si>
  <si>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</si>
  <si>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</si>
  <si>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</si>
  <si>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</si>
  <si>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</si>
  <si>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</si>
  <si>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</si>
  <si>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</si>
  <si>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</si>
  <si>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</si>
  <si>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</si>
  <si>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</si>
  <si>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</si>
  <si>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</si>
  <si>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</si>
  <si>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</si>
  <si>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</si>
  <si>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</si>
  <si>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</si>
  <si>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</si>
  <si>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Leningrad - Zaporozhye</t>
  </si>
  <si>
    <t>CCCP-75559</t>
  </si>
  <si>
    <t>The aircraft crashed after report of a heavy vibration and fire in the No. 4 engine. Structural failure of turbine disc in No. 4 the engine.</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</si>
  <si>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</si>
  <si>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</si>
  <si>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</si>
  <si>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</si>
  <si>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</si>
  <si>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</si>
  <si>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</si>
  <si>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</si>
  <si>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</si>
  <si>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</si>
  <si>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</si>
  <si>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</si>
  <si>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</si>
  <si>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</si>
  <si>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</si>
  <si>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</si>
  <si>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</si>
  <si>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</si>
  <si>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</si>
  <si>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</si>
  <si>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</si>
  <si>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</si>
  <si>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</si>
  <si>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</si>
  <si>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</si>
  <si>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</si>
  <si>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Rankin Inlet, Canada</t>
  </si>
  <si>
    <t>Lambair</t>
  </si>
  <si>
    <t>Thompson - Rankin Inlet</t>
  </si>
  <si>
    <t>CF-QWJ</t>
  </si>
  <si>
    <t>The cargo plane suffered an engine failure and spiraled into the ground.</t>
  </si>
  <si>
    <t>Monte San Isidro,  Colombia</t>
  </si>
  <si>
    <t>HK-1058</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</si>
  <si>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</si>
  <si>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</si>
  <si>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</si>
  <si>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</si>
  <si>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</si>
  <si>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</si>
  <si>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</si>
  <si>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</si>
  <si>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</si>
  <si>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</si>
  <si>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</si>
  <si>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</si>
  <si>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</si>
  <si>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</si>
  <si>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</si>
  <si>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Near Moc Hoa, Vietnam</t>
  </si>
  <si>
    <t>Air Amercia</t>
  </si>
  <si>
    <t>Phnom Penh - Siagon</t>
  </si>
  <si>
    <t>ST-4</t>
  </si>
  <si>
    <t>The cargo plane was struck by a surface-to-air missile.</t>
  </si>
  <si>
    <t>Mt. Apica, PQ, Canada</t>
  </si>
  <si>
    <t>Laurentian Air Services</t>
  </si>
  <si>
    <t>LaTuque - St. Honore</t>
  </si>
  <si>
    <t>C-FTAT</t>
  </si>
  <si>
    <t>Struck  the slope of Mont-Apica located 67 km southwest of saint-HonorÃ© Airport.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</si>
  <si>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</si>
  <si>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</si>
  <si>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</si>
  <si>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</si>
  <si>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</si>
  <si>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</si>
  <si>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</si>
  <si>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</si>
  <si>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</si>
  <si>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Margarita Island, Venezuela</t>
  </si>
  <si>
    <t>Cumana - Porlamar</t>
  </si>
  <si>
    <t>YV-C-AMX</t>
  </si>
  <si>
    <t>In accordance with ATC, the crew divert to CumanÃ¡ Airport and while completing a turn to change heading, the plane struck the peak La Gloria located10 km northeast of Porlamar Airport.</t>
  </si>
  <si>
    <t>Near Kisangani, Zaire</t>
  </si>
  <si>
    <t>Military - Zairean Air Force</t>
  </si>
  <si>
    <t>Kinshasa - Kisangani</t>
  </si>
  <si>
    <t>Lockheed C-130H</t>
  </si>
  <si>
    <t>9T-TCD</t>
  </si>
  <si>
    <t>During a night time approach to Kisangani Airport, the plane crashed in unknown circumstances few km from the runway threshold</t>
  </si>
  <si>
    <t>Tandjung-karang, Indonesia</t>
  </si>
  <si>
    <t>bang - Bandar Lampung - Jakarta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</si>
  <si>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</si>
  <si>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</si>
  <si>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</si>
  <si>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</si>
  <si>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</si>
  <si>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</si>
  <si>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</si>
  <si>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</si>
  <si>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</si>
  <si>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</si>
  <si>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</si>
  <si>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</si>
  <si>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</si>
  <si>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</si>
  <si>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</si>
  <si>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</si>
  <si>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</si>
  <si>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</si>
  <si>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</si>
  <si>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</si>
  <si>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</si>
  <si>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</si>
  <si>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</si>
  <si>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</si>
  <si>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</si>
  <si>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</si>
  <si>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</si>
  <si>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</si>
  <si>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</si>
  <si>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</si>
  <si>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</si>
  <si>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</si>
  <si>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</si>
  <si>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</si>
  <si>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Near Surgut, Russia</t>
  </si>
  <si>
    <t xml:space="preserve">	Khanty - Surgut</t>
  </si>
  <si>
    <t>Antonov An-2 / Mil Mi-8T</t>
  </si>
  <si>
    <t>CCCP-70766</t>
  </si>
  <si>
    <t xml:space="preserve">	 1G132-21</t>
  </si>
  <si>
    <t>Midair collision between a An-2 and a Mil Mi-8T in poor weather.</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</si>
  <si>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</si>
  <si>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</si>
  <si>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</si>
  <si>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</si>
  <si>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</si>
  <si>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Frankfurt - Nairobi - Johannesburg</t>
  </si>
  <si>
    <t>Boeing B-747-130</t>
  </si>
  <si>
    <t>D-ABYB</t>
  </si>
  <si>
    <t>19747/29</t>
  </si>
  <si>
    <t>The aircraft stalled and crashed during takeoff. The wing flaps were not extended. First fatal Boeing 747 accident to occur.</t>
  </si>
  <si>
    <t>Soddu, Ethiopia</t>
  </si>
  <si>
    <t>Soddu - Beica</t>
  </si>
  <si>
    <t>ET-AAR</t>
  </si>
  <si>
    <t>Stalled  on takoff and crashed.</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</si>
  <si>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</si>
  <si>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</si>
  <si>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</si>
  <si>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</si>
  <si>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</si>
  <si>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</si>
  <si>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</si>
  <si>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</si>
  <si>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</si>
  <si>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</si>
  <si>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</si>
  <si>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</si>
  <si>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</si>
  <si>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</si>
  <si>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</si>
  <si>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</si>
  <si>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</si>
  <si>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</si>
  <si>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</si>
  <si>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</si>
  <si>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</si>
  <si>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</si>
  <si>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</si>
  <si>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</si>
  <si>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</si>
  <si>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</si>
  <si>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</si>
  <si>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</si>
  <si>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Old Harbor - Kodiac</t>
  </si>
  <si>
    <t>Grumman G-21</t>
  </si>
  <si>
    <t>N1583V</t>
  </si>
  <si>
    <t>Near Moc Hoa, South Vietnam</t>
  </si>
  <si>
    <t>Shot down by a surface-to-air missile.</t>
  </si>
  <si>
    <t>Bukhara, Uzbekistan</t>
  </si>
  <si>
    <t>Bukhara - Dushanbe</t>
  </si>
  <si>
    <t>Yakovlev 40</t>
  </si>
  <si>
    <t>CCCP-87630</t>
  </si>
  <si>
    <t>Overran the runway and hit a dyke while attempting to take off. Elevator lock not removed.</t>
  </si>
  <si>
    <t>Maturin, Venezuela</t>
  </si>
  <si>
    <t>Aerovias Venezolanas SA (Venezuela)</t>
  </si>
  <si>
    <t>Ciudad Bolivar - Maturin - Caracas</t>
  </si>
  <si>
    <t>YV-C-AVM</t>
  </si>
  <si>
    <t>47056/89</t>
  </si>
  <si>
    <t>Four minutes after takeoff from runway 05 at Maturin Airport, while climbing , the plane struck the slope of Mt Zamuro,  20 km from the airport.</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</si>
  <si>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</si>
  <si>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</si>
  <si>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</si>
  <si>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</si>
  <si>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</si>
  <si>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</si>
  <si>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</si>
  <si>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</si>
  <si>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Few minutes after takeoff from Tikal Airport, while climbing, the airplane went out of control and crashed on the slope of a mountain located few km from the airport. Possible in-flight fire.</t>
  </si>
  <si>
    <t>Near Nha Trang, Vietnam</t>
  </si>
  <si>
    <t>Da Lat - Nha Trang</t>
  </si>
  <si>
    <t>ST-1</t>
  </si>
  <si>
    <t>Shot down with a SAM missile.</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</si>
  <si>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</si>
  <si>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</si>
  <si>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</si>
  <si>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</si>
  <si>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</si>
  <si>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</si>
  <si>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</si>
  <si>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</si>
  <si>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</si>
  <si>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</si>
  <si>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Budapest, Hunary</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</si>
  <si>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</si>
  <si>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</si>
  <si>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</si>
  <si>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</si>
  <si>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</si>
  <si>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</si>
  <si>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</si>
  <si>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</si>
  <si>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</si>
  <si>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</si>
  <si>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</si>
  <si>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AÃ©rea Nacional</t>
  </si>
  <si>
    <t>Santo Domingo - Port-au-Prince</t>
  </si>
  <si>
    <t>Douglas DC-3-313</t>
  </si>
  <si>
    <t>HI-222</t>
  </si>
  <si>
    <t>Crashed during take off. Failure of the right engine.</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</si>
  <si>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</si>
  <si>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</si>
  <si>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</si>
  <si>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</si>
  <si>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</si>
  <si>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</si>
  <si>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</si>
  <si>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</si>
  <si>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</si>
  <si>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</si>
  <si>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</si>
  <si>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Hohn - Chania</t>
  </si>
  <si>
    <t>Transall C-160</t>
  </si>
  <si>
    <t>D-85</t>
  </si>
  <si>
    <t>Slammed into a mountain at an altitude of 5,000 ft. during an approach to Canea in a snow shower.</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</si>
  <si>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</si>
  <si>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</si>
  <si>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</si>
  <si>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</si>
  <si>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</si>
  <si>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</si>
  <si>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</si>
  <si>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</si>
  <si>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</si>
  <si>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</si>
  <si>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</si>
  <si>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</si>
  <si>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</si>
  <si>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</si>
  <si>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</si>
  <si>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Pleiku, South Vietnam</t>
  </si>
  <si>
    <t>XV-NUJ</t>
  </si>
  <si>
    <t>Shot down by a hand-held surface-to-air missile by North Vietnamese forces 25 miles SW of Pleiku.</t>
  </si>
  <si>
    <t>Near Barito, Argentina</t>
  </si>
  <si>
    <t>El Palomar AB - San Carlos de Bariloche</t>
  </si>
  <si>
    <t>TC-72</t>
  </si>
  <si>
    <t>The aircraft struck a mountain while preparing for an ILS approach in poor weather. Crew error. Crew descended below the minimum safe altitude before knowing their position.</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</si>
  <si>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</si>
  <si>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</si>
  <si>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</si>
  <si>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</si>
  <si>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</si>
  <si>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</si>
  <si>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</si>
  <si>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</si>
  <si>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Near Quilcene, Washington</t>
  </si>
  <si>
    <t>Clark AFB - Japan</t>
  </si>
  <si>
    <t>Lockheed C-141A (L.300)</t>
  </si>
  <si>
    <t>64-0641</t>
  </si>
  <si>
    <t>The aircraft struck a ridge of  Mt. Constance in Olympic National Park. Faulty clearance by the ATC after misidentifying the C-141 as another aircraft.</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</si>
  <si>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</si>
  <si>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</si>
  <si>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</si>
  <si>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</si>
  <si>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</si>
  <si>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</si>
  <si>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</si>
  <si>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</si>
  <si>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</si>
  <si>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</si>
  <si>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</si>
  <si>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</si>
  <si>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</si>
  <si>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</si>
  <si>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</si>
  <si>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Sao Paulo - Porto Nacional - Pedro Afonso - BelÃ©m</t>
  </si>
  <si>
    <t>Hawker Siddeley HS-748-235 Srs. 2A</t>
  </si>
  <si>
    <t>PP-VDN</t>
  </si>
  <si>
    <t>The aircraft landed with excessive speed and touched down on the last 300 meters of the runway, overran the runway, crossed a street and crashed into a house.</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</si>
  <si>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</si>
  <si>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</si>
  <si>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</si>
  <si>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</si>
  <si>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</si>
  <si>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</si>
  <si>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</si>
  <si>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</si>
  <si>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</si>
  <si>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</si>
  <si>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</si>
  <si>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</si>
  <si>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</si>
  <si>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</si>
  <si>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</si>
  <si>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Near Batumi, Georgia, USSR</t>
  </si>
  <si>
    <t>E-15</t>
  </si>
  <si>
    <t>Yerevan - Batumi</t>
  </si>
  <si>
    <t>CCCP-87475</t>
  </si>
  <si>
    <t>The aircraft struck a mountain after an attempted go-around. Deviation from the standard trajectory for a missed approach. Misinformation supplied to crew.</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</si>
  <si>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</si>
  <si>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</si>
  <si>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</si>
  <si>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</si>
  <si>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</si>
  <si>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</si>
  <si>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</si>
  <si>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</si>
  <si>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</si>
  <si>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</si>
  <si>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</si>
  <si>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</si>
  <si>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</si>
  <si>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</si>
  <si>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</si>
  <si>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</si>
  <si>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</si>
  <si>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Bagdarin, Russia</t>
  </si>
  <si>
    <t>Chita - Bagdarin</t>
  </si>
  <si>
    <t>Ilyushin IL-14M</t>
  </si>
  <si>
    <t xml:space="preserve">	 CCCP-52056</t>
  </si>
  <si>
    <t>The crew deviated from the approach pattern and collided with terrain obscured by clouds 28 km from Bagdarin.</t>
  </si>
  <si>
    <t>Krasnovodsk, USSR</t>
  </si>
  <si>
    <t>A-053</t>
  </si>
  <si>
    <t>CCCP-87323</t>
  </si>
  <si>
    <t>The plane descended below the glidepath and crashed. Windshear.</t>
  </si>
  <si>
    <t>Prague, Czechoslovakia - Damascus, Syria</t>
  </si>
  <si>
    <t>OK-DBF</t>
  </si>
  <si>
    <t>The airliner crashed into a sandy knoll, 10 miles NE of Damascus during an approach to Damascus International Airport. Failure of the crew to maintain the minimum flight altitude.</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</si>
  <si>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</si>
  <si>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</si>
  <si>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</si>
  <si>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</si>
  <si>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</si>
  <si>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</si>
  <si>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</si>
  <si>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</si>
  <si>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</si>
  <si>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</si>
  <si>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</si>
  <si>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</si>
  <si>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</si>
  <si>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</si>
  <si>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</si>
  <si>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</si>
  <si>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</si>
  <si>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</si>
  <si>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</si>
  <si>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</si>
  <si>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</si>
  <si>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</si>
  <si>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</si>
  <si>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</si>
  <si>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</si>
  <si>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</si>
  <si>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</si>
  <si>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</si>
  <si>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</si>
  <si>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</si>
  <si>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</si>
  <si>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</si>
  <si>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</si>
  <si>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</si>
  <si>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</si>
  <si>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</si>
  <si>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</si>
  <si>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</si>
  <si>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</si>
  <si>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</si>
  <si>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</si>
  <si>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</si>
  <si>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</si>
  <si>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</si>
  <si>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</si>
  <si>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</si>
  <si>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</si>
  <si>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</si>
  <si>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</si>
  <si>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</si>
  <si>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</si>
  <si>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Near Sukhumi, Georgia, USSR</t>
  </si>
  <si>
    <t>Tbilisi - Sukhumi</t>
  </si>
  <si>
    <t>CCCP-46467</t>
  </si>
  <si>
    <t>The crew attempted to circumnavigate a thunderstorm but los track of their positon. They descended until the struck Mount Apshara at 2,250 meters.</t>
  </si>
  <si>
    <t>Caoba, Guatemala</t>
  </si>
  <si>
    <t>Uaxactun - Flores</t>
  </si>
  <si>
    <t>TG-AGA</t>
  </si>
  <si>
    <t>Crashed into mountainous jungle in poor visibility and heavy rain.</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</si>
  <si>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</si>
  <si>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</si>
  <si>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</si>
  <si>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</si>
  <si>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LZ-ANA</t>
  </si>
  <si>
    <t>Crashed shortly after takeoff. Stalled crashed. Icing.</t>
  </si>
  <si>
    <t>Near Bir Lahfan, Egypt</t>
  </si>
  <si>
    <t>Military - Israel  Air Force</t>
  </si>
  <si>
    <t>Lockheed C-130 Hercules</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</si>
  <si>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</si>
  <si>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</si>
  <si>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</si>
  <si>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</si>
  <si>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</si>
  <si>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</si>
  <si>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</si>
  <si>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</si>
  <si>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</si>
  <si>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</si>
  <si>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</si>
  <si>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</si>
  <si>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</si>
  <si>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</si>
  <si>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</si>
  <si>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</si>
  <si>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</si>
  <si>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</si>
  <si>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</si>
  <si>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</si>
  <si>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</si>
  <si>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</si>
  <si>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</si>
  <si>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</si>
  <si>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</si>
  <si>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</si>
  <si>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</si>
  <si>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</si>
  <si>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</si>
  <si>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</si>
  <si>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</si>
  <si>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</si>
  <si>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</si>
  <si>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</si>
  <si>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</si>
  <si>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</si>
  <si>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</si>
  <si>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</si>
  <si>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</si>
  <si>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</si>
  <si>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CAAC</t>
  </si>
  <si>
    <t>Guangzhou - Changsha</t>
  </si>
  <si>
    <t>B-492</t>
  </si>
  <si>
    <t>Crashed during the approach. Reasons unknown.</t>
  </si>
  <si>
    <t>Chapeco, Brazil</t>
  </si>
  <si>
    <t>Transbrasil</t>
  </si>
  <si>
    <t>ChapecÃ³ - Erechim - Porto Alegre</t>
  </si>
  <si>
    <t>PT-TBD</t>
  </si>
  <si>
    <t>Off Santa Maria, Colombia</t>
  </si>
  <si>
    <t>LAC Colombia</t>
  </si>
  <si>
    <t>Santa Maria - Curacao</t>
  </si>
  <si>
    <t>HK-1389</t>
  </si>
  <si>
    <t>43519/221</t>
  </si>
  <si>
    <t>The cargo plane crashed into the ocean. Engine failure.</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</si>
  <si>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</si>
  <si>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</si>
  <si>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</si>
  <si>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</si>
  <si>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</si>
  <si>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</si>
  <si>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</si>
  <si>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</si>
  <si>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</si>
  <si>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</si>
  <si>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</si>
  <si>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</si>
  <si>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</si>
  <si>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</si>
  <si>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</si>
  <si>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</si>
  <si>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</si>
  <si>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</si>
  <si>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</si>
  <si>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</si>
  <si>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</si>
  <si>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</si>
  <si>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</si>
  <si>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</si>
  <si>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</si>
  <si>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</si>
  <si>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</si>
  <si>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</si>
  <si>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</si>
  <si>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</si>
  <si>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</si>
  <si>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Continued VFR flight in to adverse weather.</t>
  </si>
  <si>
    <t>Near Puerto Asis, Colombia</t>
  </si>
  <si>
    <t>Florencia - Puerto Asis</t>
  </si>
  <si>
    <t>FAC-676</t>
  </si>
  <si>
    <t>Crashed into a lake while on approach in heavy rain.</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</si>
  <si>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</si>
  <si>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</si>
  <si>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</si>
  <si>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</si>
  <si>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</si>
  <si>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</si>
  <si>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</si>
  <si>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Bell 205 A-1 helicopter</t>
  </si>
  <si>
    <t>N8167J</t>
  </si>
  <si>
    <t>Fatigue fracture of tail boom fuselage attachment fitting. Pilot and 4 passengers not recovered.</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</si>
  <si>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</si>
  <si>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</si>
  <si>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</si>
  <si>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</si>
  <si>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</si>
  <si>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</si>
  <si>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RP-C2140</t>
  </si>
  <si>
    <t>Unknown cause.</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</si>
  <si>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</si>
  <si>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</si>
  <si>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</si>
  <si>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</si>
  <si>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</si>
  <si>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</si>
  <si>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</si>
  <si>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</si>
  <si>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After entering the wake turbulence of a MiG fighter plane, the rudder deflected sharply and both propellers feathered causing the plane to go into a spin and crash.</t>
  </si>
  <si>
    <t>Zamboanga, Philipines</t>
  </si>
  <si>
    <t>Davao City - Manila</t>
  </si>
  <si>
    <t>BAC One-Eleven 527FK</t>
  </si>
  <si>
    <t>RP-C1161</t>
  </si>
  <si>
    <t>The aircraft was destroyed after a hijacker set off grenades in the cabin. All three hijackers were killed.</t>
  </si>
  <si>
    <t>Nacias Nguema, Equatorial Guinea</t>
  </si>
  <si>
    <t>SU-418</t>
  </si>
  <si>
    <t xml:space="preserve">	Luanda - Malabo - Nâ€™Djamena - Tripoli - Moscow</t>
  </si>
  <si>
    <t>Tupolev TU-154A</t>
  </si>
  <si>
    <t>CCCP-85102</t>
  </si>
  <si>
    <t>After takeoff from Malabo the aircraft collided with Mount San Carlos. Cause unknown. Possible failure of radar equipment.</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</si>
  <si>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</si>
  <si>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</si>
  <si>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</si>
  <si>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</si>
  <si>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</si>
  <si>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</si>
  <si>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Labuan - Kota Kinabalu</t>
  </si>
  <si>
    <t>GAF Nomad N-22B</t>
  </si>
  <si>
    <t>9M-ATZ</t>
  </si>
  <si>
    <t>Stalled and crashed into the sea during the approach two miles from the airport.</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</si>
  <si>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</si>
  <si>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</si>
  <si>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</si>
  <si>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</si>
  <si>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</si>
  <si>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</si>
  <si>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</si>
  <si>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</si>
  <si>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Bratislava, Czechoslovakia</t>
  </si>
  <si>
    <t>Ilyushin IL-18L</t>
  </si>
  <si>
    <t>OK-NAB</t>
  </si>
  <si>
    <t>The No. 3 engine failed during the approach and the No. 4 engine was feathered by mistake. The No. 4 engine was restarted but  the aircraft lost control and crashed into ZlatÃ© piesky lake after a decision to go-around was made.</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</si>
  <si>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</si>
  <si>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</si>
  <si>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</si>
  <si>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</si>
  <si>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</si>
  <si>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</si>
  <si>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</si>
  <si>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</si>
  <si>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</si>
  <si>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</si>
  <si>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</si>
  <si>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Crashed 15 minutes after taking off. An engine caught fire.</t>
  </si>
  <si>
    <t>Andes Mountains, Ecuador</t>
  </si>
  <si>
    <t>Quito - Cuenca</t>
  </si>
  <si>
    <t>HC-ARS</t>
  </si>
  <si>
    <t>Crashed while en route. Struck the slope of Mt Chimborazo. Controlled filght into terrain.</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</si>
  <si>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</si>
  <si>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</si>
  <si>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</si>
  <si>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</si>
  <si>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</si>
  <si>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</si>
  <si>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</si>
  <si>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</si>
  <si>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The aircraft suffered structural failure after flying into a severe thunderstorm. The starboard wing, horizontal stabilizer and vertical tail fin separated from the aircraft.</t>
  </si>
  <si>
    <t>Hawk Inlet, Alaska</t>
  </si>
  <si>
    <t>Temsco Helicopter - Air Taxi</t>
  </si>
  <si>
    <t>Hughes 369HS</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</si>
  <si>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</si>
  <si>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</si>
  <si>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</si>
  <si>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</si>
  <si>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</si>
  <si>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</si>
  <si>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</si>
  <si>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</si>
  <si>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</si>
  <si>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</si>
  <si>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</si>
  <si>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</si>
  <si>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</si>
  <si>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</si>
  <si>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</si>
  <si>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</si>
  <si>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</si>
  <si>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</si>
  <si>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</si>
  <si>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</si>
  <si>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</si>
  <si>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</si>
  <si>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</si>
  <si>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Istanbul - Antalya</t>
  </si>
  <si>
    <t>Boeing B-727-2F2</t>
  </si>
  <si>
    <t>TC-JBH</t>
  </si>
  <si>
    <t>20982/1087</t>
  </si>
  <si>
    <t>The aircraft struck Mt. Karatepa during an approach to land. The crew attempted to land at the wrong airport, landing at Isparta instead of Antalya.</t>
  </si>
  <si>
    <t>Near Alpena, Michigan</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</si>
  <si>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</si>
  <si>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</si>
  <si>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</si>
  <si>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</si>
  <si>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</si>
  <si>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</si>
  <si>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</si>
  <si>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</si>
  <si>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</si>
  <si>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</si>
  <si>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</si>
  <si>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</si>
  <si>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</si>
  <si>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</si>
  <si>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</si>
  <si>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</si>
  <si>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</si>
  <si>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</si>
  <si>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</si>
  <si>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</si>
  <si>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</si>
  <si>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</si>
  <si>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</si>
  <si>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Near Petrolia, Brazil</t>
  </si>
  <si>
    <t>Nordeste Linhas AÃ©reas</t>
  </si>
  <si>
    <t>Petrolina - Recife</t>
  </si>
  <si>
    <t>PT-TBA</t>
  </si>
  <si>
    <t>The airplane was seen to initiate a turn to the left when it stalled and crashed in a field.</t>
  </si>
  <si>
    <t>Banjarmasin, Indonesia</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</si>
  <si>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</si>
  <si>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</si>
  <si>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</si>
  <si>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</si>
  <si>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</si>
  <si>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</si>
  <si>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</si>
  <si>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</si>
  <si>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Kozani, Greece</t>
  </si>
  <si>
    <t>Athens - Larisa</t>
  </si>
  <si>
    <t>NAMC YS-11A-500</t>
  </si>
  <si>
    <t>SX-BBR</t>
  </si>
  <si>
    <t>The airliner crashed into mountainous terrain after being diverted to Kozani due to poor weather at Larissa. Controlled flight into terrain. Premature descent.</t>
  </si>
  <si>
    <t>Moscow - Leningrad</t>
  </si>
  <si>
    <t>CCCP-42471</t>
  </si>
  <si>
    <t>After taking off an artificial horizon failure caused the crew to become disoriented and exceed bank angle limits and crash.</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</si>
  <si>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</si>
  <si>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</si>
  <si>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</si>
  <si>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</si>
  <si>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</si>
  <si>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 xml:space="preserve">	Ust-Kut, Russia</t>
  </si>
  <si>
    <t>Ust-Kut - Kirensk</t>
  </si>
  <si>
    <t>CCCP-88208</t>
  </si>
  <si>
    <t xml:space="preserve">	 9631349</t>
  </si>
  <si>
    <t>The cargo plane crashed into trees on takeoff. Deviation in preparation for the flight by the crew and pilot error in the technique used during the takeoff.</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</si>
  <si>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</si>
  <si>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</si>
  <si>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</si>
  <si>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</si>
  <si>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</si>
  <si>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Nnear Yuzhno-Sakhalinsk, Russia</t>
  </si>
  <si>
    <t xml:space="preserve">	Petropavlovsk-Kamchatsky - Yuzhno-Sakhalinsk</t>
  </si>
  <si>
    <t xml:space="preserve">	Ilyushin IL-14M</t>
  </si>
  <si>
    <t>CCCP-61752</t>
  </si>
  <si>
    <t>The survey fllight deviated from the approach pattern and crashed into Mount Ostraya.</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</si>
  <si>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</si>
  <si>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</si>
  <si>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</si>
  <si>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</si>
  <si>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</si>
  <si>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Near Trujillo, Peru</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</si>
  <si>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</si>
  <si>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</si>
  <si>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</si>
  <si>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</si>
  <si>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</si>
  <si>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</si>
  <si>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</si>
  <si>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</si>
  <si>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</si>
  <si>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Mosses Lake, WA - Tokyo, Japan</t>
  </si>
  <si>
    <t>Douglas DC-8</t>
  </si>
  <si>
    <t>JA8054</t>
  </si>
  <si>
    <t>46148/553</t>
  </si>
  <si>
    <t>The cargo plane crashed while attempting to take off. Alcoholic impairment of captain. Flightcrew members did not prevent captain from attempting to fly. Blood alcohol of 0.21.</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</si>
  <si>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</si>
  <si>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</si>
  <si>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</si>
  <si>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</si>
  <si>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</si>
  <si>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</si>
  <si>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</si>
  <si>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</si>
  <si>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</si>
  <si>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</si>
  <si>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</si>
  <si>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</si>
  <si>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</si>
  <si>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</si>
  <si>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</si>
  <si>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</si>
  <si>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</si>
  <si>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</si>
  <si>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</si>
  <si>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</si>
  <si>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</si>
  <si>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</si>
  <si>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</si>
  <si>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</si>
  <si>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</si>
  <si>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Near Saglouc, Canada</t>
  </si>
  <si>
    <t>Survair</t>
  </si>
  <si>
    <t>C-FNAR</t>
  </si>
  <si>
    <t>Crashed in whiteout conditions. Possible spatial disorientation on final.</t>
  </si>
  <si>
    <t>Off Aden, Yemen</t>
  </si>
  <si>
    <t>Alyemda</t>
  </si>
  <si>
    <t>Aden - Al Kari</t>
  </si>
  <si>
    <t>7O-ABF</t>
  </si>
  <si>
    <t>Crashed into the ocean. Engine failure.</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</si>
  <si>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</si>
  <si>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</si>
  <si>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</si>
  <si>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</si>
  <si>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</si>
  <si>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</si>
  <si>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</si>
  <si>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</si>
  <si>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</si>
  <si>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</si>
  <si>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</si>
  <si>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</si>
  <si>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</si>
  <si>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</si>
  <si>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</si>
  <si>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</si>
  <si>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</si>
  <si>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</si>
  <si>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</si>
  <si>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After spotting a mountain in front of him, the pilot applied full power and went into a steep climb. The plane stalled and crashed into trees.</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</si>
  <si>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</si>
  <si>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</si>
  <si>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</si>
  <si>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</si>
  <si>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</si>
  <si>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</si>
  <si>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</si>
  <si>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</si>
  <si>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</si>
  <si>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</si>
  <si>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</si>
  <si>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</si>
  <si>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Douglas DC-3-3A</t>
  </si>
  <si>
    <t>HK-556</t>
  </si>
  <si>
    <t>Crashed on the slopes of the Rio Guape mountains. Found 1 month later. Deviation from course.</t>
  </si>
  <si>
    <t>Tapa AFB, Estonia</t>
  </si>
  <si>
    <t>Parnu - Tapa</t>
  </si>
  <si>
    <t>Crashed into a building while attempting to land in snow and poor visibility.</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</si>
  <si>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</si>
  <si>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</si>
  <si>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</si>
  <si>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</si>
  <si>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</si>
  <si>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</si>
  <si>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</si>
  <si>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</si>
  <si>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SP-LZA</t>
  </si>
  <si>
    <t>The cargo plane struck power lines and trees while attempting to land.</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</si>
  <si>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</si>
  <si>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</si>
  <si>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</si>
  <si>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</si>
  <si>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</si>
  <si>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</si>
  <si>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</si>
  <si>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</si>
  <si>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</si>
  <si>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</si>
  <si>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</si>
  <si>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</si>
  <si>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</si>
  <si>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</si>
  <si>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</si>
  <si>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</si>
  <si>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Struck power lines and crashed 1 m from the runway while attempting to land.</t>
  </si>
  <si>
    <t>Natal, Brazil</t>
  </si>
  <si>
    <t>Embraer C-95 Bandeirante</t>
  </si>
  <si>
    <t>FAB2157</t>
  </si>
  <si>
    <t>Salto-Nueva Hesperides, Uruguay</t>
  </si>
  <si>
    <t>Fuerza AÃ©rea Uruguaya</t>
  </si>
  <si>
    <t>Carrasco - Salto-Nueva Hesperides</t>
  </si>
  <si>
    <t>CX-BJE</t>
  </si>
  <si>
    <t>Crashed into trees while making an ILS approach.</t>
  </si>
  <si>
    <t>Off Wake Island</t>
  </si>
  <si>
    <t>Wake-Agana</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</si>
  <si>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</si>
  <si>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</si>
  <si>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</si>
  <si>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</si>
  <si>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</si>
  <si>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</si>
  <si>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</si>
  <si>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</si>
  <si>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</si>
  <si>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</si>
  <si>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Near Cuangar, Angola</t>
  </si>
  <si>
    <t>Military - Angolan Air Force</t>
  </si>
  <si>
    <t>Antonov AN-26</t>
  </si>
  <si>
    <t>Shot down by rebels near the Namibia border as it took off.</t>
  </si>
  <si>
    <t xml:space="preserve">	Vitim, Russia</t>
  </si>
  <si>
    <t>B-2</t>
  </si>
  <si>
    <t xml:space="preserve">	Vitim - Irkutsk</t>
  </si>
  <si>
    <t>CCCP-52096</t>
  </si>
  <si>
    <t>The crew attempted to take off in tailwind, stalled, contacted trees and crashed</t>
  </si>
  <si>
    <t>Jima, Ethiopia</t>
  </si>
  <si>
    <t>Tippi - Jima</t>
  </si>
  <si>
    <t>ET-ABF</t>
  </si>
  <si>
    <t>The cargo plane crashed into a mountainside in poor weather, visibility and rain showers.</t>
  </si>
  <si>
    <t>Near Puerto Montt, Chile</t>
  </si>
  <si>
    <t>Punta Arenas - Santiago</t>
  </si>
  <si>
    <t>FAC-989</t>
  </si>
  <si>
    <t>Crashed into a swamp and burst into flames as it attempted to land in heavy rain at night.</t>
  </si>
  <si>
    <t>Near Yoro, Honduras</t>
  </si>
  <si>
    <t>Military - Honduran Air Force</t>
  </si>
  <si>
    <t>Yoro - Honduran</t>
  </si>
  <si>
    <t>FAH-301</t>
  </si>
  <si>
    <t>The left engine exploded in flight and the plane crashed into mountainous terrain. Plane was overloaded with passengers.</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</si>
  <si>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</si>
  <si>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</si>
  <si>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</si>
  <si>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</si>
  <si>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</si>
  <si>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</si>
  <si>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Monarch Aviation</t>
  </si>
  <si>
    <t xml:space="preserve"> Catalina Island-Long Beach</t>
  </si>
  <si>
    <t>N8817E</t>
  </si>
  <si>
    <t>The cargo plane took off struck trees, crashed and burned.</t>
  </si>
  <si>
    <t>Kona, Hawaii</t>
  </si>
  <si>
    <t>Island Airways</t>
  </si>
  <si>
    <t>Honolulu-Kailua Kona</t>
  </si>
  <si>
    <t>Shorts SC-7 Skyvan 3-200</t>
  </si>
  <si>
    <t>N4917</t>
  </si>
  <si>
    <t>SH-1850</t>
  </si>
  <si>
    <t>The cargo plane stalled, went into a spin and crashed short of the runway. Failure to maintain flying speed.</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</si>
  <si>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</si>
  <si>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</si>
  <si>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</si>
  <si>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</si>
  <si>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</si>
  <si>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</si>
  <si>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</si>
  <si>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</si>
  <si>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</si>
  <si>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</si>
  <si>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</si>
  <si>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</si>
  <si>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</si>
  <si>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</si>
  <si>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</si>
  <si>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</si>
  <si>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</si>
  <si>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</si>
  <si>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</si>
  <si>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</si>
  <si>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</si>
  <si>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</si>
  <si>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</si>
  <si>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</si>
  <si>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</si>
  <si>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</si>
  <si>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</si>
  <si>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</si>
  <si>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</si>
  <si>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</si>
  <si>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Istanbul - Bucharest</t>
  </si>
  <si>
    <t>HA-LBC</t>
  </si>
  <si>
    <t>Crashed short of the runway. The aircraft was being flown at reduced power and went unnoticed by the crew until it struck the ground in level flight..</t>
  </si>
  <si>
    <t>Kuala Lumpur,  Malaysia</t>
  </si>
  <si>
    <t>Tokyo-Hong Kong-Kuala Lumpur</t>
  </si>
  <si>
    <t>McDonnell Douglas DC-8-62H</t>
  </si>
  <si>
    <t>JA-8051</t>
  </si>
  <si>
    <t>46152/550</t>
  </si>
  <si>
    <t>The aircraft struck a hill 4 miles short of the runway while on  a VOR approach during a thunderstorm. Crew error. Descended below MDA.</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</si>
  <si>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</si>
  <si>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</si>
  <si>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</si>
  <si>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</si>
  <si>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</si>
  <si>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</si>
  <si>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</si>
  <si>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</si>
  <si>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</si>
  <si>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</si>
  <si>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</si>
  <si>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</si>
  <si>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</si>
  <si>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</si>
  <si>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Exploded, crashed and burned on approach.</t>
  </si>
  <si>
    <t>Rome, Italy - Asmara, Ethiopia</t>
  </si>
  <si>
    <t>Boeing 707-360C</t>
  </si>
  <si>
    <t>ET-ACD</t>
  </si>
  <si>
    <t>19736/696</t>
  </si>
  <si>
    <t>The cargo plane failed to gain altitude and crashed into trees.</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</si>
  <si>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</si>
  <si>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</si>
  <si>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</si>
  <si>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</si>
  <si>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</si>
  <si>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</si>
  <si>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</si>
  <si>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</si>
  <si>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</si>
  <si>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</si>
  <si>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</si>
  <si>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</si>
  <si>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</si>
  <si>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Mont-de-Marsan-HyÃ¨res</t>
  </si>
  <si>
    <t>Crashed into mountains north of the city in fog and adverse weather conditions.</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</si>
  <si>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</si>
  <si>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</si>
  <si>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</si>
  <si>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</si>
  <si>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</si>
  <si>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</si>
  <si>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</si>
  <si>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</si>
  <si>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</si>
  <si>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</si>
  <si>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</si>
  <si>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</si>
  <si>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</si>
  <si>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</si>
  <si>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</si>
  <si>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</si>
  <si>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Tarko-Sale - Surgut</t>
  </si>
  <si>
    <t>CCCP-47695</t>
  </si>
  <si>
    <t>The plane took off at night and entered a steep attitude after the flaps were raised and crashed.</t>
  </si>
  <si>
    <t>Hierro, Canary Islands</t>
  </si>
  <si>
    <t>Lajes-Lajes</t>
  </si>
  <si>
    <t>Lockheed P-3B Orion</t>
  </si>
  <si>
    <t>185-5225</t>
  </si>
  <si>
    <t>While on patrol the plane flew into a 4,200 ft. mountain at 1,200 ft.</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</si>
  <si>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</si>
  <si>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</si>
  <si>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</si>
  <si>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</si>
  <si>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</si>
  <si>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</si>
  <si>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</si>
  <si>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</si>
  <si>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</si>
  <si>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</si>
  <si>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</si>
  <si>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Zurich-GenÃ¨ve-Funchal</t>
  </si>
  <si>
    <t>Aerospatiale Caravelle 10R</t>
  </si>
  <si>
    <t>HB-ICK</t>
  </si>
  <si>
    <t>Ditched into the ocean while on a second approach. Crew error. Sensory illusion.</t>
  </si>
  <si>
    <t>Vieques, Puerto Rico</t>
  </si>
  <si>
    <t>Vieques Air Link</t>
  </si>
  <si>
    <t>St Croix, VI - Vieques, PR</t>
  </si>
  <si>
    <t>N862JA</t>
  </si>
  <si>
    <t>The plane made a forced landing in the ocean. Fuel exhaustion. Inadequate preflight planning. Mismanagement of fuel.</t>
  </si>
  <si>
    <t>Willemstad, Curacao, Netherlands Antilles</t>
  </si>
  <si>
    <t>Valley Air Service</t>
  </si>
  <si>
    <t>Charlotte Amalie-Willemstad</t>
  </si>
  <si>
    <t>Piper PA-31-350 Navajo</t>
  </si>
  <si>
    <t>N9164Y</t>
  </si>
  <si>
    <t>31-217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</si>
  <si>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</si>
  <si>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</si>
  <si>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</si>
  <si>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</si>
  <si>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</si>
  <si>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</si>
  <si>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</si>
  <si>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</si>
  <si>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</si>
  <si>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Near San Vincente, Colombia</t>
  </si>
  <si>
    <t>SADELCA</t>
  </si>
  <si>
    <t>Neiva - San Vincente</t>
  </si>
  <si>
    <t>HK-1351X</t>
  </si>
  <si>
    <t>Struck Cerro Granada, at 6800 feet in mountain fog.</t>
  </si>
  <si>
    <t>Eirunepe, Brazil</t>
  </si>
  <si>
    <t>TABA</t>
  </si>
  <si>
    <t>Embraer 110P Bandeirante</t>
  </si>
  <si>
    <t>PT-GKW</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</si>
  <si>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</si>
  <si>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</si>
  <si>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</si>
  <si>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</si>
  <si>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</si>
  <si>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</si>
  <si>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</si>
  <si>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</si>
  <si>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</si>
  <si>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</si>
  <si>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</si>
  <si>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</si>
  <si>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</si>
  <si>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</si>
  <si>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</si>
  <si>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</si>
  <si>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</si>
  <si>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Solvang, California</t>
  </si>
  <si>
    <t>Security Air</t>
  </si>
  <si>
    <t>Visalia - Santa Barbara - Santa Maria</t>
  </si>
  <si>
    <t>Aero Commander 500A</t>
  </si>
  <si>
    <t>N6143X</t>
  </si>
  <si>
    <t>500-0931-26</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</si>
  <si>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</si>
  <si>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</si>
  <si>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</si>
  <si>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</si>
  <si>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</si>
  <si>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</si>
  <si>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</si>
  <si>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</si>
  <si>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</si>
  <si>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</si>
  <si>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</si>
  <si>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</si>
  <si>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</si>
  <si>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</si>
  <si>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Vrastsa, Bulgaria</t>
  </si>
  <si>
    <t>Sofia - Warszawa</t>
  </si>
  <si>
    <t>LZ-TUB</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</si>
  <si>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</si>
  <si>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</si>
  <si>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</si>
  <si>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</si>
  <si>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</si>
  <si>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</si>
  <si>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</si>
  <si>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</si>
  <si>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</si>
  <si>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</si>
  <si>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</si>
  <si>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</si>
  <si>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</si>
  <si>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</si>
  <si>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</si>
  <si>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</si>
  <si>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</si>
  <si>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</si>
  <si>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</si>
  <si>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</si>
  <si>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</si>
  <si>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</si>
  <si>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</si>
  <si>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</si>
  <si>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</si>
  <si>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</si>
  <si>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</si>
  <si>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</si>
  <si>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</si>
  <si>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Pochinok, Russia</t>
  </si>
  <si>
    <t>Baku - Leningrad</t>
  </si>
  <si>
    <t>CCCP-85169</t>
  </si>
  <si>
    <t>76A-169</t>
  </si>
  <si>
    <t>The flight engineer accidentally shut off the automatic transferring of fuel from the sump tank. Eventually all three engines stopped and the plane crashed. Fuel starvation.</t>
  </si>
  <si>
    <t>Saint John's, Newfoundland</t>
  </si>
  <si>
    <t>Gander Aviation</t>
  </si>
  <si>
    <t xml:space="preserve"> Saint John's - Saint Anthony</t>
  </si>
  <si>
    <t>Beech Queen Air A80</t>
  </si>
  <si>
    <t>C-GGAL</t>
  </si>
  <si>
    <t>LD-233</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</si>
  <si>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</si>
  <si>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</si>
  <si>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</si>
  <si>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</si>
  <si>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</si>
  <si>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</si>
  <si>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</si>
  <si>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</si>
  <si>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</si>
  <si>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</si>
  <si>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</si>
  <si>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</si>
  <si>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</si>
  <si>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</si>
  <si>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</si>
  <si>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Papun, Burma</t>
  </si>
  <si>
    <t>Papun-Rangoon</t>
  </si>
  <si>
    <t>XY-AEI</t>
  </si>
  <si>
    <t>Crashed shortly after taking off from runway 18.</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</si>
  <si>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</si>
  <si>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</si>
  <si>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</si>
  <si>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</si>
  <si>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</si>
  <si>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</si>
  <si>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</si>
  <si>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</si>
  <si>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3X-GAX</t>
  </si>
  <si>
    <t>Crashed in a swamp.</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</si>
  <si>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</si>
  <si>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</si>
  <si>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</si>
  <si>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</si>
  <si>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</si>
  <si>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</si>
  <si>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</si>
  <si>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</si>
  <si>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</si>
  <si>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</si>
  <si>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</si>
  <si>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</si>
  <si>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</si>
  <si>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</si>
  <si>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</si>
  <si>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</si>
  <si>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</si>
  <si>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</si>
  <si>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</si>
  <si>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</si>
  <si>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</si>
  <si>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Whittier, AK</t>
  </si>
  <si>
    <t>Alaska Travel</t>
  </si>
  <si>
    <t>Anchorage, AK - Whittier, AK</t>
  </si>
  <si>
    <t>de Havilland DHC-2</t>
  </si>
  <si>
    <t>N37741</t>
  </si>
  <si>
    <t>The float plane flew into a blind canyon and crashed into water. Continued VFR flight into adverse weather conditions.</t>
  </si>
  <si>
    <t>Paranaque, Philippines</t>
  </si>
  <si>
    <t>Philippine Air Force</t>
  </si>
  <si>
    <t>Laoag - Paranaque</t>
  </si>
  <si>
    <t>PH-FKY</t>
  </si>
  <si>
    <t>The domestic flight crashed while attempting to land at Paranaque in thunderstorms with heavy rain and wind gusts. Possible lightning strike.</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</si>
  <si>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</si>
  <si>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</si>
  <si>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</si>
  <si>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</si>
  <si>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</si>
  <si>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</si>
  <si>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</si>
  <si>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</si>
  <si>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</si>
  <si>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</si>
  <si>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</si>
  <si>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</si>
  <si>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</si>
  <si>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</si>
  <si>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Santiago de Chile, Chile</t>
  </si>
  <si>
    <t>Military exercises</t>
  </si>
  <si>
    <t>Douglas R6D-1 (DC-6)</t>
  </si>
  <si>
    <t>43721/375</t>
  </si>
  <si>
    <t>The military transport crashed into a fog-shrouded hill, 20 miles south of the city.</t>
  </si>
  <si>
    <t>Sverdlovsk - 	Kustanai</t>
  </si>
  <si>
    <t>CCCP-87437</t>
  </si>
  <si>
    <t>Crashed after the left engine flamed out on takeoff.</t>
  </si>
  <si>
    <t>Kenai, Alaska</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</si>
  <si>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</si>
  <si>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</si>
  <si>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</si>
  <si>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</si>
  <si>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</si>
  <si>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</si>
  <si>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</si>
  <si>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</si>
  <si>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</si>
  <si>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Gulf of Sivash, USSR</t>
  </si>
  <si>
    <t xml:space="preserve">	Krasnodar - t:	Simferopol</t>
  </si>
  <si>
    <t>CCCP-46327</t>
  </si>
  <si>
    <t>Crashed following engine flame out in icing conditions.</t>
  </si>
  <si>
    <t>Nile Delta Air Services</t>
  </si>
  <si>
    <t>SU-AZM</t>
  </si>
  <si>
    <t>Crashed into the ocean.</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</si>
  <si>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</si>
  <si>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</si>
  <si>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</si>
  <si>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</si>
  <si>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</si>
  <si>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</si>
  <si>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Off Marie Galante Island, West Indies</t>
  </si>
  <si>
    <t>F-OGHD</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</si>
  <si>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</si>
  <si>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</si>
  <si>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</si>
  <si>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</si>
  <si>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</si>
  <si>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</si>
  <si>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Aereo el Venado</t>
  </si>
  <si>
    <t>Cucuta - Arauca</t>
  </si>
  <si>
    <t>HK-1393</t>
  </si>
  <si>
    <t>Crashed in the Rubio mountains.</t>
  </si>
  <si>
    <t>Hydaburg, Alaska</t>
  </si>
  <si>
    <t>Tyee Airlines</t>
  </si>
  <si>
    <t>Ketchikan - Hydaburg</t>
  </si>
  <si>
    <t>N37906</t>
  </si>
  <si>
    <t>Crashed in rain, fog and low ceiling. Continued VFR flight into deteriorating weather conditions.</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</si>
  <si>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</si>
  <si>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</si>
  <si>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</si>
  <si>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</si>
  <si>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</si>
  <si>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</si>
  <si>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</si>
  <si>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</si>
  <si>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</si>
  <si>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</si>
  <si>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</si>
  <si>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</si>
  <si>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Off Cinisi, Sicily, Italy</t>
  </si>
  <si>
    <t>I-DIKQ</t>
  </si>
  <si>
    <t>47227/334</t>
  </si>
  <si>
    <t>The aircraft crashed into ocean during a landing approach. Poor monitoring of altitudes and too early a transition from ILS to visual flight procedures.</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</si>
  <si>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</si>
  <si>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</si>
  <si>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</si>
  <si>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</si>
  <si>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</si>
  <si>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</si>
  <si>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</si>
  <si>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</si>
  <si>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</si>
  <si>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Bechar, Algeria</t>
  </si>
  <si>
    <t>Nord 262A-44</t>
  </si>
  <si>
    <t>7T-VSU</t>
  </si>
  <si>
    <t>Crashed short of the runway on approach. Crew error. Non-compliance with proper procedure, lack of crew coordination, crew fatigue and faulty altimiter.</t>
  </si>
  <si>
    <t>Rodez, France</t>
  </si>
  <si>
    <t>Air Rouergue</t>
  </si>
  <si>
    <t>F-BYAH</t>
  </si>
  <si>
    <t>Struck a mountain. Failure of the crew to level off at the prescribed altitude either due to inadequate monitoring or an altimeter setting error by confusion between QNH and QFE.</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</si>
  <si>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</si>
  <si>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</si>
  <si>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</si>
  <si>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</si>
  <si>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</si>
  <si>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</si>
  <si>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</si>
  <si>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AÃ©reas Regional</t>
  </si>
  <si>
    <t>Bauru - Sao Paulo</t>
  </si>
  <si>
    <t>PP-SBB</t>
  </si>
  <si>
    <t>100-010</t>
  </si>
  <si>
    <t>Hit trees and burst into flames shortly after taking off.</t>
  </si>
  <si>
    <t>Near Kariba, Rhodesia</t>
  </si>
  <si>
    <t>VP-YND</t>
  </si>
  <si>
    <t>Shot down by rebels with 2 surface-to-air missiles a few minutes after taking off from Kariba.</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</si>
  <si>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</si>
  <si>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</si>
  <si>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</si>
  <si>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</si>
  <si>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</si>
  <si>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</si>
  <si>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</si>
  <si>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</si>
  <si>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</si>
  <si>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</si>
  <si>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</si>
  <si>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</si>
  <si>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</si>
  <si>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</si>
  <si>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</si>
  <si>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</si>
  <si>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</si>
  <si>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</si>
  <si>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</si>
  <si>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</si>
  <si>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</si>
  <si>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</si>
  <si>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</si>
  <si>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</si>
  <si>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</si>
  <si>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</si>
  <si>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Bejing, China</t>
  </si>
  <si>
    <t>Hawker Siddeley Trident 2E</t>
  </si>
  <si>
    <t>B-274</t>
  </si>
  <si>
    <t>The aircraft crashed into a factory after being stolen and flown by pilot who was not qualified to fly.</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</si>
  <si>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</si>
  <si>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</si>
  <si>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</si>
  <si>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</si>
  <si>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</si>
  <si>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</si>
  <si>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Moscow - Odessa</t>
  </si>
  <si>
    <t>CCCP-42444</t>
  </si>
  <si>
    <t>The aircarft crashed in freezing rain and fog shortly after taking off. The aircraft was overloaded. The pilot had very little experience flying the aircraft type.</t>
  </si>
  <si>
    <t>Luanda, Angola</t>
  </si>
  <si>
    <t>Luanda-Berlin</t>
  </si>
  <si>
    <t>DM-STL</t>
  </si>
  <si>
    <t>The cargo plane lost the No. 2 engine on takeoff, overran the runway, crashed into the ILS localizer antenna, broke up and caught fire.</t>
  </si>
  <si>
    <t>Ste. Foy, PQ, Canada</t>
  </si>
  <si>
    <t>Quebec - Montreal</t>
  </si>
  <si>
    <t>CF-QBL</t>
  </si>
  <si>
    <t>Engine failure shortly after takeoff caused damage so the landing gear could not be retracted and increasing drag during the critical climbout phase. Airspeed slowed until the aircraft crashed.</t>
  </si>
  <si>
    <t>Off Avalon, California</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</si>
  <si>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</si>
  <si>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</si>
  <si>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</si>
  <si>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</si>
  <si>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</si>
  <si>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</si>
  <si>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</si>
  <si>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</si>
  <si>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</si>
  <si>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</si>
  <si>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</si>
  <si>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</si>
  <si>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</si>
  <si>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</si>
  <si>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</si>
  <si>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</si>
  <si>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</si>
  <si>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</si>
  <si>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</si>
  <si>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</si>
  <si>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</si>
  <si>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</si>
  <si>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</si>
  <si>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</si>
  <si>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</si>
  <si>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</si>
  <si>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</si>
  <si>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</si>
  <si>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</si>
  <si>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</si>
  <si>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</si>
  <si>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</si>
  <si>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</si>
  <si>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</si>
  <si>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</si>
  <si>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</si>
  <si>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</si>
  <si>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</si>
  <si>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</si>
  <si>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</si>
  <si>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</si>
  <si>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</si>
  <si>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</si>
  <si>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</si>
  <si>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</si>
  <si>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</si>
  <si>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</si>
  <si>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</si>
  <si>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Soldotna Air Services</t>
  </si>
  <si>
    <t>Anchorage, AK - Kenai, AK</t>
  </si>
  <si>
    <t>Cessna 402B</t>
  </si>
  <si>
    <t>N402TH</t>
  </si>
  <si>
    <t>402B1034</t>
  </si>
  <si>
    <t>Crashed in low ceiling and rain. Fluxgate compass inoperative because of chafed wires.</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</si>
  <si>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</si>
  <si>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</si>
  <si>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</si>
  <si>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</si>
  <si>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</si>
  <si>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</si>
  <si>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</si>
  <si>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</si>
  <si>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</si>
  <si>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</si>
  <si>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</si>
  <si>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</si>
  <si>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</si>
  <si>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</si>
  <si>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</si>
  <si>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</si>
  <si>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</si>
  <si>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</si>
  <si>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</si>
  <si>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</si>
  <si>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</si>
  <si>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</si>
  <si>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</si>
  <si>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</si>
  <si>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</si>
  <si>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</si>
  <si>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</si>
  <si>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</si>
  <si>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</si>
  <si>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Near Enisseysk, USSR</t>
  </si>
  <si>
    <t>Norisk - Krasnoyarsk</t>
  </si>
  <si>
    <t>CCCP-12963</t>
  </si>
  <si>
    <t>Crashed into a wooded area after all four engines flamed out. Fuel contamination.</t>
  </si>
  <si>
    <t>Near Kirsanov, Russia</t>
  </si>
  <si>
    <t xml:space="preserve">	Kiev - Kazan</t>
  </si>
  <si>
    <t>CCCP-45038</t>
  </si>
  <si>
    <t>The aircraft lost control went into a spin and crashed after an uncommanded flap extension at FL270.</t>
  </si>
  <si>
    <t>Andema, Russia</t>
  </si>
  <si>
    <t>A-513</t>
  </si>
  <si>
    <t>Arkhangelsk - 	Amderma</t>
  </si>
  <si>
    <t>CCCP-46269</t>
  </si>
  <si>
    <t>The plane undershot the runway and crashed.</t>
  </si>
  <si>
    <t>Off Taipei, Taiwan</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</si>
  <si>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</si>
  <si>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</si>
  <si>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</si>
  <si>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</si>
  <si>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</si>
  <si>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</si>
  <si>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</si>
  <si>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</si>
  <si>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</si>
  <si>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</si>
  <si>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</si>
  <si>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</si>
  <si>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</si>
  <si>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</si>
  <si>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 Coastal Airlines</t>
  </si>
  <si>
    <t>:  Comox-Port Hardy</t>
  </si>
  <si>
    <t>Britten Norman BN-7A lslander</t>
  </si>
  <si>
    <t>C-FZVV</t>
  </si>
  <si>
    <t>Struck high ground in thick fog.</t>
  </si>
  <si>
    <t>Merced, California</t>
  </si>
  <si>
    <t>58-0127</t>
  </si>
  <si>
    <t>17872/342</t>
  </si>
  <si>
    <t>Crashed while attempting touch and go landings.</t>
  </si>
  <si>
    <t>Porpoise Bay, British Columbia Canada</t>
  </si>
  <si>
    <t>West Coast Air</t>
  </si>
  <si>
    <t>Vancouver - Sechelt</t>
  </si>
  <si>
    <t>C-FWAF</t>
  </si>
  <si>
    <t>The aircraft was on finals when it suddenly turned right and descended in a right wing-down attitude, striking the ground and cartwheeling into trees.</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</si>
  <si>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</si>
  <si>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</si>
  <si>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</si>
  <si>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</si>
  <si>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</si>
  <si>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</si>
  <si>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</si>
  <si>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</si>
  <si>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</si>
  <si>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31-580</t>
  </si>
  <si>
    <t>The plane crashed after engine failure for undetermined reasons. Improper flap configueration. Plane overloaded. Hurried departure. Inadequate flight training.</t>
  </si>
  <si>
    <t>Lensk, Russia</t>
  </si>
  <si>
    <t xml:space="preserve">	Lensk -	Peleduy</t>
  </si>
  <si>
    <t>Antonov An-2TP</t>
  </si>
  <si>
    <t>CCCP-32322</t>
  </si>
  <si>
    <t>1G97-34</t>
  </si>
  <si>
    <t>The cargo plane crashed on takeoff. Improper loading.</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</si>
  <si>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</si>
  <si>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</si>
  <si>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</si>
  <si>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</si>
  <si>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</si>
  <si>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</si>
  <si>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</si>
  <si>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</si>
  <si>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</si>
  <si>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Positioning</t>
  </si>
  <si>
    <t>CCCP-87454</t>
  </si>
  <si>
    <t>The cargo plane descended below the decision height without having established ground contact and crashed into a wooded area.</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</si>
  <si>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</si>
  <si>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</si>
  <si>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</si>
  <si>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</si>
  <si>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</si>
  <si>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</si>
  <si>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</si>
  <si>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</si>
  <si>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</si>
  <si>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</si>
  <si>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</si>
  <si>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</si>
  <si>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</si>
  <si>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</si>
  <si>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</si>
  <si>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</si>
  <si>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</si>
  <si>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</si>
  <si>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</si>
  <si>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</si>
  <si>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Cherskiy, Russia</t>
  </si>
  <si>
    <t>CCCP-26547</t>
  </si>
  <si>
    <t>Shifting cargo caused the pilot to lose control and crash into a hotel.</t>
  </si>
  <si>
    <t>Apolo, Bolivia</t>
  </si>
  <si>
    <t>CAMBA</t>
  </si>
  <si>
    <t>CP-1440</t>
  </si>
  <si>
    <t>Cerro Toledo Mountain, Colombia</t>
  </si>
  <si>
    <t>Arauca - Bogota</t>
  </si>
  <si>
    <t>Douglas DC-4 (C-54)</t>
  </si>
  <si>
    <t>FAC-1106</t>
  </si>
  <si>
    <t>Impacted a mountainside at an altitude of 3400 m.</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</si>
  <si>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</si>
  <si>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</si>
  <si>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</si>
  <si>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</si>
  <si>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</si>
  <si>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Ankara - Samsun</t>
  </si>
  <si>
    <t>TC-JAT</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</si>
  <si>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</si>
  <si>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</si>
  <si>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</si>
  <si>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</si>
  <si>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</si>
  <si>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</si>
  <si>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</si>
  <si>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Haiti</t>
  </si>
  <si>
    <t>HaÃ¯ti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</si>
  <si>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</si>
  <si>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</si>
  <si>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</si>
  <si>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</si>
  <si>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</si>
  <si>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</si>
  <si>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</si>
  <si>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</si>
  <si>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</si>
  <si>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</si>
  <si>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</si>
  <si>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</si>
  <si>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</si>
  <si>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</si>
  <si>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</si>
  <si>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</si>
  <si>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</si>
  <si>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</si>
  <si>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</si>
  <si>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</si>
  <si>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</si>
  <si>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</si>
  <si>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</si>
  <si>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Mt. Cemonyet,  Indonesia</t>
  </si>
  <si>
    <t>Bandung - Jakarta</t>
  </si>
  <si>
    <t>CASA 212 Aviocar 100</t>
  </si>
  <si>
    <t>PK-PCX</t>
  </si>
  <si>
    <t>45/3N</t>
  </si>
  <si>
    <t>Hit high ground at 2,700 ft. in poor weather while on approach.</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</si>
  <si>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</si>
  <si>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</si>
  <si>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</si>
  <si>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</si>
  <si>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</si>
  <si>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</si>
  <si>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</si>
  <si>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</si>
  <si>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</si>
  <si>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Leeville, Louisiana</t>
  </si>
  <si>
    <t>Rotor Airs Inc - Air Taxi</t>
  </si>
  <si>
    <t>Leeville, LA - Grand Isle, LA</t>
  </si>
  <si>
    <t>Sikorsky S-62A</t>
  </si>
  <si>
    <t>N442Y</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</si>
  <si>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</si>
  <si>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</si>
  <si>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</si>
  <si>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</si>
  <si>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</si>
  <si>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</si>
  <si>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</si>
  <si>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</si>
  <si>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</si>
  <si>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</si>
  <si>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</si>
  <si>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</si>
  <si>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</si>
  <si>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</si>
  <si>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</si>
  <si>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</si>
  <si>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</si>
  <si>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</si>
  <si>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</si>
  <si>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</si>
  <si>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</si>
  <si>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</si>
  <si>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</si>
  <si>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</si>
  <si>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</si>
  <si>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</si>
  <si>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</si>
  <si>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</si>
  <si>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</si>
  <si>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</si>
  <si>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</si>
  <si>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Crashed into the sea. Fatigue fracture of the main rotor.</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</si>
  <si>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</si>
  <si>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</si>
  <si>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</si>
  <si>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</si>
  <si>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</si>
  <si>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</si>
  <si>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 xml:space="preserve">	Krasnoyarsk, Russia</t>
  </si>
  <si>
    <t xml:space="preserve">	Krasnoyarsk - Yeniseisk</t>
  </si>
  <si>
    <t>CCCP-47732</t>
  </si>
  <si>
    <t>The plane crashed when attempting an emergency landing after the starboard main gear broke on take-off.</t>
  </si>
  <si>
    <t>Posht-i-Badam, Iran</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</si>
  <si>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</si>
  <si>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</si>
  <si>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</si>
  <si>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</si>
  <si>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</si>
  <si>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</si>
  <si>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</si>
  <si>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</si>
  <si>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</si>
  <si>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</si>
  <si>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</si>
  <si>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</si>
  <si>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</si>
  <si>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Cochabamba-Yacuiba</t>
  </si>
  <si>
    <t>Fairchild F-27J</t>
  </si>
  <si>
    <t>CP-1117</t>
  </si>
  <si>
    <t>Crashed in the Tapecua mountains.</t>
  </si>
  <si>
    <t>Near Matala, Angola</t>
  </si>
  <si>
    <t>Lineas Aereas de Angola</t>
  </si>
  <si>
    <t>Jamba-Lubango</t>
  </si>
  <si>
    <t>D2-TYC</t>
  </si>
  <si>
    <t>Accidentally shot down by anti-aircraft fire.</t>
  </si>
  <si>
    <t>Near Dushanbe, Russia</t>
  </si>
  <si>
    <t>Leningrad - Dushanbe</t>
  </si>
  <si>
    <t>CCCP-87689</t>
  </si>
  <si>
    <t>Deviated from their course to avoid a thunderstorm and crashed into a cloud covered mountain.</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</si>
  <si>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</si>
  <si>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</si>
  <si>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</si>
  <si>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</si>
  <si>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</si>
  <si>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</si>
  <si>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</si>
  <si>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</si>
  <si>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</si>
  <si>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</si>
  <si>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</si>
  <si>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</si>
  <si>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Alma-Ata, Kazakhstan, USSR</t>
  </si>
  <si>
    <t>Alma Ata - Simferopol</t>
  </si>
  <si>
    <t>CCCP-85355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</si>
  <si>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</si>
  <si>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</si>
  <si>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</si>
  <si>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</si>
  <si>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</si>
  <si>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</si>
  <si>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</si>
  <si>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</si>
  <si>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Houma, Louisiana</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</si>
  <si>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</si>
  <si>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</si>
  <si>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</si>
  <si>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</si>
  <si>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</si>
  <si>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</si>
  <si>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</si>
  <si>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</si>
  <si>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</si>
  <si>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</si>
  <si>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</si>
  <si>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</si>
  <si>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</si>
  <si>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</si>
  <si>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</si>
  <si>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</si>
  <si>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</si>
  <si>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</si>
  <si>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</si>
  <si>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</si>
  <si>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</si>
  <si>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</si>
  <si>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</si>
  <si>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</si>
  <si>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</si>
  <si>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</si>
  <si>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</si>
  <si>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</si>
  <si>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</si>
  <si>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</si>
  <si>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</si>
  <si>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</si>
  <si>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</si>
  <si>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Kindu-Kinshasa</t>
  </si>
  <si>
    <t>Lockheed Hercules C-130</t>
  </si>
  <si>
    <t>9T-TCE</t>
  </si>
  <si>
    <t>Crashed on takeoff after losing one engine.</t>
  </si>
  <si>
    <t>Near Medina, Saudi Arabia</t>
  </si>
  <si>
    <t>Military - Royal Saudi Air Force</t>
  </si>
  <si>
    <t>RSAF453</t>
  </si>
  <si>
    <t>Crashed into the desert after taking off. Report of an in-flight fire.</t>
  </si>
  <si>
    <t>Near Kindu, Zaire</t>
  </si>
  <si>
    <t>de Havilland DHC-5 Buffalo</t>
  </si>
  <si>
    <t>9T-CBA</t>
  </si>
  <si>
    <t>Badakshan, Afghanistan</t>
  </si>
  <si>
    <t>CCCP-11104</t>
  </si>
  <si>
    <t>Shot down by Afghan guerrilla forces as it prepared to land.</t>
  </si>
  <si>
    <t>Ramstein AB - Cairo</t>
  </si>
  <si>
    <t>67-0030</t>
  </si>
  <si>
    <t>Descended at an excessive sink rate at a banked angle until it crashed to the ground as it prepared to land at Cairo Airport.</t>
  </si>
  <si>
    <t>Seoul, South Korea</t>
  </si>
  <si>
    <t>Los Angeles-Anchorage-SÃ©oul</t>
  </si>
  <si>
    <t>Boeing B-747-2B5B</t>
  </si>
  <si>
    <t>HL-7445</t>
  </si>
  <si>
    <t>21773/366</t>
  </si>
  <si>
    <t>Undershot runway and crashed while landing in fog. Crew error.</t>
  </si>
  <si>
    <t>F.R. de la Direccion General de Ados</t>
  </si>
  <si>
    <t>Bogota-Medellin</t>
  </si>
  <si>
    <t>HK-1221G</t>
  </si>
  <si>
    <t>The aircraft crashed into a mountain at 9,500 ft. while descending to land. Continued VFR flight in deteriorating weather at low altitude in a mountainous area.</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</si>
  <si>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</si>
  <si>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</si>
  <si>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</si>
  <si>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</si>
  <si>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</si>
  <si>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</si>
  <si>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</si>
  <si>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</si>
  <si>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</si>
  <si>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</si>
  <si>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</si>
  <si>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</si>
  <si>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</si>
  <si>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</si>
  <si>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</si>
  <si>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</si>
  <si>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</si>
  <si>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</si>
  <si>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Qatar, Qatar</t>
  </si>
  <si>
    <t>Dhahran - Karachi</t>
  </si>
  <si>
    <t>Lockheed L-1011-200</t>
  </si>
  <si>
    <t>HZ-AHJ</t>
  </si>
  <si>
    <t>Two passengers were sucked out of the plane after a tire exploded in the wheel well causing damage to the fuselage.</t>
  </si>
  <si>
    <t>Ramstein AFB, West Germany</t>
  </si>
  <si>
    <t>Ramstein AFB - Oslo, Norway</t>
  </si>
  <si>
    <t>Lockheed C-130E Hercules</t>
  </si>
  <si>
    <t>69-6581</t>
  </si>
  <si>
    <t>Stalled, crashed shortly after taking off.</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</si>
  <si>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</si>
  <si>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</si>
  <si>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</si>
  <si>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</si>
  <si>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</si>
  <si>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</si>
  <si>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</si>
  <si>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</si>
  <si>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</si>
  <si>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</si>
  <si>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</si>
  <si>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</si>
  <si>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</si>
  <si>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</si>
  <si>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</si>
  <si>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</si>
  <si>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Avalon, California</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</si>
  <si>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</si>
  <si>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</si>
  <si>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</si>
  <si>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</si>
  <si>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</si>
  <si>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</si>
  <si>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</si>
  <si>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</si>
  <si>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</si>
  <si>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</si>
  <si>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</si>
  <si>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</si>
  <si>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RÃ©union</t>
  </si>
  <si>
    <t>Dassault-Breguet Atlantique</t>
  </si>
  <si>
    <t>As the plane was taking off, one of the engines failed and after climbing to 500 ft., the aircraft plunged to earth and exploded in flames.</t>
  </si>
  <si>
    <t>Shemya AFB, Alaska</t>
  </si>
  <si>
    <t>Eielson AFB-Shemya AFB</t>
  </si>
  <si>
    <t>Boeing RC-135S</t>
  </si>
  <si>
    <t>61-2664</t>
  </si>
  <si>
    <t>Hit the ground short of the runway in snow and fog.</t>
  </si>
  <si>
    <t>Redzikowo, Poland</t>
  </si>
  <si>
    <t>Varsovie-Slupsk</t>
  </si>
  <si>
    <t>SP-LTU</t>
  </si>
  <si>
    <t>Separation of a propeller blade caused a forced landing resulting the the plane crashing and burining.</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</si>
  <si>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</si>
  <si>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</si>
  <si>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</si>
  <si>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</si>
  <si>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</si>
  <si>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</si>
  <si>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</si>
  <si>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</si>
  <si>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</si>
  <si>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</si>
  <si>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</si>
  <si>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</si>
  <si>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</si>
  <si>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</si>
  <si>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</si>
  <si>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</si>
  <si>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</si>
  <si>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Private - Airfast Indonesia</t>
  </si>
  <si>
    <t>Singapour-Pekanbaru</t>
  </si>
  <si>
    <t>Douglas C-47A-5-DK</t>
  </si>
  <si>
    <t>PK-OBK</t>
  </si>
  <si>
    <t>Crashed during final approach. Hudbay Oil Co. charter.</t>
  </si>
  <si>
    <t xml:space="preserve">	Batagay, Russia</t>
  </si>
  <si>
    <t xml:space="preserve">	Batagay - 	Lazo</t>
  </si>
  <si>
    <t xml:space="preserve">	 CCCP-92864</t>
  </si>
  <si>
    <t>1G53-16</t>
  </si>
  <si>
    <t>Crashed into a mountainside. Icing.</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</si>
  <si>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</si>
  <si>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</si>
  <si>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</si>
  <si>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</si>
  <si>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</si>
  <si>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</si>
  <si>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</si>
  <si>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</si>
  <si>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</si>
  <si>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</si>
  <si>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</si>
  <si>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</si>
  <si>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 xml:space="preserve"> Pinarete Mountain, Mexico</t>
  </si>
  <si>
    <t>Lineas Aereas</t>
  </si>
  <si>
    <t>Puerto Escondido-Oaxaca</t>
  </si>
  <si>
    <t>XA-KEH</t>
  </si>
  <si>
    <t>Crashed into a mountain at 8,800 feet obscured by clouds.</t>
  </si>
  <si>
    <t>Near Zumba, Ecuador</t>
  </si>
  <si>
    <t>Quito-Macara</t>
  </si>
  <si>
    <t>HC-BAX</t>
  </si>
  <si>
    <t>Crashed into a mountain in fog.</t>
  </si>
  <si>
    <t>Lockheed C-130H Hercules</t>
  </si>
  <si>
    <t>SU-BAH</t>
  </si>
  <si>
    <t>The aircraft hit the ground shortly after takeoff.</t>
  </si>
  <si>
    <t>Ust-Barguzin, Russia</t>
  </si>
  <si>
    <t>Ulan - Severomuysk</t>
  </si>
  <si>
    <t>Ilyushin Il-14</t>
  </si>
  <si>
    <t>CCCP-41838</t>
  </si>
  <si>
    <t>The crew informed ATC they could see the field but crashed 30 km from the airport.</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</si>
  <si>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</si>
  <si>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</si>
  <si>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</si>
  <si>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</si>
  <si>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</si>
  <si>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</si>
  <si>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</si>
  <si>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</si>
  <si>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</si>
  <si>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</si>
  <si>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</si>
  <si>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</si>
  <si>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</si>
  <si>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</si>
  <si>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Part of the right wing separated from the plane after the aircraft entered an area of heavy rain and severe turbulence and went into a spiral dive 8 minutes after takeoff.</t>
  </si>
  <si>
    <t>Madagascar</t>
  </si>
  <si>
    <t>Toamasina-Andapa</t>
  </si>
  <si>
    <t>5R-MGB</t>
  </si>
  <si>
    <t>Flew into a mountain. Controlled flight into terrain.</t>
  </si>
  <si>
    <t>Caruru, Colombia</t>
  </si>
  <si>
    <t>Transamazonica</t>
  </si>
  <si>
    <t>HK- 772</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</si>
  <si>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</si>
  <si>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</si>
  <si>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</si>
  <si>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</si>
  <si>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</si>
  <si>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</si>
  <si>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</si>
  <si>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</si>
  <si>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</si>
  <si>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</si>
  <si>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</si>
  <si>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</si>
  <si>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</si>
  <si>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</si>
  <si>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</si>
  <si>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</si>
  <si>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</si>
  <si>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</si>
  <si>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</si>
  <si>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</si>
  <si>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</si>
  <si>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</si>
  <si>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Chita - Zeya</t>
  </si>
  <si>
    <t>CCCP-87346</t>
  </si>
  <si>
    <t>Flew into trees short and to the right of the runway, crashed and caught fire. Crew descended below minimums without visual contact with the ground.</t>
  </si>
  <si>
    <t>Paipa, Colombia</t>
  </si>
  <si>
    <t>Paipa - Cartagena</t>
  </si>
  <si>
    <t>Embraer 110P1 Bandeirante</t>
  </si>
  <si>
    <t>HK-2651</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</si>
  <si>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</si>
  <si>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</si>
  <si>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</si>
  <si>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</si>
  <si>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</si>
  <si>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</si>
  <si>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</si>
  <si>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Midair collision with a military Mi-8 helicopter (CCCP-22268). Thirty-three killed aboard the Yak-40.</t>
  </si>
  <si>
    <t>Nellis AFB, Nevada</t>
  </si>
  <si>
    <t>USAF672</t>
  </si>
  <si>
    <t>Fort Lewis, WA - Indian springs, NV</t>
  </si>
  <si>
    <t>74-1672</t>
  </si>
  <si>
    <t>Crashed short of the runway. The plane was carrying infantry troops.</t>
  </si>
  <si>
    <t>Near Babaeski, Turkey</t>
  </si>
  <si>
    <t>Military - Turkish Air Force</t>
  </si>
  <si>
    <t>Northrop F-5A</t>
  </si>
  <si>
    <t>The fighter crashed into a village after the pilot ejected from the plane.</t>
  </si>
  <si>
    <t>Military - Iranian Air Force</t>
  </si>
  <si>
    <t>IIAF552</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</si>
  <si>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</si>
  <si>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</si>
  <si>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</si>
  <si>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</si>
  <si>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</si>
  <si>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</si>
  <si>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</si>
  <si>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</si>
  <si>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</si>
  <si>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</si>
  <si>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</si>
  <si>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</si>
  <si>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</si>
  <si>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</si>
  <si>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</si>
  <si>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</si>
  <si>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</si>
  <si>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Kufstein, Austria</t>
  </si>
  <si>
    <t>Oefag Flugdienst</t>
  </si>
  <si>
    <t>Salzbourg-Olbia</t>
  </si>
  <si>
    <t>Cessna 404 Titan</t>
  </si>
  <si>
    <t>OE-FCT</t>
  </si>
  <si>
    <t>404-0680</t>
  </si>
  <si>
    <t>St. Thomas, U.S. Virgin Islands</t>
  </si>
  <si>
    <t>Aerolineas Argo</t>
  </si>
  <si>
    <t>Saint Croix - Saint Thomas</t>
  </si>
  <si>
    <t>HI-328</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</si>
  <si>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</si>
  <si>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</si>
  <si>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</si>
  <si>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</si>
  <si>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</si>
  <si>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</si>
  <si>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</si>
  <si>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</si>
  <si>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</si>
  <si>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</si>
  <si>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</si>
  <si>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</si>
  <si>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</si>
  <si>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</si>
  <si>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</si>
  <si>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</si>
  <si>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</si>
  <si>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Biratnagar-Katmandou</t>
  </si>
  <si>
    <t>Pilatus PC-6/B2-H2 Turbo-Porter</t>
  </si>
  <si>
    <t>9N-ABJ</t>
  </si>
  <si>
    <t>Crashed after takeoff.</t>
  </si>
  <si>
    <t>Castries, Saint Lucia Island</t>
  </si>
  <si>
    <t>Guyana Airways</t>
  </si>
  <si>
    <t>Castries-Miami</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</si>
  <si>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</si>
  <si>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</si>
  <si>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</si>
  <si>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</si>
  <si>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</si>
  <si>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</si>
  <si>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</si>
  <si>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</si>
  <si>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</si>
  <si>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</si>
  <si>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</si>
  <si>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</si>
  <si>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</si>
  <si>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</si>
  <si>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</si>
  <si>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</si>
  <si>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</si>
  <si>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Kuala Belait, Brunei</t>
  </si>
  <si>
    <t>Bristow Helicopters</t>
  </si>
  <si>
    <t>Aerospatiale Puma</t>
  </si>
  <si>
    <t>9M-SSC</t>
  </si>
  <si>
    <t>Near Covenas, Colombia</t>
  </si>
  <si>
    <t>ACES Colombia</t>
  </si>
  <si>
    <t>Medellin-Monteria-Covenas</t>
  </si>
  <si>
    <t>HK-2217</t>
  </si>
  <si>
    <t>Struck high ground.</t>
  </si>
  <si>
    <t>Near Gelendzhik, USSR</t>
  </si>
  <si>
    <t>Novorossiysk - Sukhumi</t>
  </si>
  <si>
    <t>CCCP-67290</t>
  </si>
  <si>
    <t>The aircraft crashed into high ground 22 km from the airport. Continued VFR flight into IFR condtions.</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</si>
  <si>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</si>
  <si>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</si>
  <si>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</si>
  <si>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</si>
  <si>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</si>
  <si>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</si>
  <si>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</si>
  <si>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</si>
  <si>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</si>
  <si>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</si>
  <si>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</si>
  <si>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</si>
  <si>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</si>
  <si>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</si>
  <si>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</si>
  <si>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</si>
  <si>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</si>
  <si>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</si>
  <si>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</si>
  <si>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</si>
  <si>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</si>
  <si>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</si>
  <si>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</si>
  <si>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Military - Republic of South Korea Air Force</t>
  </si>
  <si>
    <t>Seoul - Jeju</t>
  </si>
  <si>
    <t>Crashed into Mt. Halla while on approach to land in poor weather. Possible microburst windshear.</t>
  </si>
  <si>
    <t>Pathankot-Srinagar</t>
  </si>
  <si>
    <t>Crashed in dirzzle and snow while en route.</t>
  </si>
  <si>
    <t>Mt. Ipao, Philippines</t>
  </si>
  <si>
    <t>Trans Air Services</t>
  </si>
  <si>
    <t>Manila - Sicogon</t>
  </si>
  <si>
    <t>Douglas DC-3 (C-47A-70-DL)</t>
  </si>
  <si>
    <t>RP-C141</t>
  </si>
  <si>
    <t>Struck Mt. Ipao on Panay Island.</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</si>
  <si>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</si>
  <si>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</si>
  <si>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</si>
  <si>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</si>
  <si>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</si>
  <si>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</si>
  <si>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</si>
  <si>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</si>
  <si>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</si>
  <si>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</si>
  <si>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</si>
  <si>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</si>
  <si>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</si>
  <si>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</si>
  <si>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</si>
  <si>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</si>
  <si>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</si>
  <si>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</si>
  <si>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</si>
  <si>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</si>
  <si>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</si>
  <si>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</si>
  <si>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</si>
  <si>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</si>
  <si>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</si>
  <si>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</si>
  <si>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</si>
  <si>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</si>
  <si>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</si>
  <si>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</si>
  <si>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Branti Airport, Indonesia</t>
  </si>
  <si>
    <t>Bogota-Saravena</t>
  </si>
  <si>
    <t>PK-GVK</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</si>
  <si>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</si>
  <si>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</si>
  <si>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</si>
  <si>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</si>
  <si>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</si>
  <si>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</si>
  <si>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</si>
  <si>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</si>
  <si>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</si>
  <si>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</si>
  <si>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</si>
  <si>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</si>
  <si>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</si>
  <si>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</si>
  <si>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</si>
  <si>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</si>
  <si>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</si>
  <si>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</si>
  <si>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The aircraft struck a mountain in heavy rain during a landing attempt.</t>
  </si>
  <si>
    <t>Gulf of Thailand</t>
  </si>
  <si>
    <t>Okanagan Helicopters</t>
  </si>
  <si>
    <t>C-GIMF</t>
  </si>
  <si>
    <t>The helicopter crashed under unknown circumstances.</t>
  </si>
  <si>
    <t>Mukalla - Aden</t>
  </si>
  <si>
    <t>de Havilland Canada DHC-7-103</t>
  </si>
  <si>
    <t>7O-ACK</t>
  </si>
  <si>
    <t>Crashed into the ocean during an approach 2 km short of the runway.</t>
  </si>
  <si>
    <t>Judsonia, Arkansas</t>
  </si>
  <si>
    <t>64-0543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</si>
  <si>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</si>
  <si>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</si>
  <si>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</si>
  <si>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</si>
  <si>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</si>
  <si>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Sao Paulo - Brasilia</t>
  </si>
  <si>
    <t>Boeing B-737-200</t>
  </si>
  <si>
    <t>PP-SMY</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</si>
  <si>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</si>
  <si>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</si>
  <si>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</si>
  <si>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</si>
  <si>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</si>
  <si>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</si>
  <si>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</si>
  <si>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</si>
  <si>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</si>
  <si>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</si>
  <si>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</si>
  <si>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</si>
  <si>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</si>
  <si>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</si>
  <si>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</si>
  <si>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</si>
  <si>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</si>
  <si>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</si>
  <si>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</si>
  <si>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</si>
  <si>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</si>
  <si>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</si>
  <si>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</si>
  <si>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Mount Galunggung, Indonesia</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</si>
  <si>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</si>
  <si>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</si>
  <si>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</si>
  <si>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</si>
  <si>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</si>
  <si>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</si>
  <si>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</si>
  <si>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CCCP-42529</t>
  </si>
  <si>
    <t>From an altitude of 30,000 ft., a malfunction occurred causing the aircraft to crash 125 miles from its destination. In-flight failure and jamming of stabilizer screw-jack mechanism due to wear.</t>
  </si>
  <si>
    <t>Oganda, Gabon</t>
  </si>
  <si>
    <t>Air Affaires Gabon</t>
  </si>
  <si>
    <t>BoouÃ©-NdjolÃ©-Libreville</t>
  </si>
  <si>
    <t>TR-LYQ</t>
  </si>
  <si>
    <t>404--425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</si>
  <si>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</si>
  <si>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</si>
  <si>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</si>
  <si>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</si>
  <si>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</si>
  <si>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</si>
  <si>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</si>
  <si>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</si>
  <si>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</si>
  <si>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</si>
  <si>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</si>
  <si>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</si>
  <si>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</si>
  <si>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</si>
  <si>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</si>
  <si>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</si>
  <si>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</si>
  <si>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</si>
  <si>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</si>
  <si>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</si>
  <si>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</si>
  <si>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</si>
  <si>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</si>
  <si>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</si>
  <si>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</si>
  <si>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</si>
  <si>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</si>
  <si>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 in poor weather.</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</si>
  <si>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</si>
  <si>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</si>
  <si>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</si>
  <si>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</si>
  <si>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</si>
  <si>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</si>
  <si>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</si>
  <si>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</si>
  <si>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</si>
  <si>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</si>
  <si>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Near Valladolid, Ecuador</t>
  </si>
  <si>
    <t>Aerolineas Condor</t>
  </si>
  <si>
    <t>Zumba - Loja</t>
  </si>
  <si>
    <t>HC-BHZ</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</si>
  <si>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</si>
  <si>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</si>
  <si>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</si>
  <si>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</si>
  <si>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</si>
  <si>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</si>
  <si>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</si>
  <si>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</si>
  <si>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</si>
  <si>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</si>
  <si>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</si>
  <si>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</si>
  <si>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</si>
  <si>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</si>
  <si>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</si>
  <si>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</si>
  <si>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</si>
  <si>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</si>
  <si>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</si>
  <si>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</si>
  <si>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</si>
  <si>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Off Taiwan</t>
  </si>
  <si>
    <t>B-2311</t>
  </si>
  <si>
    <t>Lubango, Angola</t>
  </si>
  <si>
    <t>D2-TAB</t>
  </si>
  <si>
    <t>Flew into a mountain while descending for a landing.</t>
  </si>
  <si>
    <t>Quetame, Colombia</t>
  </si>
  <si>
    <t>Aerolineas Centrales de Colombia</t>
  </si>
  <si>
    <t>San Jose del Guaviare - BogotÃ¡</t>
  </si>
  <si>
    <t>de Havilland Canada DHC-6 Twin Otter 310</t>
  </si>
  <si>
    <t>HK-2536</t>
  </si>
  <si>
    <t>Crashed into a mountain. Flying under VFR in IFR conditions, navigation error and lack of adequate training.</t>
  </si>
  <si>
    <t>Near Pueblo, Colorado</t>
  </si>
  <si>
    <t>Pioneer Airlines</t>
  </si>
  <si>
    <t>Sante Fe, NM - Pueblo, CO</t>
  </si>
  <si>
    <t>Swearingen SA.227AC Metro III</t>
  </si>
  <si>
    <t>N30093</t>
  </si>
  <si>
    <t>AC-449</t>
  </si>
  <si>
    <t>The cargo plane flew into a hill while descending to land. The pilot may have had a physical imparement.</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</si>
  <si>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</si>
  <si>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</si>
  <si>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</si>
  <si>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</si>
  <si>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</si>
  <si>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</si>
  <si>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</si>
  <si>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The helicopter was shot down by Sandinistan rebels.</t>
  </si>
  <si>
    <t>Rostov-on-Don, Russia</t>
  </si>
  <si>
    <t>Rostov-on-Don - Krasnovodsk</t>
  </si>
  <si>
    <t>CCCP-26627</t>
  </si>
  <si>
    <t>Inadequate and untimely actions of the crew in retracting  the flaps after takeoff, which resulted in severe loss of height and collision with obstacles. Overloaded,</t>
  </si>
  <si>
    <t>Guangzhou, China</t>
  </si>
  <si>
    <t>Changsha-Canton</t>
  </si>
  <si>
    <t>B-202</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</si>
  <si>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</si>
  <si>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</si>
  <si>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</si>
  <si>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</si>
  <si>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</si>
  <si>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</si>
  <si>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</si>
  <si>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</si>
  <si>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</si>
  <si>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</si>
  <si>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</si>
  <si>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</si>
  <si>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</si>
  <si>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</si>
  <si>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</si>
  <si>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</si>
  <si>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</si>
  <si>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Fayetteville, North Carolina</t>
  </si>
  <si>
    <t>74-1693</t>
  </si>
  <si>
    <t>An overheated APU led to a fire and loss of control of the aircraft.</t>
  </si>
  <si>
    <t>Aeroleo Taxi Aereo</t>
  </si>
  <si>
    <t>PT-HJN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</si>
  <si>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</si>
  <si>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</si>
  <si>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</si>
  <si>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</si>
  <si>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</si>
  <si>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</si>
  <si>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</si>
  <si>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</si>
  <si>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</si>
  <si>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</si>
  <si>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</si>
  <si>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</si>
  <si>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</si>
  <si>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</si>
  <si>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</si>
  <si>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Selawik, Alaska</t>
  </si>
  <si>
    <t>Munz Northern Airlines</t>
  </si>
  <si>
    <t>Nome - Ambler</t>
  </si>
  <si>
    <t>Britten-Norman BN-2A-8 Islander</t>
  </si>
  <si>
    <t>N37MN</t>
  </si>
  <si>
    <t>Lost control of the aircraft and crashed in a snow storm. Continued VFR flight in IFR conditions.</t>
  </si>
  <si>
    <t>Near Khartoum, Sudan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</si>
  <si>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</si>
  <si>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</si>
  <si>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</si>
  <si>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</si>
  <si>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</si>
  <si>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Leninakan, Russia</t>
  </si>
  <si>
    <t>E-46</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</si>
  <si>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</si>
  <si>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</si>
  <si>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</si>
  <si>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</si>
  <si>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</si>
  <si>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</si>
  <si>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</si>
  <si>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</si>
  <si>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</si>
  <si>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Iwakuni AB, Japan</t>
  </si>
  <si>
    <t>NKJ801</t>
  </si>
  <si>
    <t>Shin Meiwa 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</si>
  <si>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</si>
  <si>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</si>
  <si>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</si>
  <si>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</si>
  <si>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</si>
  <si>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</si>
  <si>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</si>
  <si>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</si>
  <si>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</si>
  <si>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</si>
  <si>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</si>
  <si>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</si>
  <si>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</si>
  <si>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</si>
  <si>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</si>
  <si>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</si>
  <si>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Petropavlovsk-Kamchatsky - Klyuchi</t>
  </si>
  <si>
    <t>The flight tried to land at Klyuchi Air Base in below-minima weather conditions with heavy snowfall at night.</t>
  </si>
  <si>
    <t>Tanjung Karang, Indonesia</t>
  </si>
  <si>
    <t>Bandar Lampung-Djakarta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</si>
  <si>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</si>
  <si>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</si>
  <si>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</si>
  <si>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</si>
  <si>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</si>
  <si>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</si>
  <si>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</si>
  <si>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</si>
  <si>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Republic of China Air Force</t>
  </si>
  <si>
    <t>Kinmen-Taipei</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</si>
  <si>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</si>
  <si>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</si>
  <si>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</si>
  <si>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</si>
  <si>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</si>
  <si>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</si>
  <si>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</si>
  <si>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</si>
  <si>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Brabers Point-Barbers Point</t>
  </si>
  <si>
    <t>185-5160</t>
  </si>
  <si>
    <t>Crashed into a mountain</t>
  </si>
  <si>
    <t>Niela, Mali</t>
  </si>
  <si>
    <t>Air Mali</t>
  </si>
  <si>
    <t>TZ-ACH</t>
  </si>
  <si>
    <t>74-2068</t>
  </si>
  <si>
    <t>While flying at a low level during the aircraft stalled and crashed.</t>
  </si>
  <si>
    <t>Labe, Guinea</t>
  </si>
  <si>
    <t>CAAK</t>
  </si>
  <si>
    <t>Pyongyang - Conakry</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</si>
  <si>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</si>
  <si>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</si>
  <si>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</si>
  <si>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</si>
  <si>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</si>
  <si>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</si>
  <si>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</si>
  <si>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</si>
  <si>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</si>
  <si>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</si>
  <si>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</si>
  <si>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</si>
  <si>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</si>
  <si>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</si>
  <si>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</si>
  <si>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</si>
  <si>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</si>
  <si>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</si>
  <si>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</si>
  <si>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</si>
  <si>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Las Vegas, NV  - Grand Canyon, AZ</t>
  </si>
  <si>
    <t>N88LV</t>
  </si>
  <si>
    <t>31-7752118</t>
  </si>
  <si>
    <t>Crashed into a cliff in the Grand Canyon on a sightseeing flight.</t>
  </si>
  <si>
    <t>Near Alma-Ata, Kazakastan, USSR</t>
  </si>
  <si>
    <t>Kazan - Chelyabinsk - Alma-Ata</t>
  </si>
  <si>
    <t>CCCP-65129</t>
  </si>
  <si>
    <t>Crashed an burned after striking mountain  while attempting to land. Procedural errors.</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</si>
  <si>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</si>
  <si>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</si>
  <si>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</si>
  <si>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</si>
  <si>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</si>
  <si>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</si>
  <si>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</si>
  <si>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</si>
  <si>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</si>
  <si>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C-GIPF</t>
  </si>
  <si>
    <t>Crashed en route. NY industrialist Georgel Cogar, 51, among those killed.</t>
  </si>
  <si>
    <t>Guilin, China</t>
  </si>
  <si>
    <t>Guilin - Beijing</t>
  </si>
  <si>
    <t>B-264 / ?</t>
  </si>
  <si>
    <t>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</si>
  <si>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</si>
  <si>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</si>
  <si>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</si>
  <si>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</si>
  <si>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</si>
  <si>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</si>
  <si>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</si>
  <si>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</si>
  <si>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Off Lanyu Island, Taiwan</t>
  </si>
  <si>
    <t>Taiwan Airlines</t>
  </si>
  <si>
    <t>Taitung-Lanyu Island</t>
  </si>
  <si>
    <t>Britten-Norman BN-2A-26 Trislander</t>
  </si>
  <si>
    <t>B-11109</t>
  </si>
  <si>
    <t>Aracatuba, Brazil</t>
  </si>
  <si>
    <t>Campo Grande - AraÃ§atuba</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</si>
  <si>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</si>
  <si>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</si>
  <si>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</si>
  <si>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</si>
  <si>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</si>
  <si>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</si>
  <si>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</si>
  <si>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</si>
  <si>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</si>
  <si>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</si>
  <si>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</si>
  <si>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</si>
  <si>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</si>
  <si>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</si>
  <si>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</si>
  <si>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</si>
  <si>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</si>
  <si>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</si>
  <si>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</si>
  <si>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</si>
  <si>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</si>
  <si>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</si>
  <si>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</si>
  <si>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Landsdowne House, Canada</t>
  </si>
  <si>
    <t>C-GTLA</t>
  </si>
  <si>
    <t>The aircraft touched down short of the runway while on a VFR approach in a snowstorm. The nosegear and one of the main landing gear legs broke away from the fuselage and the aircraft caught fire.</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</si>
  <si>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</si>
  <si>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</si>
  <si>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</si>
  <si>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</si>
  <si>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</si>
  <si>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</si>
  <si>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</si>
  <si>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</si>
  <si>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</si>
  <si>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</si>
  <si>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</si>
  <si>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</si>
  <si>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</si>
  <si>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</si>
  <si>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</si>
  <si>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</si>
  <si>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</si>
  <si>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</si>
  <si>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</si>
  <si>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</si>
  <si>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</si>
  <si>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</si>
  <si>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</si>
  <si>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</si>
  <si>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</si>
  <si>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</si>
  <si>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</si>
  <si>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</si>
  <si>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</si>
  <si>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</si>
  <si>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</si>
  <si>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</si>
  <si>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</si>
  <si>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</si>
  <si>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</si>
  <si>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</si>
  <si>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</si>
  <si>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</si>
  <si>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</si>
  <si>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</si>
  <si>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</si>
  <si>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</si>
  <si>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</si>
  <si>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</si>
  <si>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</si>
  <si>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</si>
  <si>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</si>
  <si>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</si>
  <si>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Cochabamba-La Paz</t>
  </si>
  <si>
    <t>Douglas EC-54U</t>
  </si>
  <si>
    <t>CP-1090</t>
  </si>
  <si>
    <t>After the No. 2 engine failed on takeoff, the pilot  tried to land but the propellers struck the runway and the aircraft ran off the runway into a ditch.</t>
  </si>
  <si>
    <t>Izhevsk, Russia</t>
  </si>
  <si>
    <t>Kuibyshev - Izhevsk</t>
  </si>
  <si>
    <t>CCCP-47358</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</si>
  <si>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</si>
  <si>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</si>
  <si>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</si>
  <si>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</si>
  <si>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</si>
  <si>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</si>
  <si>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</si>
  <si>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</si>
  <si>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</si>
  <si>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</si>
  <si>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</si>
  <si>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</si>
  <si>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</si>
  <si>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</si>
  <si>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</si>
  <si>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</si>
  <si>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Aerosucre Colombia</t>
  </si>
  <si>
    <t>HK-1322P</t>
  </si>
  <si>
    <t>Tried to make an emergency landing. Touched down, lifted off, stalled and crashed.</t>
  </si>
  <si>
    <t>San Borja, Bolivia</t>
  </si>
  <si>
    <t>Trinidad-San Borja</t>
  </si>
  <si>
    <t>Fairchild F-27M</t>
  </si>
  <si>
    <t>CP-862</t>
  </si>
  <si>
    <t>BL-52</t>
  </si>
  <si>
    <t>Crashed into the jungle.</t>
  </si>
  <si>
    <t>Near Rurrenabaque, Bolivia</t>
  </si>
  <si>
    <t>Frigorifico Reyes</t>
  </si>
  <si>
    <t>CP-1206</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</si>
  <si>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</si>
  <si>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</si>
  <si>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</si>
  <si>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</si>
  <si>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</si>
  <si>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</si>
  <si>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</si>
  <si>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</si>
  <si>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</si>
  <si>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</si>
  <si>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</si>
  <si>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</si>
  <si>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</si>
  <si>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</si>
  <si>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</si>
  <si>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</si>
  <si>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</si>
  <si>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</si>
  <si>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</si>
  <si>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</si>
  <si>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</si>
  <si>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</si>
  <si>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</si>
  <si>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</si>
  <si>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</si>
  <si>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</si>
  <si>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</si>
  <si>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</si>
  <si>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</si>
  <si>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</si>
  <si>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</si>
  <si>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</si>
  <si>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</si>
  <si>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</si>
  <si>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</si>
  <si>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</si>
  <si>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</si>
  <si>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Rio de Janeiro - MacaÃ©</t>
  </si>
  <si>
    <t>PP-SBC</t>
  </si>
  <si>
    <t>110-013</t>
  </si>
  <si>
    <t>The aircraft flew into heavy rain and a cloud shrouded hill after the pilot abandoned IFR and descended VFR. The plane was carrying journalists.</t>
  </si>
  <si>
    <t>Off Buenavista, Philippines</t>
  </si>
  <si>
    <t>Bell UH-1H</t>
  </si>
  <si>
    <t>Crashed into the Pacific Ocean off the coast of Marinduque Island.</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</si>
  <si>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</si>
  <si>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</si>
  <si>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</si>
  <si>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</si>
  <si>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</si>
  <si>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</si>
  <si>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</si>
  <si>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</si>
  <si>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</si>
  <si>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</si>
  <si>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</si>
  <si>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</si>
  <si>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</si>
  <si>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</si>
  <si>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Nawabshah, Pakistan</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</si>
  <si>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</si>
  <si>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</si>
  <si>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</si>
  <si>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</si>
  <si>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</si>
  <si>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</si>
  <si>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</si>
  <si>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</si>
  <si>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</si>
  <si>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</si>
  <si>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</si>
  <si>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</si>
  <si>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</si>
  <si>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Near Wamena, Indonesia</t>
  </si>
  <si>
    <t>Airfast Indonesia</t>
  </si>
  <si>
    <t>Wamena-Jayapura</t>
  </si>
  <si>
    <t>PK-OBC</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</si>
  <si>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</si>
  <si>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</si>
  <si>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</si>
  <si>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</si>
  <si>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</si>
  <si>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</si>
  <si>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</si>
  <si>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</si>
  <si>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</si>
  <si>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</si>
  <si>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</si>
  <si>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</si>
  <si>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</si>
  <si>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</si>
  <si>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</si>
  <si>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</si>
  <si>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</si>
  <si>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</si>
  <si>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</si>
  <si>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</si>
  <si>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</si>
  <si>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</si>
  <si>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</si>
  <si>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</si>
  <si>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</si>
  <si>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</si>
  <si>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</si>
  <si>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</si>
  <si>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</si>
  <si>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</si>
  <si>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After an engine failed in flight. The crew tried to make an emergency landing but over shot the runway and crashed.</t>
  </si>
  <si>
    <t>Opole, Poland</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</si>
  <si>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</si>
  <si>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</si>
  <si>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</si>
  <si>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</si>
  <si>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</si>
  <si>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</si>
  <si>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</si>
  <si>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</si>
  <si>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</si>
  <si>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</si>
  <si>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</si>
  <si>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</si>
  <si>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</si>
  <si>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</si>
  <si>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</si>
  <si>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</si>
  <si>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</si>
  <si>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</si>
  <si>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</si>
  <si>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</si>
  <si>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</si>
  <si>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</si>
  <si>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</si>
  <si>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</si>
  <si>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</si>
  <si>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</si>
  <si>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</si>
  <si>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</si>
  <si>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</si>
  <si>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</si>
  <si>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Tachkent-Kaboul</t>
  </si>
  <si>
    <t>Ilyushin IL-76M</t>
  </si>
  <si>
    <t>CCCP-86739</t>
  </si>
  <si>
    <t>Shot down by enemy fire.</t>
  </si>
  <si>
    <t>Off Davao, Philippines</t>
  </si>
  <si>
    <t>Village Airways</t>
  </si>
  <si>
    <t>Davao - Manila</t>
  </si>
  <si>
    <t>RP-C138</t>
  </si>
  <si>
    <t>The cargo plane went missing in the Pacific Ocean while en route.</t>
  </si>
  <si>
    <t>Loja, Peru</t>
  </si>
  <si>
    <t>Loja - Zumba</t>
  </si>
  <si>
    <t>FAE-446</t>
  </si>
  <si>
    <t>Crashed into high terrain.</t>
  </si>
  <si>
    <t>Near Kostroma, USSR</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</si>
  <si>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</si>
  <si>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</si>
  <si>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</si>
  <si>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</si>
  <si>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</si>
  <si>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</si>
  <si>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</si>
  <si>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</si>
  <si>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Near Jaen, Peru</t>
  </si>
  <si>
    <t>Military - Fuerza AÃ©rea del Peru</t>
  </si>
  <si>
    <t>FAP-307</t>
  </si>
  <si>
    <t>Crashed in flames, two minutes after taking off from a military base.</t>
  </si>
  <si>
    <t>Near Bhojpur, Nepal</t>
  </si>
  <si>
    <t>Katmandou-Bhojpur</t>
  </si>
  <si>
    <t>9N-ABH</t>
  </si>
  <si>
    <t>Crashed into mountain in poor weather off the intended course.</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</si>
  <si>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</si>
  <si>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</si>
  <si>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</si>
  <si>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</si>
  <si>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</si>
  <si>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</si>
  <si>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</si>
  <si>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</si>
  <si>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</si>
  <si>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</si>
  <si>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</si>
  <si>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</si>
  <si>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</si>
  <si>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</si>
  <si>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</si>
  <si>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Crashed after overshooting the runway in rain and fog.</t>
  </si>
  <si>
    <t>Havana - Managua</t>
  </si>
  <si>
    <t>CU-T899</t>
  </si>
  <si>
    <t>The airliner crashed after takeoff. Failure of the artificial horizon and obstruction of aileron control due to shifted cargo.</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</si>
  <si>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</si>
  <si>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</si>
  <si>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</si>
  <si>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</si>
  <si>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</si>
  <si>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</si>
  <si>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Reno, Nevada</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</si>
  <si>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</si>
  <si>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</si>
  <si>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</si>
  <si>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</si>
  <si>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</si>
  <si>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</si>
  <si>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</si>
  <si>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</si>
  <si>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Crashed into the Caribbean sea, 8 miles northwest of the airport where it was scheduled to land.</t>
  </si>
  <si>
    <t>Cerro el Plateado, Colombia</t>
  </si>
  <si>
    <t>Medellin - Quibdo</t>
  </si>
  <si>
    <t>HK-1910</t>
  </si>
  <si>
    <t>Crashed into a mountain at 11,500 ft.  In rainand fog.  Flying under VFR when conditions changed to IFR.</t>
  </si>
  <si>
    <t>Near Buga, Colombia</t>
  </si>
  <si>
    <t>AIRES Colombia</t>
  </si>
  <si>
    <t>Florencia - Cali</t>
  </si>
  <si>
    <t>HK-2638</t>
  </si>
  <si>
    <t>The aircraft crashed into a mountain at 8,500 ft. while descending to land at Buga. Continued VFR flight into deteriorating weather conditions.</t>
  </si>
  <si>
    <t>Minsk, Belarus, USSR</t>
  </si>
  <si>
    <t>CCCP-65910</t>
  </si>
  <si>
    <t>The aircraft crashed shortly after taking off from Minsk.Double engine failure due to ice ingestion.</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</si>
  <si>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</si>
  <si>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</si>
  <si>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</si>
  <si>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</si>
  <si>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</si>
  <si>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</si>
  <si>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</si>
  <si>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</si>
  <si>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</si>
  <si>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</si>
  <si>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</si>
  <si>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</si>
  <si>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</si>
  <si>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</si>
  <si>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</si>
  <si>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</si>
  <si>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</si>
  <si>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</si>
  <si>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</si>
  <si>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</si>
  <si>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</si>
  <si>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</si>
  <si>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Crashed after taking off. The plane was not able to return to the airport after experiencing an engine failure.</t>
  </si>
  <si>
    <t>Near Valdez, Alaska</t>
  </si>
  <si>
    <t>Eielson-Valdez-Eielson</t>
  </si>
  <si>
    <t>Boeing RC-135T</t>
  </si>
  <si>
    <t>55-3121</t>
  </si>
  <si>
    <t>17237/4</t>
  </si>
  <si>
    <t>Struck a mountain in poor weather during a third practice approach.</t>
  </si>
  <si>
    <t>Fort Hood, Texas</t>
  </si>
  <si>
    <t>64-0549</t>
  </si>
  <si>
    <t>Stalled during a training exercise and crashed.</t>
  </si>
  <si>
    <t>Near Florencia, Colombia</t>
  </si>
  <si>
    <t>Bogota - San Vicente del CaguÃ¡n - Florencia</t>
  </si>
  <si>
    <t>Fokker F-28 Fellowship 3000</t>
  </si>
  <si>
    <t>FAC-1140</t>
  </si>
  <si>
    <t>The domestic flight crashed into a mountain while attempting to land at Florencia in rain and dense fog.</t>
  </si>
  <si>
    <t>Salta, Argentina</t>
  </si>
  <si>
    <t>YPF</t>
  </si>
  <si>
    <t>Buenos Aires - Salta</t>
  </si>
  <si>
    <t>HS-125-700B</t>
  </si>
  <si>
    <t>LV-ALW</t>
  </si>
  <si>
    <t>After an aborted landing attempt the aircraft struck a mountain in poor weather conditions.</t>
  </si>
  <si>
    <t>Near Phuket, Thailand</t>
  </si>
  <si>
    <t>Bangkok - Phuket</t>
  </si>
  <si>
    <t>HS-TBB</t>
  </si>
  <si>
    <t>21810/604</t>
  </si>
  <si>
    <t>The aircraft hit high ground during good weather conditions and after transmitting an emergency message that they had lost both engines.</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</si>
  <si>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</si>
  <si>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</si>
  <si>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</si>
  <si>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</si>
  <si>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</si>
  <si>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</si>
  <si>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Santa Rosa, Bolivia</t>
  </si>
  <si>
    <t>Carga Aereo Transportada</t>
  </si>
  <si>
    <t>CP-1489</t>
  </si>
  <si>
    <t>The cargo plane lost an engine on talkeoff nosed down and crashed.</t>
  </si>
  <si>
    <t>Kulusuk, Greenland</t>
  </si>
  <si>
    <t>Aeronica</t>
  </si>
  <si>
    <t>YN-BZF</t>
  </si>
  <si>
    <t>After a fuel transfer problem the plane crashed while trying to make an emergency landing in snow. Poor weather and failure of the crew to follow proper procedures with the auxiliary fuel system.</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</si>
  <si>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</si>
  <si>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</si>
  <si>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</si>
  <si>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</si>
  <si>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</si>
  <si>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</si>
  <si>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</si>
  <si>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</si>
  <si>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</si>
  <si>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</si>
  <si>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65-264</t>
  </si>
  <si>
    <t>The helicopter crashed into the East China Sea.</t>
  </si>
  <si>
    <t>Cabimas, Venezuela</t>
  </si>
  <si>
    <t>Cabimas - Caracas</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</si>
  <si>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</si>
  <si>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</si>
  <si>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</si>
  <si>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</si>
  <si>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</si>
  <si>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</si>
  <si>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</si>
  <si>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</si>
  <si>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</si>
  <si>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</si>
  <si>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</si>
  <si>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</si>
  <si>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</si>
  <si>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</si>
  <si>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</si>
  <si>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</si>
  <si>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</si>
  <si>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</si>
  <si>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</si>
  <si>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</si>
  <si>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</si>
  <si>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</si>
  <si>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</si>
  <si>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</si>
  <si>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</si>
  <si>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</si>
  <si>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Leticia, Colombia</t>
  </si>
  <si>
    <t>Fuerza AÃ©rea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</si>
  <si>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</si>
  <si>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</si>
  <si>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</si>
  <si>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</si>
  <si>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</si>
  <si>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</si>
  <si>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</si>
  <si>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</si>
  <si>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</si>
  <si>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</si>
  <si>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</si>
  <si>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</si>
  <si>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</si>
  <si>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</si>
  <si>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</si>
  <si>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</si>
  <si>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</si>
  <si>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</si>
  <si>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</si>
  <si>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</si>
  <si>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</si>
  <si>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</si>
  <si>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</si>
  <si>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</si>
  <si>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</si>
  <si>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</si>
  <si>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</si>
  <si>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</si>
  <si>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</si>
  <si>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</si>
  <si>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</si>
  <si>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</si>
  <si>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</si>
  <si>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</si>
  <si>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</si>
  <si>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</si>
  <si>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</si>
  <si>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</si>
  <si>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Crashed while trying to land with 3 engines.</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</si>
  <si>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</si>
  <si>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</si>
  <si>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</si>
  <si>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</si>
  <si>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</si>
  <si>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</si>
  <si>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</si>
  <si>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</si>
  <si>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</si>
  <si>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</si>
  <si>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Near Kharkov, Ukraine</t>
  </si>
  <si>
    <t>MAP</t>
  </si>
  <si>
    <t>Dnepropetrovsk - Moscow</t>
  </si>
  <si>
    <t>CCCP-69321</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</si>
  <si>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</si>
  <si>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</si>
  <si>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</si>
  <si>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</si>
  <si>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</si>
  <si>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</si>
  <si>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</si>
  <si>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</si>
  <si>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VitÃ³ria da Conquista, Brazil</t>
  </si>
  <si>
    <t>VitÃ³ria da Conquista - Salvador</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</si>
  <si>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</si>
  <si>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</si>
  <si>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</si>
  <si>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</si>
  <si>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</si>
  <si>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</si>
  <si>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</si>
  <si>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</si>
  <si>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</si>
  <si>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</si>
  <si>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</si>
  <si>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</si>
  <si>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Crashed into a mountain slope after taking off in bad weather. Instructions to climb normally were delayed because of traffic.</t>
  </si>
  <si>
    <t>Near Beni, Bolivia</t>
  </si>
  <si>
    <t>Sabeni</t>
  </si>
  <si>
    <t>Beni - La Paz</t>
  </si>
  <si>
    <t>CP-1593</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</si>
  <si>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</si>
  <si>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</si>
  <si>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</si>
  <si>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</si>
  <si>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</si>
  <si>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</si>
  <si>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</si>
  <si>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</si>
  <si>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</si>
  <si>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Dothan, Alabama</t>
  </si>
  <si>
    <t>54-2817</t>
  </si>
  <si>
    <t>Crashed during a test flight. The elevators locked soon after takeoff.</t>
  </si>
  <si>
    <t>Near Sibyak, Indonesia</t>
  </si>
  <si>
    <t>Military - Indonesian Air Force</t>
  </si>
  <si>
    <t>A-1322</t>
  </si>
  <si>
    <t>Crashed into Mt. Sibayak.</t>
  </si>
  <si>
    <t>Luqa, Malta</t>
  </si>
  <si>
    <t>Boeing B-737-266</t>
  </si>
  <si>
    <t>SU-AYH</t>
  </si>
  <si>
    <t>21191/450</t>
  </si>
  <si>
    <t>Hijacking. While on the ground at Malta to refuel the aircraft was stormed by Egyptian forces. During the fight, several hand grenades were thrown into the cabin causing a fire.</t>
  </si>
  <si>
    <t>Near Luassingua, Angola</t>
  </si>
  <si>
    <t>Cuito - Menongue</t>
  </si>
  <si>
    <t>CCCP-11747</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</si>
  <si>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</si>
  <si>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</si>
  <si>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</si>
  <si>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</si>
  <si>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</si>
  <si>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</si>
  <si>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</si>
  <si>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</si>
  <si>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</si>
  <si>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Near Dhangadhi, Nepal</t>
  </si>
  <si>
    <t>Short SC7- Skyvan</t>
  </si>
  <si>
    <t>RAN-23</t>
  </si>
  <si>
    <t>SH-1978</t>
  </si>
  <si>
    <t>Crashed into a forest.</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</si>
  <si>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</si>
  <si>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</si>
  <si>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</si>
  <si>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</si>
  <si>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</si>
  <si>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</si>
  <si>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City-Santa Elena</t>
  </si>
  <si>
    <t>HC-BAE</t>
  </si>
  <si>
    <t>After initiating an overshoot and attempting to land for a second time, the plane crashed into a hilly area in the jungle. There were low lying clouds in the area.</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</si>
  <si>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</si>
  <si>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</si>
  <si>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</si>
  <si>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</si>
  <si>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</si>
  <si>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</si>
  <si>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</si>
  <si>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</si>
  <si>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</si>
  <si>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</si>
  <si>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</si>
  <si>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</si>
  <si>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</si>
  <si>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</si>
  <si>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</si>
  <si>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</si>
  <si>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</si>
  <si>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</si>
  <si>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</si>
  <si>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9Q-CWT</t>
  </si>
  <si>
    <t>The cargo plane 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</si>
  <si>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</si>
  <si>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</si>
  <si>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</si>
  <si>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</si>
  <si>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</si>
  <si>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</si>
  <si>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Near Bugulma, Russia</t>
  </si>
  <si>
    <t>Cheboksary - Bugulma</t>
  </si>
  <si>
    <t>CCCP-46423</t>
  </si>
  <si>
    <t>The aircraft entered a left bank and turn, stalled and crashed 5 miles short of the runway. Failure of the autofeather sensor circuit breaker caused propellers to feather.</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</si>
  <si>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</si>
  <si>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</si>
  <si>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</si>
  <si>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</si>
  <si>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</si>
  <si>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</si>
  <si>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Manado - Naha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</si>
  <si>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</si>
  <si>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</si>
  <si>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</si>
  <si>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</si>
  <si>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</si>
  <si>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</si>
  <si>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</si>
  <si>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</si>
  <si>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</si>
  <si>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</si>
  <si>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</si>
  <si>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The cargo plane descended below minima weather conditions, 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</si>
  <si>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</si>
  <si>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</si>
  <si>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</si>
  <si>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</si>
  <si>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</si>
  <si>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FAM042</t>
  </si>
  <si>
    <t>Pemba - Maputo</t>
  </si>
  <si>
    <t>The aircraft crashed while making an emergency return to the airfield after experiencing engine failure on takeoff.</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</si>
  <si>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</si>
  <si>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</si>
  <si>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</si>
  <si>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</si>
  <si>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</si>
  <si>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</si>
  <si>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</si>
  <si>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</si>
  <si>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</si>
  <si>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</si>
  <si>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</si>
  <si>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</si>
  <si>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</si>
  <si>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Lost a wing in heavy turbulence at low altitude.</t>
  </si>
  <si>
    <t>Near Saravena, Colombia</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</si>
  <si>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</si>
  <si>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</si>
  <si>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</si>
  <si>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</si>
  <si>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</si>
  <si>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</si>
  <si>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</si>
  <si>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</si>
  <si>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</si>
  <si>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</si>
  <si>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</si>
  <si>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</si>
  <si>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</si>
  <si>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</si>
  <si>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</si>
  <si>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</si>
  <si>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Djibouti, Djibouti</t>
  </si>
  <si>
    <t>Dassault Breguet Atlantique</t>
  </si>
  <si>
    <t>Crashed in the vicinity of Day Mountain in heavy rain and low clouds.</t>
  </si>
  <si>
    <t>Military - ArmÃ©e de l'Air Malgache</t>
  </si>
  <si>
    <t>Antananarivo - Antsirabe</t>
  </si>
  <si>
    <t>Flew into the side of a mountain in poor weather. Controlled flight into terrain.</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</si>
  <si>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</si>
  <si>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</si>
  <si>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</si>
  <si>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</si>
  <si>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</si>
  <si>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</si>
  <si>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</si>
  <si>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</si>
  <si>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</si>
  <si>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</si>
  <si>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</si>
  <si>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</si>
  <si>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</si>
  <si>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</si>
  <si>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Near Syktyvar, Russia</t>
  </si>
  <si>
    <t>Syktyvkar - 	Moscow</t>
  </si>
  <si>
    <t>CCCP-65120</t>
  </si>
  <si>
    <t>The aircraft crashed in a forest after an in-flight fire caused by baggage that ignited in the rear cargo hold led to loss of contol of the aircraft.</t>
  </si>
  <si>
    <t>Maputo, Mozambique</t>
  </si>
  <si>
    <t>Military - Zimbabwe Air Force</t>
  </si>
  <si>
    <t>Chimoio - Harare</t>
  </si>
  <si>
    <t>Off St. Vincent, Leeward Islands</t>
  </si>
  <si>
    <t>Leeward Islands Air Transport</t>
  </si>
  <si>
    <t>Vieux Fort - Kingstown</t>
  </si>
  <si>
    <t>V2-LCJ</t>
  </si>
  <si>
    <t>Near Wampusirpi, Honduras</t>
  </si>
  <si>
    <t>Tegucigalpa - Duzuna</t>
  </si>
  <si>
    <t>Lockheed C130D</t>
  </si>
  <si>
    <t>Crashed into the jungle in poor weather conditions as it approached Durzana Air Base.</t>
  </si>
  <si>
    <t>Malakal, Sudan</t>
  </si>
  <si>
    <t>Malakal - Khartoum</t>
  </si>
  <si>
    <t>ST-ADY</t>
  </si>
  <si>
    <t>Shot down by SPLA rebels with surface-to-air missiles shortly after takeoff.</t>
  </si>
  <si>
    <t>Texarkana, Arkansas</t>
  </si>
  <si>
    <t>Southwest Airlift</t>
  </si>
  <si>
    <t>Little Rock - Texarkana</t>
  </si>
  <si>
    <t>Howard 250</t>
  </si>
  <si>
    <t>N252K</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</si>
  <si>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</si>
  <si>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</si>
  <si>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</si>
  <si>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</si>
  <si>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</si>
  <si>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</si>
  <si>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</si>
  <si>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</si>
  <si>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</si>
  <si>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</si>
  <si>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</si>
  <si>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</si>
  <si>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</si>
  <si>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</si>
  <si>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</si>
  <si>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Near Mantiqueira, Brazil</t>
  </si>
  <si>
    <t>Atlantic Southeast Airlines</t>
  </si>
  <si>
    <t>Sao Jose dos Campo - Manaus</t>
  </si>
  <si>
    <t>Embraer 120RT Brasilia</t>
  </si>
  <si>
    <t>N219AS</t>
  </si>
  <si>
    <t>On a delivery flight the aircraft struck a cloud covered mountain at 4,300 ft. Crew did not follow the prescribed course.</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</si>
  <si>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</si>
  <si>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</si>
  <si>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</si>
  <si>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</si>
  <si>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</si>
  <si>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</si>
  <si>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Ust-May - 	Allah-Yun</t>
  </si>
  <si>
    <t>LET 410MT Turbojet</t>
  </si>
  <si>
    <t>CCCP-67264</t>
  </si>
  <si>
    <t>Crashed into river on takeoff.</t>
  </si>
  <si>
    <t>Chiraz, Iran</t>
  </si>
  <si>
    <t>Chiraz-TÃ©hÃ©ran</t>
  </si>
  <si>
    <t>Boeing 737-286</t>
  </si>
  <si>
    <t>EP-IRG</t>
  </si>
  <si>
    <t>20499/284</t>
  </si>
  <si>
    <t>Shiraz Airport was attacked by Iraqi aircraft. Passengers were deplaning at the time of the attack.</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</si>
  <si>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</si>
  <si>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</si>
  <si>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</si>
  <si>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</si>
  <si>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</si>
  <si>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</si>
  <si>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</si>
  <si>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</si>
  <si>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</si>
  <si>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</si>
  <si>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</si>
  <si>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</si>
  <si>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</si>
  <si>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</si>
  <si>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</si>
  <si>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</si>
  <si>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</si>
  <si>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</si>
  <si>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</si>
  <si>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</si>
  <si>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</si>
  <si>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</si>
  <si>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</si>
  <si>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</si>
  <si>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</si>
  <si>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</si>
  <si>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</si>
  <si>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</si>
  <si>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</si>
  <si>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</si>
  <si>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</si>
  <si>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</si>
  <si>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</si>
  <si>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</si>
  <si>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</si>
  <si>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</si>
  <si>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</si>
  <si>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Near Lanzhou, China</t>
  </si>
  <si>
    <t>Lanzhou - Chengdu</t>
  </si>
  <si>
    <t>B-3413</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</si>
  <si>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</si>
  <si>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</si>
  <si>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</si>
  <si>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</si>
  <si>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</si>
  <si>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</si>
  <si>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</si>
  <si>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</si>
  <si>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</si>
  <si>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</si>
  <si>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</si>
  <si>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</si>
  <si>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</si>
  <si>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</si>
  <si>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</si>
  <si>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</si>
  <si>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</si>
  <si>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</si>
  <si>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</si>
  <si>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</si>
  <si>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</si>
  <si>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</si>
  <si>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</si>
  <si>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</si>
  <si>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</si>
  <si>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</si>
  <si>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</si>
  <si>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</si>
  <si>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</si>
  <si>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</si>
  <si>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</si>
  <si>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</si>
  <si>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</si>
  <si>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Tashkent, Uzbekistan</t>
  </si>
  <si>
    <t>I-505</t>
  </si>
  <si>
    <t>Tashkent - Shahrizyabz</t>
  </si>
  <si>
    <t>CCCP-87618</t>
  </si>
  <si>
    <t>While taking off, the aircraft banked sharply to the left and crashed. Encounted a wake vortex from another aircraft.</t>
  </si>
  <si>
    <t>Off Papua, New Guinea</t>
  </si>
  <si>
    <t>Rabaul - Hoskins</t>
  </si>
  <si>
    <t>Embraer 110P2 Bandeirante</t>
  </si>
  <si>
    <t>P2-RDM</t>
  </si>
  <si>
    <t>110-262</t>
  </si>
  <si>
    <t>Ditched into the sea in poor weather conditions.</t>
  </si>
  <si>
    <t>Near Khost, Afghanistan</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</si>
  <si>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</si>
  <si>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</si>
  <si>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</si>
  <si>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</si>
  <si>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</si>
  <si>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</si>
  <si>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</si>
  <si>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</si>
  <si>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</si>
  <si>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</si>
  <si>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</si>
  <si>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</si>
  <si>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</si>
  <si>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</si>
  <si>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</si>
  <si>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</si>
  <si>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</si>
  <si>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</si>
  <si>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</si>
  <si>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Near Parachinar, Pakistan</t>
  </si>
  <si>
    <t>Kaboul-Khost</t>
  </si>
  <si>
    <t>Shot down by a Pakistani F-16 jet fighter firing an air-to-air missile.</t>
  </si>
  <si>
    <t>Medan-Polonia, Indonesia</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</si>
  <si>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</si>
  <si>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</si>
  <si>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</si>
  <si>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</si>
  <si>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</si>
  <si>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</si>
  <si>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</si>
  <si>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</si>
  <si>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</si>
  <si>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</si>
  <si>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</si>
  <si>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</si>
  <si>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</si>
  <si>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</si>
  <si>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</si>
  <si>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</si>
  <si>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</si>
  <si>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</si>
  <si>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</si>
  <si>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</si>
  <si>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</si>
  <si>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</si>
  <si>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</si>
  <si>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</si>
  <si>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</si>
  <si>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</si>
  <si>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</si>
  <si>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</si>
  <si>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</si>
  <si>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</si>
  <si>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</si>
  <si>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</si>
  <si>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</si>
  <si>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</si>
  <si>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</si>
  <si>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</si>
  <si>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YPFB Transportes Aereos</t>
  </si>
  <si>
    <t>Camiri - Santa Cruz</t>
  </si>
  <si>
    <t>CP-1018</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</si>
  <si>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</si>
  <si>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</si>
  <si>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</si>
  <si>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</si>
  <si>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</si>
  <si>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</si>
  <si>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</si>
  <si>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</si>
  <si>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Khost, Afghanistan</t>
  </si>
  <si>
    <t>Khost-Kaboul</t>
  </si>
  <si>
    <t>YA-BAL</t>
  </si>
  <si>
    <t>Shot down by rebel forces with a surface-to-air missile.</t>
  </si>
  <si>
    <t>Near Montelillo, Peru</t>
  </si>
  <si>
    <t>Military - Peruvian Air Force</t>
  </si>
  <si>
    <t>Lima - Saposa</t>
  </si>
  <si>
    <t>FAP-392</t>
  </si>
  <si>
    <t>Crashed into a gorge near the Jerache River  while en route on a domestic flight in adverse weather conditions.</t>
  </si>
  <si>
    <t>Berdiansk, USSR</t>
  </si>
  <si>
    <t>H-528</t>
  </si>
  <si>
    <t xml:space="preserve">	Odessa - 	Berdyansk</t>
  </si>
  <si>
    <t>CCCP-87826</t>
  </si>
  <si>
    <t>The aircraft landed at a high rate of speed and a go-around was initiated but then aborted. The aircraft overran the runway, crashed into trees and caught fire.</t>
  </si>
  <si>
    <t>Heho, Burma</t>
  </si>
  <si>
    <t>Heho - Mong Hsat</t>
  </si>
  <si>
    <t>XY-ADP</t>
  </si>
  <si>
    <t>Crashed into mountains at 8,200 ft. 20 minutes after leaving Heho.</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</si>
  <si>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</si>
  <si>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</si>
  <si>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</si>
  <si>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</si>
  <si>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</si>
  <si>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</si>
  <si>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</si>
  <si>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</si>
  <si>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</si>
  <si>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</si>
  <si>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</si>
  <si>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</si>
  <si>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</si>
  <si>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</si>
  <si>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Calama, Chile</t>
  </si>
  <si>
    <t>Santiago - Calama</t>
  </si>
  <si>
    <t>CC-CHJ</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</si>
  <si>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</si>
  <si>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</si>
  <si>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</si>
  <si>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</si>
  <si>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</si>
  <si>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</si>
  <si>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</si>
  <si>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</si>
  <si>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</si>
  <si>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</si>
  <si>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</si>
  <si>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</si>
  <si>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</si>
  <si>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</si>
  <si>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</si>
  <si>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</si>
  <si>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</si>
  <si>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Kunduz, Afghanistan</t>
  </si>
  <si>
    <t>Kaboul-Kunduz</t>
  </si>
  <si>
    <t>Shot down by Afghan rebels on approach.</t>
  </si>
  <si>
    <t>Luxor, Egypt</t>
  </si>
  <si>
    <t>Airbus A.300B4-203</t>
  </si>
  <si>
    <t>SU-BCA</t>
  </si>
  <si>
    <t>The plane landed too far down the runway, overran the runway, struck runway lights went through a fence and broke up.</t>
  </si>
  <si>
    <t>El Poleo, Colombia</t>
  </si>
  <si>
    <t>Aeroejecutivos Colombia</t>
  </si>
  <si>
    <t>HK-2920</t>
  </si>
  <si>
    <t>The aircraft crashed while attempting to make an emergency landing.</t>
  </si>
  <si>
    <t>Near Pagan, Myanmar</t>
  </si>
  <si>
    <t>Rangoon - Nyaung-U</t>
  </si>
  <si>
    <t>XY-AEL</t>
  </si>
  <si>
    <t>The aircraft crashed into a ridge at 1, 500 ft. in heavy rain while attempting to land at Nyaung-U Airport .</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</si>
  <si>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</si>
  <si>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</si>
  <si>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</si>
  <si>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</si>
  <si>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</si>
  <si>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</si>
  <si>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Antonov An-12B</t>
  </si>
  <si>
    <t>CCCP-12162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</si>
  <si>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</si>
  <si>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</si>
  <si>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</si>
  <si>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</si>
  <si>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Ulongue, Malawi</t>
  </si>
  <si>
    <t>Air Malawi</t>
  </si>
  <si>
    <t>Blantyre - Lilongwe</t>
  </si>
  <si>
    <t>Shorts SC-7 Skyvan 3-100</t>
  </si>
  <si>
    <t>7Q-YMB</t>
  </si>
  <si>
    <t>SH-1971</t>
  </si>
  <si>
    <t>Shot down by rebels.</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</si>
  <si>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</si>
  <si>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</si>
  <si>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</si>
  <si>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</si>
  <si>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</si>
  <si>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</si>
  <si>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</si>
  <si>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</si>
  <si>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</si>
  <si>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</si>
  <si>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</si>
  <si>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</si>
  <si>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</si>
  <si>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</si>
  <si>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</si>
  <si>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</si>
  <si>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</si>
  <si>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</si>
  <si>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</si>
  <si>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</si>
  <si>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</si>
  <si>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</si>
  <si>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</si>
  <si>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</si>
  <si>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</si>
  <si>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5Y-EJS</t>
  </si>
  <si>
    <t>The aircraft crashed  into a top of a tree 10 km from the airport, about 18 minutes after taking off,</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</si>
  <si>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</si>
  <si>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</si>
  <si>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</si>
  <si>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</si>
  <si>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</si>
  <si>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</si>
  <si>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</si>
  <si>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</si>
  <si>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</si>
  <si>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</si>
  <si>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</si>
  <si>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</si>
  <si>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</si>
  <si>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</si>
  <si>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</si>
  <si>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</si>
  <si>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</si>
  <si>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</si>
  <si>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</si>
  <si>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</si>
  <si>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</si>
  <si>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</si>
  <si>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</si>
  <si>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</si>
  <si>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</si>
  <si>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</si>
  <si>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</si>
  <si>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</si>
  <si>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</si>
  <si>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</si>
  <si>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</si>
  <si>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</si>
  <si>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</si>
  <si>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</si>
  <si>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</si>
  <si>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</si>
  <si>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</si>
  <si>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</si>
  <si>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</si>
  <si>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Mt. Colorado, Bolivia</t>
  </si>
  <si>
    <t>ETA - Empresa Transportes AÃ©reos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</si>
  <si>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</si>
  <si>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</si>
  <si>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</si>
  <si>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</si>
  <si>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</si>
  <si>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</si>
  <si>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</si>
  <si>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</si>
  <si>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</si>
  <si>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</si>
  <si>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</si>
  <si>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</si>
  <si>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</si>
  <si>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</si>
  <si>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</si>
  <si>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</si>
  <si>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</si>
  <si>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</si>
  <si>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</si>
  <si>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</si>
  <si>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</si>
  <si>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</si>
  <si>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</si>
  <si>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</si>
  <si>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</si>
  <si>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</si>
  <si>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</si>
  <si>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</si>
  <si>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</si>
  <si>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</si>
  <si>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Military - Fuerza AÃ©rea Panamena</t>
  </si>
  <si>
    <t>FAP215</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</si>
  <si>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</si>
  <si>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</si>
  <si>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</si>
  <si>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</si>
  <si>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</si>
  <si>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</si>
  <si>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</si>
  <si>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</si>
  <si>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</si>
  <si>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</si>
  <si>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</si>
  <si>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</si>
  <si>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</si>
  <si>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Surgut, Russia</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</si>
  <si>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</si>
  <si>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</si>
  <si>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</si>
  <si>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</si>
  <si>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</si>
  <si>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</si>
  <si>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</si>
  <si>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</si>
  <si>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</si>
  <si>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</si>
  <si>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</si>
  <si>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</si>
  <si>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</si>
  <si>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</si>
  <si>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</si>
  <si>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</si>
  <si>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</si>
  <si>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</si>
  <si>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</si>
  <si>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</si>
  <si>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</si>
  <si>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</si>
  <si>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</si>
  <si>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</si>
  <si>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</si>
  <si>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</si>
  <si>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</si>
  <si>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</si>
  <si>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</si>
  <si>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</si>
  <si>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</si>
  <si>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</si>
  <si>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</si>
  <si>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</si>
  <si>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</si>
  <si>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</si>
  <si>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</si>
  <si>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</si>
  <si>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</si>
  <si>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</si>
  <si>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</si>
  <si>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</si>
  <si>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</si>
  <si>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</si>
  <si>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</si>
  <si>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</si>
  <si>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</si>
  <si>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</si>
  <si>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</si>
  <si>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</si>
  <si>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Bagdarin, USSR</t>
  </si>
  <si>
    <t>Muya - Bagdarin</t>
  </si>
  <si>
    <t>Let 410UVP Turolet</t>
  </si>
  <si>
    <t>CCCP67518</t>
  </si>
  <si>
    <t>Crashed into a mountain during descent  in poor weather.</t>
  </si>
  <si>
    <t>Near Tchamulate, Angola</t>
  </si>
  <si>
    <t>Military - Cuban Air Force</t>
  </si>
  <si>
    <t>14-27</t>
  </si>
  <si>
    <t>Shot down with a surface-to-air missile.</t>
  </si>
  <si>
    <t>Maui, Hawaii</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</si>
  <si>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</si>
  <si>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</si>
  <si>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</si>
  <si>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</si>
  <si>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</si>
  <si>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</si>
  <si>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</si>
  <si>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</si>
  <si>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</si>
  <si>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 The crew started the approach to 4NM too early. Navigation error. Pilot error.</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</si>
  <si>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</si>
  <si>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</si>
  <si>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</si>
  <si>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</si>
  <si>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</si>
  <si>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</si>
  <si>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The cargo plane crashed.</t>
  </si>
  <si>
    <t>Starair</t>
  </si>
  <si>
    <t>Billund - Hannover - Nurnberg</t>
  </si>
  <si>
    <t>OY-APE</t>
  </si>
  <si>
    <t>While landing the cargo plane pitched up for a go-around causing cargo to shift and the plane to lose control and crash.</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</si>
  <si>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</si>
  <si>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</si>
  <si>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</si>
  <si>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</si>
  <si>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</si>
  <si>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</si>
  <si>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</si>
  <si>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</si>
  <si>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</si>
  <si>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</si>
  <si>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</si>
  <si>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</si>
  <si>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</si>
  <si>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</si>
  <si>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</si>
  <si>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</si>
  <si>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</si>
  <si>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</si>
  <si>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Barranquilla - Miami</t>
  </si>
  <si>
    <t>HK-3148</t>
  </si>
  <si>
    <t>Shortly after taking off the crew of the cargo plane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</si>
  <si>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</si>
  <si>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</si>
  <si>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</si>
  <si>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</si>
  <si>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</si>
  <si>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</si>
  <si>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</si>
  <si>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</si>
  <si>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</si>
  <si>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</si>
  <si>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</si>
  <si>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</si>
  <si>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</si>
  <si>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</si>
  <si>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</si>
  <si>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</si>
  <si>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</si>
  <si>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Kirensk - Irkutsk</t>
  </si>
  <si>
    <t>Let 410MU</t>
  </si>
  <si>
    <t>CCCP-67235</t>
  </si>
  <si>
    <t>The crew failed to set the altimeters to the proper setting while landing. The plane descended until it contacted trees, broke up and caught fire. Crew fatigue was a factor.</t>
  </si>
  <si>
    <t>Aerocaribe</t>
  </si>
  <si>
    <t>XA-HUL</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</si>
  <si>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</si>
  <si>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</si>
  <si>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</si>
  <si>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</si>
  <si>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</si>
  <si>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</si>
  <si>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</si>
  <si>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</si>
  <si>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</si>
  <si>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</si>
  <si>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</si>
  <si>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</si>
  <si>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</si>
  <si>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</si>
  <si>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</si>
  <si>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</si>
  <si>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</si>
  <si>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</si>
  <si>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</si>
  <si>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</si>
  <si>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</si>
  <si>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</si>
  <si>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</si>
  <si>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The positioning flight took off with one bad engine. Another engine failed and the plane crashed and burst into flames.</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</si>
  <si>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</si>
  <si>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</si>
  <si>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</si>
  <si>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</si>
  <si>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</si>
  <si>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</si>
  <si>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</si>
  <si>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</si>
  <si>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</si>
  <si>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</si>
  <si>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</si>
  <si>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</si>
  <si>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</si>
  <si>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</si>
  <si>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</si>
  <si>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</si>
  <si>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</si>
  <si>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</si>
  <si>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</si>
  <si>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</si>
  <si>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</si>
  <si>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 The left engine had failed following a fatigue fracture in the engine's oil pump drive shaft.</t>
  </si>
  <si>
    <t>Wurtsmith AFB, Michigan</t>
  </si>
  <si>
    <t>Sawyer AFB - Wurtsmith AFB</t>
  </si>
  <si>
    <t>60-0317</t>
  </si>
  <si>
    <t>18092/431</t>
  </si>
  <si>
    <t>Crashed after returning from Sawyer AFB in Michigan.</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</si>
  <si>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</si>
  <si>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</si>
  <si>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</si>
  <si>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</si>
  <si>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</si>
  <si>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</si>
  <si>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</si>
  <si>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</si>
  <si>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</si>
  <si>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</si>
  <si>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</si>
  <si>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</si>
  <si>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</si>
  <si>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</si>
  <si>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</si>
  <si>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</si>
  <si>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</si>
  <si>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</si>
  <si>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</si>
  <si>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</si>
  <si>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</si>
  <si>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</si>
  <si>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</si>
  <si>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Ilmajoki, Finland</t>
  </si>
  <si>
    <t>Wasa Wings</t>
  </si>
  <si>
    <t>Helsink - Ilmajoki</t>
  </si>
  <si>
    <t>OH-EBA</t>
  </si>
  <si>
    <t>The aircraft struck trees 2,400 feet next to the runway while approaching in deteriorating weather conditions. A power failure caused all light to go out at the airport.</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</si>
  <si>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</si>
  <si>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</si>
  <si>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</si>
  <si>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</si>
  <si>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</si>
  <si>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</si>
  <si>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</si>
  <si>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</si>
  <si>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</si>
  <si>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</si>
  <si>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While attempting to land in mist and poor visibility the aircraft hit a  pylon and burned. VFR flight in IMC</t>
  </si>
  <si>
    <t>Kodinsk, Russia</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</si>
  <si>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</si>
  <si>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</si>
  <si>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</si>
  <si>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</si>
  <si>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</si>
  <si>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</si>
  <si>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</si>
  <si>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</si>
  <si>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</si>
  <si>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</si>
  <si>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</si>
  <si>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</si>
  <si>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</si>
  <si>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</si>
  <si>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</si>
  <si>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</si>
  <si>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</si>
  <si>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</si>
  <si>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Near Luxor, Egypt</t>
  </si>
  <si>
    <t>GAS Air</t>
  </si>
  <si>
    <t>Dar-es-Salaam - Cairo</t>
  </si>
  <si>
    <t>5N-AYJ</t>
  </si>
  <si>
    <t>19168/508</t>
  </si>
  <si>
    <t>After 2 missed approaches at Cairo the plane diverted to Luxor but crashed into a residential neighborhood while attempting to land. Forced landing. Fuel exhaustion.</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</si>
  <si>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</si>
  <si>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</si>
  <si>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</si>
  <si>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</si>
  <si>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</si>
  <si>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</si>
  <si>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</si>
  <si>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</si>
  <si>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</si>
  <si>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</si>
  <si>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</si>
  <si>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Near Abilene, Texas</t>
  </si>
  <si>
    <t>Dyess AFB - Hawaii</t>
  </si>
  <si>
    <t>63-7990</t>
  </si>
  <si>
    <t>18607/646</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</si>
  <si>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</si>
  <si>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</si>
  <si>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</si>
  <si>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</si>
  <si>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</si>
  <si>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</si>
  <si>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</si>
  <si>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</si>
  <si>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</si>
  <si>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</si>
  <si>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</si>
  <si>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</si>
  <si>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</si>
  <si>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</si>
  <si>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</si>
  <si>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</si>
  <si>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</si>
  <si>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</si>
  <si>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</si>
  <si>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</si>
  <si>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</si>
  <si>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</si>
  <si>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</si>
  <si>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</si>
  <si>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</si>
  <si>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</si>
  <si>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</si>
  <si>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Near Quebec City, Quebec, Canada</t>
  </si>
  <si>
    <t>Transfair</t>
  </si>
  <si>
    <t>La Grande - Lac Bienville</t>
  </si>
  <si>
    <t>C-FBZN</t>
  </si>
  <si>
    <t>The cargo plane crashed after its initial climb. Icing.</t>
  </si>
  <si>
    <t>Aero Condor</t>
  </si>
  <si>
    <t>OB-T-1271</t>
  </si>
  <si>
    <t>Crashed after striking radio tower while on approach.</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</si>
  <si>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</si>
  <si>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</si>
  <si>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</si>
  <si>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</si>
  <si>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</si>
  <si>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</si>
  <si>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</si>
  <si>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</si>
  <si>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</si>
  <si>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</si>
  <si>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</si>
  <si>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</si>
  <si>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</si>
  <si>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</si>
  <si>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</si>
  <si>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</si>
  <si>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</si>
  <si>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</si>
  <si>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</si>
  <si>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</si>
  <si>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</si>
  <si>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</si>
  <si>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</si>
  <si>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</si>
  <si>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</si>
  <si>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</si>
  <si>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</si>
  <si>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</si>
  <si>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</si>
  <si>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</si>
  <si>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</si>
  <si>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</si>
  <si>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</si>
  <si>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</si>
  <si>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Baranquilla, Colombia</t>
  </si>
  <si>
    <t>Baranquilla - Bogota</t>
  </si>
  <si>
    <t>HK-3325X</t>
  </si>
  <si>
    <t>The cargo flight suffered the 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</si>
  <si>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</si>
  <si>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</si>
  <si>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</si>
  <si>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</si>
  <si>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</si>
  <si>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</si>
  <si>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</si>
  <si>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</si>
  <si>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</si>
  <si>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</si>
  <si>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</si>
  <si>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</si>
  <si>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</si>
  <si>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</si>
  <si>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</si>
  <si>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</si>
  <si>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</si>
  <si>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</si>
  <si>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</si>
  <si>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</si>
  <si>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</si>
  <si>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</si>
  <si>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</si>
  <si>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</si>
  <si>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</si>
  <si>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</si>
  <si>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</si>
  <si>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</si>
  <si>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</si>
  <si>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</si>
  <si>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</si>
  <si>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</si>
  <si>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</si>
  <si>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</si>
  <si>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</si>
  <si>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</si>
  <si>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</si>
  <si>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</si>
  <si>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</si>
  <si>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</si>
  <si>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</si>
  <si>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</si>
  <si>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</si>
  <si>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</si>
  <si>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</si>
  <si>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</si>
  <si>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</si>
  <si>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</si>
  <si>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</si>
  <si>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</si>
  <si>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</si>
  <si>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</si>
  <si>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</si>
  <si>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</si>
  <si>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</si>
  <si>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</si>
  <si>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</si>
  <si>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</si>
  <si>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</si>
  <si>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</si>
  <si>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</si>
  <si>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</si>
  <si>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</si>
  <si>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</si>
  <si>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</si>
  <si>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</si>
  <si>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</si>
  <si>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</si>
  <si>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</si>
  <si>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</si>
  <si>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</si>
  <si>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</si>
  <si>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Porgera, New Guinea</t>
  </si>
  <si>
    <t>Porega-Port Moresby</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</si>
  <si>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</si>
  <si>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</si>
  <si>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</si>
  <si>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</si>
  <si>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</si>
  <si>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</si>
  <si>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</si>
  <si>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</si>
  <si>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</si>
  <si>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</si>
  <si>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</si>
  <si>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</si>
  <si>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</si>
  <si>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</si>
  <si>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Jeddah - Tripoli</t>
  </si>
  <si>
    <t>HL-7328</t>
  </si>
  <si>
    <t>47887/125</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</si>
  <si>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</si>
  <si>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</si>
  <si>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</si>
  <si>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</si>
  <si>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</si>
  <si>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</si>
  <si>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</si>
  <si>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</si>
  <si>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</si>
  <si>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</si>
  <si>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</si>
  <si>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</si>
  <si>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</si>
  <si>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</si>
  <si>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</si>
  <si>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</si>
  <si>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</si>
  <si>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</si>
  <si>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</si>
  <si>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</si>
  <si>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</si>
  <si>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</si>
  <si>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</si>
  <si>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</si>
  <si>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</si>
  <si>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</si>
  <si>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</si>
  <si>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</si>
  <si>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</si>
  <si>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</si>
  <si>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B-3417</t>
  </si>
  <si>
    <t>Lost power and crashed into a river shortly after taking off from Shanghai.</t>
  </si>
  <si>
    <t>Near Gilgit, Pakistan</t>
  </si>
  <si>
    <t>Gilgit - Islamabad - Chaklala</t>
  </si>
  <si>
    <t>AP-BBF</t>
  </si>
  <si>
    <t>Crashed into Himalaya Mountains en route from Gilgit to Islamabad.</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</si>
  <si>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</si>
  <si>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</si>
  <si>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</si>
  <si>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</si>
  <si>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</si>
  <si>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</si>
  <si>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</si>
  <si>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Havana - KÃ¶ln, Bonn</t>
  </si>
  <si>
    <t>CU-T1281</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</si>
  <si>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</si>
  <si>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</si>
  <si>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</si>
  <si>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</si>
  <si>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</si>
  <si>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</si>
  <si>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</si>
  <si>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</si>
  <si>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</si>
  <si>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</si>
  <si>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</si>
  <si>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</si>
  <si>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</si>
  <si>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</si>
  <si>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</si>
  <si>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</si>
  <si>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</si>
  <si>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</si>
  <si>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</si>
  <si>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</si>
  <si>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</si>
  <si>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</si>
  <si>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</si>
  <si>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</si>
  <si>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</si>
  <si>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</si>
  <si>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</si>
  <si>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</si>
  <si>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</si>
  <si>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</si>
  <si>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</si>
  <si>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</si>
  <si>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</si>
  <si>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</si>
  <si>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Near Baghran, Afghanistan</t>
  </si>
  <si>
    <t>Mil Mi-17 ( helicopter)</t>
  </si>
  <si>
    <t>Ujani Dam, India</t>
  </si>
  <si>
    <t>Pune - Hyderabad</t>
  </si>
  <si>
    <t>Dornier Do-288-201</t>
  </si>
  <si>
    <t>VT-EJF</t>
  </si>
  <si>
    <t>Exploded in mid-air and crashed during a thunderstorm and heavy rain.</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</si>
  <si>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</si>
  <si>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</si>
  <si>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</si>
  <si>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</si>
  <si>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</si>
  <si>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</si>
  <si>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</si>
  <si>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</si>
  <si>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</si>
  <si>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</si>
  <si>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</si>
  <si>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</si>
  <si>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</si>
  <si>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Antonov An-32</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</si>
  <si>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</si>
  <si>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</si>
  <si>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</si>
  <si>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</si>
  <si>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</si>
  <si>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</si>
  <si>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</si>
  <si>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</si>
  <si>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</si>
  <si>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</si>
  <si>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</si>
  <si>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</si>
  <si>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</si>
  <si>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</si>
  <si>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</si>
  <si>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</si>
  <si>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</si>
  <si>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</si>
  <si>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</si>
  <si>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</si>
  <si>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</si>
  <si>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</si>
  <si>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</si>
  <si>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</si>
  <si>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</si>
  <si>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Nasosny, Russia</t>
  </si>
  <si>
    <t>Ilyushin IL-76MD</t>
  </si>
  <si>
    <t>CCCP-76569</t>
  </si>
  <si>
    <t>Crashed into the Caspian sea after reporting an engine fire.</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</si>
  <si>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</si>
  <si>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</si>
  <si>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</si>
  <si>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</si>
  <si>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</si>
  <si>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</si>
  <si>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</si>
  <si>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</si>
  <si>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Petropavlovsk, USSR</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</si>
  <si>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</si>
  <si>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</si>
  <si>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</si>
  <si>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</si>
  <si>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</si>
  <si>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</si>
  <si>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</si>
  <si>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</si>
  <si>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</si>
  <si>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</si>
  <si>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</si>
  <si>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</si>
  <si>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</si>
  <si>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</si>
  <si>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</si>
  <si>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Maluti Mountains, Lesotho</t>
  </si>
  <si>
    <t>Military - Royal Lesotho Defence Force</t>
  </si>
  <si>
    <t>Qacha?s-  Nek-Maseru</t>
  </si>
  <si>
    <t>Casa 212 Aviocar</t>
  </si>
  <si>
    <t>LDF-46</t>
  </si>
  <si>
    <t>Hit a mountain.</t>
  </si>
  <si>
    <t>Near Tyumem, Russia</t>
  </si>
  <si>
    <t>Perm - Sovietsky</t>
  </si>
  <si>
    <t>CCCP-46335</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</si>
  <si>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</si>
  <si>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</si>
  <si>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</si>
  <si>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</si>
  <si>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</si>
  <si>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</si>
  <si>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</si>
  <si>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</si>
  <si>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</si>
  <si>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</si>
  <si>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</si>
  <si>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</si>
  <si>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</si>
  <si>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</si>
  <si>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</si>
  <si>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</si>
  <si>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</si>
  <si>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</si>
  <si>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</si>
  <si>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</si>
  <si>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</si>
  <si>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</si>
  <si>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</si>
  <si>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</si>
  <si>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</si>
  <si>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</si>
  <si>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</si>
  <si>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</si>
  <si>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</si>
  <si>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</si>
  <si>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</si>
  <si>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</si>
  <si>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The passenger flight crashed into a jungle shortly after taking off.</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</si>
  <si>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</si>
  <si>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</si>
  <si>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</si>
  <si>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</si>
  <si>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</si>
  <si>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</si>
  <si>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</si>
  <si>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</si>
  <si>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Crashed in poor weather conditions. Rumors suggest the plane was shot down.</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</si>
  <si>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</si>
  <si>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</si>
  <si>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</si>
  <si>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</si>
  <si>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</si>
  <si>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</si>
  <si>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</si>
  <si>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</si>
  <si>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</si>
  <si>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</si>
  <si>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</si>
  <si>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</si>
  <si>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</si>
  <si>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</si>
  <si>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</si>
  <si>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</si>
  <si>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</si>
  <si>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</si>
  <si>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</si>
  <si>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</si>
  <si>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</si>
  <si>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</si>
  <si>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</si>
  <si>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</si>
  <si>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</si>
  <si>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</si>
  <si>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</si>
  <si>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Military - Venezuelan Navy</t>
  </si>
  <si>
    <t>Caracas - Puerto Ayancucho</t>
  </si>
  <si>
    <t>CASA 212-200 Aviocar</t>
  </si>
  <si>
    <t>ARV-0210</t>
  </si>
  <si>
    <t>Crashed into El Junquito Hill 5 minutes after taking off and burned. Most likely cause was reduced visibility, rain and low overcast.</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</si>
  <si>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</si>
  <si>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</si>
  <si>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</si>
  <si>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</si>
  <si>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</si>
  <si>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</si>
  <si>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</si>
  <si>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</si>
  <si>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</si>
  <si>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</si>
  <si>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</si>
  <si>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Zavkhan, Mongolia</t>
  </si>
  <si>
    <t>MIAT - Mongolian Airlines</t>
  </si>
  <si>
    <t>Ulan Bator - Uliastaj</t>
  </si>
  <si>
    <t>Antonov AN-26V</t>
  </si>
  <si>
    <t xml:space="preserve">	 BNMAU-10208</t>
  </si>
  <si>
    <t xml:space="preserve">	 57310208</t>
  </si>
  <si>
    <t>The Antonov crashed after failing to find the destination airport at night.</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</si>
  <si>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</si>
  <si>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</si>
  <si>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</si>
  <si>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</si>
  <si>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</si>
  <si>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</si>
  <si>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</si>
  <si>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</si>
  <si>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</si>
  <si>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</si>
  <si>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</si>
  <si>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</si>
  <si>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</si>
  <si>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</si>
  <si>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</si>
  <si>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</si>
  <si>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</si>
  <si>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</si>
  <si>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</si>
  <si>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</si>
  <si>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</si>
  <si>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</si>
  <si>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</si>
  <si>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</si>
  <si>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</si>
  <si>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</si>
  <si>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</si>
  <si>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</si>
  <si>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</si>
  <si>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</si>
  <si>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</si>
  <si>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</si>
  <si>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</si>
  <si>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</si>
  <si>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</si>
  <si>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</si>
  <si>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</si>
  <si>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</si>
  <si>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</si>
  <si>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</si>
  <si>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</si>
  <si>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</si>
  <si>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</si>
  <si>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</si>
  <si>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</si>
  <si>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</si>
  <si>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</si>
  <si>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</si>
  <si>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</si>
  <si>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</si>
  <si>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</si>
  <si>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</si>
  <si>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</si>
  <si>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</si>
  <si>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Las Mesitas, Honduras</t>
  </si>
  <si>
    <t>TAN Honduras</t>
  </si>
  <si>
    <t>San Pedro - Tegucigalpa</t>
  </si>
  <si>
    <t>HR-TNL</t>
  </si>
  <si>
    <t>The cargo plane descended below the minimum safe altitude and struck a 7,000 mountain in poor weather.</t>
  </si>
  <si>
    <t>Santiago de Cuba</t>
  </si>
  <si>
    <t>Santiago de Cuba-La Havane</t>
  </si>
  <si>
    <t>CU-T1436</t>
  </si>
  <si>
    <t>During takeoff, close to V1 the takeoff was aborted. The aircraft overran the runway and crashed.</t>
  </si>
  <si>
    <t>Kabul, Afghanistan</t>
  </si>
  <si>
    <t>Kokand - Kabul</t>
  </si>
  <si>
    <t>CCCP-78781</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</si>
  <si>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</si>
  <si>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</si>
  <si>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</si>
  <si>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</si>
  <si>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</si>
  <si>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</si>
  <si>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Off Vaeroy, Norway</t>
  </si>
  <si>
    <t>Vaeroy - Bodo</t>
  </si>
  <si>
    <t>LN-BNS</t>
  </si>
  <si>
    <t>Control of the aircraft was lost when the push-pull rod to the elevator failed in heavy turbulence. The plane crashed into the sea.</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</si>
  <si>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</si>
  <si>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</si>
  <si>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</si>
  <si>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</si>
  <si>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</si>
  <si>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</si>
  <si>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Kinshasa-Gbadolite</t>
  </si>
  <si>
    <t>9T-TCG</t>
  </si>
  <si>
    <t>The propeller of the No. 3 engine separated which struck the No.4 propeller leading to a crash.</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</si>
  <si>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</si>
  <si>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</si>
  <si>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</si>
  <si>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</si>
  <si>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</si>
  <si>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</si>
  <si>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</si>
  <si>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</si>
  <si>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</si>
  <si>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</si>
  <si>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</si>
  <si>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</si>
  <si>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</si>
  <si>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Timmins - Moosonee</t>
  </si>
  <si>
    <t>Avro Shackleton AEW-2</t>
  </si>
  <si>
    <t>WR965</t>
  </si>
  <si>
    <t>U-197</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</si>
  <si>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</si>
  <si>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</si>
  <si>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</si>
  <si>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</si>
  <si>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</si>
  <si>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</si>
  <si>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</si>
  <si>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</si>
  <si>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</si>
  <si>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</si>
  <si>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</si>
  <si>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</si>
  <si>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</si>
  <si>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</si>
  <si>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</si>
  <si>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</si>
  <si>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</si>
  <si>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</si>
  <si>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</si>
  <si>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</si>
  <si>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</si>
  <si>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</si>
  <si>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</si>
  <si>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</si>
  <si>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</si>
  <si>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</si>
  <si>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</si>
  <si>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</si>
  <si>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</si>
  <si>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</si>
  <si>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</si>
  <si>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</si>
  <si>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</si>
  <si>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</si>
  <si>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</si>
  <si>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</si>
  <si>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</si>
  <si>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</si>
  <si>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</si>
  <si>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</si>
  <si>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</si>
  <si>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</si>
  <si>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Port Moresby-Woitape</t>
  </si>
  <si>
    <t>Britten-Norman 2B-21 Islander</t>
  </si>
  <si>
    <t>P2-DNJ</t>
  </si>
  <si>
    <t>Struck a ridge in poor weather 35km from Port Morseby while en route to Woltape.</t>
  </si>
  <si>
    <t>Near Maymaneh, Afghanistan</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</si>
  <si>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</si>
  <si>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</si>
  <si>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</si>
  <si>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</si>
  <si>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</si>
  <si>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</si>
  <si>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</si>
  <si>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</si>
  <si>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</si>
  <si>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</si>
  <si>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</si>
  <si>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</si>
  <si>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</si>
  <si>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</si>
  <si>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</si>
  <si>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</si>
  <si>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</si>
  <si>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</si>
  <si>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</si>
  <si>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</si>
  <si>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</si>
  <si>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</si>
  <si>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</si>
  <si>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</si>
  <si>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</si>
  <si>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</si>
  <si>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</si>
  <si>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</si>
  <si>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</si>
  <si>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</si>
  <si>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</si>
  <si>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</si>
  <si>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</si>
  <si>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</si>
  <si>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</si>
  <si>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</si>
  <si>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</si>
  <si>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</si>
  <si>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</si>
  <si>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</si>
  <si>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</si>
  <si>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</si>
  <si>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</si>
  <si>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</si>
  <si>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</si>
  <si>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</si>
  <si>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</si>
  <si>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</si>
  <si>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</si>
  <si>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</si>
  <si>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</si>
  <si>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</si>
  <si>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</si>
  <si>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</si>
  <si>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</si>
  <si>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</si>
  <si>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</si>
  <si>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</si>
  <si>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</si>
  <si>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</si>
  <si>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</si>
  <si>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</si>
  <si>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</si>
  <si>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</si>
  <si>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</si>
  <si>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</si>
  <si>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</si>
  <si>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</si>
  <si>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</si>
  <si>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</si>
  <si>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</si>
  <si>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</si>
  <si>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Camaguey - Santiago de Cuba</t>
  </si>
  <si>
    <t>CU-T1202</t>
  </si>
  <si>
    <t>Struck the ground 2.5 miles short of the runway at a high rate of speed in rain and reduced visibility. Pilot error. Continuing VFR flight in IFR conditions.</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</si>
  <si>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</si>
  <si>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</si>
  <si>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</si>
  <si>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</si>
  <si>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</si>
  <si>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QuibdÃ³ - BogotÃ¡</t>
  </si>
  <si>
    <t>FAC-1150</t>
  </si>
  <si>
    <t>Crashed into a jungle mountain, Mt. Los Farllones, in poor weather. Controlled flight into terrain.</t>
  </si>
  <si>
    <t>Near Ashkhabad, Turkmenistan, USSR</t>
  </si>
  <si>
    <t>Mil Mi-8T</t>
  </si>
  <si>
    <t>CCCP-22389</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</si>
  <si>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</si>
  <si>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</si>
  <si>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</si>
  <si>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</si>
  <si>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</si>
  <si>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</si>
  <si>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</si>
  <si>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</si>
  <si>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</si>
  <si>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</si>
  <si>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</si>
  <si>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</si>
  <si>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</si>
  <si>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</si>
  <si>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</si>
  <si>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</si>
  <si>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</si>
  <si>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</si>
  <si>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</si>
  <si>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</si>
  <si>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</si>
  <si>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</si>
  <si>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</si>
  <si>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</si>
  <si>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</si>
  <si>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</si>
  <si>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Near Matak, Indonesia</t>
  </si>
  <si>
    <t>IPTN 332C Super Puma</t>
  </si>
  <si>
    <t>PK-PUI</t>
  </si>
  <si>
    <t>NSP4/2022</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</si>
  <si>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</si>
  <si>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</si>
  <si>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</si>
  <si>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</si>
  <si>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Jalaludin, Indonesia</t>
  </si>
  <si>
    <t>Manado - Gorontalo</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</si>
  <si>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</si>
  <si>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</si>
  <si>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</si>
  <si>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</si>
  <si>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</si>
  <si>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</si>
  <si>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</si>
  <si>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</si>
  <si>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</si>
  <si>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</si>
  <si>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</si>
  <si>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</si>
  <si>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</si>
  <si>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</si>
  <si>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</si>
  <si>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</si>
  <si>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Elefsis AB - Volos-NÃ©a Anchialos</t>
  </si>
  <si>
    <t>The aircraft flew into the summit of Mt. .Othrys at 4,000 ft. while preparing to land at Nea Anghialos Airport.</t>
  </si>
  <si>
    <t>Near Taisha, Ecuador</t>
  </si>
  <si>
    <t>Military - Ecuadorean Air Force</t>
  </si>
  <si>
    <t>Macao - Taisha</t>
  </si>
  <si>
    <t>FAE447</t>
  </si>
  <si>
    <t>Crashed into the side of Mt. Paso Macunaa at 5,000 ft. in a jungle region of eastern Ecuador in poor weather. Controlled flight into terrain.</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</si>
  <si>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</si>
  <si>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</si>
  <si>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</si>
  <si>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</si>
  <si>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</si>
  <si>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</si>
  <si>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Puerto Williams, Chile</t>
  </si>
  <si>
    <t>Punta Arenas - Puerto Williams</t>
  </si>
  <si>
    <t>British Aerospace BAE-146-200A</t>
  </si>
  <si>
    <t>CC-CET</t>
  </si>
  <si>
    <t>E-2061</t>
  </si>
  <si>
    <t>The plane overran the runway on approach and sank in Beagle Channel in the sea.</t>
  </si>
  <si>
    <t>Cazombo, Angola</t>
  </si>
  <si>
    <t>Fuerza Area Angolaise</t>
  </si>
  <si>
    <t>Luena-Cazombo</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</si>
  <si>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</si>
  <si>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</si>
  <si>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</si>
  <si>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</si>
  <si>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</si>
  <si>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</si>
  <si>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</si>
  <si>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</si>
  <si>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</si>
  <si>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</si>
  <si>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</si>
  <si>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</si>
  <si>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</si>
  <si>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</si>
  <si>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</si>
  <si>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</si>
  <si>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</si>
  <si>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</si>
  <si>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</si>
  <si>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</si>
  <si>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</si>
  <si>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CP-1564</t>
  </si>
  <si>
    <t>The cargo plane was shot down by a surface-to-air missile.</t>
  </si>
  <si>
    <t>Ras-al-Mishab, Saudi Arabia</t>
  </si>
  <si>
    <t>Koweit City-Ras-al-Mishab-Dakar</t>
  </si>
  <si>
    <t>Crashed while attempting to land in poor visibility caused by oil fires during the Persian Gulf War.</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</si>
  <si>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</si>
  <si>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</si>
  <si>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</si>
  <si>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</si>
  <si>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</si>
  <si>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</si>
  <si>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</si>
  <si>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Trashkent - Navoi</t>
  </si>
  <si>
    <t>CCCP-46472</t>
  </si>
  <si>
    <t>The aircraft overran the runway and crashed into concrete blocks. Crew error. Did not follow proper procedures during landing.</t>
  </si>
  <si>
    <t>Yellahanka-Yellahanka</t>
  </si>
  <si>
    <t>Hindustan Aeronautics 748-2</t>
  </si>
  <si>
    <t>H1513</t>
  </si>
  <si>
    <t>The plane climbed to an altitude of 150 ft. and then crashed into the ground about half-a-mile from the airport. Engine failure.</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</si>
  <si>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</si>
  <si>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</si>
  <si>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</si>
  <si>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</si>
  <si>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</si>
  <si>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</si>
  <si>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</si>
  <si>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</si>
  <si>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</si>
  <si>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</si>
  <si>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</si>
  <si>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</si>
  <si>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</si>
  <si>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</si>
  <si>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</si>
  <si>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</si>
  <si>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</si>
  <si>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</si>
  <si>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</si>
  <si>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</si>
  <si>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</si>
  <si>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</si>
  <si>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Sulawesi, Indonesia</t>
  </si>
  <si>
    <t>Ambon - Ternate - Manado</t>
  </si>
  <si>
    <t>PK-MFD</t>
  </si>
  <si>
    <t>Crashed into Mt. Klabat in heavy fog while descending for a landing.</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</si>
  <si>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</si>
  <si>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</si>
  <si>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</si>
  <si>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</si>
  <si>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</si>
  <si>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</si>
  <si>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</si>
  <si>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</si>
  <si>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</si>
  <si>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</si>
  <si>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</si>
  <si>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</si>
  <si>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</si>
  <si>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Undershot the runway and broke in half after a hard landing. Crew error. A rapid rate of descent, leading to landing gear failure. The accident happened durining daylight in a rain shower.</t>
  </si>
  <si>
    <t>Bakhtaran, Iran</t>
  </si>
  <si>
    <t>Metro Cargo</t>
  </si>
  <si>
    <t>Cologne-Bakhtaran</t>
  </si>
  <si>
    <t>Ilyushin 76TD</t>
  </si>
  <si>
    <t>LZ-INK</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</si>
  <si>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</si>
  <si>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</si>
  <si>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</si>
  <si>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</si>
  <si>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</si>
  <si>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</si>
  <si>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</si>
  <si>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</si>
  <si>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</si>
  <si>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</si>
  <si>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</si>
  <si>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</si>
  <si>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</si>
  <si>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</si>
  <si>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</si>
  <si>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</si>
  <si>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</si>
  <si>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</si>
  <si>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</si>
  <si>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</si>
  <si>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</si>
  <si>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</si>
  <si>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</si>
  <si>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</si>
  <si>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</si>
  <si>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</si>
  <si>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</si>
  <si>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</si>
  <si>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</si>
  <si>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</si>
  <si>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</si>
  <si>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</si>
  <si>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</si>
  <si>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</si>
  <si>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</si>
  <si>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</si>
  <si>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</si>
  <si>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</si>
  <si>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</si>
  <si>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</si>
  <si>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</si>
  <si>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</si>
  <si>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</si>
  <si>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</si>
  <si>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</si>
  <si>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</si>
  <si>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</si>
  <si>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</si>
  <si>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</si>
  <si>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</si>
  <si>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</si>
  <si>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</si>
  <si>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</si>
  <si>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</si>
  <si>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</si>
  <si>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</si>
  <si>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</si>
  <si>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</si>
  <si>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</si>
  <si>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</si>
  <si>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</si>
  <si>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</si>
  <si>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</si>
  <si>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</si>
  <si>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</si>
  <si>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Near Uricani, Romania</t>
  </si>
  <si>
    <t>Bucharest - Timisoara</t>
  </si>
  <si>
    <t>YR-IMH</t>
  </si>
  <si>
    <t>The cargo plane crashed in a rainstorm.Premature descent.</t>
  </si>
  <si>
    <t>Imphal, India</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</si>
  <si>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</si>
  <si>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</si>
  <si>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</si>
  <si>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</si>
  <si>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</si>
  <si>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</si>
  <si>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</si>
  <si>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</si>
  <si>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</si>
  <si>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</si>
  <si>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</si>
  <si>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</si>
  <si>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</si>
  <si>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</si>
  <si>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</si>
  <si>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</si>
  <si>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</si>
  <si>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</si>
  <si>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</si>
  <si>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</si>
  <si>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</si>
  <si>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</si>
  <si>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</si>
  <si>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</si>
  <si>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</si>
  <si>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</si>
  <si>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</si>
  <si>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</si>
  <si>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</si>
  <si>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</si>
  <si>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</si>
  <si>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Lensk - Omsk</t>
  </si>
  <si>
    <t>Antonov AN-72</t>
  </si>
  <si>
    <t>CCCP-74002</t>
  </si>
  <si>
    <t>SU002</t>
  </si>
  <si>
    <t>The cargo plane struck trees, crashed and caught fire on takeoff. Overloaded</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</si>
  <si>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</si>
  <si>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</si>
  <si>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</si>
  <si>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</si>
  <si>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</si>
  <si>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</si>
  <si>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</si>
  <si>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</si>
  <si>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</si>
  <si>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</si>
  <si>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</si>
  <si>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The cargo plane 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</si>
  <si>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</si>
  <si>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</si>
  <si>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</si>
  <si>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</si>
  <si>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</si>
  <si>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</si>
  <si>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</si>
  <si>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 Controlled flight into terrain.</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</si>
  <si>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</si>
  <si>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</si>
  <si>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</si>
  <si>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</si>
  <si>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</si>
  <si>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</si>
  <si>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</si>
  <si>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</si>
  <si>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</si>
  <si>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</si>
  <si>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</si>
  <si>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</si>
  <si>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</si>
  <si>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</si>
  <si>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</si>
  <si>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</si>
  <si>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</si>
  <si>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</si>
  <si>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</si>
  <si>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</si>
  <si>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</si>
  <si>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</si>
  <si>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</si>
  <si>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</si>
  <si>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</si>
  <si>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</si>
  <si>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</si>
  <si>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</si>
  <si>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</si>
  <si>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</si>
  <si>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</si>
  <si>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</si>
  <si>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</si>
  <si>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</si>
  <si>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</si>
  <si>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Crashed into a mountain during daytime in poor weather. Failure of the crew to follow the correct approach path.</t>
  </si>
  <si>
    <t>Recife, Brazil</t>
  </si>
  <si>
    <t>Nordeste Linhas Aereas</t>
  </si>
  <si>
    <t>Recife - MaceiÃ³ - AracajÃº - Salvador</t>
  </si>
  <si>
    <t>PT-SCU</t>
  </si>
  <si>
    <t>110-314</t>
  </si>
  <si>
    <t>Crashed on takeoff hitting power lines and roof tops before coming to rest in a market square. Uncontained failure of the right engine.</t>
  </si>
  <si>
    <t>Anderma, Russia</t>
  </si>
  <si>
    <t>Ryazan - Vorkuta</t>
  </si>
  <si>
    <t>Crash landed in poor weather conditions. Icing.</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</si>
  <si>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</si>
  <si>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</si>
  <si>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</si>
  <si>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</si>
  <si>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</si>
  <si>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</si>
  <si>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</si>
  <si>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Sena, Mozambique</t>
  </si>
  <si>
    <t>STASA</t>
  </si>
  <si>
    <t>C9-STD</t>
  </si>
  <si>
    <t>The cargo plane overshot the runway and crashed into trees.</t>
  </si>
  <si>
    <t>Tartarstan Airlines</t>
  </si>
  <si>
    <t>Nizhnevartovsk - Bugulma</t>
  </si>
  <si>
    <t>CCCP-47823</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</si>
  <si>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</si>
  <si>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</si>
  <si>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</si>
  <si>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</si>
  <si>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</si>
  <si>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</si>
  <si>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Flew into the side of a hill towards the end of the flight while flying VOR.  The crew flew along the wrong valley.</t>
  </si>
  <si>
    <t>Heidelberg, Germany</t>
  </si>
  <si>
    <t>Classic Wings</t>
  </si>
  <si>
    <t>Frankfurt - Frankfurt</t>
  </si>
  <si>
    <t>D-CCCC</t>
  </si>
  <si>
    <t>The sightseeing tour struck a hill at 2,000 ft. while making a left turn in turbulence. Poor crew coordination. Overloaded.</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</si>
  <si>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</si>
  <si>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</si>
  <si>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</si>
  <si>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</si>
  <si>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</si>
  <si>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Wanli, Taiwan</t>
  </si>
  <si>
    <t>Taipei - Anchorage</t>
  </si>
  <si>
    <t>Boeing B-747-2R7F</t>
  </si>
  <si>
    <t>B-198</t>
  </si>
  <si>
    <t>The cargo plane crashed on takeoff  after losing the No. 3 and 4 engines due to corroded midspar fuse pins. The No. 3 engine broke loose first striking the No. 4 engine.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</si>
  <si>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</si>
  <si>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</si>
  <si>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</si>
  <si>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</si>
  <si>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</si>
  <si>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</si>
  <si>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</si>
  <si>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</si>
  <si>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</si>
  <si>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</si>
  <si>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</si>
  <si>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</si>
  <si>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</si>
  <si>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</si>
  <si>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</si>
  <si>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</si>
  <si>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</si>
  <si>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</si>
  <si>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</si>
  <si>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</si>
  <si>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</si>
  <si>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</si>
  <si>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</si>
  <si>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</si>
  <si>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</si>
  <si>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</si>
  <si>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</si>
  <si>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</si>
  <si>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</si>
  <si>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</si>
  <si>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</si>
  <si>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</si>
  <si>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</si>
  <si>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</si>
  <si>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</si>
  <si>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</si>
  <si>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</si>
  <si>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</si>
  <si>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</si>
  <si>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</si>
  <si>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</si>
  <si>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</si>
  <si>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</si>
  <si>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</si>
  <si>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</si>
  <si>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</si>
  <si>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The cargo plane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</si>
  <si>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</si>
  <si>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</si>
  <si>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</si>
  <si>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</si>
  <si>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</si>
  <si>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</si>
  <si>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</si>
  <si>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</si>
  <si>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</si>
  <si>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</si>
  <si>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</si>
  <si>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</si>
  <si>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Near Goroka, Papua New Guinea</t>
  </si>
  <si>
    <t>Madang - Goroka</t>
  </si>
  <si>
    <t>P2-RDS</t>
  </si>
  <si>
    <t>110- 355</t>
  </si>
  <si>
    <t>Crashed into mountains at Daulo Pass, 10km from its destination while on approach in poor weather.</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</si>
  <si>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</si>
  <si>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</si>
  <si>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</si>
  <si>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</si>
  <si>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</si>
  <si>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</si>
  <si>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</si>
  <si>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</si>
  <si>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</si>
  <si>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</si>
  <si>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</si>
  <si>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</si>
  <si>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Bandar Manshahr  - Tehran</t>
  </si>
  <si>
    <t>The plane crashed in unstable weather while en route from Manshahr to Tehran.</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</si>
  <si>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</si>
  <si>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</si>
  <si>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</si>
  <si>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</si>
  <si>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</si>
  <si>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</si>
  <si>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</si>
  <si>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</si>
  <si>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</si>
  <si>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</si>
  <si>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</si>
  <si>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</si>
  <si>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</si>
  <si>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</si>
  <si>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</si>
  <si>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</si>
  <si>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</si>
  <si>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</si>
  <si>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</si>
  <si>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</si>
  <si>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</si>
  <si>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</si>
  <si>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Near Iyakochchi, Sri Lanka</t>
  </si>
  <si>
    <t>Military - Sri Lanka Air Force</t>
  </si>
  <si>
    <t>Colombo - Jaffna</t>
  </si>
  <si>
    <t>Shaanxi Y-8D</t>
  </si>
  <si>
    <t>CR872</t>
  </si>
  <si>
    <t>Possibly shot down by LTTA  rebel forces as it attempted to land a the Elephant Pass Army Garrison.</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</si>
  <si>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</si>
  <si>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</si>
  <si>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</si>
  <si>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</si>
  <si>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</si>
  <si>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</si>
  <si>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</si>
  <si>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</si>
  <si>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</si>
  <si>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</si>
  <si>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Cashed and burned after taking off. Fuel starvation.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</si>
  <si>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</si>
  <si>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</si>
  <si>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</si>
  <si>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</si>
  <si>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</si>
  <si>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</si>
  <si>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</si>
  <si>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</si>
  <si>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</si>
  <si>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Near Skopje, Macedonia</t>
  </si>
  <si>
    <t>Volga-Dnepr Airlines</t>
  </si>
  <si>
    <t>Antonov 12BK</t>
  </si>
  <si>
    <t>CCCP-11342</t>
  </si>
  <si>
    <t>On approach, the cargo plane went off course while trying to circumnavigate a thunderstorm and impacted a mountain.</t>
  </si>
  <si>
    <t>Mt. Lalaboy,  Indonesia</t>
  </si>
  <si>
    <t>Mandala Airlines</t>
  </si>
  <si>
    <t>Jakarta - Surabaya - Ujung Pandang - Ambon</t>
  </si>
  <si>
    <t>Vickers Viscount 816</t>
  </si>
  <si>
    <t>PK-RVU</t>
  </si>
  <si>
    <t>Crashed into Mt. Lataboy at 2,800 ft. during an approach to Ambon in a severe rainstorm.</t>
  </si>
  <si>
    <t>Aero Eslava</t>
  </si>
  <si>
    <t>Puebla - Mexico City</t>
  </si>
  <si>
    <t>Vickers 798D Viscount</t>
  </si>
  <si>
    <t>XA-SCM</t>
  </si>
  <si>
    <t>Flew into a mountain in poor weather on a positioning flight.</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</si>
  <si>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</si>
  <si>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</si>
  <si>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</si>
  <si>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</si>
  <si>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</si>
  <si>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</si>
  <si>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</si>
  <si>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</si>
  <si>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</si>
  <si>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</si>
  <si>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</si>
  <si>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</si>
  <si>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</si>
  <si>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</si>
  <si>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</si>
  <si>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</si>
  <si>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</si>
  <si>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</si>
  <si>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</si>
  <si>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</si>
  <si>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</si>
  <si>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</si>
  <si>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</si>
  <si>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</si>
  <si>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</si>
  <si>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</si>
  <si>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</si>
  <si>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</si>
  <si>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</si>
  <si>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</si>
  <si>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</si>
  <si>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</si>
  <si>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</si>
  <si>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</si>
  <si>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Donetsk - Ivanovo</t>
  </si>
  <si>
    <t>CCCP-65058</t>
  </si>
  <si>
    <t>49868/3910</t>
  </si>
  <si>
    <t>The aircraft crashed 1.5 miles from the airport during approach. Poor landing coordination by the flight crew.</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</si>
  <si>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</si>
  <si>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</si>
  <si>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</si>
  <si>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</si>
  <si>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</si>
  <si>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</si>
  <si>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</si>
  <si>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AÃ©reo</t>
  </si>
  <si>
    <t>Tarapoto - Bellavista</t>
  </si>
  <si>
    <t>OB-1443</t>
  </si>
  <si>
    <t>While attempting to land the nose gear tire blew out causing the plane to veer off the runway, break in three and catch fire. The pilot died after he was trapped in the cockpit.</t>
  </si>
  <si>
    <t>Kozyrevsk, Russia</t>
  </si>
  <si>
    <t>Kamchatka Airlines</t>
  </si>
  <si>
    <t>RA-22738</t>
  </si>
  <si>
    <t xml:space="preserve">	98311031</t>
  </si>
  <si>
    <t>While taking off the helicopter cashed into trees and burst into flames.</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</si>
  <si>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</si>
  <si>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</si>
  <si>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</si>
  <si>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</si>
  <si>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</si>
  <si>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</si>
  <si>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</si>
  <si>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</si>
  <si>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</si>
  <si>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</si>
  <si>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</si>
  <si>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</si>
  <si>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</si>
  <si>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</si>
  <si>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Crashed short of the runway after attempting an emergency return to the airport after takeoff. Engine failure.</t>
  </si>
  <si>
    <t>Near Kular, Russia</t>
  </si>
  <si>
    <t>Yakutavia</t>
  </si>
  <si>
    <t>RA-22651</t>
  </si>
  <si>
    <t xml:space="preserve">	8098</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</si>
  <si>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</si>
  <si>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</si>
  <si>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</si>
  <si>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</si>
  <si>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</si>
  <si>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</si>
  <si>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</si>
  <si>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</si>
  <si>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</si>
  <si>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</si>
  <si>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</si>
  <si>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</si>
  <si>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</si>
  <si>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</si>
  <si>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</si>
  <si>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</si>
  <si>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</si>
  <si>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</si>
  <si>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</si>
  <si>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</si>
  <si>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</si>
  <si>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</si>
  <si>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</si>
  <si>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</si>
  <si>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</si>
  <si>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</si>
  <si>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</si>
  <si>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</si>
  <si>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</si>
  <si>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</si>
  <si>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</si>
  <si>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</si>
  <si>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</si>
  <si>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</si>
  <si>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</si>
  <si>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</si>
  <si>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</si>
  <si>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</si>
  <si>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</si>
  <si>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</si>
  <si>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</si>
  <si>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</si>
  <si>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</si>
  <si>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</si>
  <si>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</si>
  <si>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</si>
  <si>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</si>
  <si>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</si>
  <si>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Antonov AN-8</t>
  </si>
  <si>
    <t>CCCP-69346</t>
  </si>
  <si>
    <t>OD-3430</t>
  </si>
  <si>
    <t>Crashed 1,600m short of the runway threshold while attempting to land at Chita.</t>
  </si>
  <si>
    <t>Off Bombay, India</t>
  </si>
  <si>
    <t>The rotor blades hit an oil rig in the Arabian Sea.</t>
  </si>
  <si>
    <t>Near Tver, Russia</t>
  </si>
  <si>
    <t>Migalovo AB - Yerevan</t>
  </si>
  <si>
    <t>Antonov AN-22A</t>
  </si>
  <si>
    <t>After climbing to a height of 800 ft. the plane dove into the ground. Improper loading and overloaded.</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</si>
  <si>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</si>
  <si>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</si>
  <si>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</si>
  <si>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</si>
  <si>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</si>
  <si>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</si>
  <si>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</si>
  <si>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</si>
  <si>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Crashed into an 850 meter high peak while on approach to Puerto Plata. Controlled flight iinto terrain.</t>
  </si>
  <si>
    <t>Near Guilin, China</t>
  </si>
  <si>
    <t>China Southern Airlines</t>
  </si>
  <si>
    <t>B-2523</t>
  </si>
  <si>
    <t>24913/2052</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</si>
  <si>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</si>
  <si>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</si>
  <si>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</si>
  <si>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</si>
  <si>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</si>
  <si>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</si>
  <si>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</si>
  <si>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</si>
  <si>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</si>
  <si>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</si>
  <si>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</si>
  <si>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</si>
  <si>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</si>
  <si>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</si>
  <si>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Kindu - Goma</t>
  </si>
  <si>
    <t>9Q-CBH</t>
  </si>
  <si>
    <t>The aircraft flew into high ground at 8,800 ft. while positioning for an approach to Goma.The accident happened in darkness. Premature descet,</t>
  </si>
  <si>
    <t>Lata, Georgia</t>
  </si>
  <si>
    <t>Mil Mi 8T (helicopter)</t>
  </si>
  <si>
    <t>Shot down by a surface-to-air missile by Georgian rebel forces.</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</si>
  <si>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</si>
  <si>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</si>
  <si>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</si>
  <si>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</si>
  <si>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</si>
  <si>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</si>
  <si>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</si>
  <si>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5A-DIA</t>
  </si>
  <si>
    <t>21050/1108</t>
  </si>
  <si>
    <t>Midair collision with an Libyan Air Force fighter at 3,500 ft.</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</si>
  <si>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</si>
  <si>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</si>
  <si>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</si>
  <si>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</si>
  <si>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</si>
  <si>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</si>
  <si>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</si>
  <si>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</si>
  <si>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</si>
  <si>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</si>
  <si>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</si>
  <si>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</si>
  <si>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</si>
  <si>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</si>
  <si>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</si>
  <si>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</si>
  <si>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</si>
  <si>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The cargo plane struck a mountain while descending in fog and poor visibility.</t>
  </si>
  <si>
    <t>Near Bronson Creek, British Colombia, Canada</t>
  </si>
  <si>
    <t>Bronson - Wrangell</t>
  </si>
  <si>
    <t>C-FAAM</t>
  </si>
  <si>
    <t>After takeoff, the cargo plane, banked sharply went nose-down and crashed.</t>
  </si>
  <si>
    <t>Kinshasa, Democratic Republic Congo</t>
  </si>
  <si>
    <t>Trans Service Airlift</t>
  </si>
  <si>
    <t>9Q-CJK</t>
  </si>
  <si>
    <t>While attempting to takeoff the cargo plane overran the runway and struck vehicles. Overloaded.</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</si>
  <si>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</si>
  <si>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</si>
  <si>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</si>
  <si>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</si>
  <si>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</si>
  <si>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</si>
  <si>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</si>
  <si>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</si>
  <si>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</si>
  <si>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</si>
  <si>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</si>
  <si>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</si>
  <si>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</si>
  <si>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</si>
  <si>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</si>
  <si>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</si>
  <si>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Bogota-Panama</t>
  </si>
  <si>
    <t>HP-1200CTH</t>
  </si>
  <si>
    <t>The cargo plane attempted to return to the airport after an engine caught fire but crashed in a field.</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</si>
  <si>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</si>
  <si>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</si>
  <si>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</si>
  <si>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</si>
  <si>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</si>
  <si>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</si>
  <si>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</si>
  <si>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</si>
  <si>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</si>
  <si>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</si>
  <si>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</si>
  <si>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Near Tangara de Serra, Brazil</t>
  </si>
  <si>
    <t>Oeste Linhas Aereas</t>
  </si>
  <si>
    <t>Cuiaba - Vihena - Rondonia</t>
  </si>
  <si>
    <t>Embraer EMB-110 Bandeirante</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</si>
  <si>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</si>
  <si>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</si>
  <si>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</si>
  <si>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</si>
  <si>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</si>
  <si>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</si>
  <si>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</si>
  <si>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</si>
  <si>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</si>
  <si>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</si>
  <si>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</si>
  <si>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</si>
  <si>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</si>
  <si>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</si>
  <si>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</si>
  <si>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</si>
  <si>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</si>
  <si>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</si>
  <si>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</si>
  <si>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</si>
  <si>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</si>
  <si>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</si>
  <si>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</si>
  <si>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</si>
  <si>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</si>
  <si>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</si>
  <si>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</si>
  <si>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</si>
  <si>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</si>
  <si>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</si>
  <si>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</si>
  <si>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</si>
  <si>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</si>
  <si>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Flew into the side of Marz Mountain while descending.</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</si>
  <si>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</si>
  <si>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</si>
  <si>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</si>
  <si>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</si>
  <si>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</si>
  <si>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Off  Libreville, Gambia</t>
  </si>
  <si>
    <t>Lusaka - Libreville - Dakar</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</si>
  <si>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</si>
  <si>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</si>
  <si>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</si>
  <si>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</si>
  <si>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</si>
  <si>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Suva, Fiji</t>
  </si>
  <si>
    <t>Fiji Air</t>
  </si>
  <si>
    <t>DQ-FEO</t>
  </si>
  <si>
    <t>While landing, undershot the runway and struck a vehicle. Improperly loaded.</t>
  </si>
  <si>
    <t>Carga del Caribe</t>
  </si>
  <si>
    <t>Cancun - Cozumel</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</si>
  <si>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</si>
  <si>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</si>
  <si>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</si>
  <si>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</si>
  <si>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</si>
  <si>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</si>
  <si>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</si>
  <si>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</si>
  <si>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</si>
  <si>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</si>
  <si>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Gulgubip, Papua New Guinea</t>
  </si>
  <si>
    <t>Southwest Air</t>
  </si>
  <si>
    <t>P2-SWA</t>
  </si>
  <si>
    <t>On final approach at low speed the left wing dropped and touched the ground during a stall or deliberate low left turn. The plane cartwheeled and broke up.</t>
  </si>
  <si>
    <t>Nabire, Indonesia</t>
  </si>
  <si>
    <t>PK-NUL</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</si>
  <si>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</si>
  <si>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</si>
  <si>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</si>
  <si>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</si>
  <si>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</si>
  <si>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</si>
  <si>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</si>
  <si>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</si>
  <si>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MZ721</t>
  </si>
  <si>
    <t>Ambo - Sorong</t>
  </si>
  <si>
    <t>PK-GFU</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</si>
  <si>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</si>
  <si>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</si>
  <si>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</si>
  <si>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</si>
  <si>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</si>
  <si>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</si>
  <si>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</si>
  <si>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</si>
  <si>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</si>
  <si>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</si>
  <si>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</si>
  <si>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</si>
  <si>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</si>
  <si>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</si>
  <si>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</si>
  <si>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</si>
  <si>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</si>
  <si>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</si>
  <si>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</si>
  <si>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</si>
  <si>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</si>
  <si>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</si>
  <si>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</si>
  <si>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</si>
  <si>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</si>
  <si>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</si>
  <si>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</si>
  <si>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</si>
  <si>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</si>
  <si>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</si>
  <si>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</si>
  <si>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</si>
  <si>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</si>
  <si>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</si>
  <si>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</si>
  <si>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</si>
  <si>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Leeward Point Airfield, Guantanamo Bay, Cuba</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</si>
  <si>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</si>
  <si>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</si>
  <si>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</si>
  <si>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Near Aldan, Russia</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</si>
  <si>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</si>
  <si>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</si>
  <si>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</si>
  <si>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</si>
  <si>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</si>
  <si>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</si>
  <si>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</si>
  <si>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</si>
  <si>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</si>
  <si>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</si>
  <si>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</si>
  <si>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</si>
  <si>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</si>
  <si>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</si>
  <si>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</si>
  <si>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</si>
  <si>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</si>
  <si>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</si>
  <si>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Crashed into the sea. Shot down with a missile by Abkhazi separatist rebels.</t>
  </si>
  <si>
    <t>CCCP-85163</t>
  </si>
  <si>
    <t>76A163</t>
  </si>
  <si>
    <t>The aircraft was hit by a missile then crash landed on the runway. Terrorist act  by Abkhazian rebels.</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</si>
  <si>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</si>
  <si>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</si>
  <si>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</si>
  <si>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</si>
  <si>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</si>
  <si>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</si>
  <si>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</si>
  <si>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Fuzhou, China</t>
  </si>
  <si>
    <t>Shenzen - Fuzhou</t>
  </si>
  <si>
    <t>B-2103</t>
  </si>
  <si>
    <t>While landing during a rainstorm, the aircraft went off the end of the runway, into a swamp, collapsing the landing gear and breaking the fuselage into three sections.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</si>
  <si>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</si>
  <si>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</si>
  <si>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</si>
  <si>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</si>
  <si>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</si>
  <si>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</si>
  <si>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</si>
  <si>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</si>
  <si>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</si>
  <si>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</si>
  <si>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</si>
  <si>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</si>
  <si>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</si>
  <si>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</si>
  <si>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</si>
  <si>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</si>
  <si>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</si>
  <si>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</si>
  <si>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</si>
  <si>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</si>
  <si>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</si>
  <si>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</si>
  <si>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</si>
  <si>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</si>
  <si>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</si>
  <si>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</si>
  <si>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</si>
  <si>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</si>
  <si>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</si>
  <si>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</si>
  <si>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</si>
  <si>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</si>
  <si>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</si>
  <si>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</si>
  <si>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</si>
  <si>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</si>
  <si>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</si>
  <si>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</si>
  <si>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</si>
  <si>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</si>
  <si>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</si>
  <si>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</si>
  <si>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</si>
  <si>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</si>
  <si>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</si>
  <si>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</si>
  <si>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</si>
  <si>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</si>
  <si>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</si>
  <si>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</si>
  <si>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</si>
  <si>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</si>
  <si>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</si>
  <si>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</si>
  <si>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</si>
  <si>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</si>
  <si>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</si>
  <si>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</si>
  <si>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</si>
  <si>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</si>
  <si>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</si>
  <si>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</si>
  <si>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</si>
  <si>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</si>
  <si>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Nalchik, Russia</t>
  </si>
  <si>
    <t>North Western Air Transport</t>
  </si>
  <si>
    <t>SP9045</t>
  </si>
  <si>
    <t>Volgograd - Nalchik</t>
  </si>
  <si>
    <t>RA-11118</t>
  </si>
  <si>
    <t>While on approach the nose pitched up, the aircraft stalled and crashed short of the runway. Icing of the horizontal stabilizer.</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</si>
  <si>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</si>
  <si>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</si>
  <si>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</si>
  <si>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</si>
  <si>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</si>
  <si>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</si>
  <si>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</si>
  <si>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</si>
  <si>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</si>
  <si>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</si>
  <si>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</si>
  <si>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</si>
  <si>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</si>
  <si>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</si>
  <si>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</si>
  <si>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</si>
  <si>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</si>
  <si>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</si>
  <si>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Off Malindi, Kenya</t>
  </si>
  <si>
    <t>Mombasa - Mogadishu</t>
  </si>
  <si>
    <t>69-6576</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</si>
  <si>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</si>
  <si>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</si>
  <si>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</si>
  <si>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</si>
  <si>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</si>
  <si>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</si>
  <si>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</si>
  <si>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</si>
  <si>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</si>
  <si>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</si>
  <si>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</si>
  <si>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</si>
  <si>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</si>
  <si>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</si>
  <si>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</si>
  <si>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</si>
  <si>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Weipa - Aurukun</t>
  </si>
  <si>
    <t>Britten-Norman BN-2A-21 Trislander</t>
  </si>
  <si>
    <t>VH-JUU</t>
  </si>
  <si>
    <t>Lost an engine while taking off and then lost a second engine and crashed 1,300 ft. beyond the runway.</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</si>
  <si>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</si>
  <si>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</si>
  <si>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</si>
  <si>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</si>
  <si>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</si>
  <si>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</si>
  <si>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</si>
  <si>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</si>
  <si>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</si>
  <si>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</si>
  <si>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</si>
  <si>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</si>
  <si>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</si>
  <si>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</si>
  <si>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</si>
  <si>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</si>
  <si>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</si>
  <si>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</si>
  <si>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</si>
  <si>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</si>
  <si>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</si>
  <si>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</si>
  <si>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</si>
  <si>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Struck Mt. Lozan, at 13,400 ft. which was obscured by clouds 47 minutes after taking off. Controlled flight into terrain.</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</si>
  <si>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</si>
  <si>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</si>
  <si>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</si>
  <si>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</si>
  <si>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</si>
  <si>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</si>
  <si>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</si>
  <si>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</si>
  <si>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</si>
  <si>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Crashed into Mt. Saran 30 minutes before it was scheduled to land in poor weather condtions.</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</si>
  <si>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</si>
  <si>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</si>
  <si>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</si>
  <si>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</si>
  <si>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</si>
  <si>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</si>
  <si>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</si>
  <si>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</si>
  <si>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</si>
  <si>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</si>
  <si>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</si>
  <si>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</si>
  <si>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</si>
  <si>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</si>
  <si>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</si>
  <si>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</si>
  <si>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</si>
  <si>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</si>
  <si>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</si>
  <si>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</si>
  <si>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</si>
  <si>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</si>
  <si>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</si>
  <si>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</si>
  <si>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</si>
  <si>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</si>
  <si>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</si>
  <si>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</si>
  <si>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</si>
  <si>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</si>
  <si>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</si>
  <si>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</si>
  <si>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</si>
  <si>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</si>
  <si>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</si>
  <si>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</si>
  <si>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</si>
  <si>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</si>
  <si>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</si>
  <si>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</si>
  <si>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</si>
  <si>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</si>
  <si>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</si>
  <si>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</si>
  <si>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</si>
  <si>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</si>
  <si>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</si>
  <si>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</si>
  <si>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</si>
  <si>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</si>
  <si>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</si>
  <si>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Air Ivorie</t>
  </si>
  <si>
    <t>San Pedro - Abidjan</t>
  </si>
  <si>
    <t>TU-TIP</t>
  </si>
  <si>
    <t>Crashed on approach 3 miles short of the runway into a wooded area with flaps and landing gear still retracted.</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</si>
  <si>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</si>
  <si>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</si>
  <si>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</si>
  <si>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</si>
  <si>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</si>
  <si>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</si>
  <si>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</si>
  <si>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</si>
  <si>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</si>
  <si>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</si>
  <si>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</si>
  <si>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</si>
  <si>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</si>
  <si>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</si>
  <si>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Charlotte, North Carolina</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</si>
  <si>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</si>
  <si>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</si>
  <si>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</si>
  <si>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</si>
  <si>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</si>
  <si>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</si>
  <si>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</si>
  <si>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</si>
  <si>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</si>
  <si>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</si>
  <si>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</si>
  <si>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</si>
  <si>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</si>
  <si>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</si>
  <si>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</si>
  <si>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Crashed into high ground while on approach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</si>
  <si>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</si>
  <si>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</si>
  <si>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</si>
  <si>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</si>
  <si>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</si>
  <si>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</si>
  <si>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</si>
  <si>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</si>
  <si>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</si>
  <si>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</si>
  <si>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</si>
  <si>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</si>
  <si>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</si>
  <si>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</si>
  <si>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</si>
  <si>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</si>
  <si>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The helicopter crashed 5 minutes after taking off from Kilo Lima.</t>
  </si>
  <si>
    <t>Near Boda, Russia</t>
  </si>
  <si>
    <t>Dzhida - Boda</t>
  </si>
  <si>
    <t>Crashed and burned while attempting to land with an engine fire in poor visibility and heavy rain.</t>
  </si>
  <si>
    <t>Kodiak, Alaska</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</si>
  <si>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</si>
  <si>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</si>
  <si>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</si>
  <si>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</si>
  <si>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</si>
  <si>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</si>
  <si>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</si>
  <si>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</si>
  <si>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</si>
  <si>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</si>
  <si>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</si>
  <si>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</si>
  <si>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</si>
  <si>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</si>
  <si>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</si>
  <si>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</si>
  <si>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</si>
  <si>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</si>
  <si>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</si>
  <si>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</si>
  <si>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</si>
  <si>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</si>
  <si>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</si>
  <si>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</si>
  <si>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</si>
  <si>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</si>
  <si>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</si>
  <si>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</si>
  <si>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</si>
  <si>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</si>
  <si>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</si>
  <si>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</si>
  <si>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</si>
  <si>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</si>
  <si>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</si>
  <si>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</si>
  <si>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</si>
  <si>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</si>
  <si>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</si>
  <si>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</si>
  <si>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</si>
  <si>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</si>
  <si>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</si>
  <si>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</si>
  <si>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</si>
  <si>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</si>
  <si>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</si>
  <si>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</si>
  <si>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</si>
  <si>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</si>
  <si>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</si>
  <si>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</si>
  <si>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Crashed after experiencing engine failure.</t>
  </si>
  <si>
    <t>Chaibukha, Russia</t>
  </si>
  <si>
    <t>Arsenyev Aviation Production Association</t>
  </si>
  <si>
    <t>Chaibukha - Provedenia</t>
  </si>
  <si>
    <t>RA-27209</t>
  </si>
  <si>
    <t>OA-3460</t>
  </si>
  <si>
    <t>The cargo plane failed to gain altitude, overran the runway and crashed. Crew error.</t>
  </si>
  <si>
    <t>Mitu, Colombia</t>
  </si>
  <si>
    <t>SELVA</t>
  </si>
  <si>
    <t>Antonov AN-32B</t>
  </si>
  <si>
    <t>HK3929X</t>
  </si>
  <si>
    <t>The cargo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</si>
  <si>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</si>
  <si>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</si>
  <si>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</si>
  <si>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</si>
  <si>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</si>
  <si>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Formoso do Aragala, Brazil</t>
  </si>
  <si>
    <t>C-130-2460</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</si>
  <si>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</si>
  <si>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</si>
  <si>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</si>
  <si>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</si>
  <si>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</si>
  <si>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</si>
  <si>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</si>
  <si>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</si>
  <si>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The cargo plane suddenly pitched down and collided with a hill. Icing.</t>
  </si>
  <si>
    <t>Batagaj, Russia</t>
  </si>
  <si>
    <t>RA-33008</t>
  </si>
  <si>
    <t>1G217-55</t>
  </si>
  <si>
    <t>Pitched up and crashed on takeoff. Overweight and improperly loaded.</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</si>
  <si>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</si>
  <si>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</si>
  <si>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</si>
  <si>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</si>
  <si>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</si>
  <si>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</si>
  <si>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</si>
  <si>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</si>
  <si>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</si>
  <si>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</si>
  <si>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</si>
  <si>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</si>
  <si>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</si>
  <si>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</si>
  <si>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</si>
  <si>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</si>
  <si>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</si>
  <si>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</si>
  <si>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</si>
  <si>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</si>
  <si>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</si>
  <si>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</si>
  <si>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</si>
  <si>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</si>
  <si>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</si>
  <si>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</si>
  <si>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</si>
  <si>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Crashed into a mountain in poor weather conditions.</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</si>
  <si>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</si>
  <si>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</si>
  <si>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</si>
  <si>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</si>
  <si>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</si>
  <si>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</si>
  <si>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</si>
  <si>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</si>
  <si>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</si>
  <si>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</si>
  <si>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</si>
  <si>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</si>
  <si>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</si>
  <si>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</si>
  <si>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</si>
  <si>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</si>
  <si>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</si>
  <si>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</si>
  <si>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</si>
  <si>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</si>
  <si>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</si>
  <si>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</si>
  <si>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</si>
  <si>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</si>
  <si>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</si>
  <si>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</si>
  <si>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</si>
  <si>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</si>
  <si>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</si>
  <si>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</si>
  <si>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</si>
  <si>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</si>
  <si>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</si>
  <si>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</si>
  <si>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</si>
  <si>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</si>
  <si>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</si>
  <si>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</si>
  <si>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</si>
  <si>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</si>
  <si>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 Controlled flight into terrain.</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</si>
  <si>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</si>
  <si>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</si>
  <si>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</si>
  <si>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</si>
  <si>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</si>
  <si>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</si>
  <si>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</si>
  <si>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</si>
  <si>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</si>
  <si>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</si>
  <si>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</si>
  <si>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</si>
  <si>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</si>
  <si>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Air Taxi - Wolfe Air Aviation Ltd.</t>
  </si>
  <si>
    <t>Los Angeles, CA - Burbank, CA</t>
  </si>
  <si>
    <t>N2209P</t>
  </si>
  <si>
    <t>Took off and crashed into power lines in rain and fog. Continued VFR flight into IMC.</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</si>
  <si>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</si>
  <si>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</si>
  <si>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</si>
  <si>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</si>
  <si>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</si>
  <si>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</si>
  <si>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</si>
  <si>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</si>
  <si>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Near Krasnoyarsk, Russia</t>
  </si>
  <si>
    <t>Abakan Airlines</t>
  </si>
  <si>
    <t>Krasnoyarsk - Abakan</t>
  </si>
  <si>
    <t>RA-67120</t>
  </si>
  <si>
    <t>While taking off the aircraft veered to the right and clipped some trees 2,000 ft. past the runway. Overloaded and possible fuel contamination.</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</si>
  <si>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</si>
  <si>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</si>
  <si>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</si>
  <si>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</si>
  <si>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</si>
  <si>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</si>
  <si>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</si>
  <si>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</si>
  <si>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The cargo plane flew into high ground while on approach in poor weather conditons. Controllled flight into terrain.</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</si>
  <si>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</si>
  <si>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</si>
  <si>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</si>
  <si>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</si>
  <si>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</si>
  <si>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</si>
  <si>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</si>
  <si>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</si>
  <si>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</si>
  <si>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</si>
  <si>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</si>
  <si>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</si>
  <si>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</si>
  <si>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</si>
  <si>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</si>
  <si>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</si>
  <si>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</si>
  <si>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</si>
  <si>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</si>
  <si>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</si>
  <si>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</si>
  <si>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</si>
  <si>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</si>
  <si>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</si>
  <si>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</si>
  <si>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</si>
  <si>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</si>
  <si>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</si>
  <si>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</si>
  <si>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</si>
  <si>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</si>
  <si>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</si>
  <si>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</si>
  <si>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Near Boise, Idaho</t>
  </si>
  <si>
    <t>Boise, ID - Colorado Springs, CO</t>
  </si>
  <si>
    <t>62-1838</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</si>
  <si>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</si>
  <si>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</si>
  <si>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</si>
  <si>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</si>
  <si>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</si>
  <si>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</si>
  <si>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</si>
  <si>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</si>
  <si>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Miraflores, Colombia</t>
  </si>
  <si>
    <t>LACOL</t>
  </si>
  <si>
    <t>Villavicencio - Miraflores</t>
  </si>
  <si>
    <t>HK-3213</t>
  </si>
  <si>
    <t>Off Mbour, Senegal</t>
  </si>
  <si>
    <t>Senegalair</t>
  </si>
  <si>
    <t>Piper PA-31-310 Navajo</t>
  </si>
  <si>
    <t>6V-AGH</t>
  </si>
  <si>
    <t>31-205</t>
  </si>
  <si>
    <t>Ditched in the sea just offshore, after losing an engine on approach. The pilot was not rated for that aircraft type and had very little experience.</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</si>
  <si>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</si>
  <si>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</si>
  <si>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</si>
  <si>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</si>
  <si>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</si>
  <si>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Herputchi, Russia</t>
  </si>
  <si>
    <t>Poliny - Nikolayevsk-on-Amur</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</si>
  <si>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</si>
  <si>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</si>
  <si>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</si>
  <si>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</si>
  <si>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</si>
  <si>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</si>
  <si>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</si>
  <si>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</si>
  <si>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</si>
  <si>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</si>
  <si>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</si>
  <si>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</si>
  <si>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</si>
  <si>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</si>
  <si>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</si>
  <si>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</si>
  <si>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</si>
  <si>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</si>
  <si>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</si>
  <si>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La Romana, Dominican Republic</t>
  </si>
  <si>
    <t>Santo Domingo - Aguadilla, Puerto Rico</t>
  </si>
  <si>
    <t>N356SA</t>
  </si>
  <si>
    <t>After the cargo flight encountered problems en route, the crew tried to return to Santo Domingo but crashed.</t>
  </si>
  <si>
    <t>Kiunga, Papua New Guinea</t>
  </si>
  <si>
    <t>Garamut Aviation</t>
  </si>
  <si>
    <t>Port Moresby - Tabubil</t>
  </si>
  <si>
    <t>P2-VTC</t>
  </si>
  <si>
    <t>The cargo plane lost two engines during its flight to Tabubil and subsequent diversion to Kiunga and crashed short of the runway.</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</si>
  <si>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</si>
  <si>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</si>
  <si>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</si>
  <si>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</si>
  <si>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</si>
  <si>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Bintuni,  Indonesia</t>
  </si>
  <si>
    <t>PK-NUT</t>
  </si>
  <si>
    <t>The plane lost control during takeoff in heavy rain and veered off the runway crashing into a banana plantation.</t>
  </si>
  <si>
    <t>Near Antananivo, Madagascar</t>
  </si>
  <si>
    <t>Military - Madagascar Air Force</t>
  </si>
  <si>
    <t>Maintirano - Antananivo</t>
  </si>
  <si>
    <t>5R-MMG</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</si>
  <si>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</si>
  <si>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</si>
  <si>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</si>
  <si>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</si>
  <si>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</si>
  <si>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</si>
  <si>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</si>
  <si>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</si>
  <si>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</si>
  <si>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</si>
  <si>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</si>
  <si>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</si>
  <si>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</si>
  <si>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</si>
  <si>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</si>
  <si>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</si>
  <si>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</si>
  <si>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</si>
  <si>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</si>
  <si>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</si>
  <si>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</si>
  <si>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</si>
  <si>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</si>
  <si>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Nevada del Huila, Colombia</t>
  </si>
  <si>
    <t>Neiva - Cali</t>
  </si>
  <si>
    <t>HK-2594</t>
  </si>
  <si>
    <t>Crashed into Nevado de Huila at an elevation of 14,500 feet.</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</si>
  <si>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</si>
  <si>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</si>
  <si>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</si>
  <si>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</si>
  <si>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</si>
  <si>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</si>
  <si>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</si>
  <si>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</si>
  <si>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</si>
  <si>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</si>
  <si>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</si>
  <si>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</si>
  <si>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</si>
  <si>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</si>
  <si>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</si>
  <si>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</si>
  <si>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</si>
  <si>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</si>
  <si>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</si>
  <si>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</si>
  <si>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</si>
  <si>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</si>
  <si>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</si>
  <si>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</si>
  <si>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</si>
  <si>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</si>
  <si>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</si>
  <si>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</si>
  <si>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</si>
  <si>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</si>
  <si>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</si>
  <si>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</si>
  <si>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Crashed after running out of fuel.</t>
  </si>
  <si>
    <t>Off Colombo, Sri Lanka</t>
  </si>
  <si>
    <t>Ratmalana - Palali base</t>
  </si>
  <si>
    <t>CR861</t>
  </si>
  <si>
    <t>The pilot reported an instrument problem after taking off from Ratmalana Airport and was returning for an emergency landing when the plane fell from 8,000 feet and crashed into the sea.</t>
  </si>
  <si>
    <t>Tawau,  Malaysia</t>
  </si>
  <si>
    <t>Kota Kinabalu - Tawau</t>
  </si>
  <si>
    <t>Fokker 50</t>
  </si>
  <si>
    <t>9M-MGH</t>
  </si>
  <si>
    <t>Following a visual approach, the aircraft landed long and fast and overran the end of the runway into a shanty town while attempting a go-around.</t>
  </si>
  <si>
    <t>Near Moron, Mongolia</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</si>
  <si>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</si>
  <si>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</si>
  <si>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</si>
  <si>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</si>
  <si>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</si>
  <si>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</si>
  <si>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</si>
  <si>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</si>
  <si>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</si>
  <si>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</si>
  <si>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</si>
  <si>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</si>
  <si>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</si>
  <si>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</si>
  <si>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</si>
  <si>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</si>
  <si>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</si>
  <si>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</si>
  <si>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</si>
  <si>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</si>
  <si>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</si>
  <si>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</si>
  <si>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</si>
  <si>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</si>
  <si>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</si>
  <si>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</si>
  <si>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</si>
  <si>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</si>
  <si>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</si>
  <si>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</si>
  <si>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The helicopter crashed into mountains at Barskoon Pass while en route.</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</si>
  <si>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</si>
  <si>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</si>
  <si>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</si>
  <si>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</si>
  <si>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</si>
  <si>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</si>
  <si>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</si>
  <si>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The aircraft touched down halfway down the runway, veered off the runway where dry grass caught fire under the aircraft and eventually spread destroying the aircraft.</t>
  </si>
  <si>
    <t>Off Jaffna Peninsula , Sri Lanka</t>
  </si>
  <si>
    <t>Colombo - Palay AFB</t>
  </si>
  <si>
    <t>CR862</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</si>
  <si>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</si>
  <si>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</si>
  <si>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</si>
  <si>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</si>
  <si>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</si>
  <si>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</si>
  <si>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</si>
  <si>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</si>
  <si>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</si>
  <si>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</si>
  <si>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</si>
  <si>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</si>
  <si>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</si>
  <si>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</si>
  <si>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</si>
  <si>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</si>
  <si>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</si>
  <si>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</si>
  <si>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</si>
  <si>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</si>
  <si>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</si>
  <si>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</si>
  <si>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</si>
  <si>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</si>
  <si>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</si>
  <si>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</si>
  <si>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</si>
  <si>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</si>
  <si>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</si>
  <si>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Verona  - Villafranca, Italy</t>
  </si>
  <si>
    <t>Romanian Banat Air</t>
  </si>
  <si>
    <t>Verona - Timisoara</t>
  </si>
  <si>
    <t>YR-AMR</t>
  </si>
  <si>
    <t>The plane crashed and burned shortly after takeoff after reaching a height of 500 ft. Combination of overloading and icing.</t>
  </si>
  <si>
    <t>Cahungula, Angola</t>
  </si>
  <si>
    <t>Jamba Airport - ?</t>
  </si>
  <si>
    <t>9Q-CRR</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</si>
  <si>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</si>
  <si>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</si>
  <si>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</si>
  <si>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</si>
  <si>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</si>
  <si>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</si>
  <si>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</si>
  <si>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</si>
  <si>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</si>
  <si>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</si>
  <si>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</si>
  <si>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</si>
  <si>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</si>
  <si>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</si>
  <si>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</si>
  <si>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</si>
  <si>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</si>
  <si>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</si>
  <si>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</si>
  <si>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</si>
  <si>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Military - Nigerian Air Force</t>
  </si>
  <si>
    <t>Lagos - Kano</t>
  </si>
  <si>
    <t>British Aerospace BAe-125-700B</t>
  </si>
  <si>
    <t>5N-AXO</t>
  </si>
  <si>
    <t>Crashed 4.5 miles short of the runway while making an approach to Kano. Claimed to be shot down by the United Front for Nigeria's Liberation.</t>
  </si>
  <si>
    <t>Off Point Pedro, Sri Lanka</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</si>
  <si>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</si>
  <si>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</si>
  <si>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</si>
  <si>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</si>
  <si>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</si>
  <si>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</si>
  <si>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</si>
  <si>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</si>
  <si>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</si>
  <si>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</si>
  <si>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</si>
  <si>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</si>
  <si>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</si>
  <si>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</si>
  <si>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</si>
  <si>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</si>
  <si>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</si>
  <si>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</si>
  <si>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</si>
  <si>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</si>
  <si>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</si>
  <si>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</si>
  <si>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</si>
  <si>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</si>
  <si>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</si>
  <si>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</si>
  <si>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</si>
  <si>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</si>
  <si>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</si>
  <si>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</si>
  <si>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</si>
  <si>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</si>
  <si>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</si>
  <si>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</si>
  <si>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</si>
  <si>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</si>
  <si>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</si>
  <si>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</si>
  <si>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</si>
  <si>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</si>
  <si>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</si>
  <si>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</si>
  <si>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</si>
  <si>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</si>
  <si>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</si>
  <si>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</si>
  <si>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</si>
  <si>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</si>
  <si>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</si>
  <si>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</si>
  <si>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</si>
  <si>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</si>
  <si>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</si>
  <si>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</si>
  <si>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</si>
  <si>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</si>
  <si>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</si>
  <si>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</si>
  <si>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</si>
  <si>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</si>
  <si>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</si>
  <si>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</si>
  <si>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</si>
  <si>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</si>
  <si>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</si>
  <si>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</si>
  <si>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</si>
  <si>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</si>
  <si>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</si>
  <si>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</si>
  <si>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</si>
  <si>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</si>
  <si>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</si>
  <si>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</si>
  <si>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</si>
  <si>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</si>
  <si>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</si>
  <si>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</si>
  <si>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</si>
  <si>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</si>
  <si>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</si>
  <si>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</si>
  <si>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</si>
  <si>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</si>
  <si>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</si>
  <si>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</si>
  <si>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</si>
  <si>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</si>
  <si>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</si>
  <si>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</si>
  <si>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</si>
  <si>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</si>
  <si>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</si>
  <si>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</si>
  <si>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</si>
  <si>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</si>
  <si>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</si>
  <si>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</si>
  <si>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</si>
  <si>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</si>
  <si>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</si>
  <si>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</si>
  <si>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</si>
  <si>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</si>
  <si>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</si>
  <si>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</si>
  <si>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</si>
  <si>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</si>
  <si>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</si>
  <si>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</si>
  <si>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</si>
  <si>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</si>
  <si>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</si>
  <si>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</si>
  <si>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</si>
  <si>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</si>
  <si>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</si>
  <si>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</si>
  <si>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</si>
  <si>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</si>
  <si>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</si>
  <si>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</si>
  <si>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</si>
  <si>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</si>
  <si>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</si>
  <si>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</si>
  <si>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</si>
  <si>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</si>
  <si>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</si>
  <si>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</si>
  <si>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</si>
  <si>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</si>
  <si>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</si>
  <si>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</si>
  <si>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</si>
  <si>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</si>
  <si>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</si>
  <si>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</si>
  <si>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</si>
  <si>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</si>
  <si>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</si>
  <si>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</si>
  <si>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</si>
  <si>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</si>
  <si>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</si>
  <si>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</si>
  <si>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</si>
  <si>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</si>
  <si>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Near Playa del Carmen, Mexico</t>
  </si>
  <si>
    <t>Aerolatino (Aerocaribe)</t>
  </si>
  <si>
    <t>Holvox Island - Playa del Carmen</t>
  </si>
  <si>
    <t>XA-TCF</t>
  </si>
  <si>
    <t>Crashed 150 ft. short of the runway.</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</si>
  <si>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</si>
  <si>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</si>
  <si>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</si>
  <si>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</si>
  <si>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</si>
  <si>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</si>
  <si>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</si>
  <si>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</si>
  <si>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</si>
  <si>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</si>
  <si>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</si>
  <si>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</si>
  <si>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</si>
  <si>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</si>
  <si>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</si>
  <si>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</si>
  <si>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</si>
  <si>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</si>
  <si>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</si>
  <si>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</si>
  <si>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</si>
  <si>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</si>
  <si>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</si>
  <si>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</si>
  <si>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</si>
  <si>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</si>
  <si>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</si>
  <si>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</si>
  <si>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</si>
  <si>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</si>
  <si>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</si>
  <si>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The plane struck a mountain. Failure of the crew to monitor the aircraft's position and flight path relative to high terrain surrounding Jackson Hole Airport.</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</si>
  <si>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</si>
  <si>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</si>
  <si>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</si>
  <si>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</si>
  <si>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</si>
  <si>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</si>
  <si>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</si>
  <si>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</si>
  <si>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</si>
  <si>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</si>
  <si>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</si>
  <si>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</si>
  <si>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</si>
  <si>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</si>
  <si>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</si>
  <si>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</si>
  <si>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</si>
  <si>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</si>
  <si>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</si>
  <si>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</si>
  <si>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</si>
  <si>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</si>
  <si>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</si>
  <si>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</si>
  <si>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</si>
  <si>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</si>
  <si>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</si>
  <si>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</si>
  <si>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</si>
  <si>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</si>
  <si>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</si>
  <si>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</si>
  <si>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</si>
  <si>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Crashed on take off.</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</si>
  <si>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</si>
  <si>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</si>
  <si>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</si>
  <si>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</si>
  <si>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</si>
  <si>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</si>
  <si>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</si>
  <si>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</si>
  <si>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</si>
  <si>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 Poor communication and lack of training for the crew. Poor planning approach, the decision to leave late in the second round.  Structural deficiencies in engine control.</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</si>
  <si>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</si>
  <si>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</si>
  <si>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</si>
  <si>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</si>
  <si>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</si>
  <si>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</si>
  <si>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</si>
  <si>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</si>
  <si>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</si>
  <si>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</si>
  <si>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</si>
  <si>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</si>
  <si>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</si>
  <si>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</si>
  <si>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Near Tikal, Guatemala</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</si>
  <si>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</si>
  <si>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</si>
  <si>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</si>
  <si>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</si>
  <si>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</si>
  <si>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</si>
  <si>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</si>
  <si>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</si>
  <si>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</si>
  <si>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</si>
  <si>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</si>
  <si>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</si>
  <si>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</si>
  <si>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</si>
  <si>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</si>
  <si>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</si>
  <si>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</si>
  <si>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</si>
  <si>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</si>
  <si>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</si>
  <si>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</si>
  <si>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</si>
  <si>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BolchaÃ¯a Pyssa, Russia</t>
  </si>
  <si>
    <t>Komi Avia</t>
  </si>
  <si>
    <t>Most Pyssa - Koslan</t>
  </si>
  <si>
    <t>RA-40309</t>
  </si>
  <si>
    <t>1G221-39</t>
  </si>
  <si>
    <t>Lost altitude and crashed while en route in poor weather. Stall of the left wing due to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</si>
  <si>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</si>
  <si>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</si>
  <si>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</si>
  <si>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</si>
  <si>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</si>
  <si>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</si>
  <si>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</si>
  <si>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</si>
  <si>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</si>
  <si>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</si>
  <si>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Crashed 60 miles west of Cape Mendocino in the Pacific Ocean. The crew reported losing an engine, followed by complete electrical failure.</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</si>
  <si>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</si>
  <si>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</si>
  <si>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</si>
  <si>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</si>
  <si>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</si>
  <si>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</si>
  <si>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Abakan, Siberia, Russia</t>
  </si>
  <si>
    <t>Abakan - Petropavlosk - Kamchatsky</t>
  </si>
  <si>
    <t>RA-76804</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</si>
  <si>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</si>
  <si>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</si>
  <si>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</si>
  <si>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</si>
  <si>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</si>
  <si>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</si>
  <si>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</si>
  <si>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</si>
  <si>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</si>
  <si>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</si>
  <si>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</si>
  <si>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</si>
  <si>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</si>
  <si>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</si>
  <si>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</si>
  <si>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</si>
  <si>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</si>
  <si>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</si>
  <si>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</si>
  <si>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</si>
  <si>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The cargo plane crashed short of the runway while attempting to land.</t>
  </si>
  <si>
    <t>Narrows, Virginia</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</si>
  <si>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</si>
  <si>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</si>
  <si>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</si>
  <si>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</si>
  <si>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</si>
  <si>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</si>
  <si>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</si>
  <si>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</si>
  <si>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</si>
  <si>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</si>
  <si>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Near Nellore, India</t>
  </si>
  <si>
    <t>Tanbaram AFB - Hyderabad</t>
  </si>
  <si>
    <t>H1032</t>
  </si>
  <si>
    <t>Crashed while en route after the pilot reported an engine fire. Undetected cracks in the engine not detected during routine maintenance.</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</si>
  <si>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</si>
  <si>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</si>
  <si>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</si>
  <si>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</si>
  <si>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</si>
  <si>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</si>
  <si>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</si>
  <si>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</si>
  <si>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</si>
  <si>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</si>
  <si>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</si>
  <si>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</si>
  <si>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</si>
  <si>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</si>
  <si>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</si>
  <si>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</si>
  <si>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</si>
  <si>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</si>
  <si>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</si>
  <si>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</si>
  <si>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</si>
  <si>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</si>
  <si>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</si>
  <si>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</si>
  <si>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</si>
  <si>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</si>
  <si>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</si>
  <si>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</si>
  <si>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</si>
  <si>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</si>
  <si>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</si>
  <si>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</si>
  <si>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</si>
  <si>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</si>
  <si>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</si>
  <si>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</si>
  <si>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</si>
  <si>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</si>
  <si>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Transpolar</t>
  </si>
  <si>
    <t>Lima, Peru - Guatemala City, Guatemala</t>
  </si>
  <si>
    <t>YV-160CP</t>
  </si>
  <si>
    <t>Flew into a mountain while on approach.</t>
  </si>
  <si>
    <t>Lucapa, Angola</t>
  </si>
  <si>
    <t>ALADA</t>
  </si>
  <si>
    <t>Luanda - Lucapa</t>
  </si>
  <si>
    <t>D2-FVG</t>
  </si>
  <si>
    <t>Crashed short of the runway in dense fog while attempting to land a second time at Lucapa.</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</si>
  <si>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</si>
  <si>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</si>
  <si>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</si>
  <si>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</si>
  <si>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</si>
  <si>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</si>
  <si>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</si>
  <si>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</si>
  <si>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</si>
  <si>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</si>
  <si>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</si>
  <si>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</si>
  <si>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</si>
  <si>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</si>
  <si>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</si>
  <si>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</si>
  <si>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</si>
  <si>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</si>
  <si>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</si>
  <si>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</si>
  <si>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</si>
  <si>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</si>
  <si>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</si>
  <si>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</si>
  <si>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</si>
  <si>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</si>
  <si>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</si>
  <si>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</si>
  <si>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</si>
  <si>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</si>
  <si>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A stray bullet from training soldiers struck the landing plane, hitting an oxygen cylinder. A fire broke out and control of the plane was lost and it crashed.</t>
  </si>
  <si>
    <t>Near Sorei, Niger</t>
  </si>
  <si>
    <t>Military - Niger Air Force</t>
  </si>
  <si>
    <t>Lome - Niamey</t>
  </si>
  <si>
    <t>5U-MBD</t>
  </si>
  <si>
    <t>Crashed after an engine fire.</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</si>
  <si>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</si>
  <si>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</si>
  <si>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</si>
  <si>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</si>
  <si>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</si>
  <si>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</si>
  <si>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</si>
  <si>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</si>
  <si>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</si>
  <si>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</si>
  <si>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</si>
  <si>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</si>
  <si>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</si>
  <si>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</si>
  <si>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</si>
  <si>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</si>
  <si>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</si>
  <si>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</si>
  <si>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</si>
  <si>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</si>
  <si>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</si>
  <si>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</si>
  <si>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</si>
  <si>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</si>
  <si>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</si>
  <si>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</si>
  <si>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</si>
  <si>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</si>
  <si>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</si>
  <si>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Military - Colombian Army</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</si>
  <si>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</si>
  <si>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</si>
  <si>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</si>
  <si>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</si>
  <si>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</si>
  <si>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</si>
  <si>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</si>
  <si>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</si>
  <si>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</si>
  <si>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</si>
  <si>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</si>
  <si>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</si>
  <si>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</si>
  <si>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</si>
  <si>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</si>
  <si>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</si>
  <si>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</si>
  <si>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Calabar , Nigeria</t>
  </si>
  <si>
    <t>ADC Airlines</t>
  </si>
  <si>
    <t>Lagos - Calabar</t>
  </si>
  <si>
    <t>5N-BAA</t>
  </si>
  <si>
    <t>Overshot the runway in heavy rain and came to rest in brush.</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</si>
  <si>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</si>
  <si>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</si>
  <si>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</si>
  <si>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</si>
  <si>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</si>
  <si>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</si>
  <si>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</si>
  <si>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</si>
  <si>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</si>
  <si>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</si>
  <si>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</si>
  <si>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</si>
  <si>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</si>
  <si>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</si>
  <si>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</si>
  <si>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</si>
  <si>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</si>
  <si>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</si>
  <si>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</si>
  <si>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</si>
  <si>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</si>
  <si>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</si>
  <si>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</si>
  <si>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</si>
  <si>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</si>
  <si>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</si>
  <si>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</si>
  <si>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</si>
  <si>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</si>
  <si>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</si>
  <si>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</si>
  <si>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</si>
  <si>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</si>
  <si>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</si>
  <si>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</si>
  <si>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</si>
  <si>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</si>
  <si>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</si>
  <si>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</si>
  <si>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</si>
  <si>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</si>
  <si>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</si>
  <si>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</si>
  <si>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</si>
  <si>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</si>
  <si>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</si>
  <si>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</si>
  <si>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</si>
  <si>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</si>
  <si>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</si>
  <si>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</si>
  <si>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</si>
  <si>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</si>
  <si>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</si>
  <si>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</si>
  <si>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</si>
  <si>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</si>
  <si>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</si>
  <si>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</si>
  <si>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</si>
  <si>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</si>
  <si>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</si>
  <si>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</si>
  <si>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</si>
  <si>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</si>
  <si>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</si>
  <si>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</si>
  <si>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</si>
  <si>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</si>
  <si>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</si>
  <si>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</si>
  <si>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</si>
  <si>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</si>
  <si>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</si>
  <si>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</si>
  <si>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</si>
  <si>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</si>
  <si>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</si>
  <si>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</si>
  <si>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</si>
  <si>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</si>
  <si>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</si>
  <si>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</si>
  <si>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</si>
  <si>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</si>
  <si>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</si>
  <si>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</si>
  <si>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</si>
  <si>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</si>
  <si>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</si>
  <si>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</si>
  <si>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</si>
  <si>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</si>
  <si>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</si>
  <si>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</si>
  <si>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</si>
  <si>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</si>
  <si>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</si>
  <si>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</si>
  <si>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</si>
  <si>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</si>
  <si>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</si>
  <si>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</si>
  <si>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</si>
  <si>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</si>
  <si>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</si>
  <si>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</si>
  <si>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</si>
  <si>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</si>
  <si>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</si>
  <si>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</si>
  <si>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Atlantic Ocean, off Angola</t>
  </si>
  <si>
    <t>Renan Airways</t>
  </si>
  <si>
    <t>Abidjan - Rundu, Nambia</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</si>
  <si>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</si>
  <si>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</si>
  <si>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</si>
  <si>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</si>
  <si>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</si>
  <si>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</si>
  <si>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</si>
  <si>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</si>
  <si>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</si>
  <si>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</si>
  <si>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</si>
  <si>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</si>
  <si>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</si>
  <si>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</si>
  <si>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</si>
  <si>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</si>
  <si>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</si>
  <si>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</si>
  <si>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</si>
  <si>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</si>
  <si>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</si>
  <si>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</si>
  <si>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</si>
  <si>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XY-AES</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</si>
  <si>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</si>
  <si>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</si>
  <si>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</si>
  <si>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</si>
  <si>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</si>
  <si>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</si>
  <si>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</si>
  <si>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</si>
  <si>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</si>
  <si>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</si>
  <si>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</si>
  <si>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</si>
  <si>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</si>
  <si>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</si>
  <si>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</si>
  <si>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</si>
  <si>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</si>
  <si>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</si>
  <si>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</si>
  <si>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</si>
  <si>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</si>
  <si>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</si>
  <si>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</si>
  <si>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</si>
  <si>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</si>
  <si>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</si>
  <si>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</si>
  <si>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</si>
  <si>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</si>
  <si>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Mombasa, Kenya</t>
  </si>
  <si>
    <t>Air Memphis</t>
  </si>
  <si>
    <t>Mombasa, Kenya - Cairo, Egypt</t>
  </si>
  <si>
    <t>SU-PBA</t>
  </si>
  <si>
    <t>19843/735</t>
  </si>
  <si>
    <t>The cargo plane struck the approach lights as it took off from Runway 3, then struck a hill and disintegrated.</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</si>
  <si>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</si>
  <si>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</si>
  <si>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</si>
  <si>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</si>
  <si>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</si>
  <si>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</si>
  <si>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</si>
  <si>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</si>
  <si>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</si>
  <si>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</si>
  <si>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</si>
  <si>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</si>
  <si>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</si>
  <si>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</si>
  <si>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</si>
  <si>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</si>
  <si>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</si>
  <si>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</si>
  <si>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</si>
  <si>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</si>
  <si>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</si>
  <si>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</si>
  <si>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</si>
  <si>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</si>
  <si>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</si>
  <si>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</si>
  <si>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</si>
  <si>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</si>
  <si>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</si>
  <si>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</si>
  <si>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</si>
  <si>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</si>
  <si>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</si>
  <si>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</si>
  <si>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</si>
  <si>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</si>
  <si>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</si>
  <si>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</si>
  <si>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</si>
  <si>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</si>
  <si>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</si>
  <si>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</si>
  <si>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</si>
  <si>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</si>
  <si>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</si>
  <si>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</si>
  <si>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</si>
  <si>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</si>
  <si>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</si>
  <si>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</si>
  <si>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</si>
  <si>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</si>
  <si>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</si>
  <si>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</si>
  <si>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</si>
  <si>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</si>
  <si>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</si>
  <si>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</si>
  <si>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</si>
  <si>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</si>
  <si>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</si>
  <si>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</si>
  <si>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</si>
  <si>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</si>
  <si>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</si>
  <si>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</si>
  <si>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</si>
  <si>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</si>
  <si>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</si>
  <si>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The cargo plane lifted off from the runway, slowly sank and impacted the sea. The plane was grossly overloaded.</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</si>
  <si>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</si>
  <si>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</si>
  <si>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</si>
  <si>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</si>
  <si>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</si>
  <si>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</si>
  <si>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</si>
  <si>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</si>
  <si>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</si>
  <si>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</si>
  <si>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</si>
  <si>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</si>
  <si>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While on an ILS approach, the cargo plane struck a hill.</t>
  </si>
  <si>
    <t>Pico de Orizaba, Mexico</t>
  </si>
  <si>
    <t>Mexico City - Tuxtla GutiÃ©rrez</t>
  </si>
  <si>
    <t>XC-UTQ</t>
  </si>
  <si>
    <t>SH1946</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</si>
  <si>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</si>
  <si>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</si>
  <si>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</si>
  <si>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</si>
  <si>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</si>
  <si>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</si>
  <si>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</si>
  <si>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</si>
  <si>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</si>
  <si>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</si>
  <si>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</si>
  <si>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</si>
  <si>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</si>
  <si>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</si>
  <si>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</si>
  <si>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</si>
  <si>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</si>
  <si>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</si>
  <si>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</si>
  <si>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</si>
  <si>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</si>
  <si>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</si>
  <si>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</si>
  <si>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</si>
  <si>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</si>
  <si>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</si>
  <si>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</si>
  <si>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</si>
  <si>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</si>
  <si>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</si>
  <si>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</si>
  <si>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</si>
  <si>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</si>
  <si>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</si>
  <si>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</si>
  <si>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</si>
  <si>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</si>
  <si>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</si>
  <si>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</si>
  <si>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</si>
  <si>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</si>
  <si>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</si>
  <si>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</si>
  <si>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</si>
  <si>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</si>
  <si>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</si>
  <si>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</si>
  <si>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</si>
  <si>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</si>
  <si>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</si>
  <si>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</si>
  <si>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</si>
  <si>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</si>
  <si>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</si>
  <si>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</si>
  <si>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</si>
  <si>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</si>
  <si>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</si>
  <si>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</si>
  <si>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</si>
  <si>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</si>
  <si>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</si>
  <si>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</si>
  <si>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</si>
  <si>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</si>
  <si>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</si>
  <si>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</si>
  <si>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</si>
  <si>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</si>
  <si>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</si>
  <si>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Shot down by UNITA rebels 30 minutes after taking off.</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</si>
  <si>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</si>
  <si>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</si>
  <si>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</si>
  <si>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</si>
  <si>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</si>
  <si>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</si>
  <si>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</si>
  <si>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</si>
  <si>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</si>
  <si>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</si>
  <si>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</si>
  <si>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</si>
  <si>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</si>
  <si>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</si>
  <si>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</si>
  <si>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</si>
  <si>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</si>
  <si>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</si>
  <si>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</si>
  <si>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</si>
  <si>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</si>
  <si>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</si>
  <si>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</si>
  <si>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</si>
  <si>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</si>
  <si>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</si>
  <si>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</si>
  <si>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</si>
  <si>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</si>
  <si>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</si>
  <si>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</si>
  <si>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</si>
  <si>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</si>
  <si>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</si>
  <si>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</si>
  <si>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Yerevan, Armenia</t>
  </si>
  <si>
    <t>Ararat Avia</t>
  </si>
  <si>
    <t>Yerevan - Krasnodar</t>
  </si>
  <si>
    <t>EK-88272</t>
  </si>
  <si>
    <t>While attempting to take off, the aircraft struck a military bus as it crossed the runway.</t>
  </si>
  <si>
    <t>Rwenzori mountains, Uganda</t>
  </si>
  <si>
    <t>TanaMana Aviation</t>
  </si>
  <si>
    <t xml:space="preserve"> Entebbe - Kasese</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</si>
  <si>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</si>
  <si>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</si>
  <si>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</si>
  <si>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</si>
  <si>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</si>
  <si>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</si>
  <si>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</si>
  <si>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</si>
  <si>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</si>
  <si>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</si>
  <si>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</si>
  <si>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</si>
  <si>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</si>
  <si>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</si>
  <si>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</si>
  <si>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</si>
  <si>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</si>
  <si>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</si>
  <si>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</si>
  <si>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</si>
  <si>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</si>
  <si>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</si>
  <si>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</si>
  <si>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</si>
  <si>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</si>
  <si>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</si>
  <si>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</si>
  <si>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</si>
  <si>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</si>
  <si>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</si>
  <si>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</si>
  <si>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</si>
  <si>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</si>
  <si>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</si>
  <si>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</si>
  <si>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MedellÃ­n, Colombia</t>
  </si>
  <si>
    <t>BogotÃ¡ - MedellÃ­n</t>
  </si>
  <si>
    <t>Antonov 32B</t>
  </si>
  <si>
    <t>HK-3930X</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</si>
  <si>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</si>
  <si>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</si>
  <si>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</si>
  <si>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</si>
  <si>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</si>
  <si>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</si>
  <si>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</si>
  <si>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</si>
  <si>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</si>
  <si>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</si>
  <si>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</si>
  <si>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</si>
  <si>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</si>
  <si>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</si>
  <si>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</si>
  <si>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</si>
  <si>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</si>
  <si>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</si>
  <si>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</si>
  <si>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</si>
  <si>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</si>
  <si>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</si>
  <si>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</si>
  <si>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</si>
  <si>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</si>
  <si>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</si>
  <si>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</si>
  <si>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</si>
  <si>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</si>
  <si>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</si>
  <si>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</si>
  <si>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</si>
  <si>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</si>
  <si>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Bluefields, Nicaragua</t>
  </si>
  <si>
    <t>Fuerza AÃ©rea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</si>
  <si>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</si>
  <si>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</si>
  <si>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</si>
  <si>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</si>
  <si>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</si>
  <si>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</si>
  <si>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</si>
  <si>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</si>
  <si>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</si>
  <si>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</si>
  <si>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</si>
  <si>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</si>
  <si>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</si>
  <si>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</si>
  <si>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After taking off, the cargo plane lost the No. 3 engine. The crew tried to return to the airport but the plane lost altitude and crashed.</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</si>
  <si>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</si>
  <si>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</si>
  <si>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</si>
  <si>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</si>
  <si>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</si>
  <si>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</si>
  <si>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</si>
  <si>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</si>
  <si>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</si>
  <si>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</si>
  <si>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</si>
  <si>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</si>
  <si>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</si>
  <si>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</si>
  <si>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</si>
  <si>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</si>
  <si>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</si>
  <si>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</si>
  <si>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</si>
  <si>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</si>
  <si>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Crashed into Huirotico Hill. Wreckage found 4 days later.</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</si>
  <si>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</si>
  <si>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</si>
  <si>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</si>
  <si>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</si>
  <si>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</si>
  <si>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</si>
  <si>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</si>
  <si>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Learjet 24D</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</si>
  <si>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</si>
  <si>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</si>
  <si>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</si>
  <si>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</si>
  <si>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</si>
  <si>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</si>
  <si>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</si>
  <si>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</si>
  <si>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</si>
  <si>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</si>
  <si>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</si>
  <si>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</si>
  <si>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</si>
  <si>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</si>
  <si>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</si>
  <si>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</si>
  <si>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</si>
  <si>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</si>
  <si>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</si>
  <si>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</si>
  <si>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</si>
  <si>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</si>
  <si>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</si>
  <si>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</si>
  <si>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</si>
  <si>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</si>
  <si>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</si>
  <si>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</si>
  <si>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</si>
  <si>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</si>
  <si>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</si>
  <si>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</si>
  <si>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Failed to gain altitude while taking off and crashed. The plane was on a positioning flight to pick up passengers.</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</si>
  <si>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</si>
  <si>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</si>
  <si>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</si>
  <si>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</si>
  <si>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</si>
  <si>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</si>
  <si>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</si>
  <si>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</si>
  <si>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</si>
  <si>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</si>
  <si>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</si>
  <si>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</si>
  <si>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</si>
  <si>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</si>
  <si>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</si>
  <si>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</si>
  <si>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</si>
  <si>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</si>
  <si>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</si>
  <si>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</si>
  <si>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</si>
  <si>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</si>
  <si>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</si>
  <si>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</si>
  <si>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</si>
  <si>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</si>
  <si>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</si>
  <si>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</si>
  <si>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</si>
  <si>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</si>
  <si>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</si>
  <si>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</si>
  <si>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</si>
  <si>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</si>
  <si>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</si>
  <si>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</si>
  <si>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</si>
  <si>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</si>
  <si>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</si>
  <si>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</si>
  <si>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</si>
  <si>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</si>
  <si>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</si>
  <si>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</si>
  <si>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</si>
  <si>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</si>
  <si>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</si>
  <si>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</si>
  <si>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</si>
  <si>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</si>
  <si>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</si>
  <si>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</si>
  <si>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</si>
  <si>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</si>
  <si>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</si>
  <si>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</si>
  <si>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</si>
  <si>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</si>
  <si>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</si>
  <si>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</si>
  <si>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</si>
  <si>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</si>
  <si>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</si>
  <si>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</si>
  <si>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</si>
  <si>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</si>
  <si>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</si>
  <si>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</si>
  <si>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</si>
  <si>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</si>
  <si>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</si>
  <si>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</si>
  <si>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</si>
  <si>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</si>
  <si>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</si>
  <si>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</si>
  <si>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Turtkul, Uzbekistan</t>
  </si>
  <si>
    <t>Uzbekistan Airways</t>
  </si>
  <si>
    <t>Tashkent - Turtkul</t>
  </si>
  <si>
    <t>UK-87848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</si>
  <si>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</si>
  <si>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</si>
  <si>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</si>
  <si>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</si>
  <si>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</si>
  <si>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</si>
  <si>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</si>
  <si>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</si>
  <si>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</si>
  <si>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</si>
  <si>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</si>
  <si>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</si>
  <si>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</si>
  <si>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</si>
  <si>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</si>
  <si>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</si>
  <si>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</si>
  <si>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</si>
  <si>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</si>
  <si>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</si>
  <si>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</si>
  <si>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</si>
  <si>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</si>
  <si>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</si>
  <si>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</si>
  <si>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AÃ©reo</t>
  </si>
  <si>
    <t>Belem - Monte Dourado</t>
  </si>
  <si>
    <t>PT-ODK</t>
  </si>
  <si>
    <t>The cargo plane crashed while on approach.</t>
  </si>
  <si>
    <t>Mt. Hidalgo, Mexico</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</si>
  <si>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</si>
  <si>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</si>
  <si>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</si>
  <si>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</si>
  <si>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</si>
  <si>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San Carlos, Venezuela</t>
  </si>
  <si>
    <t>Military - Venezuelan Army</t>
  </si>
  <si>
    <t>La Carlota - Acarigua</t>
  </si>
  <si>
    <t>EV-8012</t>
  </si>
  <si>
    <t>Crashed during a rainstorm.</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</si>
  <si>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</si>
  <si>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</si>
  <si>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</si>
  <si>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</si>
  <si>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</si>
  <si>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</si>
  <si>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</si>
  <si>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</si>
  <si>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</si>
  <si>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</si>
  <si>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</si>
  <si>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</si>
  <si>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</si>
  <si>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</si>
  <si>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</si>
  <si>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</si>
  <si>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</si>
  <si>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</si>
  <si>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</si>
  <si>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</si>
  <si>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</si>
  <si>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</si>
  <si>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</si>
  <si>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</si>
  <si>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</si>
  <si>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</si>
  <si>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Near Bayombang, Philippines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</si>
  <si>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</si>
  <si>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</si>
  <si>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</si>
  <si>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</si>
  <si>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</si>
  <si>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</si>
  <si>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</si>
  <si>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</si>
  <si>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</si>
  <si>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</si>
  <si>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</si>
  <si>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</si>
  <si>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</si>
  <si>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</si>
  <si>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</si>
  <si>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</si>
  <si>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</si>
  <si>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</si>
  <si>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</si>
  <si>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</si>
  <si>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</si>
  <si>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</si>
  <si>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</si>
  <si>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</si>
  <si>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</si>
  <si>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</si>
  <si>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</si>
  <si>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</si>
  <si>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</si>
  <si>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</si>
  <si>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</si>
  <si>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</si>
  <si>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</si>
  <si>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</si>
  <si>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</si>
  <si>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</si>
  <si>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</si>
  <si>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</si>
  <si>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</si>
  <si>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</si>
  <si>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</si>
  <si>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</si>
  <si>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</si>
  <si>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</si>
  <si>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</si>
  <si>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</si>
  <si>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</si>
  <si>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</si>
  <si>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</si>
  <si>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</si>
  <si>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</si>
  <si>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</si>
  <si>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</si>
  <si>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</si>
  <si>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</si>
  <si>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</si>
  <si>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</si>
  <si>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</si>
  <si>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without clearance.</t>
  </si>
  <si>
    <t>Off Abidjan, Ivory Coast</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</si>
  <si>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</si>
  <si>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</si>
  <si>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</si>
  <si>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</si>
  <si>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</si>
  <si>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</si>
  <si>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</si>
  <si>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</si>
  <si>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</si>
  <si>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</si>
  <si>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</si>
  <si>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</si>
  <si>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</si>
  <si>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</si>
  <si>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</si>
  <si>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</si>
  <si>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</si>
  <si>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</si>
  <si>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</si>
  <si>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</si>
  <si>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</si>
  <si>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</si>
  <si>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</si>
  <si>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</si>
  <si>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</si>
  <si>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</si>
  <si>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</si>
  <si>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</si>
  <si>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</si>
  <si>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</si>
  <si>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</si>
  <si>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</si>
  <si>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</si>
  <si>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</si>
  <si>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</si>
  <si>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</si>
  <si>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</si>
  <si>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</si>
  <si>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</si>
  <si>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</si>
  <si>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</si>
  <si>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</si>
  <si>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Crashed while attempting to land in poor weather.</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</si>
  <si>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</si>
  <si>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</si>
  <si>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</si>
  <si>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</si>
  <si>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</si>
  <si>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</si>
  <si>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</si>
  <si>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</si>
  <si>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</si>
  <si>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</si>
  <si>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 Brake failure as the pilot attempted to avoid a hole in the runway.</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</si>
  <si>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</si>
  <si>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</si>
  <si>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</si>
  <si>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</si>
  <si>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</si>
  <si>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</si>
  <si>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</si>
  <si>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</si>
  <si>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</si>
  <si>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</si>
  <si>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</si>
  <si>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</si>
  <si>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</si>
  <si>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</si>
  <si>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</si>
  <si>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</si>
  <si>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</si>
  <si>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</si>
  <si>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</si>
  <si>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</si>
  <si>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</si>
  <si>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</si>
  <si>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</si>
  <si>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</si>
  <si>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</si>
  <si>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</si>
  <si>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</si>
  <si>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</si>
  <si>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</si>
  <si>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</si>
  <si>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</si>
  <si>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</si>
  <si>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</si>
  <si>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</si>
  <si>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</si>
  <si>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</si>
  <si>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</si>
  <si>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</si>
  <si>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</si>
  <si>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</si>
  <si>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</si>
  <si>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</si>
  <si>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</si>
  <si>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</si>
  <si>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</si>
  <si>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</si>
  <si>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</si>
  <si>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</si>
  <si>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</si>
  <si>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</si>
  <si>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</si>
  <si>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</si>
  <si>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</si>
  <si>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</si>
  <si>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</si>
  <si>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</si>
  <si>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</si>
  <si>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</si>
  <si>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</si>
  <si>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</si>
  <si>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</si>
  <si>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</si>
  <si>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</si>
  <si>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</si>
  <si>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</si>
  <si>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</si>
  <si>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</si>
  <si>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</si>
  <si>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</si>
  <si>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</si>
  <si>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</si>
  <si>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</si>
  <si>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</si>
  <si>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</si>
  <si>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</si>
  <si>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</si>
  <si>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</si>
  <si>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</si>
  <si>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</si>
  <si>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</si>
  <si>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</si>
  <si>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</si>
  <si>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</si>
  <si>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</si>
  <si>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</si>
  <si>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</si>
  <si>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</si>
  <si>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</si>
  <si>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</si>
  <si>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</si>
  <si>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</si>
  <si>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</si>
  <si>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</si>
  <si>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</si>
  <si>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</si>
  <si>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</si>
  <si>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</si>
  <si>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</si>
  <si>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</si>
  <si>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</si>
  <si>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</si>
  <si>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</si>
  <si>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</si>
  <si>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</si>
  <si>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</si>
  <si>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</si>
  <si>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</si>
  <si>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</si>
  <si>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</si>
  <si>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</si>
  <si>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</si>
  <si>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</si>
  <si>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</si>
  <si>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</si>
  <si>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</si>
  <si>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</si>
  <si>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</si>
  <si>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Nassau - Freeport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</si>
  <si>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</si>
  <si>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</si>
  <si>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</si>
  <si>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</si>
  <si>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</si>
  <si>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</si>
  <si>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</si>
  <si>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</si>
  <si>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</si>
  <si>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</si>
  <si>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</si>
  <si>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</si>
  <si>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Crashed on a training flight.</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</si>
  <si>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</si>
  <si>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</si>
  <si>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</si>
  <si>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</si>
  <si>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</si>
  <si>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</si>
  <si>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</si>
  <si>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</si>
  <si>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</si>
  <si>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</si>
  <si>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</si>
  <si>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</si>
  <si>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</si>
  <si>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</si>
  <si>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</si>
  <si>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</si>
  <si>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</si>
  <si>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</si>
  <si>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</si>
  <si>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</si>
  <si>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</si>
  <si>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</si>
  <si>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</si>
  <si>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</si>
  <si>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</si>
  <si>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</si>
  <si>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</si>
  <si>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</si>
  <si>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</si>
  <si>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</si>
  <si>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Mount Montezuma, Colombia</t>
  </si>
  <si>
    <t>Military - Fuerza AÃ©rea Colombiana</t>
  </si>
  <si>
    <t>FAC1659</t>
  </si>
  <si>
    <t>Flew into Mt. Montezuma.</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</si>
  <si>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</si>
  <si>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</si>
  <si>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</si>
  <si>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</si>
  <si>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</si>
  <si>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</si>
  <si>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</si>
  <si>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</si>
  <si>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</si>
  <si>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</si>
  <si>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</si>
  <si>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</si>
  <si>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</si>
  <si>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</si>
  <si>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</si>
  <si>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</si>
  <si>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</si>
  <si>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</si>
  <si>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</si>
  <si>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</si>
  <si>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</si>
  <si>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</si>
  <si>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</si>
  <si>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</si>
  <si>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</si>
  <si>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</si>
  <si>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</si>
  <si>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</si>
  <si>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</si>
  <si>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</si>
  <si>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</si>
  <si>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</si>
  <si>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</si>
  <si>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RDPL-34130</t>
  </si>
  <si>
    <t>The aircraft crashed into a mountain at 4,800 ft., in poor weather, while making an apporach to Sam Neua.</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</si>
  <si>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</si>
  <si>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</si>
  <si>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</si>
  <si>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</si>
  <si>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Near Monaquimbundo, Angola</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</si>
  <si>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</si>
  <si>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</si>
  <si>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</si>
  <si>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</si>
  <si>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</si>
  <si>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</si>
  <si>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</si>
  <si>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</si>
  <si>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</si>
  <si>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</si>
  <si>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</si>
  <si>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</si>
  <si>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</si>
  <si>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</si>
  <si>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</si>
  <si>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</si>
  <si>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</si>
  <si>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</si>
  <si>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</si>
  <si>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</si>
  <si>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</si>
  <si>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</si>
  <si>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</si>
  <si>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</si>
  <si>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</si>
  <si>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</si>
  <si>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</si>
  <si>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</si>
  <si>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</si>
  <si>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</si>
  <si>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</si>
  <si>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</si>
  <si>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</si>
  <si>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</si>
  <si>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</si>
  <si>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</si>
  <si>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</si>
  <si>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</si>
  <si>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</si>
  <si>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</si>
  <si>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</si>
  <si>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</si>
  <si>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</si>
  <si>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</si>
  <si>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</si>
  <si>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</si>
  <si>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</si>
  <si>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</si>
  <si>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</si>
  <si>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</si>
  <si>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</si>
  <si>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</si>
  <si>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</si>
  <si>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</si>
  <si>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</si>
  <si>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</si>
  <si>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</si>
  <si>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</si>
  <si>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</si>
  <si>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</si>
  <si>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</si>
  <si>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</si>
  <si>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</si>
  <si>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</si>
  <si>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</si>
  <si>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</si>
  <si>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</si>
  <si>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</si>
  <si>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</si>
  <si>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</si>
  <si>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</si>
  <si>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</si>
  <si>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</si>
  <si>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</si>
  <si>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</si>
  <si>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</si>
  <si>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</si>
  <si>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</si>
  <si>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</si>
  <si>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</si>
  <si>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</si>
  <si>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</si>
  <si>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</si>
  <si>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</si>
  <si>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</si>
  <si>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</si>
  <si>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</si>
  <si>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</si>
  <si>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</si>
  <si>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</si>
  <si>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</si>
  <si>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</si>
  <si>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</si>
  <si>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</si>
  <si>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</si>
  <si>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</si>
  <si>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</si>
  <si>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</si>
  <si>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</si>
  <si>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</si>
  <si>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</si>
  <si>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</si>
  <si>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</si>
  <si>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</si>
  <si>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</si>
  <si>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</si>
  <si>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 Moscow</t>
  </si>
  <si>
    <t>Tupolev 154M</t>
  </si>
  <si>
    <t>RA-85619</t>
  </si>
  <si>
    <t>86A-738</t>
  </si>
  <si>
    <t>The plane was hijacked and flown to Medina, Saudi Arabia. The plane was stormed and three people killed.</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</si>
  <si>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</si>
  <si>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</si>
  <si>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</si>
  <si>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</si>
  <si>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</si>
  <si>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</si>
  <si>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</si>
  <si>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While approaching Juanda for the 8th touch-and-go landing the aircraft banked to the left, crashed and caught fire.</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</si>
  <si>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</si>
  <si>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</si>
  <si>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</si>
  <si>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</si>
  <si>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</si>
  <si>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</si>
  <si>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</si>
  <si>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</si>
  <si>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</si>
  <si>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</si>
  <si>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</si>
  <si>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</si>
  <si>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</si>
  <si>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</si>
  <si>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</si>
  <si>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</si>
  <si>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</si>
  <si>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</si>
  <si>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</si>
  <si>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</si>
  <si>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</si>
  <si>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</si>
  <si>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</si>
  <si>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</si>
  <si>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</si>
  <si>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</si>
  <si>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</si>
  <si>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</si>
  <si>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</si>
  <si>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</si>
  <si>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</si>
  <si>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Argentina</t>
  </si>
  <si>
    <t>Mendoza - Parana</t>
  </si>
  <si>
    <t>TC-76</t>
  </si>
  <si>
    <t>Shortly after taking off the plane veered to the right and crashed into a field. Engine failure.</t>
  </si>
  <si>
    <t>Near Myakotino, Russia</t>
  </si>
  <si>
    <t>Rzhevsk - Morsansk</t>
  </si>
  <si>
    <t>Antonov 12MGA</t>
  </si>
  <si>
    <t>RA-12135</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</si>
  <si>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</si>
  <si>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</si>
  <si>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</si>
  <si>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</si>
  <si>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</si>
  <si>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</si>
  <si>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</si>
  <si>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</si>
  <si>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</si>
  <si>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</si>
  <si>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</si>
  <si>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</si>
  <si>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</si>
  <si>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</si>
  <si>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</si>
  <si>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</si>
  <si>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</si>
  <si>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</si>
  <si>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</si>
  <si>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</si>
  <si>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</si>
  <si>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</si>
  <si>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</si>
  <si>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</si>
  <si>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</si>
  <si>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</si>
  <si>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</si>
  <si>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</si>
  <si>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</si>
  <si>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</si>
  <si>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</si>
  <si>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</si>
  <si>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</si>
  <si>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</si>
  <si>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</si>
  <si>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</si>
  <si>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</si>
  <si>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</si>
  <si>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</si>
  <si>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</si>
  <si>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</si>
  <si>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</si>
  <si>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</si>
  <si>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</si>
  <si>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</si>
  <si>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</si>
  <si>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</si>
  <si>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</si>
  <si>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</si>
  <si>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</si>
  <si>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</si>
  <si>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</si>
  <si>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</si>
  <si>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</si>
  <si>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</si>
  <si>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</si>
  <si>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</si>
  <si>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</si>
  <si>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Binter MediterrÃ¡neo</t>
  </si>
  <si>
    <t>Melilla - MÃ¡laga</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</si>
  <si>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</si>
  <si>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</si>
  <si>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</si>
  <si>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</si>
  <si>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</si>
  <si>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</si>
  <si>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</si>
  <si>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</si>
  <si>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</si>
  <si>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</si>
  <si>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</si>
  <si>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</si>
  <si>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</si>
  <si>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</si>
  <si>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</si>
  <si>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</si>
  <si>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</si>
  <si>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</si>
  <si>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</si>
  <si>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</si>
  <si>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</si>
  <si>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</si>
  <si>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</si>
  <si>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</si>
  <si>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</si>
  <si>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</si>
  <si>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</si>
  <si>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</si>
  <si>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</si>
  <si>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</si>
  <si>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</si>
  <si>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</si>
  <si>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</si>
  <si>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</si>
  <si>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</si>
  <si>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</si>
  <si>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The aircraft was taking off from Guatemala's Aurora Airport when it lost power in one of it's engines and crashed to the ground.</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</si>
  <si>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</si>
  <si>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</si>
  <si>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</si>
  <si>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</si>
  <si>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</si>
  <si>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</si>
  <si>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</si>
  <si>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</si>
  <si>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</si>
  <si>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</si>
  <si>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</si>
  <si>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</si>
  <si>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</si>
  <si>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</si>
  <si>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</si>
  <si>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</si>
  <si>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</si>
  <si>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</si>
  <si>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</si>
  <si>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</si>
  <si>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</si>
  <si>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</si>
  <si>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</si>
  <si>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</si>
  <si>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</si>
  <si>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</si>
  <si>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</si>
  <si>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</si>
  <si>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</si>
  <si>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</si>
  <si>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</si>
  <si>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</si>
  <si>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</si>
  <si>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</si>
  <si>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</si>
  <si>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</si>
  <si>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</si>
  <si>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</si>
  <si>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</si>
  <si>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</si>
  <si>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</si>
  <si>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</si>
  <si>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</si>
  <si>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</si>
  <si>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</si>
  <si>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</si>
  <si>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</si>
  <si>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</si>
  <si>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</si>
  <si>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</si>
  <si>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</si>
  <si>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</si>
  <si>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</si>
  <si>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</si>
  <si>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</si>
  <si>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</si>
  <si>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</si>
  <si>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</si>
  <si>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</si>
  <si>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</si>
  <si>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</si>
  <si>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</si>
  <si>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</si>
  <si>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</si>
  <si>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</si>
  <si>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</si>
  <si>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</si>
  <si>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</si>
  <si>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</si>
  <si>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</si>
  <si>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</si>
  <si>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</si>
  <si>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</si>
  <si>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</si>
  <si>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</si>
  <si>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</si>
  <si>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</si>
  <si>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</si>
  <si>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</si>
  <si>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</si>
  <si>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</si>
  <si>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</si>
  <si>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</si>
  <si>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</si>
  <si>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</si>
  <si>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</si>
  <si>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</si>
  <si>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Geti, Democratic Republic Congo</t>
  </si>
  <si>
    <t>Eagle Air</t>
  </si>
  <si>
    <t>Bunia - Beni</t>
  </si>
  <si>
    <t>Let 410A</t>
  </si>
  <si>
    <t>5X-CNF</t>
  </si>
  <si>
    <t>The plane may have been shot down by Allied Democratic Forces rebels.</t>
  </si>
  <si>
    <t>Heliandes</t>
  </si>
  <si>
    <t>HK-4175X</t>
  </si>
  <si>
    <t>The aircraft crashed into El Silencio de El manzanillo mountain at 7,800 ft., 3 minutes after taking off in heavy rain and poor visibility from Medellin Airport.</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</si>
  <si>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</si>
  <si>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</si>
  <si>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</si>
  <si>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</si>
  <si>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</si>
  <si>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</si>
  <si>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Birmingham, England</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</si>
  <si>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</si>
  <si>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</si>
  <si>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</si>
  <si>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</si>
  <si>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</si>
  <si>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</si>
  <si>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</si>
  <si>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</si>
  <si>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</si>
  <si>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</si>
  <si>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AÃ©rea</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</si>
  <si>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</si>
  <si>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</si>
  <si>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</si>
  <si>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</si>
  <si>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</si>
  <si>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</si>
  <si>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</si>
  <si>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</si>
  <si>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</si>
  <si>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</si>
  <si>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</si>
  <si>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</si>
  <si>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</si>
  <si>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</si>
  <si>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</si>
  <si>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</si>
  <si>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</si>
  <si>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</si>
  <si>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</si>
  <si>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</si>
  <si>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</si>
  <si>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</si>
  <si>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</si>
  <si>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</si>
  <si>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</si>
  <si>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</si>
  <si>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</si>
  <si>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</si>
  <si>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</si>
  <si>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</si>
  <si>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</si>
  <si>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</si>
  <si>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</si>
  <si>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</si>
  <si>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</si>
  <si>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</si>
  <si>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</si>
  <si>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</si>
  <si>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</si>
  <si>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</si>
  <si>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</si>
  <si>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</si>
  <si>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</si>
  <si>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</si>
  <si>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</si>
  <si>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</si>
  <si>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</si>
  <si>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</si>
  <si>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</si>
  <si>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</si>
  <si>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</si>
  <si>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</si>
  <si>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</si>
  <si>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</si>
  <si>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</si>
  <si>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</si>
  <si>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</si>
  <si>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</si>
  <si>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</si>
  <si>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</si>
  <si>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</si>
  <si>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</si>
  <si>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</si>
  <si>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Off Djibouti, Republic of Djibouti</t>
  </si>
  <si>
    <t>Djibouti Airlines</t>
  </si>
  <si>
    <t>Mogadishu, Somalia - Djibouti</t>
  </si>
  <si>
    <t>J2-KBC</t>
  </si>
  <si>
    <t>The cargo plane crashed into the ocean while on approach to Runway 27.</t>
  </si>
  <si>
    <t>Palma de Mallorca, Spain</t>
  </si>
  <si>
    <t>Tadair</t>
  </si>
  <si>
    <t>Madrid - Palma de Mallorca</t>
  </si>
  <si>
    <t>EC-GKR</t>
  </si>
  <si>
    <t>AC-620</t>
  </si>
  <si>
    <t>The cargo plane crashed into lights near the runway threshold while attempting to land on Runway 24L.</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</si>
  <si>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</si>
  <si>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</si>
  <si>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</si>
  <si>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</si>
  <si>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</si>
  <si>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</si>
  <si>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</si>
  <si>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</si>
  <si>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</si>
  <si>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</si>
  <si>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</si>
  <si>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</si>
  <si>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</si>
  <si>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</si>
  <si>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</si>
  <si>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</si>
  <si>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</si>
  <si>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</si>
  <si>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</si>
  <si>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</si>
  <si>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</si>
  <si>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</si>
  <si>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</si>
  <si>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</si>
  <si>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</si>
  <si>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</si>
  <si>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</si>
  <si>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</si>
  <si>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</si>
  <si>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</si>
  <si>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</si>
  <si>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</si>
  <si>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</si>
  <si>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</si>
  <si>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</si>
  <si>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</si>
  <si>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</si>
  <si>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</si>
  <si>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</si>
  <si>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</si>
  <si>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</si>
  <si>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</si>
  <si>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</si>
  <si>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</si>
  <si>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</si>
  <si>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</si>
  <si>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</si>
  <si>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</si>
  <si>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</si>
  <si>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</si>
  <si>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</si>
  <si>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</si>
  <si>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</si>
  <si>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</si>
  <si>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</si>
  <si>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</si>
  <si>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</si>
  <si>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</si>
  <si>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</si>
  <si>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</si>
  <si>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</si>
  <si>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</si>
  <si>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</si>
  <si>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</si>
  <si>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</si>
  <si>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</si>
  <si>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</si>
  <si>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</si>
  <si>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</si>
  <si>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</si>
  <si>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</si>
  <si>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</si>
  <si>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</si>
  <si>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</si>
  <si>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</si>
  <si>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</si>
  <si>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</si>
  <si>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</si>
  <si>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</si>
  <si>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Surkhet, Nepal</t>
  </si>
  <si>
    <t>Jumla - Surkhet</t>
  </si>
  <si>
    <t>9N-AGF</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</si>
  <si>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</si>
  <si>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</si>
  <si>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</si>
  <si>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</si>
  <si>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</si>
  <si>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</si>
  <si>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</si>
  <si>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</si>
  <si>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</si>
  <si>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</si>
  <si>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</si>
  <si>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</si>
  <si>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</si>
  <si>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</si>
  <si>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</si>
  <si>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</si>
  <si>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</si>
  <si>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</si>
  <si>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</si>
  <si>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</si>
  <si>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</si>
  <si>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</si>
  <si>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</si>
  <si>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</si>
  <si>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</si>
  <si>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</si>
  <si>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</si>
  <si>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</si>
  <si>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</si>
  <si>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</si>
  <si>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</si>
  <si>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</si>
  <si>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</si>
  <si>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</si>
  <si>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Rico Taxi AÃ©reo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</si>
  <si>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</si>
  <si>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</si>
  <si>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</si>
  <si>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</si>
  <si>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</si>
  <si>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</si>
  <si>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</si>
  <si>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</si>
  <si>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</si>
  <si>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</si>
  <si>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</si>
  <si>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</si>
  <si>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</si>
  <si>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</si>
  <si>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</si>
  <si>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</si>
  <si>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</si>
  <si>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</si>
  <si>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</si>
  <si>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</si>
  <si>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</si>
  <si>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Niederanven, Luxembourg</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</si>
  <si>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</si>
  <si>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</si>
  <si>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</si>
  <si>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</si>
  <si>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</si>
  <si>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</si>
  <si>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</si>
  <si>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</si>
  <si>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</si>
  <si>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</si>
  <si>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</si>
  <si>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</si>
  <si>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</si>
  <si>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</si>
  <si>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</si>
  <si>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</si>
  <si>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</si>
  <si>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</si>
  <si>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</si>
  <si>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</si>
  <si>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</si>
  <si>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</si>
  <si>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</si>
  <si>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</si>
  <si>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The plane crashed after developing engine trouble while flying from one airstrip to another in the Masai Mara National Reserve. The copilot was the only fatality.</t>
  </si>
  <si>
    <t>Gohu Airstrip, Papua New Guinea</t>
  </si>
  <si>
    <t>Island Airways Ltd.</t>
  </si>
  <si>
    <t>Gohu - Madang</t>
  </si>
  <si>
    <t>P2-CBB</t>
  </si>
  <si>
    <t>The aircraft flew into the side of a cliff during it's inaugural flight from Gohu Airstrip in the Finisterre Mountains.</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</si>
  <si>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</si>
  <si>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</si>
  <si>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</si>
  <si>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</si>
  <si>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</si>
  <si>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</si>
  <si>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</si>
  <si>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Transasia Airways</t>
  </si>
  <si>
    <t>Taipei - Macau</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</si>
  <si>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</si>
  <si>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</si>
  <si>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</si>
  <si>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</si>
  <si>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</si>
  <si>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</si>
  <si>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</si>
  <si>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</si>
  <si>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Embraer-110 C-95B Bandeirante</t>
  </si>
  <si>
    <t>FAB-2292</t>
  </si>
  <si>
    <t>The plane diverted from it's original route to make an emergency landing at Curitiba after experiencing engine trouble and crashed 3.5km short of the runway.</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</si>
  <si>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</si>
  <si>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</si>
  <si>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</si>
  <si>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</si>
  <si>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</si>
  <si>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</si>
  <si>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</si>
  <si>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</si>
  <si>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</si>
  <si>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</si>
  <si>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</si>
  <si>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</si>
  <si>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</si>
  <si>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</si>
  <si>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</si>
  <si>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</si>
  <si>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</si>
  <si>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</si>
  <si>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</si>
  <si>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</si>
  <si>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</si>
  <si>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</si>
  <si>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</si>
  <si>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</si>
  <si>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</si>
  <si>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</si>
  <si>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</si>
  <si>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</si>
  <si>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</si>
  <si>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</si>
  <si>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</si>
  <si>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</si>
  <si>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</si>
  <si>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</si>
  <si>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</si>
  <si>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</si>
  <si>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</si>
  <si>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</si>
  <si>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</si>
  <si>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</si>
  <si>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</si>
  <si>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</si>
  <si>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</si>
  <si>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</si>
  <si>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</si>
  <si>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</si>
  <si>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</si>
  <si>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</si>
  <si>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</si>
  <si>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</si>
  <si>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</si>
  <si>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</si>
  <si>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</si>
  <si>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</si>
  <si>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</si>
  <si>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</si>
  <si>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</si>
  <si>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</si>
  <si>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</si>
  <si>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</si>
  <si>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</si>
  <si>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</si>
  <si>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</si>
  <si>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</si>
  <si>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</si>
  <si>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</si>
  <si>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</si>
  <si>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</si>
  <si>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</si>
  <si>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</si>
  <si>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</si>
  <si>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</si>
  <si>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</si>
  <si>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</si>
  <si>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</si>
  <si>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</si>
  <si>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</si>
  <si>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</si>
  <si>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</si>
  <si>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</si>
  <si>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</si>
  <si>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</si>
  <si>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</si>
  <si>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</si>
  <si>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</si>
  <si>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</si>
  <si>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</si>
  <si>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</si>
  <si>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</si>
  <si>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</si>
  <si>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</si>
  <si>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</si>
  <si>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</si>
  <si>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</si>
  <si>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</si>
  <si>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</si>
  <si>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</si>
  <si>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</si>
  <si>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</si>
  <si>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</si>
  <si>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</si>
  <si>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</si>
  <si>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</si>
  <si>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</si>
  <si>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</si>
  <si>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</si>
  <si>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</si>
  <si>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</si>
  <si>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</si>
  <si>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</si>
  <si>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</si>
  <si>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</si>
  <si>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</si>
  <si>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</si>
  <si>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</si>
  <si>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</si>
  <si>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</si>
  <si>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</si>
  <si>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</si>
  <si>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</si>
  <si>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</si>
  <si>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</si>
  <si>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</si>
  <si>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</si>
  <si>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</si>
  <si>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</si>
  <si>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</si>
  <si>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</si>
  <si>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</si>
  <si>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</si>
  <si>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</si>
  <si>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</si>
  <si>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</si>
  <si>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</si>
  <si>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</si>
  <si>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</si>
  <si>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</si>
  <si>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</si>
  <si>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</si>
  <si>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</si>
  <si>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</si>
  <si>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</si>
  <si>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Cessna 180H</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</si>
  <si>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</si>
  <si>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</si>
  <si>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Comvac Aviation</t>
  </si>
  <si>
    <t>Cessna 208B Grand Caravan</t>
  </si>
  <si>
    <t>V5-CAS</t>
  </si>
  <si>
    <t>208B-0549</t>
  </si>
  <si>
    <t>Shortly after taking off the air ambulance hit a hill side in the Gamsberg Mountains.</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</si>
  <si>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</si>
  <si>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</si>
  <si>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</si>
  <si>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</si>
  <si>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</si>
  <si>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</si>
  <si>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</si>
  <si>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</si>
  <si>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</si>
  <si>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</si>
  <si>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</si>
  <si>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</si>
  <si>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</si>
  <si>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</si>
  <si>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</si>
  <si>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</si>
  <si>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</si>
  <si>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</si>
  <si>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</si>
  <si>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</si>
  <si>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</si>
  <si>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</si>
  <si>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</si>
  <si>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</si>
  <si>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</si>
  <si>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</si>
  <si>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</si>
  <si>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</si>
  <si>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</si>
  <si>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</si>
  <si>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</si>
  <si>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</si>
  <si>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</si>
  <si>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</si>
  <si>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</si>
  <si>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</si>
  <si>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</si>
  <si>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</si>
  <si>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</si>
  <si>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</si>
  <si>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</si>
  <si>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</si>
  <si>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</si>
  <si>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</si>
  <si>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</si>
  <si>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</si>
  <si>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</si>
  <si>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</si>
  <si>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</si>
  <si>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</si>
  <si>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</si>
  <si>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</si>
  <si>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</si>
  <si>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</si>
  <si>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</si>
  <si>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</si>
  <si>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</si>
  <si>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</si>
  <si>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</si>
  <si>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</si>
  <si>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</si>
  <si>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</si>
  <si>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</si>
  <si>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</si>
  <si>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</si>
  <si>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</si>
  <si>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</si>
  <si>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</si>
  <si>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</si>
  <si>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</si>
  <si>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</si>
  <si>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</si>
  <si>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</si>
  <si>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</si>
  <si>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</si>
  <si>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</si>
  <si>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</si>
  <si>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</si>
  <si>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</si>
  <si>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Crashed while en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</si>
  <si>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</si>
  <si>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</si>
  <si>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</si>
  <si>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</si>
  <si>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</si>
  <si>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</si>
  <si>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</si>
  <si>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</si>
  <si>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</si>
  <si>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GaspÃ©, Quebec, Canada</t>
  </si>
  <si>
    <t>Les Ailes de GaspÃ© Inc.</t>
  </si>
  <si>
    <t>GaspÃ© - ÃŽles-de-la-Madeleine</t>
  </si>
  <si>
    <t>Piper 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</si>
  <si>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</si>
  <si>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</si>
  <si>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</si>
  <si>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</si>
  <si>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</si>
  <si>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</si>
  <si>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</si>
  <si>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</si>
  <si>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</si>
  <si>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</si>
  <si>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</si>
  <si>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</si>
  <si>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</si>
  <si>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</si>
  <si>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</si>
  <si>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</si>
  <si>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</si>
  <si>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</si>
  <si>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</si>
  <si>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</si>
  <si>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</si>
  <si>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</si>
  <si>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</si>
  <si>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</si>
  <si>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</si>
  <si>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</si>
  <si>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</si>
  <si>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</si>
  <si>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</si>
  <si>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</si>
  <si>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</si>
  <si>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</si>
  <si>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</si>
  <si>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</si>
  <si>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</si>
  <si>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</si>
  <si>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</si>
  <si>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</si>
  <si>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</si>
  <si>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</si>
  <si>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</si>
  <si>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</si>
  <si>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</si>
  <si>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</si>
  <si>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</si>
  <si>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</si>
  <si>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</si>
  <si>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</si>
  <si>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Mosul, Iraq</t>
  </si>
  <si>
    <t>UH-60 Black Hawk / UH-60 Black Hawk</t>
  </si>
  <si>
    <t>? / ?</t>
  </si>
  <si>
    <t>A midair collision occurred between two Black Hawk helicopters. One helicopter was climbing to avoid gunfire when it's rotor struck the other.</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</si>
  <si>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</si>
  <si>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</si>
  <si>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</si>
  <si>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</si>
  <si>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</si>
  <si>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</si>
  <si>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</si>
  <si>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</si>
  <si>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</si>
  <si>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</si>
  <si>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</si>
  <si>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</si>
  <si>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</si>
  <si>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Crashed into Blackwater Lake shortly after taking off from a remote landing strip.</t>
  </si>
  <si>
    <t>LÃ­neas AÃ©reas Suramericanas</t>
  </si>
  <si>
    <t>Douglas DC-9-15F</t>
  </si>
  <si>
    <t>HK-4246X</t>
  </si>
  <si>
    <t>While on approach to , the cargo plane obtained the authorization to descend from 23,000 to 7,000 ft. but  disappeared from radar screen when it struck a mountain. Wreckage was found 5 days later.</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</si>
  <si>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</si>
  <si>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</si>
  <si>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</si>
  <si>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</si>
  <si>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</si>
  <si>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</si>
  <si>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</si>
  <si>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</si>
  <si>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</si>
  <si>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</si>
  <si>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</si>
  <si>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</si>
  <si>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</si>
  <si>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</si>
  <si>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</si>
  <si>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</si>
  <si>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</si>
  <si>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</si>
  <si>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</si>
  <si>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</si>
  <si>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UK-87985</t>
  </si>
  <si>
    <t>Crashed while attempting to land in heavy fog. The aircraft struck a stanchion of approach lights and flipped over, hitting the outside of a wall surrounding the landing area. Crew error.</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</si>
  <si>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</si>
  <si>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</si>
  <si>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</si>
  <si>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</si>
  <si>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</si>
  <si>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</si>
  <si>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</si>
  <si>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</si>
  <si>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</si>
  <si>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</si>
  <si>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</si>
  <si>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Bakou, Azerbaijan 	 Bakou, Azerbaijan</t>
  </si>
  <si>
    <t>Azov Avia Airlines</t>
  </si>
  <si>
    <t>Ankara - Baku - Kabul</t>
  </si>
  <si>
    <t>UR-ZVA</t>
  </si>
  <si>
    <t>Shortly after taking off and climbing to about 150 feet, the aircraft pitch down and crashed into a field 4 km from the airport.</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</si>
  <si>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</si>
  <si>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</si>
  <si>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</si>
  <si>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</si>
  <si>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</si>
  <si>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</si>
  <si>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</si>
  <si>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</si>
  <si>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</si>
  <si>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</si>
  <si>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</si>
  <si>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</si>
  <si>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</si>
  <si>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</si>
  <si>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</si>
  <si>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</si>
  <si>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</si>
  <si>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</si>
  <si>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</si>
  <si>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</si>
  <si>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</si>
  <si>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</si>
  <si>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</si>
  <si>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</si>
  <si>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</si>
  <si>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</si>
  <si>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</si>
  <si>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</si>
  <si>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</si>
  <si>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</si>
  <si>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</si>
  <si>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</si>
  <si>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</si>
  <si>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</si>
  <si>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</si>
  <si>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</si>
  <si>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</si>
  <si>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</si>
  <si>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</si>
  <si>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</si>
  <si>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</si>
  <si>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</si>
  <si>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</si>
  <si>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</si>
  <si>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</si>
  <si>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</si>
  <si>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</si>
  <si>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</si>
  <si>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</si>
  <si>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</si>
  <si>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</si>
  <si>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</si>
  <si>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While en route the cargo plane collided with another Let 410 of the same operator. The first aircraft crashed killing both pilots while the second  made a safe landing.</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</si>
  <si>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</si>
  <si>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</si>
  <si>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</si>
  <si>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</si>
  <si>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</si>
  <si>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</si>
  <si>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</si>
  <si>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</si>
  <si>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</si>
  <si>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</si>
  <si>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</si>
  <si>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</si>
  <si>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</si>
  <si>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</si>
  <si>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</si>
  <si>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</si>
  <si>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</si>
  <si>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</si>
  <si>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</si>
  <si>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</si>
  <si>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</si>
  <si>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</si>
  <si>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</si>
  <si>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</si>
  <si>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</si>
  <si>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</si>
  <si>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</si>
  <si>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</si>
  <si>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</si>
  <si>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</si>
  <si>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</si>
  <si>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</si>
  <si>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</si>
  <si>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</si>
  <si>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</si>
  <si>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</si>
  <si>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</si>
  <si>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</si>
  <si>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</si>
  <si>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</si>
  <si>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</si>
  <si>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</si>
  <si>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</si>
  <si>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</si>
  <si>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</si>
  <si>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</si>
  <si>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</si>
  <si>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</si>
  <si>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</si>
  <si>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</si>
  <si>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</si>
  <si>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</si>
  <si>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</si>
  <si>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</si>
  <si>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</si>
  <si>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</si>
  <si>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</si>
  <si>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</si>
  <si>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</si>
  <si>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</si>
  <si>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</si>
  <si>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</si>
  <si>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</si>
  <si>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</si>
  <si>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</si>
  <si>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</si>
  <si>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</si>
  <si>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</si>
  <si>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</si>
  <si>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</si>
  <si>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</si>
  <si>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</si>
  <si>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</si>
  <si>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</si>
  <si>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</si>
  <si>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</si>
  <si>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</si>
  <si>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</si>
  <si>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</si>
  <si>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</si>
  <si>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</si>
  <si>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</si>
  <si>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</si>
  <si>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</si>
  <si>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</si>
  <si>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</si>
  <si>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</si>
  <si>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</si>
  <si>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</si>
  <si>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</si>
  <si>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</si>
  <si>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</si>
  <si>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</si>
  <si>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</si>
  <si>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</si>
  <si>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Aerovanguardia</t>
  </si>
  <si>
    <t>Villavicencio - Medellin</t>
  </si>
  <si>
    <t>HK-1503</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</si>
  <si>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</si>
  <si>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</si>
  <si>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</si>
  <si>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</si>
  <si>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</si>
  <si>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</si>
  <si>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</si>
  <si>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</si>
  <si>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</si>
  <si>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</si>
  <si>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</si>
  <si>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</si>
  <si>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</si>
  <si>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</si>
  <si>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</si>
  <si>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</si>
  <si>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</si>
  <si>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</si>
  <si>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</si>
  <si>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</si>
  <si>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</si>
  <si>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</si>
  <si>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</si>
  <si>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</si>
  <si>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</si>
  <si>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</si>
  <si>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</si>
  <si>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</si>
  <si>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</si>
  <si>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</si>
  <si>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</si>
  <si>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</si>
  <si>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</si>
  <si>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</si>
  <si>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</si>
  <si>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</si>
  <si>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</si>
  <si>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</si>
  <si>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</si>
  <si>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</si>
  <si>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</si>
  <si>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</si>
  <si>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</si>
  <si>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</si>
  <si>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</si>
  <si>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</si>
  <si>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</si>
  <si>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</si>
  <si>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</si>
  <si>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</si>
  <si>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</si>
  <si>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</si>
  <si>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</si>
  <si>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</si>
  <si>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</si>
  <si>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</si>
  <si>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</si>
  <si>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</si>
  <si>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</si>
  <si>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</si>
  <si>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</si>
  <si>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</si>
  <si>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</si>
  <si>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</si>
  <si>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</si>
  <si>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</si>
  <si>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</si>
  <si>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</si>
  <si>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</si>
  <si>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ER-IBW</t>
  </si>
  <si>
    <t>A forward emergency exit opened in flight causing one of the crew members to be sucked out. An emergency landing was made in Jeddah.</t>
  </si>
  <si>
    <t>Uberaba, Brazil</t>
  </si>
  <si>
    <t>NHR TÃ¡xi-AÃ©reo</t>
  </si>
  <si>
    <t>Sao Paulo - Uberaba</t>
  </si>
  <si>
    <t>PT-WAK</t>
  </si>
  <si>
    <t>The crew was performing a mail flight under Total Linhas AÃ©reas from Sao Paulo-Guarulhos airport to Uberaba. While on final approach at night, the cargo plane crashed into houses located short of runway and burned.</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</si>
  <si>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</si>
  <si>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</si>
  <si>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</si>
  <si>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</si>
  <si>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</si>
  <si>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</si>
  <si>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</si>
  <si>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</si>
  <si>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</si>
  <si>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</si>
  <si>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Keene, New Hampshire</t>
  </si>
  <si>
    <t>AirNow</t>
  </si>
  <si>
    <t>Bangor, ME - Concord, NH</t>
  </si>
  <si>
    <t>N49BA</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</si>
  <si>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</si>
  <si>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</si>
  <si>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</si>
  <si>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</si>
  <si>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</si>
  <si>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</si>
  <si>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</si>
  <si>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</si>
  <si>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</si>
  <si>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</si>
  <si>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</si>
  <si>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The cargo plane was attempting to land in a snowstorm when it turned left and descended until it crashed a mile from the airport.</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</si>
  <si>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</si>
  <si>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</si>
  <si>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</si>
  <si>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</si>
  <si>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</si>
  <si>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</si>
  <si>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</si>
  <si>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</si>
  <si>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</si>
  <si>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</si>
  <si>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</si>
  <si>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</si>
  <si>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</si>
  <si>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</si>
  <si>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</si>
  <si>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</si>
  <si>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</si>
  <si>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</si>
  <si>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</si>
  <si>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</si>
  <si>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</si>
  <si>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</si>
  <si>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</si>
  <si>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</si>
  <si>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</si>
  <si>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</si>
  <si>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</si>
  <si>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</si>
  <si>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</si>
  <si>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</si>
  <si>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</si>
  <si>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</si>
  <si>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</si>
  <si>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</si>
  <si>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</si>
  <si>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</si>
  <si>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</si>
  <si>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</si>
  <si>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</si>
  <si>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</si>
  <si>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While on final approach, the air ambulance crashed into the sea at night and in poor visibility.</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</si>
  <si>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</si>
  <si>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</si>
  <si>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</si>
  <si>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</si>
  <si>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</si>
  <si>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</si>
  <si>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</si>
  <si>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</si>
  <si>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</si>
  <si>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The cargo plane, after takeoff and climbing lost altitude and crashed into Lake Victoria.</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</si>
  <si>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</si>
  <si>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</si>
  <si>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</si>
  <si>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</si>
  <si>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</si>
  <si>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</si>
  <si>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</si>
  <si>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</si>
  <si>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</si>
  <si>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</si>
  <si>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</si>
  <si>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</si>
  <si>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</si>
  <si>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</si>
  <si>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</si>
  <si>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</si>
  <si>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</si>
  <si>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</si>
  <si>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</si>
  <si>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</si>
  <si>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</si>
  <si>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</si>
  <si>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</si>
  <si>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</si>
  <si>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</si>
  <si>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</si>
  <si>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</si>
  <si>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</si>
  <si>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</si>
  <si>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</si>
  <si>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</si>
  <si>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</si>
  <si>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</si>
  <si>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</si>
  <si>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</si>
  <si>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</si>
  <si>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</si>
  <si>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</si>
  <si>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</si>
  <si>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</si>
  <si>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</si>
  <si>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</si>
  <si>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</si>
  <si>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</si>
  <si>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</si>
  <si>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</si>
  <si>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</si>
  <si>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</si>
  <si>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</si>
  <si>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</si>
  <si>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</si>
  <si>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</si>
  <si>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</si>
  <si>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</si>
  <si>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</si>
  <si>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</si>
  <si>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</si>
  <si>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</si>
  <si>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</si>
  <si>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</si>
  <si>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</si>
  <si>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</si>
  <si>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</si>
  <si>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</si>
  <si>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</si>
  <si>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</si>
  <si>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</si>
  <si>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</si>
  <si>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</si>
  <si>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</si>
  <si>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</si>
  <si>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</si>
  <si>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</si>
  <si>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</si>
  <si>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</si>
  <si>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</si>
  <si>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</si>
  <si>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</si>
  <si>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</si>
  <si>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</si>
  <si>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</si>
  <si>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</si>
  <si>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</si>
  <si>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</si>
  <si>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</si>
  <si>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</si>
  <si>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</si>
  <si>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</si>
  <si>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</si>
  <si>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</si>
  <si>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</si>
  <si>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</si>
  <si>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</si>
  <si>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</si>
  <si>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</si>
  <si>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</si>
  <si>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</si>
  <si>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</si>
  <si>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</si>
  <si>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</si>
  <si>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</si>
  <si>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</si>
  <si>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</si>
  <si>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</si>
  <si>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</si>
  <si>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</si>
  <si>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</si>
  <si>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</si>
  <si>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</si>
  <si>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</si>
  <si>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</si>
  <si>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</si>
  <si>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</si>
  <si>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</si>
  <si>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</si>
  <si>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</si>
  <si>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While on approach to Runway 31 the plane hit trees, crashed and burned.</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</si>
  <si>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</si>
  <si>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</si>
  <si>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</si>
  <si>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</si>
  <si>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</si>
  <si>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</si>
  <si>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</si>
  <si>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</si>
  <si>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</si>
  <si>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</si>
  <si>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</si>
  <si>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</si>
  <si>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</si>
  <si>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</si>
  <si>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</si>
  <si>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</si>
  <si>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</si>
  <si>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</si>
  <si>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</si>
  <si>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</si>
  <si>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</si>
  <si>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</si>
  <si>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</si>
  <si>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</si>
  <si>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</si>
  <si>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</si>
  <si>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</si>
  <si>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</si>
  <si>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</si>
  <si>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</si>
  <si>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</si>
  <si>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</si>
  <si>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</si>
  <si>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</si>
  <si>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</si>
  <si>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</si>
  <si>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</si>
  <si>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</si>
  <si>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</si>
  <si>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Nardaran, Azerbaijan</t>
  </si>
  <si>
    <t>Baku, Azerbaijan - Aktau, Kazakhstan</t>
  </si>
  <si>
    <t>Antonov AN-140-100</t>
  </si>
  <si>
    <t xml:space="preserve">  4K-AZ48</t>
  </si>
  <si>
    <t>The plane crashed along the shore of the Caspian Sea 8 minutes after taking off from Baku. Instrument failure left the crew unable to control the aircraft.</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</si>
  <si>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</si>
  <si>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</si>
  <si>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</si>
  <si>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</si>
  <si>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</si>
  <si>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</si>
  <si>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</si>
  <si>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</si>
  <si>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</si>
  <si>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</si>
  <si>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</si>
  <si>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</si>
  <si>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</si>
  <si>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</si>
  <si>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</si>
  <si>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</si>
  <si>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</si>
  <si>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</si>
  <si>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</si>
  <si>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</si>
  <si>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</si>
  <si>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</si>
  <si>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</si>
  <si>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</si>
  <si>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</si>
  <si>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</si>
  <si>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</si>
  <si>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</si>
  <si>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</si>
  <si>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</si>
  <si>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</si>
  <si>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</si>
  <si>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</si>
  <si>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</si>
  <si>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</si>
  <si>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</si>
  <si>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</si>
  <si>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Rio Bonito, Brazil</t>
  </si>
  <si>
    <t>Team Air</t>
  </si>
  <si>
    <t>MacaÃ© - Rio de Janeiro</t>
  </si>
  <si>
    <t>Let 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</si>
  <si>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</si>
  <si>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</si>
  <si>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</si>
  <si>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</si>
  <si>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</si>
  <si>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</si>
  <si>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KoussÃ©ri,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</si>
  <si>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</si>
  <si>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</si>
  <si>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</si>
  <si>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</si>
  <si>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</si>
  <si>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</si>
  <si>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</si>
  <si>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</si>
  <si>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</si>
  <si>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</si>
  <si>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</si>
  <si>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</si>
  <si>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</si>
  <si>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</si>
  <si>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La Ronge, Saskatchewan</t>
  </si>
  <si>
    <t>Saskatchewan Government Northern Air Operations</t>
  </si>
  <si>
    <t>C-GSKJ</t>
  </si>
  <si>
    <t>On a climbout after a touch-and-go landing, the aircraft veered to the left, lost altitude and crashed in a wooded area 1 nm northwest of the airport.</t>
  </si>
  <si>
    <t>Off SÃ£o TomÃ© Island</t>
  </si>
  <si>
    <t>Air SÃ£o TomÃ©</t>
  </si>
  <si>
    <t>S9-BAL</t>
  </si>
  <si>
    <t>The aircraft disappeared from radar screens while on approach to SÃ£o TomÃ© Island. The aircraft crashed in sea a  few km off shore.</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</si>
  <si>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</si>
  <si>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</si>
  <si>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</si>
  <si>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AbÃ©chÃ©, Chad</t>
  </si>
  <si>
    <t>Military - Chadian Air Force</t>
  </si>
  <si>
    <t>N'djamena - AbÃ©chÃ©</t>
  </si>
  <si>
    <t>TT-PAF</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</si>
  <si>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</si>
  <si>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</si>
  <si>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</si>
  <si>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</si>
  <si>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</si>
  <si>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Sake, Democratic Republic Congo</t>
  </si>
  <si>
    <t>Mango Airlines</t>
  </si>
  <si>
    <t>Goma - Kisangani</t>
  </si>
  <si>
    <t>9Q-CVT</t>
  </si>
  <si>
    <t>The cargo plane had engine failure and struck a hill as it lost altitude.</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</si>
  <si>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</si>
  <si>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</si>
  <si>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</si>
  <si>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</si>
  <si>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</si>
  <si>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</si>
  <si>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</si>
  <si>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</si>
  <si>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 Possible engine fire.</t>
  </si>
  <si>
    <t>Afghan Army</t>
  </si>
  <si>
    <t>Khost to Kabul</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</si>
  <si>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</si>
  <si>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</si>
  <si>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</si>
  <si>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</si>
  <si>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</si>
  <si>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</si>
  <si>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</si>
  <si>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</si>
  <si>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</si>
  <si>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</si>
  <si>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</si>
  <si>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</si>
  <si>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 Frankfurt</t>
  </si>
  <si>
    <t>7T-VHG</t>
  </si>
  <si>
    <t>The cargo plane crashed after reporting engine problems while en route .</t>
  </si>
  <si>
    <t>Near Donetsk, Ukraine</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</si>
  <si>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</si>
  <si>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</si>
  <si>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</si>
  <si>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</si>
  <si>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</si>
  <si>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Lexington, Kentucky</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</si>
  <si>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</si>
  <si>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</si>
  <si>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</si>
  <si>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</si>
  <si>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</si>
  <si>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</si>
  <si>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</si>
  <si>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</si>
  <si>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</si>
  <si>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</si>
  <si>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</si>
  <si>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</si>
  <si>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</si>
  <si>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</si>
  <si>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</si>
  <si>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</si>
  <si>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</si>
  <si>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</si>
  <si>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</si>
  <si>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</si>
  <si>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</si>
  <si>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</si>
  <si>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</si>
  <si>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</si>
  <si>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</si>
  <si>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</si>
  <si>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</si>
  <si>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</si>
  <si>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</si>
  <si>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</si>
  <si>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</si>
  <si>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</si>
  <si>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</si>
  <si>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</si>
  <si>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</si>
  <si>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</si>
  <si>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</si>
  <si>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</si>
  <si>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</si>
  <si>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1G137-26Â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</si>
  <si>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</si>
  <si>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</si>
  <si>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</si>
  <si>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</si>
  <si>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</si>
  <si>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</si>
  <si>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</si>
  <si>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</si>
  <si>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</si>
  <si>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</si>
  <si>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</si>
  <si>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</si>
  <si>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</si>
  <si>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</si>
  <si>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</si>
  <si>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</si>
  <si>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</si>
  <si>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</si>
  <si>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</si>
  <si>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</si>
  <si>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</si>
  <si>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</si>
  <si>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</si>
  <si>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</si>
  <si>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</si>
  <si>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</si>
  <si>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</si>
  <si>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</si>
  <si>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</si>
  <si>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</si>
  <si>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</si>
  <si>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</si>
  <si>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</si>
  <si>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</si>
  <si>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</si>
  <si>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</si>
  <si>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</si>
  <si>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</si>
  <si>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Sikorsky UH-60L Black Hawk</t>
  </si>
  <si>
    <t>The helicopter crashed northeast of Baghdad. Shot down by a combination of several heavy machine guns and a shoulder-fired missile</t>
  </si>
  <si>
    <t>Regional Compagnie Aerienne Europeenne</t>
  </si>
  <si>
    <t>Pau - Paris</t>
  </si>
  <si>
    <t>F-GMPGÂ </t>
  </si>
  <si>
    <t>The crew abandoned their takeoff after the loss of an engine due to bird ingestion. The jet overshot the runway and collided with a truck, killing the driver. The landing gear sheared off and the plane came to rest in a field.</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</si>
  <si>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</si>
  <si>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</si>
  <si>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</si>
  <si>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</si>
  <si>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</si>
  <si>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</si>
  <si>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</si>
  <si>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</si>
  <si>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</si>
  <si>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</si>
  <si>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</si>
  <si>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</si>
  <si>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</si>
  <si>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</si>
  <si>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</si>
  <si>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</si>
  <si>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</si>
  <si>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</si>
  <si>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 	 Bahia Taxi AÃ©reo 	 Bahia Taxi AÃ©reo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</si>
  <si>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</si>
  <si>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</si>
  <si>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</si>
  <si>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</si>
  <si>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</si>
  <si>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</si>
  <si>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</si>
  <si>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</si>
  <si>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</si>
  <si>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</si>
  <si>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</si>
  <si>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</si>
  <si>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</si>
  <si>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</si>
  <si>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</si>
  <si>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EW-78849Â </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</si>
  <si>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</si>
  <si>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</si>
  <si>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</si>
  <si>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</si>
  <si>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</si>
  <si>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</si>
  <si>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</si>
  <si>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</si>
  <si>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</si>
  <si>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</si>
  <si>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</si>
  <si>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</si>
  <si>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</si>
  <si>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</si>
  <si>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</si>
  <si>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</si>
  <si>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</si>
  <si>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</si>
  <si>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</si>
  <si>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</si>
  <si>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</si>
  <si>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</si>
  <si>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</si>
  <si>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</si>
  <si>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</si>
  <si>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</si>
  <si>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Freetown, Sierra Leone</t>
  </si>
  <si>
    <t>Paramount Airlilnes</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</si>
  <si>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</si>
  <si>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</si>
  <si>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</si>
  <si>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</si>
  <si>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</si>
  <si>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</si>
  <si>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</si>
  <si>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</si>
  <si>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</si>
  <si>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</si>
  <si>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</si>
  <si>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</si>
  <si>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Near Kamina, Congo</t>
  </si>
  <si>
    <t>Karibu Airways</t>
  </si>
  <si>
    <t>Kamina - Lubumbashi</t>
  </si>
  <si>
    <t>9Q-CEU</t>
  </si>
  <si>
    <t>The plane crashed shortly after taking off into a swamp coming to rest upside down. A parliment member of the Democratic Republic of Congo was killed.</t>
  </si>
  <si>
    <t>Near Sihanoukville, Cambodia</t>
  </si>
  <si>
    <t>PMT Air</t>
  </si>
  <si>
    <t>Siem Reap - Sihanoukville</t>
  </si>
  <si>
    <t>XU-U4A</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</si>
  <si>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</si>
  <si>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</si>
  <si>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</si>
  <si>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</si>
  <si>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</si>
  <si>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</si>
  <si>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</si>
  <si>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</si>
  <si>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</si>
  <si>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</si>
  <si>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</si>
  <si>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</si>
  <si>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</si>
  <si>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</si>
  <si>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</si>
  <si>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</si>
  <si>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</si>
  <si>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</si>
  <si>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</si>
  <si>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</si>
  <si>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</si>
  <si>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</si>
  <si>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</si>
  <si>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</si>
  <si>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The cargo plane crashed shortly after taking off after an engine failed. The pilot was trying to return for an emergency landing.</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</si>
  <si>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</si>
  <si>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</si>
  <si>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</si>
  <si>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</si>
  <si>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</si>
  <si>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</si>
  <si>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</si>
  <si>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</si>
  <si>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</si>
  <si>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</si>
  <si>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</si>
  <si>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</si>
  <si>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</si>
  <si>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</si>
  <si>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</si>
  <si>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</si>
  <si>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</si>
  <si>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</si>
  <si>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</si>
  <si>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</si>
  <si>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</si>
  <si>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</si>
  <si>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</si>
  <si>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</si>
  <si>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</si>
  <si>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Two Taxi Aero</t>
  </si>
  <si>
    <t>Curitiba - Jundiai</t>
  </si>
  <si>
    <t>Embraer EMB-110P1 Bandeirant</t>
  </si>
  <si>
    <t>PT-SDB</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</si>
  <si>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</si>
  <si>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</si>
  <si>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</si>
  <si>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</si>
  <si>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</si>
  <si>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</si>
  <si>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</si>
  <si>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</si>
  <si>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</si>
  <si>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</si>
  <si>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</si>
  <si>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</si>
  <si>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</si>
  <si>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</si>
  <si>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The cargo plane, carrying palm oil, overshot the runway, crashed into a petrified lava flow and caught fire.</t>
  </si>
  <si>
    <t>Phuket, Thailand</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</si>
  <si>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</si>
  <si>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</si>
  <si>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</si>
  <si>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</si>
  <si>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</si>
  <si>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</si>
  <si>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</si>
  <si>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 xml:space="preserve"> 81 06 17</t>
  </si>
  <si>
    <t>Crashed while attempting to land and came to rest in a cemetery.</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</si>
  <si>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</si>
  <si>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</si>
  <si>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</si>
  <si>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</si>
  <si>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Cubarral, Colombia</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</si>
  <si>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</si>
  <si>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</si>
  <si>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</si>
  <si>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</si>
  <si>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</si>
  <si>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</si>
  <si>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</si>
  <si>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</si>
  <si>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</si>
  <si>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Near Isparta, Turkey</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</si>
  <si>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</si>
  <si>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</si>
  <si>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</si>
  <si>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</si>
  <si>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</si>
  <si>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</si>
  <si>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</si>
  <si>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</si>
  <si>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</si>
  <si>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</si>
  <si>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</si>
  <si>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</si>
  <si>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</si>
  <si>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</si>
  <si>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</si>
  <si>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</si>
  <si>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Los Roques, Venezuela</t>
  </si>
  <si>
    <t>Transaven</t>
  </si>
  <si>
    <t>Los Rogues - Carac</t>
  </si>
  <si>
    <t>Let 410 UVP-E3</t>
  </si>
  <si>
    <t>YV2081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</si>
  <si>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</si>
  <si>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</si>
  <si>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</si>
  <si>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</si>
  <si>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</si>
  <si>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</si>
  <si>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</si>
  <si>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</si>
  <si>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</si>
  <si>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</si>
  <si>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</si>
  <si>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</si>
  <si>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</si>
  <si>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Miroslawiec, Poland</t>
  </si>
  <si>
    <t>Military - Polish Air Force</t>
  </si>
  <si>
    <t>Warsaw - Miroslawiec</t>
  </si>
  <si>
    <t>CASA C-295M</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</si>
  <si>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</si>
  <si>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</si>
  <si>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</si>
  <si>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</si>
  <si>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</si>
  <si>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</si>
  <si>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PK-VSEÂ </t>
  </si>
  <si>
    <t>92N/412</t>
  </si>
  <si>
    <t>The cargo plane crashed while en route.</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</si>
  <si>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</si>
  <si>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</si>
  <si>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</si>
  <si>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</si>
  <si>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</si>
  <si>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</si>
  <si>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</si>
  <si>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</si>
  <si>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</si>
  <si>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</si>
  <si>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</si>
  <si>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</si>
  <si>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</si>
  <si>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</si>
  <si>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</si>
  <si>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</si>
  <si>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</si>
  <si>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</si>
  <si>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</si>
  <si>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</si>
  <si>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</si>
  <si>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</si>
  <si>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</si>
  <si>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</si>
  <si>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</si>
  <si>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</si>
  <si>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</si>
  <si>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</si>
  <si>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</si>
  <si>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</si>
  <si>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</si>
  <si>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</si>
  <si>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</si>
  <si>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</si>
  <si>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</si>
  <si>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</si>
  <si>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</si>
  <si>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</si>
  <si>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</si>
  <si>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</si>
  <si>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Crashed into the ocean after skidding off the runway in high winds and heavy rain.</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</si>
  <si>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</si>
  <si>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</si>
  <si>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</si>
  <si>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</si>
  <si>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</si>
  <si>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</si>
  <si>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</si>
  <si>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</si>
  <si>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</si>
  <si>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</si>
  <si>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</si>
  <si>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</si>
  <si>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</si>
  <si>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</si>
  <si>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</si>
  <si>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</si>
  <si>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</si>
  <si>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</si>
  <si>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</si>
  <si>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</si>
  <si>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</si>
  <si>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</si>
  <si>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</si>
  <si>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</si>
  <si>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</si>
  <si>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</si>
  <si>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</si>
  <si>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</si>
  <si>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</si>
  <si>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</si>
  <si>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</si>
  <si>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</si>
  <si>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</si>
  <si>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</si>
  <si>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</si>
  <si>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</si>
  <si>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</si>
  <si>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</si>
  <si>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</si>
  <si>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</si>
  <si>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</si>
  <si>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</si>
  <si>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</si>
  <si>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</si>
  <si>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</si>
  <si>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</si>
  <si>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</si>
  <si>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</si>
  <si>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</si>
  <si>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</si>
  <si>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</si>
  <si>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</si>
  <si>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</si>
  <si>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</si>
  <si>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</si>
  <si>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The cargo plane crashed mid-flight after entering an area of thunderstorms. Triple engine failure.</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</si>
  <si>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</si>
  <si>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</si>
  <si>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</si>
  <si>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</si>
  <si>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</si>
  <si>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</si>
  <si>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</si>
  <si>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</si>
  <si>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</si>
  <si>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</si>
  <si>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</si>
  <si>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</si>
  <si>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</si>
  <si>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</si>
  <si>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</si>
  <si>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</si>
  <si>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</si>
  <si>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</si>
  <si>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</si>
  <si>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</si>
  <si>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</si>
  <si>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</si>
  <si>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</si>
  <si>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</si>
  <si>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</si>
  <si>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</si>
  <si>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</si>
  <si>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</si>
  <si>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</si>
  <si>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</si>
  <si>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</si>
  <si>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</si>
  <si>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</si>
  <si>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</si>
  <si>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</si>
  <si>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</si>
  <si>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</si>
  <si>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</si>
  <si>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</si>
  <si>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</si>
  <si>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</si>
  <si>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</si>
  <si>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</si>
  <si>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</si>
  <si>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</si>
  <si>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</si>
  <si>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</si>
  <si>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</si>
  <si>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While on approach in poor weather the cargo plane struck a telephone line and crashed. Extremely poor weather conditions.</t>
  </si>
  <si>
    <t>Spanair</t>
  </si>
  <si>
    <t>Madrid - Las Palmas, Canary Islands</t>
  </si>
  <si>
    <t>EC-HFPÂ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</si>
  <si>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</si>
  <si>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</si>
  <si>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</si>
  <si>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</si>
  <si>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</si>
  <si>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</si>
  <si>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</si>
  <si>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</si>
  <si>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</si>
  <si>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</si>
  <si>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Toacaso, Ecuador</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</si>
  <si>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</si>
  <si>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</si>
  <si>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</si>
  <si>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</si>
  <si>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</si>
  <si>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</si>
  <si>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</si>
  <si>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</si>
  <si>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</si>
  <si>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</si>
  <si>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</si>
  <si>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</si>
  <si>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</si>
  <si>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</si>
  <si>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</si>
  <si>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</si>
  <si>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</si>
  <si>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</si>
  <si>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</si>
  <si>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</si>
  <si>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</si>
  <si>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</si>
  <si>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</si>
  <si>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</si>
  <si>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</si>
  <si>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</si>
  <si>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</si>
  <si>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</si>
  <si>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</si>
  <si>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</si>
  <si>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</si>
  <si>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Lukla, Nepal</t>
  </si>
  <si>
    <t>Katmandu - Lukla</t>
  </si>
  <si>
    <t>9N-AFEÂ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</si>
  <si>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</si>
  <si>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</si>
  <si>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</si>
  <si>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</si>
  <si>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</si>
  <si>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</si>
  <si>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</si>
  <si>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Fallujah, Iraq</t>
  </si>
  <si>
    <t>Falcon Aviation Group</t>
  </si>
  <si>
    <t>al-Asad air base - Baghdad</t>
  </si>
  <si>
    <t>S9-SAO</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</si>
  <si>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</si>
  <si>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</si>
  <si>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</si>
  <si>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</si>
  <si>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</si>
  <si>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</si>
  <si>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</si>
  <si>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</si>
  <si>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</si>
  <si>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</si>
  <si>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</si>
  <si>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</si>
  <si>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N318WAÂ </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</si>
  <si>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</si>
  <si>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</si>
  <si>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</si>
  <si>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</si>
  <si>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</si>
  <si>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</si>
  <si>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</si>
  <si>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</si>
  <si>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</si>
  <si>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</si>
  <si>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</si>
  <si>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</si>
  <si>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</si>
  <si>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</si>
  <si>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</si>
  <si>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</si>
  <si>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</si>
  <si>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</si>
  <si>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</si>
  <si>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</si>
  <si>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</si>
  <si>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</si>
  <si>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</si>
  <si>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</si>
  <si>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</si>
  <si>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</si>
  <si>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</si>
  <si>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</si>
  <si>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</si>
  <si>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</si>
  <si>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</si>
  <si>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</si>
  <si>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</si>
  <si>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</si>
  <si>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</si>
  <si>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</si>
  <si>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</si>
  <si>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</si>
  <si>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</si>
  <si>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</si>
  <si>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</si>
  <si>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</si>
  <si>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</si>
  <si>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</si>
  <si>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</si>
  <si>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</si>
  <si>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</si>
  <si>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</si>
  <si>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</si>
  <si>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</si>
  <si>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</si>
  <si>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While attemping to take off from Luxor, the cargo plane slammed to the ground, slid down the runway and caught fire.</t>
  </si>
  <si>
    <t>Turkish Airlines</t>
  </si>
  <si>
    <t>Istanbul, Turkey - Amsterdam, Netherlands</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</si>
  <si>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</si>
  <si>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</si>
  <si>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</si>
  <si>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</si>
  <si>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</si>
  <si>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</si>
  <si>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</si>
  <si>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</si>
  <si>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</si>
  <si>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</si>
  <si>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</si>
  <si>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</si>
  <si>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</si>
  <si>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</si>
  <si>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</si>
  <si>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</si>
  <si>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</si>
  <si>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</si>
  <si>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</si>
  <si>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</si>
  <si>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</si>
  <si>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</si>
  <si>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</si>
  <si>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</si>
  <si>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</si>
  <si>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</si>
  <si>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</si>
  <si>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</si>
  <si>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</si>
  <si>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</si>
  <si>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</si>
  <si>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</si>
  <si>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</si>
  <si>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</si>
  <si>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</si>
  <si>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</si>
  <si>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</si>
  <si>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</si>
  <si>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Massamba, Democratic Republic of Congo</t>
  </si>
  <si>
    <t>Bako Air</t>
  </si>
  <si>
    <t>Bangui, CAR- Brazzaville, Congo - Harare, Zimbabwe</t>
  </si>
  <si>
    <t>TL-ADMÂ </t>
  </si>
  <si>
    <t>22264/753</t>
  </si>
  <si>
    <t>Crashed while en route on a ferrying flight. The plane had not been flown for a year.</t>
  </si>
  <si>
    <t>Near El Alto de Rubio, Venezuela</t>
  </si>
  <si>
    <t>Patrol</t>
  </si>
  <si>
    <t>Mi-35</t>
  </si>
  <si>
    <t>EV08114Â </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</si>
  <si>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</si>
  <si>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</si>
  <si>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</si>
  <si>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</si>
  <si>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</si>
  <si>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Democratic Republic Congo</t>
  </si>
  <si>
    <t>Goma - Isiro</t>
  </si>
  <si>
    <t>9Q-CSA</t>
  </si>
  <si>
    <t>The cargo plane crashed while on approach to Isiro-Matari Airport.</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</si>
  <si>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</si>
  <si>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</si>
  <si>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</si>
  <si>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</si>
  <si>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</si>
  <si>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</si>
  <si>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</si>
  <si>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</si>
  <si>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C-FJJRÂ </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</si>
  <si>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</si>
  <si>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</si>
  <si>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</si>
  <si>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</si>
  <si>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</si>
  <si>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</si>
  <si>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While en route and nearing it's destination, the cargo plane crashed into a 9,600 ft. mountain in the Tangma district.</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</si>
  <si>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</si>
  <si>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</si>
  <si>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</si>
  <si>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</si>
  <si>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</si>
  <si>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</si>
  <si>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</si>
  <si>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</si>
  <si>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</si>
  <si>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</si>
  <si>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</si>
  <si>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</si>
  <si>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</si>
  <si>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</si>
  <si>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</si>
  <si>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</si>
  <si>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</si>
  <si>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</si>
  <si>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</si>
  <si>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</si>
  <si>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</si>
  <si>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</si>
  <si>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</si>
  <si>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</si>
  <si>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</si>
  <si>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</si>
  <si>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</si>
  <si>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</si>
  <si>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</si>
  <si>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</si>
  <si>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</si>
  <si>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</si>
  <si>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</si>
  <si>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</si>
  <si>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</si>
  <si>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</si>
  <si>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</si>
  <si>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</si>
  <si>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</si>
  <si>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</si>
  <si>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Near Port Moresby, Papua New Guinea</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</si>
  <si>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</si>
  <si>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</si>
  <si>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</si>
  <si>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</si>
  <si>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</si>
  <si>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</si>
  <si>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</si>
  <si>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</si>
  <si>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</si>
  <si>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</si>
  <si>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</si>
  <si>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</si>
  <si>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</si>
  <si>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</si>
  <si>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</si>
  <si>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</si>
  <si>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</si>
  <si>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</si>
  <si>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</si>
  <si>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</si>
  <si>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</si>
  <si>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</si>
  <si>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</si>
  <si>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</si>
  <si>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</si>
  <si>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</si>
  <si>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</si>
  <si>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RPC550Â </t>
  </si>
  <si>
    <t>25737/14292</t>
  </si>
  <si>
    <t>Shortly after take off the crew reported engine problems and requested an emergency return to the airport. The pilot was not able to make the turn and the cargo plane crashed into an abandoned warehouse and burst into flames.</t>
  </si>
  <si>
    <t>Azzi</t>
  </si>
  <si>
    <t>Sharjar, UAE- Khartoum, Sudan</t>
  </si>
  <si>
    <t>Boeing 707-330C</t>
  </si>
  <si>
    <t>ST-AKW</t>
  </si>
  <si>
    <t>20123/788</t>
  </si>
  <si>
    <t>The cargo plane took off, banked to the right and crashed into the desert, 3km from the airport.</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</si>
  <si>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</si>
  <si>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</si>
  <si>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</si>
  <si>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</si>
  <si>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</si>
  <si>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</si>
  <si>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</si>
  <si>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</si>
  <si>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</si>
  <si>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</si>
  <si>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</si>
  <si>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</si>
  <si>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</si>
  <si>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</si>
  <si>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</si>
  <si>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</si>
  <si>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</si>
  <si>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</si>
  <si>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</si>
  <si>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</si>
  <si>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</si>
  <si>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</si>
  <si>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</si>
  <si>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</si>
  <si>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</si>
  <si>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</si>
  <si>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</si>
  <si>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</si>
  <si>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</si>
  <si>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</si>
  <si>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</si>
  <si>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</si>
  <si>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</si>
  <si>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</si>
  <si>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</si>
  <si>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</si>
  <si>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</si>
  <si>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C-GTMCÂ </t>
  </si>
  <si>
    <t>The float plane crashed off Saturna Island after taking off from Lyall Harbour. A female passenger and the pilot survived.</t>
  </si>
  <si>
    <t>Off Sand Point, Alaska</t>
  </si>
  <si>
    <t>Alaska Central Express</t>
  </si>
  <si>
    <t>Sand Point - Anchorage</t>
  </si>
  <si>
    <t>N112AXÂ </t>
  </si>
  <si>
    <t>UC-45</t>
  </si>
  <si>
    <t>The cargo plane crashed into the water shortly after taking off with a cargo of fish and mail.</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</si>
  <si>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</si>
  <si>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</si>
  <si>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</si>
  <si>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</si>
  <si>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</si>
  <si>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</si>
  <si>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</si>
  <si>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</si>
  <si>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</si>
  <si>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</si>
  <si>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</si>
  <si>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</si>
  <si>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</si>
  <si>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</si>
  <si>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</si>
  <si>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</si>
  <si>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</si>
  <si>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</si>
  <si>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</si>
  <si>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</si>
  <si>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</si>
  <si>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Smolensk, Russia</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</si>
  <si>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</si>
  <si>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</si>
  <si>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</si>
  <si>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</si>
  <si>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Near Yelizovo, Russia</t>
  </si>
  <si>
    <t>Elizovo - DukupÂ </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</si>
  <si>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</si>
  <si>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</si>
  <si>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</si>
  <si>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</si>
  <si>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</si>
  <si>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</si>
  <si>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</si>
  <si>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</si>
  <si>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</si>
  <si>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</si>
  <si>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</si>
  <si>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</si>
  <si>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</si>
  <si>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</si>
  <si>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</si>
  <si>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</si>
  <si>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</si>
  <si>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</si>
  <si>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</si>
  <si>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</si>
  <si>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</si>
  <si>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</si>
  <si>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</si>
  <si>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</si>
  <si>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</si>
  <si>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</si>
  <si>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</si>
  <si>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</si>
  <si>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</si>
  <si>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</si>
  <si>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Mangalore, India</t>
  </si>
  <si>
    <t>Air India Express</t>
  </si>
  <si>
    <t>Dubai, UAE - Mangalore, India</t>
  </si>
  <si>
    <t>Boeing 737-8HG</t>
  </si>
  <si>
    <t>VT-AXV</t>
  </si>
  <si>
    <t>36333/2481Â </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</si>
  <si>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</si>
  <si>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Yangadou, Cameroon</t>
  </si>
  <si>
    <t>Aero Service</t>
  </si>
  <si>
    <t>YaoundÃ©-Nsimalen - Yangadou Mine Airstrip</t>
  </si>
  <si>
    <t>TN-AFAÂ </t>
  </si>
  <si>
    <t>The plane crashed in a remote area on the Cameroon / Congo border. The plane was carrying executives of the mining company Sundance Resources.</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</si>
  <si>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</si>
  <si>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</si>
  <si>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</si>
  <si>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</si>
  <si>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</si>
  <si>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</si>
  <si>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</si>
  <si>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</si>
  <si>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</si>
  <si>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</si>
  <si>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</si>
  <si>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</si>
  <si>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</si>
  <si>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</si>
  <si>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</si>
  <si>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</si>
  <si>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</si>
  <si>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</si>
  <si>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</si>
  <si>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</si>
  <si>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</si>
  <si>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</si>
  <si>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</si>
  <si>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</si>
  <si>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</si>
  <si>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</si>
  <si>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</si>
  <si>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</si>
  <si>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Igarka, Russia</t>
  </si>
  <si>
    <t>Katekavia Airline</t>
  </si>
  <si>
    <t>KYU9357</t>
  </si>
  <si>
    <t>Karsnoyarsk - Igarka</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</si>
  <si>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</si>
  <si>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</si>
  <si>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</si>
  <si>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</si>
  <si>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</si>
  <si>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</si>
  <si>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</si>
  <si>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</si>
  <si>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San Andreas Island, Colombia</t>
  </si>
  <si>
    <t>Bogota - San Andreas Island</t>
  </si>
  <si>
    <t>Boeing B-737-73V</t>
  </si>
  <si>
    <t>HK-4882Â </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</si>
  <si>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</si>
  <si>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</si>
  <si>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</si>
  <si>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</si>
  <si>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</si>
  <si>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</si>
  <si>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</si>
  <si>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Bastipur, Nepal</t>
  </si>
  <si>
    <t>Agni AirÂ </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</si>
  <si>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</si>
  <si>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</si>
  <si>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</si>
  <si>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</si>
  <si>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</si>
  <si>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</si>
  <si>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</si>
  <si>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</si>
  <si>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</si>
  <si>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</si>
  <si>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</si>
  <si>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</si>
  <si>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</si>
  <si>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</si>
  <si>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</si>
  <si>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</si>
  <si>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</si>
  <si>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</si>
  <si>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</si>
  <si>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</si>
  <si>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</si>
  <si>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</si>
  <si>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</si>
  <si>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</si>
  <si>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</si>
  <si>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</si>
  <si>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</si>
  <si>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</si>
  <si>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</si>
  <si>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</si>
  <si>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</si>
  <si>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</si>
  <si>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</si>
  <si>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</si>
  <si>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Puerto Ordaz, Venezuela</t>
  </si>
  <si>
    <t>ConviasaÂ 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</si>
  <si>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</si>
  <si>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</si>
  <si>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</si>
  <si>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</si>
  <si>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</si>
  <si>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</si>
  <si>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</si>
  <si>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</si>
  <si>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</si>
  <si>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Rasht Valley, Tajikistan</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</si>
  <si>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</si>
  <si>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</si>
  <si>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</si>
  <si>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</si>
  <si>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</si>
  <si>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</si>
  <si>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</si>
  <si>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</si>
  <si>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</si>
  <si>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</si>
  <si>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</si>
  <si>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</si>
  <si>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</si>
  <si>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</si>
  <si>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</si>
  <si>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</si>
  <si>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</si>
  <si>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</si>
  <si>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</si>
  <si>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</si>
  <si>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</si>
  <si>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</si>
  <si>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</si>
  <si>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</si>
  <si>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The helicopter, which was delivering workers to a drilling site, crashed and burned while attempting to land, after the tail rotor became entangled in wires.</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</si>
  <si>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</si>
  <si>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</si>
  <si>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</si>
  <si>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</si>
  <si>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</si>
  <si>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</si>
  <si>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</si>
  <si>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</si>
  <si>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</si>
  <si>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</si>
  <si>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</si>
  <si>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</si>
  <si>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</si>
  <si>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</si>
  <si>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</si>
  <si>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</si>
  <si>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</si>
  <si>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</si>
  <si>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EP-IRPÂ </t>
  </si>
  <si>
    <t>20945/1048</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</si>
  <si>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</si>
  <si>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</si>
  <si>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</si>
  <si>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</si>
  <si>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</si>
  <si>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</si>
  <si>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</si>
  <si>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</si>
  <si>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</si>
  <si>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Belfast - Cork</t>
  </si>
  <si>
    <t>Swearingen SA-227BC Metro III</t>
  </si>
  <si>
    <t>EC-ITPÂ </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</si>
  <si>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</si>
  <si>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</si>
  <si>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</si>
  <si>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</si>
  <si>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Let L-410 UVPE-20</t>
  </si>
  <si>
    <t>HR-AUQÂ </t>
  </si>
  <si>
    <t>The small airlilner crashed into a hill at an elevation of 2,000 feet while on approach in poor visibility. Windshear.</t>
  </si>
  <si>
    <t>Pointe-Noire, Congo</t>
  </si>
  <si>
    <t>Trans Air Cargo</t>
  </si>
  <si>
    <t>Brazzaville - Pointe Noire</t>
  </si>
  <si>
    <t>TN-AGK</t>
  </si>
  <si>
    <t>The cargo plane was approaching Runway 17 at Pointe-Noire Airport when it crashed in the Mvou Mvou residential area and was destroyed.</t>
  </si>
  <si>
    <t>Kinshasa, Congo</t>
  </si>
  <si>
    <t>United Nations</t>
  </si>
  <si>
    <t>Kisangani - Kinshasa</t>
  </si>
  <si>
    <t>Canadair CL-600 CRJ-100ER</t>
  </si>
  <si>
    <t>4L-GAEÂ </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</si>
  <si>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</si>
  <si>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</si>
  <si>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</si>
  <si>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</si>
  <si>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</si>
  <si>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</si>
  <si>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</si>
  <si>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Manaus, Brazil</t>
  </si>
  <si>
    <t xml:space="preserve">	AmazonavesAir Taxi</t>
  </si>
  <si>
    <t>Manaus - Santarem</t>
  </si>
  <si>
    <t>Embraer/Piper EMB-810C Seneca</t>
  </si>
  <si>
    <t>PT-EFS</t>
  </si>
  <si>
    <t xml:space="preserve">	810055</t>
  </si>
  <si>
    <t>The airl taxi crashed about one minute after taking off from Manaus Airport.</t>
  </si>
  <si>
    <t>Off Kaimana, Indonesia</t>
  </si>
  <si>
    <t>Sorong - Kaimana</t>
  </si>
  <si>
    <t>Xian MA-60</t>
  </si>
  <si>
    <t>PK-MZKÂ </t>
  </si>
  <si>
    <t>The turboprop had been circling Kaimana Airport for about 15 minutes when it crashed into the sea, 400 meters offshore, in poor weather conditions.</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</si>
  <si>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</si>
  <si>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</si>
  <si>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</si>
  <si>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</si>
  <si>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</si>
  <si>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</si>
  <si>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</si>
  <si>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</si>
  <si>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</si>
  <si>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</si>
  <si>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</si>
  <si>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</si>
  <si>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</si>
  <si>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</si>
  <si>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</si>
  <si>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</si>
  <si>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</si>
  <si>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</si>
  <si>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</si>
  <si>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</si>
  <si>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</si>
  <si>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</si>
  <si>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</si>
  <si>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</si>
  <si>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</si>
  <si>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</si>
  <si>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</si>
  <si>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</si>
  <si>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</si>
  <si>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NOAR Linhas AÃ©reas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</si>
  <si>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</si>
  <si>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</si>
  <si>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</si>
  <si>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</si>
  <si>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</si>
  <si>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</si>
  <si>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</si>
  <si>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</si>
  <si>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</si>
  <si>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</si>
  <si>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</si>
  <si>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</si>
  <si>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</si>
  <si>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</si>
  <si>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</si>
  <si>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</si>
  <si>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</si>
  <si>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</si>
  <si>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</si>
  <si>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</si>
  <si>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</si>
  <si>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</si>
  <si>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 xml:space="preserve"> 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</si>
  <si>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</si>
  <si>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</si>
  <si>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</si>
  <si>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</si>
  <si>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</si>
  <si>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</si>
  <si>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</si>
  <si>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</si>
  <si>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</si>
  <si>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</si>
  <si>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</si>
  <si>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</si>
  <si>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</si>
  <si>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</si>
  <si>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</si>
  <si>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</si>
  <si>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</si>
  <si>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</si>
  <si>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</si>
  <si>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</si>
  <si>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</si>
  <si>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</si>
  <si>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</si>
  <si>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</si>
  <si>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</si>
  <si>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</si>
  <si>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</si>
  <si>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</si>
  <si>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</si>
  <si>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</si>
  <si>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</si>
  <si>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</si>
  <si>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</si>
  <si>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</si>
  <si>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</si>
  <si>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</si>
  <si>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</si>
  <si>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</si>
  <si>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</si>
  <si>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</si>
  <si>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</si>
  <si>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</si>
  <si>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Yellowknife, Northwest Territories, Canada</t>
  </si>
  <si>
    <t>Arctic Sunwest Charters</t>
  </si>
  <si>
    <t>Thor Lake - Great Slave Lake</t>
  </si>
  <si>
    <t>De Havilland Canada DHC-6-300 Twin Otter</t>
  </si>
  <si>
    <t>C-GARWÂ </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</si>
  <si>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</si>
  <si>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</si>
  <si>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</si>
  <si>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</si>
  <si>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</si>
  <si>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</si>
  <si>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</si>
  <si>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</si>
  <si>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</si>
  <si>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</si>
  <si>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</si>
  <si>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</si>
  <si>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</si>
  <si>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</si>
  <si>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</si>
  <si>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</si>
  <si>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</si>
  <si>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</si>
  <si>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</si>
  <si>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</si>
  <si>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</si>
  <si>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</si>
  <si>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</si>
  <si>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NearÂ 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</si>
  <si>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</si>
  <si>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</si>
  <si>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</si>
  <si>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</si>
  <si>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</si>
  <si>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</si>
  <si>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</si>
  <si>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</si>
  <si>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</si>
  <si>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meters.Â The helicopter carried the Secretary of the Interior, JosÃ© Francisco Blake Mora and other government officials.</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</si>
  <si>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</si>
  <si>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</si>
  <si>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</si>
  <si>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</si>
  <si>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</si>
  <si>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</si>
  <si>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</si>
  <si>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</si>
  <si>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</si>
  <si>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Namoya, Congo</t>
  </si>
  <si>
    <t>TRACEP Congo Aviation</t>
  </si>
  <si>
    <t>Bukavu - Namoya</t>
  </si>
  <si>
    <t>9Q-CUN</t>
  </si>
  <si>
    <t>1AJ006-11</t>
  </si>
  <si>
    <t>The cargo plane was on approach to land when it crashed in a forest 10km from Namoya.  The airworthiness of this aircraft had expired on June 12, 1993.</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</si>
  <si>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</si>
  <si>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</si>
  <si>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</si>
  <si>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</si>
  <si>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</si>
  <si>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</si>
  <si>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</si>
  <si>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</si>
  <si>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</si>
  <si>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</si>
  <si>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</si>
  <si>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</si>
  <si>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</si>
  <si>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</si>
  <si>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</si>
  <si>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</si>
  <si>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AP-BKCÂ </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</si>
  <si>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</si>
  <si>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</si>
  <si>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</si>
  <si>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</si>
  <si>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</si>
  <si>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4020Â </t>
  </si>
  <si>
    <t>The helicopter caught fire and crashed while en route.</t>
  </si>
  <si>
    <t>Near Cidahu, Indonesia</t>
  </si>
  <si>
    <t>Sukhoi</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</si>
  <si>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</si>
  <si>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</si>
  <si>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</si>
  <si>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</si>
  <si>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</si>
  <si>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Agni Air</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</si>
  <si>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</si>
  <si>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</si>
  <si>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</si>
  <si>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</si>
  <si>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</si>
  <si>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</si>
  <si>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</si>
  <si>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</si>
  <si>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</si>
  <si>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</si>
  <si>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</si>
  <si>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</si>
  <si>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</si>
  <si>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</si>
  <si>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</si>
  <si>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</si>
  <si>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</si>
  <si>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</si>
  <si>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</si>
  <si>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</si>
  <si>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</si>
  <si>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</si>
  <si>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</si>
  <si>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</si>
  <si>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</si>
  <si>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</si>
  <si>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</si>
  <si>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</si>
  <si>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</si>
  <si>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</si>
  <si>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</si>
  <si>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</si>
  <si>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</si>
  <si>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</si>
  <si>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</si>
  <si>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</si>
  <si>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</si>
  <si>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</si>
  <si>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</si>
  <si>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</si>
  <si>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</si>
  <si>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</si>
  <si>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</si>
  <si>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</si>
  <si>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</si>
  <si>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</si>
  <si>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</si>
  <si>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</si>
  <si>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</si>
  <si>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</si>
  <si>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</si>
  <si>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</si>
  <si>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</si>
  <si>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</si>
  <si>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</si>
  <si>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</si>
  <si>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</si>
  <si>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</si>
  <si>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</si>
  <si>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</si>
  <si>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</si>
  <si>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</si>
  <si>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</si>
  <si>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</si>
  <si>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</si>
  <si>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</si>
  <si>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</si>
  <si>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</si>
  <si>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</si>
  <si>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</si>
  <si>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</si>
  <si>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</si>
  <si>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</si>
  <si>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</si>
  <si>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</si>
  <si>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</si>
  <si>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</si>
  <si>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</si>
  <si>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</si>
  <si>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</si>
  <si>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</si>
  <si>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</si>
  <si>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</si>
  <si>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</si>
  <si>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</si>
  <si>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</si>
  <si>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</si>
  <si>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</si>
  <si>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</si>
  <si>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Pardubice, Czech Republic - Moscow, Russia</t>
  </si>
  <si>
    <t>Tupolev TU-204-100VÂ </t>
  </si>
  <si>
    <t>RA-64047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</si>
  <si>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</si>
  <si>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</si>
  <si>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</si>
  <si>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</si>
  <si>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</si>
  <si>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</si>
  <si>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</si>
  <si>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</si>
  <si>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</si>
  <si>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</si>
  <si>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</si>
  <si>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</si>
  <si>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</si>
  <si>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</si>
  <si>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</si>
  <si>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</si>
  <si>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</si>
  <si>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Donetsk, Ukraine</t>
  </si>
  <si>
    <t>South Airlines</t>
  </si>
  <si>
    <t>Odessa - Donetsk</t>
  </si>
  <si>
    <t>UR-WRAÂ </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</si>
  <si>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</si>
  <si>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(CAA)Â </t>
  </si>
  <si>
    <t>Lodja - Goma</t>
  </si>
  <si>
    <t>9Q-CBD</t>
  </si>
  <si>
    <t>20270Â </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</si>
  <si>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</si>
  <si>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</si>
  <si>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</si>
  <si>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</si>
  <si>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</si>
  <si>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</si>
  <si>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</si>
  <si>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</si>
  <si>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</si>
  <si>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</si>
  <si>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</si>
  <si>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</si>
  <si>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</si>
  <si>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</si>
  <si>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</si>
  <si>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</si>
  <si>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</si>
  <si>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</si>
  <si>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</si>
  <si>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</si>
  <si>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</si>
  <si>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</si>
  <si>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</si>
  <si>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</si>
  <si>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</si>
  <si>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</si>
  <si>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</si>
  <si>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HL7742Â </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</si>
  <si>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</si>
  <si>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</si>
  <si>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</si>
  <si>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</si>
  <si>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</si>
  <si>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</si>
  <si>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</si>
  <si>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</si>
  <si>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Dire Dawa - Mogadishu</t>
  </si>
  <si>
    <t>The cargo plane crashed on the runway and caught fire while attempting to land at Mofadisu International Airport.</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</si>
  <si>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</si>
  <si>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</si>
  <si>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</si>
  <si>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</si>
  <si>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</si>
  <si>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</si>
  <si>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</si>
  <si>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</si>
  <si>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120174Â </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</si>
  <si>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</si>
  <si>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</si>
  <si>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</si>
  <si>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</si>
  <si>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</si>
  <si>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</si>
  <si>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Lao Airlines</t>
  </si>
  <si>
    <t>Vientiane - Pakse</t>
  </si>
  <si>
    <t>ATR-72-50</t>
  </si>
  <si>
    <t>RDPL-34233Â </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</si>
  <si>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</si>
  <si>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Riberalta, Bolivia</t>
  </si>
  <si>
    <t>Trinidad, Bolivia - Riberalta, Bolivia</t>
  </si>
  <si>
    <t>Swearingen SA227-AC Metro III</t>
  </si>
  <si>
    <t>CP-275</t>
  </si>
  <si>
    <t>AC-721BÂ </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</si>
  <si>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</si>
  <si>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</si>
  <si>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</si>
  <si>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</si>
  <si>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</si>
  <si>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</si>
  <si>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</si>
  <si>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</si>
  <si>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</si>
  <si>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</si>
  <si>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</si>
  <si>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</si>
  <si>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</si>
  <si>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</si>
  <si>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</si>
  <si>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</si>
  <si>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</si>
  <si>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</si>
  <si>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</si>
  <si>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</si>
  <si>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</si>
  <si>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</si>
  <si>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</si>
  <si>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</si>
  <si>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</si>
  <si>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</si>
  <si>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</si>
  <si>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</si>
  <si>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</si>
  <si>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</si>
  <si>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</si>
  <si>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</si>
  <si>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</si>
  <si>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</si>
  <si>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</si>
  <si>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</si>
  <si>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</si>
  <si>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IrAvia</t>
  </si>
  <si>
    <t>Novosibirsk - Ikustsk</t>
  </si>
  <si>
    <t>The cargo plane, carrying spare parts, crashed into a military army arsenal at Ikustsk-2 Airport while attempting to land. The crew of 6 and 3 technicians were all killed.</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</si>
  <si>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</si>
  <si>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</si>
  <si>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</si>
  <si>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</si>
  <si>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</si>
  <si>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</si>
  <si>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</si>
  <si>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</si>
  <si>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</si>
  <si>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Sandhikhark, Nepal</t>
  </si>
  <si>
    <t>Nepal Airlines</t>
  </si>
  <si>
    <t>Kathmandu - Pokhara - Jumla</t>
  </si>
  <si>
    <t>9N-ABBÂ </t>
  </si>
  <si>
    <t>The passenger plane crashed into a snow covered mountain and burst into flames while en route from Pokhara to Jamia. Weather was poor at the time of the accident. The PIC lost situation awareness while cruising in IMC, causing the aircraft to collide with terrain.</t>
  </si>
  <si>
    <t>Grombalia, Tunisia</t>
  </si>
  <si>
    <t>Libyan Air Cargo</t>
  </si>
  <si>
    <t>Tripoli - Tunis</t>
  </si>
  <si>
    <t>Antonov 26</t>
  </si>
  <si>
    <t>5A-DOWÂ </t>
  </si>
  <si>
    <t>The aircraft, carrying a medical team with three patients, was destroyed when it crashed in a field, 20 miles from Tunis-Carthage Airport. The pilot reported an engine on fire prior to the accident.</t>
  </si>
  <si>
    <t>South Indian Ocean</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</si>
  <si>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</si>
  <si>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</si>
  <si>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</si>
  <si>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</si>
  <si>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</si>
  <si>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</si>
  <si>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</si>
  <si>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</si>
  <si>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</si>
  <si>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</si>
  <si>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</si>
  <si>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</si>
  <si>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</si>
  <si>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</si>
  <si>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</si>
  <si>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</si>
  <si>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Jamijarvi, Finland</t>
  </si>
  <si>
    <t>Suomen Urheiluilmailijat</t>
  </si>
  <si>
    <t>Aerocomp Comp Air 8</t>
  </si>
  <si>
    <t>OH-XDZÂ </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</si>
  <si>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</si>
  <si>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</si>
  <si>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</si>
  <si>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</si>
  <si>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HK-4700</t>
  </si>
  <si>
    <t>The Cargo plane sruck the side of a mountain about 25 miles north of San Vicente del CaguÃ¡nÂ while en route. The accident was the result of a controlled flight into terrain. The crew failed to evaluate properly the risks and the danger of poor weather conditions and decided to perform the flight in VFR mode.</t>
  </si>
  <si>
    <t>Xiang Khouang province, Laos</t>
  </si>
  <si>
    <t>Laos Air Force</t>
  </si>
  <si>
    <t>Vientiane - Xiangkhoung</t>
  </si>
  <si>
    <t>Antonov 74TK-300</t>
  </si>
  <si>
    <t>RDPL-34020Â </t>
  </si>
  <si>
    <t>The military aircraft crashed in a wooded area while approaching Xiangkhoung's airport, killing 16 people. Among those killed were defense minister Douangchay Phichit and other high ranking officials. For unknown reason, crew was approaching at a too low altitude.</t>
  </si>
  <si>
    <t>Lugansk, Ukraine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</si>
  <si>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</si>
  <si>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</si>
  <si>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</si>
  <si>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</si>
  <si>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</si>
  <si>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</si>
  <si>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Thach That district, Vietnam</t>
  </si>
  <si>
    <t>Military - Vietnam People's Army Air Force</t>
  </si>
  <si>
    <t>Mil Mi-171</t>
  </si>
  <si>
    <t>The helicopter crashed about  40 km west of Hanoi, 15 minutes after taking off during a parachute training mission.</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</si>
  <si>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</si>
  <si>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</si>
  <si>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</si>
  <si>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</si>
  <si>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</si>
  <si>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</si>
  <si>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</si>
  <si>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</si>
  <si>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</si>
  <si>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</si>
  <si>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</si>
  <si>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</si>
  <si>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</si>
  <si>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</si>
  <si>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</si>
  <si>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</si>
  <si>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</si>
  <si>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</si>
  <si>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</si>
  <si>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</si>
  <si>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</si>
  <si>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</si>
  <si>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</si>
  <si>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</si>
  <si>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Tamanraset, Algeria</t>
  </si>
  <si>
    <t>Ukraine Air Alliance</t>
  </si>
  <si>
    <t>Glascow -Tamanraset - Equitorial Guinea</t>
  </si>
  <si>
    <t>UR-DWF</t>
  </si>
  <si>
    <t>The cargo plane crashed in the mountainous southeastern region of Algereia, 15 km south of the airport, shortly after taking off.</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</si>
  <si>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</si>
  <si>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</si>
  <si>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</si>
  <si>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</si>
  <si>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</si>
  <si>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</si>
  <si>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Hevlift</t>
  </si>
  <si>
    <t>Woitape - Port Moresby</t>
  </si>
  <si>
    <t>P2-KSV</t>
  </si>
  <si>
    <t>While approaching Port Moresby Jacksons International Airport, the unscheduled passenger plane impacted terrain near the top of Mt. Lawes, 7 miles east northeast of the airport in poor weather. The pl</t>
  </si>
  <si>
    <t>Wichita Falls, Texas</t>
  </si>
  <si>
    <t>Air Evac Lifeteam</t>
  </si>
  <si>
    <t>Waurika, OK - Wichita Falls, TX</t>
  </si>
  <si>
    <t>The air ambulance crashed while transporting a patient from Waurika, Oklahoma to United Regional Health Center. The patient was killed and 3 crew members injured.</t>
  </si>
  <si>
    <t>Near Uvira, Congo</t>
  </si>
  <si>
    <t>Air Sirin</t>
  </si>
  <si>
    <t>Bujumbura, Burundi - Pointe Noire, Congo</t>
  </si>
  <si>
    <t>4L-AFS</t>
  </si>
  <si>
    <t>The cargo plane impacted a mountainside while en route.</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</si>
  <si>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</si>
  <si>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</si>
  <si>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</si>
  <si>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</si>
  <si>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</si>
  <si>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</si>
  <si>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</si>
  <si>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</si>
  <si>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</si>
  <si>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</si>
  <si>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</si>
  <si>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</si>
  <si>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</si>
  <si>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</si>
  <si>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</si>
  <si>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</si>
  <si>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</si>
  <si>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</si>
  <si>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</si>
  <si>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</si>
  <si>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</si>
  <si>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</si>
  <si>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</si>
  <si>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</si>
  <si>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</si>
  <si>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</si>
  <si>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</si>
  <si>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</si>
  <si>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</si>
  <si>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</si>
  <si>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</si>
  <si>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</si>
  <si>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</si>
  <si>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</si>
  <si>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</si>
  <si>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</si>
  <si>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</si>
  <si>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</si>
  <si>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</si>
  <si>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</si>
  <si>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</si>
  <si>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</si>
  <si>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</si>
  <si>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</si>
  <si>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</si>
  <si>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</si>
  <si>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</si>
  <si>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</si>
  <si>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</si>
  <si>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</si>
  <si>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</si>
  <si>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</si>
  <si>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The air ambulance went missing while on a medical flight. Seven people were on board, including two pilots from Algeria, a flight engineer from Congo, three Senegalese medical crew and a French patient.</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</si>
  <si>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</si>
  <si>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</si>
  <si>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</si>
  <si>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</si>
  <si>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</si>
  <si>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</si>
  <si>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Jalalabad - Bagram</t>
  </si>
  <si>
    <t>Lockheed C-130J Hercules</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</si>
  <si>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</si>
  <si>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</si>
  <si>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MandariÂ </t>
  </si>
  <si>
    <t>Masamba - Makassar</t>
  </si>
  <si>
    <t>de Havilland DHC-6 Twin OtterÂ </t>
  </si>
  <si>
    <t>PK-BRM</t>
  </si>
  <si>
    <t>The aircraft went missing minutes after talking off from the airport. Seven passengers and three crew were on board. Wreckage was located on Mount Latimojong.</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</si>
  <si>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</si>
  <si>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</si>
  <si>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</si>
  <si>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</si>
  <si>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</si>
  <si>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</si>
  <si>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</si>
  <si>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</si>
  <si>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</si>
  <si>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</si>
  <si>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Juba, South Sudan</t>
  </si>
  <si>
    <t>Allied Services LimitedÂ </t>
  </si>
  <si>
    <t>Juba - Paloich</t>
  </si>
  <si>
    <t>EY-406Â </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</si>
  <si>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</si>
  <si>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</si>
  <si>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</si>
  <si>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</si>
  <si>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</si>
  <si>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</si>
  <si>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</si>
  <si>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</si>
  <si>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</si>
  <si>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</si>
  <si>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</si>
  <si>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</si>
  <si>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</si>
  <si>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Akkajaure Lake, Norrbotten, Sweden</t>
  </si>
  <si>
    <t>West Air Sweden</t>
  </si>
  <si>
    <t>Oslo - TromsÃ¸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</si>
  <si>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</si>
  <si>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</si>
  <si>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</si>
  <si>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</si>
  <si>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</si>
  <si>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</si>
  <si>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</si>
  <si>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</si>
  <si>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Dana, Nepal</t>
  </si>
  <si>
    <t>Tara Air</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</si>
  <si>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</si>
  <si>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</si>
  <si>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</si>
  <si>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</si>
  <si>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</si>
  <si>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</si>
  <si>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</si>
  <si>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</si>
  <si>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</si>
  <si>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</si>
  <si>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</si>
  <si>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</si>
  <si>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</si>
  <si>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Antonov AN-26Â </t>
  </si>
  <si>
    <t>S2-AGZ</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</si>
  <si>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</si>
  <si>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</si>
  <si>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</si>
  <si>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201Â </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</si>
  <si>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</si>
  <si>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</si>
  <si>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</si>
  <si>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</si>
  <si>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</si>
  <si>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</si>
  <si>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</si>
  <si>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</si>
  <si>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</si>
  <si>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</si>
  <si>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</si>
  <si>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</si>
  <si>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</si>
  <si>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</si>
  <si>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</si>
  <si>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</si>
  <si>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Near Pigeon Forge, Tennessee</t>
  </si>
  <si>
    <t>Smoky Mountain Helicopters</t>
  </si>
  <si>
    <t>N16760</t>
  </si>
  <si>
    <t>The helicopter crashed in a wooded hillside while on a sightseeing flight..</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</si>
  <si>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</si>
  <si>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</si>
  <si>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</si>
  <si>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</si>
  <si>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</si>
  <si>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</si>
  <si>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</si>
  <si>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</si>
  <si>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</si>
  <si>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</si>
  <si>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</si>
  <si>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</si>
  <si>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</si>
  <si>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</si>
  <si>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Bay of Bengal, Indian Ocean</t>
  </si>
  <si>
    <t>Chennai (Tambram AFB) - Port Blair</t>
  </si>
  <si>
    <t>K2743</t>
  </si>
  <si>
    <t>The aircraft was taking part in fire fighting in the region of Bayanday, when under unknown circumstances, it impact trees and crashed in a wooded area.</t>
  </si>
  <si>
    <t>Near Lockhart, Texas</t>
  </si>
  <si>
    <t>Heart of Texas Hot Air Balloon Rides</t>
  </si>
  <si>
    <t>Sightseeing Fentress Airpark</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</si>
  <si>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</si>
  <si>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</si>
  <si>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</si>
  <si>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</si>
  <si>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</si>
  <si>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</si>
  <si>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</si>
  <si>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</si>
  <si>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</si>
  <si>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</si>
  <si>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</si>
  <si>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</si>
  <si>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</si>
  <si>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</si>
  <si>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</si>
  <si>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</si>
  <si>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</si>
  <si>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</si>
  <si>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</si>
  <si>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</si>
  <si>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</si>
  <si>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</si>
  <si>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</si>
  <si>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</si>
  <si>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</si>
  <si>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</si>
  <si>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</si>
  <si>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</si>
  <si>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</si>
  <si>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Near Tanjung Pinanga, Indonesia</t>
  </si>
  <si>
    <t>Indonesian Police</t>
  </si>
  <si>
    <t>Pangkal Pinang - Batam Island</t>
  </si>
  <si>
    <t>M28 Skytruck</t>
  </si>
  <si>
    <t>P-4201</t>
  </si>
  <si>
    <t>The Indonesian police aircraft crashed in the waters off Kabupaten Lingga, Riau Islands during a 1.5 hour scheduled flight.</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</si>
  <si>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</si>
  <si>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</si>
  <si>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</si>
  <si>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</si>
  <si>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</si>
  <si>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Near Wamena, Papua, Indonesia</t>
  </si>
  <si>
    <t>Indonesian Air Force</t>
  </si>
  <si>
    <t>Timika - Warmera</t>
  </si>
  <si>
    <t xml:space="preserve">  	A-1134</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</si>
  <si>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</si>
  <si>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</si>
  <si>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</si>
  <si>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</si>
  <si>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</si>
  <si>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</si>
  <si>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</si>
  <si>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</si>
  <si>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</si>
  <si>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</si>
  <si>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</si>
  <si>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</si>
  <si>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</si>
  <si>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</si>
  <si>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</si>
  <si>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</si>
  <si>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</si>
  <si>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</si>
  <si>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</si>
  <si>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</si>
  <si>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</si>
  <si>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</si>
  <si>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Beechcraft B200 Super King Air</t>
  </si>
  <si>
    <t>VH-ZCRÂ </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</si>
  <si>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</si>
  <si>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</si>
  <si>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</si>
  <si>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</si>
  <si>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</si>
  <si>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</si>
  <si>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</si>
  <si>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</si>
  <si>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</si>
  <si>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</si>
  <si>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</si>
  <si>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</si>
  <si>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</si>
  <si>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</si>
  <si>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</si>
  <si>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</si>
  <si>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</si>
  <si>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</si>
  <si>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</si>
  <si>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</si>
  <si>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</si>
  <si>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</si>
  <si>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</si>
  <si>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</si>
  <si>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</si>
  <si>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</si>
  <si>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</si>
  <si>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</si>
  <si>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</si>
  <si>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</si>
  <si>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</si>
  <si>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</si>
  <si>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</si>
  <si>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</si>
  <si>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</si>
  <si>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</si>
  <si>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</si>
  <si>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</si>
  <si>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</si>
  <si>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Air Force of the Democratic Republic of the Congo</t>
  </si>
  <si>
    <t>Kinshasa, - Bunia</t>
  </si>
  <si>
    <t>EX-001</t>
  </si>
  <si>
    <t>The aircraft departed Kinshasa and crashed about 20 km NE of Kinshasa.</t>
  </si>
  <si>
    <t>Near CuÃ­lo, Angola</t>
  </si>
  <si>
    <t>Guicango</t>
  </si>
  <si>
    <t>Dundo - Luanda</t>
  </si>
  <si>
    <t>Embraer EMB-120ER</t>
  </si>
  <si>
    <t>D2-FDO</t>
  </si>
  <si>
    <t>The air ambulance crashed en route shortly after the pilot reported a malfunction in the engine, followed by fire.</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</si>
  <si>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</si>
  <si>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</si>
  <si>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</si>
  <si>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</si>
  <si>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</si>
  <si>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Empakaai, Tanzania</t>
  </si>
  <si>
    <t>Costal Aviation</t>
  </si>
  <si>
    <t>Arusha - Serengeti</t>
  </si>
  <si>
    <t>5H-EGG</t>
  </si>
  <si>
    <t>208B-0476</t>
  </si>
  <si>
    <t>The chartered Cessna was flying tourists from Kilimanjaro to Arusha. The plane circled for 30 minuets due to poor weather conditions before crashing.</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</si>
  <si>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</si>
  <si>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</si>
  <si>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</si>
  <si>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</si>
  <si>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</si>
  <si>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</si>
  <si>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</si>
  <si>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</si>
  <si>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</si>
  <si>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</si>
  <si>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</si>
  <si>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</si>
  <si>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</si>
  <si>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</si>
  <si>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</si>
  <si>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</si>
  <si>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</si>
  <si>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</si>
  <si>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</si>
  <si>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</si>
  <si>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</si>
  <si>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</si>
  <si>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</si>
  <si>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</si>
  <si>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</si>
  <si>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</si>
  <si>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</si>
  <si>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</si>
  <si>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</si>
  <si>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</si>
  <si>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</si>
  <si>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</si>
  <si>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</si>
  <si>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</si>
  <si>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</si>
  <si>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</si>
  <si>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</si>
  <si>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</si>
  <si>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</si>
  <si>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</si>
  <si>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</si>
  <si>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</si>
  <si>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</si>
  <si>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</si>
  <si>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S2-AGUÂ </t>
  </si>
  <si>
    <t>BS4041</t>
  </si>
  <si>
    <t>After getting clearance to land, the aircraft was observed flying low. Soon after, the plane impacted terrain and caught fire. The cause of the accident was due to disorientation and  complete loss of situational awareness of the crew.</t>
  </si>
  <si>
    <t>Boufarik AB, Algeria</t>
  </si>
  <si>
    <t>Boufarik AB - Bechar - Tindouf</t>
  </si>
  <si>
    <t>Ilyushin 76-TD</t>
  </si>
  <si>
    <t>7T-WIP</t>
  </si>
  <si>
    <t>The Algerian military plane crashed soon after takeoff in a field and burst into flames. The plane was totally destroyed.</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</si>
  <si>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</si>
  <si>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</si>
  <si>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</si>
  <si>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</si>
  <si>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</si>
  <si>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</si>
  <si>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</si>
  <si>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</si>
  <si>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</si>
  <si>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</si>
  <si>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</si>
  <si>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</si>
  <si>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Cubana (leased from Global Air)</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</si>
  <si>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</si>
  <si>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</si>
  <si>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</si>
  <si>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</si>
  <si>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</si>
  <si>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</si>
  <si>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</si>
  <si>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</si>
  <si>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Flims, Switzerland</t>
  </si>
  <si>
    <t>Ju Air</t>
  </si>
  <si>
    <t>Locorno - Dubendorf</t>
  </si>
  <si>
    <t>HB-HOT</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</si>
  <si>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</si>
  <si>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</si>
  <si>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</si>
  <si>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</si>
  <si>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</si>
  <si>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</si>
  <si>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</si>
  <si>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</si>
  <si>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</si>
  <si>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</si>
  <si>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</si>
  <si>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</si>
  <si>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</si>
  <si>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</si>
  <si>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Georgetown, Guyana</t>
  </si>
  <si>
    <t>Fly Jamaica Airways</t>
  </si>
  <si>
    <t>Georgetown - Toronto</t>
  </si>
  <si>
    <t>Boeing 757-N23</t>
  </si>
  <si>
    <t>N524ATÂ </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</si>
  <si>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</si>
  <si>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</si>
  <si>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</si>
  <si>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</si>
  <si>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</si>
  <si>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</si>
  <si>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</si>
  <si>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</si>
  <si>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</si>
  <si>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Atlas Air serving AmazonÂ </t>
  </si>
  <si>
    <t>Miami - Houston</t>
  </si>
  <si>
    <t>Boeing 767-375ER</t>
  </si>
  <si>
    <t>N1217A</t>
  </si>
  <si>
    <t>ATC lost radar contact with the cargo jet when it was 30 miles southeast of George Bush International Airport. The plane crashed into Trinity Bay and broke apart in muddy water about 5 feet deep.</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</si>
  <si>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</si>
  <si>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</si>
  <si>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</si>
  <si>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</si>
  <si>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</si>
  <si>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</si>
  <si>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</si>
  <si>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</si>
  <si>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</si>
  <si>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</si>
  <si>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Archipelagos Service Aereos</t>
  </si>
  <si>
    <t>Puerto Montt - Ayacara</t>
  </si>
  <si>
    <t>Pilatus-Britten Norman BN-2B-27 Islander</t>
  </si>
  <si>
    <t>CC-CYRÂ </t>
  </si>
  <si>
    <t>While the aircraft was in the initial climb, plane lost height and crashed in flames into a house located in a residential area about 400 meters from the airfield.</t>
  </si>
  <si>
    <t>Near Monclava, Mexico</t>
  </si>
  <si>
    <t>TVPX Aircraft Solutions</t>
  </si>
  <si>
    <t>Las Vegas - Monterrey</t>
  </si>
  <si>
    <t>Canadair CL-600-2B16-Challenger</t>
  </si>
  <si>
    <t>N601VH</t>
  </si>
  <si>
    <t>The aircraft crashed while en route on a return trip from Las Vegas to Monterrey, Mexico.</t>
  </si>
  <si>
    <t>Aeroflot Russian International Airlines</t>
  </si>
  <si>
    <t>Sukhoi Superjet-100-95B</t>
  </si>
  <si>
    <t>RA-89098Â </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</si>
  <si>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t>
  </si>
  <si>
    <t>Near Lipo, India</t>
  </si>
  <si>
    <t xml:space="preserve"> Jorhat-Rowriah - Mechuka</t>
  </si>
  <si>
    <t>K2752</t>
  </si>
  <si>
    <t>Crashed about 34km WNW of Mechuka.</t>
  </si>
  <si>
    <t>Rawalpindi, India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</si>
  <si>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</si>
  <si>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</si>
  <si>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</si>
  <si>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1) Cuál es el total de accidentes occurrido en el período de tiempo que figura en la tabla?</t>
  </si>
  <si>
    <t>2) Cuál es el total de personas que estaba a bordo en todo el periodo analizado?</t>
  </si>
  <si>
    <t>3) De las personas a bordo, cuántas eran tripulantes?</t>
  </si>
  <si>
    <t>4) De las personas a bordo, cuántas eran pasajeros?</t>
  </si>
  <si>
    <t>5) De las personas a bordo, cuál es el total de fallecidos?</t>
  </si>
  <si>
    <t>6) De las personas a bordo, cuál es el total de sobrevivientes?</t>
  </si>
  <si>
    <t>7) Cuál es el total del personal en tierra fallecido?</t>
  </si>
  <si>
    <t>8) En cuántos accidentes hubo fallecidos en tierra?</t>
  </si>
  <si>
    <t>9) Cuántos accidentes hubo por año?</t>
  </si>
  <si>
    <t>10) En qué año hubo mayor cantidad de aeronaves accidentadas?</t>
  </si>
  <si>
    <t>11) Cuál es la franja horaria donde hubo mayor cantidad de accidentes?</t>
  </si>
  <si>
    <t>12) Cuál es el promedio de accidentes por año?</t>
  </si>
  <si>
    <t>13) Qué aeronave fue la que registra mayor cantidad de accidentes?</t>
  </si>
  <si>
    <t>https://www.kaggle.com/datasets/ramjasmaurya/aviation-history19702021</t>
  </si>
  <si>
    <t>https://www.kaggle.com/datasets/saurograndi/airplane-crashes-since-1908</t>
  </si>
  <si>
    <t>Country Name,Country Code,1970,1971,1972,1973,1974,1975,1976,1977,1978,1979,1980,1981,1982,1983,1984,1985,1986,1987,1988,1989,1990,1991,1992,1993,1994,1995,1996,1997,1998,1999,2000,2001,2002,2003,2004,2005,2006,2007,2008,2009,2010,2011,2012,2013,2014,2015,2016,2017,2018,2019,2020</t>
  </si>
  <si>
    <t>Aruba,ABW,,,,,,,,,,,,,,,,,,,,,,,,,,,,,,,,,,,,,,,,,,,,,,,,223502,274280,,</t>
  </si>
  <si>
    <t>Africa Eastern and Southern,AFE,3418300,3775300,4074500,4808000,5126100,5333100,6040400,5798900,6195600,7515200,8614600,9063100,9088900,8973900,9474400,9385300,8825600,9837400,10931600,11110800,11257400,10802900,10302700,11082400,11775500,12153400,13178400,13456500,13234700,14038500,14963609,14546112,14462573,15802323,17562611,20661751,22039609,23295972,23988552,23800085,30374164.94,33507824.27,35838679.01,35112457.82,36350758.95,39154692,41553429,45423814.08,52613964.08,54335254.28,</t>
  </si>
  <si>
    <t>Afghanistan,AFG,84700,97400,104900,96600,96100,99000,101700,111200,100400,93000,76200,129100,181000,200200,220400,225500,184400,217900,201000,220000,241400,212300,212300,197000,238400,250400,255600,89600,52700,140200,149705,,,,,,,,,,1999127,2279341.18,1737962.126,2044188,2209428,1929907,1917924,1647425,1125367,1066747.356,</t>
  </si>
  <si>
    <t>Africa Western and Central,AFW,1167000,1238100,1285700,1453300,1685700,1987500,2540000,2962100,3543900,3776100,4404900,5147600,5190100,5423600,5311800,5794300,5265300,4485000,3930700,3602400,3551000,3405900,3209800,2840600,3167100,3215200,2855900,3020900,3007600,3083500,2949248,2627404,2072438,2081206,2604956,,,,,,7817344.203,9140452.129,9570161.788,8677884,8030237.17,8696300,8129874,8837017,12337766.28,11346590.74,</t>
  </si>
  <si>
    <t>Angola,AGO,,,,,,,155400,282700,308000,546100,635200,801100,890500,952500,689600,894200,727000,746000,750000,509800,451500,456000,440000,333500,519000,552500,585000,555000,552900,293800,235448,193317,189619,198253,222032,239795,262666,277361,283887,274869,1010194,987798,1132424,1321872,1409952,1244491,1482546,1375523,1516628,1436959,</t>
  </si>
  <si>
    <t>Albania,ALB,,,,,,,,,,,,,,,,,,,,,,,,,9100,13000,29000,55400,21200,91500,136622,146273,137569,158888,179543,195702,213315,238913,243691,231263,768533,829778.9239,814339.7303,865848,151632,,26634,204090,303137,307741,</t>
  </si>
  <si>
    <t>Andorra,AND,,,,,,,,,,,,,,,,,,,,,,,,,,,,,,,,,,,,,,,,,,,,,,,,,,,</t>
  </si>
  <si>
    <t>Arab World,ARB,4209300,4737000,5625600,6569400,8227100,10178000,13313000,16062400,18669700,21838000,24725900,25883200,27570500,29098800,30019300,29988100,27905400,29113000,30660000,31525100,31484000,28835100,33877100,34017400,35968300,35918200,38024200,39692100,40403700,43269900,45723758,46769231,49871837,52465002,60950501,43608649,47875367,51722644,53542019,95372047,126796491.9,135837641.4,152014159.7,166209279.1,181627311.1,195957046,214318723,223496214.1,232670166.9,235289347.9,</t>
  </si>
  <si>
    <t>United Arab Emirates,ARE,,,,,127500,173000,240100,299800,374500,456500,521500,577800,569800,601800,674200,717500,935200,1093000,1329500,1481700,1685900,2041800,2508800,2936300,3368700,3550500,4063500,4720400,5263700,5840300,6893085,7675845,9667005,11609840,14314326,,,,,31761631,44948143.85,50342891.8,59948766.7,68151865,75608196,84343562,91763598,95306195,95758342,92798725.09,</t>
  </si>
  <si>
    <t>Argentina,ARG,2332000,2218600,2358500,2312700,2943500,3299200,3293600,3884100,3946700,5023500,5588500,4890100,4595900,4399600,5163600,4713200,5034700,5405800,5068800,4748400,5369100,4545900,5251400,5104500,6260700,6641700,7913000,8599800,8446500,9191900,8915627,5808770,5662905,6036360,6795484,6938436,6611915,7036784,6147290,5694547,9025035.312,8590839.85,9375669.74,11951276.82,12121912.82,14245183,15076354,16749271,18084553,19461377,</t>
  </si>
  <si>
    <t>Armenia,ARM,,,,,,,,,,,,,,,,,,,,,,,,,,,358100,367800,365300,343100,298232,369164,407777,366581,509904,555795,605817,560626,623688,653320,704753,392312,364733,45000,0,,,,53259,193668,</t>
  </si>
  <si>
    <t>American Samoa,ASM,,,,,,,,,,,,,,,,,,,,,,,,,,,,,,,,,,,,,,,,,49772.7887,50641.72277,56096.97968,72240,76944,,,,,,</t>
  </si>
  <si>
    <t>Antigua and Barbuda,ATG,,,,,,,,,,,,389000,376800,385000,420000,500000,600000,582000,700000,740000,755000,870000,913500,955000,1000000,1050000,1098000,1250000,1245200,1371300,1426114,1369069,1286925,1428487,714000,778260,754912,800207,813010,747969,1554309,1424420.155,1310276.413,1218000,1216152,1039810,1042929,590517,580174.1568,526333.9951,</t>
  </si>
  <si>
    <t>Australia,AUS,7318700,7326600,7795600,9384600,10664700,11055100,10864300,11306500,12122300,13022500,13648800,13219500,13187900,12601500,13236800,14412100,15497300,16880200,18816300,15114300,17553400,21860100,23886600,26929300,26888500,28831400,30075100,30953500,30185700,31579700,32577569,33477398,39021581,41386432,41596552,44657324,46951775,48728837,51488427,50026967,60640913,63360310.34,66355274,68197955,68123237.67,69779346,72446421,74257326,75667645.03,76850596.72,</t>
  </si>
  <si>
    <t>Austria,AUT,511400,582100,706600,830900,840800,912100,1060800,1136600,1238900,1301600,1284500,1358100,1447600,1498400,1514000,1708000,1640400,1879700,1964600,2283800,2532100,2605700,3024200,3296900,3747900,4265400,4718600,5153900,5871500,6056600,6641875,6550376,7070344,6902780,7619372,8037890,8785116,9140909,9140680,8520740,13493793,14088251.66,14518841.05,15037454,15210489,14718641,14724774,16171640,12935505,46476602,</t>
  </si>
  <si>
    <t>Azerbaijan,AZE,,,,,,,,,,,,,,,,,,,,,,,1454900,1383400,1380000,1156000,1232900,981800,669400,571700,545800,543800,575300,683700,1007000,1134300,1253400,1440700,756338,839514,796698,1348414,1560084,1651710,1770192,1803112,1961639,2331308,2279546,2585280,</t>
  </si>
  <si>
    <t>Burundi,BDI,,,,,,,4000,4500,5000,5500,11000,5000,5500,6000,8800,8600,5500,21000,11200,7800,8300,8300,8900,8900,8900,9400,9400,12000,12000,,,,,,,,,,,,,,,,,,,,,,</t>
  </si>
  <si>
    <t>Belgium,BEL,1366200,1402000,1457700,1562900,1606700,1585200,1682000,1839400,1976500,2042900,1974200,2053000,2000800,1956600,2031600,2188400,2233200,2362100,2604600,2812100,3132700,3018200,3146300,3650600,4192900,5000900,5173600,6872100,8748400,9965200,10738119,8489007,2341816,2904114,3264582,3340509,3641155,4078094,5878585,4858700,7528586.304,8638553.1,9508165.315,9521421,10535219,11473055,12545322,13676844,13639487,14279187,</t>
  </si>
  <si>
    <t>Benin,BEN,29500,31000,25900,28100,31500,35000,40400,45400,52200,57300,61100,74800,78300,79500,80400,86000,108400,104100,103700,74000,76300,66300,66300,68200,69200,74100,75100,85500,90500,83900,77273,46364,,,,,,,,,53012.81818,58314.1,58314.1,137640,60264,112392,899,,,,</t>
  </si>
  <si>
    <t>Burkina Faso,BFA,30100,31600,26500,28700,32500,36200,41900,47200,54700,59800,72800,75800,78200,93200,93400,100200,158400,126600,126200,131500,136600,126600,126600,128500,129500,137500,138400,96600,101600,147200,143529,100286,53236,54475,61364,66273,73131,77810,80543,79345,160000,133709.7792,125693.6964,138996,117420,122590,144950,145049,189545.3369,203296.2421,</t>
  </si>
  <si>
    <t>Bangladesh,BGD,,,,490000,431400,490500,453300,470300,544200,624200,613700,591400,621500,623000,741800,845300,852400,861000,1004900,997400,1044100,1020800,1051500,1083100,1215900,1261400,1252000,1314700,1152500,1215400,1331369,1449980,1536102,1587606,1650276,1634473,1729451,1242865,1224222,1409414,1818901.019,2022388.572,2195061.68,2781708,3051914.733,3997815,3815869,4660739.038,5677396,5959126,</t>
  </si>
  <si>
    <t>Bulgaria,BGR,988900,985200,1025000,1085000,1130000,1150000,1370000,1400000,1500000,1755000,1787500,1787000,1675000,1790000,1950000,2090000,1965300,2095000,2163600,1997700,1907000,645700,814000,915800,789200,862700,718200,721700,827700,734700,535246,233963,62798,310952,476277,653703,808451,855229,1073496,798165,801840,932868,973062,1013220,1060147,1063498,1092333,1133069,1022645,832828,</t>
  </si>
  <si>
    <t>Bahrain,BHR,241000,280000,320000,350000,127500,173000,240100,299800,374500,456500,521500,577800,569800,601800,674200,717500,647400,621500,698400,752800,770900,875500,981100,1080000,1150600,1072500,1200300,1164600,1207000,1307000,1382461,1250076,1255713,1850491,2284547,,,,,5215512,6028980,5590998.041,5861786.999,4626648,5171496,5313756,5220218,5190484,5877003,6440562,</t>
  </si>
  <si>
    <t>Bosnia and Herzegovina,BIH,,,,,,,,,,,,,,,,,,,,,,,,,,,,,49900,60100,69142,64993,65643,72864,,,,,56313,79977,56485.16182,40182.43977,24874.08963,15000,36636,7071,,,,5375,</t>
  </si>
  <si>
    <t>Belarus,BLR,,,,,,,,,,,,,,,,,,,,,,,,804900,804900,804900,843000,230900,225500,212300,210899,221714,204908,234273,274185,281877,307403,344290,351165,333252,652142,737599,943081,1159500,1317732,1489035,2057194,2493100,2760168,3208254,</t>
  </si>
  <si>
    <t>Belize,BLZ,,,,,,,,,,,,,,,,,,,,,,,,,,,,,,,,,,,,,,,,,143928,179471.4135,448015.914,513175.6,877765,935604,990499,1285642,1297533.223,1278187.556,</t>
  </si>
  <si>
    <t>Bermuda,BMU,,,,,,,,,,,,,,,,,,,,,,,,,,,,,,,,,,,,,,,,,,,,,,,,,,,</t>
  </si>
  <si>
    <t>Bolivia,BOL,244000,331100,379000,375700,475000,652500,744700,862300,1015600,1225500,1342000,1220300,1160100,1299000,1359500,1343300,1300700,1232600,1266700,1272600,1237600,1200000,1214400,1117000,1175200,1223700,1783500,2250800,2115500,1872600,1756608,1557128,1508700,1770774,1824313,1892343,1443165,1744663,1718196,1537032,1781340,2125912.527,2206069.761,2027888,3563043.583,4115271,3678739,4053427.35,4122113,4066959,</t>
  </si>
  <si>
    <t>Brazil,BRA,3339800,3911000,4671400,5842400,6855500,7772900,8799000,9514400,10621300,11856900,13008100,12594600,13168300,12605900,12948400,13402900,17194700,17068600,17010900,19410800,19149600,19153100,16388500,16535600,17898600,20196100,22011500,24307000,28091100,28205300,31287784,34285574,35889538,32372040,35263795,37661733,40945038,45286990,58763225,67945578,74627064,87860363,94752568,95591641,100403628,102039359,94142377,96395709,102109977,102917546,</t>
  </si>
  <si>
    <t>Barbados,BRB,,11500,19700,23700,25600,32600,33700,42300,50200,53900,45500,60800,43800,34500,55000,32400,52400,17000,0,0,0,0,,,,,,,,,,,,,,,,,,,,,,,,,,,,,</t>
  </si>
  <si>
    <t>Brunei Darussalam,BRN,,,,,,,,,,,,,,,184400,198900,206600,247000,279000,300000,307000,307000,410000,604100,769400,916200,856900,876800,876800,808000,863547,1007542,1035795,956133,1079578,977516,1041478,1017028,1075754,999375,1263270,1312935,1044170,1139784,1061148,1150003,1168609,1172201,1234455,1421313,</t>
  </si>
  <si>
    <t>Bhutan,BTN,,,,,,,,,,,,,,,,,,,8000,8000,8000,8000,8700,8700,8700,29700,35000,36100,36100,30700,34425,35114,40859,36365,45456,49092,51056,53609,52805,49056,181537.3717,226153.1266,193405,207996,302160,162864,224101,254643,275849,276092,</t>
  </si>
  <si>
    <t>Botswana,BWA,,,,,,,,,,10400,39000,50000,46700,50300,54500,58900,54000,60100,57700,82100,101300,102300,111200,122600,100500,99900,104000,116400,123700,144100,163909,169526,179041,188842,212951,229987,213587,227624,236182,233515,290195,415864.0844,415130.021,270996,205992,226549,254396,223673,253417,299351.994,</t>
  </si>
  <si>
    <t>Central African Republic,CAF,69500,71800,68900,74100,79500,88000,98400,103400,117200,122300,136100,129100,112300,114400,117700,123500,128400,122100,123700,128000,130300,120300,66300,68200,69200,74100,75100,85500,90500,83900,77273,46364,,,,,,,,,,,,,,,,,,,</t>
  </si>
  <si>
    <t>Canada,CAN,10180300,10247300,11628500,14626800,16367500,16712900,16833100,17466400,18472000,20846400,22453000,22097100,19653800,18107900,19382600,19688400,20378500,19946500,22379400,21273800,20601400,16586500,16818300,17516500,18104800,20291100,22856000,23981500,24653300,24602000,41767974,40451914,23323029,35884417,40701307,45229860,46726978,52103547,53718757,52583516,63277409.38,66078011.95,70467400.79,71526725.92,75528607,80228302,85406425,91404001,91504000,93352000,</t>
  </si>
  <si>
    <t>Central Europe and the Baltics,CEB,3799600,3806500,4411500,4884800,4862400,5252700,5839000,6213400,6626200,7313900,6945200,6431500,5223200,5941300,6658500,6989200,6920800,7246800,7416500,7661800,7188800,4707300,6010600,6537200,7385600,7324344.1,8216500,8745500,9570400,9991700,11117833,11445703,11808082,14065887,16768232,19040472,20221059,23721701,25261998,24733789,32710131.38,34477031.59,32490649.47,35246300.75,37875158.18,39811670,42884394,52125994,62622491,69934277.3,</t>
  </si>
  <si>
    <t>Switzerland,CHE,3397400,3926200,4054100,4514400,4575000,4691800,5084900,5437100,5686800,5887400,5930100,6220600,6252200,6266800,6254500,6506200,6707800,7213900,7483500,8229500,8603400,7973600,8255700,9152000,9338200,9859000,10468300,12481600,14298900,16209000,17268093,16914823,13295500,10118096,9287315,9662619,10647142,12298456,14352757,14701206,22146864,24866065,26386306.6,27503416,27923164,27011762,25859918,26732570,28857994,30339654,</t>
  </si>
  <si>
    <t>Channel Islands,CHI,,,,,,,,,,,,,,,,,,,,,,,,,,,,,,,,,,,,,,,,,,,,,,,,,,,</t>
  </si>
  <si>
    <t>Chile,CHL,574700,690600,730000,636200,505200,509700,489900,589400,552700,558900,668800,885700,822400,651900,730800,825200,875200,992400,1144100,1263800,1363600,1405900,1905800,2360000,2961700,3197200,3621900,4610000,5149800,5187700,5174876,5315623,4986727,5246787,5463753,5939020,6016649,7190963,8021939,8097314,9269026,10949863,12892856,13806283,14347893,15006762,16362437,17664974,19517185,21197759,</t>
  </si>
  <si>
    <t>China,CHN,,,,,710000,1000000,1050000,1110000,1540000,2519000,2568000,3236000,3942000,3836000,5000000,7300000,10000000,12500000,17000000,11080000,16596100,19520000,27345000,31312500,37601000,47564500,51770100,52277000,53234000,55853100,61891807,72660653,83671798,86040642,119789024,136721623,158013351,183613132,191001220,229062099,266293020,292160158,318475924,352795296,390878784,436183969,487960477,551234509,611439830,659629070,</t>
  </si>
  <si>
    <t>Cote d'Ivoire,CIV,108700,51000,47900,51600,56500,95000,113700,120400,132200,137300,151100,379100,382300,388500,397700,182700,184900,183400,190700,218200,200200,177700,195100,186200,156900,174700,178700,157600,162400,259600,107979,46364,,,,,,,,,516085,89791.86777,39485.4722,234996,237120,642893,667062,808471,825257,748540,</t>
  </si>
  <si>
    <t>Cameroon,CMR,65800,108500,130000,211300,228200,239000,296900,346700,392700,402500,480000,485500,634000,631000,676500,718000,536100,561000,582000,403400,284200,356600,363100,274800,295000,345000,361800,279000,277900,292600,273000,324114,243122,315100,355610,384059,424794,453051,470598,466050,0,171007.2,248027.2,287208,275760,267208,343592,236000,265136,198881.213,</t>
  </si>
  <si>
    <t>Congo, Dem. Rep.,COD,305000,325900,327800,363700,464100,445000,462800,488100,569900,577700,439200,492600,377700,330700,338000,131500,168900,200800,216200,202600,206700,150400,116400,83700,177600,,,,,,,95200,,,,,,,,,210913,252408.1796,471536.2046,456000,456228,476353,416033,959738,587653.0308,550457.8926,</t>
  </si>
  <si>
    <t>Congo, Rep.,COG,55800,58600,54900,58600,63500,69000,77400,85400,102200,113300,117100,154100,158300,216900,227700,248500,248400,220100,219700,233800,238900,228900,228900,230800,231800,266900,252900,244500,240900,132200,127541,95188,46967,52268,,,,,,,341640.4292,438178.4704,703966.4211,652452,553944,657927,577780,333899,508978.9399,541787.1369,</t>
  </si>
  <si>
    <t>Colombia,COL,3010200,2959700,2963600,3147300,3118000,3376100,3730000,4117300,4747100,5052400,4808200,4570100,6701500,6583900,5737400,5737300,5731300,5598500,5460000,5565100,5266700,5539900,6232100,6930200,7686500,7863300,8342100,9188900,9289700,8619200,8568734,9604390,9424850,9142585,8829094,9984424,10616356,11630594,12338706,12115330,16932435,18768534.77,22012458.84,26929238,28675159,30909723,32262658,32504898,33704037,37031843,</t>
  </si>
  <si>
    <t>Comoros,COM,,,,,,,,,,,,,,,27000,32800,25900,25900,25900,26000,26000,26000,26000,26000,26000,27300,27300,,,,,,,,,,,,,,,,,,,,,,,,</t>
  </si>
  <si>
    <t>Cabo Verde,CPV,,,,,,,53000,55000,60000,65000,75000,103100,104000,122200,127000,128200,150000,174000,176200,176700,176900,96000,100000,100000,118300,124200,129200,237000,236100,252300,263547,242799,236577,252751,560000,690000,753511,793153,807957,776469,570553,620394.7511,597982.6004,600000,590304,548908,565810,336718,561944,675482,</t>
  </si>
  <si>
    <t>Costa Rica,CRI,255900,280400,307300,314400,374300,371800,390500,326800,321300,366000,431200,427600,458600,379600,322500,310000,334700,347600,400600,440800,467000,507600,622800,690300,773200,870400,917900,991500,1169500,1055300,877833,737895,675146,749885,901402,953217,943143,1017054,1023665,932581,1697893.889,1829514.947,1770111.378,1498996,1427414,1525922,1572605,1822880,1950049,2033146,</t>
  </si>
  <si>
    <t>Caribbean small states,CSS,657600,818000,913500,936900,1126600,1580400,1745000,1567200,1599200,1996300,2161900,3444600,3454900,3378500,3621900,3792000,4223300,4402700,4521000,4686700,4412200,4461200,4324000,4455100,4779300,5123200,4681700,4566100,4607700,6250100,6769190,6579219,6306172,6210378,5043466,4742561,4645698,4918479,4978399,4424144,4996231,5829441.176,5920044.896,5475499.6,6162872.329,5845803,5986259,5816851,6645652.514,,</t>
  </si>
  <si>
    <t>Cuba,CUB,873500,979200,988300,805500,689200,711100,716600,634800,725500,819400,675600,650700,135000,839400,839100,894400,913200,889000,963900,989800,1137500,830600,733000,624100,730900,823700,928700,1117000,1138400,1259000,1007193,882309,588700,610957,743256,812781,811559,857213,861352,780484,1578011.789,1478595.959,1313502.684,1395072,1135200,1294458,1333078,942785,563540,457712.999,</t>
  </si>
  <si>
    <t>Curacao,CUW,,,,,,,,,,,,,,,,,,,,,,,,,,,,,,,,,,,,,,,,,,,,,,,,,,,</t>
  </si>
  <si>
    <t>Cayman Islands,CYM,,,,,,,,,,,,,,,,,,,,,,,,,,,,,,,,,,,,,,,,,,,,,,,,,,,</t>
  </si>
  <si>
    <t>Cyprus,CYP,106500,150200,201000,233100,125700,135800,225300,266300,315300,387500,440800,455000,454300,485300,563000,613400,620500,683700,696900,747700,813700,819700,946800,1011000,1233900,1218900,1214100,1278100,1346400,1336700,1396076,1503427,1704780,1882981,2013254,1920516,1944138,2071648,2111205,1943949,1583627,1263117,1285976,1211208,688368,23405,224653,711554,401408,395436,</t>
  </si>
  <si>
    <t>Czech Republic,CZE,1171900,1092500,1364400,1367000,1514700,1621000,1656800,1538100,1680300,1758600,1460800,955000,852600,908400,910700,980300,991000,1069600,1153800,1168800,1095700,837400,973800,1024900,1071600,1284600,1393600,1447800,1600800,1852600,2229216,2565808,2808793,3391474,4219478,4706226,4921600,4869586,4974879,5048360,5145187,4902816,3594882,5186676,5009995,3378028,4048658,5450671,8851291,5446163.2,</t>
  </si>
  <si>
    <t>Germany,DEU,6498000,7029200,7919100,7371300,8886900,9369200,10418600,10907500,11709800,12843900,13046400,12964400,12755000,13099900,14051800,14551300,15174000,17011400,17894900,19056900,22146900,24829500,27577800,29362600,32465300,34680100,40118400,45804500,49279800,54652800,57962865,56389365,61889678,72693124,82099657,90788848,99647314,106101747,107941584,103396735,97330734.28,107042775.8,105978474.5,109062321.5,112353098.6,117222850,116713587,114160685,109796202.2,109633750.7,</t>
  </si>
  <si>
    <t>Djibouti,DJI,,,,,,,,,28000,29000,62500,88700,93000,110000,115000,119000,117000,124400,124900,130000,130500,130500,,,,,,,,,,,,,,,,,,,,,,,,,,,,,</t>
  </si>
  <si>
    <t>Dominica,DMA,,,,,,,,,,,,,,,,,,,,,,,,,,,,,,,,,,,,,,,,,,,,,,,,,,,</t>
  </si>
  <si>
    <t>Denmark,DNK,1775300,2056800,2284900,2409000,2401900,2518100,2795700,2946800,3117200,3556200,3329700,3065000,3536900,3947700,3229200,3494000,3834000,4148100,4376700,4720600,4840300,4582000,4826800,5077900,5381000,5689300,5892000,6236400,5946600,5767700,5922623,6382092,6322432,5886037,6428701,,,,,,,,,,,,,,,,</t>
  </si>
  <si>
    <t>Dominican Republic,DOM,128800,182700,191500,150000,160000,302100,359300,424800,429600,454600,466300,440300,413900,446700,605000,733600,614500,298700,350500,479500,718000,264200,322900,327900,300200,67400,29500,33600,33500,10400,,,,,,,,,,,19167,28232.1,28442.05,20004,16128,14463,11903,,,227504,</t>
  </si>
  <si>
    <t>Algeria,DZA,563200,714800,843900,1053600,1252100,1618000,1681600,1997100,2229000,2663400,2950000,3000000,3150000,3410500,3781000,3965900,3689900,3566900,3655000,3862300,3748000,3385000,3551100,3254500,3241000,3477800,3494100,3517700,3381800,2936800,2997480,3419249,3002232,3292815,3236364,3037298,2899722,2813018,2884506,4370917,3372283,3543663,4082595,4492436.963,5021288.963,5400896,6093416,6230157,6442442,6748653,</t>
  </si>
  <si>
    <t>East Asia &amp; Pacific (excluding high income),EAP,,,,,10458800,11774800,12545500,13571100,15667800,17767700,19463300,22763000,23994200,24162000,27209100,30078100,34762200,40027200,47778100,44109000,52224800,57949100,69094200,77190600,88857400,104320600,110862300,107721300,106380600,105525000,117475001,131899488,144954360,145986148,202945818,220887277,244449016,277768225,287719256,326293542,430864598.6,482521208.8,526101395.4,579867089.8,640242859.1,708798867,790494215,881698293,964324620.1,1005359310,</t>
  </si>
  <si>
    <t>Early-demographic dividend,EAR,23504800,24773900,28315800,32223400,35817700,42393800,50085900,57485600,64497000,72296400,77945100,81825400,84299300,88030100,94420700,95843400,97108600,102698800,106126700,110458200,109133700,105647800,118459100,121137600,131391900,134162100,139817900,146347300,144205700,142004200,149713878,160513615,149570435,160293889,190654278,202084384,224730790,245988633,244712190,259076645,370779756.7,411779408.1,443984379.7,473370786.9,518240248.9,566264222,621441555,679891167.7,741133708.2,726259634.9,</t>
  </si>
  <si>
    <t>East Asia &amp; Pacific,EAS,,,,,55002800,57020100,60206300,69217300,77737300,87068700,89147600,95951900,95443200,95932600,104993100,111257200,119684900,133303700,149927400,154389196,174905500,188860300,208797800,221775804,243006604,273666300,292148204,298428300,300493300,312218196,337766614,351529526,374787907,366358229,429868117,454655578,486160240,523755806,535907588,555699740,726070353.1,769209920.7,809282604.5,893899315.8,965572758.2,1052102292,1155866926,1266613885,1363722227,1417293420,</t>
  </si>
  <si>
    <t>Europe &amp; Central Asia (excluding high income),ECA,,,,,,,,,,,,,,,,,,,,,,,85103500,52980200,46234400,45265200,40195800,38401300,33881800,36952300,38573123,40628177,41126264,44721661,53142425,57641212,63438057,72096540,81323459,82906743,109784824,127505522.5,146637092.4,164714280.8,182072466.4,200728351,207356831,232379500,251974151.5,265949433.1,</t>
  </si>
  <si>
    <t>Europe &amp; Central Asia,ECS,,,,,,,,,,,,,,,,,,,,,,342307200,313517500,290815100,302847300,318012844.1,339543200,361142200,368219300,398388896,428305223,427544242,426545437,460194210,506766844,518261374,559653407,607952555,623643998,615350087,671844987.3,728739259.9,749916268.9,778805759.9,823125948.6,886634821,941730493,1015616107,1085617534,1132924748,</t>
  </si>
  <si>
    <t>Ecuador,ECU,419500,457500,437800,380200,362200,448100,463300,528600,593300,632900,701000,691700,676300,618000,634000,664200,697200,692000,683700,741800,762500,752300,1473900,2122400,2118700,1670900,1925200,1790600,1918800,1386700,1318518,1284922,1184098,1521249,1828303,2011004,2110423,2630759,2926821,2896528,4818305,4714115,4758406.307,5157521,5675088,5677816,5099726,5121235,5365261,4827978,</t>
  </si>
  <si>
    <t>Egypt, Arab Rep.,EGY,542500,515400,623100,656300,837000,916900,1112700,1282400,1426300,1689800,2027700,2232600,2433200,2617700,2786200,2786200,2350100,2891200,3192100,3418600,3239200,2595400,3608600,2880500,3537500,3897200,4282400,4416300,3894900,4620100,4521702,4389163,4526688,4180814,4621310,4888146,4988262,5829044,6688999,6215870,9518106.013,7708160.107,9081175.146,10593780.18,10278013.11,11109554,11844962,11748510,12386010,12959679.65,</t>
  </si>
  <si>
    <t>Euro area,EMU,39643000,43871800,48582800,52394200,54363300,56735600,61089600,66529900,72757200,76943200,78070300,80934800,83756300,85330500,89014400,94216800,94997000,105072500,114465600,124135000,134459400,131411900,144488700,149322600,159931900,171988500,190436600,210002000,219023000,238927500,259579401,257007629,258285964,288282210,315899184,344015957,374599784,407969143,408980682,401882488,414887775.1,439335562.7,437876149.5,441085469.3,458429866,495116034,527688666,558725887,582704366.3,634255101.4,</t>
  </si>
  <si>
    <t>Eritrea,ERI,,,,,,,,,,,,,,,,,,,,,,,,,,,,,,,,,,,,,,,,,,,,,,53074,66927,102729,89136.81591,101357.3759,</t>
  </si>
  <si>
    <t>Spain,ESP,6347400,7505400,8654900,9964000,10198100,10959100,11801100,13328200,15369000,15683000,15089000,14601800,14637600,14538000,14283900,14850700,15403500,16553300,18983200,20270300,21652000,20944600,23385800,22279400,22361300,25765700,27759200,30315700,31594100,33559400,39711776,41469789,40380629,42506835,45539952,49855007,53122464,60664991,55213716,49289158,52847712.61,52736140.93,48089178.33,48056735.82,53069339,60564041,66674868,71598374,80706703,88237165.27,</t>
  </si>
  <si>
    <t>Estonia,EST,,,,,,,,,,,,,,,,,,,,,,,146300,127700,157300,168600,149400,230500,297400,302000,277595,277768,304135,395485,509556,577808,598123,651323,685582,395532,582320.2028,614933,914519,627588,602880,512389,372274,13103,62802,857,</t>
  </si>
  <si>
    <t>Ethiopia,ETH,231600,263100,288500,309200,268700,244300,288000,226100,185800,197400,242900,327600,335300,357500,398800,471200,527500,594100,592600,650800,620300,635600,756400,752000,716400,749900,743000,772300,789900,861400,944595,1027528,1103184,1117329,1403293,1667316,1720306,2290179,2715017,2914056,3347022,4440917.691,5001121.865,5671501,6274582,7074779,8242114,9566378,11501244,12631216,</t>
  </si>
  <si>
    <t>European Union,EUU,47767900,52648900,58293200,62913900,64977900,67971100,73633200,79541900,86861500,93006700,93554600,96063300,98607500,101810300,106237300,112309600,114465700,125896200,136470700,147372400,157891000,150528000,164292000,169958600,182625300,193536844.1,213329200,235129900,245065100,266190600,288449342,286388891,287161373,317807082,347767674,359471494,390742949,425646377,427781328,419908189,442721426.2,468821255.3,465108860,471018726.1,490844607.8,529467494,565289154,605233486,640084500.3,698301861.6,</t>
  </si>
  <si>
    <t>Fragile and conflict affected situations,FCS,4293500,4830800,5380800,6018800,6572200,7788200,9502900,10807400,11927200,13205700,14837000,15712200,16017600,16043200,14980500,15865300,16248900,16401100,18787400,19902300,17088600,16231400,17593100,16217900,14996700,13358800,13802500,13296600,12772700,13639900,13502631,18387267,16020314,13118706,16210854,16538371,18968927,20413907,20595246,20141732,30729212.05,35642146.31,34829096.63,35374395.6,37604995.27,36416100,36167874,37088378.05,43371036.44,40595810.12,</t>
  </si>
  <si>
    <t>Finland,FIN,1279500,1394800,1535800,1697500,1884600,2048300,2040400,1836300,1993400,2345800,2512200,2751100,2815100,2797300,2991300,3153300,2987800,3626100,4009900,4299500,4450200,3998700,3898400,3947500,4492000,5211900,5597500,6002300,6771100,6241600,6828143,6697556,6415606,6183906,7049416,7075195,7597125,8288683,7916485,7423265,8685772.868,9508050,10731828.49,10467321,10992792,13035848,13754228,12209646,13364839,14610547,</t>
  </si>
  <si>
    <t>Fiji,FJI,,,,257100,296200,300000,313000,305000,280000,310000,322000,319300,330000,309300,324800,320200,313400,309700,382000,458800,433400,413700,426000,424200,464600,494500,479600,516900,516200,549800,586043,612727,715000,972000,836719,870571,932394,960546,946138,1146591,1259009,1276205.48,1225268.562,1161936,1243824,1336976,1402765,1557876,1670216,1700293,</t>
  </si>
  <si>
    <t>France,FRA,9108000,9569200,11285100,11957500,12159300,13112800,14301900,15431300,16821200,17967000,19521000,21591200,22372400,23278100,23694300,24491900,25211400,27950200,30667300,33975500,35963900,33127800,33963900,35625600,38170400,36020400,41252600,43400700,42232400,49536300,52581312,50476541,49305864,47258820,48543473,52477178,59537872,61551258,61214656,58318312,60864422.11,64185339.34,64683769.02,63925151,63434263,65039503,65362743,68316473,70188028,71289277,</t>
  </si>
  <si>
    <t>Faroe Islands,FRO,,,,,,,,,,,,,,,,,,,,,,,,,,,,,,,,,,,,,,,,,,,,,,,,,,,</t>
  </si>
  <si>
    <t>Micronesia, Fed. Sts.,FSM,,,,,,,,,,,,,,,,,,,,,,,,,,,,,,,,,,,,,,,,,,,,,,,,,,,</t>
  </si>
  <si>
    <t>Gabon,GAB,120200,125500,122800,130300,136200,139700,190400,176700,170000,175000,331100,340000,421000,428300,436100,456000,459500,393100,382800,406700,398300,436000,471400,302300,505200,508200,431300,468500,466700,423100,446688,373904,365877,385529,430873,465343,508368,535324,545640,524867,243635.529,121233.3957,42729.31947,0,,137331,77320,,,,</t>
  </si>
  <si>
    <t>United Kingdom,GBR,15568800,15796000,17308500,18959700,18062600,18074900,19472900,19484500,23186100,25312100,25551200,24578700,23872500,23376200,25825700,28229400,29373100,33705300,37573100,46354400,47113600,42861200,47819400,50187900,55475500,59688800,64208500,62763200,61940200,65738296,70436030,70331725,72381196,76388660,86054762,93602879,97544631,101622807,104713553,102464509,101515720.2,111598546.1,115419920.6,118605866,124901676.1,131512994,143781714,151159067,165388610,142392528,</t>
  </si>
  <si>
    <t>Georgia,GEO,,,,,,,,,,,,,,,,,,,,,,,,,169600,176900,152400,110500,110100,158600,117521,110800,246609,303802,228560,249131,271553,304139,310222,294400,164446,222630,178363,189316,196589,232263,220448,341751,516034,615327.8053,</t>
  </si>
  <si>
    <t>Ghana,GHA,116700,135600,131700,135600,148200,153800,233500,248800,309700,330400,279000,288800,230000,271400,261000,252600,247900,224400,247800,231900,188100,191700,206000,152400,182500,185900,197200,210600,209800,304100,314335,301135,255630,241111,96444,,,,,,169030.9496,491583.0344,691271.9614,396372,407544,390457,359516,681691,467624,597343,</t>
  </si>
  <si>
    <t>Gibraltar,GIB,,,,,,,,,,,,,,,,,,,,,,,,,,,,,,,,,,,,,,,,,,,,,,,,,,,</t>
  </si>
  <si>
    <t>Guinea,GIN,48900,49000,51000,54500,56900,65000,65000,66000,71000,72000,80000,128000,131000,129200,132000,136000,25700,30400,26600,39700,41300,42200,23300,24200,45000,35000,36300,36300,36100,58500,,,,,,,,,,,,,,,,,,,,,</t>
  </si>
  <si>
    <t>Gambia, The,GMB,,,,,,,,,,,,,,,,,,,,,,,,,,,,,,,,,,,,,,,,,0,0,11284,146784,151776,3036,44330,53735,104891.3948,109542.1451,</t>
  </si>
  <si>
    <t>Guinea-Bissau,GNB,,,,,,,,,20000,20000,22200,22200,20600,21000,21900,22500,19500,20500,20500,20500,20500,20500,20500,20500,20500,20500,20500,20500,20400,,,,,,,,,,,,,,,,,,,,,,</t>
  </si>
  <si>
    <t>Equatorial Guinea,GNQ,,8500,9000,9500,10000,10500,11000,12000,12000,13000,13300,13300,13300,13300,13400,13700,13700,13700,27600,14000,14000,14000,14000,14000,14000,14700,14700,20900,20800,,,,,,,,,,,,25969.38236,130197.6,316620.85,401712,303024,400758,458222,496322,404301.328,420832.2563,</t>
  </si>
  <si>
    <t>Greece,GRC,1614700,2021400,2412600,2802600,2304600,2832600,3541000,3883900,4670500,5021100,4891300,4900700,5633900,5811800,6878400,7456600,6479500,6567600,6659700,6632000,6134600,4937000,5465500,5478100,5812900,6006000,6396000,7060800,6403400,6590700,7937434,8430333,7579225,7518932,9276954,9452219,9481314,10206223,9442743,8795133,10352657.53,9569211.419,8785275.456,8761116,11152236,11237054,12689082,13852857,15125933.52,16124738.33,</t>
  </si>
  <si>
    <t>Grenada,GRD,,,,,,,,,,,,,,,,,,,,,,,,,,,,,,,,,,,,,,,,,,,,,,,,,,,</t>
  </si>
  <si>
    <t>Greenland,GRL,,,,,,,,,,,,,,,,,,,,,,,,,,,,,,,,,,,,,,,,,,,,,,,,,,,</t>
  </si>
  <si>
    <t>Guatemala,GTM,112500,101100,98000,43000,88800,113500,119000,137800,136300,156300,118900,124400,114600,99500,124000,108400,103100,114800,98900,110200,156000,165000,230000,240000,252000,300000,300000,508400,506400,,,,,,,,,,,,313892,326146.2062,288013.9008,78264,69768,93129,111830,155524,145795,107350,</t>
  </si>
  <si>
    <t>Guam,GUM,,,,,,,,,,,,,,,,,,,,,,,,,,,,,,,,,,,,,,,1255510,1172372,,,,,,,,,,,</t>
  </si>
  <si>
    <t>Guyana,GUY,17800,18700,19000,20000,22000,24000,26000,27000,27000,27500,27500,81500,93000,93000,100000,104000,122500,128500,135200,143000,145700,111900,115300,115300,115300,121100,126000,126000,125500,70400,73256,47800,,,,,,,,,273160,340267.6232,247780.3477,0,0,,,,26069,28697,</t>
  </si>
  <si>
    <t>High income,HIC,271999292,291581204,321224208,350404700,363051100,365863000,395931096,430031892,483598204,544782200,531308388,524014200,533203708,560080796,600450088,645265604,695992796,748878304,787572012,815005900,850382016,831073304,878777892,899281716,976116504,1028741040,1108689204,1163688292,1178541980,1268745700,1361424743,1313774006,1284682645,1311380520,1456687072,1500215352,1552509961,1624610874,1593438381,1582075701,1753389085,1809227213,1836103248,1896809765,1974848635,2094107437,2214133910,2322860993,2436150683,2524656719,</t>
  </si>
  <si>
    <t>Hong Kong SAR, China,HKG,,,,,,,,,,,,,,,,,,,,,,,,,,,,5957200,12254000,12592600,14377973,14064286,15636216,13024791,17892816,20229512,21796158,24133664,25401266,23973030,28347688,30293677,32247332.08,34644497,37933773,41867157,43683583,45580297,47101822,46469864,</t>
  </si>
  <si>
    <t>Honduras,HND,295600,269900,240600,280400,315800,298600,288700,324400,359800,414200,507800,410600,377000,435900,439500,451000,319600,425500,482300,573900,609700,447300,437500,602200,,,,,,,,,,,,,,,,,501520,423655.3256,422016.8876,372972,239124,276689,275587,248964,411989,245079.131,</t>
  </si>
  <si>
    <t>Heavily indebted poor countries (HIPC),HPC,3070800,3354500,3415000,3636500,4026800,4387200,5101500,5193400,5664300,6468300,6969100,7255200,7394400,7618200,7991800,7460400,7178000,7293000,7551600,7301700,7434000,6618700,6719700,6433300,6139600,6114500,6751600,6925200,6968200,6849500,6492929,5967306,,,,,,,,,14165092.23,17296028.46,18073364.03,18079383.82,19361000.32,20661772,20915140,23844385.43,26411525.91,27243663.84,</t>
  </si>
  <si>
    <t>Croatia,HRV,,,,,,,,,,,,,,,,,,,,,,113400,215100,432200,624000,644.1,727200,767200,920000,926000,1072000,1245000,1356000,1582000,1743000,2099000,2148000,1545318,1752603,1679197,1577226,1812519,1872799,1716702,1756070,1782666,1875433,2057804,2093577,2108591,</t>
  </si>
  <si>
    <t>Haiti,HTI,10400,10600,11000,11500,0,0,0,0,0,0,0,0,0,0,0,0,0,0,0,0,0,0,,,,,,,,,,,,,,,,,,,,,,,,,,,,,</t>
  </si>
  <si>
    <t>Hungary,HUN,282300,268200,266300,330000,456500,414100,427200,555000,659000,830200,874300,1017000,1020700,957300,1038500,1116100,1150600,1231400,1176400,1316300,1363100,910700,1029100,1216900,1325400,1310900,1563400,1634700,1749200,1943500,2197521,2023385,2098760,2260849,2546234,2735214,2591666,3133574,3111575,2952885,12477063.18,13729553.53,12289555.08,13926540,16482060,20043787,21399963,26066294,31226848,39803373,</t>
  </si>
  <si>
    <t>IBRD only,IBD,,,,,52352500,60085100,67797700,74812800,82444600,92881800,98659800,104454800,108500000,111353700,118298600,123830100,132691000,142224500,151720400,154335800,159562400,288238700,249287400,227755500,242797500,260412144.1,269421600,278907900,276766600,281964600,302077954,331479712,334877312,346454377,421250768,457746406,506432777,571342851,602329034,654666498,850497494.1,948977935.3,1030743896,1123867191,1223688739,1342229140,1461070125,1619971597,1769305160,1839386710,</t>
  </si>
  <si>
    <t>IDA &amp; IBRD total,IBT,,,,,59678800,68595200,78110700,85566200,94555100,106151600,113445800,120366700,124715400,128029500,135519400,141561300,150415200,159896300,170496100,172706400,178700100,306448300,271850700,249315900,264620500,281495744.1,290119200,300379900,298474600,303852900,323854019,353461238,354836889,366713422,444743421,482971713,533670988,599627079,631333677,683927328,891956142.2,997808123.8,1080347427,1174597729,1276673084,1396421827,1517531639,1680834868,1840061201,1908548821,</t>
  </si>
  <si>
    <t>IDA total,IDA,5585100,5762600,5576700,6893700,7326300,8510100,10313000,10753400,12110500,13269800,14786000,15911900,16215400,16675800,17220800,17731200,17724200,17671800,18775700,18370600,19137700,18209600,22563300,21560400,21823000,21083600,20697600,21472000,21708000,21888300,21776065,21981526,19959577,20259045,23492653,25225307,27238211,28284228,29004643,29260830,41458648.08,48830188.45,49603530.74,50730538.39,52984344.99,54192687,56461514,60863270.63,70756041.17,69162110.57,</t>
  </si>
  <si>
    <t>IDA blend,IDB,2069400,1959100,1628700,2327100,2448700,3366700,4343400,4867000,5827800,6194900,7325200,7956400,8093800,8386100,8575100,9542000,9379300,9227600,9376900,9437900,9605300,9634000,13830900,11732700,12197100,11674500,10788200,11784100,11596400,12221200,12058275,12976878,10439111,10669835,11971594,13181865,14641094,14980619,15375119,14965530,20774321.43,23867830.73,24663522.39,24098238.09,24165927.34,24997482,25950100,24353773,28749421.06,29208297.01,</t>
  </si>
  <si>
    <t>Indonesia,IDN,826400,994500,1286800,1787400,2219700,2527500,3103200,3781300,4431100,4656100,5059100,6098100,6028700,5567500,6494300,6468100,7115400,7568900,8823700,8983400,9223100,10401800,11176800,12009000,13924500,15977200,17138800,12650200,12613600,8046800,9916365,12453812,12113452,12221066,26780550,26835524,29867483,30405918,29766093,27421235,59384361.61,70912258.11,79405799.81,81721356,85215879.51,90095131,99274010,108393123,115154100.9,91323153,</t>
  </si>
  <si>
    <t>IDA only,IDX,3515700,3803500,3948000,4566600,4877600,5143400,5969600,5886400,6282700,7074900,7460800,7955500,8121600,8289700,8645700,8189200,8344900,8444200,9398800,8932700,9532400,8575600,8732400,9827700,9625900,9409100,9909400,9687900,10111600,9667100,9717790,9004648,9520466,9589210,11521059,12043442,12597117,13303609,13629524,,20684326.65,24962357.72,24940008.35,26632300.3,28818417.64,29195205,30511414,36509497.63,42006620.12,39953813.56,</t>
  </si>
  <si>
    <t>Isle of Man,IMN,,,,,,,,,,,,,,,,,,,,,,,,,,,,,,,,,,,,,,,,,,,,,,,,,,,</t>
  </si>
  <si>
    <t>India,IND,2671600,2554000,3285800,3391600,3037300,3839900,4534000,5147500,6099600,6546800,6603100,7574500,8391700,9164800,10125700,10993800,11785200,12668600,12863100,12740100,10862200,10717400,11127100,9441600,11518400,14260600,13394600,16039800,16521000,16005400,17299483,16862737,17633019,19455085,23934074,27879461,40288794,51897450,49877935,54446373,64374253.8,73996912,72151828.89,75589071,82718882.88,98927860,119577835,139752424,164035637.5,167499116,</t>
  </si>
  <si>
    <t>Not classified,INX,,,,,,,,,,,,,,,,,,,,,,,,,,,,,,,,,,,,,,,,,,,,,,,,,,,</t>
  </si>
  <si>
    <t>Ireland,IRL,1476300,1544200,1408800,1496300,1474600,1475700,1578100,1675600,1781300,2022500,1830200,1978600,1949100,1780800,1838500,1828800,1972000,2279000,3675600,4376300,4812300,4764600,5006000,4650400,4825700,6586500,7676800,8963700,10401200,11948800,13983022,15450847,19728801,28863657,34748853,42872544,50737809,60099058,69447262,77747207,84784226,89956333.51,92637189.19,93408036,98449140,115928738,134065078,153944513,167598633,170161848,</t>
  </si>
  <si>
    <t>Iran, Islamic Rep.,IRN,715600,761400,894800,1141600,1361900,1949400,2499100,3005400,3333500,2168700,1998100,1539700,2127800,3190900,4087800,3422000,4670600,4846900,4486800,4882600,5632600,5537500,4895600,5351800,5803500,6290600,7609600,9804100,9200400,8277300,8722145,16485326,9891522,16301238,11877705,12708354,13623038,13915755,12029236,13052716,18760850.38,19113946.16,17687478.52,16580818.01,16825260.83,13873256,17084581,26858178.78,23029380,21641449.39,</t>
  </si>
  <si>
    <t>Iraq,IRQ,197700,235600,186200,208800,290900,387600,568000,672400,675300,687800,619900,457000,480600,454000,435000,540000,535000,535000,1113000,1160800,701600,27700,53000,,31500,,,,,,,,,,,,,,,,641129,761778.1744,784944.253,476484,476484,2142554,2019816,1591490.01,4812610,2717146,</t>
  </si>
  <si>
    <t>Iceland,ISL,457900,494100,545800,592800,611200,590200,601500,645000,688000,694000,541500,522100,574300,601400,710100,778000,808400,910100,844700,735900,759500,772600,767100,801000,1031200,1097000,1239100,1334400,1592700,1350200,1431818,1357946,1198920,1133775,1332811,1528929,1536157,1720496,1423422,1364651,1851416.842,2150527,2400160,2602714,3035882.779,4134980,5710834,7242611,7819740.56,4656017,</t>
  </si>
  <si>
    <t>Israel,ISR,485000,1057400,1137100,1163500,1214300,1053700,1299800,1454100,1519700,1584000,1483300,1585200,1480800,1578700,1669400,1802700,1828600,2009700,1894600,2118000,2004000,2047500,2391200,2569400,2980400,3453400,3694600,3753600,3698500,4033200,4442967,3967140,3708138,3677879,4968931,4392448,4357151,4662615,4563041,4605452,5084798,5151469,5381980,5565864,5886728,6331198,6866472,6993888,7404373,6659838.31,</t>
  </si>
  <si>
    <t>Italy,ITA,6743700,7644100,7462200,8189900,8631400,8360600,8238100,9424100,9507000,9462500,9955800,10493300,11611000,11996600,12593600,14408000,13811100,15268100,15649200,17437700,19750000,18846800,21766700,21901400,22959300,23665800,25838500,28183900,27462700,28281000,30418137,31031074,28244627,36345771,35922093,36115764,36709131,37830745,30672048,33194501,32645164,33923370.51,31072962.16,27846220,27193939,28603919,29120041,26288001,27243741,27760301,</t>
  </si>
  <si>
    <t>Jamaica,JAM,278700,425400,554900,568500,743300,696800,706500,601800,705900,795300,722700,727800,729600,716300,826000,887600,1058600,1257500,1188700,1210800,1003600,894000,983200,1037800,1011000,1126400,1388300,1400100,1453900,1669800,1922123,1946123,2016000,1838047,2007765,1573785,1526571,1618165,1644056,1380000,0,0,0,46272,76244,92836,136744,151326,180951.272,,</t>
  </si>
  <si>
    <t>Jordan,JOR,118800,119600,119900,162300,243400,379900,475500,557300,728400,914300,1112600,1443300,1667300,1457300,1327600,1310200,1132000,1178000,1225900,1204000,963900,797200,1109300,1185600,1219500,1270000,1299200,1353400,1186700,1252200,1281997,1178058,1299699,1353444,1660235,1737165,2046457,2246212,2355285,2323750,3077036.696,3267109.736,3438356,3294911,3211795,3065145,3181283,3381677,3383805,3478444,</t>
  </si>
  <si>
    <t>Japan,JPN,16315100,17880500,20169500,25393100,27485700,27281400,29566000,36177400,40554700,45367800,45144500,48061200,46394200,46554000,50452800,51294700,52489800,57757700,62087500,69321696,76223800,78719800,81378400,80063904,83913504,91797000,95913504,94997600,101701200,105994496,109123312,107823469,109037841,103988547,101740600,102279015,102845319,99842338,97022471,86896527,109617021,89788818,98907859,107573000,110547000,114128000,117708000,123898000,126387527,130233352,</t>
  </si>
  <si>
    <t>Kazakhstan,KAZ,,,,,,,,,,,,,,,,,,,,,,,5273400,706400,702300,1117300,568000,568000,565800,467200,461283,500981,756959,1009731,834760,1160286,1283250,1295050,1275624,1192714,3098327,3786453.064,4064819.023,4785588,4918608,5081632,5007869,6903190,5920110,6800111,</t>
  </si>
  <si>
    <t>Kenya,KEN,171500,188000,216800,340800,382800,361500,449600,237300,363300,377400,392500,408700,391300,435500,479200,558700,611300,655800,720900,760500,794400,759900,721400,769500,753500,740400,778600,835700,1138400,1357800,1554949,1418183,1599843,1678160,2005473,2424382,2685148,2857464,2880546,2948920,4039583,4508698.012,4653459.735,4516500,4448530.528,4569473,4848016,5109576,5905365.123,6417534.056,</t>
  </si>
  <si>
    <t>Kyrgyz Republic,KGZ,,,,,,,,,,,,,,,,,,,,,,,,464000,464000,438700,488200,423000,620100,312100,240954,192060,174369,205604,245570,225923,219464,274981,204525,309488,375602,526018.0125,494640.4268,771165,712284,967629,1015750,1122951,1175000.704,874326,</t>
  </si>
  <si>
    <t>Cambodia,KHM,40500,107000,136200,140000,129000,112500,112500,112500,,,,,,,,,,,,,,,,,,,,,,,,,124847,164515,162132,168810,256160,307782,211281,183503,277725.0543,499981.518,508688.5094,615123.328,1071179,1103880,1047394,1305297,1411059,1429503.73,</t>
  </si>
  <si>
    <t>Kiribati,KIR,,,,,,,,,,,,59000,60000,60000,65500,26400,32000,24900,24000,24900,24900,24900,25400,25600,25600,26900,28400,28400,28300,,,,,,,,,,,,,,,,,,,66567,66567,65846.852,</t>
  </si>
  <si>
    <t>St. Kitts and Nevis,KNA,,,,,,,,,,,,,,,,,,,,,,,,,,,,,,,,,,,,,,,,,,,,,,,,,,,</t>
  </si>
  <si>
    <t>Korea, Rep.,KOR,1208100,1463600,1640000,2213400,1923800,2046700,2075200,2466500,3099800,3725900,3566600,4186700,4201500,4861500,5353300,6202500,7211400,8330900,9826000,13160800,15684500,16908000,19766900,21425900,24932300,29345200,33002700,35505800,27109000,30870200,34331368,33710340,34831814,33372577,34511494,33888328,34842655,36655313,36077655,34168590,36987982,39911749.59,39969577.02,54530105,58289180,66093149,76859538,82818983,88157579,92434079,</t>
  </si>
  <si>
    <t>Kuwait,KWT,315200,342200,390700,453600,517900,624800,737000,812300,849500,965100,1076200,1252500,1460700,1534500,1497900,1449200,1465700,1511100,1557300,1640600,965600,840100,1408600,1553800,1756200,1950800,2133400,2113900,2240800,2130000,2112523,2084574,2299218,2185990,2496441,2433213,2627870,2659769,2523966,2597076,4563082,3722729.503,3481039,3244805,3530851,3752995,4069935,5731748,6464847,7385299,</t>
  </si>
  <si>
    <t>Latin America &amp; Caribbean (excluding high income),LAC,15309100,16221900,18362100,19932800,23338700,26591400,29501700,31872900,35398800,40941100,44275500,43379100,44101800,45091900,46268800,47473500,50588300,51188300,48560200,51734600,53506300,52311900,52316200,55325000,61662500,61056200,65666200,73303600,77885600,78956200,81854501,81867726,81964755,81085205,87141018,93115390,95816180,103841513,116271617,123930038,158357125.8,174395052.6,191682898.9,208956931.5,221642902.2,237567474,239723192,249448786.4,266449596.8,277418454.7,</t>
  </si>
  <si>
    <t>Lao PDR,LAO,55900,42000,43000,44500,45000,45000,45000,30000,12000,13000,13000,14500,14700,14000,15700,15800,24500,45000,47500,49600,115400,115400,118500,118500,118500,124500,124500,124500,124100,197200,210847,210847,219598,218652,271706,293442,326730,328326,323401,302596,443778,532707,877949.8814,1476528,1310124,1181188,1220201,1196041,1009414,979307,</t>
  </si>
  <si>
    <t>Lebanon,LBN,548600,648000,743800,819000,1037300,900000,1050000,928500,862900,904000,930300,843800,571000,695800,410700,501300,498700,353300,493200,182600,572300,535500,599600,677400,706400,769800,774600,856900,716000,719400,805803,815862,874152,935213,1086730,1076258,968820,1074219,1067774,1308382,1893359,2029610,2148669,2241480,2419476,2591297,2647258,2879528,2981937,3164358,</t>
  </si>
  <si>
    <t>Liberia,LBR,,,,,25000,25500,26000,27000,29000,9400,10600,30400,40900,44000,50000,42000,42000,44000,45700,46300,33700,32000,32000,,,,,,,,,,,,,,,,,,,,,,,,,,,,</t>
  </si>
  <si>
    <t>Libya,LBY,190200,259400,327200,352000,408000,558000,669900,801900,890600,913800,1168800,1486000,1557800,1860000,1583800,1579300,1382900,1515100,1581200,1617000,1803000,1883700,1350100,853000,640800,623200,638600,570600,570600,585500,600734,582712,559404,626532,850185,0,1151785,1204107,1213854,1147234,2928705.68,2284066.501,1398125.134,2744844,2391856,1430460,1283181,1186424,1442576,1367458,</t>
  </si>
  <si>
    <t>St. Lucia,LCA,,,,,,,,,,,,,,,,,,,,,,,,,,,,,,,,,,,,,,,,,,,,,,,,,,,</t>
  </si>
  <si>
    <t>Latin America &amp; Caribbean,LCN,17717500,18809300,21078700,22821000,26532900,30649500,33989400,37141200,41000200,47754900,51822900,52315700,53473200,53517600,54487400,56286100,60548200,61892400,61535800,66610700,65165400,64136600,64903900,68207800,73894400,72889000,77252200,85239100,90079300,93629700,96507566,101576743,97945064,94799825,100859199,107537262,110439889,120106257,133677728,140453020,178418790.8,198178802.3,217297987.7,234290843.1,248819233,264217989,266690030,275641368.4,293327220.8,305099527.7,</t>
  </si>
  <si>
    <t>Least developed countries: UN classification,LDC,2730800,3045500,3129100,3816800,3969800,4109300,4915900,4914900,5137300,6108400,6523600,6950300,7329400,7433800,7539900,7459300,7562300,7675100,8589300,7631200,7986900,7201900,7366700,7251300,7794000,7350100,7686300,7640300,7741700,7631800,7690574,7544406,7533065,7643563,9205839,9963958,10582532,11015971,11256036,11769610,18083757.29,21798105.78,22619178.96,25019675.15,25990551.47,25697166,27094160,32834897.63,38813584.41,37021082.49,</t>
  </si>
  <si>
    <t>Low income,LIC,1820500,2007800,1941900,1977700,2251600,2477200,3120300,3254700,3354900,3672900,3956500,4210100,4264500,4339700,4383100,3995300,4185700,4185700,4318400,4345400,4712200,4151500,4459600,4416500,4535400,4203400,4500900,4498300,4544500,4659500,4776260,4640077,,,,,,,,,11761536.13,14168273.54,13737452.86,14815345,14719339.16,12867667,13753911,15919522.08,17823482.47,18715242.2,</t>
  </si>
  <si>
    <t>Liechtenstein,LIE,,,,,,,,,,,,,,,,,,,,,,,,,,,,,,,,,,,,,,,,,,,,,,,,,,,</t>
  </si>
  <si>
    <t>Sri Lanka,LKA,104600,116000,116000,108500,107700,117300,127700,181000,100000,105300,235000,405200,572700,616500,681300,698600,611400,586900,694300,744500,891800,892700,1045600,993800,1066800,1155700,1170700,1231900,1212500,1421500,1755567,1718331,1740807,1957606,2412889,2817778,3100832,3206766,2951506,2417713,3008322.692,3665394,4616417,4793393.4,4756131,4911730,5284585,5403577,5882376,5582446,</t>
  </si>
  <si>
    <t>Lower middle income,LMC,14146800,13828400,14948900,17301000,18433100,21875700,25420000,29007800,33284800,35025400,36968200,40233900,42789900,45727300,49686100,51542100,53088200,55498000,58594300,59127200,58443200,58350100,70712500,66565400,72614700,79546500,81709600,84396300,82697100,75595700,80713568,92091011,84160922,93191967,114547801,123206707,142223883,157930225,159838914,164958473,242592321.5,277010278.3,289944155.6,298197940,325085167,354631230,403099557,451715655.7,497639888.3,485852079.6,</t>
  </si>
  <si>
    <t>Low &amp; middle income,LMY,,,,,56112600,64058300,73133900,79736800,88449100,98846700,105431200,111458200,115611200,120020600,127389400,132966000,140810600,149505700,157940200,158104100,167747800,295359700,259509400,236169600,251850100,269705600,277787100,287395600,284683200,288820600,308344969,332003774,336352773,350038834,427064325,464332419,514678364,579030330,609013383,662531836,868444010.2,969998335.8,1050213214,1144598528,1244554029,1365284976,1484942512,1646720312,1804079431,1870492239,</t>
  </si>
  <si>
    <t>Lesotho,LSO,,,,,10000,10000,11000,11000,40000,52000,36300,36600,54800,61000,48700,50700,55300,60900,63000,53300,56000,56000,26100,20500,26600,24800,17100,10500,28200,1300,,,,,,,,,,,,,,,,,,,,,</t>
  </si>
  <si>
    <t>Late-demographic dividend,LTE,,,,,24637200,27412300,30153500,32162100,35456000,40432600,42895300,45741200,48636300,48639000,51251500,55201400,63012500,68463800,76750800,76969300,84784000,218048600,169668800,149063500,156855000,173392100,178597200,184906800,187098700,199593400,216639000,237815480,258940139,271040893,331760561,347642313,384756400,444476143,485748645,572829124,685670532.1,761255355.4,830069110.5,907272787.7,985686600.9,1088963002,1190947049,1323673354,1434010524,1522692336,</t>
  </si>
  <si>
    <t>Lithuania,LTU,,,,,,,,,,,,,,,,,,,,,,,557200,149700,194500,209900,214000,236800,258900,249600,283836,304051,303865,329271,447883,505409,429657,423585,609847,616514,81450,69445,592996,1009728,1274911,1363946,1046012,1069268,26031,40610,</t>
  </si>
  <si>
    <t>Luxembourg,LUX,167000,250000,211300,218100,220600,230000,250000,260000,290000,300000,161500,163200,203700,224100,243200,239400,247700,272900,293900,296000,409300,405700,460600,470500,532500,569700,639100,559800,701400,842700,870831,885852,822533,853903,855840,851136,927738,1039067,1059848,681482,786920,785200,781146,1555788,1710624,1830972,1845726,1901012,2099102,2114417,</t>
  </si>
  <si>
    <t>Latvia,LVA,,,,,,,,,,,,,,,,,,,,,,,65700,111200,167000,173000,275900,229100,229100,196200,278396,255392,264991,339747,593662,1032128,1409620,1344912,1371810,1301848,3158051,3299391,2888683,2754720,2636612.759,2527368,2843133,3441024,4058762,4976410,</t>
  </si>
  <si>
    <t>Macao SAR, China,MAC,,,,,,,,,,,,,,,,,,,,,,,,,,,,,,,1532189,1706332,1728004,1211797,1800237,2040654,2285750,2393294,1866141,1427324,1329721,1327732,1561850,1767100,2078758,2276436,2788571,2776815,3157724,3659911,</t>
  </si>
  <si>
    <t>St. Martin (French part),MAF,,,,,,,,,,,,,,,,,,,,,,,,,,,,,,,,,,,,,,,,,,,,,,,,,,,</t>
  </si>
  <si>
    <t>Morocco,MAR,289500,362000,410300,486500,509600,672900,808900,1047200,1131700,1153800,947400,929600,974100,932200,1000700,1113900,1095500,1187400,1267300,1360800,1580000,1429700,2169000,2139600,2183900,2147200,2301200,2638400,3012000,3392100,3671317,3680688,3049154,2638314,3004353,3492984,4109489,4623543,4927341,4930683,7144446,7502696.745,6563646.676,6507408,6976810,7043971,7738637,8667392,8132917,9380951,</t>
  </si>
  <si>
    <t>Monaco,MCO,,,,,,,,,,,44000,44000,44000,44000,73200,73800,37500,40000,40000,42500,42500,42500,44000,44000,44000,44000,44000,44000,43800,75200,82764,77798,104255,94563,83916,87523,95721,101753,84660,63876,59658,63186,65404.36364,64524,64188,60382,12137,316,316,316,</t>
  </si>
  <si>
    <t>Moldova,MDA,,,,,,,,,,,,,,,,,,,,,,,571100,312300,312300,169500,190000,46400,118000,43000,117532,120125,129377,179084,200615,231985,273810,314361,401199,402423,479457,540679,543872,557653,692496,1005936,936254,1092606,1423791,1408166,</t>
  </si>
  <si>
    <t>Madagascar,MDG,168000,197700,201100,217800,230700,203100,262000,292200,335800,407500,447700,444900,410200,347300,360000,350800,355900,410600,387000,342400,424200,314300,343900,418500,450700,497200,542100,574900,600500,639800,629409,657953,266033,451729,513508,574904,572991,616433,558981,499526,524296,544100.7273,588169,539208,520421,458572,441861,486425,541290,544458,</t>
  </si>
  <si>
    <t>Maldives,MDV,,,,,,7000,10000,13000,20000,25000,27000,33800,34000,38000,40000,60000,65000,8400,8400,8400,9400,9400,9400,9400,38500,158600,206900,188900,247200,261100,315108,56216,57902,60218,75875,81945,93417,92483,91096,85448,,,,,1024693.845,1313533,1409704,1485752,1191383.083,1221786.675,</t>
  </si>
  <si>
    <t>Middle East &amp; North Africa,MEA,5302800,6428900,7528900,8687900,10597800,13016800,16872300,20259300,23545300,25387900,27858700,28680800,30856600,33496000,35296900,34822500,34087200,35611400,36641600,38333400,38928000,36420700,41137700,42087100,45080700,45976000,49613000,53725800,53713700,56424000,59654534,67991058,64355768,73216604,78560904,61431744,66638675,71222974,71070884,114274202,151073013.6,160271708.8,175337423.6,188897689.1,204902736.9,217000211,239193056,257942310.8,264706357.9,264891892.9,</t>
  </si>
  <si>
    <t>Mexico,MEX,2966600,3107300,3962000,4589600,5501500,6522900,7675700,8238200,9387700,11381500,12889800,13853300,12777300,13923500,14440200,15364400,13824500,13504900,11412300,12689000,14341300,14901000,15532200,16484800,18791400,14968800,14677700,17266500,17717400,20561100,20894205,20172824,19618662,20661206,21167881,21857658,21243010,20952513,18825976,15728171,31269061,29538937,32909408.72,35986501.82,39570522,46966763,53313307,58537832,64569640,69937838,</t>
  </si>
  <si>
    <t>Marshall Islands,MHL,,,,,,,,,,,,,,,,,,32000,33800,36300,66400,66300,96000,43500,41900,45800,41300,33100,32000,33100,16109,18805,24592,27471,28970,25789,30232,29980,29530,27692,,,,,,,,22435,24313,21500,</t>
  </si>
  <si>
    <t>Middle income,MIC,,,,,53861000,61581100,70013600,76482100,85094200,95173800,101474700,107248100,111346700,115680900,123006300,128970700,136624900,145320000,153621800,153758700,163035600,291208200,255049800,231753100,247314700,265502200,273286200,282897300,280138700,284161100,303568709,327363697,332200014,345724905,421849936,458543191,508659021,572214366,601803110,655205066,856682474.1,955830062.3,1036475761,1129783183,1229834690,1352417309,1471188601,1630800790,1786255949,1851776997,</t>
  </si>
  <si>
    <t>North Macedonia,MKD,,,,,,,,,,,,,,,,,,,,,,,,187500,203000,215000,287300,228900,488900,506100,599012,315450,165735,200959,210875,191977,209255,234366,196420,86868,,,,,,,,,,,</t>
  </si>
  <si>
    <t>Mali,MLI,39200,39000,44000,46900,49800,50500,59400,61400,57000,66000,71000,71000,79000,77000,70000,61000,69000,4000,,,,,66300,68200,69200,74100,75100,85500,90500,83900,77273,46364,,,,,,,,,303692,363857.3759,181742.6142,33444,0,,,,,,</t>
  </si>
  <si>
    <t>Malta,MLT,127800,110800,102100,140600,152500,205200,221100,255300,351600,382000,401500,397900,401700,366300,364100,384100,411300,429400,480600,506500,597800,648600,692500,797000,1002500,1065900,1037500,1054300,1159400,1421300,1364904,1340031,1398990,1309119,1365223,1371865,1495333,1674773,1708268,1992900,1699829,1673765,1535101,1603404,1588165,1583046,1500824,1575125,2576898,2251944.835,</t>
  </si>
  <si>
    <t>Myanmar,MMR,345800,380500,393000,405000,388300,391300,396000,410000,425000,460000,481000,500000,515000,517000,487000,509000,511000,512000,516000,308000,318500,318500,318500,318500,318500,334500,334500,334500,333200,536800,437600,398216,1186162,1117208,1392244,1503624,1620895,1662866,1637923,1527346,924207,1539676,1663425.435,1572120,1926969,2095503,2741388,3149037,3407788.433,3701663.849,</t>
  </si>
  <si>
    <t>Middle East &amp; North Africa (excluding high income),MNA,3575800,4124900,4817000,5611900,6920600,8605400,10386000,11833300,13058400,12941600,13570500,13987100,15082400,16939000,17702900,17521400,17574800,18367600,19326800,20258200,20968500,18725100,19938500,19026300,20017600,20833300,22956900,26337800,25271800,25105400,26100792,34079465,26788324,32800028,30468644,31260133,34256632,36205520,35864926,38021520,52770471.77,52290259.43,50973534.93,53720922.15,54370978.91,50614910,55760221,66657459.79,67240082.92,65811920.69,</t>
  </si>
  <si>
    <t>Montenegro,MNE,,,,,,,,,,,,,,,,,,,,,,,,,,,,,,,,121737,,287111,337046,383140,,,,,659355.4148,523356,544519,528852,503040,526980,544597,507637,565522,597380,</t>
  </si>
  <si>
    <t>Mongolia,MNG,,,,,,,,,,,,,,,,,,,,,,615700,590600,630000,630000,661500,661500,240200,239700,224700,253917,255298,269886,294880,310158,295252,347998,380708,364470,257233,391188,496649.1077,626469.9665,585864,683254,529311,537853,602775,670360,744413,</t>
  </si>
  <si>
    <t>Northern Mariana Islands,MNP,,,,,,,,,,,,,,,,,,,,,,,,,,,,,,,,,,,,,,,,,,,,,,,,,,,</t>
  </si>
  <si>
    <t>Mozambique,MOZ,,,,,,119500,248900,225200,266400,273000,282200,291500,391100,404700,325200,207700,226400,210600,235000,242900,279500,282800,224700,206200,220700,168200,163400,188400,200700,234800,259568,264216,281513,280516,293873,346830,350314,443010,461125,490019,558192,577019.8145,559608.7957,701472,739636.7441,676028,632965,569211,540124,587364,</t>
  </si>
  <si>
    <t>Mauritania,MRT,84500,68400,65900,72700,78300,84500,94400,105400,117200,124300,141100,144100,147300,148500,201700,213800,233400,216100,216100,220400,222700,212700,212700,214600,215600,227900,234800,245200,249600,187400,185061,155687,105541,116136,128329,138595,149188,154662,153895,142355,524817.8947,381075.9236,325239.5236,261696,271212,248158,280215,418817,379211,386621,</t>
  </si>
  <si>
    <t>Mauritius,MUS,23000,24200,25200,24000,28000,30000,33000,30100,55000,82300,83700,102200,106400,122900,155000,182800,199700,285400,383700,423800,519700,525300,578100,581900,635900,675800,716900,803900,847500,823200,949085,1002282,1029466,1042773,1088696,1145737,1056496,1277957,1256746,1092580,1265458,1321491,1313976,1318052,1354388,1466527,1593666,1674395,1745291,1726868,</t>
  </si>
  <si>
    <t>Malawi,MWI,51700,66100,74700,90400,98300,122400,93700,100300,106400,111700,94000,107600,130300,96900,127000,140400,140200,114200,115800,121200,120300,120100,121400,132100,141600,148700,152500,158300,157700,112300,115831,112560,104711,108854,122477,132275,145747,154837,159917,157007,91520.1894,82709.54499,53518.998,5856,5856,6011,6744,10545,10545,7117,</t>
  </si>
  <si>
    <t>Malaysia,MYS,748900,875100,1015600,1864400,2331900,2503600,2671000,2864700,3096000,3489500,4516400,5347700,5241700,5360900,5685400,5687000,6310500,7396100,7683600,8694600,10241500,11837400,12756900,13101300,14249800,15417800,15117600,15591600,13654400,14984600,16560793,16107156,16281275,16704600,19226564,20369086,17833364,21325754,22420870,23766316,34239014.17,38218608.85,39165195.22,47995842,49673884,50345820,53817353,58711937,60481772,63623130,</t>
  </si>
  <si>
    <t>North America,NAC,173629292,184390404,202953908,216936000,223979900,221613300,239850396,257611392,291497504,334470400,317782088,303183500,310646408,333707996,359574088,391747504,434932996,461779204,476582312,474435304,485175416,468602404,483783292,487442612,533028800,553803196,593928000,614552892,612824180,658966608,707095388,662639760,621733444,624881527,718811915,765777598,772257943,796405857,755498308,732006924,783774409.4,796874012,807166400.8,814697725.9,838238607,878450302,909445425,940807001,980528000,1020089000,</t>
  </si>
  <si>
    <t>Namibia,NAM,,,,,,,,,,,,,,,,,,,,,,455000,163200,178700,198800,224600,236800,214500,213700,214100,247147,215237,222009,265655,282915,399280,400947,430741,452167,454855,485849,540867.9,632330.085,510000,522216,553322,558713,623076,602893,212578,</t>
  </si>
  <si>
    <t>New Caledonia,NCL,,,,,,,,,,,,,,,,,,,,,,,,,,,,,,,,,,,,,,,,,,,,,,,,,,,</t>
  </si>
  <si>
    <t>Niger,NER,54700,56700,52900,57600,63500,69000,75400,83400,94200,99300,111100,114100,116300,117500,117700,73500,120000,111700,111300,74000,76300,66300,66300,68200,69200,74100,75100,85500,90500,83900,77273,46364,,,,,,,,,0,0,119652,87936,13227.5,15243,15044,14713,,,</t>
  </si>
  <si>
    <t>Nigeria,NGA,173000,227100,286800,314100,430300,590400,800800,1093900,1441000,1581300,1938500,2300200,2138400,2221300,1945900,2575000,2134000,1614400,995000,848900,964800,930000,646500,608400,664800,547900,221200,318200,313400,419700,507396,519453,520278,520263,540461,747648,1307541,1363435,1460900,1365343,4197375,4793913.274,4716148.081,4209624,4462001.63,4613169,4110075,4789878,7786143.994,6539048.353,</t>
  </si>
  <si>
    <t>Nicaragua,NIC,107100,137500,144000,77500,81000,85000,89000,110000,110000,145000,115000,97000,100000,95000,85000,90000,80900,85000,86500,109500,129600,129600,159200,34000,43800,48200,51300,51300,51100,58700,61031,,,,,,,,,,,,,,,,,,,,</t>
  </si>
  <si>
    <t>Netherlands,NLD,2881100,3012300,3275800,3682400,3627100,3827700,4080900,4452000,4718300,4918900,4983800,5058000,5201900,5278900,5654900,6027700,6382000,7403400,7860100,8253400,8559400,8893200,10087800,11774600,12894800,16377900,17114300,17889900,18675500,19741200,20898713,20072980,22931166,23454932,25595676,26132696,27454451,28857440,29601230,29108547,26979676.63,29959476.4,31672223.98,33455251,33956338,35687843,40078714,42763443,44417573.58,46358457.95,</t>
  </si>
  <si>
    <t>Norway,NOR,2412300,2791600,3101600,3342600,3367500,3530400,3853500,4192500,4487400,4866900,4804400,4979400,5210400,5610800,6113900,6799700,7485200,8146000,8261000,8300000,8928500,8857300,9661200,10383600,11133100,11695500,12727300,13759000,14291500,15009600,15182305,14556181,13699204,12805757,12277222,,,,,,,,,,,,,,,,</t>
  </si>
  <si>
    <t>Nepal,NPL,203400,217900,232000,250000,263000,219700,248300,255000,270000,416500,379900,364500,400200,363700,395500,422000,436200,408800,987800,679100,679000,633900,648800,633100,682600,716700,755000,755000,753600,582600,643332,641142,352544,356369,444691,480266,509792,528226,520303,484394,917939,901116.1179,776864.1216,643140,517548,510342,634292,2443630.512,4525805,1659671,</t>
  </si>
  <si>
    <t>Nauru,NRU,,,,,,,,,,,,,,,,,,,,,,,,,,,,,,,,,,,,,,,,210424,30195.52105,34884.32689,19334.84785,16488,34572,38859,47252,45457,40290,50668,</t>
  </si>
  <si>
    <t>New Zealand,NZL,1862000,1923800,2084300,2544400,2961300,3047400,3023200,3198500,3399500,3807300,3497500,3316100,3073900,3222000,3764900,4158600,4527300,4812300,5093600,5723500,5865600,5370800,5784400,6290800,7716100,7676600,9597000,9435400,8654900,9565600,10781314,11467023,11285424,12259437,11305401,11951935,12382205,12545766,12950904,12104116,13295185,13747024.21,13937353.94,14434056,13618712,14385078,15300409,16271523,17249049.95,17763604.46,</t>
  </si>
  <si>
    <t>OECD members,OED,276589892,296537504,327004108,356798200,369035400,371410200,401309296,434540092,487082104,547918000,531814388,524004700,532905608,560323496,598958588,644682604,694577696,746656404,782184012,810093200,846937916,826639404,873450392,893611716,971255004,1021039596,1099596504,1151287192,1159476480,1245629100,1333236717,1283609610,1247264642,1278025311,1413357107,1475137918,1523845112,1594664421,1561688255,1516777735,1673073625,1721515451,1764708589,1828732574,1901844153,2024220925,2134765172,2243961564,2361878663,2449730657,</t>
  </si>
  <si>
    <t>Oman,OMN,,,,,127500,173000,240100,299800,374500,456500,521500,577800,569800,601800,674200,717500,647400,699200,776400,834800,852900,957500,1081100,1180000,1511800,1452900,1620200,1678400,1849300,1933100,2118338,1980076,2103559,2777424,3267088,,,,,2360682,3262849,3795755,4430383,4994729,5051804,6365784,7709851,9035230,10438241,11239996,</t>
  </si>
  <si>
    <t>Other small states,OSS,,,,,,,,,,,,,,,,,,,5273200,5397300,5798000,6502100,6772500,7255400,8573000,8905500,9287800,9670100,10360700,11464000,,,,,,,,,,,29535977.74,31467772.9,34532854.87,34877522,,43818107,51705282,,53400215.37,54168104.91,</t>
  </si>
  <si>
    <t>Pakistan,PAK,1335900,1085600,625200,805200,1047700,1451800,1947400,2303700,2656300,2773100,3029200,3096800,3328800,3466900,3641900,3839400,4127200,4434400,4889400,5009000,5180200,5197700,5680600,5647100,5663700,5342600,5375000,5882500,5414100,5850000,5293541,6011849,4141009,4522110,5097477,5364134,5714831,5439144,5605758,5303268,6588114,7940545.076,7973906.361,7833901.088,7670348.185,8467827,9628354,7260769,6880637,7420378.249,</t>
  </si>
  <si>
    <t>Panama,PAN,307400,337200,316200,217500,275700,357100,374100,347400,365700,381300,355200,309200,332200,323400,371600,390300,364200,370800,382000,372500,265800,342700,282700,320500,519900,661200,688800,772200,859900,932500,1117411,1114727,1047843,1416071,1500673,1795958,2028711,2473261,2762458,6348000,5524157.43,6380080.184,7517581.277,11656416,11812712.84,12193261,13285098,11975372,12631703,12497758,</t>
  </si>
  <si>
    <t>Peru,PER,390500,263700,525300,590000,1116900,1335200,1439200,1425000,1449000,1686100,1980100,1777100,1739700,1698200,1616800,1563900,2152900,3009000,2737100,1854300,1816200,1490600,1217600,1362400,1894900,2508300,2327500,2724500,2774500,1900000,1595268,2248991,2085823,2226329,3225128,4332223,4217880,5273188,6184410,5843195,7106025.293,8609620.354,10074855.61,12255937.76,12284677,13877662,15081755,16094150,17758527.27,18820572,</t>
  </si>
  <si>
    <t>Philippines,PHL,2369000,2070900,2123900,2349600,2525100,2758400,2815700,3021100,3411600,3474900,3245600,3542700,3866900,4319800,4394000,4610400,4879600,5247300,5719500,5715200,5638700,5438100,6136500,6526200,6851500,7179600,7263100,7474600,6731600,5024000,5756288,6416383,6449022,6457529,7387965,8056829,8304634,8818150,9508389,10480898,22575356,26326620.76,28540727.36,25540880,34897404,37023422,40206684,39341995,43080118,47776892,</t>
  </si>
  <si>
    <t>Palau,PLW,,,,,,,,,,,,,,,,,,,,,,,,,,,,,,,,,,,,,,,,,,,,,,,,,,,</t>
  </si>
  <si>
    <t>Papua New Guinea,PNG,,,,,,355000,405300,440000,532300,572300,558600,553500,560400,533800,711400,700900,807400,798300,886600,963400,931200,911000,954000,866000,1112800,970000,970000,1114000,1110300,1058200,1099772,1188089,1234779,690528,762784,818773,918640,918665,904885,847353,1405169,1563593.853,1630308.432,1870968,2074020,1679156,1711274,1864653,1831903,2029701,</t>
  </si>
  <si>
    <t>Poland,POL,904000,1031200,1267000,1491000,1086800,1454500,1472400,1643200,1702300,1850400,1710500,1592800,755500,1287000,1595900,1587000,1573500,1569500,1600200,1907300,1501000,1051200,1102100,1269900,1451800,1657300,1805900,1998000,2212500,2140700,2340919,2670283,2845919,3252222,3493094,3553680,3625982,4269655,4634676,4279072,4099082,4448727.06,4909100.392,5002975.749,5038745.426,4448883,5497163,7376512,9277538,10225516,</t>
  </si>
  <si>
    <t>Pre-demographic dividend,PRE,2589800,2847200,2900000,3299800,3830100,4279000,5416400,5693100,6456000,7333900,8054300,8800000,8987200,9138600,8906500,9315600,8586600,8136900,8313100,7581600,7398600,6057800,5674400,5354400,5857800,5618900,5427100,5219400,5677400,5720100,5605843,5129614,,,,,,,,,17819048.66,20387700.77,20515501.68,19925850.82,19349770.9,21230480,20633300,21624757.05,28768397.36,25602394.16,</t>
  </si>
  <si>
    <t>Puerto Rico,PRI,,,,,,,,,,,,,,,,,,,,,,,,,,,,,,,,,,,,,,,,,,,,,,,,,,,</t>
  </si>
  <si>
    <t>Korea, Dem. People's Rep.,PRK,165000,166000,,,,,,165000,166000,184000,192200,184400,185000,196000,197500,202000,200000,205000,217500,220400,222700,222700,235100,241800,241800,254000,254000,280000,64000,76700,82953,78805,84321,75046,93808,101313,105366,110634,108974,101237,73052,78558.86155,100113.3486,371004,90335.875,87082,94919,103560,94245,109095,</t>
  </si>
  <si>
    <t>Portugal,PRT,1415400,1656100,1949800,2247100,2250400,1681300,1650300,1833400,2014400,2264500,1978100,2168500,2272200,2218400,2311800,2315200,2422600,2785600,3025100,3187300,3504500,3571800,4108800,4378900,4359600,4590100,4805500,6281400,7023100,7339300,6721365,6650492,6795580,7590259,9052471,10139655,9440930,10320040,11171020,9903771,10428173.51,11014639,11338080,11860998,12635439,12706909,13105120,15937325,17367956,18673912.2,</t>
  </si>
  <si>
    <t>Paraguay,PRY,80600,84300,53700,59600,61000,64500,66500,104600,111700,118500,129000,127000,167000,163500,179000,212000,184200,205000,248600,272300,273000,308800,313600,337500,324200,105200,260500,196000,222200,231700,265898,281040,267089,298928,373456,445854,432760,458688,465911,428493,715072,845395.6888,794176,711548.47,608844,452004,467713,454276,710407,632389,</t>
  </si>
  <si>
    <t>West Bank and Gaza,PSE,,,,,,,,,,,,,,,,,,,,,,,,,,,,,,,,,,,,,,,,,,,,,,,,,,,</t>
  </si>
  <si>
    <t>Pacific island small states,PSS,,,,,,,,,,,,,457900,448500,478500,435000,455800,488000,560000,641700,647200,661900,711300,669900,734300,775600,1042400,871600,956800,972400,994674,1040635,1169195,1409660,1376595,1366689,1468156,1510124,1487471,1861811,1679808.521,1691669.508,1701510.525,1807896,2006028,2120856,2238966,2543172,2681606,2609710.553,</t>
  </si>
  <si>
    <t>Post-demographic dividend,PST,268162692,286858404,316019208,344448000,356860200,358191400,386117596,417928492,469681004,528337700,512934188,504208800,512515308,539249896,577758388,622754404,673840096,725444604,762609612,788098600,823529116,803342904,851472092,866599916,939020504,989606440.1,1067013204,1118528992,1129879680,1214796800,1301972064,1251639848,1214443600,1229236696,1360640668,1413314874,1455395380,1510562083,1469546762,1409097909,1535018341,1572981002,1599345143,1647552396,1703839062,1789921540,1872020604,1948532976,2038433312,2121997015,</t>
  </si>
  <si>
    <t>French Polynesia,PYF,,,,,,,,,,,,,,,,,,,,,,,,,,,,,,,,,,,,,,,,,,,,,,,,,,,</t>
  </si>
  <si>
    <t>Qatar,QAT,,,,,127500,173000,240100,299800,374500,456500,521500,577800,569800,601800,674200,717500,647400,621500,698400,752800,770900,875500,981100,1080000,1150600,1072500,1200300,1164600,1207000,2325200,2672972,2778116,3570521,3184104,4453071,6041040,7070851,8879109,9702479,10211229,12391268,14568106,17187171,18737348,21425066,25263224,31209097,29949181,29178923,32953297,</t>
  </si>
  <si>
    <t>Romania,ROU,452500,429400,488800,611800,674400,613100,912600,1077100,1084600,1119700,1112100,1079700,919400,998600,1163400,1215800,1240400,1281300,1322500,1271700,1322000,1148900,918900,979400,1242700,1244900,913300,995200,907600,980300,1218102,1137305,959487,1255313,1337781,1707714,2047466,3003872,3253417,3268022,3733253,3659209,3593312,3087143,3067724.4,3634598,3686938,4423249,4908235,5630289,</t>
  </si>
  <si>
    <t>Russian Federation,RUS,,,,,,,,,,,,,,,,,,,,,,128760600,62173900,36124000,28933100,26524800,22117100,20419000,15223700,18600400,17687894,20301199,20892156,22723072,25948923,26522315,28836949,33187839,37940321,34402844,43855539,50555805,58727125,64072322,72189961,76846126,77458318,89373638,99327311,115482744,</t>
  </si>
  <si>
    <t>Rwanda,RWA,,,,,,,,,,,,9700,25900,4400,4600,4800,4300,8900,11900,10100,8400,10100,9100,9100,9100,,,,,,,,,,,,,,,,188221,268376.55,593198.45,610992,626928,544541,644559,1031957.04,1502478,1561562.214,</t>
  </si>
  <si>
    <t>South Asia,SAS,4400200,4070900,4363900,5141900,4983200,6225200,7422400,8481700,9790500,10583900,10964100,12195300,13529900,14473100,15846600,17084600,18061800,19186000,20656900,20406500,18916100,18692200,19784000,18013800,20433000,23175700,22444800,25538500,25389700,25506900,26822530,26775369,25502242,27975359,33660738,38307149,51488173,62460543,60323625,64195666,78888194.89,91031850.07,89645445.18,93893397.49,102251106.6,120221878,142492664,162908959.6,189594450.6,190685363.3,</t>
  </si>
  <si>
    <t>Saudi Arabia,SAU,558000,513600,762000,968300,1282500,1835700,3268000,4705100,6268100,7689200,9241200,9146900,10151800,10670300,11365800,10795100,9929400,10258400,9879600,9988000,10311500,9409100,11154800,11864300,12142300,11524200,11706300,11738200,11816200,12328500,12566492,12835735,13564300,13821729,14942633,15933045,16830838,17141188,16708204,17508200,20323592,23135735,26537661,28252104,32269452,33431736,35092840,37503000,39767648,39350310,</t>
  </si>
  <si>
    <t>Sudan,SDN,124700,139500,133400,221500,244700,250000,328300,378500,176000,424000,519000,465300,477600,473000,485000,428000,347400,417200,533700,363200,454100,363200,480000,407900,432400,496900,490800,333100,498700,390300,414179,414983,409178,420498,473127,510977,563026,598151,617785,606558,580325,947031.4561,777346.3319,541644,501864,496177,292843,557792.04,561520,530001,</t>
  </si>
  <si>
    <t>Senegal,SEN,85100,89400,88900,94600,102500,110000,120400,128400,137200,142300,113100,116100,118300,124500,126300,132100,144100,135800,135400,139700,148300,138400,138300,140200,141200,149700,155100,165500,121400,103400,97525,176413,231333,129974,416372,449682,500677,538845,567101,572609,0,391401.4,543987.6,219996,131964,115355,9874,21038,278438.2886,284534.1174,</t>
  </si>
  <si>
    <t>Singapore,SGP,748900,875100,976100,1248900,1508500,1814700,2132100,2497300,2893200,3377500,3826900,4405400,4591500,4531600,4791800,4912300,4990300,5248400,6046900,6659900,7046400,7745500,8477300,9271200,9929400,10779300,11840700,12980700,13331100,15282600,16704341,16373648,17256872,14172367,16995621,17744017,19565884,20671341,21050204,18427473,24859825.16,26509929.14,29138458.27,31729241,33643518.42,33585397,35370328,38094990,40401515,43050722,</t>
  </si>
  <si>
    <t>Solomon Islands,SLB,,,,,,,,,,,42400,46200,51100,54600,63700,66000,64900,67500,68500,69300,69400,69400,69400,74600,78500,89500,94300,94300,94000,97700,75262,81376,84537,68104,84676,91450,101190,102090,100558,94027,142660,140183.2639,138160.1153,302412,330456,373739,373467,427806,427806,229670.648,</t>
  </si>
  <si>
    <t>Sierra Leone,SLE,,,,,,23000,26000,27300,28500,28500,30000,30200,34000,26400,56000,58000,59000,28900,43600,29600,30000,,16500,17500,14500,14500,15200,0,0,,19009,13877,13877,13599,15503,16743,18752,20252,21420,21784,0,48789,50193,,,,,,,,</t>
  </si>
  <si>
    <t>El Salvador,SLV,138200,146000,140000,147000,155000,160000,170000,210600,225300,257800,264600,241800,254800,265500,360200,395000,467600,444100,448500,617800,524900,577400,682900,1242500,1617100,1698000,1800000,1700600,1694000,1624100,1960363,1692334,1804307,2182463,2391159,2540564,2579145,2536820,2279763,1996982,1816391.104,2151274,2523296,2509003,2816524,2597649,2603129,2670560,2545105,2609917,</t>
  </si>
  <si>
    <t>San Marino,SMR,,,,,,,,,,,,,,,,,,,,,,,,,,,,,,,,,,,,,,,,,,,,,,,,,,,</t>
  </si>
  <si>
    <t>Somalia,SOM,25700,29800,31400,33000,35000,35000,38000,34000,36000,36500,90000,115800,99300,117200,130000,99800,122000,128400,104700,89200,87600,46100,,,,,,,,,,,,,,,,,,,163812.7458,177005.4,178709.7,258336,251652,,4486,4486,33728.96866,34065.55685,</t>
  </si>
  <si>
    <t>Serbia,SRB,,,,,,,,,,,,,,,,,,,,,,,,,,,,,,,,994880,1185479,1011231,1076473,918540,1041747,1118404,1135322,926618,985072,1149102,1240709,1241352,2187144,2427047,2486009,2442731,2262703,2469081,</t>
  </si>
  <si>
    <t>Sub-Saharan Africa (excluding high income),SSA,4585300,5013400,5360200,6261300,6811800,7320600,8568400,8749000,9727500,11279300,13004500,14195700,14213900,14332400,14673200,14994600,13895900,14099400,14634800,14534100,14566000,13966200,13273000,13633700,14645200,15054600,15661100,16093100,15873700,16774800,17519022,16753549,16016828,17470433,19705682,23121258,25230306,26657989,27510500,27184327,37778795.14,42254442.4,45172846.8,43445905.82,43973716.12,47353496,49115389,53627313.08,64496529.36,65267757.02,</t>
  </si>
  <si>
    <t>South Sudan,SSD,,,,,,,,,,,,,,,,,,,,,,,,,,,,,,,,,,,,,,,,,,,,,,,,,,,</t>
  </si>
  <si>
    <t>Sub-Saharan Africa,SSF,4585300,5013400,5360200,6261300,6811800,7320600,8580400,8761000,9739500,11291300,13019500,14210700,14279000,14397500,14786200,15179600,14090900,14322400,14862300,14713200,14808400,14208800,13512500,13923000,14942600,15368600,16034300,16477400,16242300,17122000,17912857,17173516,16535011,17883529,20167567,23620094,25775571,27232504,28096606,27748907,38191509.14,42648276.4,45408840.8,43790341.82,44380996.12,47850992,49683303,54260831.08,64951730.36,65681845.02,</t>
  </si>
  <si>
    <t>Small states,SST,,,,,,,,,,5196500,5689200,7233400,7466000,7544700,8456300,8994900,9429300,9861000,10354200,10725700,10857400,11625200,11807800,12380400,14086600,14804300,15011900,15107800,15925200,18686500,20091826,19806596,,,,,,,,,36212017.26,38988883.58,42154410.3,42160917.6,47106779.95,51784766,59930507,60503751,62727473.88,63287776.01,</t>
  </si>
  <si>
    <t>Sao Tome and Principe,STP,,,,,,,,,,,,,,,,9500,9000,22000,22000,22300,22300,22300,22300,22300,22300,22300,23000,24600,24500,33500,35054,35054,34496,35680,40076,43282,47585,50440,51921,50716,,,,,,,,,36660,41933,</t>
  </si>
  <si>
    <t>Suriname,SUR,,,,,,,50000,53000,120000,146400,144000,144000,107000,106000,117000,108000,89200,110400,135000,132500,132500,150000,123000,96000,148900,161800,194700,278800,277700,307500,232649,202899,191094,258311,289309,315410,306504,324821,329788,303117,214667,204096.676,240525.4415,255204,269148,259682,280090,284935,272347,236601,</t>
  </si>
  <si>
    <t>Slovak Republic,SVK,,,,,,,,,,,,,,,,,,,,,,,,18300,22500,41100,62600,80700,107300,110600,57095,43113,82821,190182,636276,711939,779759,2679227,2690428,3440816,74856,34859,45111,64008,29031.5983,11098,12928,7925,,,</t>
  </si>
  <si>
    <t>Slovenia,SVN,,,,,,,,,,,,,,,,,,,,,,,188400,291200,339600,370700,393000,403800,459900,555500,627907,689635,720513,758392,764991,757651,860735,945420,1103685,953378,979803,972711,816630,857000,916981,1045409,1009559,1087075,1094762,869640.1,</t>
  </si>
  <si>
    <t>Sweden,SWE,2550000,2913800,3014000,3225900,3350300,3464700,3908900,3851800,4360900,5193400,5209400,5632000,6091100,6590800,7335200,7609600,8713900,9428800,10211900,10855000,11402500,9826800,9923500,9719000,10807700,9498000,9879000,11326900,11877700,12917600,13354314,13123426,12421220,11586025,11623925,,,,,,,,,,,,,,,,</t>
  </si>
  <si>
    <t>Eswatini,SWZ,,,,14000,14000,14000,14000,15000,15500,30000,31000,28800,24400,29000,34300,39400,45000,45700,47000,50700,52900,59300,57200,58400,64800,49300,54300,40700,40500,83000,89791,,,,,,,,,,,,,,,,,,51633,52744,</t>
  </si>
  <si>
    <t>Sint Maarten (Dutch part),SXM,,,,,,,,,,,,,,,,,,,,,,,,,,,,,,,,,,,,,,,,,,,,,,,,,,,</t>
  </si>
  <si>
    <t>Seychelles,SYC,,,,,,,12000,12000,12000,12000,15000,15000,65100,65100,113000,185000,195000,223000,227500,179100,242400,242600,239500,289300,297400,314000,373200,384300,368600,347200,393835,419967,518183,413096,461885,498836,545265,574515,586106,564580,412714,393834,235994,344436,407280,497496,567914,633518,455201,414088,</t>
  </si>
  <si>
    <t>Syrian Arab Republic,SYR,139000,145300,235700,184700,284300,370700,448200,410600,494700,433200,465000,515500,466400,486600,464400,475800,458600,390600,341600,456200,613300,661200,551900,485000,472100,563100,598500,694200,685400,668400,750129,760923,926850,907850,1169646,1239825,1252102,1371450,1358473,1342518,1158366,1433766.695,907927.7418,475932,475932,17902,18117,17564,17896.92117,18456.64505,</t>
  </si>
  <si>
    <t>Turks and Caicos Islands,TCA,,,,,,,,,,,,,,,,,,,,,,,,,,,,,,,,,,,,,,,,,,,,,,,,,,,</t>
  </si>
  <si>
    <t>Chad,TCD,55400,55000,50900,55100,59500,65500,72400,79400,90200,96300,106100,80100,82800,84500,87700,93500,104500,86600,86400,91100,93300,83400,83400,85200,86300,92100,93100,93000,98000,83900,77273,46364,,,,,,,,,48519.19966,74653.8,52041.6,28080,28332,,,,,,</t>
  </si>
  <si>
    <t>East Asia &amp; Pacific (IDA &amp; IBRD countries),TEA,,,,,10458800,11774800,12545500,13406100,15501800,17583700,19271100,22578600,23809200,23966000,27011600,29876100,34562200,39822200,47560600,43888600,52002100,57726400,68859100,76948800,88615600,104066600,110608300,107441300,106316600,105448300,117392048,131820683,144870039,145911102,202852010,220785964,244343650,277657591,287610282,326402729,430771969.4,482426892.5,525964519.9,579440333.8,640110151.3,708750644,790446548,881640190,964270665.1,1005300883,</t>
  </si>
  <si>
    <t>Europe &amp; Central Asia (IDA &amp; IBRD countries),TEC,,,,,,,,,,,,,,,,,,,,,,,86420700,54682300,48310200,46923144.1,42728900,41166500,37014300,40019000,41986042,44543460,45328183,49555883,58378519,63293892,69212039,77911513,87710738,88865012,115461132,133766768.6,153418991.8,171433958.6,188867281.8,206959900,214729427,241813816,263345266.5,278283540.1,</t>
  </si>
  <si>
    <t>Togo,TGO,29900,31400,27700,30000,33800,37900,43600,48900,55700,60800,64600,67600,69800,71000,71700,77500,78400,70100,69700,74000,76300,66300,66300,68200,69200,74100,75100,85500,90500,83900,77273,46364,,,,,,,,,663013,832351.1564,745781.7481,840948,426344.0399,420875,475185,500686,566295,640683.272,</t>
  </si>
  <si>
    <t>Thailand,THA,764200,713100,785600,1021000,1261000,1616500,1633800,1331500,1773800,2088900,2459000,2834600,3154900,3357000,3671300,4065900,4370000,5179600,6235900,7364500,8201400,7708600,8546800,10196900,11404700,12771400,14078300,14235800,15015400,15950500,17392091,17662418,18111892,16622502,20342582,18902629,20102408,21191723,19993134,19618735,28780723,31940491.98,36392469.35,43029150.6,46546612.48,56447637,62341676,70704889,76053042.75,78227313,</t>
  </si>
  <si>
    <t>Tajikistan,TJK,,,,,,,,,,,,,,,,,,,,,,,,782600,782600,822100,594000,594000,591700,155800,168006,,496905,442712,598456,479172,394440,501178,683248,764505,616999.4123,846967.3803,650130.5474,683060.1575,1064176.328,1034477,1037897,580374,492320,539094.616,</t>
  </si>
  <si>
    <t>Turkmenistan,TKM,,,,,,,,,,,,,,,,,,,,,,,,747800,747800,747800,523000,523000,521000,1050400,1283780,1407423,1407423,1411910,1612479,1653638,1843140,1850921,1823157,1706055,300970,160243.7654,147500,1800847.458,579715.68,897079,1318350,2136219,2457474,2081424.32,</t>
  </si>
  <si>
    <t>Latin America &amp; the Caribbean (IDA &amp; IBRD countries),TLA,16844000,17818600,20070700,21991800,25818100,29673800,32994100,36212100,39956500,46567600,50756800,50864200,52570400,51944700,52887400,54498800,58624400,59991400,59505900,64470900,62937900,62216000,63335900,66721700,72301500,71128400,75346000,83418400,88239900,90651300,93639750,99068745,95813090,92587521,99215943,105704481,108594923,118159408,131727500,138693494,175872865,195644076.8,214936094,232318775.1,246692569.6,262023503,264419476,273553611.4,290659005.9,302785268.7,</t>
  </si>
  <si>
    <t>Timor-Leste,TLS,,,,,,,,,,,,,,,,,,,,,,,,,,,,,,,,,,,,,,,,,,,,,,,,,,,</t>
  </si>
  <si>
    <t>Middle East &amp; North Africa (IDA &amp; IBRD countries),TMN,3575800,4124900,4817000,5611900,6920600,8605400,10386000,11833300,13058400,12941600,13570500,13987100,15082400,16939000,17702900,17521400,17574800,18367600,19326800,20258200,20968500,18725100,19938500,19026300,20017600,20833300,22956900,26337800,25271800,25105400,26100792,34079465,26788324,32800028,30468644,31260133,34256632,36205520,35864926,38021520,52770471.77,52290259.43,50973534.93,53720922.15,54370978.91,50614910,55760221,66657459.79,67240082.92,65811920.69,</t>
  </si>
  <si>
    <t>Tonga,TON,,,,,,,,,,,,,,,7800,8000,30200,37300,33200,33900,34600,34600,35300,35300,53300,53300,56000,49000,48800,50300,51615,56777,58480,60819,75416,,,,,,,,,,,,,,,,</t>
  </si>
  <si>
    <t>South Asia (IDA &amp; IBRD),TSA,4400200,4070900,4363900,5141900,4983200,6225200,7422400,8481700,9790500,10583900,10964100,12195300,13529900,14473100,15846600,17084600,18061800,19186000,20656900,20406500,18916100,18692200,19784000,18013800,20433000,23175700,22444800,25538500,25389700,25506900,26822530,26775369,25502242,27975359,33660738,38307149,51488173,62460543,60323625,64195666,78888194.89,91031850.07,89645445.18,93893397.49,102251106.6,120221878,142492664,162908959.6,189594450.6,190685363.3,</t>
  </si>
  <si>
    <t>Sub-Saharan Africa (IDA &amp; IBRD countries),TSS,4585300,5013400,5360200,6261300,6811800,7320600,8580400,8761000,9739500,11291300,13019500,14210700,14279000,14397500,14786200,15179600,14090900,14322400,14862300,14713200,14808400,14208800,13512500,13923000,14942600,15368600,16034300,16477400,16242300,17122000,17912857,17173516,16535011,17883529,20167567,23620094,25775571,27232504,28096606,27748907,38191509.14,42648276.4,45408840.8,43790341.82,44380996.12,47850992,49683303,54260831.08,64951730.36,65681845.02,</t>
  </si>
  <si>
    <t>Trinidad and Tobago,TTO,361100,362400,319900,324700,335700,595000,683800,591100,428100,659200,877200,1301500,1380700,1344700,1398000,1299500,1342400,1312300,1296100,1310400,1285400,1345300,1354000,1389000,1642100,1727000,897200,807500,804400,1111700,1254425,1387639,1268879,1084186,1132392,1055106,1024304,1085650,1102669,1014016,1842253,2625055.713,2625055.713,2865852,2732100,2617843,2598521,2582961,2458183,2583595,</t>
  </si>
  <si>
    <t>Tunisia,TUN,244800,308900,375100,485600,629600,782000,809300,855500,963000,1088800,978200,1140900,1209100,1258100,1254900,1281600,1054800,1203300,1210300,1315400,1313000,1201200,1249900,1351000,1390800,1419400,1371200,1779300,1859000,1922600,1907876,1926118,1789327,1719524,1940037,1996699,2054641,2054679,2274580,2278964,2739634,3153388.977,3580910.219,4648608,4628511,3496190,3606247,3963968,4274199,4335325,</t>
  </si>
  <si>
    <t>Turkey,TUR,1035700,1476000,1774500,2222800,1795100,1777800,2427300,2751700,2221500,2458400,1253700,2071300,2094600,2233600,2575400,2508000,2721900,3260900,3497300,3792300,4337100,3160000,4958600,6076800,6871600,7749000,8463900,9379900,9949300,10097300,12187891,10603908,10686877,10745444,14275835,16943828,19361415,22895275,25505092,31339441,45665249,53500303,63350312,74413804.62,84574844,96604665,100366461,107917326,115595495.8,111028629,</t>
  </si>
  <si>
    <t>Tuvalu,TUV,,,,,,,,,,,,,,,,,,,,,,,,,,,,,,,,,,,,,,,,,,,,,,,,,,,</t>
  </si>
  <si>
    <t>Tanzania,TZA,171400,188000,196900,256800,282900,271700,310300,85700,192200,292300,387600,324800,401700,407100,498500,450900,441100,456100,410300,266800,292100,289700,216400,188500,199200,236400,224000,217800,220200,190000,193069,174559,134470,149540,243087,257223,189844,250849,202704,683541,750421,914932.0376,1030203.575,1173942.818,1124913.454,1312807,1179664,1221678,1698386,1498093,</t>
  </si>
  <si>
    <t>Uganda,UGA,171500,188000,165500,52400,62700,57600,73800,,,,82600,62600,62200,75100,49500,35300,50000,46000,61000,116000,116000,26300,31600,77700,62500,94600,100200,100200,99800,179400,39379,40560,40560,39749,45711,49368,55292,59715,63160,64234,154909,141603,182144.4,198804,163824,41812,52187,14958,21212,19822.5,</t>
  </si>
  <si>
    <t>Ukraine,UKR,,,,,,,,,,,,,,,,,,,,,,,4906200,1278000,604900,1005300,1151200,1189600,1066400,910100,950697,986022,1119889,1652632,2200094,2512910,2801992,1736018,3456288,3427818,3956053,5477654.918,5828107.612,5218814.574,4503610,4620530,5756509,6794396,7854842,7604522.332,</t>
  </si>
  <si>
    <t>Upper middle income,UMC,,,,,35427900,39705400,44593600,47474300,51809400,60148400,64506500,67014200,68556800,69953600,73320200,77428600,83536700,89822000,95027500,94631500,104592400,232858100,184337300,165187700,174700000,185955700,191576600,198501000,197441600,208565400,222855141,235272686,248039092,252532938,307302135,335336484,366435138,414284141,441964196,490246593,614090152.5,678819783.9,746531605.1,831585242.6,904749523.3,997786079,1068089044,1179085134,1288616061,1365924917,</t>
  </si>
  <si>
    <t>Uruguay,URY,219300,221300,136000,137700,346200,333600,326900,292900,259700,456100,477600,412600,356500,310400,338100,328500,340800,351300,385600,313100,318300,318300,430000,502900,499300,476700,504000,544000,556700,593400,642027,558563,525049,463884,564149,586458,568864,602996,612644,563632,,,,,,,,,,,</t>
  </si>
  <si>
    <t>United States,USA,163448992,174143104,191325408,202309200,207612400,204900400,223017296,240144992,273025504,313624000,295329088,281086400,290992608,315600096,340191488,372059104,414554496,441832704,454202912,453161504,464574016,452015904,466964992,469926112,514924000,533512096,571072000,590571392,588170880,634364608,665327414,622187846,598410415,588997110,678110608,720547738,725530965,744302310,701779551,679423408,720497000,730796000,736699000,743171000,762710000,798222000,824039000,849403000,889024000,926737000,</t>
  </si>
  <si>
    <t>Uzbekistan,UZB,,,,,,,,,,,,,,,,,,,,,,,4032500,2217300,2217300,2217300,1566200,1566200,1560200,1657600,1744510,2256380,1451004,1465798,1588049,1639276,1665190,1940378,2033933,1850056,2114050,2275947,2593509,2614085,2545935,2486673,2383631,2581865,3056558,3685192,</t>
  </si>
  <si>
    <t>St. Vincent and the Grenadines,VCT,,,,,,,,,,,,,,,,,,,,,,,,,,,,,,,,,,,,,,,,,,,,,,,,,,,</t>
  </si>
  <si>
    <t>Venezuela, RB,VEN,1253300,1301600,1511000,1765900,1981500,2355200,2708400,3500600,4042700,4771700,5133300,5147000,5667200,5000200,4570800,4966500,5790900,6454100,8383800,10098800,6846800,6795200,7149400,6813900,5266800,4445000,4487400,4020300,3736600,4690000,4295000,9452434,6369455,3889929,4943887,5043028,5225573,5495292,5766973,5121009,6428163,7728281.254,7738509.645,6866780.599,7888722.399,7086072,6025475,4209158,2217407,1516839,</t>
  </si>
  <si>
    <t>British Virgin Islands,VGB,,,,,,,,,,,,,,,,,,,,,,,,,,,,,,,,,,,,,,,,,,,,,,,,,,,</t>
  </si>
  <si>
    <t>Virgin Islands (U.S.),VIR,,,,,,,,,,,,,,,,,,,,,,,,,,,,,,,,,,,,,,,,,,,,,,,,,,,</t>
  </si>
  <si>
    <t>Vietnam,VNM,1525600,1051300,854400,664700,552600,165000,,,,,6000,27000,27000,11500,74000,84000,88000,87000,87800,88200,89000,198000,204200,1200000,1670000,2290000,2107500,2527300,2303500,2600000,2877894,3427176,4038133,3969320,5049706,5453683,5283831,7194443,9991145,11073604,14377619,16544477.83,16976051.38,20429309.91,23826013.27,29944771,37349272,42592762,47049671,53227026,</t>
  </si>
  <si>
    <t>Vanuatu,VUT,,,,,,,,,,,,,16800,24600,16700,14400,15300,16600,18500,18500,18500,53000,59200,66700,70400,65600,72800,75000,88700,86000,101503,97471,104294,83151,103939,112254,116744,122581,120742,112169,247944,240396.4377,318747,327060,320232,272332,299315,341110,374603,466865.0531,</t>
  </si>
  <si>
    <t>World,WLD,310441392,331604904,,401571800,421145200,432276500,471773396,513269292,576090004,648400600,641872888,640619400,654482108,685101596,732410288,783198104,842594296,904838104,953896012,983208800,1024976616,1133228204,1145436692,1142265216,1233233404,1302891640,1390963704,1455104192,1466961780,1562256300,1674064712,1655230214,1627404873,1665309283,1888695284,1969590799,2072413898,2209136496,2208218737,2249728546,2628261258,2786953830,2894054972,3048275073,3227291386,3466478485,3705101897,3973790463,4242447521,4396665797,</t>
  </si>
  <si>
    <t>Samoa,WSM,,,,,,,,,,,,,,,,,,,,,,,,,,,270000,74900,148800,155500,164142,173479,182292,198115,246875,266625,287596,294927,290503,270908,,,,,76944,98950,116167,81921,77811,74867,</t>
  </si>
  <si>
    <t>Kosovo,XKX,,,,,,,,,,,,,,,,,,,,,,,,,,,,,,,,,,,,,,,,,,,,,,,,,,,</t>
  </si>
  <si>
    <t>Yemen, Rep.,YEM,25900,54500,57000,61500,66500,70000,262800,275000,295000,295000,310000,310000,352100,465900,455800,426200,589700,575500,635500,667900,671100,540500,800400,847900,790600,375000,587500,706900,765000,731000,841609,841366,869296,844284,1022079,1083404,1162316,1073493,1064878,1050486,1536556,1492073.329,1299707.239,1664220,1665552,443685,242723,132571,336310,,</t>
  </si>
  <si>
    <t>South Africa,ZAF,1519000,1659500,1868100,2313800,2763600,2936400,2998800,3076800,3211200,3783700,4116000,4159800,4091200,3951800,4461400,4337300,3825000,4386900,5125900,5641500,5364900,4818600,4685000,5581500,5801600,6395500,7183100,7274200,6479500,7403800,8000757,7948374,8052660,9159815,9878598,11844657,12932671,12870324,13135437,12503629,15781210,16407784.96,17571565.2,16311250,17026643.22,18882898,19744932,20821044,24660386,25650178,</t>
  </si>
  <si>
    <t>Zambia,ZMB,187800,214200,230100,230600,240600,232600,256800,299400,317100,295700,257400,278300,253100,236700,245600,253900,237700,257900,303500,365300,407200,292500,246000,219000,234700,,,49600,48800,77700,89628,48517,47075,50977,49888,53880,58679,61589,62467,,260502,306034.3,127296.65,10032,8592,203617,144060,154573,16633.13894,17505.68964,</t>
  </si>
  <si>
    <t>Zimbabwe,ZWE,267400,291300,315000,340000,,,,,,,412300,535200,448600,449200,440700,453100,451500,459900,525100,583400,601300,740200,677900,594600,675300,625700,653700,790100,788900,651000,607976,308096,250532,200857,225021,243022,239045,254783,264404,261480,258828,279347.6184,320945.9998,351564,301260,370165,378803,282539,282539,,</t>
  </si>
  <si>
    <t>Country Name</t>
  </si>
  <si>
    <t>Country Code</t>
  </si>
  <si>
    <t>Aruba</t>
  </si>
  <si>
    <t>ABW</t>
  </si>
  <si>
    <t>Africa Eastern and Southern</t>
  </si>
  <si>
    <t>AFE</t>
  </si>
  <si>
    <t>AFG</t>
  </si>
  <si>
    <t>Africa Western and Central</t>
  </si>
  <si>
    <t>AFW</t>
  </si>
  <si>
    <t>AGO</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</si>
  <si>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</si>
  <si>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</si>
  <si>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</si>
  <si>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</si>
  <si>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</si>
  <si>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</si>
  <si>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</si>
  <si>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</si>
  <si>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</si>
  <si>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</si>
  <si>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</si>
  <si>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</si>
  <si>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</si>
  <si>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</si>
  <si>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</si>
  <si>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</si>
  <si>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</si>
  <si>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</si>
  <si>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</si>
  <si>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</si>
  <si>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</si>
  <si>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</si>
  <si>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</si>
  <si>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</si>
  <si>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</si>
  <si>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</si>
  <si>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</si>
  <si>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</si>
  <si>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</si>
  <si>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</si>
  <si>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</si>
  <si>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</si>
  <si>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</si>
  <si>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</si>
  <si>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</si>
  <si>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</si>
  <si>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</si>
  <si>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</si>
  <si>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</si>
  <si>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</si>
  <si>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</si>
  <si>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</si>
  <si>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</si>
  <si>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Bermuda</t>
  </si>
  <si>
    <t>BMU</t>
  </si>
  <si>
    <t>Bolivia</t>
  </si>
  <si>
    <t>BOL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</si>
  <si>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</si>
  <si>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</si>
  <si>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</si>
  <si>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</si>
  <si>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</si>
  <si>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</si>
  <si>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</si>
  <si>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</si>
  <si>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</si>
  <si>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</si>
  <si>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</si>
  <si>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</si>
  <si>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</si>
  <si>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</si>
  <si>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</si>
  <si>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</si>
  <si>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</si>
  <si>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</si>
  <si>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</si>
  <si>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</si>
  <si>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</si>
  <si>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CHN</t>
  </si>
  <si>
    <t>Cote d'Ivoire</t>
  </si>
  <si>
    <t>CIV</t>
  </si>
  <si>
    <t>Cameroon</t>
  </si>
  <si>
    <t>CMR</t>
  </si>
  <si>
    <t>COD</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</si>
  <si>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</si>
  <si>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</si>
  <si>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</si>
  <si>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</si>
  <si>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</si>
  <si>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</si>
  <si>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</si>
  <si>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</si>
  <si>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</si>
  <si>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</si>
  <si>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</si>
  <si>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</si>
  <si>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</si>
  <si>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</si>
  <si>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</si>
  <si>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</si>
  <si>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</si>
  <si>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</si>
  <si>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</si>
  <si>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</si>
  <si>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</si>
  <si>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</si>
  <si>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</si>
  <si>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</si>
  <si>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</si>
  <si>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</si>
  <si>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</si>
  <si>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</si>
  <si>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</si>
  <si>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</si>
  <si>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</si>
  <si>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</si>
  <si>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</si>
  <si>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</si>
  <si>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</si>
  <si>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</si>
  <si>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</si>
  <si>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</si>
  <si>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</si>
  <si>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</si>
  <si>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</si>
  <si>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</si>
  <si>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</si>
  <si>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</si>
  <si>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</si>
  <si>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</si>
  <si>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</si>
  <si>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</si>
  <si>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</si>
  <si>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</si>
  <si>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</si>
  <si>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</si>
  <si>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</si>
  <si>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</si>
  <si>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</si>
  <si>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</si>
  <si>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</si>
  <si>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</si>
  <si>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</si>
  <si>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</si>
  <si>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</si>
  <si>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</si>
  <si>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</si>
  <si>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</si>
  <si>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</si>
  <si>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</si>
  <si>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</si>
  <si>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</si>
  <si>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t>
  </si>
  <si>
    <t>FSM</t>
  </si>
  <si>
    <t>Gabon</t>
  </si>
  <si>
    <t>GAB</t>
  </si>
  <si>
    <t>United Kingdom</t>
  </si>
  <si>
    <t>GBR</t>
  </si>
  <si>
    <t>Georgia</t>
  </si>
  <si>
    <t>GEO</t>
  </si>
  <si>
    <t>Ghana</t>
  </si>
  <si>
    <t>GHA</t>
  </si>
  <si>
    <t>GIB</t>
  </si>
  <si>
    <t>Guinea</t>
  </si>
  <si>
    <t>GIN</t>
  </si>
  <si>
    <t>Gambia</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</si>
  <si>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</si>
  <si>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</si>
  <si>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</si>
  <si>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</si>
  <si>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</si>
  <si>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</si>
  <si>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</si>
  <si>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</si>
  <si>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</si>
  <si>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</si>
  <si>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</si>
  <si>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</si>
  <si>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</si>
  <si>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</si>
  <si>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</si>
  <si>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</si>
  <si>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</si>
  <si>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</si>
  <si>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</si>
  <si>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t>
  </si>
  <si>
    <t>HKG</t>
  </si>
  <si>
    <t>Honduras</t>
  </si>
  <si>
    <t>HND</t>
  </si>
  <si>
    <t>Heavily indebted poor countries (HIPC)</t>
  </si>
  <si>
    <t>HPC</t>
  </si>
  <si>
    <t>Croatia</t>
  </si>
  <si>
    <t>HRV</t>
  </si>
  <si>
    <t>HTI</t>
  </si>
  <si>
    <t>Hungary</t>
  </si>
  <si>
    <t>HUN</t>
  </si>
  <si>
    <t>IBRD only</t>
  </si>
  <si>
    <t>IBD</t>
  </si>
  <si>
    <t>IDA &amp; IBRD total</t>
  </si>
  <si>
    <t>IBT</t>
  </si>
  <si>
    <t>IDA total</t>
  </si>
  <si>
    <t>IDA</t>
  </si>
  <si>
    <t>IDA blend</t>
  </si>
  <si>
    <t>IDB</t>
  </si>
  <si>
    <t>Indonesia</t>
  </si>
  <si>
    <t>IDN</t>
  </si>
  <si>
    <t>IDA only</t>
  </si>
  <si>
    <t>IDX</t>
  </si>
  <si>
    <t>IMN</t>
  </si>
  <si>
    <t>India</t>
  </si>
  <si>
    <t>IND</t>
  </si>
  <si>
    <t>Not classified</t>
  </si>
  <si>
    <t>INX</t>
  </si>
  <si>
    <t>Ireland</t>
  </si>
  <si>
    <t>IRL</t>
  </si>
  <si>
    <t>Iran</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</si>
  <si>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</si>
  <si>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</si>
  <si>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</si>
  <si>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</si>
  <si>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</si>
  <si>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</si>
  <si>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</si>
  <si>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</si>
  <si>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</si>
  <si>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</si>
  <si>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</si>
  <si>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</si>
  <si>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</si>
  <si>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</si>
  <si>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</si>
  <si>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</si>
  <si>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</si>
  <si>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</si>
  <si>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</si>
  <si>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</si>
  <si>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</si>
  <si>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</si>
  <si>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</si>
  <si>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</si>
  <si>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</si>
  <si>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</si>
  <si>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</si>
  <si>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</si>
  <si>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</si>
  <si>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</si>
  <si>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</si>
  <si>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</si>
  <si>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</si>
  <si>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</si>
  <si>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</si>
  <si>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</si>
  <si>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</si>
  <si>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</si>
  <si>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</si>
  <si>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</si>
  <si>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</si>
  <si>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</si>
  <si>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</si>
  <si>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</si>
  <si>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</si>
  <si>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</si>
  <si>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</si>
  <si>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</si>
  <si>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</si>
  <si>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</si>
  <si>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</si>
  <si>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</si>
  <si>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</si>
  <si>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</si>
  <si>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</si>
  <si>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</si>
  <si>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</si>
  <si>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</si>
  <si>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</si>
  <si>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</si>
  <si>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</si>
  <si>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</si>
  <si>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</si>
  <si>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</si>
  <si>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</si>
  <si>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</si>
  <si>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</si>
  <si>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t>
  </si>
  <si>
    <t>MAC</t>
  </si>
  <si>
    <t>St. Martin (French part)</t>
  </si>
  <si>
    <t>MAF</t>
  </si>
  <si>
    <t>Morocco</t>
  </si>
  <si>
    <t>MAR</t>
  </si>
  <si>
    <t>Monaco</t>
  </si>
  <si>
    <t>MCO</t>
  </si>
  <si>
    <t>Moldova</t>
  </si>
  <si>
    <t>MDA</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</si>
  <si>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</si>
  <si>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</si>
  <si>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</si>
  <si>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</si>
  <si>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</si>
  <si>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</si>
  <si>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</si>
  <si>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</si>
  <si>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</si>
  <si>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</si>
  <si>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</si>
  <si>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</si>
  <si>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</si>
  <si>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</si>
  <si>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</si>
  <si>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</si>
  <si>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</si>
  <si>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</si>
  <si>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</si>
  <si>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</si>
  <si>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</si>
  <si>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</si>
  <si>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</si>
  <si>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</si>
  <si>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</si>
  <si>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</si>
  <si>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</si>
  <si>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</si>
  <si>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</si>
  <si>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</si>
  <si>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</si>
  <si>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</si>
  <si>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</si>
  <si>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</si>
  <si>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</si>
  <si>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</si>
  <si>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</si>
  <si>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</si>
  <si>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</si>
  <si>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</si>
  <si>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</si>
  <si>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</si>
  <si>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</si>
  <si>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</si>
  <si>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</si>
  <si>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</si>
  <si>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</si>
  <si>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t>
  </si>
  <si>
    <t>Netherlands</t>
  </si>
  <si>
    <t>NLD</t>
  </si>
  <si>
    <t>NOR</t>
  </si>
  <si>
    <t>Nepal</t>
  </si>
  <si>
    <t>NPL</t>
  </si>
  <si>
    <t>Nauru</t>
  </si>
  <si>
    <t>NRU</t>
  </si>
  <si>
    <t>New Zealand</t>
  </si>
  <si>
    <t>NZL</t>
  </si>
  <si>
    <t>OECD members</t>
  </si>
  <si>
    <t>OED</t>
  </si>
  <si>
    <t>Oman</t>
  </si>
  <si>
    <t>OMN</t>
  </si>
  <si>
    <t>Other small states</t>
  </si>
  <si>
    <t>OSS</t>
  </si>
  <si>
    <t>PAK</t>
  </si>
  <si>
    <t>PAN</t>
  </si>
  <si>
    <t>Peru</t>
  </si>
  <si>
    <t>PER</t>
  </si>
  <si>
    <t>Philippines</t>
  </si>
  <si>
    <t>PHL</t>
  </si>
  <si>
    <t>Palau</t>
  </si>
  <si>
    <t>PLW</t>
  </si>
  <si>
    <t>PNG</t>
  </si>
  <si>
    <t>Poland</t>
  </si>
  <si>
    <t>POL</t>
  </si>
  <si>
    <t>Pre-demographic dividend</t>
  </si>
  <si>
    <t>PRE</t>
  </si>
  <si>
    <t>Puerto Rico</t>
  </si>
  <si>
    <t>PRI</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</si>
  <si>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</si>
  <si>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</si>
  <si>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</si>
  <si>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</si>
  <si>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</si>
  <si>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</si>
  <si>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</si>
  <si>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</si>
  <si>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</si>
  <si>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</si>
  <si>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</si>
  <si>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</si>
  <si>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</si>
  <si>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</si>
  <si>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</si>
  <si>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</si>
  <si>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</si>
  <si>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</si>
  <si>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</si>
  <si>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</si>
  <si>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</si>
  <si>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</si>
  <si>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</si>
  <si>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</si>
  <si>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</si>
  <si>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</si>
  <si>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</si>
  <si>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</si>
  <si>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</si>
  <si>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</si>
  <si>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</si>
  <si>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</si>
  <si>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</si>
  <si>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</si>
  <si>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</si>
  <si>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</si>
  <si>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</si>
  <si>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</si>
  <si>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</si>
  <si>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</si>
  <si>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</si>
  <si>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</si>
  <si>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</si>
  <si>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</si>
  <si>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</si>
  <si>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</si>
  <si>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</si>
  <si>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</si>
  <si>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</si>
  <si>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</si>
  <si>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</si>
  <si>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</si>
  <si>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</si>
  <si>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</si>
  <si>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</si>
  <si>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</si>
  <si>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</si>
  <si>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</si>
  <si>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</si>
  <si>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</si>
  <si>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</si>
  <si>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</si>
  <si>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</si>
  <si>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</si>
  <si>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</si>
  <si>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</si>
  <si>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</si>
  <si>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</si>
  <si>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</si>
  <si>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</si>
  <si>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</si>
  <si>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</si>
  <si>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</si>
  <si>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</si>
  <si>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</si>
  <si>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</si>
  <si>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</si>
  <si>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</si>
  <si>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</si>
  <si>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</si>
  <si>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</si>
  <si>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</si>
  <si>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</si>
  <si>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</si>
  <si>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</si>
  <si>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</si>
  <si>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</si>
  <si>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</si>
  <si>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</si>
  <si>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</si>
  <si>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</si>
  <si>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</si>
  <si>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</si>
  <si>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</si>
  <si>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</si>
  <si>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</si>
  <si>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</si>
  <si>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</si>
  <si>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</si>
  <si>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</si>
  <si>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</si>
  <si>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</si>
  <si>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</si>
  <si>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</si>
  <si>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</si>
  <si>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</si>
  <si>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Uganda</t>
  </si>
  <si>
    <t>UGA</t>
  </si>
  <si>
    <t>Ukraine</t>
  </si>
  <si>
    <t>UKR</t>
  </si>
  <si>
    <t>Upper middle income</t>
  </si>
  <si>
    <t>UMC</t>
  </si>
  <si>
    <t>Uruguay</t>
  </si>
  <si>
    <t>URY</t>
  </si>
  <si>
    <t>USA</t>
  </si>
  <si>
    <t>Uzbekistan</t>
  </si>
  <si>
    <t>UZB</t>
  </si>
  <si>
    <t>St. Vincent and the Grenadines</t>
  </si>
  <si>
    <t>VCT</t>
  </si>
  <si>
    <t>Venezuela</t>
  </si>
  <si>
    <t>VEN</t>
  </si>
  <si>
    <t>British Virgin Islands</t>
  </si>
  <si>
    <t>VGB</t>
  </si>
  <si>
    <t>Virgin Islands (U.S.)</t>
  </si>
  <si>
    <t>VIR</t>
  </si>
  <si>
    <t>VNM</t>
  </si>
  <si>
    <t>Vanuatu</t>
  </si>
  <si>
    <t>VUT</t>
  </si>
  <si>
    <t>World</t>
  </si>
  <si>
    <t>WLD</t>
  </si>
  <si>
    <t>Samoa</t>
  </si>
  <si>
    <t>WSM</t>
  </si>
  <si>
    <t>Kosovo</t>
  </si>
  <si>
    <t>XKX</t>
  </si>
  <si>
    <t>Yemen</t>
  </si>
  <si>
    <t>YEM</t>
  </si>
  <si>
    <t>South Africa</t>
  </si>
  <si>
    <t>ZAF</t>
  </si>
  <si>
    <t>Zambia</t>
  </si>
  <si>
    <t>ZMB</t>
  </si>
  <si>
    <t>Zimbabwe</t>
  </si>
  <si>
    <t>ZWE</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</si>
  <si>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</si>
  <si>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</si>
  <si>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</si>
  <si>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</si>
  <si>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</si>
  <si>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</si>
  <si>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</si>
  <si>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</si>
  <si>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</si>
  <si>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</si>
  <si>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</si>
  <si>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</si>
  <si>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</si>
  <si>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</si>
  <si>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</si>
  <si>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</si>
  <si>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</si>
  <si>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</si>
  <si>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</si>
  <si>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</si>
  <si>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</si>
  <si>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</si>
  <si>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</si>
  <si>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</si>
  <si>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</si>
  <si>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</si>
  <si>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</si>
  <si>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</si>
  <si>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</si>
  <si>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</si>
  <si>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</si>
  <si>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</si>
  <si>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</si>
  <si>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</si>
  <si>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</si>
  <si>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</si>
  <si>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</si>
  <si>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</si>
  <si>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</si>
  <si>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</si>
  <si>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</si>
  <si>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</si>
  <si>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</si>
  <si>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</si>
  <si>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</si>
  <si>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</si>
  <si>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</si>
  <si>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</si>
  <si>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</si>
  <si>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</si>
  <si>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Bahamas, The BHS,,,,,,232000,245000,252000,268000,314000,345000,740000,724000,699000,705900,860500,958200,995000,1066000,1150000,1090000,1090000,835000,862000,862000,936900,977500,703700,701000,1719400,1860623,1625689,1543274,1601347,900000,1020000,1033407,1089636,1088876,979042,967914,1056129.595,1048391.067,576996,991463.3289,900028,937476,921470,1830394.862,1856546,</t>
  </si>
  <si>
    <t>Summary:</t>
  </si>
  <si>
    <t>No.</t>
  </si>
  <si>
    <t>Total</t>
  </si>
  <si>
    <t>No data available</t>
  </si>
  <si>
    <t xml:space="preserve">No. </t>
  </si>
  <si>
    <t>Aircraft Type</t>
  </si>
  <si>
    <t>Insertar Nro de Orden para ver causa del accidente.</t>
  </si>
  <si>
    <t>Unknown</t>
  </si>
  <si>
    <t>Survived</t>
  </si>
  <si>
    <t>Year</t>
  </si>
  <si>
    <t>Crashes</t>
  </si>
  <si>
    <t>Aerospatiale SE-210 Caravelle</t>
  </si>
  <si>
    <t>Aerospatiale/Aeritalia ATR-72-202</t>
  </si>
  <si>
    <t xml:space="preserve">	 Avro 504</t>
  </si>
  <si>
    <t>Antonov An-24 V</t>
  </si>
  <si>
    <t>Boeing 737-8F2</t>
  </si>
  <si>
    <t>Convair B-36</t>
  </si>
  <si>
    <t>Kubicek BB85Z Hot Air Balloon</t>
  </si>
  <si>
    <t>Lockheed L-414 Hudson</t>
  </si>
  <si>
    <t>Tupolev ANT-6</t>
  </si>
  <si>
    <t>Aero Commander 520</t>
  </si>
  <si>
    <t>Aerospatiale AS350 Eurocopter helicoper</t>
  </si>
  <si>
    <t>BAC One-Eleven 424EU</t>
  </si>
  <si>
    <t>British Aerospace BAe Jetstream 32EP</t>
  </si>
  <si>
    <t>Britten-Norman BN-2A-20 Trislander</t>
  </si>
  <si>
    <t>CASA CN-235-200</t>
  </si>
  <si>
    <t>Consolidated 32 Liberator II</t>
  </si>
  <si>
    <t>Douglas C-39-DO (DC-2)</t>
  </si>
  <si>
    <t>Douglas DC-3-201C / Army A-26</t>
  </si>
  <si>
    <t>Douglas DC-4 (C-54-10-DO)</t>
  </si>
  <si>
    <t>Eurocopter AS332L2 Super Puma</t>
  </si>
  <si>
    <t>Hawker Siddeley Trident 2E / II-28</t>
  </si>
  <si>
    <t>LET 410M Turbojet</t>
  </si>
  <si>
    <t>Martin PBM-3S / Martin PBM-5</t>
  </si>
  <si>
    <t>MD DC-8-11 / Lockheed 1049 S Const</t>
  </si>
  <si>
    <t>Savbia-Marchetti S-73P</t>
  </si>
  <si>
    <t>Short S-29 Stirling V</t>
  </si>
  <si>
    <t>Sikorsky S 76 A</t>
  </si>
  <si>
    <t xml:space="preserve">	Lockheed C-130H Hercules</t>
  </si>
  <si>
    <t xml:space="preserve">Around </t>
  </si>
  <si>
    <t>Percentage of deaths</t>
  </si>
  <si>
    <t>Passengers carried</t>
  </si>
  <si>
    <t>No data</t>
  </si>
  <si>
    <t>Total general</t>
  </si>
  <si>
    <t>Etiquetas de fila</t>
  </si>
  <si>
    <t>Suma de Fatalities</t>
  </si>
  <si>
    <t>Total de Accidentes</t>
  </si>
  <si>
    <t>Top 3 AC con mayor accidentes</t>
  </si>
  <si>
    <t>Suma de Passengers carried</t>
  </si>
  <si>
    <t>Suma de fallecidos</t>
  </si>
  <si>
    <t xml:space="preserve">Decada </t>
  </si>
  <si>
    <t>Decada</t>
  </si>
  <si>
    <t>Tipo de accidente</t>
  </si>
  <si>
    <t>Porcentaje de muertes</t>
  </si>
  <si>
    <t>Cuenta de Tipo de accidente</t>
  </si>
  <si>
    <t>Etiquetas de columna</t>
  </si>
  <si>
    <t>Decade</t>
  </si>
  <si>
    <t>Suma de Aboard</t>
  </si>
  <si>
    <t>Suma de Survived</t>
  </si>
  <si>
    <t>70</t>
  </si>
  <si>
    <t>80</t>
  </si>
  <si>
    <t>90</t>
  </si>
  <si>
    <t>00</t>
  </si>
  <si>
    <t>10</t>
  </si>
  <si>
    <t>Abordo</t>
  </si>
  <si>
    <t>Muertes</t>
  </si>
  <si>
    <t>Suma de Ground</t>
  </si>
  <si>
    <t>GRAVE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</si>
</sst>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hh:mm\ AM/PM"/>
    <numFmt numFmtId="165" formatCode="0.00&quot; per year&quot;"/>
    <numFmt numFmtId="166" formatCode="0.00000000000%"/>
    <numFmt numFmtId="167" formatCode="#,,&quot; &quot;&quot;M&quot;"/>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2"/>
      <color theme="1"/>
      <name val="Calibri"/>
      <family val="2"/>
      <scheme val="minor"/>
    </font>
    <font>
      <b/>
      <sz val="16"/>
      <color theme="1"/>
      <name val="Calibri"/>
      <family val="2"/>
      <scheme val="minor"/>
    </font>
    <font>
      <b/>
      <sz val="12"/>
      <color theme="1"/>
      <name val="Calibri"/>
      <family val="2"/>
      <scheme val="minor"/>
    </font>
    <font>
      <b/>
      <sz val="14"/>
      <color theme="1"/>
      <name val="Calibri"/>
      <family val="2"/>
      <scheme val="minor"/>
    </font>
    <font>
      <u/>
      <sz val="18"/>
      <color theme="1"/>
      <name val="Calibri"/>
      <family val="2"/>
      <scheme val="minor"/>
    </font>
    <font>
      <b/>
      <sz val="18"/>
      <color theme="1"/>
      <name val="Calibri"/>
      <family val="2"/>
      <scheme val="minor"/>
    </font>
    <font>
      <b/>
      <i/>
      <sz val="14"/>
      <color theme="1"/>
      <name val="Calibri"/>
      <family val="2"/>
      <scheme val="minor"/>
    </font>
    <font>
      <b/>
      <i/>
      <sz val="11"/>
      <color theme="1"/>
      <name val="Calibri"/>
      <family val="2"/>
      <scheme val="minor"/>
    </font>
    <font>
      <sz val="8"/>
      <name val="Calibri"/>
      <family val="2"/>
      <scheme val="minor"/>
    </font>
    <font>
      <sz val="11"/>
      <color theme="1"/>
      <name val="Calibri"/>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5" tint="0.59999389629810485"/>
        <bgColor theme="0" tint="-0.14996795556505021"/>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double">
        <color auto="1"/>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68">
    <xf numFmtId="0" fontId="0" fillId="0" borderId="0" xfId="0"/>
    <xf numFmtId="0" fontId="0" fillId="0" borderId="0" xfId="0" applyAlignment="1">
      <alignment wrapText="1"/>
    </xf>
    <xf numFmtId="0" fontId="18" fillId="0" borderId="0" xfId="0" applyFont="1"/>
    <xf numFmtId="20" fontId="0" fillId="0" borderId="0" xfId="0" applyNumberFormat="1"/>
    <xf numFmtId="14" fontId="0" fillId="0" borderId="0" xfId="0" applyNumberFormat="1"/>
    <xf numFmtId="16" fontId="0" fillId="0" borderId="0" xfId="0" applyNumberFormat="1"/>
    <xf numFmtId="17" fontId="0" fillId="0" borderId="0" xfId="0" applyNumberFormat="1"/>
    <xf numFmtId="0" fontId="0" fillId="0" borderId="0" xfId="0" applyAlignment="1">
      <alignment horizontal="left"/>
    </xf>
    <xf numFmtId="17" fontId="0" fillId="0" borderId="0" xfId="0" applyNumberFormat="1" applyAlignment="1">
      <alignment horizontal="left"/>
    </xf>
    <xf numFmtId="0" fontId="0" fillId="0" borderId="0" xfId="0" applyAlignment="1">
      <alignment horizontal="right"/>
    </xf>
    <xf numFmtId="14" fontId="19" fillId="0" borderId="0" xfId="0" applyNumberFormat="1" applyFont="1"/>
    <xf numFmtId="0" fontId="21" fillId="0" borderId="0" xfId="0" applyFont="1"/>
    <xf numFmtId="14" fontId="19" fillId="34" borderId="18" xfId="0" applyNumberFormat="1" applyFont="1" applyFill="1" applyBorder="1"/>
    <xf numFmtId="14" fontId="19" fillId="34" borderId="18" xfId="0" applyNumberFormat="1" applyFont="1" applyFill="1" applyBorder="1" applyAlignment="1">
      <alignment horizontal="center" vertical="center"/>
    </xf>
    <xf numFmtId="0" fontId="20" fillId="0" borderId="0" xfId="0" applyFont="1" applyAlignment="1">
      <alignment horizontal="left" vertical="center"/>
    </xf>
    <xf numFmtId="0" fontId="22"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24" fillId="33" borderId="18" xfId="0" applyFont="1" applyFill="1" applyBorder="1" applyAlignment="1">
      <alignment horizontal="center" vertical="center"/>
    </xf>
    <xf numFmtId="0" fontId="18" fillId="0" borderId="0" xfId="0" applyFont="1" applyAlignment="1">
      <alignment horizontal="center"/>
    </xf>
    <xf numFmtId="0" fontId="19" fillId="0" borderId="0" xfId="0" applyFont="1" applyAlignment="1">
      <alignment horizontal="right" vertical="center"/>
    </xf>
    <xf numFmtId="20" fontId="18" fillId="0" borderId="0" xfId="0" applyNumberFormat="1" applyFont="1" applyAlignment="1">
      <alignment horizontal="right" vertical="center"/>
    </xf>
    <xf numFmtId="49" fontId="18" fillId="0" borderId="0" xfId="0" applyNumberFormat="1" applyFont="1"/>
    <xf numFmtId="0" fontId="0" fillId="0" borderId="0" xfId="0" applyAlignment="1">
      <alignment horizontal="center"/>
    </xf>
    <xf numFmtId="0" fontId="0" fillId="0" borderId="10" xfId="0" applyBorder="1"/>
    <xf numFmtId="0" fontId="0" fillId="0" borderId="11" xfId="0" applyBorder="1"/>
    <xf numFmtId="0" fontId="0" fillId="0" borderId="12" xfId="0" applyBorder="1"/>
    <xf numFmtId="0" fontId="25" fillId="0" borderId="13" xfId="0" applyFont="1" applyBorder="1"/>
    <xf numFmtId="0" fontId="26" fillId="0" borderId="0" xfId="0" applyFont="1"/>
    <xf numFmtId="0" fontId="26" fillId="0" borderId="14" xfId="0" applyFont="1" applyBorder="1"/>
    <xf numFmtId="0" fontId="18" fillId="0" borderId="13" xfId="0" applyFont="1" applyBorder="1"/>
    <xf numFmtId="0" fontId="0" fillId="0" borderId="14" xfId="0" applyBorder="1"/>
    <xf numFmtId="0" fontId="24" fillId="0" borderId="0" xfId="0" applyFont="1" applyAlignment="1">
      <alignment horizontal="center" vertical="center"/>
    </xf>
    <xf numFmtId="0" fontId="21" fillId="0" borderId="13" xfId="0" applyFont="1" applyBorder="1" applyAlignment="1">
      <alignment horizontal="center" vertical="center"/>
    </xf>
    <xf numFmtId="0" fontId="18" fillId="0" borderId="27" xfId="0" applyFont="1" applyBorder="1" applyAlignment="1">
      <alignment horizontal="center"/>
    </xf>
    <xf numFmtId="164" fontId="18" fillId="0" borderId="0" xfId="0" applyNumberFormat="1" applyFont="1"/>
    <xf numFmtId="165" fontId="18" fillId="0" borderId="13" xfId="0" applyNumberFormat="1" applyFont="1" applyBorder="1" applyAlignment="1">
      <alignment horizontal="left"/>
    </xf>
    <xf numFmtId="0" fontId="0" fillId="0" borderId="13" xfId="0" applyBorder="1"/>
    <xf numFmtId="0" fontId="0" fillId="0" borderId="15" xfId="0" applyBorder="1"/>
    <xf numFmtId="0" fontId="0" fillId="0" borderId="16" xfId="0" applyBorder="1"/>
    <xf numFmtId="0" fontId="0" fillId="0" borderId="17" xfId="0" applyBorder="1"/>
    <xf numFmtId="166" fontId="0" fillId="0" borderId="0" xfId="0" applyNumberFormat="1"/>
    <xf numFmtId="0" fontId="0" fillId="0" borderId="0" xfId="0" pivotButton="1"/>
    <xf numFmtId="14" fontId="0" fillId="0" borderId="0" xfId="0" applyNumberFormat="1" applyAlignment="1">
      <alignment horizontal="right"/>
    </xf>
    <xf numFmtId="10" fontId="0" fillId="0" borderId="0" xfId="0" applyNumberFormat="1"/>
    <xf numFmtId="0" fontId="0" fillId="0" borderId="0" xfId="0" applyAlignment="1">
      <alignment horizontal="center" vertical="center"/>
    </xf>
    <xf numFmtId="9" fontId="0" fillId="0" borderId="0" xfId="42" applyFont="1" applyFill="1" applyBorder="1"/>
    <xf numFmtId="0" fontId="0" fillId="0" borderId="0" xfId="0" applyAlignment="1">
      <alignment horizontal="left" indent="1"/>
    </xf>
    <xf numFmtId="167" fontId="0" fillId="0" borderId="0" xfId="0" applyNumberFormat="1"/>
    <xf numFmtId="0" fontId="28" fillId="0" borderId="0" xfId="0" applyFont="1" applyAlignment="1">
      <alignment horizontal="right"/>
    </xf>
    <xf numFmtId="0" fontId="0" fillId="0" borderId="0" xfId="0" applyAlignment="1">
      <alignment horizontal="center"/>
    </xf>
    <xf numFmtId="0" fontId="18" fillId="35" borderId="10" xfId="0" applyFont="1" applyFill="1" applyBorder="1" applyAlignment="1">
      <alignment horizontal="left" vertical="top" wrapText="1"/>
    </xf>
    <xf numFmtId="0" fontId="18" fillId="35" borderId="11" xfId="0" applyFont="1" applyFill="1" applyBorder="1" applyAlignment="1">
      <alignment horizontal="left" vertical="top" wrapText="1"/>
    </xf>
    <xf numFmtId="0" fontId="18" fillId="35" borderId="12" xfId="0" applyFont="1" applyFill="1" applyBorder="1" applyAlignment="1">
      <alignment horizontal="left" vertical="top" wrapText="1"/>
    </xf>
    <xf numFmtId="0" fontId="18" fillId="35" borderId="13" xfId="0" applyFont="1" applyFill="1" applyBorder="1" applyAlignment="1">
      <alignment horizontal="left" vertical="top" wrapText="1"/>
    </xf>
    <xf numFmtId="0" fontId="18" fillId="35" borderId="0" xfId="0" applyFont="1" applyFill="1" applyAlignment="1">
      <alignment horizontal="left" vertical="top" wrapText="1"/>
    </xf>
    <xf numFmtId="0" fontId="18" fillId="35" borderId="14" xfId="0" applyFont="1" applyFill="1" applyBorder="1" applyAlignment="1">
      <alignment horizontal="left" vertical="top" wrapText="1"/>
    </xf>
    <xf numFmtId="0" fontId="18" fillId="35" borderId="15" xfId="0" applyFont="1" applyFill="1" applyBorder="1" applyAlignment="1">
      <alignment horizontal="left" vertical="top" wrapText="1"/>
    </xf>
    <xf numFmtId="0" fontId="18" fillId="35" borderId="16" xfId="0" applyFont="1" applyFill="1" applyBorder="1" applyAlignment="1">
      <alignment horizontal="left" vertical="top" wrapText="1"/>
    </xf>
    <xf numFmtId="0" fontId="18" fillId="35" borderId="17" xfId="0" applyFont="1" applyFill="1" applyBorder="1" applyAlignment="1">
      <alignment horizontal="left" vertical="top" wrapText="1"/>
    </xf>
    <xf numFmtId="0" fontId="23" fillId="0" borderId="20" xfId="0" applyFont="1" applyBorder="1" applyAlignment="1">
      <alignment horizontal="center"/>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font>
        <color rgb="FF9C0006"/>
      </font>
      <fill>
        <patternFill>
          <bgColor rgb="FFFFC7CE"/>
        </patternFill>
      </fill>
    </dxf>
    <dxf>
      <font>
        <color rgb="FF9C5700"/>
      </font>
      <fill>
        <patternFill>
          <bgColor rgb="FFFFEB9C"/>
        </patternFill>
      </fill>
    </dxf>
    <dxf>
      <font>
        <color rgb="FF006100"/>
      </font>
      <fill>
        <patternFill>
          <bgColor rgb="FFC6EFCE"/>
        </patternFill>
      </fill>
    </dxf>
    <dxf>
      <numFmt numFmtId="167" formatCode="#,,&quot; &quot;&quot;M&quot;"/>
    </dxf>
    <dxf>
      <numFmt numFmtId="14" formatCode="0.00%"/>
    </dxf>
    <dxf>
      <numFmt numFmtId="0" formatCode="Genera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numFmt numFmtId="14" formatCode="0.0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numFmt numFmtId="0" formatCode="General"/>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center"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25" formatCode="hh:mm"/>
      <alignment horizontal="right" vertical="center" textRotation="0" wrapText="0" indent="0" justifyLastLine="0" shrinkToFit="0" readingOrder="0"/>
    </dxf>
    <dxf>
      <font>
        <b val="0"/>
        <i val="0"/>
        <strike val="0"/>
        <condense val="0"/>
        <extend val="0"/>
        <outline val="0"/>
        <shadow val="0"/>
        <u val="none"/>
        <vertAlign val="baseline"/>
        <sz val="14"/>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fill>
        <patternFill patternType="none">
          <fgColor indexed="64"/>
          <bgColor indexed="65"/>
        </patternFill>
      </fill>
      <alignment horizontal="center" vertical="bottom" textRotation="0" wrapText="0" indent="0" justifyLastLine="0" shrinkToFit="0" readingOrder="0"/>
    </dxf>
    <dxf>
      <numFmt numFmtId="19" formatCode="d/m/yyyy"/>
    </dxf>
    <dxf>
      <font>
        <b val="0"/>
        <i val="0"/>
        <strike val="0"/>
        <condense val="0"/>
        <extend val="0"/>
        <outline val="0"/>
        <shadow val="0"/>
        <u val="none"/>
        <vertAlign val="baseline"/>
        <sz val="14"/>
        <color theme="1"/>
        <name val="Calibri"/>
        <family val="2"/>
        <scheme val="minor"/>
      </font>
    </dxf>
  </dxfs>
  <tableStyles count="0" defaultTableStyle="TableStyleMedium2" defaultPivotStyle="PivotStyleLight16"/>
  <colors>
    <mruColors>
      <color rgb="FFFF8B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[PF Baldi Matías.xlsx]Dinamicas!TablaDinámica16</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20732601746396E-2"/>
          <c:y val="6.8407960199004969E-2"/>
          <c:w val="0.88208811332678316"/>
          <c:h val="0.6366288635562346"/>
        </c:manualLayout>
      </c:layout>
      <c:lineChart>
        <c:grouping val="standard"/>
        <c:varyColors val="0"/>
        <c:ser>
          <c:idx val="0"/>
          <c:order val="0"/>
          <c:tx>
            <c:strRef>
              <c:f>Dinamicas!$H$4</c:f>
              <c:strCache>
                <c:ptCount val="1"/>
                <c:pt idx="0">
                  <c:v>Total</c:v>
                </c:pt>
              </c:strCache>
            </c:strRef>
          </c:tx>
          <c:spPr>
            <a:ln w="28575" cap="rnd">
              <a:solidFill>
                <a:schemeClr val="accent1"/>
              </a:solidFill>
              <a:round/>
            </a:ln>
            <a:effectLst/>
          </c:spPr>
          <c:marker>
            <c:symbol val="none"/>
          </c:marker>
          <c:cat>
            <c:multiLvlStrRef>
              <c:f>Dinamicas!$G$5:$G$16</c:f>
              <c:multiLvlStrCache>
                <c:ptCount val="10"/>
                <c:lvl>
                  <c:pt idx="0">
                    <c:v>1990</c:v>
                  </c:pt>
                  <c:pt idx="1">
                    <c:v>1991</c:v>
                  </c:pt>
                  <c:pt idx="2">
                    <c:v>1992</c:v>
                  </c:pt>
                  <c:pt idx="3">
                    <c:v>1993</c:v>
                  </c:pt>
                  <c:pt idx="4">
                    <c:v>1994</c:v>
                  </c:pt>
                  <c:pt idx="5">
                    <c:v>1995</c:v>
                  </c:pt>
                  <c:pt idx="6">
                    <c:v>1996</c:v>
                  </c:pt>
                  <c:pt idx="7">
                    <c:v>1997</c:v>
                  </c:pt>
                  <c:pt idx="8">
                    <c:v>1998</c:v>
                  </c:pt>
                  <c:pt idx="9">
                    <c:v>1999</c:v>
                  </c:pt>
                </c:lvl>
                <c:lvl>
                  <c:pt idx="0">
                    <c:v>90</c:v>
                  </c:pt>
                </c:lvl>
              </c:multiLvlStrCache>
            </c:multiLvlStrRef>
          </c:cat>
          <c:val>
            <c:numRef>
              <c:f>Dinamicas!$H$5:$H$16</c:f>
              <c:numCache>
                <c:formatCode>General</c:formatCode>
                <c:ptCount val="10"/>
                <c:pt idx="0">
                  <c:v>42</c:v>
                </c:pt>
                <c:pt idx="1">
                  <c:v>53</c:v>
                </c:pt>
                <c:pt idx="2">
                  <c:v>52</c:v>
                </c:pt>
                <c:pt idx="3">
                  <c:v>39</c:v>
                </c:pt>
                <c:pt idx="4">
                  <c:v>53</c:v>
                </c:pt>
                <c:pt idx="5">
                  <c:v>44</c:v>
                </c:pt>
                <c:pt idx="6">
                  <c:v>53</c:v>
                </c:pt>
                <c:pt idx="7">
                  <c:v>37</c:v>
                </c:pt>
                <c:pt idx="8">
                  <c:v>42</c:v>
                </c:pt>
                <c:pt idx="9">
                  <c:v>44</c:v>
                </c:pt>
              </c:numCache>
            </c:numRef>
          </c:val>
          <c:smooth val="0"/>
          <c:extLst>
            <c:ext xmlns:c16="http://schemas.microsoft.com/office/drawing/2014/chart" uri="{C3380CC4-5D6E-409C-BE32-E72D297353CC}">
              <c16:uniqueId val="{00000000-A039-4081-921C-F2DBB1166B8D}"/>
            </c:ext>
          </c:extLst>
        </c:ser>
        <c:dLbls>
          <c:showLegendKey val="0"/>
          <c:showVal val="0"/>
          <c:showCatName val="0"/>
          <c:showSerName val="0"/>
          <c:showPercent val="0"/>
          <c:showBubbleSize val="0"/>
        </c:dLbls>
        <c:smooth val="0"/>
        <c:axId val="1778575503"/>
        <c:axId val="1778576751"/>
      </c:lineChart>
      <c:catAx>
        <c:axId val="177857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de-DE"/>
          </a:p>
        </c:txPr>
        <c:crossAx val="1778576751"/>
        <c:crosses val="autoZero"/>
        <c:auto val="1"/>
        <c:lblAlgn val="ctr"/>
        <c:lblOffset val="100"/>
        <c:noMultiLvlLbl val="0"/>
      </c:catAx>
      <c:valAx>
        <c:axId val="17785767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de-DE"/>
          </a:p>
        </c:txPr>
        <c:crossAx val="177857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[PF Baldi Matías.xlsx]Dinamicas!TablaDinámica2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de-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
        <c:idx val="9"/>
        <c:spPr>
          <a:solidFill>
            <a:schemeClr val="accent1">
              <a:shade val="65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65000"/>
            </a:schemeClr>
          </a:solidFill>
          <a:ln w="19050">
            <a:solidFill>
              <a:schemeClr val="lt1"/>
            </a:solidFill>
          </a:ln>
          <a:effectLst/>
        </c:spPr>
      </c:pivotFmt>
      <c:pivotFmt>
        <c:idx val="12"/>
        <c:spPr>
          <a:solidFill>
            <a:schemeClr val="accent1">
              <a:shade val="65000"/>
            </a:schemeClr>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tint val="65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65000"/>
            </a:schemeClr>
          </a:solidFill>
          <a:ln w="19050">
            <a:solidFill>
              <a:schemeClr val="lt1"/>
            </a:solidFill>
          </a:ln>
          <a:effectLst/>
        </c:spPr>
      </c:pivotFmt>
      <c:pivotFmt>
        <c:idx val="17"/>
        <c:spPr>
          <a:solidFill>
            <a:schemeClr val="accent1">
              <a:shade val="65000"/>
            </a:schemeClr>
          </a:solidFill>
          <a:ln w="19050">
            <a:solidFill>
              <a:schemeClr val="lt1"/>
            </a:solidFill>
          </a:ln>
          <a:effectLst/>
        </c:spPr>
      </c:pivotFmt>
      <c:pivotFmt>
        <c:idx val="18"/>
        <c:spPr>
          <a:solidFill>
            <a:schemeClr val="accent1">
              <a:tint val="65000"/>
            </a:schemeClr>
          </a:solidFill>
          <a:ln w="19050">
            <a:solidFill>
              <a:schemeClr val="lt1"/>
            </a:solidFill>
          </a:ln>
          <a:effectLst/>
        </c:spPr>
      </c:pivotFmt>
    </c:pivotFmts>
    <c:plotArea>
      <c:layout/>
      <c:pieChart>
        <c:varyColors val="1"/>
        <c:ser>
          <c:idx val="0"/>
          <c:order val="0"/>
          <c:tx>
            <c:strRef>
              <c:f>Dinamicas!$E$4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64-4D42-8307-036DA27443C7}"/>
              </c:ext>
            </c:extLst>
          </c:dPt>
          <c:dPt>
            <c:idx val="1"/>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5B64-4D42-8307-036DA27443C7}"/>
              </c:ext>
            </c:extLst>
          </c:dPt>
          <c:dPt>
            <c:idx val="2"/>
            <c:bubble3D val="0"/>
            <c:explosion val="1"/>
            <c:spPr>
              <a:solidFill>
                <a:schemeClr val="accent1">
                  <a:tint val="65000"/>
                </a:schemeClr>
              </a:solidFill>
              <a:ln w="19050">
                <a:solidFill>
                  <a:schemeClr val="lt1"/>
                </a:solidFill>
              </a:ln>
              <a:effectLst/>
            </c:spPr>
            <c:extLst>
              <c:ext xmlns:c16="http://schemas.microsoft.com/office/drawing/2014/chart" uri="{C3380CC4-5D6E-409C-BE32-E72D297353CC}">
                <c16:uniqueId val="{00000005-5B64-4D42-8307-036DA27443C7}"/>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de-DE"/>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Dinamicas!$D$5:$D$7</c:f>
              <c:strCache>
                <c:ptCount val="3"/>
                <c:pt idx="0">
                  <c:v>Tupolev TU-154M</c:v>
                </c:pt>
                <c:pt idx="1">
                  <c:v>Lockheed C-130H</c:v>
                </c:pt>
                <c:pt idx="2">
                  <c:v>McDonnell Douglas DC-9-32</c:v>
                </c:pt>
              </c:strCache>
            </c:strRef>
          </c:cat>
          <c:val>
            <c:numRef>
              <c:f>Dinamicas!$E$5:$E$7</c:f>
              <c:numCache>
                <c:formatCode>0.00%</c:formatCode>
                <c:ptCount val="3"/>
                <c:pt idx="0">
                  <c:v>0.36210680321872712</c:v>
                </c:pt>
                <c:pt idx="1">
                  <c:v>0.36064374542794442</c:v>
                </c:pt>
                <c:pt idx="2">
                  <c:v>0.27724945135332846</c:v>
                </c:pt>
              </c:numCache>
            </c:numRef>
          </c:val>
          <c:extLst>
            <c:ext xmlns:c16="http://schemas.microsoft.com/office/drawing/2014/chart" uri="{C3380CC4-5D6E-409C-BE32-E72D297353CC}">
              <c16:uniqueId val="{00000006-5B64-4D42-8307-036DA27443C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3089525918635172"/>
          <c:y val="0.22114728447405613"/>
          <c:w val="0.44501619914698171"/>
          <c:h val="0.5833464566929134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[PF Baldi Matías.xlsx]Dinamicas!TablaDinámica15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pivotFmt>
    </c:pivotFmts>
    <c:plotArea>
      <c:layout/>
      <c:areaChart>
        <c:grouping val="standard"/>
        <c:varyColors val="0"/>
        <c:ser>
          <c:idx val="0"/>
          <c:order val="0"/>
          <c:tx>
            <c:strRef>
              <c:f>Dinamicas!$K$2</c:f>
              <c:strCache>
                <c:ptCount val="1"/>
                <c:pt idx="0">
                  <c:v>Abordo</c:v>
                </c:pt>
              </c:strCache>
            </c:strRef>
          </c:tx>
          <c:spPr>
            <a:solidFill>
              <a:schemeClr val="accent1"/>
            </a:solidFill>
            <a:ln>
              <a:noFill/>
            </a:ln>
            <a:effectLst/>
          </c:spPr>
          <c:cat>
            <c:multiLvlStrRef>
              <c:f>Dinamicas!$J$3:$J$14</c:f>
              <c:multiLvlStrCache>
                <c:ptCount val="10"/>
                <c:lvl>
                  <c:pt idx="0">
                    <c:v>1990</c:v>
                  </c:pt>
                  <c:pt idx="1">
                    <c:v>1991</c:v>
                  </c:pt>
                  <c:pt idx="2">
                    <c:v>1992</c:v>
                  </c:pt>
                  <c:pt idx="3">
                    <c:v>1993</c:v>
                  </c:pt>
                  <c:pt idx="4">
                    <c:v>1994</c:v>
                  </c:pt>
                  <c:pt idx="5">
                    <c:v>1995</c:v>
                  </c:pt>
                  <c:pt idx="6">
                    <c:v>1996</c:v>
                  </c:pt>
                  <c:pt idx="7">
                    <c:v>1997</c:v>
                  </c:pt>
                  <c:pt idx="8">
                    <c:v>1998</c:v>
                  </c:pt>
                  <c:pt idx="9">
                    <c:v>1999</c:v>
                  </c:pt>
                </c:lvl>
                <c:lvl>
                  <c:pt idx="0">
                    <c:v>90</c:v>
                  </c:pt>
                </c:lvl>
              </c:multiLvlStrCache>
            </c:multiLvlStrRef>
          </c:cat>
          <c:val>
            <c:numRef>
              <c:f>Dinamicas!$K$3:$K$14</c:f>
              <c:numCache>
                <c:formatCode>General</c:formatCode>
                <c:ptCount val="10"/>
                <c:pt idx="0">
                  <c:v>722</c:v>
                </c:pt>
                <c:pt idx="1">
                  <c:v>1600</c:v>
                </c:pt>
                <c:pt idx="2">
                  <c:v>1909</c:v>
                </c:pt>
                <c:pt idx="3">
                  <c:v>1329</c:v>
                </c:pt>
                <c:pt idx="4">
                  <c:v>1759</c:v>
                </c:pt>
                <c:pt idx="5">
                  <c:v>1440</c:v>
                </c:pt>
                <c:pt idx="6">
                  <c:v>2316</c:v>
                </c:pt>
                <c:pt idx="7">
                  <c:v>1514</c:v>
                </c:pt>
                <c:pt idx="8">
                  <c:v>1491</c:v>
                </c:pt>
                <c:pt idx="9">
                  <c:v>726</c:v>
                </c:pt>
              </c:numCache>
            </c:numRef>
          </c:val>
          <c:extLst>
            <c:ext xmlns:c16="http://schemas.microsoft.com/office/drawing/2014/chart" uri="{C3380CC4-5D6E-409C-BE32-E72D297353CC}">
              <c16:uniqueId val="{00000000-B474-40F0-AC6D-463ED292678D}"/>
            </c:ext>
          </c:extLst>
        </c:ser>
        <c:dLbls>
          <c:showLegendKey val="0"/>
          <c:showVal val="0"/>
          <c:showCatName val="0"/>
          <c:showSerName val="0"/>
          <c:showPercent val="0"/>
          <c:showBubbleSize val="0"/>
        </c:dLbls>
        <c:axId val="1323494240"/>
        <c:axId val="1323484256"/>
      </c:areaChart>
      <c:lineChart>
        <c:grouping val="standard"/>
        <c:varyColors val="0"/>
        <c:ser>
          <c:idx val="1"/>
          <c:order val="1"/>
          <c:tx>
            <c:strRef>
              <c:f>Dinamicas!$L$2</c:f>
              <c:strCache>
                <c:ptCount val="1"/>
                <c:pt idx="0">
                  <c:v>Muertes</c:v>
                </c:pt>
              </c:strCache>
            </c:strRef>
          </c:tx>
          <c:spPr>
            <a:ln w="28575" cap="rnd">
              <a:solidFill>
                <a:srgbClr val="FF0000"/>
              </a:solidFill>
              <a:round/>
            </a:ln>
            <a:effectLst/>
          </c:spPr>
          <c:marker>
            <c:symbol val="none"/>
          </c:marker>
          <c:dPt>
            <c:idx val="69"/>
            <c:marker>
              <c:symbol val="none"/>
            </c:marker>
            <c:bubble3D val="0"/>
            <c:extLst>
              <c:ext xmlns:c16="http://schemas.microsoft.com/office/drawing/2014/chart" uri="{C3380CC4-5D6E-409C-BE32-E72D297353CC}">
                <c16:uniqueId val="{00000001-B474-40F0-AC6D-463ED292678D}"/>
              </c:ext>
            </c:extLst>
          </c:dPt>
          <c:cat>
            <c:multiLvlStrRef>
              <c:f>Dinamicas!$J$3:$J$14</c:f>
              <c:multiLvlStrCache>
                <c:ptCount val="10"/>
                <c:lvl>
                  <c:pt idx="0">
                    <c:v>1990</c:v>
                  </c:pt>
                  <c:pt idx="1">
                    <c:v>1991</c:v>
                  </c:pt>
                  <c:pt idx="2">
                    <c:v>1992</c:v>
                  </c:pt>
                  <c:pt idx="3">
                    <c:v>1993</c:v>
                  </c:pt>
                  <c:pt idx="4">
                    <c:v>1994</c:v>
                  </c:pt>
                  <c:pt idx="5">
                    <c:v>1995</c:v>
                  </c:pt>
                  <c:pt idx="6">
                    <c:v>1996</c:v>
                  </c:pt>
                  <c:pt idx="7">
                    <c:v>1997</c:v>
                  </c:pt>
                  <c:pt idx="8">
                    <c:v>1998</c:v>
                  </c:pt>
                  <c:pt idx="9">
                    <c:v>1999</c:v>
                  </c:pt>
                </c:lvl>
                <c:lvl>
                  <c:pt idx="0">
                    <c:v>90</c:v>
                  </c:pt>
                </c:lvl>
              </c:multiLvlStrCache>
            </c:multiLvlStrRef>
          </c:cat>
          <c:val>
            <c:numRef>
              <c:f>Dinamicas!$L$3:$L$14</c:f>
              <c:numCache>
                <c:formatCode>General</c:formatCode>
                <c:ptCount val="10"/>
                <c:pt idx="0">
                  <c:v>704</c:v>
                </c:pt>
                <c:pt idx="1">
                  <c:v>1585</c:v>
                </c:pt>
                <c:pt idx="2">
                  <c:v>1855</c:v>
                </c:pt>
                <c:pt idx="3">
                  <c:v>1275</c:v>
                </c:pt>
                <c:pt idx="4">
                  <c:v>1691</c:v>
                </c:pt>
                <c:pt idx="5">
                  <c:v>1392</c:v>
                </c:pt>
                <c:pt idx="6">
                  <c:v>2250</c:v>
                </c:pt>
                <c:pt idx="7">
                  <c:v>1482</c:v>
                </c:pt>
                <c:pt idx="8">
                  <c:v>1407</c:v>
                </c:pt>
                <c:pt idx="9">
                  <c:v>723</c:v>
                </c:pt>
              </c:numCache>
            </c:numRef>
          </c:val>
          <c:smooth val="0"/>
          <c:extLst>
            <c:ext xmlns:c16="http://schemas.microsoft.com/office/drawing/2014/chart" uri="{C3380CC4-5D6E-409C-BE32-E72D297353CC}">
              <c16:uniqueId val="{00000002-B474-40F0-AC6D-463ED292678D}"/>
            </c:ext>
          </c:extLst>
        </c:ser>
        <c:dLbls>
          <c:showLegendKey val="0"/>
          <c:showVal val="0"/>
          <c:showCatName val="0"/>
          <c:showSerName val="0"/>
          <c:showPercent val="0"/>
          <c:showBubbleSize val="0"/>
        </c:dLbls>
        <c:marker val="1"/>
        <c:smooth val="0"/>
        <c:axId val="1323494240"/>
        <c:axId val="1323484256"/>
      </c:lineChart>
      <c:catAx>
        <c:axId val="1323494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de-DE"/>
          </a:p>
        </c:txPr>
        <c:crossAx val="1323484256"/>
        <c:crosses val="autoZero"/>
        <c:auto val="1"/>
        <c:lblAlgn val="ctr"/>
        <c:lblOffset val="100"/>
        <c:noMultiLvlLbl val="0"/>
      </c:catAx>
      <c:valAx>
        <c:axId val="13234842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de-DE"/>
          </a:p>
        </c:txPr>
        <c:crossAx val="132349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3" Type="http://schemas.openxmlformats.org/officeDocument/2006/relationships/hyperlink" Target="#Readme!A1"/><Relationship Id="rId2" Type="http://schemas.openxmlformats.org/officeDocument/2006/relationships/hyperlink" Target="#'Set Datos'!A1"/><Relationship Id="rId1" Type="http://schemas.openxmlformats.org/officeDocument/2006/relationships/hyperlink" Target="#Dashboard!A1"/></Relationships>
</file>

<file path=xl/diagrams/colors1.xml><?xml version="1.0" encoding="utf-8"?>
<dgm:colorsDef xmlns:dgm="http://schemas.openxmlformats.org/drawingml/2006/diagram" xmlns:a="http://schemas.openxmlformats.org/drawingml/2006/main" uniqueId="urn:microsoft.com/office/officeart/2005/8/colors/accent3_2">
  <dgm:title val=""/>
  <dgm:desc val=""/>
  <dgm:catLst>
    <dgm:cat type="accent3" pri="11200"/>
  </dgm:catLst>
  <dgm:styleLbl name="node0">
    <dgm:fillClrLst meth="repeat">
      <a:schemeClr val="accent3"/>
    </dgm:fillClrLst>
    <dgm:linClrLst meth="repeat">
      <a:schemeClr val="lt1"/>
    </dgm:linClrLst>
    <dgm:effectClrLst/>
    <dgm:txLinClrLst/>
    <dgm:txFillClrLst/>
    <dgm:txEffectClrLst/>
  </dgm:styleLbl>
  <dgm:styleLbl name="node1">
    <dgm:fillClrLst meth="repeat">
      <a:schemeClr val="accent3"/>
    </dgm:fillClrLst>
    <dgm:linClrLst meth="repeat">
      <a:schemeClr val="lt1"/>
    </dgm:linClrLst>
    <dgm:effectClrLst/>
    <dgm:txLinClrLst/>
    <dgm:txFillClrLst/>
    <dgm:txEffectClrLst/>
  </dgm:styleLbl>
  <dgm:styleLbl name="alignNode1">
    <dgm:fillClrLst meth="repeat">
      <a:schemeClr val="accent3"/>
    </dgm:fillClrLst>
    <dgm:linClrLst meth="repeat">
      <a:schemeClr val="accent3"/>
    </dgm:linClrLst>
    <dgm:effectClrLst/>
    <dgm:txLinClrLst/>
    <dgm:txFillClrLst/>
    <dgm:txEffectClrLst/>
  </dgm:styleLbl>
  <dgm:styleLbl name="lnNode1">
    <dgm:fillClrLst meth="repeat">
      <a:schemeClr val="accent3"/>
    </dgm:fillClrLst>
    <dgm:linClrLst meth="repeat">
      <a:schemeClr val="lt1"/>
    </dgm:linClrLst>
    <dgm:effectClrLst/>
    <dgm:txLinClrLst/>
    <dgm:txFillClrLst/>
    <dgm:txEffectClrLst/>
  </dgm:styleLbl>
  <dgm:styleLbl name="vennNode1">
    <dgm:fillClrLst meth="repeat">
      <a:schemeClr val="accent3">
        <a:alpha val="50000"/>
      </a:schemeClr>
    </dgm:fillClrLst>
    <dgm:linClrLst meth="repeat">
      <a:schemeClr val="lt1"/>
    </dgm:linClrLst>
    <dgm:effectClrLst/>
    <dgm:txLinClrLst/>
    <dgm:txFillClrLst/>
    <dgm:txEffectClrLst/>
  </dgm:styleLbl>
  <dgm:styleLbl name="node2">
    <dgm:fillClrLst meth="repeat">
      <a:schemeClr val="accent3"/>
    </dgm:fillClrLst>
    <dgm:linClrLst meth="repeat">
      <a:schemeClr val="lt1"/>
    </dgm:linClrLst>
    <dgm:effectClrLst/>
    <dgm:txLinClrLst/>
    <dgm:txFillClrLst/>
    <dgm:txEffectClrLst/>
  </dgm:styleLbl>
  <dgm:styleLbl name="node3">
    <dgm:fillClrLst meth="repeat">
      <a:schemeClr val="accent3"/>
    </dgm:fillClrLst>
    <dgm:linClrLst meth="repeat">
      <a:schemeClr val="lt1"/>
    </dgm:linClrLst>
    <dgm:effectClrLst/>
    <dgm:txLinClrLst/>
    <dgm:txFillClrLst/>
    <dgm:txEffectClrLst/>
  </dgm:styleLbl>
  <dgm:styleLbl name="node4">
    <dgm:fillClrLst meth="repeat">
      <a:schemeClr val="accent3"/>
    </dgm:fillClrLst>
    <dgm:linClrLst meth="repeat">
      <a:schemeClr val="lt1"/>
    </dgm:linClrLst>
    <dgm:effectClrLst/>
    <dgm:txLinClrLst/>
    <dgm:txFillClrLst/>
    <dgm:txEffectClrLst/>
  </dgm:styleLbl>
  <dgm:styleLbl name="fgImgPlace1">
    <dgm:fillClrLst meth="repeat">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3">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3">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3">
        <a:tint val="60000"/>
      </a:schemeClr>
    </dgm:fillClrLst>
    <dgm:linClrLst meth="repeat">
      <a:schemeClr val="accent3">
        <a:tint val="60000"/>
      </a:schemeClr>
    </dgm:linClrLst>
    <dgm:effectClrLst/>
    <dgm:txLinClrLst/>
    <dgm:txFillClrLst/>
    <dgm:txEffectClrLst/>
  </dgm:styleLbl>
  <dgm:styleLbl name="fgSibTrans2D1">
    <dgm:fillClrLst meth="repeat">
      <a:schemeClr val="accent3">
        <a:tint val="60000"/>
      </a:schemeClr>
    </dgm:fillClrLst>
    <dgm:linClrLst meth="repeat">
      <a:schemeClr val="accent3">
        <a:tint val="60000"/>
      </a:schemeClr>
    </dgm:linClrLst>
    <dgm:effectClrLst/>
    <dgm:txLinClrLst/>
    <dgm:txFillClrLst/>
    <dgm:txEffectClrLst/>
  </dgm:styleLbl>
  <dgm:styleLbl name="bgSibTrans2D1">
    <dgm:fillClrLst meth="repeat">
      <a:schemeClr val="accent3">
        <a:tint val="60000"/>
      </a:schemeClr>
    </dgm:fillClrLst>
    <dgm:linClrLst meth="repeat">
      <a:schemeClr val="accent3">
        <a:tint val="60000"/>
      </a:schemeClr>
    </dgm:linClrLst>
    <dgm:effectClrLst/>
    <dgm:txLinClrLst/>
    <dgm:txFillClrLst/>
    <dgm:txEffectClrLst/>
  </dgm:styleLbl>
  <dgm:styleLbl name="sibTrans1D1">
    <dgm:fillClrLst meth="repeat">
      <a:schemeClr val="accent3"/>
    </dgm:fillClrLst>
    <dgm:linClrLst meth="repeat">
      <a:schemeClr val="accent3"/>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dgm:linClrLst>
    <dgm:effectClrLst/>
    <dgm:txLinClrLst/>
    <dgm:txFillClrLst/>
    <dgm:txEffectClrLst/>
  </dgm:styleLbl>
  <dgm:styleLbl name="asst1">
    <dgm:fillClrLst meth="repeat">
      <a:schemeClr val="accent3"/>
    </dgm:fillClrLst>
    <dgm:linClrLst meth="repeat">
      <a:schemeClr val="lt1"/>
    </dgm:linClrLst>
    <dgm:effectClrLst/>
    <dgm:txLinClrLst/>
    <dgm:txFillClrLst/>
    <dgm:txEffectClrLst/>
  </dgm:styleLbl>
  <dgm:styleLbl name="asst2">
    <dgm:fillClrLst meth="repeat">
      <a:schemeClr val="accent3"/>
    </dgm:fillClrLst>
    <dgm:linClrLst meth="repeat">
      <a:schemeClr val="lt1"/>
    </dgm:linClrLst>
    <dgm:effectClrLst/>
    <dgm:txLinClrLst/>
    <dgm:txFillClrLst/>
    <dgm:txEffectClrLst/>
  </dgm:styleLbl>
  <dgm:styleLbl name="asst3">
    <dgm:fillClrLst meth="repeat">
      <a:schemeClr val="accent3"/>
    </dgm:fillClrLst>
    <dgm:linClrLst meth="repeat">
      <a:schemeClr val="lt1"/>
    </dgm:linClrLst>
    <dgm:effectClrLst/>
    <dgm:txLinClrLst/>
    <dgm:txFillClrLst/>
    <dgm:txEffectClrLst/>
  </dgm:styleLbl>
  <dgm:styleLbl name="asst4">
    <dgm:fillClrLst meth="repeat">
      <a:schemeClr val="accent3"/>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tint val="60000"/>
      </a:schemeClr>
    </dgm:linClrLst>
    <dgm:effectClrLst/>
    <dgm:txLinClrLst/>
    <dgm:txFillClrLst meth="repeat">
      <a:schemeClr val="lt1"/>
    </dgm:txFillClrLst>
    <dgm:txEffectClrLst/>
  </dgm:styleLbl>
  <dgm:styleLbl name="parChTrans2D2">
    <dgm:fillClrLst meth="repeat">
      <a:schemeClr val="accent3"/>
    </dgm:fillClrLst>
    <dgm:linClrLst meth="repeat">
      <a:schemeClr val="accent3"/>
    </dgm:linClrLst>
    <dgm:effectClrLst/>
    <dgm:txLinClrLst/>
    <dgm:txFillClrLst meth="repeat">
      <a:schemeClr val="lt1"/>
    </dgm:txFillClrLst>
    <dgm:txEffectClrLst/>
  </dgm:styleLbl>
  <dgm:styleLbl name="parChTrans2D3">
    <dgm:fillClrLst meth="repeat">
      <a:schemeClr val="accent3"/>
    </dgm:fillClrLst>
    <dgm:linClrLst meth="repeat">
      <a:schemeClr val="accent3"/>
    </dgm:linClrLst>
    <dgm:effectClrLst/>
    <dgm:txLinClrLst/>
    <dgm:txFillClrLst meth="repeat">
      <a:schemeClr val="lt1"/>
    </dgm:txFillClrLst>
    <dgm:txEffectClrLst/>
  </dgm:styleLbl>
  <dgm:styleLbl name="parChTrans2D4">
    <dgm:fillClrLst meth="repeat">
      <a:schemeClr val="accent3"/>
    </dgm:fillClrLst>
    <dgm:linClrLst meth="repeat">
      <a:schemeClr val="accent3"/>
    </dgm:linClrLst>
    <dgm:effectClrLst/>
    <dgm:txLinClrLst/>
    <dgm:txFillClrLst meth="repeat">
      <a:schemeClr val="lt1"/>
    </dgm:txFillClrLst>
    <dgm:txEffectClrLst/>
  </dgm:styleLbl>
  <dgm:styleLbl name="parChTrans1D1">
    <dgm:fillClrLst meth="repeat">
      <a:schemeClr val="accent3"/>
    </dgm:fillClrLst>
    <dgm:linClrLst meth="repeat">
      <a:schemeClr val="accent3">
        <a:shade val="60000"/>
      </a:schemeClr>
    </dgm:linClrLst>
    <dgm:effectClrLst/>
    <dgm:txLinClrLst/>
    <dgm:txFillClrLst meth="repeat">
      <a:schemeClr val="tx1"/>
    </dgm:txFillClrLst>
    <dgm:txEffectClrLst/>
  </dgm:styleLbl>
  <dgm:styleLbl name="parChTrans1D2">
    <dgm:fillClrLst meth="repeat">
      <a:schemeClr val="accent3"/>
    </dgm:fillClrLst>
    <dgm:linClrLst meth="repeat">
      <a:schemeClr val="accent3">
        <a:shade val="60000"/>
      </a:schemeClr>
    </dgm:linClrLst>
    <dgm:effectClrLst/>
    <dgm:txLinClrLst/>
    <dgm:txFillClrLst meth="repeat">
      <a:schemeClr val="tx1"/>
    </dgm:txFillClrLst>
    <dgm:txEffectClrLst/>
  </dgm:styleLbl>
  <dgm:styleLbl name="parChTrans1D3">
    <dgm:fillClrLst meth="repeat">
      <a:schemeClr val="accent3"/>
    </dgm:fillClrLst>
    <dgm:linClrLst meth="repeat">
      <a:schemeClr val="accent3">
        <a:shade val="80000"/>
      </a:schemeClr>
    </dgm:linClrLst>
    <dgm:effectClrLst/>
    <dgm:txLinClrLst/>
    <dgm:txFillClrLst meth="repeat">
      <a:schemeClr val="tx1"/>
    </dgm:txFillClrLst>
    <dgm:txEffectClrLst/>
  </dgm:styleLbl>
  <dgm:styleLbl name="parChTrans1D4">
    <dgm:fillClrLst meth="repeat">
      <a:schemeClr val="accent3"/>
    </dgm:fillClrLst>
    <dgm:linClrLst meth="repeat">
      <a:schemeClr val="accent3">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solidFgAcc1">
    <dgm:fillClrLst meth="repeat">
      <a:schemeClr val="lt1"/>
    </dgm:fillClrLst>
    <dgm:linClrLst meth="repeat">
      <a:schemeClr val="accent3"/>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40000"/>
      </a:schemeClr>
    </dgm:fillClrLst>
    <dgm:linClrLst meth="repeat">
      <a:schemeClr val="accent3">
        <a:alpha val="90000"/>
        <a:tint val="40000"/>
      </a:schemeClr>
    </dgm:linClrLst>
    <dgm:effectClrLst/>
    <dgm:txLinClrLst/>
    <dgm:txFillClrLst meth="repeat">
      <a:schemeClr val="dk1"/>
    </dgm:txFillClrLst>
    <dgm:txEffectClrLst/>
  </dgm:styleLbl>
  <dgm:styleLbl name="alignAccFollowNode1">
    <dgm:fillClrLst meth="repeat">
      <a:schemeClr val="accent3">
        <a:alpha val="90000"/>
        <a:tint val="40000"/>
      </a:schemeClr>
    </dgm:fillClrLst>
    <dgm:linClrLst meth="repeat">
      <a:schemeClr val="accent3">
        <a:alpha val="90000"/>
        <a:tint val="40000"/>
      </a:schemeClr>
    </dgm:linClrLst>
    <dgm:effectClrLst/>
    <dgm:txLinClrLst/>
    <dgm:txFillClrLst meth="repeat">
      <a:schemeClr val="dk1"/>
    </dgm:txFillClrLst>
    <dgm:txEffectClrLst/>
  </dgm:styleLbl>
  <dgm:styleLbl name="bgAccFollowNode1">
    <dgm:fillClrLst meth="repeat">
      <a:schemeClr val="accent3">
        <a:alpha val="90000"/>
        <a:tint val="40000"/>
      </a:schemeClr>
    </dgm:fillClrLst>
    <dgm:linClrLst meth="repeat">
      <a:schemeClr val="accent3">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accent3"/>
    </dgm:linClrLst>
    <dgm:effectClrLst/>
    <dgm:txLinClrLst/>
    <dgm:txFillClrLst meth="repeat">
      <a:schemeClr val="dk1"/>
    </dgm:txFillClrLst>
    <dgm:txEffectClrLst/>
  </dgm:styleLbl>
  <dgm:styleLbl name="dkBgShp">
    <dgm:fillClrLst meth="repeat">
      <a:schemeClr val="accent3">
        <a:shade val="80000"/>
      </a:schemeClr>
    </dgm:fillClrLst>
    <dgm:linClrLst meth="repeat">
      <a:schemeClr val="accent3"/>
    </dgm:linClrLst>
    <dgm:effectClrLst/>
    <dgm:txLinClrLst/>
    <dgm:txFillClrLst meth="repeat">
      <a:schemeClr val="lt1"/>
    </dgm:txFillClrLst>
    <dgm:txEffectClrLst/>
  </dgm:styleLbl>
  <dgm:styleLbl name="trBgShp">
    <dgm:fillClrLst meth="repeat">
      <a:schemeClr val="accent3">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90B17762-7A89-4B57-B717-9B6E81A8A8C1}" type="doc">
      <dgm:prSet loTypeId="urn:microsoft.com/office/officeart/2008/layout/VerticalCurvedList" loCatId="list" qsTypeId="urn:microsoft.com/office/officeart/2005/8/quickstyle/simple1" qsCatId="simple" csTypeId="urn:microsoft.com/office/officeart/2005/8/colors/accent3_2" csCatId="accent3" phldr="1"/>
      <dgm:spPr/>
      <dgm:t>
        <a:bodyPr/>
        <a:lstStyle/>
        <a:p>
          <a:endParaRPr lang="de-DE"/>
        </a:p>
      </dgm:t>
    </dgm:pt>
    <dgm:pt modelId="{83DE9509-C98B-485A-A4F3-F9A887A68A2E}">
      <dgm:prSet phldrT="[Texto]"/>
      <dgm:spPr>
        <a:solidFill>
          <a:schemeClr val="accent2"/>
        </a:solidFill>
      </dgm:spPr>
      <dgm:t>
        <a:bodyPr/>
        <a:lstStyle/>
        <a:p>
          <a:r>
            <a:rPr lang="de-DE"/>
            <a:t>DASHBOARD</a:t>
          </a:r>
        </a:p>
      </dgm:t>
      <dgm:extLst>
        <a:ext uri="{E40237B7-FDA0-4F09-8148-C483321AD2D9}">
          <dgm14:cNvPr xmlns:dgm14="http://schemas.microsoft.com/office/drawing/2010/diagram" id="0" name="">
            <a:hlinkClick xmlns:r="http://schemas.openxmlformats.org/officeDocument/2006/relationships" r:id="rId1"/>
          </dgm14:cNvPr>
        </a:ext>
      </dgm:extLst>
    </dgm:pt>
    <dgm:pt modelId="{57C36D3D-A74E-4737-9B54-71938E8B4549}" type="parTrans" cxnId="{511D363C-3751-4C3C-901A-7804F5DB45DA}">
      <dgm:prSet/>
      <dgm:spPr/>
      <dgm:t>
        <a:bodyPr/>
        <a:lstStyle/>
        <a:p>
          <a:endParaRPr lang="de-DE"/>
        </a:p>
      </dgm:t>
    </dgm:pt>
    <dgm:pt modelId="{74048792-0663-499F-B1A1-6E6220CF27C4}" type="sibTrans" cxnId="{511D363C-3751-4C3C-901A-7804F5DB45DA}">
      <dgm:prSet/>
      <dgm:spPr/>
      <dgm:t>
        <a:bodyPr/>
        <a:lstStyle/>
        <a:p>
          <a:endParaRPr lang="de-DE"/>
        </a:p>
      </dgm:t>
    </dgm:pt>
    <dgm:pt modelId="{A1752B17-429E-40BC-A04D-462200FF1278}">
      <dgm:prSet phldrT="[Texto]"/>
      <dgm:spPr>
        <a:solidFill>
          <a:schemeClr val="accent1"/>
        </a:solidFill>
      </dgm:spPr>
      <dgm:t>
        <a:bodyPr/>
        <a:lstStyle/>
        <a:p>
          <a:r>
            <a:rPr lang="de-DE"/>
            <a:t>SET DATOS</a:t>
          </a:r>
        </a:p>
      </dgm:t>
      <dgm:extLst>
        <a:ext uri="{E40237B7-FDA0-4F09-8148-C483321AD2D9}">
          <dgm14:cNvPr xmlns:dgm14="http://schemas.microsoft.com/office/drawing/2010/diagram" id="0" name="">
            <a:hlinkClick xmlns:r="http://schemas.openxmlformats.org/officeDocument/2006/relationships" r:id="rId2"/>
          </dgm14:cNvPr>
        </a:ext>
      </dgm:extLst>
    </dgm:pt>
    <dgm:pt modelId="{B78B67BF-0503-49F8-90D9-82E78591E889}" type="parTrans" cxnId="{CC6F19EA-B92B-43C3-985D-E8405E62467A}">
      <dgm:prSet/>
      <dgm:spPr/>
      <dgm:t>
        <a:bodyPr/>
        <a:lstStyle/>
        <a:p>
          <a:endParaRPr lang="de-DE"/>
        </a:p>
      </dgm:t>
    </dgm:pt>
    <dgm:pt modelId="{FFC01C28-98B2-4AEE-8255-504D16962B50}" type="sibTrans" cxnId="{CC6F19EA-B92B-43C3-985D-E8405E62467A}">
      <dgm:prSet/>
      <dgm:spPr/>
      <dgm:t>
        <a:bodyPr/>
        <a:lstStyle/>
        <a:p>
          <a:endParaRPr lang="de-DE"/>
        </a:p>
      </dgm:t>
    </dgm:pt>
    <dgm:pt modelId="{8F667BF8-D949-46AA-8481-071A277B3F9E}">
      <dgm:prSet phldrT="[Texto]"/>
      <dgm:spPr>
        <a:solidFill>
          <a:schemeClr val="accent6">
            <a:lumMod val="75000"/>
          </a:schemeClr>
        </a:solidFill>
      </dgm:spPr>
      <dgm:t>
        <a:bodyPr/>
        <a:lstStyle/>
        <a:p>
          <a:r>
            <a:rPr lang="de-DE"/>
            <a:t>README</a:t>
          </a:r>
        </a:p>
      </dgm:t>
      <dgm:extLst>
        <a:ext uri="{E40237B7-FDA0-4F09-8148-C483321AD2D9}">
          <dgm14:cNvPr xmlns:dgm14="http://schemas.microsoft.com/office/drawing/2010/diagram" id="0" name="">
            <a:hlinkClick xmlns:r="http://schemas.openxmlformats.org/officeDocument/2006/relationships" r:id="rId3"/>
          </dgm14:cNvPr>
        </a:ext>
      </dgm:extLst>
    </dgm:pt>
    <dgm:pt modelId="{EDAD61DE-CC94-4C8C-A798-0F4EA2241301}" type="parTrans" cxnId="{09A6ED46-E677-494E-9AF3-6A52CC4DC12F}">
      <dgm:prSet/>
      <dgm:spPr/>
      <dgm:t>
        <a:bodyPr/>
        <a:lstStyle/>
        <a:p>
          <a:endParaRPr lang="de-DE"/>
        </a:p>
      </dgm:t>
    </dgm:pt>
    <dgm:pt modelId="{9FF8B126-DBC0-4037-9A63-FDF539EB97B6}" type="sibTrans" cxnId="{09A6ED46-E677-494E-9AF3-6A52CC4DC12F}">
      <dgm:prSet/>
      <dgm:spPr/>
      <dgm:t>
        <a:bodyPr/>
        <a:lstStyle/>
        <a:p>
          <a:endParaRPr lang="de-DE"/>
        </a:p>
      </dgm:t>
    </dgm:pt>
    <dgm:pt modelId="{4CE1695A-88E4-4FE6-AE2D-04F3A61C340F}" type="pres">
      <dgm:prSet presAssocID="{90B17762-7A89-4B57-B717-9B6E81A8A8C1}" presName="Name0" presStyleCnt="0">
        <dgm:presLayoutVars>
          <dgm:chMax val="7"/>
          <dgm:chPref val="7"/>
          <dgm:dir/>
        </dgm:presLayoutVars>
      </dgm:prSet>
      <dgm:spPr/>
    </dgm:pt>
    <dgm:pt modelId="{D5F0BFB9-6C22-47C7-B6BA-6F3D243C8931}" type="pres">
      <dgm:prSet presAssocID="{90B17762-7A89-4B57-B717-9B6E81A8A8C1}" presName="Name1" presStyleCnt="0"/>
      <dgm:spPr/>
    </dgm:pt>
    <dgm:pt modelId="{D740685C-756B-4F48-91D3-BA5A40209179}" type="pres">
      <dgm:prSet presAssocID="{90B17762-7A89-4B57-B717-9B6E81A8A8C1}" presName="cycle" presStyleCnt="0"/>
      <dgm:spPr/>
    </dgm:pt>
    <dgm:pt modelId="{88D85DE4-AFC2-42CE-80DC-8036188953F1}" type="pres">
      <dgm:prSet presAssocID="{90B17762-7A89-4B57-B717-9B6E81A8A8C1}" presName="srcNode" presStyleLbl="node1" presStyleIdx="0" presStyleCnt="3"/>
      <dgm:spPr/>
    </dgm:pt>
    <dgm:pt modelId="{F357CE39-AFE7-4FA6-9555-259035FE7352}" type="pres">
      <dgm:prSet presAssocID="{90B17762-7A89-4B57-B717-9B6E81A8A8C1}" presName="conn" presStyleLbl="parChTrans1D2" presStyleIdx="0" presStyleCnt="1"/>
      <dgm:spPr/>
    </dgm:pt>
    <dgm:pt modelId="{448C7FDB-A4CA-4FE7-A168-6E7877E51652}" type="pres">
      <dgm:prSet presAssocID="{90B17762-7A89-4B57-B717-9B6E81A8A8C1}" presName="extraNode" presStyleLbl="node1" presStyleIdx="0" presStyleCnt="3"/>
      <dgm:spPr/>
    </dgm:pt>
    <dgm:pt modelId="{5019E2B8-99D9-4E05-8A24-068F5F8DADDB}" type="pres">
      <dgm:prSet presAssocID="{90B17762-7A89-4B57-B717-9B6E81A8A8C1}" presName="dstNode" presStyleLbl="node1" presStyleIdx="0" presStyleCnt="3"/>
      <dgm:spPr/>
    </dgm:pt>
    <dgm:pt modelId="{C8DC8E8A-B85C-4CDC-9CD8-20BA152BC21D}" type="pres">
      <dgm:prSet presAssocID="{83DE9509-C98B-485A-A4F3-F9A887A68A2E}" presName="text_1" presStyleLbl="node1" presStyleIdx="0" presStyleCnt="3">
        <dgm:presLayoutVars>
          <dgm:bulletEnabled val="1"/>
        </dgm:presLayoutVars>
      </dgm:prSet>
      <dgm:spPr/>
    </dgm:pt>
    <dgm:pt modelId="{21381BE8-C182-440A-AC2F-64F44E322BEE}" type="pres">
      <dgm:prSet presAssocID="{83DE9509-C98B-485A-A4F3-F9A887A68A2E}" presName="accent_1" presStyleCnt="0"/>
      <dgm:spPr/>
    </dgm:pt>
    <dgm:pt modelId="{7BD8A557-7512-4F45-A9E6-5BC7AC2666A5}" type="pres">
      <dgm:prSet presAssocID="{83DE9509-C98B-485A-A4F3-F9A887A68A2E}" presName="accentRepeatNode" presStyleLbl="solidFgAcc1" presStyleIdx="0" presStyleCnt="3"/>
      <dgm:spPr/>
      <dgm:extLst>
        <a:ext uri="{E40237B7-FDA0-4F09-8148-C483321AD2D9}">
          <dgm14:cNvPr xmlns:dgm14="http://schemas.microsoft.com/office/drawing/2010/diagram" id="0" name="">
            <a:hlinkClick xmlns:r="http://schemas.openxmlformats.org/officeDocument/2006/relationships" r:id="rId1"/>
          </dgm14:cNvPr>
        </a:ext>
      </dgm:extLst>
    </dgm:pt>
    <dgm:pt modelId="{F634893A-6EF6-44FF-9985-18B0CC6DE4ED}" type="pres">
      <dgm:prSet presAssocID="{A1752B17-429E-40BC-A04D-462200FF1278}" presName="text_2" presStyleLbl="node1" presStyleIdx="1" presStyleCnt="3">
        <dgm:presLayoutVars>
          <dgm:bulletEnabled val="1"/>
        </dgm:presLayoutVars>
      </dgm:prSet>
      <dgm:spPr/>
    </dgm:pt>
    <dgm:pt modelId="{2C94AA9A-E7A5-4DB6-8A7E-5A4472BDDA32}" type="pres">
      <dgm:prSet presAssocID="{A1752B17-429E-40BC-A04D-462200FF1278}" presName="accent_2" presStyleCnt="0"/>
      <dgm:spPr/>
    </dgm:pt>
    <dgm:pt modelId="{9A103393-04DB-44DB-BDD9-5EEDFCE8E1D0}" type="pres">
      <dgm:prSet presAssocID="{A1752B17-429E-40BC-A04D-462200FF1278}" presName="accentRepeatNode" presStyleLbl="solidFgAcc1" presStyleIdx="1" presStyleCnt="3"/>
      <dgm:spPr/>
      <dgm:extLst>
        <a:ext uri="{E40237B7-FDA0-4F09-8148-C483321AD2D9}">
          <dgm14:cNvPr xmlns:dgm14="http://schemas.microsoft.com/office/drawing/2010/diagram" id="0" name="">
            <a:hlinkClick xmlns:r="http://schemas.openxmlformats.org/officeDocument/2006/relationships" r:id="rId2"/>
          </dgm14:cNvPr>
        </a:ext>
      </dgm:extLst>
    </dgm:pt>
    <dgm:pt modelId="{2E1388D3-25BD-4B6A-BC02-22BB230C42D1}" type="pres">
      <dgm:prSet presAssocID="{8F667BF8-D949-46AA-8481-071A277B3F9E}" presName="text_3" presStyleLbl="node1" presStyleIdx="2" presStyleCnt="3">
        <dgm:presLayoutVars>
          <dgm:bulletEnabled val="1"/>
        </dgm:presLayoutVars>
      </dgm:prSet>
      <dgm:spPr/>
    </dgm:pt>
    <dgm:pt modelId="{814E55B7-3F7E-496C-8D99-35429B32EAB7}" type="pres">
      <dgm:prSet presAssocID="{8F667BF8-D949-46AA-8481-071A277B3F9E}" presName="accent_3" presStyleCnt="0"/>
      <dgm:spPr/>
    </dgm:pt>
    <dgm:pt modelId="{8502D8F3-9D64-438F-A97B-6AD8FF13447F}" type="pres">
      <dgm:prSet presAssocID="{8F667BF8-D949-46AA-8481-071A277B3F9E}" presName="accentRepeatNode" presStyleLbl="solidFgAcc1" presStyleIdx="2" presStyleCnt="3"/>
      <dgm:spPr/>
      <dgm:extLst>
        <a:ext uri="{E40237B7-FDA0-4F09-8148-C483321AD2D9}">
          <dgm14:cNvPr xmlns:dgm14="http://schemas.microsoft.com/office/drawing/2010/diagram" id="0" name="">
            <a:hlinkClick xmlns:r="http://schemas.openxmlformats.org/officeDocument/2006/relationships" r:id="rId3"/>
          </dgm14:cNvPr>
        </a:ext>
      </dgm:extLst>
    </dgm:pt>
  </dgm:ptLst>
  <dgm:cxnLst>
    <dgm:cxn modelId="{CCB4302D-132C-4823-9992-C9E01BF82F75}" type="presOf" srcId="{90B17762-7A89-4B57-B717-9B6E81A8A8C1}" destId="{4CE1695A-88E4-4FE6-AE2D-04F3A61C340F}" srcOrd="0" destOrd="0" presId="urn:microsoft.com/office/officeart/2008/layout/VerticalCurvedList"/>
    <dgm:cxn modelId="{511D363C-3751-4C3C-901A-7804F5DB45DA}" srcId="{90B17762-7A89-4B57-B717-9B6E81A8A8C1}" destId="{83DE9509-C98B-485A-A4F3-F9A887A68A2E}" srcOrd="0" destOrd="0" parTransId="{57C36D3D-A74E-4737-9B54-71938E8B4549}" sibTransId="{74048792-0663-499F-B1A1-6E6220CF27C4}"/>
    <dgm:cxn modelId="{09A6ED46-E677-494E-9AF3-6A52CC4DC12F}" srcId="{90B17762-7A89-4B57-B717-9B6E81A8A8C1}" destId="{8F667BF8-D949-46AA-8481-071A277B3F9E}" srcOrd="2" destOrd="0" parTransId="{EDAD61DE-CC94-4C8C-A798-0F4EA2241301}" sibTransId="{9FF8B126-DBC0-4037-9A63-FDF539EB97B6}"/>
    <dgm:cxn modelId="{B7E78682-1E5F-4AB4-AD66-C83219338840}" type="presOf" srcId="{83DE9509-C98B-485A-A4F3-F9A887A68A2E}" destId="{C8DC8E8A-B85C-4CDC-9CD8-20BA152BC21D}" srcOrd="0" destOrd="0" presId="urn:microsoft.com/office/officeart/2008/layout/VerticalCurvedList"/>
    <dgm:cxn modelId="{ADF2989F-ED1B-4779-B71F-F72C6271FAB5}" type="presOf" srcId="{8F667BF8-D949-46AA-8481-071A277B3F9E}" destId="{2E1388D3-25BD-4B6A-BC02-22BB230C42D1}" srcOrd="0" destOrd="0" presId="urn:microsoft.com/office/officeart/2008/layout/VerticalCurvedList"/>
    <dgm:cxn modelId="{CC6F19EA-B92B-43C3-985D-E8405E62467A}" srcId="{90B17762-7A89-4B57-B717-9B6E81A8A8C1}" destId="{A1752B17-429E-40BC-A04D-462200FF1278}" srcOrd="1" destOrd="0" parTransId="{B78B67BF-0503-49F8-90D9-82E78591E889}" sibTransId="{FFC01C28-98B2-4AEE-8255-504D16962B50}"/>
    <dgm:cxn modelId="{BB63D2F0-018D-4309-81B5-846745518C34}" type="presOf" srcId="{A1752B17-429E-40BC-A04D-462200FF1278}" destId="{F634893A-6EF6-44FF-9985-18B0CC6DE4ED}" srcOrd="0" destOrd="0" presId="urn:microsoft.com/office/officeart/2008/layout/VerticalCurvedList"/>
    <dgm:cxn modelId="{9586F6F8-2988-44A2-9960-6158C4317CB5}" type="presOf" srcId="{74048792-0663-499F-B1A1-6E6220CF27C4}" destId="{F357CE39-AFE7-4FA6-9555-259035FE7352}" srcOrd="0" destOrd="0" presId="urn:microsoft.com/office/officeart/2008/layout/VerticalCurvedList"/>
    <dgm:cxn modelId="{EA9C0E59-9C9B-4467-B885-5A700EC50C02}" type="presParOf" srcId="{4CE1695A-88E4-4FE6-AE2D-04F3A61C340F}" destId="{D5F0BFB9-6C22-47C7-B6BA-6F3D243C8931}" srcOrd="0" destOrd="0" presId="urn:microsoft.com/office/officeart/2008/layout/VerticalCurvedList"/>
    <dgm:cxn modelId="{84374B2E-1F93-44D1-9622-584D7C40321F}" type="presParOf" srcId="{D5F0BFB9-6C22-47C7-B6BA-6F3D243C8931}" destId="{D740685C-756B-4F48-91D3-BA5A40209179}" srcOrd="0" destOrd="0" presId="urn:microsoft.com/office/officeart/2008/layout/VerticalCurvedList"/>
    <dgm:cxn modelId="{59E5210B-0820-4426-BFBE-A2110853275D}" type="presParOf" srcId="{D740685C-756B-4F48-91D3-BA5A40209179}" destId="{88D85DE4-AFC2-42CE-80DC-8036188953F1}" srcOrd="0" destOrd="0" presId="urn:microsoft.com/office/officeart/2008/layout/VerticalCurvedList"/>
    <dgm:cxn modelId="{27B8EE28-0DC0-4849-8BAF-4D529EC19F4C}" type="presParOf" srcId="{D740685C-756B-4F48-91D3-BA5A40209179}" destId="{F357CE39-AFE7-4FA6-9555-259035FE7352}" srcOrd="1" destOrd="0" presId="urn:microsoft.com/office/officeart/2008/layout/VerticalCurvedList"/>
    <dgm:cxn modelId="{1161D6EA-BC41-44FA-8EBD-3C281E6774E2}" type="presParOf" srcId="{D740685C-756B-4F48-91D3-BA5A40209179}" destId="{448C7FDB-A4CA-4FE7-A168-6E7877E51652}" srcOrd="2" destOrd="0" presId="urn:microsoft.com/office/officeart/2008/layout/VerticalCurvedList"/>
    <dgm:cxn modelId="{D9A578D7-BA1C-4ABF-875F-B2AF87CDCAFE}" type="presParOf" srcId="{D740685C-756B-4F48-91D3-BA5A40209179}" destId="{5019E2B8-99D9-4E05-8A24-068F5F8DADDB}" srcOrd="3" destOrd="0" presId="urn:microsoft.com/office/officeart/2008/layout/VerticalCurvedList"/>
    <dgm:cxn modelId="{84F5DACA-FF44-45EC-A761-38CFEADC6441}" type="presParOf" srcId="{D5F0BFB9-6C22-47C7-B6BA-6F3D243C8931}" destId="{C8DC8E8A-B85C-4CDC-9CD8-20BA152BC21D}" srcOrd="1" destOrd="0" presId="urn:microsoft.com/office/officeart/2008/layout/VerticalCurvedList"/>
    <dgm:cxn modelId="{4CEBF464-5D0A-40C6-BE37-8DFE61000D04}" type="presParOf" srcId="{D5F0BFB9-6C22-47C7-B6BA-6F3D243C8931}" destId="{21381BE8-C182-440A-AC2F-64F44E322BEE}" srcOrd="2" destOrd="0" presId="urn:microsoft.com/office/officeart/2008/layout/VerticalCurvedList"/>
    <dgm:cxn modelId="{D38D4E50-C2A2-4D60-AC17-4E1E15EF3B75}" type="presParOf" srcId="{21381BE8-C182-440A-AC2F-64F44E322BEE}" destId="{7BD8A557-7512-4F45-A9E6-5BC7AC2666A5}" srcOrd="0" destOrd="0" presId="urn:microsoft.com/office/officeart/2008/layout/VerticalCurvedList"/>
    <dgm:cxn modelId="{2362C8CB-3A25-45AD-9498-D81F4BA6CD03}" type="presParOf" srcId="{D5F0BFB9-6C22-47C7-B6BA-6F3D243C8931}" destId="{F634893A-6EF6-44FF-9985-18B0CC6DE4ED}" srcOrd="3" destOrd="0" presId="urn:microsoft.com/office/officeart/2008/layout/VerticalCurvedList"/>
    <dgm:cxn modelId="{BCC6173A-7CD0-4E3C-AAB6-EF9FC382F9AE}" type="presParOf" srcId="{D5F0BFB9-6C22-47C7-B6BA-6F3D243C8931}" destId="{2C94AA9A-E7A5-4DB6-8A7E-5A4472BDDA32}" srcOrd="4" destOrd="0" presId="urn:microsoft.com/office/officeart/2008/layout/VerticalCurvedList"/>
    <dgm:cxn modelId="{04A1EB77-2AFA-4323-B24F-C73180F02F9A}" type="presParOf" srcId="{2C94AA9A-E7A5-4DB6-8A7E-5A4472BDDA32}" destId="{9A103393-04DB-44DB-BDD9-5EEDFCE8E1D0}" srcOrd="0" destOrd="0" presId="urn:microsoft.com/office/officeart/2008/layout/VerticalCurvedList"/>
    <dgm:cxn modelId="{BE67B8FA-7BC5-412D-A252-62203F99466F}" type="presParOf" srcId="{D5F0BFB9-6C22-47C7-B6BA-6F3D243C8931}" destId="{2E1388D3-25BD-4B6A-BC02-22BB230C42D1}" srcOrd="5" destOrd="0" presId="urn:microsoft.com/office/officeart/2008/layout/VerticalCurvedList"/>
    <dgm:cxn modelId="{BC13B428-09A5-465B-B399-273226463EB5}" type="presParOf" srcId="{D5F0BFB9-6C22-47C7-B6BA-6F3D243C8931}" destId="{814E55B7-3F7E-496C-8D99-35429B32EAB7}" srcOrd="6" destOrd="0" presId="urn:microsoft.com/office/officeart/2008/layout/VerticalCurvedList"/>
    <dgm:cxn modelId="{A7B5D9DA-F0AB-40D2-8D5D-67F69C738860}" type="presParOf" srcId="{814E55B7-3F7E-496C-8D99-35429B32EAB7}" destId="{8502D8F3-9D64-438F-A97B-6AD8FF13447F}" srcOrd="0" destOrd="0" presId="urn:microsoft.com/office/officeart/2008/layout/VerticalCurvedList"/>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57CE39-AFE7-4FA6-9555-259035FE7352}">
      <dsp:nvSpPr>
        <dsp:cNvPr id="0" name=""/>
        <dsp:cNvSpPr/>
      </dsp:nvSpPr>
      <dsp:spPr>
        <a:xfrm>
          <a:off x="-3531063" y="-542762"/>
          <a:ext cx="4209724" cy="4209724"/>
        </a:xfrm>
        <a:prstGeom prst="blockArc">
          <a:avLst>
            <a:gd name="adj1" fmla="val 18900000"/>
            <a:gd name="adj2" fmla="val 2700000"/>
            <a:gd name="adj3" fmla="val 513"/>
          </a:avLst>
        </a:prstGeom>
        <a:noFill/>
        <a:ln w="12700" cap="flat" cmpd="sng" algn="ctr">
          <a:solidFill>
            <a:schemeClr val="accent3">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8DC8E8A-B85C-4CDC-9CD8-20BA152BC21D}">
      <dsp:nvSpPr>
        <dsp:cNvPr id="0" name=""/>
        <dsp:cNvSpPr/>
      </dsp:nvSpPr>
      <dsp:spPr>
        <a:xfrm>
          <a:off x="436409" y="312420"/>
          <a:ext cx="4354327" cy="624840"/>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967" tIns="81280" rIns="81280" bIns="81280" numCol="1" spcCol="1270" anchor="ctr" anchorCtr="0">
          <a:noAutofit/>
        </a:bodyPr>
        <a:lstStyle/>
        <a:p>
          <a:pPr marL="0" lvl="0" indent="0" algn="l" defTabSz="1422400">
            <a:lnSpc>
              <a:spcPct val="90000"/>
            </a:lnSpc>
            <a:spcBef>
              <a:spcPct val="0"/>
            </a:spcBef>
            <a:spcAft>
              <a:spcPct val="35000"/>
            </a:spcAft>
            <a:buNone/>
          </a:pPr>
          <a:r>
            <a:rPr lang="de-DE" sz="3200" kern="1200"/>
            <a:t>DASHBOARD</a:t>
          </a:r>
        </a:p>
      </dsp:txBody>
      <dsp:txXfrm>
        <a:off x="436409" y="312420"/>
        <a:ext cx="4354327" cy="624840"/>
      </dsp:txXfrm>
    </dsp:sp>
    <dsp:sp modelId="{7BD8A557-7512-4F45-A9E6-5BC7AC2666A5}">
      <dsp:nvSpPr>
        <dsp:cNvPr id="0" name=""/>
        <dsp:cNvSpPr/>
      </dsp:nvSpPr>
      <dsp:spPr>
        <a:xfrm>
          <a:off x="45884" y="234314"/>
          <a:ext cx="781050" cy="781050"/>
        </a:xfrm>
        <a:prstGeom prst="ellipse">
          <a:avLst/>
        </a:prstGeom>
        <a:solidFill>
          <a:schemeClr val="lt1">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F634893A-6EF6-44FF-9985-18B0CC6DE4ED}">
      <dsp:nvSpPr>
        <dsp:cNvPr id="0" name=""/>
        <dsp:cNvSpPr/>
      </dsp:nvSpPr>
      <dsp:spPr>
        <a:xfrm>
          <a:off x="663538" y="1249680"/>
          <a:ext cx="4127197" cy="624840"/>
        </a:xfrm>
        <a:prstGeom prst="rect">
          <a:avLst/>
        </a:prstGeom>
        <a:solidFill>
          <a:schemeClr val="accent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967" tIns="81280" rIns="81280" bIns="81280" numCol="1" spcCol="1270" anchor="ctr" anchorCtr="0">
          <a:noAutofit/>
        </a:bodyPr>
        <a:lstStyle/>
        <a:p>
          <a:pPr marL="0" lvl="0" indent="0" algn="l" defTabSz="1422400">
            <a:lnSpc>
              <a:spcPct val="90000"/>
            </a:lnSpc>
            <a:spcBef>
              <a:spcPct val="0"/>
            </a:spcBef>
            <a:spcAft>
              <a:spcPct val="35000"/>
            </a:spcAft>
            <a:buNone/>
          </a:pPr>
          <a:r>
            <a:rPr lang="de-DE" sz="3200" kern="1200"/>
            <a:t>SET DATOS</a:t>
          </a:r>
        </a:p>
      </dsp:txBody>
      <dsp:txXfrm>
        <a:off x="663538" y="1249680"/>
        <a:ext cx="4127197" cy="624840"/>
      </dsp:txXfrm>
    </dsp:sp>
    <dsp:sp modelId="{9A103393-04DB-44DB-BDD9-5EEDFCE8E1D0}">
      <dsp:nvSpPr>
        <dsp:cNvPr id="0" name=""/>
        <dsp:cNvSpPr/>
      </dsp:nvSpPr>
      <dsp:spPr>
        <a:xfrm>
          <a:off x="273013" y="1171575"/>
          <a:ext cx="781050" cy="781050"/>
        </a:xfrm>
        <a:prstGeom prst="ellipse">
          <a:avLst/>
        </a:prstGeom>
        <a:solidFill>
          <a:schemeClr val="lt1">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E1388D3-25BD-4B6A-BC02-22BB230C42D1}">
      <dsp:nvSpPr>
        <dsp:cNvPr id="0" name=""/>
        <dsp:cNvSpPr/>
      </dsp:nvSpPr>
      <dsp:spPr>
        <a:xfrm>
          <a:off x="436409" y="2186939"/>
          <a:ext cx="4354327" cy="624840"/>
        </a:xfrm>
        <a:prstGeom prst="rect">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967" tIns="81280" rIns="81280" bIns="81280" numCol="1" spcCol="1270" anchor="ctr" anchorCtr="0">
          <a:noAutofit/>
        </a:bodyPr>
        <a:lstStyle/>
        <a:p>
          <a:pPr marL="0" lvl="0" indent="0" algn="l" defTabSz="1422400">
            <a:lnSpc>
              <a:spcPct val="90000"/>
            </a:lnSpc>
            <a:spcBef>
              <a:spcPct val="0"/>
            </a:spcBef>
            <a:spcAft>
              <a:spcPct val="35000"/>
            </a:spcAft>
            <a:buNone/>
          </a:pPr>
          <a:r>
            <a:rPr lang="de-DE" sz="3200" kern="1200"/>
            <a:t>README</a:t>
          </a:r>
        </a:p>
      </dsp:txBody>
      <dsp:txXfrm>
        <a:off x="436409" y="2186939"/>
        <a:ext cx="4354327" cy="624840"/>
      </dsp:txXfrm>
    </dsp:sp>
    <dsp:sp modelId="{8502D8F3-9D64-438F-A97B-6AD8FF13447F}">
      <dsp:nvSpPr>
        <dsp:cNvPr id="0" name=""/>
        <dsp:cNvSpPr/>
      </dsp:nvSpPr>
      <dsp:spPr>
        <a:xfrm>
          <a:off x="45884" y="2108835"/>
          <a:ext cx="781050" cy="781050"/>
        </a:xfrm>
        <a:prstGeom prst="ellipse">
          <a:avLst/>
        </a:prstGeom>
        <a:solidFill>
          <a:schemeClr val="lt1">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8/layout/VerticalCurvedList">
  <dgm:title val=""/>
  <dgm:desc val=""/>
  <dgm:catLst>
    <dgm:cat type="list" pri="20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alg type="composite"/>
    <dgm:shape xmlns:r="http://schemas.openxmlformats.org/officeDocument/2006/relationships" r:blip="">
      <dgm:adjLst/>
    </dgm:shape>
    <dgm:constrLst>
      <dgm:constr type="w" for="ch" refType="h" refFor="ch" op="gte" fact="0.8"/>
    </dgm:constrLst>
    <dgm:layoutNode name="Name1">
      <dgm:alg type="composite"/>
      <dgm:shape xmlns:r="http://schemas.openxmlformats.org/officeDocument/2006/relationships" r:blip="">
        <dgm:adjLst/>
      </dgm:shape>
      <dgm:choose name="Name2">
        <dgm:if name="Name3" func="var" arg="dir" op="equ" val="norm">
          <dgm:choose name="Name4">
            <dgm:if name="Name5" axis="ch" ptType="node" func="cnt" op="equ" val="1">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625"/>
                <dgm:constr type="w" for="ch" forName="accent_1" refType="h" refFor="ch" refForName="accent_1" op="equ"/>
                <dgm:constr type="ctrY" for="ch" forName="accent_1" refType="h" fact="0.5"/>
                <dgm:constr type="ctrX" for="ch" forName="accent_1" refType="h" fact="0.2253"/>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primFontSz" for="ch" ptType="node" op="equ" val="65"/>
              </dgm:constrLst>
            </dgm:if>
            <dgm:if name="Name6" axis="ch" ptType="node" func="cnt" op="equ" val="2">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3571"/>
                <dgm:constr type="w" for="ch" forName="accent_1" refType="h" refFor="ch" refForName="accent_1" op="equ"/>
                <dgm:constr type="ctrY" for="ch" forName="accent_1" refType="h" fact="0.2857"/>
                <dgm:constr type="ctrX" for="ch" forName="accent_1" refType="h" fact="0.1891"/>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3571"/>
                <dgm:constr type="w" for="ch" forName="accent_2" refType="h" refFor="ch" refForName="accent_2" op="equ"/>
                <dgm:constr type="ctrY" for="ch" forName="accent_2" refType="h" fact="0.7143"/>
                <dgm:constr type="ctrX" for="ch" forName="accent_2" refType="h" fact="0.1891"/>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primFontSz" for="ch" ptType="node" op="equ" val="65"/>
              </dgm:constrLst>
            </dgm:if>
            <dgm:if name="Name7" axis="ch" ptType="node" func="cnt" op="equ" val="3">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25"/>
                <dgm:constr type="w" for="ch" forName="accent_1" refType="h" refFor="ch" refForName="accent_1" op="equ"/>
                <dgm:constr type="ctrY" for="ch" forName="accent_1" refType="h" fact="0.2"/>
                <dgm:constr type="ctrX" for="ch" forName="accent_1" refType="h" fact="0.1526"/>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25"/>
                <dgm:constr type="w" for="ch" forName="accent_2" refType="h" refFor="ch" refForName="accent_2" op="equ"/>
                <dgm:constr type="ctrY" for="ch" forName="accent_2" refType="h" fact="0.5"/>
                <dgm:constr type="ctrX" for="ch" forName="accent_2" refType="h" fact="0.2253"/>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25"/>
                <dgm:constr type="w" for="ch" forName="accent_3" refType="h" refFor="ch" refForName="accent_3" op="equ"/>
                <dgm:constr type="ctrY" for="ch" forName="accent_3" refType="h" fact="0.8"/>
                <dgm:constr type="ctrX" for="ch" forName="accent_3" refType="h" fact="0.1526"/>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primFontSz" for="ch" ptType="node" op="equ" val="65"/>
              </dgm:constrLst>
            </dgm:if>
            <dgm:if name="Name8" axis="ch" ptType="node" func="cnt" op="equ" val="4">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923"/>
                <dgm:constr type="w" for="ch" forName="accent_1" refType="h" refFor="ch" refForName="accent_1" op="equ"/>
                <dgm:constr type="ctrY" for="ch" forName="accent_1" refType="h" fact="0.1538"/>
                <dgm:constr type="ctrX" for="ch" forName="accent_1" refType="h" fact="0.1268"/>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923"/>
                <dgm:constr type="w" for="ch" forName="accent_2" refType="h" refFor="ch" refForName="accent_2" op="equ"/>
                <dgm:constr type="ctrY" for="ch" forName="accent_2" refType="h" fact="0.3846"/>
                <dgm:constr type="ctrX" for="ch" forName="accent_2" refType="h" fact="0.215"/>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923"/>
                <dgm:constr type="w" for="ch" forName="accent_3" refType="h" refFor="ch" refForName="accent_3" op="equ"/>
                <dgm:constr type="ctrY" for="ch" forName="accent_3" refType="h" fact="0.6154"/>
                <dgm:constr type="ctrX" for="ch" forName="accent_3" refType="h" fact="0.215"/>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923"/>
                <dgm:constr type="w" for="ch" forName="accent_4" refType="h" refFor="ch" refForName="accent_4" op="equ"/>
                <dgm:constr type="ctrY" for="ch" forName="accent_4" refType="h" fact="0.8462"/>
                <dgm:constr type="ctrX" for="ch" forName="accent_4" refType="h" fact="0.1268"/>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primFontSz" for="ch" ptType="node" op="equ" val="65"/>
              </dgm:constrLst>
            </dgm:if>
            <dgm:if name="Name9" axis="ch" ptType="node" func="cnt" op="equ" val="5">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563"/>
                <dgm:constr type="w" for="ch" forName="accent_1" refType="h" refFor="ch" refForName="accent_1" op="equ"/>
                <dgm:constr type="ctrY" for="ch" forName="accent_1" refType="h" fact="0.125"/>
                <dgm:constr type="ctrX" for="ch" forName="accent_1" refType="h" fact="0.1082"/>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563"/>
                <dgm:constr type="w" for="ch" forName="accent_2" refType="h" refFor="ch" refForName="accent_2" op="equ"/>
                <dgm:constr type="ctrY" for="ch" forName="accent_2" refType="h" fact="0.3125"/>
                <dgm:constr type="ctrX" for="ch" forName="accent_2" refType="h" fact="0.1978"/>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563"/>
                <dgm:constr type="w" for="ch" forName="accent_3" refType="h" refFor="ch" refForName="accent_3" op="equ"/>
                <dgm:constr type="ctrY" for="ch" forName="accent_3" refType="h" fact="0.5"/>
                <dgm:constr type="ctrX" for="ch" forName="accent_3" refType="h" fact="0.2253"/>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563"/>
                <dgm:constr type="w" for="ch" forName="accent_4" refType="h" refFor="ch" refForName="accent_4" op="equ"/>
                <dgm:constr type="ctrY" for="ch" forName="accent_4" refType="h" fact="0.6875"/>
                <dgm:constr type="ctrX" for="ch" forName="accent_4" refType="h" fact="0.1978"/>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h" for="ch" forName="accent_5" refType="h" fact="0.1563"/>
                <dgm:constr type="w" for="ch" forName="accent_5" refType="h" refFor="ch" refForName="accent_5" op="equ"/>
                <dgm:constr type="ctrY" for="ch" forName="accent_5" refType="h" fact="0.875"/>
                <dgm:constr type="ctrX" for="ch" forName="accent_5" refType="h" fact="0.1082"/>
                <dgm:constr type="l" for="ch" forName="text_5" refType="ctrX" refFor="ch" refForName="accent_5"/>
                <dgm:constr type="r" for="ch" forName="text_5" refType="w"/>
                <dgm:constr type="w" for="ch" forName="text_5" refType="h" refFor="ch" refForName="text_5" op="gte"/>
                <dgm:constr type="h" for="ch" forName="text_5" refType="h" refFor="ch" refForName="accent_5" fact="0.8"/>
                <dgm:constr type="ctrY" for="ch" forName="text_5" refType="ctrY" refFor="ch" refForName="accent_5"/>
                <dgm:constr type="lMarg" for="ch" forName="text_5" refType="w" refFor="ch" refForName="accent_5" fact="1.8"/>
                <dgm:constr type="primFontSz" for="ch" ptType="node" op="equ" val="65"/>
              </dgm:constrLst>
            </dgm:if>
            <dgm:if name="Name10" axis="ch" ptType="node" func="cnt" op="equ" val="6">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316"/>
                <dgm:constr type="w" for="ch" forName="accent_1" refType="h" refFor="ch" refForName="accent_1" op="equ"/>
                <dgm:constr type="ctrY" for="ch" forName="accent_1" refType="h" fact="0.1053"/>
                <dgm:constr type="ctrX" for="ch" forName="accent_1" refType="h" fact="0.0943"/>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316"/>
                <dgm:constr type="w" for="ch" forName="accent_2" refType="h" refFor="ch" refForName="accent_2" op="equ"/>
                <dgm:constr type="ctrY" for="ch" forName="accent_2" refType="h" fact="0.2632"/>
                <dgm:constr type="ctrX" for="ch" forName="accent_2" refType="h" fact="0.1809"/>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316"/>
                <dgm:constr type="w" for="ch" forName="accent_3" refType="h" refFor="ch" refForName="accent_3" op="equ"/>
                <dgm:constr type="ctrY" for="ch" forName="accent_3" refType="h" fact="0.4211"/>
                <dgm:constr type="ctrX" for="ch" forName="accent_3" refType="h" fact="0.2205"/>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316"/>
                <dgm:constr type="w" for="ch" forName="accent_4" refType="h" refFor="ch" refForName="accent_4" op="equ"/>
                <dgm:constr type="ctrY" for="ch" forName="accent_4" refType="h" fact="0.5789"/>
                <dgm:constr type="ctrX" for="ch" forName="accent_4" refType="h" fact="0.2205"/>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h" for="ch" forName="accent_5" refType="h" fact="0.1316"/>
                <dgm:constr type="w" for="ch" forName="accent_5" refType="h" refFor="ch" refForName="accent_5" op="equ"/>
                <dgm:constr type="ctrY" for="ch" forName="accent_5" refType="h" fact="0.7368"/>
                <dgm:constr type="ctrX" for="ch" forName="accent_5" refType="h" fact="0.1809"/>
                <dgm:constr type="l" for="ch" forName="text_5" refType="ctrX" refFor="ch" refForName="accent_5"/>
                <dgm:constr type="r" for="ch" forName="text_5" refType="w"/>
                <dgm:constr type="w" for="ch" forName="text_5" refType="h" refFor="ch" refForName="text_5" op="gte"/>
                <dgm:constr type="h" for="ch" forName="text_5" refType="h" refFor="ch" refForName="accent_5" fact="0.8"/>
                <dgm:constr type="ctrY" for="ch" forName="text_5" refType="ctrY" refFor="ch" refForName="accent_5"/>
                <dgm:constr type="lMarg" for="ch" forName="text_5" refType="w" refFor="ch" refForName="accent_5" fact="1.8"/>
                <dgm:constr type="h" for="ch" forName="accent_6" refType="h" fact="0.1316"/>
                <dgm:constr type="w" for="ch" forName="accent_6" refType="h" refFor="ch" refForName="accent_6" op="equ"/>
                <dgm:constr type="ctrY" for="ch" forName="accent_6" refType="h" fact="0.8947"/>
                <dgm:constr type="ctrX" for="ch" forName="accent_6" refType="h" fact="0.0943"/>
                <dgm:constr type="l" for="ch" forName="text_6" refType="ctrX" refFor="ch" refForName="accent_6"/>
                <dgm:constr type="r" for="ch" forName="text_6" refType="w"/>
                <dgm:constr type="w" for="ch" forName="text_6" refType="h" refFor="ch" refForName="text_6" op="gte"/>
                <dgm:constr type="h" for="ch" forName="text_6" refType="h" refFor="ch" refForName="accent_6" fact="0.8"/>
                <dgm:constr type="ctrY" for="ch" forName="text_6" refType="ctrY" refFor="ch" refForName="accent_6"/>
                <dgm:constr type="lMarg" for="ch" forName="text_6" refType="w" refFor="ch" refForName="accent_6" fact="1.8"/>
                <dgm:constr type="primFontSz" for="ch" ptType="node" op="equ" val="65"/>
              </dgm:constrLst>
            </dgm:if>
            <dgm:else name="Name11">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136"/>
                <dgm:constr type="w" for="ch" forName="accent_1" refType="h" refFor="ch" refForName="accent_1" op="equ"/>
                <dgm:constr type="ctrY" for="ch" forName="accent_1" refType="h" fact="0.0909"/>
                <dgm:constr type="ctrX" for="ch" forName="accent_1" refType="h" fact="0.0835"/>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136"/>
                <dgm:constr type="w" for="ch" forName="accent_2" refType="h" refFor="ch" refForName="accent_2" op="equ"/>
                <dgm:constr type="ctrY" for="ch" forName="accent_2" refType="h" fact="0.2273"/>
                <dgm:constr type="ctrX" for="ch" forName="accent_2" refType="h" fact="0.1658"/>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136"/>
                <dgm:constr type="w" for="ch" forName="accent_3" refType="h" refFor="ch" refForName="accent_3" op="equ"/>
                <dgm:constr type="ctrY" for="ch" forName="accent_3" refType="h" fact="0.3636"/>
                <dgm:constr type="ctrX" for="ch" forName="accent_3" refType="h" fact="0.2109"/>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136"/>
                <dgm:constr type="w" for="ch" forName="accent_4" refType="h" refFor="ch" refForName="accent_4" op="equ"/>
                <dgm:constr type="ctrY" for="ch" forName="accent_4" refType="h" fact="0.5"/>
                <dgm:constr type="ctrX" for="ch" forName="accent_4" refType="h" fact="0.2253"/>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h" for="ch" forName="accent_5" refType="h" fact="0.1136"/>
                <dgm:constr type="w" for="ch" forName="accent_5" refType="h" refFor="ch" refForName="accent_5" op="equ"/>
                <dgm:constr type="ctrY" for="ch" forName="accent_5" refType="h" fact="0.6364"/>
                <dgm:constr type="ctrX" for="ch" forName="accent_5" refType="h" fact="0.2109"/>
                <dgm:constr type="l" for="ch" forName="text_5" refType="ctrX" refFor="ch" refForName="accent_5"/>
                <dgm:constr type="r" for="ch" forName="text_5" refType="w"/>
                <dgm:constr type="w" for="ch" forName="text_5" refType="h" refFor="ch" refForName="text_5" op="gte"/>
                <dgm:constr type="h" for="ch" forName="text_5" refType="h" refFor="ch" refForName="accent_5" fact="0.8"/>
                <dgm:constr type="ctrY" for="ch" forName="text_5" refType="ctrY" refFor="ch" refForName="accent_5"/>
                <dgm:constr type="lMarg" for="ch" forName="text_5" refType="w" refFor="ch" refForName="accent_5" fact="1.8"/>
                <dgm:constr type="h" for="ch" forName="accent_6" refType="h" fact="0.1136"/>
                <dgm:constr type="w" for="ch" forName="accent_6" refType="h" refFor="ch" refForName="accent_6" op="equ"/>
                <dgm:constr type="ctrY" for="ch" forName="accent_6" refType="h" fact="0.7727"/>
                <dgm:constr type="ctrX" for="ch" forName="accent_6" refType="h" fact="0.1658"/>
                <dgm:constr type="l" for="ch" forName="text_6" refType="ctrX" refFor="ch" refForName="accent_6"/>
                <dgm:constr type="r" for="ch" forName="text_6" refType="w"/>
                <dgm:constr type="w" for="ch" forName="text_6" refType="h" refFor="ch" refForName="text_6" op="gte"/>
                <dgm:constr type="h" for="ch" forName="text_6" refType="h" refFor="ch" refForName="accent_6" fact="0.8"/>
                <dgm:constr type="ctrY" for="ch" forName="text_6" refType="ctrY" refFor="ch" refForName="accent_6"/>
                <dgm:constr type="lMarg" for="ch" forName="text_6" refType="w" refFor="ch" refForName="accent_6" fact="1.8"/>
                <dgm:constr type="h" for="ch" forName="accent_7" refType="h" fact="0.1136"/>
                <dgm:constr type="w" for="ch" forName="accent_7" refType="h" refFor="ch" refForName="accent_7" op="equ"/>
                <dgm:constr type="ctrY" for="ch" forName="accent_7" refType="h" fact="0.9091"/>
                <dgm:constr type="ctrX" for="ch" forName="accent_7" refType="h" fact="0.0835"/>
                <dgm:constr type="l" for="ch" forName="text_7" refType="ctrX" refFor="ch" refForName="accent_7"/>
                <dgm:constr type="r" for="ch" forName="text_7" refType="w"/>
                <dgm:constr type="w" for="ch" forName="text_7" refType="h" refFor="ch" refForName="text_7" op="gte"/>
                <dgm:constr type="h" for="ch" forName="text_7" refType="h" refFor="ch" refForName="accent_7" fact="0.8"/>
                <dgm:constr type="ctrY" for="ch" forName="text_7" refType="ctrY" refFor="ch" refForName="accent_7"/>
                <dgm:constr type="lMarg" for="ch" forName="text_7" refType="w" refFor="ch" refForName="accent_7" fact="1.8"/>
                <dgm:constr type="primFontSz" for="ch" ptType="node" op="equ" val="65"/>
              </dgm:constrLst>
            </dgm:else>
          </dgm:choose>
        </dgm:if>
        <dgm:else name="Name12">
          <dgm:choose name="Name13">
            <dgm:if name="Name14" axis="ch" ptType="node" func="cnt" op="equ" val="1">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625"/>
                <dgm:constr type="w" for="ch" forName="accent_1" refType="h" refFor="ch" refForName="accent_1" op="equ"/>
                <dgm:constr type="ctrY" for="ch" forName="accent_1" refType="h" fact="0.5"/>
                <dgm:constr type="ctrX" for="ch" forName="accent_1" refType="w"/>
                <dgm:constr type="ctrXOff" for="ch" forName="accent_1" refType="h" fact="-0.2253"/>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primFontSz" for="ch" ptType="node" op="equ" val="65"/>
              </dgm:constrLst>
            </dgm:if>
            <dgm:if name="Name15" axis="ch" ptType="node" func="cnt" op="equ" val="2">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3571"/>
                <dgm:constr type="w" for="ch" forName="accent_1" refType="h" refFor="ch" refForName="accent_1" op="equ"/>
                <dgm:constr type="ctrY" for="ch" forName="accent_1" refType="h" fact="0.2857"/>
                <dgm:constr type="ctrX" for="ch" forName="accent_1" refType="w"/>
                <dgm:constr type="ctrXOff" for="ch" forName="accent_1" refType="h" fact="-0.1891"/>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3571"/>
                <dgm:constr type="w" for="ch" forName="accent_2" refType="h" refFor="ch" refForName="accent_2" op="equ"/>
                <dgm:constr type="ctrY" for="ch" forName="accent_2" refType="h" fact="0.7143"/>
                <dgm:constr type="ctrX" for="ch" forName="accent_2" refType="w"/>
                <dgm:constr type="ctrXOff" for="ch" forName="accent_2" refType="h" fact="-0.1891"/>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primFontSz" for="ch" ptType="node" op="equ" val="65"/>
              </dgm:constrLst>
            </dgm:if>
            <dgm:if name="Name16" axis="ch" ptType="node" func="cnt" op="equ" val="3">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25"/>
                <dgm:constr type="w" for="ch" forName="accent_1" refType="h" refFor="ch" refForName="accent_1" op="equ"/>
                <dgm:constr type="ctrY" for="ch" forName="accent_1" refType="h" fact="0.2"/>
                <dgm:constr type="ctrX" for="ch" forName="accent_1" refType="w"/>
                <dgm:constr type="ctrXOff" for="ch" forName="accent_1" refType="h" fact="-0.1526"/>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25"/>
                <dgm:constr type="w" for="ch" forName="accent_2" refType="h" refFor="ch" refForName="accent_2" op="equ"/>
                <dgm:constr type="ctrY" for="ch" forName="accent_2" refType="h" fact="0.5"/>
                <dgm:constr type="ctrX" for="ch" forName="accent_2" refType="w"/>
                <dgm:constr type="ctrXOff" for="ch" forName="accent_2" refType="h" fact="-0.2253"/>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25"/>
                <dgm:constr type="w" for="ch" forName="accent_3" refType="h" refFor="ch" refForName="accent_3" op="equ"/>
                <dgm:constr type="ctrY" for="ch" forName="accent_3" refType="h" fact="0.8"/>
                <dgm:constr type="ctrX" for="ch" forName="accent_3" refType="w"/>
                <dgm:constr type="ctrXOff" for="ch" forName="accent_3" refType="h" fact="-0.1526"/>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primFontSz" for="ch" ptType="node" op="equ" val="65"/>
              </dgm:constrLst>
            </dgm:if>
            <dgm:if name="Name17" axis="ch" ptType="node" func="cnt" op="equ" val="4">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923"/>
                <dgm:constr type="w" for="ch" forName="accent_1" refType="h" refFor="ch" refForName="accent_1" op="equ"/>
                <dgm:constr type="ctrY" for="ch" forName="accent_1" refType="h" fact="0.1538"/>
                <dgm:constr type="ctrX" for="ch" forName="accent_1" refType="w"/>
                <dgm:constr type="ctrXOff" for="ch" forName="accent_1" refType="h" fact="-0.1268"/>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923"/>
                <dgm:constr type="w" for="ch" forName="accent_2" refType="h" refFor="ch" refForName="accent_2" op="equ"/>
                <dgm:constr type="ctrY" for="ch" forName="accent_2" refType="h" fact="0.3846"/>
                <dgm:constr type="ctrX" for="ch" forName="accent_2" refType="w"/>
                <dgm:constr type="ctrXOff" for="ch" forName="accent_2" refType="h" fact="-0.215"/>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923"/>
                <dgm:constr type="w" for="ch" forName="accent_3" refType="h" refFor="ch" refForName="accent_3" op="equ"/>
                <dgm:constr type="ctrY" for="ch" forName="accent_3" refType="h" fact="0.6154"/>
                <dgm:constr type="ctrX" for="ch" forName="accent_3" refType="w"/>
                <dgm:constr type="ctrXOff" for="ch" forName="accent_3" refType="h" fact="-0.215"/>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923"/>
                <dgm:constr type="w" for="ch" forName="accent_4" refType="h" refFor="ch" refForName="accent_4" op="equ"/>
                <dgm:constr type="ctrY" for="ch" forName="accent_4" refType="h" fact="0.8462"/>
                <dgm:constr type="ctrX" for="ch" forName="accent_4" refType="w"/>
                <dgm:constr type="ctrXOff" for="ch" forName="accent_4" refType="h" fact="-0.1268"/>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primFontSz" for="ch" ptType="node" op="equ" val="65"/>
              </dgm:constrLst>
            </dgm:if>
            <dgm:if name="Name18" axis="ch" ptType="node" func="cnt" op="equ" val="5">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563"/>
                <dgm:constr type="w" for="ch" forName="accent_1" refType="h" refFor="ch" refForName="accent_1" op="equ"/>
                <dgm:constr type="ctrY" for="ch" forName="accent_1" refType="h" fact="0.125"/>
                <dgm:constr type="ctrX" for="ch" forName="accent_1" refType="w"/>
                <dgm:constr type="ctrXOff" for="ch" forName="accent_1" refType="h" fact="-0.1082"/>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563"/>
                <dgm:constr type="w" for="ch" forName="accent_2" refType="h" refFor="ch" refForName="accent_2" op="equ"/>
                <dgm:constr type="ctrY" for="ch" forName="accent_2" refType="h" fact="0.3125"/>
                <dgm:constr type="ctrX" for="ch" forName="accent_2" refType="w"/>
                <dgm:constr type="ctrXOff" for="ch" forName="accent_2" refType="h" fact="-0.1978"/>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563"/>
                <dgm:constr type="w" for="ch" forName="accent_3" refType="h" refFor="ch" refForName="accent_3" op="equ"/>
                <dgm:constr type="ctrY" for="ch" forName="accent_3" refType="h" fact="0.5"/>
                <dgm:constr type="ctrX" for="ch" forName="accent_3" refType="w"/>
                <dgm:constr type="ctrXOff" for="ch" forName="accent_3" refType="h" fact="-0.2253"/>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563"/>
                <dgm:constr type="w" for="ch" forName="accent_4" refType="h" refFor="ch" refForName="accent_4" op="equ"/>
                <dgm:constr type="ctrY" for="ch" forName="accent_4" refType="h" fact="0.6875"/>
                <dgm:constr type="ctrX" for="ch" forName="accent_4" refType="w"/>
                <dgm:constr type="ctrXOff" for="ch" forName="accent_4" refType="h" fact="-0.1978"/>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h" for="ch" forName="accent_5" refType="h" fact="0.1563"/>
                <dgm:constr type="w" for="ch" forName="accent_5" refType="h" refFor="ch" refForName="accent_5" op="equ"/>
                <dgm:constr type="ctrY" for="ch" forName="accent_5" refType="h" fact="0.875"/>
                <dgm:constr type="ctrX" for="ch" forName="accent_5" refType="w"/>
                <dgm:constr type="ctrXOff" for="ch" forName="accent_5" refType="h" fact="-0.1082"/>
                <dgm:constr type="r" for="ch" forName="text_5" refType="ctrX" refFor="ch" refForName="accent_5"/>
                <dgm:constr type="rOff" for="ch" forName="text_5" refType="ctrXOff" refFor="ch" refForName="accent_5"/>
                <dgm:constr type="l" for="ch" forName="text_5"/>
                <dgm:constr type="w" for="ch" forName="text_5" refType="h" refFor="ch" refForName="text_5" op="gte"/>
                <dgm:constr type="h" for="ch" forName="text_5" refType="h" refFor="ch" refForName="accent_5" fact="0.8"/>
                <dgm:constr type="ctrY" for="ch" forName="text_5" refType="ctrY" refFor="ch" refForName="accent_5"/>
                <dgm:constr type="rMarg" for="ch" forName="text_5" refType="w" refFor="ch" refForName="accent_5" fact="1.8"/>
                <dgm:constr type="primFontSz" for="ch" ptType="node" op="equ" val="65"/>
              </dgm:constrLst>
            </dgm:if>
            <dgm:if name="Name19" axis="ch" ptType="node" func="cnt" op="equ" val="6">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316"/>
                <dgm:constr type="w" for="ch" forName="accent_1" refType="h" refFor="ch" refForName="accent_1" op="equ"/>
                <dgm:constr type="ctrY" for="ch" forName="accent_1" refType="h" fact="0.1053"/>
                <dgm:constr type="ctrX" for="ch" forName="accent_1" refType="w"/>
                <dgm:constr type="ctrXOff" for="ch" forName="accent_1" refType="h" fact="-0.0943"/>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316"/>
                <dgm:constr type="w" for="ch" forName="accent_2" refType="h" refFor="ch" refForName="accent_2" op="equ"/>
                <dgm:constr type="ctrY" for="ch" forName="accent_2" refType="h" fact="0.2632"/>
                <dgm:constr type="ctrX" for="ch" forName="accent_2" refType="w"/>
                <dgm:constr type="ctrXOff" for="ch" forName="accent_2" refType="h" fact="-0.1809"/>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316"/>
                <dgm:constr type="w" for="ch" forName="accent_3" refType="h" refFor="ch" refForName="accent_3" op="equ"/>
                <dgm:constr type="ctrY" for="ch" forName="accent_3" refType="h" fact="0.4211"/>
                <dgm:constr type="ctrX" for="ch" forName="accent_3" refType="w"/>
                <dgm:constr type="ctrXOff" for="ch" forName="accent_3" refType="h" fact="-0.2205"/>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316"/>
                <dgm:constr type="w" for="ch" forName="accent_4" refType="h" refFor="ch" refForName="accent_4" op="equ"/>
                <dgm:constr type="ctrY" for="ch" forName="accent_4" refType="h" fact="0.5789"/>
                <dgm:constr type="ctrX" for="ch" forName="accent_4" refType="w"/>
                <dgm:constr type="ctrXOff" for="ch" forName="accent_4" refType="h" fact="-0.2205"/>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h" for="ch" forName="accent_5" refType="h" fact="0.1316"/>
                <dgm:constr type="w" for="ch" forName="accent_5" refType="h" refFor="ch" refForName="accent_5" op="equ"/>
                <dgm:constr type="ctrY" for="ch" forName="accent_5" refType="h" fact="0.7368"/>
                <dgm:constr type="ctrX" for="ch" forName="accent_5" refType="w"/>
                <dgm:constr type="ctrXOff" for="ch" forName="accent_5" refType="h" fact="-0.1809"/>
                <dgm:constr type="r" for="ch" forName="text_5" refType="ctrX" refFor="ch" refForName="accent_5"/>
                <dgm:constr type="rOff" for="ch" forName="text_5" refType="ctrXOff" refFor="ch" refForName="accent_5"/>
                <dgm:constr type="l" for="ch" forName="text_5"/>
                <dgm:constr type="w" for="ch" forName="text_5" refType="h" refFor="ch" refForName="text_5" op="gte"/>
                <dgm:constr type="h" for="ch" forName="text_5" refType="h" refFor="ch" refForName="accent_5" fact="0.8"/>
                <dgm:constr type="ctrY" for="ch" forName="text_5" refType="ctrY" refFor="ch" refForName="accent_5"/>
                <dgm:constr type="rMarg" for="ch" forName="text_5" refType="w" refFor="ch" refForName="accent_5" fact="1.8"/>
                <dgm:constr type="h" for="ch" forName="accent_6" refType="h" fact="0.1316"/>
                <dgm:constr type="w" for="ch" forName="accent_6" refType="h" refFor="ch" refForName="accent_6" op="equ"/>
                <dgm:constr type="ctrY" for="ch" forName="accent_6" refType="h" fact="0.8947"/>
                <dgm:constr type="ctrX" for="ch" forName="accent_6" refType="w"/>
                <dgm:constr type="ctrXOff" for="ch" forName="accent_6" refType="h" fact="-0.0943"/>
                <dgm:constr type="r" for="ch" forName="text_6" refType="ctrX" refFor="ch" refForName="accent_6"/>
                <dgm:constr type="rOff" for="ch" forName="text_6" refType="ctrXOff" refFor="ch" refForName="accent_6"/>
                <dgm:constr type="l" for="ch" forName="text_6"/>
                <dgm:constr type="w" for="ch" forName="text_6" refType="h" refFor="ch" refForName="text_6" op="gte"/>
                <dgm:constr type="h" for="ch" forName="text_6" refType="h" refFor="ch" refForName="accent_6" fact="0.8"/>
                <dgm:constr type="ctrY" for="ch" forName="text_6" refType="ctrY" refFor="ch" refForName="accent_6"/>
                <dgm:constr type="rMarg" for="ch" forName="text_6" refType="w" refFor="ch" refForName="accent_6" fact="1.8"/>
                <dgm:constr type="primFontSz" for="ch" ptType="node" op="equ" val="65"/>
              </dgm:constrLst>
            </dgm:if>
            <dgm:else name="Name20">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136"/>
                <dgm:constr type="w" for="ch" forName="accent_1" refType="h" refFor="ch" refForName="accent_1" op="equ"/>
                <dgm:constr type="ctrY" for="ch" forName="accent_1" refType="h" fact="0.0909"/>
                <dgm:constr type="ctrX" for="ch" forName="accent_1" refType="w"/>
                <dgm:constr type="ctrXOff" for="ch" forName="accent_1" refType="h" fact="-0.0835"/>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136"/>
                <dgm:constr type="w" for="ch" forName="accent_2" refType="h" refFor="ch" refForName="accent_2" op="equ"/>
                <dgm:constr type="ctrY" for="ch" forName="accent_2" refType="h" fact="0.2273"/>
                <dgm:constr type="ctrX" for="ch" forName="accent_2" refType="w"/>
                <dgm:constr type="ctrXOff" for="ch" forName="accent_2" refType="h" fact="-0.1658"/>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136"/>
                <dgm:constr type="w" for="ch" forName="accent_3" refType="h" refFor="ch" refForName="accent_3" op="equ"/>
                <dgm:constr type="ctrY" for="ch" forName="accent_3" refType="h" fact="0.3636"/>
                <dgm:constr type="ctrX" for="ch" forName="accent_3" refType="w"/>
                <dgm:constr type="ctrXOff" for="ch" forName="accent_3" refType="h" fact="-0.2109"/>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136"/>
                <dgm:constr type="w" for="ch" forName="accent_4" refType="h" refFor="ch" refForName="accent_4" op="equ"/>
                <dgm:constr type="ctrY" for="ch" forName="accent_4" refType="h" fact="0.5"/>
                <dgm:constr type="ctrX" for="ch" forName="accent_4" refType="w"/>
                <dgm:constr type="ctrXOff" for="ch" forName="accent_4" refType="h" fact="-0.2253"/>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h" for="ch" forName="accent_5" refType="h" fact="0.1136"/>
                <dgm:constr type="w" for="ch" forName="accent_5" refType="h" refFor="ch" refForName="accent_5" op="equ"/>
                <dgm:constr type="ctrY" for="ch" forName="accent_5" refType="h" fact="0.6364"/>
                <dgm:constr type="ctrX" for="ch" forName="accent_5" refType="w"/>
                <dgm:constr type="ctrXOff" for="ch" forName="accent_5" refType="h" fact="-0.2109"/>
                <dgm:constr type="r" for="ch" forName="text_5" refType="ctrX" refFor="ch" refForName="accent_5"/>
                <dgm:constr type="rOff" for="ch" forName="text_5" refType="ctrXOff" refFor="ch" refForName="accent_5"/>
                <dgm:constr type="l" for="ch" forName="text_5"/>
                <dgm:constr type="w" for="ch" forName="text_5" refType="h" refFor="ch" refForName="text_5" op="gte"/>
                <dgm:constr type="h" for="ch" forName="text_5" refType="h" refFor="ch" refForName="accent_5" fact="0.8"/>
                <dgm:constr type="ctrY" for="ch" forName="text_5" refType="ctrY" refFor="ch" refForName="accent_5"/>
                <dgm:constr type="rMarg" for="ch" forName="text_5" refType="w" refFor="ch" refForName="accent_5" fact="1.8"/>
                <dgm:constr type="h" for="ch" forName="accent_6" refType="h" fact="0.1136"/>
                <dgm:constr type="w" for="ch" forName="accent_6" refType="h" refFor="ch" refForName="accent_6" op="equ"/>
                <dgm:constr type="ctrY" for="ch" forName="accent_6" refType="h" fact="0.7727"/>
                <dgm:constr type="ctrX" for="ch" forName="accent_6" refType="w"/>
                <dgm:constr type="ctrXOff" for="ch" forName="accent_6" refType="h" fact="-0.1658"/>
                <dgm:constr type="r" for="ch" forName="text_6" refType="ctrX" refFor="ch" refForName="accent_6"/>
                <dgm:constr type="rOff" for="ch" forName="text_6" refType="ctrXOff" refFor="ch" refForName="accent_6"/>
                <dgm:constr type="l" for="ch" forName="text_6"/>
                <dgm:constr type="w" for="ch" forName="text_6" refType="h" refFor="ch" refForName="text_6" op="gte"/>
                <dgm:constr type="h" for="ch" forName="text_6" refType="h" refFor="ch" refForName="accent_6" fact="0.8"/>
                <dgm:constr type="ctrY" for="ch" forName="text_6" refType="ctrY" refFor="ch" refForName="accent_6"/>
                <dgm:constr type="rMarg" for="ch" forName="text_6" refType="w" refFor="ch" refForName="accent_6" fact="1.8"/>
                <dgm:constr type="h" for="ch" forName="accent_7" refType="h" fact="0.1136"/>
                <dgm:constr type="w" for="ch" forName="accent_7" refType="h" refFor="ch" refForName="accent_7" op="equ"/>
                <dgm:constr type="ctrY" for="ch" forName="accent_7" refType="h" fact="0.9091"/>
                <dgm:constr type="ctrX" for="ch" forName="accent_7" refType="w"/>
                <dgm:constr type="ctrXOff" for="ch" forName="accent_7" refType="h" fact="-0.0835"/>
                <dgm:constr type="r" for="ch" forName="text_7" refType="ctrX" refFor="ch" refForName="accent_7"/>
                <dgm:constr type="rOff" for="ch" forName="text_7" refType="ctrXOff" refFor="ch" refForName="accent_7"/>
                <dgm:constr type="l" for="ch" forName="text_7"/>
                <dgm:constr type="w" for="ch" forName="text_7" refType="h" refFor="ch" refForName="text_7" op="gte"/>
                <dgm:constr type="h" for="ch" forName="text_7" refType="h" refFor="ch" refForName="accent_7" fact="0.8"/>
                <dgm:constr type="ctrY" for="ch" forName="text_7" refType="ctrY" refFor="ch" refForName="accent_7"/>
                <dgm:constr type="rMarg" for="ch" forName="text_7" refType="w" refFor="ch" refForName="accent_7" fact="1.8"/>
                <dgm:constr type="primFontSz" for="ch" ptType="node" op="equ" val="65"/>
              </dgm:constrLst>
            </dgm:else>
          </dgm:choose>
        </dgm:else>
      </dgm:choose>
      <dgm:layoutNode name="cycle">
        <dgm:choose name="Name21">
          <dgm:if name="Name22" func="var" arg="dir" op="equ" val="norm">
            <dgm:alg type="cycle">
              <dgm:param type="stAng" val="45"/>
              <dgm:param type="spanAng" val="90"/>
            </dgm:alg>
          </dgm:if>
          <dgm:else name="Name23">
            <dgm:alg type="cycle">
              <dgm:param type="stAng" val="225"/>
              <dgm:param type="spanAng" val="90"/>
            </dgm:alg>
          </dgm:else>
        </dgm:choose>
        <dgm:shape xmlns:r="http://schemas.openxmlformats.org/officeDocument/2006/relationships" r:blip="">
          <dgm:adjLst/>
        </dgm:shape>
        <dgm:presOf/>
        <dgm:constrLst>
          <dgm:constr type="w" for="ch" val="1"/>
          <dgm:constr type="h" for="ch" val="1"/>
          <dgm:constr type="diam" for="ch" forName="conn" refType="diam"/>
        </dgm:constrLst>
        <dgm:layoutNode name="srcNode">
          <dgm:alg type="sp"/>
          <dgm:shape xmlns:r="http://schemas.openxmlformats.org/officeDocument/2006/relationships" type="rect" r:blip="" hideGeom="1">
            <dgm:adjLst/>
          </dgm:shape>
          <dgm:presOf/>
        </dgm:layoutNode>
        <dgm:layoutNode name="conn" styleLbl="parChTrans1D2">
          <dgm:alg type="conn">
            <dgm:param type="connRout" val="curve"/>
            <dgm:param type="srcNode" val="srcNode"/>
            <dgm:param type="dstNode" val="dstNode"/>
            <dgm:param type="begPts" val="ctr"/>
            <dgm:param type="endPts" val="ctr"/>
            <dgm:param type="endSty" val="noArr"/>
          </dgm:alg>
          <dgm:shape xmlns:r="http://schemas.openxmlformats.org/officeDocument/2006/relationships" type="conn" r:blip="">
            <dgm:adjLst/>
          </dgm:shape>
          <dgm:presOf axis="desOrSelf" ptType="sibTrans" hideLastTrans="0" st="0" cnt="1"/>
          <dgm:constrLst>
            <dgm:constr type="begPad"/>
            <dgm:constr type="endPad"/>
          </dgm:constrLst>
        </dgm:layoutNode>
        <dgm:layoutNode name="extraNode">
          <dgm:alg type="sp"/>
          <dgm:shape xmlns:r="http://schemas.openxmlformats.org/officeDocument/2006/relationships" type="rect" r:blip="" hideGeom="1">
            <dgm:adjLst/>
          </dgm:shape>
          <dgm:presOf/>
        </dgm:layoutNode>
        <dgm:layoutNode name="dstNode">
          <dgm:alg type="sp"/>
          <dgm:shape xmlns:r="http://schemas.openxmlformats.org/officeDocument/2006/relationships" type="rect" r:blip="" hideGeom="1">
            <dgm:adjLst/>
          </dgm:shape>
          <dgm:presOf/>
        </dgm:layoutNode>
      </dgm:layoutNode>
      <dgm:forEach name="wrapper" axis="self" ptType="parTrans">
        <dgm:forEach name="wrapper2" axis="self" ptType="sibTrans" st="2">
          <dgm:forEach name="accentRepeat" axis="self">
            <dgm:layoutNode name="accentRepeatNode" styleLbl="solidFgAcc1">
              <dgm:alg type="sp"/>
              <dgm:shape xmlns:r="http://schemas.openxmlformats.org/officeDocument/2006/relationships" type="ellipse" r:blip="">
                <dgm:adjLst/>
              </dgm:shape>
              <dgm:presOf/>
            </dgm:layoutNode>
          </dgm:forEach>
        </dgm:forEach>
      </dgm:forEach>
      <dgm:forEach name="Name24" axis="ch" ptType="node" cnt="1">
        <dgm:layoutNode name="text_1" styleLbl="node1">
          <dgm:varLst>
            <dgm:bulletEnabled val="1"/>
          </dgm:varLst>
          <dgm:choose name="Name25">
            <dgm:if name="Name26" func="var" arg="dir" op="equ" val="norm">
              <dgm:alg type="tx">
                <dgm:param type="parTxLTRAlign" val="l"/>
                <dgm:param type="shpTxLTRAlignCh" val="l"/>
                <dgm:param type="parTxRTLAlign" val="l"/>
                <dgm:param type="shpTxRTLAlignCh" val="l"/>
              </dgm:alg>
            </dgm:if>
            <dgm:else name="Name2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1">
          <dgm:alg type="sp"/>
          <dgm:shape xmlns:r="http://schemas.openxmlformats.org/officeDocument/2006/relationships" r:blip="">
            <dgm:adjLst/>
          </dgm:shape>
          <dgm:presOf/>
          <dgm:constrLst/>
          <dgm:forEach name="Name28" ref="accentRepeat"/>
        </dgm:layoutNode>
      </dgm:forEach>
      <dgm:forEach name="Name29" axis="ch" ptType="node" st="2" cnt="1">
        <dgm:layoutNode name="text_2" styleLbl="node1">
          <dgm:varLst>
            <dgm:bulletEnabled val="1"/>
          </dgm:varLst>
          <dgm:choose name="Name30">
            <dgm:if name="Name31" func="var" arg="dir" op="equ" val="norm">
              <dgm:alg type="tx">
                <dgm:param type="parTxLTRAlign" val="l"/>
                <dgm:param type="shpTxLTRAlignCh" val="l"/>
                <dgm:param type="parTxRTLAlign" val="l"/>
                <dgm:param type="shpTxRTLAlignCh" val="l"/>
              </dgm:alg>
            </dgm:if>
            <dgm:else name="Name32">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2">
          <dgm:alg type="sp"/>
          <dgm:shape xmlns:r="http://schemas.openxmlformats.org/officeDocument/2006/relationships" r:blip="">
            <dgm:adjLst/>
          </dgm:shape>
          <dgm:presOf/>
          <dgm:constrLst/>
          <dgm:forEach name="Name33" ref="accentRepeat"/>
        </dgm:layoutNode>
      </dgm:forEach>
      <dgm:forEach name="Name34" axis="ch" ptType="node" st="3" cnt="1">
        <dgm:layoutNode name="text_3" styleLbl="node1">
          <dgm:varLst>
            <dgm:bulletEnabled val="1"/>
          </dgm:varLst>
          <dgm:choose name="Name35">
            <dgm:if name="Name36" func="var" arg="dir" op="equ" val="norm">
              <dgm:alg type="tx">
                <dgm:param type="parTxLTRAlign" val="l"/>
                <dgm:param type="shpTxLTRAlignCh" val="l"/>
                <dgm:param type="parTxRTLAlign" val="l"/>
                <dgm:param type="shpTxRTLAlignCh" val="l"/>
              </dgm:alg>
            </dgm:if>
            <dgm:else name="Name3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3">
          <dgm:alg type="sp"/>
          <dgm:shape xmlns:r="http://schemas.openxmlformats.org/officeDocument/2006/relationships" r:blip="">
            <dgm:adjLst/>
          </dgm:shape>
          <dgm:presOf/>
          <dgm:constrLst/>
          <dgm:forEach name="Name38" ref="accentRepeat"/>
        </dgm:layoutNode>
      </dgm:forEach>
      <dgm:forEach name="Name39" axis="ch" ptType="node" st="4" cnt="1">
        <dgm:layoutNode name="text_4" styleLbl="node1">
          <dgm:varLst>
            <dgm:bulletEnabled val="1"/>
          </dgm:varLst>
          <dgm:choose name="Name40">
            <dgm:if name="Name41" func="var" arg="dir" op="equ" val="norm">
              <dgm:alg type="tx">
                <dgm:param type="parTxLTRAlign" val="l"/>
                <dgm:param type="shpTxLTRAlignCh" val="l"/>
                <dgm:param type="parTxRTLAlign" val="l"/>
                <dgm:param type="shpTxRTLAlignCh" val="l"/>
              </dgm:alg>
            </dgm:if>
            <dgm:else name="Name42">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4">
          <dgm:alg type="sp"/>
          <dgm:shape xmlns:r="http://schemas.openxmlformats.org/officeDocument/2006/relationships" r:blip="">
            <dgm:adjLst/>
          </dgm:shape>
          <dgm:presOf/>
          <dgm:constrLst/>
          <dgm:forEach name="Name43" ref="accentRepeat"/>
        </dgm:layoutNode>
      </dgm:forEach>
      <dgm:forEach name="Name44" axis="ch" ptType="node" st="5" cnt="1">
        <dgm:layoutNode name="text_5" styleLbl="node1">
          <dgm:varLst>
            <dgm:bulletEnabled val="1"/>
          </dgm:varLst>
          <dgm:choose name="Name45">
            <dgm:if name="Name46" func="var" arg="dir" op="equ" val="norm">
              <dgm:alg type="tx">
                <dgm:param type="parTxLTRAlign" val="l"/>
                <dgm:param type="shpTxLTRAlignCh" val="l"/>
                <dgm:param type="parTxRTLAlign" val="l"/>
                <dgm:param type="shpTxRTLAlignCh" val="l"/>
              </dgm:alg>
            </dgm:if>
            <dgm:else name="Name4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5">
          <dgm:alg type="sp"/>
          <dgm:shape xmlns:r="http://schemas.openxmlformats.org/officeDocument/2006/relationships" r:blip="">
            <dgm:adjLst/>
          </dgm:shape>
          <dgm:presOf/>
          <dgm:constrLst/>
          <dgm:forEach name="Name48" ref="accentRepeat"/>
        </dgm:layoutNode>
      </dgm:forEach>
      <dgm:forEach name="Name49" axis="ch" ptType="node" st="6" cnt="1">
        <dgm:layoutNode name="text_6" styleLbl="node1">
          <dgm:varLst>
            <dgm:bulletEnabled val="1"/>
          </dgm:varLst>
          <dgm:choose name="Name50">
            <dgm:if name="Name51" func="var" arg="dir" op="equ" val="norm">
              <dgm:alg type="tx">
                <dgm:param type="parTxLTRAlign" val="l"/>
                <dgm:param type="shpTxLTRAlignCh" val="l"/>
                <dgm:param type="parTxRTLAlign" val="l"/>
                <dgm:param type="shpTxRTLAlignCh" val="l"/>
              </dgm:alg>
            </dgm:if>
            <dgm:else name="Name52">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6">
          <dgm:alg type="sp"/>
          <dgm:shape xmlns:r="http://schemas.openxmlformats.org/officeDocument/2006/relationships" r:blip="">
            <dgm:adjLst/>
          </dgm:shape>
          <dgm:presOf/>
          <dgm:constrLst/>
          <dgm:forEach name="Name53" ref="accentRepeat"/>
        </dgm:layoutNode>
      </dgm:forEach>
      <dgm:forEach name="Name54" axis="ch" ptType="node" st="7" cnt="1">
        <dgm:layoutNode name="text_7" styleLbl="node1">
          <dgm:varLst>
            <dgm:bulletEnabled val="1"/>
          </dgm:varLst>
          <dgm:choose name="Name55">
            <dgm:if name="Name56" func="var" arg="dir" op="equ" val="norm">
              <dgm:alg type="tx">
                <dgm:param type="parTxLTRAlign" val="l"/>
                <dgm:param type="shpTxLTRAlignCh" val="l"/>
                <dgm:param type="parTxRTLAlign" val="l"/>
                <dgm:param type="shpTxRTLAlignCh" val="l"/>
              </dgm:alg>
            </dgm:if>
            <dgm:else name="Name5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7">
          <dgm:alg type="sp"/>
          <dgm:shape xmlns:r="http://schemas.openxmlformats.org/officeDocument/2006/relationships" r:blip="">
            <dgm:adjLst/>
          </dgm:shape>
          <dgm:presOf/>
          <dgm:constrLst/>
          <dgm:forEach name="Name58" ref="accentRepeat"/>
        </dgm:layoutNode>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Layout" Target="../diagrams/layout1.xml"/><Relationship Id="rId2" Type="http://schemas.openxmlformats.org/officeDocument/2006/relationships/diagramData" Target="../diagrams/data1.xml"/><Relationship Id="rId1" Type="http://schemas.openxmlformats.org/officeDocument/2006/relationships/hyperlink" Target="#MEN&#218;!A1"/><Relationship Id="rId6" Type="http://schemas.microsoft.com/office/2007/relationships/diagramDrawing" Target="../diagrams/drawing1.xml"/><Relationship Id="rId5" Type="http://schemas.openxmlformats.org/officeDocument/2006/relationships/diagramColors" Target="../diagrams/colors1.xml"/><Relationship Id="rId4" Type="http://schemas.openxmlformats.org/officeDocument/2006/relationships/diagramQuickStyle" Target="../diagrams/quickStyl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MEN&#218;!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hyperlink" Target="#Dinamicas!A1"/><Relationship Id="rId2" Type="http://schemas.openxmlformats.org/officeDocument/2006/relationships/hyperlink" Target="#'CSV 1'!A1"/><Relationship Id="rId1" Type="http://schemas.openxmlformats.org/officeDocument/2006/relationships/hyperlink" Target="#'CSV 2'!A1"/><Relationship Id="rId5" Type="http://schemas.openxmlformats.org/officeDocument/2006/relationships/hyperlink" Target="#'Set Datos'!A1"/><Relationship Id="rId4" Type="http://schemas.openxmlformats.org/officeDocument/2006/relationships/hyperlink" Target="#MEN&#218;!A1"/></Relationships>
</file>

<file path=xl/drawings/_rels/drawing4.xml.rels><?xml version="1.0" encoding="UTF-8" standalone="yes"?>
<Relationships xmlns="http://schemas.openxmlformats.org/package/2006/relationships"><Relationship Id="rId3" Type="http://schemas.openxmlformats.org/officeDocument/2006/relationships/hyperlink" Target="#'Set Datos'!A1"/><Relationship Id="rId2" Type="http://schemas.openxmlformats.org/officeDocument/2006/relationships/hyperlink" Target="#'CSV 1'!A1"/><Relationship Id="rId1" Type="http://schemas.openxmlformats.org/officeDocument/2006/relationships/hyperlink" Target="#'CSV 2'!A1"/><Relationship Id="rId5" Type="http://schemas.openxmlformats.org/officeDocument/2006/relationships/hyperlink" Target="#Dinamicas!A1"/><Relationship Id="rId4" Type="http://schemas.openxmlformats.org/officeDocument/2006/relationships/hyperlink" Target="#MEN&#218;!A1"/></Relationships>
</file>

<file path=xl/drawings/_rels/drawing5.xml.rels><?xml version="1.0" encoding="UTF-8" standalone="yes"?>
<Relationships xmlns="http://schemas.openxmlformats.org/package/2006/relationships"><Relationship Id="rId3" Type="http://schemas.openxmlformats.org/officeDocument/2006/relationships/hyperlink" Target="#'Set Datos'!A1"/><Relationship Id="rId2" Type="http://schemas.openxmlformats.org/officeDocument/2006/relationships/hyperlink" Target="#Dinamicas!A1"/><Relationship Id="rId1" Type="http://schemas.openxmlformats.org/officeDocument/2006/relationships/hyperlink" Target="#'CSV 2'!A1"/><Relationship Id="rId5" Type="http://schemas.openxmlformats.org/officeDocument/2006/relationships/hyperlink" Target="#'CSV 1'!A1"/><Relationship Id="rId4" Type="http://schemas.openxmlformats.org/officeDocument/2006/relationships/hyperlink" Target="#MEN&#218;!A1"/></Relationships>
</file>

<file path=xl/drawings/_rels/drawing6.xml.rels><?xml version="1.0" encoding="UTF-8" standalone="yes"?>
<Relationships xmlns="http://schemas.openxmlformats.org/package/2006/relationships"><Relationship Id="rId3" Type="http://schemas.openxmlformats.org/officeDocument/2006/relationships/hyperlink" Target="#'Set Datos'!A1"/><Relationship Id="rId2" Type="http://schemas.openxmlformats.org/officeDocument/2006/relationships/hyperlink" Target="#Dinamicas!A1"/><Relationship Id="rId1" Type="http://schemas.openxmlformats.org/officeDocument/2006/relationships/hyperlink" Target="#'CSV 1'!A1"/><Relationship Id="rId5" Type="http://schemas.openxmlformats.org/officeDocument/2006/relationships/hyperlink" Target="#'CSV 2'!A1"/><Relationship Id="rId4" Type="http://schemas.openxmlformats.org/officeDocument/2006/relationships/hyperlink" Target="#MEN&#218;!A1"/></Relationships>
</file>

<file path=xl/drawings/_rels/drawing7.xml.rels><?xml version="1.0" encoding="UTF-8" standalone="yes"?>
<Relationships xmlns="http://schemas.openxmlformats.org/package/2006/relationships"><Relationship Id="rId1" Type="http://schemas.openxmlformats.org/officeDocument/2006/relationships/hyperlink" Target="#MEN&#218;!A1"/></Relationships>
</file>

<file path=xl/drawings/_rels/drawing8.xml.rels><?xml version="1.0" encoding="UTF-8" standalone="yes"?>
<Relationships xmlns="http://schemas.openxmlformats.org/package/2006/relationships"><Relationship Id="rId1" Type="http://schemas.openxmlformats.org/officeDocument/2006/relationships/hyperlink" Target="#MEN&#218;!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327660</xdr:colOff>
      <xdr:row>6</xdr:row>
      <xdr:rowOff>38100</xdr:rowOff>
    </xdr:to>
    <xdr:sp macro="" textlink="">
      <xdr:nvSpPr>
        <xdr:cNvPr id="2" name="Diagrama de flujo: operación manual 1">
          <a:hlinkClick xmlns:r="http://schemas.openxmlformats.org/officeDocument/2006/relationships" r:id="rId1"/>
          <a:extLst>
            <a:ext uri="{FF2B5EF4-FFF2-40B4-BE49-F238E27FC236}">
              <a16:creationId xmlns:a16="http://schemas.microsoft.com/office/drawing/2014/main" id="{ACA60F4F-C196-47EB-BF22-73D5F46280C0}"/>
            </a:ext>
          </a:extLst>
        </xdr:cNvPr>
        <xdr:cNvSpPr/>
      </xdr:nvSpPr>
      <xdr:spPr>
        <a:xfrm rot="16200000">
          <a:off x="-403860" y="403860"/>
          <a:ext cx="1135380" cy="327660"/>
        </a:xfrm>
        <a:prstGeom prst="flowChartManualOperation">
          <a:avLst/>
        </a:prstGeom>
        <a:solidFill>
          <a:schemeClr val="bg2">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MENÚ</a:t>
          </a:r>
        </a:p>
      </xdr:txBody>
    </xdr:sp>
    <xdr:clientData/>
  </xdr:twoCellAnchor>
  <xdr:twoCellAnchor>
    <xdr:from>
      <xdr:col>1</xdr:col>
      <xdr:colOff>251460</xdr:colOff>
      <xdr:row>5</xdr:row>
      <xdr:rowOff>167640</xdr:rowOff>
    </xdr:from>
    <xdr:to>
      <xdr:col>7</xdr:col>
      <xdr:colOff>327660</xdr:colOff>
      <xdr:row>23</xdr:row>
      <xdr:rowOff>0</xdr:rowOff>
    </xdr:to>
    <xdr:graphicFrame macro="">
      <xdr:nvGraphicFramePr>
        <xdr:cNvPr id="3" name="Diagrama 2">
          <a:extLst>
            <a:ext uri="{FF2B5EF4-FFF2-40B4-BE49-F238E27FC236}">
              <a16:creationId xmlns:a16="http://schemas.microsoft.com/office/drawing/2014/main" id="{DDF79210-12F7-BA90-B761-1181718BDC8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205740</xdr:colOff>
      <xdr:row>31</xdr:row>
      <xdr:rowOff>0</xdr:rowOff>
    </xdr:to>
    <xdr:sp macro="" textlink="">
      <xdr:nvSpPr>
        <xdr:cNvPr id="5" name="Rectángulo 4">
          <a:extLst>
            <a:ext uri="{FF2B5EF4-FFF2-40B4-BE49-F238E27FC236}">
              <a16:creationId xmlns:a16="http://schemas.microsoft.com/office/drawing/2014/main" id="{39006F33-AA42-458A-9415-29995D8CE183}"/>
            </a:ext>
          </a:extLst>
        </xdr:cNvPr>
        <xdr:cNvSpPr/>
      </xdr:nvSpPr>
      <xdr:spPr>
        <a:xfrm>
          <a:off x="0" y="0"/>
          <a:ext cx="14470380" cy="5669280"/>
        </a:xfrm>
        <a:prstGeom prst="rect">
          <a:avLst/>
        </a:prstGeom>
        <a:gradFill>
          <a:gsLst>
            <a:gs pos="0">
              <a:schemeClr val="bg1"/>
            </a:gs>
            <a:gs pos="36000">
              <a:schemeClr val="accent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0</xdr:col>
      <xdr:colOff>68580</xdr:colOff>
      <xdr:row>1</xdr:row>
      <xdr:rowOff>0</xdr:rowOff>
    </xdr:from>
    <xdr:to>
      <xdr:col>2</xdr:col>
      <xdr:colOff>769620</xdr:colOff>
      <xdr:row>30</xdr:row>
      <xdr:rowOff>0</xdr:rowOff>
    </xdr:to>
    <xdr:sp macro="" textlink="">
      <xdr:nvSpPr>
        <xdr:cNvPr id="2" name="Rectángulo: esquinas superiores redondeadas 1">
          <a:extLst>
            <a:ext uri="{FF2B5EF4-FFF2-40B4-BE49-F238E27FC236}">
              <a16:creationId xmlns:a16="http://schemas.microsoft.com/office/drawing/2014/main" id="{BD65EA2D-DB29-BC2E-BAF4-39F609E9B446}"/>
            </a:ext>
          </a:extLst>
        </xdr:cNvPr>
        <xdr:cNvSpPr/>
      </xdr:nvSpPr>
      <xdr:spPr>
        <a:xfrm rot="16200000">
          <a:off x="-1440180" y="1691640"/>
          <a:ext cx="5303520" cy="2286000"/>
        </a:xfrm>
        <a:prstGeom prst="round2Same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15</xdr:col>
      <xdr:colOff>114300</xdr:colOff>
      <xdr:row>1</xdr:row>
      <xdr:rowOff>0</xdr:rowOff>
    </xdr:from>
    <xdr:to>
      <xdr:col>18</xdr:col>
      <xdr:colOff>22860</xdr:colOff>
      <xdr:row>30</xdr:row>
      <xdr:rowOff>0</xdr:rowOff>
    </xdr:to>
    <xdr:sp macro="" textlink="">
      <xdr:nvSpPr>
        <xdr:cNvPr id="3" name="Rectángulo: esquinas superiores redondeadas 2">
          <a:extLst>
            <a:ext uri="{FF2B5EF4-FFF2-40B4-BE49-F238E27FC236}">
              <a16:creationId xmlns:a16="http://schemas.microsoft.com/office/drawing/2014/main" id="{17EC7629-1A75-45F2-BC84-9E8B25C354D6}"/>
            </a:ext>
          </a:extLst>
        </xdr:cNvPr>
        <xdr:cNvSpPr/>
      </xdr:nvSpPr>
      <xdr:spPr>
        <a:xfrm rot="5400000">
          <a:off x="10492740" y="1691640"/>
          <a:ext cx="5303520" cy="2286000"/>
        </a:xfrm>
        <a:prstGeom prst="round2Same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777240</xdr:colOff>
      <xdr:row>1</xdr:row>
      <xdr:rowOff>0</xdr:rowOff>
    </xdr:from>
    <xdr:to>
      <xdr:col>15</xdr:col>
      <xdr:colOff>243840</xdr:colOff>
      <xdr:row>30</xdr:row>
      <xdr:rowOff>0</xdr:rowOff>
    </xdr:to>
    <xdr:sp macro="" textlink="">
      <xdr:nvSpPr>
        <xdr:cNvPr id="4" name="Rectángulo 3">
          <a:extLst>
            <a:ext uri="{FF2B5EF4-FFF2-40B4-BE49-F238E27FC236}">
              <a16:creationId xmlns:a16="http://schemas.microsoft.com/office/drawing/2014/main" id="{06CF7727-A018-6F60-718E-642EE77C512D}"/>
            </a:ext>
          </a:extLst>
        </xdr:cNvPr>
        <xdr:cNvSpPr/>
      </xdr:nvSpPr>
      <xdr:spPr>
        <a:xfrm>
          <a:off x="2362200" y="182880"/>
          <a:ext cx="9768840" cy="530352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0</xdr:col>
      <xdr:colOff>53340</xdr:colOff>
      <xdr:row>2</xdr:row>
      <xdr:rowOff>30480</xdr:rowOff>
    </xdr:from>
    <xdr:to>
      <xdr:col>2</xdr:col>
      <xdr:colOff>739140</xdr:colOff>
      <xdr:row>4</xdr:row>
      <xdr:rowOff>152400</xdr:rowOff>
    </xdr:to>
    <xdr:sp macro="" textlink="">
      <xdr:nvSpPr>
        <xdr:cNvPr id="6" name="CuadroTexto 5">
          <a:extLst>
            <a:ext uri="{FF2B5EF4-FFF2-40B4-BE49-F238E27FC236}">
              <a16:creationId xmlns:a16="http://schemas.microsoft.com/office/drawing/2014/main" id="{0B03E929-60AE-CF75-EC93-4899A560FB64}"/>
            </a:ext>
          </a:extLst>
        </xdr:cNvPr>
        <xdr:cNvSpPr txBox="1"/>
      </xdr:nvSpPr>
      <xdr:spPr>
        <a:xfrm>
          <a:off x="53340" y="396240"/>
          <a:ext cx="22707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accent1">
                  <a:lumMod val="50000"/>
                </a:schemeClr>
              </a:solidFill>
              <a:latin typeface="Arial" panose="020B0604020202020204" pitchFamily="34" charset="0"/>
              <a:cs typeface="Arial" panose="020B0604020202020204" pitchFamily="34" charset="0"/>
            </a:rPr>
            <a:t>ACCIDENTES</a:t>
          </a:r>
          <a:r>
            <a:rPr lang="de-DE" sz="1100" b="1" baseline="0">
              <a:solidFill>
                <a:schemeClr val="accent1">
                  <a:lumMod val="50000"/>
                </a:schemeClr>
              </a:solidFill>
              <a:latin typeface="Arial" panose="020B0604020202020204" pitchFamily="34" charset="0"/>
              <a:cs typeface="Arial" panose="020B0604020202020204" pitchFamily="34" charset="0"/>
            </a:rPr>
            <a:t> AERONAUTICOS</a:t>
          </a:r>
        </a:p>
        <a:p>
          <a:pPr algn="ctr"/>
          <a:r>
            <a:rPr lang="de-DE" sz="1100" b="1" baseline="0">
              <a:solidFill>
                <a:schemeClr val="accent1">
                  <a:lumMod val="50000"/>
                </a:schemeClr>
              </a:solidFill>
              <a:latin typeface="Arial" panose="020B0604020202020204" pitchFamily="34" charset="0"/>
              <a:cs typeface="Arial" panose="020B0604020202020204" pitchFamily="34" charset="0"/>
            </a:rPr>
            <a:t>1908 - 2019</a:t>
          </a:r>
          <a:endParaRPr lang="de-DE" sz="1100" b="1">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3</xdr:col>
      <xdr:colOff>495300</xdr:colOff>
      <xdr:row>1</xdr:row>
      <xdr:rowOff>152400</xdr:rowOff>
    </xdr:from>
    <xdr:to>
      <xdr:col>9</xdr:col>
      <xdr:colOff>274320</xdr:colOff>
      <xdr:row>14</xdr:row>
      <xdr:rowOff>0</xdr:rowOff>
    </xdr:to>
    <xdr:sp macro="" textlink="">
      <xdr:nvSpPr>
        <xdr:cNvPr id="7" name="Rectángulo: esquinas redondeadas 6">
          <a:extLst>
            <a:ext uri="{FF2B5EF4-FFF2-40B4-BE49-F238E27FC236}">
              <a16:creationId xmlns:a16="http://schemas.microsoft.com/office/drawing/2014/main" id="{70E1636F-91B1-3478-59AD-C0F04FC061CF}"/>
            </a:ext>
          </a:extLst>
        </xdr:cNvPr>
        <xdr:cNvSpPr/>
      </xdr:nvSpPr>
      <xdr:spPr>
        <a:xfrm>
          <a:off x="2872740" y="335280"/>
          <a:ext cx="4533900" cy="22250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16</xdr:col>
      <xdr:colOff>441960</xdr:colOff>
      <xdr:row>2</xdr:row>
      <xdr:rowOff>38100</xdr:rowOff>
    </xdr:from>
    <xdr:to>
      <xdr:col>17</xdr:col>
      <xdr:colOff>563880</xdr:colOff>
      <xdr:row>7</xdr:row>
      <xdr:rowOff>38100</xdr:rowOff>
    </xdr:to>
    <xdr:pic>
      <xdr:nvPicPr>
        <xdr:cNvPr id="10" name="Gráfico 9" descr="Avión con relleno sólido">
          <a:hlinkClick xmlns:r="http://schemas.openxmlformats.org/officeDocument/2006/relationships" r:id="rId1"/>
          <a:extLst>
            <a:ext uri="{FF2B5EF4-FFF2-40B4-BE49-F238E27FC236}">
              <a16:creationId xmlns:a16="http://schemas.microsoft.com/office/drawing/2014/main" id="{192F13C7-1E13-E4EE-2410-A1265280A4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121640" y="403860"/>
          <a:ext cx="914400" cy="914400"/>
        </a:xfrm>
        <a:prstGeom prst="rect">
          <a:avLst/>
        </a:prstGeom>
      </xdr:spPr>
    </xdr:pic>
    <xdr:clientData/>
  </xdr:twoCellAnchor>
  <xdr:twoCellAnchor>
    <xdr:from>
      <xdr:col>3</xdr:col>
      <xdr:colOff>510540</xdr:colOff>
      <xdr:row>2</xdr:row>
      <xdr:rowOff>129540</xdr:rowOff>
    </xdr:from>
    <xdr:to>
      <xdr:col>9</xdr:col>
      <xdr:colOff>91440</xdr:colOff>
      <xdr:row>13</xdr:row>
      <xdr:rowOff>160020</xdr:rowOff>
    </xdr:to>
    <xdr:graphicFrame macro="">
      <xdr:nvGraphicFramePr>
        <xdr:cNvPr id="12" name="Gráfico 11">
          <a:extLst>
            <a:ext uri="{FF2B5EF4-FFF2-40B4-BE49-F238E27FC236}">
              <a16:creationId xmlns:a16="http://schemas.microsoft.com/office/drawing/2014/main" id="{6B58B356-E39A-4B4B-922A-36F1EDA27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220980</xdr:colOff>
      <xdr:row>1</xdr:row>
      <xdr:rowOff>152400</xdr:rowOff>
    </xdr:from>
    <xdr:to>
      <xdr:col>16</xdr:col>
      <xdr:colOff>0</xdr:colOff>
      <xdr:row>14</xdr:row>
      <xdr:rowOff>0</xdr:rowOff>
    </xdr:to>
    <xdr:sp macro="" textlink="">
      <xdr:nvSpPr>
        <xdr:cNvPr id="13" name="Rectángulo: esquinas redondeadas 12">
          <a:extLst>
            <a:ext uri="{FF2B5EF4-FFF2-40B4-BE49-F238E27FC236}">
              <a16:creationId xmlns:a16="http://schemas.microsoft.com/office/drawing/2014/main" id="{85912C1C-57FD-4E4D-8DC2-F3DCACC1ED95}"/>
            </a:ext>
          </a:extLst>
        </xdr:cNvPr>
        <xdr:cNvSpPr/>
      </xdr:nvSpPr>
      <xdr:spPr>
        <a:xfrm>
          <a:off x="8145780" y="335280"/>
          <a:ext cx="4533900" cy="22250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60960</xdr:colOff>
      <xdr:row>1</xdr:row>
      <xdr:rowOff>175260</xdr:rowOff>
    </xdr:from>
    <xdr:to>
      <xdr:col>8</xdr:col>
      <xdr:colOff>182880</xdr:colOff>
      <xdr:row>3</xdr:row>
      <xdr:rowOff>0</xdr:rowOff>
    </xdr:to>
    <xdr:sp macro="" textlink="">
      <xdr:nvSpPr>
        <xdr:cNvPr id="14" name="CuadroTexto 13">
          <a:extLst>
            <a:ext uri="{FF2B5EF4-FFF2-40B4-BE49-F238E27FC236}">
              <a16:creationId xmlns:a16="http://schemas.microsoft.com/office/drawing/2014/main" id="{77E358C1-D707-7B8F-2B6E-DCAB079E5CA9}"/>
            </a:ext>
          </a:extLst>
        </xdr:cNvPr>
        <xdr:cNvSpPr txBox="1"/>
      </xdr:nvSpPr>
      <xdr:spPr>
        <a:xfrm>
          <a:off x="4023360" y="358140"/>
          <a:ext cx="249936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baseline="0">
              <a:solidFill>
                <a:schemeClr val="accent1">
                  <a:lumMod val="50000"/>
                </a:schemeClr>
              </a:solidFill>
              <a:latin typeface="Arial" panose="020B0604020202020204" pitchFamily="34" charset="0"/>
              <a:ea typeface="+mn-ea"/>
              <a:cs typeface="Arial" panose="020B0604020202020204" pitchFamily="34" charset="0"/>
            </a:rPr>
            <a:t>ACCIDENTES POR PERÍODO</a:t>
          </a:r>
        </a:p>
      </xdr:txBody>
    </xdr:sp>
    <xdr:clientData/>
  </xdr:twoCellAnchor>
  <xdr:twoCellAnchor>
    <xdr:from>
      <xdr:col>9</xdr:col>
      <xdr:colOff>762000</xdr:colOff>
      <xdr:row>3</xdr:row>
      <xdr:rowOff>30480</xdr:rowOff>
    </xdr:from>
    <xdr:to>
      <xdr:col>16</xdr:col>
      <xdr:colOff>91440</xdr:colOff>
      <xdr:row>14</xdr:row>
      <xdr:rowOff>0</xdr:rowOff>
    </xdr:to>
    <xdr:graphicFrame macro="">
      <xdr:nvGraphicFramePr>
        <xdr:cNvPr id="15" name="Gráfico 14">
          <a:extLst>
            <a:ext uri="{FF2B5EF4-FFF2-40B4-BE49-F238E27FC236}">
              <a16:creationId xmlns:a16="http://schemas.microsoft.com/office/drawing/2014/main" id="{7A60A123-793D-48A9-9EE7-5657B0B83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518160</xdr:colOff>
      <xdr:row>2</xdr:row>
      <xdr:rowOff>0</xdr:rowOff>
    </xdr:from>
    <xdr:to>
      <xdr:col>15</xdr:col>
      <xdr:colOff>60960</xdr:colOff>
      <xdr:row>3</xdr:row>
      <xdr:rowOff>22860</xdr:rowOff>
    </xdr:to>
    <xdr:sp macro="" textlink="">
      <xdr:nvSpPr>
        <xdr:cNvPr id="16" name="CuadroTexto 15">
          <a:extLst>
            <a:ext uri="{FF2B5EF4-FFF2-40B4-BE49-F238E27FC236}">
              <a16:creationId xmlns:a16="http://schemas.microsoft.com/office/drawing/2014/main" id="{68EBEE9A-5321-4F81-A9B5-2D55A84DFD2D}"/>
            </a:ext>
          </a:extLst>
        </xdr:cNvPr>
        <xdr:cNvSpPr txBox="1"/>
      </xdr:nvSpPr>
      <xdr:spPr>
        <a:xfrm>
          <a:off x="9235440" y="365760"/>
          <a:ext cx="27127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baseline="0">
              <a:solidFill>
                <a:schemeClr val="accent1">
                  <a:lumMod val="50000"/>
                </a:schemeClr>
              </a:solidFill>
              <a:latin typeface="Arial" panose="020B0604020202020204" pitchFamily="34" charset="0"/>
              <a:ea typeface="+mn-ea"/>
              <a:cs typeface="Arial" panose="020B0604020202020204" pitchFamily="34" charset="0"/>
            </a:rPr>
            <a:t>AERONAVES MÁS ACCIDENTADAS</a:t>
          </a:r>
        </a:p>
      </xdr:txBody>
    </xdr:sp>
    <xdr:clientData/>
  </xdr:twoCellAnchor>
  <xdr:twoCellAnchor>
    <xdr:from>
      <xdr:col>1</xdr:col>
      <xdr:colOff>3810</xdr:colOff>
      <xdr:row>6</xdr:row>
      <xdr:rowOff>46809</xdr:rowOff>
    </xdr:from>
    <xdr:to>
      <xdr:col>2</xdr:col>
      <xdr:colOff>102870</xdr:colOff>
      <xdr:row>9</xdr:row>
      <xdr:rowOff>8709</xdr:rowOff>
    </xdr:to>
    <xdr:sp macro="" textlink="Dinamicas!B4">
      <xdr:nvSpPr>
        <xdr:cNvPr id="11" name="Rectángulo: esquinas redondeadas 10">
          <a:extLst>
            <a:ext uri="{FF2B5EF4-FFF2-40B4-BE49-F238E27FC236}">
              <a16:creationId xmlns:a16="http://schemas.microsoft.com/office/drawing/2014/main" id="{FC664738-6AD7-444D-8EBC-1D4A25606B7F}"/>
            </a:ext>
          </a:extLst>
        </xdr:cNvPr>
        <xdr:cNvSpPr/>
      </xdr:nvSpPr>
      <xdr:spPr>
        <a:xfrm>
          <a:off x="796290" y="1144089"/>
          <a:ext cx="891540" cy="5105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61C8789-1877-4968-B58E-83FB00ADB5E4}" type="TxLink">
            <a:rPr lang="en-US" sz="1200" b="0" i="0" u="none" strike="noStrike">
              <a:solidFill>
                <a:sysClr val="windowText" lastClr="000000"/>
              </a:solidFill>
              <a:latin typeface="Arial" panose="020B0604020202020204" pitchFamily="34" charset="0"/>
              <a:cs typeface="Arial" panose="020B0604020202020204" pitchFamily="34" charset="0"/>
            </a:rPr>
            <a:pPr algn="ctr"/>
            <a:t>459</a:t>
          </a:fld>
          <a:endParaRPr lang="de-DE" sz="12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563880</xdr:colOff>
      <xdr:row>5</xdr:row>
      <xdr:rowOff>167640</xdr:rowOff>
    </xdr:from>
    <xdr:to>
      <xdr:col>2</xdr:col>
      <xdr:colOff>335280</xdr:colOff>
      <xdr:row>7</xdr:row>
      <xdr:rowOff>38100</xdr:rowOff>
    </xdr:to>
    <xdr:sp macro="" textlink="">
      <xdr:nvSpPr>
        <xdr:cNvPr id="23" name="CuadroTexto 22">
          <a:extLst>
            <a:ext uri="{FF2B5EF4-FFF2-40B4-BE49-F238E27FC236}">
              <a16:creationId xmlns:a16="http://schemas.microsoft.com/office/drawing/2014/main" id="{7CDDCE98-8B32-41DE-9EA5-3EC9593ECE63}"/>
            </a:ext>
          </a:extLst>
        </xdr:cNvPr>
        <xdr:cNvSpPr txBox="1"/>
      </xdr:nvSpPr>
      <xdr:spPr>
        <a:xfrm>
          <a:off x="563880" y="1082040"/>
          <a:ext cx="13563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ACCIDENTES</a:t>
          </a:r>
        </a:p>
      </xdr:txBody>
    </xdr:sp>
    <xdr:clientData/>
  </xdr:twoCellAnchor>
  <xdr:twoCellAnchor editAs="oneCell">
    <xdr:from>
      <xdr:col>0</xdr:col>
      <xdr:colOff>287655</xdr:colOff>
      <xdr:row>9</xdr:row>
      <xdr:rowOff>114300</xdr:rowOff>
    </xdr:from>
    <xdr:to>
      <xdr:col>2</xdr:col>
      <xdr:colOff>531495</xdr:colOff>
      <xdr:row>20</xdr:row>
      <xdr:rowOff>106680</xdr:rowOff>
    </xdr:to>
    <mc:AlternateContent xmlns:mc="http://schemas.openxmlformats.org/markup-compatibility/2006" xmlns:a14="http://schemas.microsoft.com/office/drawing/2010/main">
      <mc:Choice Requires="a14">
        <xdr:graphicFrame macro="">
          <xdr:nvGraphicFramePr>
            <xdr:cNvPr id="9" name="Decade">
              <a:extLst>
                <a:ext uri="{FF2B5EF4-FFF2-40B4-BE49-F238E27FC236}">
                  <a16:creationId xmlns:a16="http://schemas.microsoft.com/office/drawing/2014/main" id="{4B63BB85-8F3A-462F-B7D5-4FAB9D791724}"/>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287655" y="1760220"/>
              <a:ext cx="1828800" cy="2004060"/>
            </a:xfrm>
            <a:prstGeom prst="rect">
              <a:avLst/>
            </a:prstGeom>
            <a:solidFill>
              <a:prstClr val="white"/>
            </a:solidFill>
            <a:ln w="1">
              <a:solidFill>
                <a:prstClr val="green"/>
              </a:solidFill>
            </a:ln>
          </xdr:spPr>
          <xdr:txBody>
            <a:bodyPr vertOverflow="clip" horzOverflow="clip"/>
            <a:lstStyle/>
            <a:p>
              <a:r>
                <a:rPr lang="de-D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287655</xdr:colOff>
      <xdr:row>21</xdr:row>
      <xdr:rowOff>137160</xdr:rowOff>
    </xdr:from>
    <xdr:to>
      <xdr:col>2</xdr:col>
      <xdr:colOff>531495</xdr:colOff>
      <xdr:row>28</xdr:row>
      <xdr:rowOff>99060</xdr:rowOff>
    </xdr:to>
    <mc:AlternateContent xmlns:mc="http://schemas.openxmlformats.org/markup-compatibility/2006" xmlns:a14="http://schemas.microsoft.com/office/drawing/2010/main">
      <mc:Choice Requires="a14">
        <xdr:graphicFrame macro="">
          <xdr:nvGraphicFramePr>
            <xdr:cNvPr id="28" name="Tipo de accidente">
              <a:extLst>
                <a:ext uri="{FF2B5EF4-FFF2-40B4-BE49-F238E27FC236}">
                  <a16:creationId xmlns:a16="http://schemas.microsoft.com/office/drawing/2014/main" id="{EDF25179-1F4D-4D10-9EB6-48676D63640C}"/>
                </a:ext>
              </a:extLst>
            </xdr:cNvPr>
            <xdr:cNvGraphicFramePr/>
          </xdr:nvGraphicFramePr>
          <xdr:xfrm>
            <a:off x="0" y="0"/>
            <a:ext cx="0" cy="0"/>
          </xdr:xfrm>
          <a:graphic>
            <a:graphicData uri="http://schemas.microsoft.com/office/drawing/2010/slicer">
              <sle:slicer xmlns:sle="http://schemas.microsoft.com/office/drawing/2010/slicer" name="Tipo de accidente"/>
            </a:graphicData>
          </a:graphic>
        </xdr:graphicFrame>
      </mc:Choice>
      <mc:Fallback xmlns="">
        <xdr:sp macro="" textlink="">
          <xdr:nvSpPr>
            <xdr:cNvPr id="0" name=""/>
            <xdr:cNvSpPr>
              <a:spLocks noTextEdit="1"/>
            </xdr:cNvSpPr>
          </xdr:nvSpPr>
          <xdr:spPr>
            <a:xfrm>
              <a:off x="287655" y="3977640"/>
              <a:ext cx="1828800" cy="1242060"/>
            </a:xfrm>
            <a:prstGeom prst="rect">
              <a:avLst/>
            </a:prstGeom>
            <a:solidFill>
              <a:prstClr val="white"/>
            </a:solidFill>
            <a:ln w="1">
              <a:solidFill>
                <a:prstClr val="green"/>
              </a:solidFill>
            </a:ln>
          </xdr:spPr>
          <xdr:txBody>
            <a:bodyPr vertOverflow="clip" horzOverflow="clip"/>
            <a:lstStyle/>
            <a:p>
              <a:r>
                <a:rPr lang="de-D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3</xdr:col>
      <xdr:colOff>510540</xdr:colOff>
      <xdr:row>16</xdr:row>
      <xdr:rowOff>129540</xdr:rowOff>
    </xdr:from>
    <xdr:to>
      <xdr:col>9</xdr:col>
      <xdr:colOff>289560</xdr:colOff>
      <xdr:row>28</xdr:row>
      <xdr:rowOff>160020</xdr:rowOff>
    </xdr:to>
    <xdr:sp macro="" textlink="">
      <xdr:nvSpPr>
        <xdr:cNvPr id="30" name="Rectángulo: esquinas redondeadas 29">
          <a:extLst>
            <a:ext uri="{FF2B5EF4-FFF2-40B4-BE49-F238E27FC236}">
              <a16:creationId xmlns:a16="http://schemas.microsoft.com/office/drawing/2014/main" id="{D4C9103A-FE4E-43FC-9A28-E39A8F32A6DA}"/>
            </a:ext>
          </a:extLst>
        </xdr:cNvPr>
        <xdr:cNvSpPr/>
      </xdr:nvSpPr>
      <xdr:spPr>
        <a:xfrm>
          <a:off x="2887980" y="3055620"/>
          <a:ext cx="4533900" cy="22250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541020</xdr:colOff>
      <xdr:row>17</xdr:row>
      <xdr:rowOff>76200</xdr:rowOff>
    </xdr:from>
    <xdr:to>
      <xdr:col>9</xdr:col>
      <xdr:colOff>411480</xdr:colOff>
      <xdr:row>28</xdr:row>
      <xdr:rowOff>121920</xdr:rowOff>
    </xdr:to>
    <xdr:graphicFrame macro="">
      <xdr:nvGraphicFramePr>
        <xdr:cNvPr id="8" name="Gráfico 7">
          <a:extLst>
            <a:ext uri="{FF2B5EF4-FFF2-40B4-BE49-F238E27FC236}">
              <a16:creationId xmlns:a16="http://schemas.microsoft.com/office/drawing/2014/main" id="{297D527A-BF0E-4ADB-9736-5054649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556260</xdr:colOff>
      <xdr:row>16</xdr:row>
      <xdr:rowOff>121920</xdr:rowOff>
    </xdr:from>
    <xdr:to>
      <xdr:col>8</xdr:col>
      <xdr:colOff>99060</xdr:colOff>
      <xdr:row>17</xdr:row>
      <xdr:rowOff>144780</xdr:rowOff>
    </xdr:to>
    <xdr:sp macro="" textlink="">
      <xdr:nvSpPr>
        <xdr:cNvPr id="17" name="CuadroTexto 16">
          <a:extLst>
            <a:ext uri="{FF2B5EF4-FFF2-40B4-BE49-F238E27FC236}">
              <a16:creationId xmlns:a16="http://schemas.microsoft.com/office/drawing/2014/main" id="{E77DE010-AE58-4202-A705-C2434430E382}"/>
            </a:ext>
          </a:extLst>
        </xdr:cNvPr>
        <xdr:cNvSpPr txBox="1"/>
      </xdr:nvSpPr>
      <xdr:spPr>
        <a:xfrm>
          <a:off x="3726180" y="3048000"/>
          <a:ext cx="27127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PERSONAS ABORDO / MUERTAS</a:t>
          </a:r>
        </a:p>
      </xdr:txBody>
    </xdr:sp>
    <xdr:clientData/>
  </xdr:twoCellAnchor>
  <xdr:twoCellAnchor>
    <xdr:from>
      <xdr:col>12</xdr:col>
      <xdr:colOff>72390</xdr:colOff>
      <xdr:row>22</xdr:row>
      <xdr:rowOff>152400</xdr:rowOff>
    </xdr:from>
    <xdr:to>
      <xdr:col>13</xdr:col>
      <xdr:colOff>171450</xdr:colOff>
      <xdr:row>25</xdr:row>
      <xdr:rowOff>114300</xdr:rowOff>
    </xdr:to>
    <xdr:sp macro="" textlink="Dinamicas!AB6">
      <xdr:nvSpPr>
        <xdr:cNvPr id="20" name="Rectángulo: esquinas redondeadas 19">
          <a:extLst>
            <a:ext uri="{FF2B5EF4-FFF2-40B4-BE49-F238E27FC236}">
              <a16:creationId xmlns:a16="http://schemas.microsoft.com/office/drawing/2014/main" id="{A8F22EDC-DE06-4F4D-8983-7E6B6046CF97}"/>
            </a:ext>
          </a:extLst>
        </xdr:cNvPr>
        <xdr:cNvSpPr/>
      </xdr:nvSpPr>
      <xdr:spPr>
        <a:xfrm>
          <a:off x="9582150" y="4175760"/>
          <a:ext cx="891540" cy="51054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61FF6136-0FD9-4F86-8989-32572D0C0042}" type="TxLink">
            <a:rPr lang="en-US" sz="1200" b="1" i="0" u="none" strike="noStrike">
              <a:solidFill>
                <a:sysClr val="windowText" lastClr="000000"/>
              </a:solidFill>
              <a:latin typeface="Arial" panose="020B0604020202020204" pitchFamily="34" charset="0"/>
              <a:ea typeface="+mn-ea"/>
              <a:cs typeface="Arial" panose="020B0604020202020204" pitchFamily="34" charset="0"/>
            </a:rPr>
            <a:pPr marL="0" indent="0" algn="ctr"/>
            <a:t>442</a:t>
          </a:fld>
          <a:endParaRPr lang="de-DE" sz="1200" b="1" i="0" u="none" strike="noStrike">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14</xdr:col>
      <xdr:colOff>491490</xdr:colOff>
      <xdr:row>19</xdr:row>
      <xdr:rowOff>58785</xdr:rowOff>
    </xdr:from>
    <xdr:to>
      <xdr:col>15</xdr:col>
      <xdr:colOff>590550</xdr:colOff>
      <xdr:row>22</xdr:row>
      <xdr:rowOff>20685</xdr:rowOff>
    </xdr:to>
    <xdr:sp macro="" textlink="Dinamicas!V6">
      <xdr:nvSpPr>
        <xdr:cNvPr id="21" name="Rectángulo: esquinas redondeadas 20">
          <a:extLst>
            <a:ext uri="{FF2B5EF4-FFF2-40B4-BE49-F238E27FC236}">
              <a16:creationId xmlns:a16="http://schemas.microsoft.com/office/drawing/2014/main" id="{AAC7ED4C-8E78-4AA7-A231-5903ECD8BB95}"/>
            </a:ext>
          </a:extLst>
        </xdr:cNvPr>
        <xdr:cNvSpPr/>
      </xdr:nvSpPr>
      <xdr:spPr>
        <a:xfrm>
          <a:off x="11586210" y="3533505"/>
          <a:ext cx="891540" cy="510540"/>
        </a:xfrm>
        <a:prstGeom prst="roundRect">
          <a:avLst/>
        </a:prstGeom>
        <a:gradFill flip="none" rotWithShape="1">
          <a:gsLst>
            <a:gs pos="0">
              <a:srgbClr val="FF8B8B"/>
            </a:gs>
            <a:gs pos="100000">
              <a:srgbClr val="FF0000"/>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0F73831B-4FC0-45F2-AA5D-DC2855BDC3B6}" type="TxLink">
            <a:rPr lang="en-US" sz="1200" b="1" i="0" u="none" strike="noStrike">
              <a:solidFill>
                <a:sysClr val="windowText" lastClr="000000"/>
              </a:solidFill>
              <a:latin typeface="Arial" panose="020B0604020202020204" pitchFamily="34" charset="0"/>
              <a:ea typeface="+mn-ea"/>
              <a:cs typeface="Arial" panose="020B0604020202020204" pitchFamily="34" charset="0"/>
            </a:rPr>
            <a:pPr marL="0" indent="0" algn="ctr"/>
            <a:t>14364</a:t>
          </a:fld>
          <a:endParaRPr lang="de-DE" sz="1200" b="1" i="0" u="none" strike="noStrike">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72390</xdr:colOff>
      <xdr:row>19</xdr:row>
      <xdr:rowOff>71847</xdr:rowOff>
    </xdr:from>
    <xdr:to>
      <xdr:col>13</xdr:col>
      <xdr:colOff>171450</xdr:colOff>
      <xdr:row>22</xdr:row>
      <xdr:rowOff>33747</xdr:rowOff>
    </xdr:to>
    <xdr:sp macro="" textlink="Dinamicas!Y6">
      <xdr:nvSpPr>
        <xdr:cNvPr id="22" name="Rectángulo: esquinas redondeadas 21">
          <a:extLst>
            <a:ext uri="{FF2B5EF4-FFF2-40B4-BE49-F238E27FC236}">
              <a16:creationId xmlns:a16="http://schemas.microsoft.com/office/drawing/2014/main" id="{E211F0FF-554C-47DE-A501-1908A12BA48C}"/>
            </a:ext>
          </a:extLst>
        </xdr:cNvPr>
        <xdr:cNvSpPr/>
      </xdr:nvSpPr>
      <xdr:spPr>
        <a:xfrm>
          <a:off x="9582150" y="3546567"/>
          <a:ext cx="891540" cy="51054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623ED148-8C2B-4E35-BC39-F97AA97024C5}" type="TxLink">
            <a:rPr lang="en-US" sz="1200" b="1" i="0" u="none" strike="noStrike">
              <a:solidFill>
                <a:sysClr val="windowText" lastClr="000000"/>
              </a:solidFill>
              <a:latin typeface="Arial" panose="020B0604020202020204" pitchFamily="34" charset="0"/>
              <a:ea typeface="+mn-ea"/>
              <a:cs typeface="Arial" panose="020B0604020202020204" pitchFamily="34" charset="0"/>
            </a:rPr>
            <a:pPr marL="0" indent="0" algn="ctr"/>
            <a:t>14806</a:t>
          </a:fld>
          <a:endParaRPr lang="de-DE" sz="1200" b="1" i="0" u="none" strike="noStrike">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10</xdr:col>
      <xdr:colOff>582930</xdr:colOff>
      <xdr:row>20</xdr:row>
      <xdr:rowOff>25038</xdr:rowOff>
    </xdr:from>
    <xdr:to>
      <xdr:col>12</xdr:col>
      <xdr:colOff>354330</xdr:colOff>
      <xdr:row>21</xdr:row>
      <xdr:rowOff>78378</xdr:rowOff>
    </xdr:to>
    <xdr:sp macro="" textlink="">
      <xdr:nvSpPr>
        <xdr:cNvPr id="24" name="CuadroTexto 23">
          <a:extLst>
            <a:ext uri="{FF2B5EF4-FFF2-40B4-BE49-F238E27FC236}">
              <a16:creationId xmlns:a16="http://schemas.microsoft.com/office/drawing/2014/main" id="{7F4582E3-66E9-4058-859C-CE10BB382499}"/>
            </a:ext>
          </a:extLst>
        </xdr:cNvPr>
        <xdr:cNvSpPr txBox="1"/>
      </xdr:nvSpPr>
      <xdr:spPr>
        <a:xfrm>
          <a:off x="8507730" y="3682638"/>
          <a:ext cx="13563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 ABORDO</a:t>
          </a:r>
        </a:p>
      </xdr:txBody>
    </xdr:sp>
    <xdr:clientData/>
  </xdr:twoCellAnchor>
  <xdr:twoCellAnchor>
    <xdr:from>
      <xdr:col>10</xdr:col>
      <xdr:colOff>274320</xdr:colOff>
      <xdr:row>23</xdr:row>
      <xdr:rowOff>82734</xdr:rowOff>
    </xdr:from>
    <xdr:to>
      <xdr:col>12</xdr:col>
      <xdr:colOff>114300</xdr:colOff>
      <xdr:row>24</xdr:row>
      <xdr:rowOff>136074</xdr:rowOff>
    </xdr:to>
    <xdr:sp macro="" textlink="">
      <xdr:nvSpPr>
        <xdr:cNvPr id="25" name="CuadroTexto 24">
          <a:extLst>
            <a:ext uri="{FF2B5EF4-FFF2-40B4-BE49-F238E27FC236}">
              <a16:creationId xmlns:a16="http://schemas.microsoft.com/office/drawing/2014/main" id="{3DD1282A-AB90-44F8-A30D-98CC5955F411}"/>
            </a:ext>
          </a:extLst>
        </xdr:cNvPr>
        <xdr:cNvSpPr txBox="1"/>
      </xdr:nvSpPr>
      <xdr:spPr>
        <a:xfrm>
          <a:off x="8199120" y="4288974"/>
          <a:ext cx="14249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SOBREVIVIENTES</a:t>
          </a:r>
        </a:p>
      </xdr:txBody>
    </xdr:sp>
    <xdr:clientData/>
  </xdr:twoCellAnchor>
  <xdr:twoCellAnchor>
    <xdr:from>
      <xdr:col>13</xdr:col>
      <xdr:colOff>11430</xdr:colOff>
      <xdr:row>18</xdr:row>
      <xdr:rowOff>72936</xdr:rowOff>
    </xdr:from>
    <xdr:to>
      <xdr:col>14</xdr:col>
      <xdr:colOff>575310</xdr:colOff>
      <xdr:row>19</xdr:row>
      <xdr:rowOff>126276</xdr:rowOff>
    </xdr:to>
    <xdr:sp macro="" textlink="">
      <xdr:nvSpPr>
        <xdr:cNvPr id="26" name="CuadroTexto 25">
          <a:extLst>
            <a:ext uri="{FF2B5EF4-FFF2-40B4-BE49-F238E27FC236}">
              <a16:creationId xmlns:a16="http://schemas.microsoft.com/office/drawing/2014/main" id="{605A9712-E412-4CD6-9659-B42F3215A35C}"/>
            </a:ext>
          </a:extLst>
        </xdr:cNvPr>
        <xdr:cNvSpPr txBox="1"/>
      </xdr:nvSpPr>
      <xdr:spPr>
        <a:xfrm>
          <a:off x="10313670" y="3364776"/>
          <a:ext cx="13563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MUERTES</a:t>
          </a:r>
        </a:p>
      </xdr:txBody>
    </xdr:sp>
    <xdr:clientData/>
  </xdr:twoCellAnchor>
  <xdr:twoCellAnchor>
    <xdr:from>
      <xdr:col>11</xdr:col>
      <xdr:colOff>533400</xdr:colOff>
      <xdr:row>16</xdr:row>
      <xdr:rowOff>85998</xdr:rowOff>
    </xdr:from>
    <xdr:to>
      <xdr:col>14</xdr:col>
      <xdr:colOff>708660</xdr:colOff>
      <xdr:row>17</xdr:row>
      <xdr:rowOff>160020</xdr:rowOff>
    </xdr:to>
    <xdr:sp macro="" textlink="">
      <xdr:nvSpPr>
        <xdr:cNvPr id="27" name="CuadroTexto 26">
          <a:extLst>
            <a:ext uri="{FF2B5EF4-FFF2-40B4-BE49-F238E27FC236}">
              <a16:creationId xmlns:a16="http://schemas.microsoft.com/office/drawing/2014/main" id="{1A4D6209-014C-4035-B9B5-D5046DA5D4A3}"/>
            </a:ext>
          </a:extLst>
        </xdr:cNvPr>
        <xdr:cNvSpPr txBox="1"/>
      </xdr:nvSpPr>
      <xdr:spPr>
        <a:xfrm>
          <a:off x="9250680" y="3012078"/>
          <a:ext cx="2552700" cy="256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 TOTALES</a:t>
          </a:r>
        </a:p>
      </xdr:txBody>
    </xdr:sp>
    <xdr:clientData/>
  </xdr:twoCellAnchor>
  <xdr:twoCellAnchor>
    <xdr:from>
      <xdr:col>13</xdr:col>
      <xdr:colOff>217170</xdr:colOff>
      <xdr:row>23</xdr:row>
      <xdr:rowOff>55518</xdr:rowOff>
    </xdr:from>
    <xdr:to>
      <xdr:col>14</xdr:col>
      <xdr:colOff>781050</xdr:colOff>
      <xdr:row>24</xdr:row>
      <xdr:rowOff>108858</xdr:rowOff>
    </xdr:to>
    <xdr:sp macro="" textlink="">
      <xdr:nvSpPr>
        <xdr:cNvPr id="19" name="CuadroTexto 18">
          <a:extLst>
            <a:ext uri="{FF2B5EF4-FFF2-40B4-BE49-F238E27FC236}">
              <a16:creationId xmlns:a16="http://schemas.microsoft.com/office/drawing/2014/main" id="{B0D0D1D4-391A-405A-BA93-C0434EC1C0DD}"/>
            </a:ext>
          </a:extLst>
        </xdr:cNvPr>
        <xdr:cNvSpPr txBox="1"/>
      </xdr:nvSpPr>
      <xdr:spPr>
        <a:xfrm>
          <a:off x="10519410" y="4261758"/>
          <a:ext cx="13563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En Tierra</a:t>
          </a:r>
        </a:p>
      </xdr:txBody>
    </xdr:sp>
    <xdr:clientData/>
  </xdr:twoCellAnchor>
  <xdr:twoCellAnchor>
    <xdr:from>
      <xdr:col>13</xdr:col>
      <xdr:colOff>95250</xdr:colOff>
      <xdr:row>19</xdr:row>
      <xdr:rowOff>177438</xdr:rowOff>
    </xdr:from>
    <xdr:to>
      <xdr:col>14</xdr:col>
      <xdr:colOff>659130</xdr:colOff>
      <xdr:row>21</xdr:row>
      <xdr:rowOff>47898</xdr:rowOff>
    </xdr:to>
    <xdr:sp macro="" textlink="">
      <xdr:nvSpPr>
        <xdr:cNvPr id="31" name="CuadroTexto 30">
          <a:extLst>
            <a:ext uri="{FF2B5EF4-FFF2-40B4-BE49-F238E27FC236}">
              <a16:creationId xmlns:a16="http://schemas.microsoft.com/office/drawing/2014/main" id="{96225B67-436D-4469-84E8-5F6C3B4D6365}"/>
            </a:ext>
          </a:extLst>
        </xdr:cNvPr>
        <xdr:cNvSpPr txBox="1"/>
      </xdr:nvSpPr>
      <xdr:spPr>
        <a:xfrm>
          <a:off x="10397490" y="3652158"/>
          <a:ext cx="13563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baseline="0">
              <a:solidFill>
                <a:schemeClr val="accent1">
                  <a:lumMod val="50000"/>
                </a:schemeClr>
              </a:solidFill>
              <a:latin typeface="Arial" panose="020B0604020202020204" pitchFamily="34" charset="0"/>
              <a:ea typeface="+mn-ea"/>
              <a:cs typeface="Arial" panose="020B0604020202020204" pitchFamily="34" charset="0"/>
            </a:rPr>
            <a:t>En Aeronave</a:t>
          </a:r>
        </a:p>
      </xdr:txBody>
    </xdr:sp>
    <xdr:clientData/>
  </xdr:twoCellAnchor>
  <xdr:twoCellAnchor>
    <xdr:from>
      <xdr:col>14</xdr:col>
      <xdr:colOff>491490</xdr:colOff>
      <xdr:row>22</xdr:row>
      <xdr:rowOff>144780</xdr:rowOff>
    </xdr:from>
    <xdr:to>
      <xdr:col>15</xdr:col>
      <xdr:colOff>590550</xdr:colOff>
      <xdr:row>25</xdr:row>
      <xdr:rowOff>106680</xdr:rowOff>
    </xdr:to>
    <xdr:sp macro="" textlink="Dinamicas!Y11">
      <xdr:nvSpPr>
        <xdr:cNvPr id="34" name="Rectángulo: esquinas redondeadas 33">
          <a:extLst>
            <a:ext uri="{FF2B5EF4-FFF2-40B4-BE49-F238E27FC236}">
              <a16:creationId xmlns:a16="http://schemas.microsoft.com/office/drawing/2014/main" id="{91DE8105-6EA6-4BBE-B2D9-080A19315453}"/>
            </a:ext>
          </a:extLst>
        </xdr:cNvPr>
        <xdr:cNvSpPr/>
      </xdr:nvSpPr>
      <xdr:spPr>
        <a:xfrm>
          <a:off x="11586210" y="4168140"/>
          <a:ext cx="891540" cy="510540"/>
        </a:xfrm>
        <a:prstGeom prst="roundRect">
          <a:avLst/>
        </a:prstGeom>
        <a:gradFill flip="none" rotWithShape="1">
          <a:gsLst>
            <a:gs pos="0">
              <a:srgbClr val="FF8B8B"/>
            </a:gs>
            <a:gs pos="100000">
              <a:srgbClr val="FF0000"/>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3410CF4D-CA70-4F30-8D30-DF36A8EBBF04}" type="TxLink">
            <a:rPr lang="en-US" sz="1200" b="1" i="0" u="none" strike="noStrike">
              <a:solidFill>
                <a:sysClr val="windowText" lastClr="000000"/>
              </a:solidFill>
              <a:latin typeface="Arial" panose="020B0604020202020204" pitchFamily="34" charset="0"/>
              <a:ea typeface="+mn-ea"/>
              <a:cs typeface="Arial" panose="020B0604020202020204" pitchFamily="34" charset="0"/>
            </a:rPr>
            <a:pPr marL="0" indent="0" algn="ctr"/>
            <a:t>231</a:t>
          </a:fld>
          <a:endParaRPr lang="de-DE" sz="1200" b="1" i="0" u="none" strike="noStrike">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16</xdr:col>
      <xdr:colOff>685800</xdr:colOff>
      <xdr:row>4</xdr:row>
      <xdr:rowOff>144780</xdr:rowOff>
    </xdr:from>
    <xdr:to>
      <xdr:col>16</xdr:col>
      <xdr:colOff>739140</xdr:colOff>
      <xdr:row>30</xdr:row>
      <xdr:rowOff>0</xdr:rowOff>
    </xdr:to>
    <xdr:cxnSp macro="">
      <xdr:nvCxnSpPr>
        <xdr:cNvPr id="41" name="Conector recto 40">
          <a:extLst>
            <a:ext uri="{FF2B5EF4-FFF2-40B4-BE49-F238E27FC236}">
              <a16:creationId xmlns:a16="http://schemas.microsoft.com/office/drawing/2014/main" id="{13F0037F-DCD1-D274-D5F2-A40720294113}"/>
            </a:ext>
          </a:extLst>
        </xdr:cNvPr>
        <xdr:cNvCxnSpPr/>
      </xdr:nvCxnSpPr>
      <xdr:spPr>
        <a:xfrm>
          <a:off x="13365480" y="876300"/>
          <a:ext cx="53340" cy="4610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327660</xdr:colOff>
      <xdr:row>4</xdr:row>
      <xdr:rowOff>137160</xdr:rowOff>
    </xdr:from>
    <xdr:to>
      <xdr:col>17</xdr:col>
      <xdr:colOff>381000</xdr:colOff>
      <xdr:row>29</xdr:row>
      <xdr:rowOff>175260</xdr:rowOff>
    </xdr:to>
    <xdr:cxnSp macro="">
      <xdr:nvCxnSpPr>
        <xdr:cNvPr id="43" name="Conector recto 42">
          <a:extLst>
            <a:ext uri="{FF2B5EF4-FFF2-40B4-BE49-F238E27FC236}">
              <a16:creationId xmlns:a16="http://schemas.microsoft.com/office/drawing/2014/main" id="{495E2B77-9FBF-448B-994C-E5C04E2B22D5}"/>
            </a:ext>
          </a:extLst>
        </xdr:cNvPr>
        <xdr:cNvCxnSpPr/>
      </xdr:nvCxnSpPr>
      <xdr:spPr>
        <a:xfrm>
          <a:off x="13799820" y="868680"/>
          <a:ext cx="53340" cy="4610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373380</xdr:colOff>
      <xdr:row>0</xdr:row>
      <xdr:rowOff>175260</xdr:rowOff>
    </xdr:from>
    <xdr:to>
      <xdr:col>17</xdr:col>
      <xdr:colOff>541020</xdr:colOff>
      <xdr:row>2</xdr:row>
      <xdr:rowOff>66402</xdr:rowOff>
    </xdr:to>
    <xdr:sp macro="" textlink="">
      <xdr:nvSpPr>
        <xdr:cNvPr id="18" name="CuadroTexto 17">
          <a:extLst>
            <a:ext uri="{FF2B5EF4-FFF2-40B4-BE49-F238E27FC236}">
              <a16:creationId xmlns:a16="http://schemas.microsoft.com/office/drawing/2014/main" id="{47878B3A-D76D-4F13-99CF-14E61DCFB637}"/>
            </a:ext>
          </a:extLst>
        </xdr:cNvPr>
        <xdr:cNvSpPr txBox="1"/>
      </xdr:nvSpPr>
      <xdr:spPr>
        <a:xfrm>
          <a:off x="13053060" y="175260"/>
          <a:ext cx="960120" cy="256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400" b="1" baseline="0">
              <a:solidFill>
                <a:schemeClr val="accent1">
                  <a:lumMod val="50000"/>
                </a:schemeClr>
              </a:solidFill>
              <a:latin typeface="Arial" panose="020B0604020202020204" pitchFamily="34" charset="0"/>
              <a:ea typeface="+mn-ea"/>
              <a:cs typeface="Arial" panose="020B0604020202020204" pitchFamily="34" charset="0"/>
            </a:rPr>
            <a:t> </a:t>
          </a:r>
          <a:r>
            <a:rPr lang="de-DE" sz="1600" b="1" baseline="0">
              <a:solidFill>
                <a:schemeClr val="accent1">
                  <a:lumMod val="50000"/>
                </a:schemeClr>
              </a:solidFill>
              <a:latin typeface="Arial" panose="020B0604020202020204" pitchFamily="34" charset="0"/>
              <a:ea typeface="+mn-ea"/>
              <a:cs typeface="Arial" panose="020B0604020202020204" pitchFamily="34" charset="0"/>
            </a:rPr>
            <a:t>MENÚ</a:t>
          </a:r>
          <a:endParaRPr lang="de-DE" sz="1400" b="1" baseline="0">
            <a:solidFill>
              <a:schemeClr val="accent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17</xdr:col>
      <xdr:colOff>426720</xdr:colOff>
      <xdr:row>1</xdr:row>
      <xdr:rowOff>160020</xdr:rowOff>
    </xdr:from>
    <xdr:to>
      <xdr:col>17</xdr:col>
      <xdr:colOff>655320</xdr:colOff>
      <xdr:row>3</xdr:row>
      <xdr:rowOff>99060</xdr:rowOff>
    </xdr:to>
    <xdr:sp macro="" textlink="">
      <xdr:nvSpPr>
        <xdr:cNvPr id="32" name="Flecha: curvada hacia la izquierda 31">
          <a:extLst>
            <a:ext uri="{FF2B5EF4-FFF2-40B4-BE49-F238E27FC236}">
              <a16:creationId xmlns:a16="http://schemas.microsoft.com/office/drawing/2014/main" id="{9A72213F-9720-215B-4889-89B9F24FEC5E}"/>
            </a:ext>
          </a:extLst>
        </xdr:cNvPr>
        <xdr:cNvSpPr/>
      </xdr:nvSpPr>
      <xdr:spPr>
        <a:xfrm>
          <a:off x="13898880" y="342900"/>
          <a:ext cx="228600" cy="304800"/>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xdr:colOff>
      <xdr:row>20</xdr:row>
      <xdr:rowOff>99060</xdr:rowOff>
    </xdr:from>
    <xdr:to>
      <xdr:col>0</xdr:col>
      <xdr:colOff>331470</xdr:colOff>
      <xdr:row>26</xdr:row>
      <xdr:rowOff>137160</xdr:rowOff>
    </xdr:to>
    <xdr:sp macro="" textlink="">
      <xdr:nvSpPr>
        <xdr:cNvPr id="7" name="Diagrama de flujo: operación manual 6">
          <a:hlinkClick xmlns:r="http://schemas.openxmlformats.org/officeDocument/2006/relationships" r:id="rId1"/>
          <a:extLst>
            <a:ext uri="{FF2B5EF4-FFF2-40B4-BE49-F238E27FC236}">
              <a16:creationId xmlns:a16="http://schemas.microsoft.com/office/drawing/2014/main" id="{E4A5483B-DC6C-4FDC-9580-B390F94416EA}"/>
            </a:ext>
          </a:extLst>
        </xdr:cNvPr>
        <xdr:cNvSpPr/>
      </xdr:nvSpPr>
      <xdr:spPr>
        <a:xfrm rot="16200000">
          <a:off x="-400050" y="416052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CSV2</a:t>
          </a:r>
        </a:p>
      </xdr:txBody>
    </xdr:sp>
    <xdr:clientData/>
  </xdr:twoCellAnchor>
  <xdr:twoCellAnchor>
    <xdr:from>
      <xdr:col>0</xdr:col>
      <xdr:colOff>3811</xdr:colOff>
      <xdr:row>15</xdr:row>
      <xdr:rowOff>129540</xdr:rowOff>
    </xdr:from>
    <xdr:to>
      <xdr:col>0</xdr:col>
      <xdr:colOff>331471</xdr:colOff>
      <xdr:row>21</xdr:row>
      <xdr:rowOff>167640</xdr:rowOff>
    </xdr:to>
    <xdr:sp macro="" textlink="">
      <xdr:nvSpPr>
        <xdr:cNvPr id="6" name="Diagrama de flujo: operación manual 5">
          <a:hlinkClick xmlns:r="http://schemas.openxmlformats.org/officeDocument/2006/relationships" r:id="rId2"/>
          <a:extLst>
            <a:ext uri="{FF2B5EF4-FFF2-40B4-BE49-F238E27FC236}">
              <a16:creationId xmlns:a16="http://schemas.microsoft.com/office/drawing/2014/main" id="{FAA279DB-3F40-475C-BEEE-F637881C35AA}"/>
            </a:ext>
          </a:extLst>
        </xdr:cNvPr>
        <xdr:cNvSpPr/>
      </xdr:nvSpPr>
      <xdr:spPr>
        <a:xfrm rot="16200000">
          <a:off x="-400049" y="327660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CSV1</a:t>
          </a:r>
        </a:p>
      </xdr:txBody>
    </xdr:sp>
    <xdr:clientData/>
  </xdr:twoCellAnchor>
  <xdr:twoCellAnchor>
    <xdr:from>
      <xdr:col>0</xdr:col>
      <xdr:colOff>3811</xdr:colOff>
      <xdr:row>9</xdr:row>
      <xdr:rowOff>22860</xdr:rowOff>
    </xdr:from>
    <xdr:to>
      <xdr:col>0</xdr:col>
      <xdr:colOff>331471</xdr:colOff>
      <xdr:row>17</xdr:row>
      <xdr:rowOff>68580</xdr:rowOff>
    </xdr:to>
    <xdr:sp macro="" textlink="">
      <xdr:nvSpPr>
        <xdr:cNvPr id="5" name="Diagrama de flujo: operación manual 4">
          <a:hlinkClick xmlns:r="http://schemas.openxmlformats.org/officeDocument/2006/relationships" r:id="rId3"/>
          <a:extLst>
            <a:ext uri="{FF2B5EF4-FFF2-40B4-BE49-F238E27FC236}">
              <a16:creationId xmlns:a16="http://schemas.microsoft.com/office/drawing/2014/main" id="{E3077DDA-951D-4F4B-9184-B86F3FB23891}"/>
            </a:ext>
          </a:extLst>
        </xdr:cNvPr>
        <xdr:cNvSpPr/>
      </xdr:nvSpPr>
      <xdr:spPr>
        <a:xfrm rot="16200000">
          <a:off x="-586739" y="2259330"/>
          <a:ext cx="150876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latin typeface="Arial" panose="020B0604020202020204" pitchFamily="34" charset="0"/>
              <a:cs typeface="Arial" panose="020B0604020202020204" pitchFamily="34" charset="0"/>
            </a:rPr>
            <a:t>DINAMICAS</a:t>
          </a:r>
        </a:p>
      </xdr:txBody>
    </xdr:sp>
    <xdr:clientData/>
  </xdr:twoCellAnchor>
  <xdr:twoCellAnchor>
    <xdr:from>
      <xdr:col>0</xdr:col>
      <xdr:colOff>3810</xdr:colOff>
      <xdr:row>0</xdr:row>
      <xdr:rowOff>0</xdr:rowOff>
    </xdr:from>
    <xdr:to>
      <xdr:col>0</xdr:col>
      <xdr:colOff>331470</xdr:colOff>
      <xdr:row>6</xdr:row>
      <xdr:rowOff>38100</xdr:rowOff>
    </xdr:to>
    <xdr:sp macro="" textlink="">
      <xdr:nvSpPr>
        <xdr:cNvPr id="8" name="Diagrama de flujo: operación manual 7">
          <a:hlinkClick xmlns:r="http://schemas.openxmlformats.org/officeDocument/2006/relationships" r:id="rId4"/>
          <a:extLst>
            <a:ext uri="{FF2B5EF4-FFF2-40B4-BE49-F238E27FC236}">
              <a16:creationId xmlns:a16="http://schemas.microsoft.com/office/drawing/2014/main" id="{17480D1F-BB91-4DC8-BD4E-412A04E3EABA}"/>
            </a:ext>
          </a:extLst>
        </xdr:cNvPr>
        <xdr:cNvSpPr/>
      </xdr:nvSpPr>
      <xdr:spPr>
        <a:xfrm rot="16200000">
          <a:off x="-400050" y="403860"/>
          <a:ext cx="1135380" cy="327660"/>
        </a:xfrm>
        <a:prstGeom prst="flowChartManualOperation">
          <a:avLst/>
        </a:prstGeom>
        <a:solidFill>
          <a:schemeClr val="accent3">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MENÚ</a:t>
          </a:r>
        </a:p>
      </xdr:txBody>
    </xdr:sp>
    <xdr:clientData/>
  </xdr:twoCellAnchor>
  <xdr:twoCellAnchor>
    <xdr:from>
      <xdr:col>0</xdr:col>
      <xdr:colOff>3810</xdr:colOff>
      <xdr:row>4</xdr:row>
      <xdr:rowOff>129540</xdr:rowOff>
    </xdr:from>
    <xdr:to>
      <xdr:col>0</xdr:col>
      <xdr:colOff>331470</xdr:colOff>
      <xdr:row>10</xdr:row>
      <xdr:rowOff>167640</xdr:rowOff>
    </xdr:to>
    <xdr:sp macro="" textlink="">
      <xdr:nvSpPr>
        <xdr:cNvPr id="3" name="Diagrama de flujo: operación manual 2">
          <a:hlinkClick xmlns:r="http://schemas.openxmlformats.org/officeDocument/2006/relationships" r:id="rId5"/>
          <a:extLst>
            <a:ext uri="{FF2B5EF4-FFF2-40B4-BE49-F238E27FC236}">
              <a16:creationId xmlns:a16="http://schemas.microsoft.com/office/drawing/2014/main" id="{4C88F6B1-E157-87AC-D334-39237C39AB80}"/>
            </a:ext>
          </a:extLst>
        </xdr:cNvPr>
        <xdr:cNvSpPr/>
      </xdr:nvSpPr>
      <xdr:spPr>
        <a:xfrm rot="16200000">
          <a:off x="-400050" y="1264920"/>
          <a:ext cx="1135380" cy="327660"/>
        </a:xfrm>
        <a:prstGeom prst="flowChartManualOperation">
          <a:avLst/>
        </a:prstGeom>
        <a:solidFill>
          <a:schemeClr val="accent1"/>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DATOS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20</xdr:row>
      <xdr:rowOff>99060</xdr:rowOff>
    </xdr:from>
    <xdr:to>
      <xdr:col>0</xdr:col>
      <xdr:colOff>327660</xdr:colOff>
      <xdr:row>26</xdr:row>
      <xdr:rowOff>137160</xdr:rowOff>
    </xdr:to>
    <xdr:sp macro="" textlink="">
      <xdr:nvSpPr>
        <xdr:cNvPr id="2" name="Diagrama de flujo: operación manual 1">
          <a:hlinkClick xmlns:r="http://schemas.openxmlformats.org/officeDocument/2006/relationships" r:id="rId1"/>
          <a:extLst>
            <a:ext uri="{FF2B5EF4-FFF2-40B4-BE49-F238E27FC236}">
              <a16:creationId xmlns:a16="http://schemas.microsoft.com/office/drawing/2014/main" id="{6803C33D-208D-4CA9-AF63-1EDE5758CAB8}"/>
            </a:ext>
          </a:extLst>
        </xdr:cNvPr>
        <xdr:cNvSpPr/>
      </xdr:nvSpPr>
      <xdr:spPr>
        <a:xfrm rot="16200000">
          <a:off x="-403860" y="416052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CSV2</a:t>
          </a:r>
        </a:p>
      </xdr:txBody>
    </xdr:sp>
    <xdr:clientData/>
  </xdr:twoCellAnchor>
  <xdr:twoCellAnchor>
    <xdr:from>
      <xdr:col>0</xdr:col>
      <xdr:colOff>1</xdr:colOff>
      <xdr:row>15</xdr:row>
      <xdr:rowOff>129540</xdr:rowOff>
    </xdr:from>
    <xdr:to>
      <xdr:col>0</xdr:col>
      <xdr:colOff>327661</xdr:colOff>
      <xdr:row>21</xdr:row>
      <xdr:rowOff>167640</xdr:rowOff>
    </xdr:to>
    <xdr:sp macro="" textlink="">
      <xdr:nvSpPr>
        <xdr:cNvPr id="3" name="Diagrama de flujo: operación manual 2">
          <a:hlinkClick xmlns:r="http://schemas.openxmlformats.org/officeDocument/2006/relationships" r:id="rId2"/>
          <a:extLst>
            <a:ext uri="{FF2B5EF4-FFF2-40B4-BE49-F238E27FC236}">
              <a16:creationId xmlns:a16="http://schemas.microsoft.com/office/drawing/2014/main" id="{8FB4AEF8-F621-4835-89E7-17726AEDDB23}"/>
            </a:ext>
          </a:extLst>
        </xdr:cNvPr>
        <xdr:cNvSpPr/>
      </xdr:nvSpPr>
      <xdr:spPr>
        <a:xfrm rot="16200000">
          <a:off x="-403859" y="327660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CSV1</a:t>
          </a:r>
        </a:p>
      </xdr:txBody>
    </xdr:sp>
    <xdr:clientData/>
  </xdr:twoCellAnchor>
  <xdr:twoCellAnchor>
    <xdr:from>
      <xdr:col>0</xdr:col>
      <xdr:colOff>0</xdr:colOff>
      <xdr:row>4</xdr:row>
      <xdr:rowOff>129540</xdr:rowOff>
    </xdr:from>
    <xdr:to>
      <xdr:col>0</xdr:col>
      <xdr:colOff>327660</xdr:colOff>
      <xdr:row>10</xdr:row>
      <xdr:rowOff>167640</xdr:rowOff>
    </xdr:to>
    <xdr:sp macro="" textlink="">
      <xdr:nvSpPr>
        <xdr:cNvPr id="5" name="Diagrama de flujo: operación manual 4">
          <a:hlinkClick xmlns:r="http://schemas.openxmlformats.org/officeDocument/2006/relationships" r:id="rId3"/>
          <a:extLst>
            <a:ext uri="{FF2B5EF4-FFF2-40B4-BE49-F238E27FC236}">
              <a16:creationId xmlns:a16="http://schemas.microsoft.com/office/drawing/2014/main" id="{48FB0B3E-E999-4158-ADA9-89FDED66D5E6}"/>
            </a:ext>
          </a:extLst>
        </xdr:cNvPr>
        <xdr:cNvSpPr/>
      </xdr:nvSpPr>
      <xdr:spPr>
        <a:xfrm rot="16200000">
          <a:off x="-403860" y="126492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DATOS</a:t>
          </a:r>
        </a:p>
      </xdr:txBody>
    </xdr:sp>
    <xdr:clientData/>
  </xdr:twoCellAnchor>
  <xdr:twoCellAnchor>
    <xdr:from>
      <xdr:col>0</xdr:col>
      <xdr:colOff>0</xdr:colOff>
      <xdr:row>0</xdr:row>
      <xdr:rowOff>0</xdr:rowOff>
    </xdr:from>
    <xdr:to>
      <xdr:col>0</xdr:col>
      <xdr:colOff>327660</xdr:colOff>
      <xdr:row>6</xdr:row>
      <xdr:rowOff>38100</xdr:rowOff>
    </xdr:to>
    <xdr:sp macro="" textlink="">
      <xdr:nvSpPr>
        <xdr:cNvPr id="6" name="Diagrama de flujo: operación manual 5">
          <a:hlinkClick xmlns:r="http://schemas.openxmlformats.org/officeDocument/2006/relationships" r:id="rId4"/>
          <a:extLst>
            <a:ext uri="{FF2B5EF4-FFF2-40B4-BE49-F238E27FC236}">
              <a16:creationId xmlns:a16="http://schemas.microsoft.com/office/drawing/2014/main" id="{DD4673E3-0BD9-4E44-825D-2E74DEC535AC}"/>
            </a:ext>
          </a:extLst>
        </xdr:cNvPr>
        <xdr:cNvSpPr/>
      </xdr:nvSpPr>
      <xdr:spPr>
        <a:xfrm rot="16200000">
          <a:off x="-403860" y="403860"/>
          <a:ext cx="1135380" cy="327660"/>
        </a:xfrm>
        <a:prstGeom prst="flowChartManualOperation">
          <a:avLst/>
        </a:prstGeom>
        <a:solidFill>
          <a:schemeClr val="accent3">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MENÚ</a:t>
          </a:r>
        </a:p>
      </xdr:txBody>
    </xdr:sp>
    <xdr:clientData/>
  </xdr:twoCellAnchor>
  <xdr:twoCellAnchor>
    <xdr:from>
      <xdr:col>0</xdr:col>
      <xdr:colOff>1</xdr:colOff>
      <xdr:row>9</xdr:row>
      <xdr:rowOff>22860</xdr:rowOff>
    </xdr:from>
    <xdr:to>
      <xdr:col>0</xdr:col>
      <xdr:colOff>327661</xdr:colOff>
      <xdr:row>17</xdr:row>
      <xdr:rowOff>68580</xdr:rowOff>
    </xdr:to>
    <xdr:sp macro="" textlink="">
      <xdr:nvSpPr>
        <xdr:cNvPr id="4" name="Diagrama de flujo: operación manual 3">
          <a:hlinkClick xmlns:r="http://schemas.openxmlformats.org/officeDocument/2006/relationships" r:id="rId5"/>
          <a:extLst>
            <a:ext uri="{FF2B5EF4-FFF2-40B4-BE49-F238E27FC236}">
              <a16:creationId xmlns:a16="http://schemas.microsoft.com/office/drawing/2014/main" id="{8B040025-413F-49CF-9716-8632B6C1CD4D}"/>
            </a:ext>
          </a:extLst>
        </xdr:cNvPr>
        <xdr:cNvSpPr/>
      </xdr:nvSpPr>
      <xdr:spPr>
        <a:xfrm rot="16200000">
          <a:off x="-590549" y="2259330"/>
          <a:ext cx="1508760" cy="327660"/>
        </a:xfrm>
        <a:prstGeom prst="flowChartManualOperation">
          <a:avLst/>
        </a:prstGeom>
        <a:solidFill>
          <a:schemeClr val="accent1"/>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latin typeface="Arial" panose="020B0604020202020204" pitchFamily="34" charset="0"/>
              <a:cs typeface="Arial" panose="020B0604020202020204" pitchFamily="34" charset="0"/>
            </a:rPr>
            <a:t>DINAMICAS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20</xdr:row>
      <xdr:rowOff>99060</xdr:rowOff>
    </xdr:from>
    <xdr:to>
      <xdr:col>0</xdr:col>
      <xdr:colOff>327660</xdr:colOff>
      <xdr:row>26</xdr:row>
      <xdr:rowOff>137160</xdr:rowOff>
    </xdr:to>
    <xdr:sp macro="" textlink="">
      <xdr:nvSpPr>
        <xdr:cNvPr id="2" name="Diagrama de flujo: operación manual 1">
          <a:hlinkClick xmlns:r="http://schemas.openxmlformats.org/officeDocument/2006/relationships" r:id="rId1"/>
          <a:extLst>
            <a:ext uri="{FF2B5EF4-FFF2-40B4-BE49-F238E27FC236}">
              <a16:creationId xmlns:a16="http://schemas.microsoft.com/office/drawing/2014/main" id="{410BC9F2-8128-4AB3-96EE-5C143E782BD6}"/>
            </a:ext>
          </a:extLst>
        </xdr:cNvPr>
        <xdr:cNvSpPr/>
      </xdr:nvSpPr>
      <xdr:spPr>
        <a:xfrm rot="16200000">
          <a:off x="-403860" y="416052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CSV2</a:t>
          </a:r>
        </a:p>
      </xdr:txBody>
    </xdr:sp>
    <xdr:clientData/>
  </xdr:twoCellAnchor>
  <xdr:twoCellAnchor>
    <xdr:from>
      <xdr:col>0</xdr:col>
      <xdr:colOff>1</xdr:colOff>
      <xdr:row>9</xdr:row>
      <xdr:rowOff>22860</xdr:rowOff>
    </xdr:from>
    <xdr:to>
      <xdr:col>0</xdr:col>
      <xdr:colOff>327661</xdr:colOff>
      <xdr:row>17</xdr:row>
      <xdr:rowOff>68580</xdr:rowOff>
    </xdr:to>
    <xdr:sp macro="" textlink="">
      <xdr:nvSpPr>
        <xdr:cNvPr id="4" name="Diagrama de flujo: operación manual 3">
          <a:hlinkClick xmlns:r="http://schemas.openxmlformats.org/officeDocument/2006/relationships" r:id="rId2"/>
          <a:extLst>
            <a:ext uri="{FF2B5EF4-FFF2-40B4-BE49-F238E27FC236}">
              <a16:creationId xmlns:a16="http://schemas.microsoft.com/office/drawing/2014/main" id="{4297A713-6227-4B5D-A972-65206AB9DA48}"/>
            </a:ext>
          </a:extLst>
        </xdr:cNvPr>
        <xdr:cNvSpPr/>
      </xdr:nvSpPr>
      <xdr:spPr>
        <a:xfrm rot="16200000">
          <a:off x="-590549" y="2259330"/>
          <a:ext cx="150876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latin typeface="Arial" panose="020B0604020202020204" pitchFamily="34" charset="0"/>
              <a:cs typeface="Arial" panose="020B0604020202020204" pitchFamily="34" charset="0"/>
            </a:rPr>
            <a:t>DINAMICAS</a:t>
          </a:r>
        </a:p>
      </xdr:txBody>
    </xdr:sp>
    <xdr:clientData/>
  </xdr:twoCellAnchor>
  <xdr:twoCellAnchor>
    <xdr:from>
      <xdr:col>0</xdr:col>
      <xdr:colOff>0</xdr:colOff>
      <xdr:row>4</xdr:row>
      <xdr:rowOff>129540</xdr:rowOff>
    </xdr:from>
    <xdr:to>
      <xdr:col>0</xdr:col>
      <xdr:colOff>327660</xdr:colOff>
      <xdr:row>10</xdr:row>
      <xdr:rowOff>167640</xdr:rowOff>
    </xdr:to>
    <xdr:sp macro="" textlink="">
      <xdr:nvSpPr>
        <xdr:cNvPr id="5" name="Diagrama de flujo: operación manual 4">
          <a:hlinkClick xmlns:r="http://schemas.openxmlformats.org/officeDocument/2006/relationships" r:id="rId3"/>
          <a:extLst>
            <a:ext uri="{FF2B5EF4-FFF2-40B4-BE49-F238E27FC236}">
              <a16:creationId xmlns:a16="http://schemas.microsoft.com/office/drawing/2014/main" id="{03C70C71-32BE-4C4C-836F-F2737CB99BEF}"/>
            </a:ext>
          </a:extLst>
        </xdr:cNvPr>
        <xdr:cNvSpPr/>
      </xdr:nvSpPr>
      <xdr:spPr>
        <a:xfrm rot="16200000">
          <a:off x="-403860" y="126492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DATOS</a:t>
          </a:r>
        </a:p>
      </xdr:txBody>
    </xdr:sp>
    <xdr:clientData/>
  </xdr:twoCellAnchor>
  <xdr:twoCellAnchor>
    <xdr:from>
      <xdr:col>0</xdr:col>
      <xdr:colOff>0</xdr:colOff>
      <xdr:row>0</xdr:row>
      <xdr:rowOff>0</xdr:rowOff>
    </xdr:from>
    <xdr:to>
      <xdr:col>0</xdr:col>
      <xdr:colOff>327660</xdr:colOff>
      <xdr:row>6</xdr:row>
      <xdr:rowOff>38100</xdr:rowOff>
    </xdr:to>
    <xdr:sp macro="" textlink="">
      <xdr:nvSpPr>
        <xdr:cNvPr id="6" name="Diagrama de flujo: operación manual 5">
          <a:hlinkClick xmlns:r="http://schemas.openxmlformats.org/officeDocument/2006/relationships" r:id="rId4"/>
          <a:extLst>
            <a:ext uri="{FF2B5EF4-FFF2-40B4-BE49-F238E27FC236}">
              <a16:creationId xmlns:a16="http://schemas.microsoft.com/office/drawing/2014/main" id="{DAC5BA67-C149-4561-B86E-81BAD05DA1D5}"/>
            </a:ext>
          </a:extLst>
        </xdr:cNvPr>
        <xdr:cNvSpPr/>
      </xdr:nvSpPr>
      <xdr:spPr>
        <a:xfrm rot="16200000">
          <a:off x="-403860" y="403860"/>
          <a:ext cx="1135380" cy="327660"/>
        </a:xfrm>
        <a:prstGeom prst="flowChartManualOperation">
          <a:avLst/>
        </a:prstGeom>
        <a:solidFill>
          <a:schemeClr val="accent3">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MENÚ</a:t>
          </a:r>
        </a:p>
      </xdr:txBody>
    </xdr:sp>
    <xdr:clientData/>
  </xdr:twoCellAnchor>
  <xdr:twoCellAnchor>
    <xdr:from>
      <xdr:col>0</xdr:col>
      <xdr:colOff>1</xdr:colOff>
      <xdr:row>15</xdr:row>
      <xdr:rowOff>129540</xdr:rowOff>
    </xdr:from>
    <xdr:to>
      <xdr:col>0</xdr:col>
      <xdr:colOff>327661</xdr:colOff>
      <xdr:row>21</xdr:row>
      <xdr:rowOff>167640</xdr:rowOff>
    </xdr:to>
    <xdr:sp macro="" textlink="">
      <xdr:nvSpPr>
        <xdr:cNvPr id="3" name="Diagrama de flujo: operación manual 2">
          <a:hlinkClick xmlns:r="http://schemas.openxmlformats.org/officeDocument/2006/relationships" r:id="rId5"/>
          <a:extLst>
            <a:ext uri="{FF2B5EF4-FFF2-40B4-BE49-F238E27FC236}">
              <a16:creationId xmlns:a16="http://schemas.microsoft.com/office/drawing/2014/main" id="{7A978497-92D6-4F0E-905C-64D7A2788852}"/>
            </a:ext>
          </a:extLst>
        </xdr:cNvPr>
        <xdr:cNvSpPr/>
      </xdr:nvSpPr>
      <xdr:spPr>
        <a:xfrm rot="16200000">
          <a:off x="-403859" y="3276600"/>
          <a:ext cx="1135380" cy="327660"/>
        </a:xfrm>
        <a:prstGeom prst="flowChartManualOperation">
          <a:avLst/>
        </a:prstGeom>
        <a:solidFill>
          <a:schemeClr val="accent1"/>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CSV1</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15</xdr:row>
      <xdr:rowOff>129540</xdr:rowOff>
    </xdr:from>
    <xdr:to>
      <xdr:col>0</xdr:col>
      <xdr:colOff>327661</xdr:colOff>
      <xdr:row>21</xdr:row>
      <xdr:rowOff>167640</xdr:rowOff>
    </xdr:to>
    <xdr:sp macro="" textlink="">
      <xdr:nvSpPr>
        <xdr:cNvPr id="3" name="Diagrama de flujo: operación manual 2">
          <a:hlinkClick xmlns:r="http://schemas.openxmlformats.org/officeDocument/2006/relationships" r:id="rId1"/>
          <a:extLst>
            <a:ext uri="{FF2B5EF4-FFF2-40B4-BE49-F238E27FC236}">
              <a16:creationId xmlns:a16="http://schemas.microsoft.com/office/drawing/2014/main" id="{21C8F9C0-BAD7-4725-8B5C-E826EE5AB811}"/>
            </a:ext>
          </a:extLst>
        </xdr:cNvPr>
        <xdr:cNvSpPr/>
      </xdr:nvSpPr>
      <xdr:spPr>
        <a:xfrm rot="16200000">
          <a:off x="-403859" y="327660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CSV1</a:t>
          </a:r>
        </a:p>
      </xdr:txBody>
    </xdr:sp>
    <xdr:clientData/>
  </xdr:twoCellAnchor>
  <xdr:twoCellAnchor>
    <xdr:from>
      <xdr:col>0</xdr:col>
      <xdr:colOff>1</xdr:colOff>
      <xdr:row>9</xdr:row>
      <xdr:rowOff>22860</xdr:rowOff>
    </xdr:from>
    <xdr:to>
      <xdr:col>0</xdr:col>
      <xdr:colOff>327661</xdr:colOff>
      <xdr:row>17</xdr:row>
      <xdr:rowOff>68580</xdr:rowOff>
    </xdr:to>
    <xdr:sp macro="" textlink="">
      <xdr:nvSpPr>
        <xdr:cNvPr id="4" name="Diagrama de flujo: operación manual 3">
          <a:hlinkClick xmlns:r="http://schemas.openxmlformats.org/officeDocument/2006/relationships" r:id="rId2"/>
          <a:extLst>
            <a:ext uri="{FF2B5EF4-FFF2-40B4-BE49-F238E27FC236}">
              <a16:creationId xmlns:a16="http://schemas.microsoft.com/office/drawing/2014/main" id="{59EF4B2F-BE2F-4FB3-AB64-9F5E1A9F4317}"/>
            </a:ext>
          </a:extLst>
        </xdr:cNvPr>
        <xdr:cNvSpPr/>
      </xdr:nvSpPr>
      <xdr:spPr>
        <a:xfrm rot="16200000">
          <a:off x="-590549" y="2259330"/>
          <a:ext cx="150876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latin typeface="Arial" panose="020B0604020202020204" pitchFamily="34" charset="0"/>
              <a:cs typeface="Arial" panose="020B0604020202020204" pitchFamily="34" charset="0"/>
            </a:rPr>
            <a:t>DINAMICAS</a:t>
          </a:r>
        </a:p>
      </xdr:txBody>
    </xdr:sp>
    <xdr:clientData/>
  </xdr:twoCellAnchor>
  <xdr:twoCellAnchor>
    <xdr:from>
      <xdr:col>0</xdr:col>
      <xdr:colOff>0</xdr:colOff>
      <xdr:row>4</xdr:row>
      <xdr:rowOff>129540</xdr:rowOff>
    </xdr:from>
    <xdr:to>
      <xdr:col>0</xdr:col>
      <xdr:colOff>327660</xdr:colOff>
      <xdr:row>10</xdr:row>
      <xdr:rowOff>167640</xdr:rowOff>
    </xdr:to>
    <xdr:sp macro="" textlink="">
      <xdr:nvSpPr>
        <xdr:cNvPr id="5" name="Diagrama de flujo: operación manual 4">
          <a:hlinkClick xmlns:r="http://schemas.openxmlformats.org/officeDocument/2006/relationships" r:id="rId3"/>
          <a:extLst>
            <a:ext uri="{FF2B5EF4-FFF2-40B4-BE49-F238E27FC236}">
              <a16:creationId xmlns:a16="http://schemas.microsoft.com/office/drawing/2014/main" id="{685AE1EC-8B83-4CA5-9660-CCCB6E360C6B}"/>
            </a:ext>
          </a:extLst>
        </xdr:cNvPr>
        <xdr:cNvSpPr/>
      </xdr:nvSpPr>
      <xdr:spPr>
        <a:xfrm rot="16200000">
          <a:off x="-403860" y="1264920"/>
          <a:ext cx="1135380" cy="327660"/>
        </a:xfrm>
        <a:prstGeom prst="flowChartManualOperation">
          <a:avLst/>
        </a:prstGeom>
        <a:solidFill>
          <a:schemeClr val="accent1">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DATOS</a:t>
          </a:r>
        </a:p>
      </xdr:txBody>
    </xdr:sp>
    <xdr:clientData/>
  </xdr:twoCellAnchor>
  <xdr:twoCellAnchor>
    <xdr:from>
      <xdr:col>0</xdr:col>
      <xdr:colOff>0</xdr:colOff>
      <xdr:row>0</xdr:row>
      <xdr:rowOff>0</xdr:rowOff>
    </xdr:from>
    <xdr:to>
      <xdr:col>0</xdr:col>
      <xdr:colOff>327660</xdr:colOff>
      <xdr:row>6</xdr:row>
      <xdr:rowOff>38100</xdr:rowOff>
    </xdr:to>
    <xdr:sp macro="" textlink="">
      <xdr:nvSpPr>
        <xdr:cNvPr id="6" name="Diagrama de flujo: operación manual 5">
          <a:hlinkClick xmlns:r="http://schemas.openxmlformats.org/officeDocument/2006/relationships" r:id="rId4"/>
          <a:extLst>
            <a:ext uri="{FF2B5EF4-FFF2-40B4-BE49-F238E27FC236}">
              <a16:creationId xmlns:a16="http://schemas.microsoft.com/office/drawing/2014/main" id="{E5CBEDBF-D23C-4914-B631-A1BEF19A9FB7}"/>
            </a:ext>
          </a:extLst>
        </xdr:cNvPr>
        <xdr:cNvSpPr/>
      </xdr:nvSpPr>
      <xdr:spPr>
        <a:xfrm rot="16200000">
          <a:off x="-403860" y="403860"/>
          <a:ext cx="1135380" cy="327660"/>
        </a:xfrm>
        <a:prstGeom prst="flowChartManualOperation">
          <a:avLst/>
        </a:prstGeom>
        <a:solidFill>
          <a:schemeClr val="accent3">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MENÚ</a:t>
          </a:r>
        </a:p>
      </xdr:txBody>
    </xdr:sp>
    <xdr:clientData/>
  </xdr:twoCellAnchor>
  <xdr:twoCellAnchor>
    <xdr:from>
      <xdr:col>0</xdr:col>
      <xdr:colOff>0</xdr:colOff>
      <xdr:row>20</xdr:row>
      <xdr:rowOff>99060</xdr:rowOff>
    </xdr:from>
    <xdr:to>
      <xdr:col>0</xdr:col>
      <xdr:colOff>327660</xdr:colOff>
      <xdr:row>26</xdr:row>
      <xdr:rowOff>137160</xdr:rowOff>
    </xdr:to>
    <xdr:sp macro="" textlink="">
      <xdr:nvSpPr>
        <xdr:cNvPr id="2" name="Diagrama de flujo: operación manual 1">
          <a:hlinkClick xmlns:r="http://schemas.openxmlformats.org/officeDocument/2006/relationships" r:id="rId5"/>
          <a:extLst>
            <a:ext uri="{FF2B5EF4-FFF2-40B4-BE49-F238E27FC236}">
              <a16:creationId xmlns:a16="http://schemas.microsoft.com/office/drawing/2014/main" id="{DC2E4EDB-23EE-4844-8F41-F63319295BCC}"/>
            </a:ext>
          </a:extLst>
        </xdr:cNvPr>
        <xdr:cNvSpPr/>
      </xdr:nvSpPr>
      <xdr:spPr>
        <a:xfrm rot="16200000">
          <a:off x="-403860" y="4160520"/>
          <a:ext cx="1135380" cy="327660"/>
        </a:xfrm>
        <a:prstGeom prst="flowChartManualOperation">
          <a:avLst/>
        </a:prstGeom>
        <a:solidFill>
          <a:schemeClr val="accent1"/>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CSV2</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198120</xdr:colOff>
      <xdr:row>3</xdr:row>
      <xdr:rowOff>114300</xdr:rowOff>
    </xdr:from>
    <xdr:to>
      <xdr:col>13</xdr:col>
      <xdr:colOff>579120</xdr:colOff>
      <xdr:row>28</xdr:row>
      <xdr:rowOff>22860</xdr:rowOff>
    </xdr:to>
    <xdr:sp macro="" textlink="">
      <xdr:nvSpPr>
        <xdr:cNvPr id="2" name="CuadroTexto 1">
          <a:extLst>
            <a:ext uri="{FF2B5EF4-FFF2-40B4-BE49-F238E27FC236}">
              <a16:creationId xmlns:a16="http://schemas.microsoft.com/office/drawing/2014/main" id="{68B98BCF-76A6-9B44-F0C6-7CE3139FA95A}"/>
            </a:ext>
          </a:extLst>
        </xdr:cNvPr>
        <xdr:cNvSpPr txBox="1"/>
      </xdr:nvSpPr>
      <xdr:spPr>
        <a:xfrm>
          <a:off x="3368040" y="662940"/>
          <a:ext cx="7513320" cy="448056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e-DE" sz="1800" b="0" i="0" u="none" strike="noStrike">
              <a:solidFill>
                <a:schemeClr val="dk1"/>
              </a:solidFill>
              <a:effectLst/>
              <a:latin typeface="Arial" panose="020B0604020202020204" pitchFamily="34" charset="0"/>
              <a:ea typeface="+mn-ea"/>
              <a:cs typeface="Arial" panose="020B0604020202020204" pitchFamily="34" charset="0"/>
            </a:rPr>
            <a:t>El objetivo del DASHBOARD de estas bases de datos es visualizar la evolución de los accidentes aeronauticos. Iniciando el analisis en el año 1908, primeramente la información proporcionada es escueta ya que hablamos de los alvores de la aviación (1903 fue el primer vuelo de los hermanos Wright), por eso a los fines prácticos los datos recabados de accidentes desde 1908 a 1970 son tomados como un conjunto. </a:t>
          </a:r>
          <a:r>
            <a:rPr lang="de-DE" sz="1800">
              <a:latin typeface="Arial" panose="020B0604020202020204" pitchFamily="34" charset="0"/>
              <a:cs typeface="Arial" panose="020B0604020202020204" pitchFamily="34" charset="0"/>
            </a:rPr>
            <a:t> </a:t>
          </a:r>
        </a:p>
        <a:p>
          <a:r>
            <a:rPr lang="de-DE" sz="1800" baseline="0">
              <a:latin typeface="Arial" panose="020B0604020202020204" pitchFamily="34" charset="0"/>
              <a:cs typeface="Arial" panose="020B0604020202020204" pitchFamily="34" charset="0"/>
            </a:rPr>
            <a:t>Tener en cuenta dos hitos aeronauticos que han mejorado la seguridad operacional: la firma del convenio de chicago (año 1944) y la implementación del CRM (cockpit resourse managment) en la empresa aeronautica (año 1981).</a:t>
          </a:r>
        </a:p>
        <a:p>
          <a:endParaRPr lang="de-DE" sz="1800" b="0" i="0" u="none" strike="noStrike" baseline="0">
            <a:solidFill>
              <a:schemeClr val="dk1"/>
            </a:solidFill>
            <a:effectLst/>
            <a:latin typeface="Arial" panose="020B0604020202020204" pitchFamily="34" charset="0"/>
            <a:ea typeface="+mn-ea"/>
            <a:cs typeface="Arial" panose="020B0604020202020204" pitchFamily="34" charset="0"/>
          </a:endParaRPr>
        </a:p>
        <a:p>
          <a:r>
            <a:rPr lang="de-DE" sz="1800" b="0" i="0" u="none" strike="noStrike" baseline="0">
              <a:solidFill>
                <a:schemeClr val="dk1"/>
              </a:solidFill>
              <a:effectLst/>
              <a:latin typeface="Arial" panose="020B0604020202020204" pitchFamily="34" charset="0"/>
              <a:ea typeface="+mn-ea"/>
              <a:cs typeface="Arial" panose="020B0604020202020204" pitchFamily="34" charset="0"/>
            </a:rPr>
            <a:t>BIBLIOGRAFIA:</a:t>
          </a:r>
        </a:p>
        <a:p>
          <a:r>
            <a:rPr lang="de-DE" sz="1600" baseline="0">
              <a:solidFill>
                <a:schemeClr val="dk1"/>
              </a:solidFill>
              <a:latin typeface="Arial" panose="020B0604020202020204" pitchFamily="34" charset="0"/>
              <a:ea typeface="+mn-ea"/>
              <a:cs typeface="Arial" panose="020B0604020202020204" pitchFamily="34" charset="0"/>
            </a:rPr>
            <a:t>https://www.kaggle.com/datasets/saurograndi/airplane-crashes-since-1908 https://www.kaggle.com/datasets/ramjasmaurya/aviation-history19702021 </a:t>
          </a:r>
        </a:p>
      </xdr:txBody>
    </xdr:sp>
    <xdr:clientData/>
  </xdr:twoCellAnchor>
  <xdr:twoCellAnchor>
    <xdr:from>
      <xdr:col>0</xdr:col>
      <xdr:colOff>0</xdr:colOff>
      <xdr:row>0</xdr:row>
      <xdr:rowOff>0</xdr:rowOff>
    </xdr:from>
    <xdr:to>
      <xdr:col>0</xdr:col>
      <xdr:colOff>327660</xdr:colOff>
      <xdr:row>6</xdr:row>
      <xdr:rowOff>38100</xdr:rowOff>
    </xdr:to>
    <xdr:sp macro="" textlink="">
      <xdr:nvSpPr>
        <xdr:cNvPr id="3" name="Diagrama de flujo: operación manual 2">
          <a:hlinkClick xmlns:r="http://schemas.openxmlformats.org/officeDocument/2006/relationships" r:id="rId1"/>
          <a:extLst>
            <a:ext uri="{FF2B5EF4-FFF2-40B4-BE49-F238E27FC236}">
              <a16:creationId xmlns:a16="http://schemas.microsoft.com/office/drawing/2014/main" id="{B9AAC842-3507-468A-84D5-3EFA97F0A762}"/>
            </a:ext>
          </a:extLst>
        </xdr:cNvPr>
        <xdr:cNvSpPr/>
      </xdr:nvSpPr>
      <xdr:spPr>
        <a:xfrm rot="16200000">
          <a:off x="-403860" y="403860"/>
          <a:ext cx="1135380" cy="327660"/>
        </a:xfrm>
        <a:prstGeom prst="flowChartManualOperation">
          <a:avLst/>
        </a:prstGeom>
        <a:solidFill>
          <a:schemeClr val="bg2">
            <a:lumMod val="9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MENÚ</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327660</xdr:colOff>
      <xdr:row>4</xdr:row>
      <xdr:rowOff>60960</xdr:rowOff>
    </xdr:to>
    <xdr:sp macro="" textlink="">
      <xdr:nvSpPr>
        <xdr:cNvPr id="2" name="Diagrama de flujo: operación manual 1">
          <a:hlinkClick xmlns:r="http://schemas.openxmlformats.org/officeDocument/2006/relationships" r:id="rId1"/>
          <a:extLst>
            <a:ext uri="{FF2B5EF4-FFF2-40B4-BE49-F238E27FC236}">
              <a16:creationId xmlns:a16="http://schemas.microsoft.com/office/drawing/2014/main" id="{6CE78C4F-DC6C-4B81-986A-A4AEEA8FEF4B}"/>
            </a:ext>
          </a:extLst>
        </xdr:cNvPr>
        <xdr:cNvSpPr/>
      </xdr:nvSpPr>
      <xdr:spPr>
        <a:xfrm rot="16200000">
          <a:off x="-403860" y="403860"/>
          <a:ext cx="1135380" cy="327660"/>
        </a:xfrm>
        <a:prstGeom prst="flowChartManualOperation">
          <a:avLst/>
        </a:prstGeom>
        <a:solidFill>
          <a:schemeClr val="bg2">
            <a:lumMod val="9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100">
              <a:latin typeface="Arial" panose="020B0604020202020204" pitchFamily="34" charset="0"/>
              <a:cs typeface="Arial" panose="020B0604020202020204" pitchFamily="34" charset="0"/>
            </a:rPr>
            <a:t>MENÚ</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236220</xdr:colOff>
      <xdr:row>37</xdr:row>
      <xdr:rowOff>53340</xdr:rowOff>
    </xdr:from>
    <xdr:to>
      <xdr:col>4</xdr:col>
      <xdr:colOff>640080</xdr:colOff>
      <xdr:row>37</xdr:row>
      <xdr:rowOff>198120</xdr:rowOff>
    </xdr:to>
    <xdr:sp macro="" textlink="">
      <xdr:nvSpPr>
        <xdr:cNvPr id="2" name="Flecha: a la derecha 1">
          <a:extLst>
            <a:ext uri="{FF2B5EF4-FFF2-40B4-BE49-F238E27FC236}">
              <a16:creationId xmlns:a16="http://schemas.microsoft.com/office/drawing/2014/main" id="{08342E82-C7C7-1A08-B73F-776762495E02}"/>
            </a:ext>
          </a:extLst>
        </xdr:cNvPr>
        <xdr:cNvSpPr/>
      </xdr:nvSpPr>
      <xdr:spPr>
        <a:xfrm>
          <a:off x="1821180" y="8374380"/>
          <a:ext cx="403860" cy="1447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ias Eduardo Baldi" refreshedDate="44793.429776157405" createdVersion="8" refreshedVersion="8" minRefreshableVersion="3" recordCount="4963" xr:uid="{172B7A90-E1D2-4EDE-9484-D45827981A11}">
  <cacheSource type="worksheet">
    <worksheetSource name="Tabla1"/>
  </cacheSource>
  <cacheFields count="25">
    <cacheField name="No." numFmtId="0">
      <sharedItems containsSemiMixedTypes="0" containsString="0" containsNumber="1" containsInteger="1" minValue="1" maxValue="4966"/>
    </cacheField>
    <cacheField name="Date" numFmtId="14">
      <sharedItems containsSemiMixedTypes="0" containsNonDate="0" containsDate="1" containsString="0" minDate="1908-09-17T00:00:00" maxDate="2019-10-04T00:00:00" count="4535">
        <d v="1908-09-17T00:00:00"/>
        <d v="1909-07-09T00:00:00"/>
        <d v="1912-12-07T00:00:00"/>
        <d v="1913-06-08T00:00:00"/>
        <d v="1913-09-09T00:00:00"/>
        <d v="1913-10-17T00:00:00"/>
        <d v="1915-05-03T00:00:00"/>
        <d v="1915-03-09T00:00:00"/>
        <d v="1916-07-28T00:00:00"/>
        <d v="1916-09-24T00:00:00"/>
        <d v="1916-01-10T00:00:00"/>
        <d v="1916-11-21T00:00:00"/>
        <d v="1916-11-28T00:00:00"/>
        <d v="1917-04-03T00:00:00"/>
        <d v="1917-03-30T00:00:00"/>
        <d v="1917-05-14T00:00:00"/>
        <d v="1917-06-14T00:00:00"/>
        <d v="1917-06-17T00:00:00"/>
        <d v="1917-08-21T00:00:00"/>
        <d v="1917-10-20T00:00:00"/>
        <d v="1918-07-04T00:00:00"/>
        <d v="1918-10-05T00:00:00"/>
        <d v="1918-11-08T00:00:00"/>
        <d v="1918-12-16T00:00:00"/>
        <d v="1919-05-25T00:00:00"/>
        <d v="1919-07-19T00:00:00"/>
        <d v="1919-07-21T00:00:00"/>
        <d v="1919-02-08T00:00:00"/>
        <d v="1919-02-10T00:00:00"/>
        <d v="1919-10-14T00:00:00"/>
        <d v="1919-10-20T00:00:00"/>
        <d v="1919-10-30T00:00:00"/>
        <d v="1919-11-12T00:00:00"/>
        <d v="1920-10-03T00:00:00"/>
        <d v="1920-03-30T00:00:00"/>
        <d v="1920-10-04T00:00:00"/>
        <d v="1920-11-04T00:00:00"/>
        <d v="1920-12-05T00:00:00"/>
        <d v="1920-06-06T00:00:00"/>
        <d v="1920-07-20T00:00:00"/>
        <d v="1920-08-16T00:00:00"/>
        <d v="1920-01-09T00:00:00"/>
        <d v="1920-09-15T00:00:00"/>
        <d v="1920-09-27T00:00:00"/>
        <d v="1920-02-10T00:00:00"/>
        <d v="1920-05-10T00:00:00"/>
        <d v="1920-10-15T00:00:00"/>
        <d v="1920-07-11T00:00:00"/>
        <d v="1920-12-14T00:00:00"/>
        <d v="1920-12-24T00:00:00"/>
        <d v="1921-03-02T00:00:00"/>
        <d v="1921-09-02T00:00:00"/>
        <d v="1921-02-15T00:00:00"/>
        <d v="1921-02-22T00:00:00"/>
        <d v="1921-06-04T00:00:00"/>
        <d v="1921-04-21T00:00:00"/>
        <d v="1921-04-29T00:00:00"/>
        <d v="1921-05-17T00:00:00"/>
        <d v="1921-08-14T00:00:00"/>
        <d v="1921-08-24T00:00:00"/>
        <d v="1921-06-09T00:00:00"/>
        <d v="1921-05-12T00:00:00"/>
        <d v="1922-01-14T00:00:00"/>
        <d v="1922-02-21T00:00:00"/>
        <d v="1922-03-22T00:00:00"/>
        <d v="1922-07-04T00:00:00"/>
        <d v="1922-08-04T00:00:00"/>
        <d v="1922-03-06T00:00:00"/>
        <d v="1922-04-07T00:00:00"/>
        <d v="1922-07-16T00:00:00"/>
        <d v="1922-07-26T00:00:00"/>
        <d v="1922-07-09T00:00:00"/>
        <d v="1922-02-10T00:00:00"/>
        <d v="1922-10-25T00:00:00"/>
        <d v="1922-03-12T00:00:00"/>
        <d v="1923-10-01T00:00:00"/>
        <d v="1923-01-17T00:00:00"/>
        <d v="1923-01-18T00:00:00"/>
        <d v="1923-02-26T00:00:00"/>
        <d v="1923-05-14T00:00:00"/>
        <d v="1923-08-27T00:00:00"/>
        <d v="1923-07-09T00:00:00"/>
        <d v="1923-09-14T00:00:00"/>
        <d v="1923-11-18T00:00:00"/>
        <d v="1923-06-12T00:00:00"/>
        <d v="1923-12-23T00:00:00"/>
        <d v="1923-12-24T00:00:00"/>
        <d v="1924-07-03T00:00:00"/>
        <d v="1924-04-24T00:00:00"/>
        <d v="1924-08-06T00:00:00"/>
        <d v="1924-01-08T00:00:00"/>
        <d v="1924-06-11T00:00:00"/>
        <d v="1924-12-21T00:00:00"/>
        <d v="1924-12-24T00:00:00"/>
        <d v="1925-03-22T00:00:00"/>
        <d v="1925-04-25T00:00:00"/>
        <d v="1925-06-25T00:00:00"/>
        <d v="1925-06-26T00:00:00"/>
        <d v="1925-07-20T00:00:00"/>
        <d v="1925-07-24T00:00:00"/>
        <d v="1925-03-09T00:00:00"/>
        <d v="1925-07-09T00:00:00"/>
        <d v="1925-01-10T00:00:00"/>
        <d v="1925-11-14T00:00:00"/>
        <d v="1926-12-02T00:00:00"/>
        <d v="1926-08-03T00:00:00"/>
        <d v="1926-05-31T00:00:00"/>
        <d v="1926-03-07T00:00:00"/>
        <d v="1926-09-07T00:00:00"/>
        <d v="1926-07-24T00:00:00"/>
        <d v="1926-08-18T00:00:00"/>
        <d v="1926-09-26T00:00:00"/>
        <d v="1926-02-10T00:00:00"/>
        <d v="1926-08-10T00:00:00"/>
        <d v="1926-10-21T00:00:00"/>
        <d v="1926-11-11T00:00:00"/>
        <d v="1926-12-16T00:00:00"/>
        <d v="1927-12-01T00:00:00"/>
        <d v="1927-03-20T00:00:00"/>
        <d v="1927-03-24T00:00:00"/>
        <d v="1927-04-15T00:00:00"/>
        <d v="1927-04-22T00:00:00"/>
        <d v="1927-02-05T00:00:00"/>
        <d v="1927-07-27T00:00:00"/>
        <d v="1927-08-22T00:00:00"/>
        <d v="1927-03-09T00:00:00"/>
        <d v="1927-09-17T00:00:00"/>
        <d v="1927-09-23T00:00:00"/>
        <d v="1927-06-10T00:00:00"/>
        <d v="1927-10-30T00:00:00"/>
        <d v="1927-08-11T00:00:00"/>
        <d v="1927-11-16T00:00:00"/>
        <d v="1927-11-29T00:00:00"/>
        <d v="1927-12-28T00:00:00"/>
        <d v="1927-12-31T00:00:00"/>
        <d v="1928-08-01T00:00:00"/>
        <d v="1928-01-16T00:00:00"/>
        <d v="1928-01-22T00:00:00"/>
        <d v="1928-01-27T00:00:00"/>
        <d v="1928-02-26T00:00:00"/>
        <d v="1928-11-03T00:00:00"/>
        <d v="1928-04-17T00:00:00"/>
        <d v="1928-04-19T00:00:00"/>
        <d v="1928-07-05T00:00:00"/>
        <d v="1928-12-05T00:00:00"/>
        <d v="1928-05-26T00:00:00"/>
        <d v="1928-06-14T00:00:00"/>
        <d v="1928-06-22T00:00:00"/>
        <d v="1928-10-07T00:00:00"/>
        <d v="1928-07-13T00:00:00"/>
        <d v="1928-07-24T00:00:00"/>
        <d v="1928-08-25T00:00:00"/>
        <d v="1928-02-09T00:00:00"/>
        <d v="1928-04-09T00:00:00"/>
        <d v="1928-06-09T00:00:00"/>
        <d v="1928-04-10T00:00:00"/>
        <d v="1928-10-18T00:00:00"/>
        <d v="1928-10-31T00:00:00"/>
        <d v="1928-11-15T00:00:00"/>
        <d v="1928-11-24T00:00:00"/>
        <d v="1928-11-25T00:00:00"/>
        <d v="1928-01-12T00:00:00"/>
        <d v="1928-03-12T00:00:00"/>
        <d v="1928-10-12T00:00:00"/>
        <d v="1928-11-12T00:00:00"/>
        <d v="1928-12-20T00:00:00"/>
        <d v="1928-12-23T00:00:00"/>
        <d v="1928-12-31T00:00:00"/>
        <d v="1929-05-01T00:00:00"/>
        <d v="1929-01-18T00:00:00"/>
        <d v="1929-01-25T00:00:00"/>
        <d v="1929-01-31T00:00:00"/>
        <d v="1929-03-17T00:00:00"/>
        <d v="1929-03-30T00:00:00"/>
        <d v="1929-04-21T00:00:00"/>
        <d v="1929-09-05T00:00:00"/>
        <d v="1929-05-18T00:00:00"/>
        <d v="1929-05-22T00:00:00"/>
        <d v="1929-06-13T00:00:00"/>
        <d v="1929-06-14T00:00:00"/>
        <d v="1929-06-17T00:00:00"/>
        <d v="1929-06-24T00:00:00"/>
        <d v="1929-06-29T00:00:00"/>
        <d v="1929-11-08T00:00:00"/>
        <d v="1929-08-24T00:00:00"/>
        <d v="1929-02-09T00:00:00"/>
        <d v="1929-03-09T00:00:00"/>
        <d v="1929-06-09T00:00:00"/>
        <d v="1929-09-14T00:00:00"/>
        <d v="1929-09-17T00:00:00"/>
        <d v="1929-10-26T00:00:00"/>
        <d v="1929-10-29T00:00:00"/>
        <d v="1929-10-31T00:00:00"/>
        <d v="1929-04-11T00:00:00"/>
        <d v="1929-06-11T00:00:00"/>
        <d v="1929-11-16T00:00:00"/>
        <d v="1929-11-20T00:00:00"/>
        <d v="1929-11-30T00:00:00"/>
        <d v="1929-02-12T00:00:00"/>
        <d v="1929-12-19T00:00:00"/>
        <d v="1929-12-30T00:00:00"/>
        <d v="1930-10-01T00:00:00"/>
        <d v="1930-01-13T00:00:00"/>
        <d v="1930-01-19T00:00:00"/>
        <d v="1930-01-25T00:00:00"/>
        <d v="1930-01-27T00:00:00"/>
        <d v="1930-03-02T00:00:00"/>
        <d v="1930-10-02T00:00:00"/>
        <d v="1930-04-18T00:00:00"/>
        <d v="1930-10-05T00:00:00"/>
        <d v="1930-05-06T00:00:00"/>
        <d v="1930-07-07T00:00:00"/>
        <d v="1930-10-07T00:00:00"/>
        <d v="1930-07-21T00:00:00"/>
        <d v="1930-08-22T00:00:00"/>
        <d v="1930-11-09T00:00:00"/>
        <d v="1930-09-25T00:00:00"/>
        <d v="1930-05-10T00:00:00"/>
        <d v="1930-06-10T00:00:00"/>
        <d v="1930-12-10T00:00:00"/>
        <d v="1930-10-13T00:00:00"/>
        <d v="1930-10-28T00:00:00"/>
        <d v="1930-10-30T00:00:00"/>
        <d v="1930-07-11T00:00:00"/>
        <d v="1930-11-18T00:00:00"/>
        <d v="1930-09-12T00:00:00"/>
        <d v="1931-08-01T00:00:00"/>
        <d v="1931-01-22T00:00:00"/>
        <d v="1931-08-02T00:00:00"/>
        <d v="1931-02-20T00:00:00"/>
        <d v="1931-02-24T00:00:00"/>
        <d v="1931-03-21T00:00:00"/>
        <d v="1931-03-31T00:00:00"/>
        <d v="1931-04-14T00:00:00"/>
        <d v="1931-05-05T00:00:00"/>
        <d v="1931-05-22T00:00:00"/>
        <d v="1931-05-24T00:00:00"/>
        <d v="1931-07-06T00:00:00"/>
        <d v="1931-11-06T00:00:00"/>
        <d v="1931-06-13T00:00:00"/>
        <d v="1931-12-07T00:00:00"/>
        <d v="1931-07-14T00:00:00"/>
        <d v="1931-07-21T00:00:00"/>
        <d v="1931-07-24T00:00:00"/>
        <d v="1931-09-08T00:00:00"/>
        <d v="1931-09-14T00:00:00"/>
        <d v="1931-09-15T00:00:00"/>
        <d v="1931-09-16T00:00:00"/>
        <d v="1931-06-10T00:00:00"/>
        <d v="1931-10-14T00:00:00"/>
        <d v="1931-05-11T00:00:00"/>
        <d v="1931-11-13T00:00:00"/>
        <d v="1931-11-23T00:00:00"/>
        <d v="1931-11-24T00:00:00"/>
        <d v="1931-11-26T00:00:00"/>
        <d v="1931-05-12T00:00:00"/>
        <d v="1931-06-12T00:00:00"/>
        <d v="1931-09-12T00:00:00"/>
        <d v="1931-12-31T00:00:00"/>
        <d v="1932-01-21T00:00:00"/>
        <d v="1932-01-29T00:00:00"/>
        <d v="1932-01-02T00:00:00"/>
        <d v="1932-02-02T00:00:00"/>
        <d v="1932-02-27T00:00:00"/>
        <d v="1932-08-03T00:00:00"/>
        <d v="1932-03-19T00:00:00"/>
        <d v="1932-03-21T00:00:00"/>
        <d v="1932-03-29T00:00:00"/>
        <d v="1932-03-31T00:00:00"/>
        <d v="1932-04-21T00:00:00"/>
        <d v="1932-05-16T00:00:00"/>
        <d v="1932-05-30T00:00:00"/>
        <d v="1932-07-16T00:00:00"/>
        <d v="1932-12-08T00:00:00"/>
        <d v="1932-08-31T00:00:00"/>
        <d v="1932-08-09T00:00:00"/>
        <d v="1932-09-17T00:00:00"/>
        <d v="1932-09-18T00:00:00"/>
        <d v="1932-12-10T00:00:00"/>
        <d v="1932-10-26T00:00:00"/>
        <d v="1932-10-29T00:00:00"/>
        <d v="1932-02-11T00:00:00"/>
        <d v="1932-11-25T00:00:00"/>
        <d v="1932-12-14T00:00:00"/>
        <d v="1932-12-26T00:00:00"/>
        <d v="1933-10-01T00:00:00"/>
        <d v="1933-01-14T00:00:00"/>
        <d v="1933-01-20T00:00:00"/>
        <d v="1933-01-24T00:00:00"/>
        <d v="1933-11-03T00:00:00"/>
        <d v="1933-03-25T00:00:00"/>
        <d v="1933-03-28T00:00:00"/>
        <d v="1933-03-04T00:00:00"/>
        <d v="1933-04-04T00:00:00"/>
        <d v="1933-04-23T00:00:00"/>
        <d v="1933-04-29T00:00:00"/>
        <d v="1933-09-05T00:00:00"/>
        <d v="1933-04-06T00:00:00"/>
        <d v="1933-11-06T00:00:00"/>
        <d v="1933-07-18T00:00:00"/>
        <d v="1933-08-29T00:00:00"/>
        <d v="1933-12-09T00:00:00"/>
        <d v="1933-10-10T00:00:00"/>
        <d v="1933-10-31T00:00:00"/>
        <d v="1933-09-11T00:00:00"/>
        <d v="1933-10-11T00:00:00"/>
        <d v="1933-11-20T00:00:00"/>
        <d v="1933-11-21T00:00:00"/>
        <d v="1933-11-24T00:00:00"/>
        <d v="1933-11-12T00:00:00"/>
        <d v="1933-12-14T00:00:00"/>
        <d v="1933-12-30T00:00:00"/>
        <d v="1934-01-15T00:00:00"/>
        <d v="1934-01-20T00:00:00"/>
        <d v="1934-02-23T00:00:00"/>
        <d v="1934-02-26T00:00:00"/>
        <d v="1934-06-03T00:00:00"/>
        <d v="1934-10-03T00:00:00"/>
        <d v="1934-03-22T00:00:00"/>
        <d v="1934-10-04T00:00:00"/>
        <d v="1934-09-05T00:00:00"/>
        <d v="1934-05-31T00:00:00"/>
        <d v="1934-09-06T00:00:00"/>
        <d v="1934-11-06T00:00:00"/>
        <d v="1934-06-22T00:00:00"/>
        <d v="1934-06-23T00:00:00"/>
        <d v="1934-09-07T00:00:00"/>
        <d v="1934-07-27T00:00:00"/>
        <d v="1934-05-08T00:00:00"/>
        <d v="1934-10-08T00:00:00"/>
        <d v="1934-08-31T00:00:00"/>
        <d v="1934-02-10T00:00:00"/>
        <d v="1934-03-10T00:00:00"/>
        <d v="1934-10-19T00:00:00"/>
        <d v="1934-02-11T00:00:00"/>
        <d v="1934-11-15T00:00:00"/>
        <d v="1934-07-12T00:00:00"/>
        <d v="1934-08-12T00:00:00"/>
        <d v="1934-10-12T00:00:00"/>
        <d v="1934-12-20T00:00:00"/>
        <d v="1934-12-22T00:00:00"/>
        <d v="1934-12-31T00:00:00"/>
        <d v="1935-08-01T00:00:00"/>
        <d v="1935-01-26T00:00:00"/>
        <d v="1935-01-31T00:00:00"/>
        <d v="1935-07-03T00:00:00"/>
        <d v="1935-03-15T00:00:00"/>
        <d v="1935-03-29T00:00:00"/>
        <d v="1935-01-04T00:00:00"/>
        <d v="1935-06-04T00:00:00"/>
        <d v="1935-01-05T00:00:00"/>
        <d v="1935-06-05T00:00:00"/>
        <d v="1935-05-18T00:00:00"/>
        <d v="1935-05-27T00:00:00"/>
        <d v="1935-05-28T00:00:00"/>
        <d v="1935-05-29T00:00:00"/>
        <d v="1935-06-24T00:00:00"/>
        <d v="1935-07-14T00:00:00"/>
        <d v="1935-07-19T00:00:00"/>
        <d v="1935-07-20T00:00:00"/>
        <d v="1935-07-23T00:00:00"/>
        <d v="1935-07-28T00:00:00"/>
        <d v="1935-07-08T00:00:00"/>
        <d v="1935-08-13T00:00:00"/>
        <d v="1935-08-14T00:00:00"/>
        <d v="1935-08-15T00:00:00"/>
        <d v="1935-01-09T00:00:00"/>
        <d v="1935-09-13T00:00:00"/>
        <d v="1935-02-10T00:00:00"/>
        <d v="1935-07-10T00:00:00"/>
        <d v="1935-09-10T00:00:00"/>
        <d v="1935-10-21T00:00:00"/>
        <d v="1935-10-30T00:00:00"/>
        <d v="1935-02-11T00:00:00"/>
        <d v="1935-09-11T00:00:00"/>
        <d v="1935-11-11T00:00:00"/>
        <d v="1935-04-12T00:00:00"/>
        <d v="1935-10-12T00:00:00"/>
        <d v="1935-12-24T00:00:00"/>
        <d v="1935-12-31T00:00:00"/>
        <d v="1936-01-14T00:00:00"/>
        <d v="1936-01-17T00:00:00"/>
        <d v="1936-01-21T00:00:00"/>
        <d v="1936-01-29T00:00:00"/>
        <d v="1936-10-02T00:00:00"/>
        <d v="1936-02-15T00:00:00"/>
        <d v="1936-05-03T00:00:00"/>
        <d v="1936-03-14T00:00:00"/>
        <d v="1936-03-26T00:00:00"/>
        <d v="1936-01-04T00:00:00"/>
        <d v="1936-07-04T00:00:00"/>
        <d v="1936-11-04T00:00:00"/>
        <d v="1936-04-15T00:00:00"/>
        <d v="1936-04-17T00:00:00"/>
        <d v="1936-04-21T00:00:00"/>
        <d v="1936-04-30T00:00:00"/>
        <d v="1936-05-16T00:00:00"/>
        <d v="1936-09-06T00:00:00"/>
        <d v="1936-06-13T00:00:00"/>
        <d v="1936-06-16T00:00:00"/>
        <d v="1936-07-15T00:00:00"/>
        <d v="1936-07-28T00:00:00"/>
        <d v="1936-07-31T00:00:00"/>
        <d v="1936-02-08T00:00:00"/>
        <d v="1936-03-08T00:00:00"/>
        <d v="1936-05-08T00:00:00"/>
        <d v="1936-06-08T00:00:00"/>
        <d v="1936-12-08T00:00:00"/>
        <d v="1936-08-22T00:00:00"/>
        <d v="1936-05-09T00:00:00"/>
        <d v="1936-09-25T00:00:00"/>
        <d v="1936-09-28T00:00:00"/>
        <d v="1936-09-29T00:00:00"/>
        <d v="1936-06-10T00:00:00"/>
        <d v="1936-09-10T00:00:00"/>
        <d v="1936-01-11T00:00:00"/>
        <d v="1936-11-17T00:00:00"/>
        <d v="1936-11-19T00:00:00"/>
        <d v="1936-04-12T00:00:00"/>
        <d v="1936-06-12T00:00:00"/>
        <d v="1936-07-12T00:00:00"/>
        <d v="1936-09-12T00:00:00"/>
        <d v="1936-12-15T00:00:00"/>
        <d v="1936-12-18T00:00:00"/>
        <d v="1936-12-19T00:00:00"/>
        <d v="1936-12-23T00:00:00"/>
        <d v="1936-12-26T00:00:00"/>
        <d v="1936-12-27T00:00:00"/>
        <d v="1937-11-01T00:00:00"/>
        <d v="1937-12-01T00:00:00"/>
        <d v="1937-01-26T00:00:00"/>
        <d v="1937-09-02T00:00:00"/>
        <d v="1937-02-19T00:00:00"/>
        <d v="1937-12-03T00:00:00"/>
        <d v="1937-03-24T00:00:00"/>
        <d v="1937-03-25T00:00:00"/>
        <d v="1937-03-26T00:00:00"/>
        <d v="1937-06-05T00:00:00"/>
        <d v="1937-05-20T00:00:00"/>
        <d v="1937-02-06T00:00:00"/>
        <d v="1937-02-07T00:00:00"/>
        <d v="1937-07-28T00:00:00"/>
        <d v="1937-02-08T00:00:00"/>
        <d v="1937-03-08T00:00:00"/>
        <d v="1937-06-08T00:00:00"/>
        <d v="1937-08-08T00:00:00"/>
        <d v="1937-10-08T00:00:00"/>
        <d v="1937-08-23T00:00:00"/>
        <d v="1937-08-27T00:00:00"/>
        <d v="1937-01-10T00:00:00"/>
        <d v="1937-06-10T00:00:00"/>
        <d v="1937-10-17T00:00:00"/>
        <d v="1937-10-26T00:00:00"/>
        <d v="1937-12-11T00:00:00"/>
        <d v="1937-11-16T00:00:00"/>
        <d v="1937-11-26T00:00:00"/>
        <d v="1937-04-12T00:00:00"/>
        <d v="1937-05-12T00:00:00"/>
        <d v="1937-08-12T00:00:00"/>
        <d v="1937-12-24T00:00:00"/>
        <d v="1938-04-01T00:00:00"/>
        <d v="1938-10-01T00:00:00"/>
        <d v="1938-11-01T00:00:00"/>
        <d v="1938-12-01T00:00:00"/>
        <d v="1938-02-02T00:00:00"/>
        <d v="1938-05-02T00:00:00"/>
        <d v="1938-09-02T00:00:00"/>
        <d v="1938-02-13T00:00:00"/>
        <d v="1938-02-22T00:00:00"/>
        <d v="1938-01-03T00:00:00"/>
        <d v="1938-07-03T00:00:00"/>
        <d v="1938-08-03T00:00:00"/>
        <d v="1938-03-23T00:00:00"/>
        <d v="1938-04-30T00:00:00"/>
        <d v="1938-05-05T00:00:00"/>
        <d v="1938-10-05T00:00:00"/>
        <d v="1938-05-16T00:00:00"/>
        <d v="1938-05-22T00:00:00"/>
        <d v="1938-05-24T00:00:00"/>
        <d v="1938-05-27T00:00:00"/>
        <d v="1938-08-06T00:00:00"/>
        <d v="1938-06-19T00:00:00"/>
        <d v="1938-08-07T00:00:00"/>
        <d v="1938-07-14T00:00:00"/>
        <d v="1938-07-19T00:00:00"/>
        <d v="1938-07-22T00:00:00"/>
        <d v="1938-07-27T00:00:00"/>
        <d v="1938-07-29T00:00:00"/>
        <d v="1938-10-08T00:00:00"/>
        <d v="1938-12-08T00:00:00"/>
        <d v="1938-08-13T00:00:00"/>
        <d v="1938-08-15T00:00:00"/>
        <d v="1938-08-18T00:00:00"/>
        <d v="1938-08-24T00:00:00"/>
        <d v="1938-08-29T00:00:00"/>
        <d v="1938-01-10T00:00:00"/>
        <d v="1938-10-10T00:00:00"/>
        <d v="1938-10-25T00:00:00"/>
        <d v="1938-02-11T00:00:00"/>
        <d v="1938-04-11T00:00:00"/>
        <d v="1938-11-14T00:00:00"/>
        <d v="1938-11-18T00:00:00"/>
        <d v="1938-11-26T00:00:00"/>
        <d v="1938-11-27T00:00:00"/>
        <d v="1938-11-29T00:00:00"/>
        <d v="1938-02-12T00:00:00"/>
        <d v="1938-08-12T00:00:00"/>
        <d v="1938-09-12T00:00:00"/>
        <d v="1938-12-12T00:00:00"/>
        <d v="1939-07-01T00:00:00"/>
        <d v="1939-01-13T00:00:00"/>
        <d v="1939-01-18T00:00:00"/>
        <d v="1939-01-21T00:00:00"/>
        <d v="1939-12-02T00:00:00"/>
        <d v="1939-02-24T00:00:00"/>
        <d v="1939-03-14T00:00:00"/>
        <d v="1939-03-16T00:00:00"/>
        <d v="1939-03-18T00:00:00"/>
        <d v="1939-03-26T00:00:00"/>
        <d v="1939-03-04T00:00:00"/>
        <d v="1939-01-05T00:00:00"/>
        <d v="1939-02-05T00:00:00"/>
        <d v="1939-08-05T00:00:00"/>
        <d v="1939-06-06T00:00:00"/>
        <d v="1939-10-06T00:00:00"/>
        <d v="1939-06-20T00:00:00"/>
        <d v="1939-07-20T00:00:00"/>
        <d v="1939-04-08T00:00:00"/>
        <d v="1939-08-13T00:00:00"/>
        <d v="1939-08-15T00:00:00"/>
        <d v="1939-08-28T00:00:00"/>
        <d v="1939-08-30T00:00:00"/>
        <d v="1939-09-26T00:00:00"/>
        <d v="1939-10-10T00:00:00"/>
        <d v="1939-11-20T00:00:00"/>
        <d v="1939-12-18T00:00:00"/>
        <d v="1939-12-21T00:00:00"/>
        <d v="1939-12-24T00:00:00"/>
        <d v="1940-01-22T00:00:00"/>
        <d v="1940-10-02T00:00:00"/>
        <d v="1940-02-27T00:00:00"/>
        <d v="1940-01-03T00:00:00"/>
        <d v="1940-03-16T00:00:00"/>
        <d v="1940-04-22T00:00:00"/>
        <d v="1940-02-06T00:00:00"/>
        <d v="1940-06-14T00:00:00"/>
        <d v="1940-06-20T00:00:00"/>
        <d v="1940-07-07T00:00:00"/>
        <d v="1940-09-08T00:00:00"/>
        <d v="1940-08-13T00:00:00"/>
        <d v="1940-08-22T00:00:00"/>
        <d v="1940-08-23T00:00:00"/>
        <d v="1940-08-31T00:00:00"/>
        <d v="1940-10-22T00:00:00"/>
        <d v="1940-10-29T00:00:00"/>
        <d v="1940-04-11T00:00:00"/>
        <d v="1940-08-11T00:00:00"/>
        <d v="1940-11-27T00:00:00"/>
        <d v="1940-04-12T00:00:00"/>
        <d v="1940-12-24T00:00:00"/>
        <d v="1941-10-01T00:00:00"/>
        <d v="1941-01-15T00:00:00"/>
        <d v="1941-01-17T00:00:00"/>
        <d v="1941-01-20T00:00:00"/>
        <d v="1941-01-23T00:00:00"/>
        <d v="1941-06-02T00:00:00"/>
        <d v="1941-02-26T00:00:00"/>
        <d v="1941-01-03T00:00:00"/>
        <d v="1941-03-28T00:00:00"/>
        <d v="1941-03-06T00:00:00"/>
        <d v="1941-06-18T00:00:00"/>
        <d v="1941-06-21T00:00:00"/>
        <d v="1941-07-30T00:00:00"/>
        <d v="1941-10-08T00:00:00"/>
        <d v="1941-08-14T00:00:00"/>
        <d v="1941-08-18T00:00:00"/>
        <d v="1941-08-27T00:00:00"/>
        <d v="1941-01-09T00:00:00"/>
        <d v="1941-03-10T00:00:00"/>
        <d v="1941-10-28T00:00:00"/>
        <d v="1941-10-30T00:00:00"/>
        <d v="1941-11-29T00:00:00"/>
        <d v="1941-11-12T00:00:00"/>
        <d v="1941-12-26T00:00:00"/>
        <d v="1941-12-29T00:00:00"/>
        <d v="1942-01-16T00:00:00"/>
        <d v="1942-01-20T00:00:00"/>
        <d v="1942-01-26T00:00:00"/>
        <d v="1942-01-30T00:00:00"/>
        <d v="1942-02-15T00:00:00"/>
        <d v="1942-02-19T00:00:00"/>
        <d v="1942-02-20T00:00:00"/>
        <d v="1942-02-28T00:00:00"/>
        <d v="1942-03-03T00:00:00"/>
        <d v="1942-03-14T00:00:00"/>
        <d v="1942-04-21T00:00:00"/>
        <d v="1942-01-05T00:00:00"/>
        <d v="1942-12-05T00:00:00"/>
        <d v="1942-05-19T00:00:00"/>
        <d v="1942-01-07T00:00:00"/>
        <d v="1942-07-07T00:00:00"/>
        <d v="1942-07-20T00:00:00"/>
        <d v="1942-08-13T00:00:00"/>
        <d v="1942-08-21T00:00:00"/>
        <d v="1942-08-22T00:00:00"/>
        <d v="1942-08-23T00:00:00"/>
        <d v="1942-09-24T00:00:00"/>
        <d v="1942-09-27T00:00:00"/>
        <d v="1942-09-28T00:00:00"/>
        <d v="1942-01-10T00:00:00"/>
        <d v="1942-03-10T00:00:00"/>
        <d v="1942-10-22T00:00:00"/>
        <d v="1942-10-23T00:00:00"/>
        <d v="1942-10-24T00:00:00"/>
        <d v="1942-10-30T00:00:00"/>
        <d v="1942-11-17T00:00:00"/>
        <d v="1942-12-12T00:00:00"/>
        <d v="1942-12-15T00:00:00"/>
        <d v="1942-12-19T00:00:00"/>
        <d v="1942-12-20T00:00:00"/>
        <d v="1943-09-01T00:00:00"/>
        <d v="1943-01-15T00:00:00"/>
        <d v="1943-01-18T00:00:00"/>
        <d v="1943-01-21T00:00:00"/>
        <d v="1943-01-22T00:00:00"/>
        <d v="1943-09-02T00:00:00"/>
        <d v="1943-02-18T00:00:00"/>
        <d v="1943-02-22T00:00:00"/>
        <d v="1943-11-03T00:00:00"/>
        <d v="1943-03-13T00:00:00"/>
        <d v="1943-03-27T00:00:00"/>
        <d v="1943-04-04T00:00:00"/>
        <d v="1943-04-22T00:00:00"/>
        <d v="1943-01-06T00:00:00"/>
        <d v="1943-07-06T00:00:00"/>
        <d v="1943-08-06T00:00:00"/>
        <d v="1943-06-14T00:00:00"/>
        <d v="1943-06-16T00:00:00"/>
        <d v="1943-06-30T00:00:00"/>
        <d v="1943-04-07T00:00:00"/>
        <d v="1943-07-28T00:00:00"/>
        <d v="1943-01-08T00:00:00"/>
        <d v="1943-07-08T00:00:00"/>
        <d v="1943-11-08T00:00:00"/>
        <d v="1943-08-14T00:00:00"/>
        <d v="1943-08-27T00:00:00"/>
        <d v="1943-10-09T00:00:00"/>
        <d v="1943-09-20T00:00:00"/>
        <d v="1943-09-22T00:00:00"/>
        <d v="1943-10-15T00:00:00"/>
        <d v="1943-10-19T00:00:00"/>
        <d v="1943-10-22T00:00:00"/>
        <d v="1943-05-11T00:00:00"/>
        <d v="1943-08-11T00:00:00"/>
        <d v="1943-11-19T00:00:00"/>
        <d v="1943-11-26T00:00:00"/>
        <d v="1943-12-17T00:00:00"/>
        <d v="1943-12-18T00:00:00"/>
        <d v="1943-12-19T00:00:00"/>
        <d v="1943-12-29T00:00:00"/>
        <d v="1944-01-15T00:00:00"/>
        <d v="1944-10-02T00:00:00"/>
        <d v="1944-02-20T00:00:00"/>
        <d v="1944-02-21T00:00:00"/>
        <d v="1944-03-22T00:00:00"/>
        <d v="1944-06-04T00:00:00"/>
        <d v="1944-04-17T00:00:00"/>
        <d v="1944-04-21T00:00:00"/>
        <d v="1944-04-25T00:00:00"/>
        <d v="1944-05-26T00:00:00"/>
        <d v="1944-05-27T00:00:00"/>
        <d v="1944-06-06T00:00:00"/>
        <d v="1944-08-06T00:00:00"/>
        <d v="1944-06-18T00:00:00"/>
        <d v="1944-06-20T00:00:00"/>
        <d v="1944-11-07T00:00:00"/>
        <d v="1944-07-23T00:00:00"/>
        <d v="1944-07-26T00:00:00"/>
        <d v="1944-07-27T00:00:00"/>
        <d v="1944-07-31T00:00:00"/>
        <d v="1944-03-08T00:00:00"/>
        <d v="1944-08-08T00:00:00"/>
        <d v="1944-12-08T00:00:00"/>
        <d v="1944-08-23T00:00:00"/>
        <d v="1944-08-28T00:00:00"/>
        <d v="1944-08-29T00:00:00"/>
        <d v="1944-08-30T00:00:00"/>
        <d v="1944-02-09T00:00:00"/>
        <d v="1944-07-09T00:00:00"/>
        <d v="1944-09-17T00:00:00"/>
        <d v="1944-09-18T00:00:00"/>
        <d v="1944-09-21T00:00:00"/>
        <d v="1944-09-27T00:00:00"/>
        <d v="1944-07-10T00:00:00"/>
        <d v="1944-10-10T00:00:00"/>
        <d v="1944-11-10T00:00:00"/>
        <d v="1944-10-16T00:00:00"/>
        <d v="1944-10-17T00:00:00"/>
        <d v="1944-10-18T00:00:00"/>
        <d v="1944-04-11T00:00:00"/>
        <d v="1944-06-11T00:00:00"/>
        <d v="1944-09-11T00:00:00"/>
        <d v="1944-10-11T00:00:00"/>
        <d v="1944-11-19T00:00:00"/>
        <d v="1944-11-29T00:00:00"/>
        <d v="1944-11-30T00:00:00"/>
        <d v="1944-01-12T00:00:00"/>
        <d v="1944-03-12T00:00:00"/>
        <d v="1944-07-12T00:00:00"/>
        <d v="1944-12-15T00:00:00"/>
        <d v="1945-06-01T00:00:00"/>
        <d v="1945-08-01T00:00:00"/>
        <d v="1945-10-01T00:00:00"/>
        <d v="1945-01-14T00:00:00"/>
        <d v="1945-01-16T00:00:00"/>
        <d v="1945-01-23T00:00:00"/>
        <d v="1945-01-31T00:00:00"/>
        <d v="1945-02-02T00:00:00"/>
        <d v="1945-06-02T00:00:00"/>
        <d v="1945-02-13T00:00:00"/>
        <d v="1945-02-15T00:00:00"/>
        <d v="1945-02-23T00:00:00"/>
        <d v="1945-03-27T00:00:00"/>
        <d v="1945-09-04T00:00:00"/>
        <d v="1945-04-14T00:00:00"/>
        <d v="1945-04-19T00:00:00"/>
        <d v="1945-04-20T00:00:00"/>
        <d v="1945-04-21T00:00:00"/>
        <d v="1945-04-23T00:00:00"/>
        <d v="1945-04-27T00:00:00"/>
        <d v="1945-05-05T00:00:00"/>
        <d v="1945-06-05T00:00:00"/>
        <d v="1945-09-05T00:00:00"/>
        <d v="1945-05-13T00:00:00"/>
        <d v="1945-05-30T00:00:00"/>
        <d v="1945-06-15T00:00:00"/>
        <d v="1945-06-24T00:00:00"/>
        <d v="1945-06-25T00:00:00"/>
        <d v="1945-06-29T00:00:00"/>
        <d v="1945-06-30T00:00:00"/>
        <d v="1945-04-07T00:00:00"/>
        <d v="1945-11-07T00:00:00"/>
        <d v="1945-12-07T00:00:00"/>
        <d v="1945-07-28T00:00:00"/>
        <d v="1945-01-08T00:00:00"/>
        <d v="1945-03-08T00:00:00"/>
        <d v="1945-11-08T00:00:00"/>
        <d v="1945-07-09T00:00:00"/>
        <d v="1945-11-09T00:00:00"/>
        <d v="1945-09-15T00:00:00"/>
        <d v="1945-09-18T00:00:00"/>
        <d v="1945-09-28T00:00:00"/>
        <d v="1945-05-10T00:00:00"/>
        <d v="1945-07-10T00:00:00"/>
        <d v="1945-10-13T00:00:00"/>
        <d v="1945-10-16T00:00:00"/>
        <d v="1945-10-20T00:00:00"/>
        <d v="1945-10-23T00:00:00"/>
        <d v="1945-10-24T00:00:00"/>
        <d v="1945-10-30T00:00:00"/>
        <d v="1945-01-11T00:00:00"/>
        <d v="1945-03-11T00:00:00"/>
        <d v="1945-07-11T00:00:00"/>
        <d v="1945-08-11T00:00:00"/>
        <d v="1945-09-11T00:00:00"/>
        <d v="1945-11-11T00:00:00"/>
        <d v="1945-11-13T00:00:00"/>
        <d v="1945-11-15T00:00:00"/>
        <d v="1945-11-22T00:00:00"/>
        <d v="1945-03-12T00:00:00"/>
        <d v="1945-05-12T00:00:00"/>
        <d v="1945-08-12T00:00:00"/>
        <d v="1945-12-18T00:00:00"/>
        <d v="1945-12-25T00:00:00"/>
        <d v="1945-12-30T00:00:00"/>
        <d v="1946-06-01T00:00:00"/>
        <d v="1946-09-01T00:00:00"/>
        <d v="1946-01-14T00:00:00"/>
        <d v="1946-01-15T00:00:00"/>
        <d v="1946-01-18T00:00:00"/>
        <d v="1946-01-19T00:00:00"/>
        <d v="1946-01-30T00:00:00"/>
        <d v="1946-01-31T00:00:00"/>
        <d v="1946-05-02T00:00:00"/>
        <d v="1946-02-21T00:00:00"/>
        <d v="1946-03-03T00:00:00"/>
        <d v="1946-05-03T00:00:00"/>
        <d v="1946-10-03T00:00:00"/>
        <d v="1946-03-17T00:00:00"/>
        <d v="1946-03-18T00:00:00"/>
        <d v="1946-03-19T00:00:00"/>
        <d v="1946-03-23T00:00:00"/>
        <d v="1946-01-04T00:00:00"/>
        <d v="1946-05-04T00:00:00"/>
        <d v="1946-08-04T00:00:00"/>
        <d v="1946-04-22T00:00:00"/>
        <d v="1946-04-30T00:00:00"/>
        <d v="1946-10-05T00:00:00"/>
        <d v="1946-05-16T00:00:00"/>
        <d v="1946-05-22T00:00:00"/>
        <d v="1946-01-06T00:00:00"/>
        <d v="1946-09-06T00:00:00"/>
        <d v="1946-06-29T00:00:00"/>
        <d v="1946-09-07T00:00:00"/>
        <d v="1946-11-07T00:00:00"/>
        <d v="1946-07-13T00:00:00"/>
        <d v="1946-07-17T00:00:00"/>
        <d v="1946-07-18T00:00:00"/>
        <d v="1946-07-20T00:00:00"/>
        <d v="1946-07-25T00:00:00"/>
        <d v="1946-07-26T00:00:00"/>
        <d v="1946-07-08T00:00:00"/>
        <d v="1946-09-08T00:00:00"/>
        <d v="1946-08-14T00:00:00"/>
        <d v="1946-08-20T00:00:00"/>
        <d v="1946-08-21T00:00:00"/>
        <d v="1946-08-24T00:00:00"/>
        <d v="1946-08-31T00:00:00"/>
        <d v="1946-03-09T00:00:00"/>
        <d v="1946-04-09T00:00:00"/>
        <d v="1946-05-09T00:00:00"/>
        <d v="1946-07-09T00:00:00"/>
        <d v="1946-09-15T00:00:00"/>
        <d v="1946-09-17T00:00:00"/>
        <d v="1946-09-18T00:00:00"/>
        <d v="1946-09-19T00:00:00"/>
        <d v="1946-09-20T00:00:00"/>
        <d v="1946-09-25T00:00:00"/>
        <d v="1946-09-27T00:00:00"/>
        <d v="1946-03-10T00:00:00"/>
        <d v="1946-06-10T00:00:00"/>
        <d v="1946-07-10T00:00:00"/>
        <d v="1946-08-10T00:00:00"/>
        <d v="1946-10-10T00:00:00"/>
        <d v="1946-10-17T00:00:00"/>
        <d v="1946-10-23T00:00:00"/>
        <d v="1946-01-11T00:00:00"/>
        <d v="1946-05-11T00:00:00"/>
        <d v="1946-11-11T00:00:00"/>
        <d v="1946-11-13T00:00:00"/>
        <d v="1946-11-14T00:00:00"/>
        <d v="1946-11-16T00:00:00"/>
        <d v="1946-11-26T00:00:00"/>
        <d v="1946-11-30T00:00:00"/>
        <d v="1946-04-12T00:00:00"/>
        <d v="1946-10-12T00:00:00"/>
        <d v="1946-12-14T00:00:00"/>
        <d v="1946-12-17T00:00:00"/>
        <d v="1946-12-23T00:00:00"/>
        <d v="1946-12-24T00:00:00"/>
        <d v="1946-12-25T00:00:00"/>
        <d v="1946-12-28T00:00:00"/>
        <d v="1947-03-01T00:00:00"/>
        <d v="1947-05-01T00:00:00"/>
        <d v="1947-11-01T00:00:00"/>
        <d v="1947-12-01T00:00:00"/>
        <d v="1947-01-14T00:00:00"/>
        <d v="1947-01-22T00:00:00"/>
        <d v="1947-01-25T00:00:00"/>
        <d v="1947-01-26T00:00:00"/>
        <d v="1947-01-28T00:00:00"/>
        <d v="1947-01-02T00:00:00"/>
        <d v="1947-05-02T00:00:00"/>
        <d v="1947-06-02T00:00:00"/>
        <d v="1947-02-14T00:00:00"/>
        <d v="1947-02-15T00:00:00"/>
        <d v="1947-02-21T00:00:00"/>
        <d v="1947-02-26T00:00:00"/>
        <d v="1947-05-03T00:00:00"/>
        <d v="1947-08-03T00:00:00"/>
        <d v="1947-03-14T00:00:00"/>
        <d v="1947-03-17T00:00:00"/>
        <d v="1947-03-18T00:00:00"/>
        <d v="1947-08-04T00:00:00"/>
        <d v="1947-04-13T00:00:00"/>
        <d v="1947-04-22T00:00:00"/>
        <d v="1947-04-28T00:00:00"/>
        <d v="1947-04-05T00:00:00"/>
        <d v="1947-11-05T00:00:00"/>
        <d v="1947-05-16T00:00:00"/>
        <d v="1947-05-29T00:00:00"/>
        <d v="1947-05-30T00:00:00"/>
        <d v="1947-04-06T00:00:00"/>
        <d v="1947-11-06T00:00:00"/>
        <d v="1947-06-13T00:00:00"/>
        <d v="1947-06-19T00:00:00"/>
        <d v="1947-06-21T00:00:00"/>
        <d v="1947-01-07T00:00:00"/>
        <d v="1947-07-13T00:00:00"/>
        <d v="1947-07-15T00:00:00"/>
        <d v="1947-07-16T00:00:00"/>
        <d v="1947-07-25T00:00:00"/>
        <d v="1947-07-31T00:00:00"/>
        <d v="1947-02-08T00:00:00"/>
        <d v="1947-06-08T00:00:00"/>
        <d v="1947-08-08T00:00:00"/>
        <d v="1947-09-08T00:00:00"/>
        <d v="1947-08-13T00:00:00"/>
        <d v="1947-08-21T00:00:00"/>
        <d v="1947-08-23T00:00:00"/>
        <d v="1947-08-28T00:00:00"/>
        <d v="1947-08-10T00:00:00"/>
        <d v="1947-10-14T00:00:00"/>
        <d v="1947-10-16T00:00:00"/>
        <d v="1947-10-24T00:00:00"/>
        <d v="1947-10-26T00:00:00"/>
        <d v="1947-10-31T00:00:00"/>
        <d v="1947-02-11T00:00:00"/>
        <d v="1947-11-11T00:00:00"/>
        <d v="1947-11-13T00:00:00"/>
        <d v="1947-11-18T00:00:00"/>
        <d v="1947-11-21T00:00:00"/>
        <d v="1947-11-27T00:00:00"/>
        <d v="1947-11-28T00:00:00"/>
        <d v="1947-11-30T00:00:00"/>
        <d v="1947-10-12T00:00:00"/>
        <d v="1947-11-12T00:00:00"/>
        <d v="1947-12-18T00:00:00"/>
        <d v="1947-12-23T00:00:00"/>
        <d v="1947-12-27T00:00:00"/>
        <d v="1947-12-28T00:00:00"/>
        <d v="1948-06-01T00:00:00"/>
        <d v="1948-07-01T00:00:00"/>
        <d v="1948-08-01T00:00:00"/>
        <d v="1948-11-01T00:00:00"/>
        <d v="1948-01-13T00:00:00"/>
        <d v="1948-01-20T00:00:00"/>
        <d v="1948-01-28T00:00:00"/>
        <d v="1948-01-30T00:00:00"/>
        <d v="1948-07-02T00:00:00"/>
        <d v="1948-10-02T00:00:00"/>
        <d v="1948-12-02T00:00:00"/>
        <d v="1948-02-20T00:00:00"/>
        <d v="1948-02-21T00:00:00"/>
        <d v="1948-02-23T00:00:00"/>
        <d v="1948-02-25T00:00:00"/>
        <d v="1948-02-27T00:00:00"/>
        <d v="1948-02-03T00:00:00"/>
        <d v="1948-07-03T00:00:00"/>
        <d v="1948-10-03T00:00:00"/>
        <d v="1948-12-03T00:00:00"/>
        <d v="1948-03-13T00:00:00"/>
        <d v="1948-03-15T00:00:00"/>
        <d v="1948-03-27T00:00:00"/>
        <d v="1948-05-04T00:00:00"/>
        <d v="1948-04-15T00:00:00"/>
        <d v="1948-04-18T00:00:00"/>
        <d v="1948-04-24T00:00:00"/>
        <d v="1948-05-13T00:00:00"/>
        <d v="1948-05-15T00:00:00"/>
        <d v="1948-05-16T00:00:00"/>
        <d v="1948-05-20T00:00:00"/>
        <d v="1948-05-22T00:00:00"/>
        <d v="1948-05-25T00:00:00"/>
        <d v="1948-10-06T00:00:00"/>
        <d v="1948-06-17T00:00:00"/>
        <d v="1948-06-26T00:00:00"/>
        <d v="1948-01-07T00:00:00"/>
        <d v="1948-04-07T00:00:00"/>
        <d v="1948-07-07T00:00:00"/>
        <d v="1948-07-14T00:00:00"/>
        <d v="1948-07-16T00:00:00"/>
        <d v="1948-07-24T00:00:00"/>
        <d v="1948-07-29T00:00:00"/>
        <d v="1948-01-08T00:00:00"/>
        <d v="1948-09-08T00:00:00"/>
        <d v="1948-08-20T00:00:00"/>
        <d v="1948-08-29T00:00:00"/>
        <d v="1948-08-31T00:00:00"/>
        <d v="1948-02-09T00:00:00"/>
        <d v="1948-09-30T00:00:00"/>
        <d v="1948-02-10T00:00:00"/>
        <d v="1948-12-10T00:00:00"/>
        <d v="1948-10-21T00:00:00"/>
        <d v="1948-10-23T00:00:00"/>
        <d v="1948-10-25T00:00:00"/>
        <d v="1948-10-27T00:00:00"/>
        <d v="1948-03-11T00:00:00"/>
        <d v="1948-04-11T00:00:00"/>
        <d v="1948-08-11T00:00:00"/>
        <d v="1948-11-11T00:00:00"/>
        <d v="1948-11-22T00:00:00"/>
        <d v="1948-11-26T00:00:00"/>
        <d v="1948-05-12T00:00:00"/>
        <d v="1948-06-12T00:00:00"/>
        <d v="1948-12-12T00:00:00"/>
        <d v="1948-12-15T00:00:00"/>
        <d v="1948-12-21T00:00:00"/>
        <d v="1948-12-23T00:00:00"/>
        <d v="1948-12-28T00:00:00"/>
        <d v="1948-12-31T00:00:00"/>
        <d v="1949-02-01T00:00:00"/>
        <d v="1949-05-01T00:00:00"/>
        <d v="1949-06-01T00:00:00"/>
        <d v="1949-11-01T00:00:00"/>
        <d v="1949-01-15T00:00:00"/>
        <d v="1949-01-16T00:00:00"/>
        <d v="1949-01-17T00:00:00"/>
        <d v="1949-01-20T00:00:00"/>
        <d v="1949-01-30T00:00:00"/>
        <d v="1949-02-02T00:00:00"/>
        <d v="1949-04-02T00:00:00"/>
        <d v="1949-05-02T00:00:00"/>
        <d v="1949-08-02T00:00:00"/>
        <d v="1949-10-02T00:00:00"/>
        <d v="1949-02-19T00:00:00"/>
        <d v="1949-02-24T00:00:00"/>
        <d v="1949-10-03T00:00:00"/>
        <d v="1949-03-15T00:00:00"/>
        <d v="1949-03-18T00:00:00"/>
        <d v="1949-04-29T00:00:00"/>
        <d v="1949-04-05T00:00:00"/>
        <d v="1949-07-05T00:00:00"/>
        <d v="1949-05-13T00:00:00"/>
        <d v="1949-06-06T00:00:00"/>
        <d v="1949-07-06T00:00:00"/>
        <d v="1949-06-23T00:00:00"/>
        <d v="1949-02-07T00:00:00"/>
        <d v="1949-12-07T00:00:00"/>
        <d v="1949-07-13T00:00:00"/>
        <d v="1949-07-19T00:00:00"/>
        <d v="1949-07-21T00:00:00"/>
        <d v="1949-07-30T00:00:00"/>
        <d v="1949-02-08T00:00:00"/>
        <d v="1949-03-08T00:00:00"/>
        <d v="1949-06-08T00:00:00"/>
        <d v="1949-09-08T00:00:00"/>
        <d v="1949-08-13T00:00:00"/>
        <d v="1949-08-15T00:00:00"/>
        <d v="1949-08-19T00:00:00"/>
        <d v="1949-08-21T00:00:00"/>
        <d v="1949-08-27T00:00:00"/>
        <d v="1949-09-09T00:00:00"/>
        <d v="1949-09-26T00:00:00"/>
        <d v="1949-09-27T00:00:00"/>
        <d v="1949-09-10T00:00:00"/>
        <d v="1949-10-28T00:00:00"/>
        <d v="1949-01-11T00:00:00"/>
        <d v="1949-04-11T00:00:00"/>
        <d v="1949-11-16T00:00:00"/>
        <d v="1949-11-20T00:00:00"/>
        <d v="1949-11-26T00:00:00"/>
        <d v="1949-11-29T00:00:00"/>
        <d v="1949-01-12T00:00:00"/>
        <d v="1949-07-12T00:00:00"/>
        <d v="1949-09-12T00:00:00"/>
        <d v="1949-10-12T00:00:00"/>
        <d v="1949-12-12T00:00:00"/>
        <d v="1949-12-16T00:00:00"/>
        <d v="1949-12-18T00:00:00"/>
        <d v="1949-12-30T00:00:00"/>
        <d v="1950-05-01T00:00:00"/>
        <d v="1950-01-18T00:00:00"/>
        <d v="1950-01-20T00:00:00"/>
        <d v="1950-01-24T00:00:00"/>
        <d v="1950-01-26T00:00:00"/>
        <d v="1950-02-02T00:00:00"/>
        <d v="1950-02-27T00:00:00"/>
        <d v="1950-07-03T00:00:00"/>
        <d v="1950-10-03T00:00:00"/>
        <d v="1950-12-03T00:00:00"/>
        <d v="1950-03-25T00:00:00"/>
        <d v="1950-03-28T00:00:00"/>
        <d v="1950-05-04T00:00:00"/>
        <d v="1950-04-13T00:00:00"/>
        <d v="1950-04-15T00:00:00"/>
        <d v="1950-04-21T00:00:00"/>
        <d v="1950-02-05T00:00:00"/>
        <d v="1950-05-17T00:00:00"/>
        <d v="1950-05-23T00:00:00"/>
        <d v="1950-05-24T00:00:00"/>
        <d v="1950-05-27T00:00:00"/>
        <d v="1950-05-30T00:00:00"/>
        <d v="1950-05-06T00:00:00"/>
        <d v="1950-09-06T00:00:00"/>
        <d v="1950-12-06T00:00:00"/>
        <d v="1950-06-14T00:00:00"/>
        <d v="1950-06-23T00:00:00"/>
        <d v="1950-06-26T00:00:00"/>
        <d v="1950-07-07T00:00:00"/>
        <d v="1950-09-07T00:00:00"/>
        <d v="1950-07-17T00:00:00"/>
        <d v="1950-07-18T00:00:00"/>
        <d v="1950-07-27T00:00:00"/>
        <d v="1950-07-28T00:00:00"/>
        <d v="1950-07-29T00:00:00"/>
        <d v="1950-07-30T00:00:00"/>
        <d v="1950-05-08T00:00:00"/>
        <d v="1950-08-22T00:00:00"/>
        <d v="1950-08-25T00:00:00"/>
        <d v="1950-08-31T00:00:00"/>
        <d v="1950-04-09T00:00:00"/>
        <d v="1950-09-14T00:00:00"/>
        <d v="1950-09-20T00:00:00"/>
        <d v="1950-09-21T00:00:00"/>
        <d v="1950-09-23T00:00:00"/>
        <d v="1950-09-26T00:00:00"/>
        <d v="1950-10-13T00:00:00"/>
        <d v="1950-10-17T00:00:00"/>
        <d v="1950-10-31T00:00:00"/>
        <d v="1950-03-11T00:00:00"/>
        <d v="1950-07-11T00:00:00"/>
        <d v="1950-11-13T00:00:00"/>
        <d v="1950-11-17T00:00:00"/>
        <d v="1950-11-21T00:00:00"/>
        <d v="1950-11-23T00:00:00"/>
        <d v="1950-11-25T00:00:00"/>
        <d v="1950-01-12T00:00:00"/>
        <d v="1950-08-12T00:00:00"/>
        <d v="1950-12-13T00:00:00"/>
        <d v="1950-12-14T00:00:00"/>
        <d v="1950-12-15T00:00:00"/>
        <d v="1950-12-19T00:00:00"/>
        <d v="1950-12-22T00:00:00"/>
        <d v="1950-12-30T00:00:00"/>
        <d v="1951-12-01T00:00:00"/>
        <d v="1951-01-13T00:00:00"/>
        <d v="1951-01-14T00:00:00"/>
        <d v="1951-01-16T00:00:00"/>
        <d v="1951-01-17T00:00:00"/>
        <d v="1951-01-20T00:00:00"/>
        <d v="1951-01-28T00:00:00"/>
        <d v="1951-01-31T00:00:00"/>
        <d v="1951-01-02T00:00:00"/>
        <d v="1951-03-02T00:00:00"/>
        <d v="1951-02-14T00:00:00"/>
        <d v="1951-02-03T00:00:00"/>
        <d v="1951-11-03T00:00:00"/>
        <d v="1951-03-21T00:00:00"/>
        <d v="1951-03-22T00:00:00"/>
        <d v="1951-03-23T00:00:00"/>
        <d v="1951-03-25T00:00:00"/>
        <d v="1951-03-26T00:00:00"/>
        <d v="1951-03-27T00:00:00"/>
        <d v="1951-02-04T00:00:00"/>
        <d v="1951-06-04T00:00:00"/>
        <d v="1951-08-04T00:00:00"/>
        <d v="1951-09-04T00:00:00"/>
        <d v="1951-04-25T00:00:00"/>
        <d v="1951-04-28T00:00:00"/>
        <d v="1951-06-05T00:00:00"/>
        <d v="1951-08-05T00:00:00"/>
        <d v="1951-05-18T00:00:00"/>
        <d v="1951-03-06T00:00:00"/>
        <d v="1951-06-06T00:00:00"/>
        <d v="1951-06-13T00:00:00"/>
        <d v="1951-06-22T00:00:00"/>
        <d v="1951-06-29T00:00:00"/>
        <d v="1951-06-30T00:00:00"/>
        <d v="1951-12-07T00:00:00"/>
        <d v="1951-07-16T00:00:00"/>
        <d v="1951-07-20T00:00:00"/>
        <d v="1951-07-21T00:00:00"/>
        <d v="1951-07-24T00:00:00"/>
        <d v="1951-07-29T00:00:00"/>
        <d v="1951-08-08T00:00:00"/>
        <d v="1951-11-08T00:00:00"/>
        <d v="1951-08-17T00:00:00"/>
        <d v="1951-08-24T00:00:00"/>
        <d v="1951-08-09T00:00:00"/>
        <d v="1951-12-09T00:00:00"/>
        <d v="1951-09-15T00:00:00"/>
        <d v="1951-09-27T00:00:00"/>
        <d v="1951-09-29T00:00:00"/>
        <d v="1951-08-10T00:00:00"/>
        <d v="1951-10-15T00:00:00"/>
        <d v="1951-10-17T00:00:00"/>
        <d v="1951-10-22T00:00:00"/>
        <d v="1951-10-27T00:00:00"/>
        <d v="1951-05-11T00:00:00"/>
        <d v="1951-11-13T00:00:00"/>
        <d v="1951-11-15T00:00:00"/>
        <d v="1951-11-17T00:00:00"/>
        <d v="1951-11-19T00:00:00"/>
        <d v="1951-11-21T00:00:00"/>
        <d v="1951-11-24T00:00:00"/>
        <d v="1951-11-27T00:00:00"/>
        <d v="1951-04-12T00:00:00"/>
        <d v="1951-12-13T00:00:00"/>
        <d v="1951-12-16T00:00:00"/>
        <d v="1951-12-23T00:00:00"/>
        <d v="1951-12-27T00:00:00"/>
        <d v="1951-12-30T00:00:00"/>
        <d v="1951-12-31T00:00:00"/>
        <d v="1952-02-01T00:00:00"/>
        <d v="1952-10-01T00:00:00"/>
        <d v="1952-01-19T00:00:00"/>
        <d v="1952-01-22T00:00:00"/>
        <d v="1952-04-02T00:00:00"/>
        <d v="1952-07-02T00:00:00"/>
        <d v="1952-11-02T00:00:00"/>
        <d v="1952-02-16T00:00:00"/>
        <d v="1952-02-19T00:00:00"/>
        <d v="1952-02-28T00:00:00"/>
        <d v="1952-03-03T00:00:00"/>
        <d v="1952-10-03T00:00:00"/>
        <d v="1952-12-03T00:00:00"/>
        <d v="1952-03-22T00:00:00"/>
        <d v="1952-03-24T00:00:00"/>
        <d v="1952-03-26T00:00:00"/>
        <d v="1952-03-29T00:00:00"/>
        <d v="1952-03-30T00:00:00"/>
        <d v="1952-05-04T00:00:00"/>
        <d v="1952-09-04T00:00:00"/>
        <d v="1952-10-04T00:00:00"/>
        <d v="1952-11-04T00:00:00"/>
        <d v="1952-04-18T00:00:00"/>
        <d v="1952-04-29T00:00:00"/>
        <d v="1952-04-30T00:00:00"/>
        <d v="1952-05-05T00:00:00"/>
        <d v="1952-09-05T00:00:00"/>
        <d v="1952-05-13T00:00:00"/>
        <d v="1952-05-24T00:00:00"/>
        <d v="1952-05-26T00:00:00"/>
        <d v="1952-06-13T00:00:00"/>
        <d v="1952-06-14T00:00:00"/>
        <d v="1952-06-24T00:00:00"/>
        <d v="1952-06-25T00:00:00"/>
        <d v="1952-07-18T00:00:00"/>
        <d v="1952-07-27T00:00:00"/>
        <d v="1952-12-08T00:00:00"/>
        <d v="1952-08-21T00:00:00"/>
        <d v="1952-08-26T00:00:00"/>
        <d v="1952-08-29T00:00:00"/>
        <d v="1952-06-09T00:00:00"/>
        <d v="1952-10-09T00:00:00"/>
        <d v="1952-09-15T00:00:00"/>
        <d v="1952-05-10T00:00:00"/>
        <d v="1952-08-10T00:00:00"/>
        <d v="1952-10-14T00:00:00"/>
        <d v="1952-10-16T00:00:00"/>
        <d v="1952-10-29T00:00:00"/>
        <d v="1952-06-11T00:00:00"/>
        <d v="1952-07-11T00:00:00"/>
        <d v="1952-11-14T00:00:00"/>
        <d v="1952-11-15T00:00:00"/>
        <d v="1952-11-17T00:00:00"/>
        <d v="1952-11-22T00:00:00"/>
        <d v="1952-11-28T00:00:00"/>
        <d v="1952-06-12T00:00:00"/>
        <d v="1952-12-20T00:00:00"/>
        <d v="1952-12-21T00:00:00"/>
        <d v="1952-12-22T00:00:00"/>
        <d v="1952-12-25T00:00:00"/>
        <d v="1952-12-30T00:00:00"/>
        <d v="1953-05-01T00:00:00"/>
        <d v="1953-07-01T00:00:00"/>
        <d v="1953-01-15T00:00:00"/>
        <d v="1953-01-26T00:00:00"/>
        <d v="1953-02-02T00:00:00"/>
        <d v="1953-03-02T00:00:00"/>
        <d v="1953-07-02T00:00:00"/>
        <d v="1953-09-02T00:00:00"/>
        <d v="1953-02-14T00:00:00"/>
        <d v="1953-03-03T00:00:00"/>
        <d v="1953-04-03T00:00:00"/>
        <d v="1953-03-14T00:00:00"/>
        <d v="1953-03-17T00:00:00"/>
        <d v="1953-03-18T00:00:00"/>
        <d v="1953-03-20T00:00:00"/>
        <d v="1953-03-27T00:00:00"/>
        <d v="1953-03-29T00:00:00"/>
        <d v="1953-10-04T00:00:00"/>
        <d v="1953-04-14T00:00:00"/>
        <d v="1953-04-16T00:00:00"/>
        <d v="1953-04-20T00:00:00"/>
        <d v="1953-02-05T00:00:00"/>
        <d v="1953-07-05T00:00:00"/>
        <d v="1953-09-05T00:00:00"/>
        <d v="1953-11-05T00:00:00"/>
        <d v="1953-05-17T00:00:00"/>
        <d v="1953-05-24T00:00:00"/>
        <d v="1953-05-25T00:00:00"/>
        <d v="1953-05-27T00:00:00"/>
        <d v="1953-06-14T00:00:00"/>
        <d v="1953-06-15T00:00:00"/>
        <d v="1953-06-16T00:00:00"/>
        <d v="1953-06-17T00:00:00"/>
        <d v="1953-06-18T00:00:00"/>
        <d v="1953-12-07T00:00:00"/>
        <d v="1953-07-17T00:00:00"/>
        <d v="1953-07-27T00:00:00"/>
        <d v="1953-03-08T00:00:00"/>
        <d v="1953-05-08T00:00:00"/>
        <d v="1953-08-18T00:00:00"/>
        <d v="1953-01-09T00:00:00"/>
        <d v="1953-08-09T00:00:00"/>
        <d v="1953-09-14T00:00:00"/>
        <d v="1953-09-16T00:00:00"/>
        <d v="1953-09-25T00:00:00"/>
        <d v="1953-09-28T00:00:00"/>
        <d v="1953-10-14T00:00:00"/>
        <d v="1953-10-17T00:00:00"/>
        <d v="1953-10-19T00:00:00"/>
        <d v="1953-10-27T00:00:00"/>
        <d v="1953-10-29T00:00:00"/>
        <d v="1953-10-31T00:00:00"/>
        <d v="1953-03-11T00:00:00"/>
        <d v="1953-11-11T00:00:00"/>
        <d v="1953-04-12T00:00:00"/>
        <d v="1953-12-12T00:00:00"/>
        <d v="1953-12-15T00:00:00"/>
        <d v="1953-12-17T00:00:00"/>
        <d v="1953-12-19T00:00:00"/>
        <d v="1953-12-21T00:00:00"/>
        <d v="1954-02-01T00:00:00"/>
        <d v="1954-05-01T00:00:00"/>
        <d v="1954-06-01T00:00:00"/>
        <d v="1954-10-01T00:00:00"/>
        <d v="1954-11-01T00:00:00"/>
        <d v="1954-12-01T00:00:00"/>
        <d v="1954-01-13T00:00:00"/>
        <d v="1954-01-14T00:00:00"/>
        <d v="1954-01-20T00:00:00"/>
        <d v="1954-01-02T00:00:00"/>
        <d v="1954-05-02T00:00:00"/>
        <d v="1954-12-02T00:00:00"/>
        <d v="1954-02-25T00:00:00"/>
        <d v="1954-02-26T00:00:00"/>
        <d v="1954-04-03T00:00:00"/>
        <d v="1954-03-13T00:00:00"/>
        <d v="1954-03-14T00:00:00"/>
        <d v="1954-03-19T00:00:00"/>
        <d v="1954-03-26T00:00:00"/>
        <d v="1954-03-04T00:00:00"/>
        <d v="1954-04-04T00:00:00"/>
        <d v="1954-08-04T00:00:00"/>
        <d v="1954-04-13T00:00:00"/>
        <d v="1954-04-23T00:00:00"/>
        <d v="1954-04-30T00:00:00"/>
        <d v="1954-05-22T00:00:00"/>
        <d v="1954-05-31T00:00:00"/>
        <d v="1954-03-06T00:00:00"/>
        <d v="1954-04-06T00:00:00"/>
        <d v="1954-08-06T00:00:00"/>
        <d v="1954-06-19T00:00:00"/>
        <d v="1954-02-07T00:00:00"/>
        <d v="1954-07-23T00:00:00"/>
        <d v="1954-08-08T00:00:00"/>
        <d v="1954-09-08T00:00:00"/>
        <d v="1954-12-08T00:00:00"/>
        <d v="1954-08-16T00:00:00"/>
        <d v="1954-08-22T00:00:00"/>
        <d v="1954-08-23T00:00:00"/>
        <d v="1954-08-26T00:00:00"/>
        <d v="1954-08-27T00:00:00"/>
        <d v="1954-05-09T00:00:00"/>
        <d v="1954-12-09T00:00:00"/>
        <d v="1954-09-15T00:00:00"/>
        <d v="1954-09-27T00:00:00"/>
        <d v="1954-10-24T00:00:00"/>
        <d v="1954-10-28T00:00:00"/>
        <d v="1954-10-30T00:00:00"/>
        <d v="1954-10-31T00:00:00"/>
        <d v="1954-11-16T00:00:00"/>
        <d v="1954-11-30T00:00:00"/>
        <d v="1954-04-12T00:00:00"/>
        <d v="1954-12-12T00:00:00"/>
        <d v="1954-12-18T00:00:00"/>
        <d v="1954-12-22T00:00:00"/>
        <d v="1954-12-25T00:00:00"/>
        <d v="1954-12-31T00:00:00"/>
        <d v="1955-01-01T00:00:00"/>
        <d v="1955-11-01T00:00:00"/>
        <d v="1955-12-01T00:00:00"/>
        <d v="1955-01-15T00:00:00"/>
        <d v="1955-01-19T00:00:00"/>
        <d v="1955-01-31T00:00:00"/>
        <d v="1955-02-02T00:00:00"/>
        <d v="1955-05-02T00:00:00"/>
        <d v="1955-02-13T00:00:00"/>
        <d v="1955-02-19T00:00:00"/>
        <d v="1955-02-23T00:00:00"/>
        <d v="1955-02-26T00:00:00"/>
        <d v="1955-06-03T00:00:00"/>
        <d v="1955-07-03T00:00:00"/>
        <d v="1955-08-03T00:00:00"/>
        <d v="1955-09-03T00:00:00"/>
        <d v="1955-03-20T00:00:00"/>
        <d v="1955-03-22T00:00:00"/>
        <d v="1955-03-26T00:00:00"/>
        <d v="1955-02-04T00:00:00"/>
        <d v="1955-04-04T00:00:00"/>
        <d v="1955-11-04T00:00:00"/>
        <d v="1955-04-18T00:00:00"/>
        <d v="1955-05-18T00:00:00"/>
        <d v="1955-05-21T00:00:00"/>
        <d v="1955-05-26T00:00:00"/>
        <d v="1955-03-06T00:00:00"/>
        <d v="1955-06-16T00:00:00"/>
        <d v="1955-06-18T00:00:00"/>
        <d v="1955-07-14T00:00:00"/>
        <d v="1955-07-17T00:00:00"/>
        <d v="1955-07-27T00:00:00"/>
        <d v="1955-04-08T00:00:00"/>
        <d v="1955-05-08T00:00:00"/>
        <d v="1955-11-08T00:00:00"/>
        <d v="1955-08-26T00:00:00"/>
        <d v="1955-08-30T00:00:00"/>
        <d v="1955-02-09T00:00:00"/>
        <d v="1955-08-09T00:00:00"/>
        <d v="1955-10-09T00:00:00"/>
        <d v="1955-09-17T00:00:00"/>
        <d v="1955-09-22T00:00:00"/>
        <d v="1955-09-24T00:00:00"/>
        <d v="1955-09-29T00:00:00"/>
        <d v="1955-02-10T00:00:00"/>
        <d v="1955-06-10T00:00:00"/>
        <d v="1955-10-10T00:00:00"/>
        <d v="1955-01-11T00:00:00"/>
        <d v="1955-11-17T00:00:00"/>
        <d v="1955-11-20T00:00:00"/>
        <d v="1955-11-30T00:00:00"/>
        <d v="1955-01-12T00:00:00"/>
        <d v="1955-09-12T00:00:00"/>
        <d v="1955-12-17T00:00:00"/>
        <d v="1955-12-19T00:00:00"/>
        <d v="1955-12-21T00:00:00"/>
        <d v="1956-12-01T00:00:00"/>
        <d v="1956-01-17T00:00:00"/>
        <d v="1956-01-18T00:00:00"/>
        <d v="1956-01-28T00:00:00"/>
        <d v="1956-02-13T00:00:00"/>
        <d v="1956-02-14T00:00:00"/>
        <d v="1956-02-17T00:00:00"/>
        <d v="1956-02-18T00:00:00"/>
        <d v="1956-02-20T00:00:00"/>
        <d v="1956-02-24T00:00:00"/>
        <d v="1956-02-25T00:00:00"/>
        <d v="1956-03-21T00:00:00"/>
        <d v="1956-03-28T00:00:00"/>
        <d v="1956-03-31T00:00:00"/>
        <d v="1956-01-04T00:00:00"/>
        <d v="1956-02-04T00:00:00"/>
        <d v="1956-09-04T00:00:00"/>
        <d v="1956-04-18T00:00:00"/>
        <d v="1956-04-30T00:00:00"/>
        <d v="1956-05-15T00:00:00"/>
        <d v="1956-05-24T00:00:00"/>
        <d v="1956-06-13T00:00:00"/>
        <d v="1956-06-20T00:00:00"/>
        <d v="1956-06-24T00:00:00"/>
        <d v="1956-06-30T00:00:00"/>
        <d v="1956-09-07T00:00:00"/>
        <d v="1956-07-13T00:00:00"/>
        <d v="1956-07-15T00:00:00"/>
        <d v="1956-07-16T00:00:00"/>
        <d v="1956-08-08T00:00:00"/>
        <d v="1956-08-29T00:00:00"/>
        <d v="1956-09-09T00:00:00"/>
        <d v="1956-02-10T00:00:00"/>
        <d v="1956-10-10T00:00:00"/>
        <d v="1956-10-16T00:00:00"/>
        <d v="1956-10-19T00:00:00"/>
        <d v="1956-10-28T00:00:00"/>
        <d v="1956-05-11T00:00:00"/>
        <d v="1956-07-11T00:00:00"/>
        <d v="1956-11-15T00:00:00"/>
        <d v="1956-11-17T00:00:00"/>
        <d v="1956-11-24T00:00:00"/>
        <d v="1956-11-27T00:00:00"/>
        <d v="1956-08-12T00:00:00"/>
        <d v="1956-09-12T00:00:00"/>
        <d v="1956-12-12T00:00:00"/>
        <d v="1956-12-22T00:00:00"/>
        <d v="1956-12-31T00:00:00"/>
        <d v="1957-06-01T00:00:00"/>
        <d v="1957-11-01T00:00:00"/>
        <d v="1957-01-23T00:00:00"/>
        <d v="1957-01-29T00:00:00"/>
        <d v="1957-01-31T00:00:00"/>
        <d v="1957-01-02T00:00:00"/>
        <d v="1957-02-22T00:00:00"/>
        <d v="1957-02-03T00:00:00"/>
        <d v="1957-04-03T00:00:00"/>
        <d v="1957-05-03T00:00:00"/>
        <d v="1957-09-03T00:00:00"/>
        <d v="1957-03-14T00:00:00"/>
        <d v="1957-03-17T00:00:00"/>
        <d v="1957-03-18T00:00:00"/>
        <d v="1957-03-22T00:00:00"/>
        <d v="1957-07-04T00:00:00"/>
        <d v="1957-08-04T00:00:00"/>
        <d v="1957-10-04T00:00:00"/>
        <d v="1957-04-15T00:00:00"/>
        <d v="1957-04-17T00:00:00"/>
        <d v="1957-04-20T00:00:00"/>
        <d v="1957-01-05T00:00:00"/>
        <d v="1957-05-05T00:00:00"/>
        <d v="1957-09-05T00:00:00"/>
        <d v="1957-05-13T00:00:00"/>
        <d v="1957-06-14T00:00:00"/>
        <d v="1957-06-18T00:00:00"/>
        <d v="1957-06-22T00:00:00"/>
        <d v="1957-06-23T00:00:00"/>
        <d v="1957-06-24T00:00:00"/>
        <d v="1957-01-07T00:00:00"/>
        <d v="1957-03-07T00:00:00"/>
        <d v="1957-07-16T00:00:00"/>
        <d v="1957-07-25T00:00:00"/>
        <d v="1957-11-08T00:00:00"/>
        <d v="1957-08-15T00:00:00"/>
        <d v="1957-08-20T00:00:00"/>
        <d v="1957-08-29T00:00:00"/>
        <d v="1957-03-09T00:00:00"/>
        <d v="1957-09-15T00:00:00"/>
        <d v="1957-09-18T00:00:00"/>
        <d v="1957-09-27T00:00:00"/>
        <d v="1957-09-28T00:00:00"/>
        <d v="1957-01-10T00:00:00"/>
        <d v="1957-03-10T00:00:00"/>
        <d v="1957-10-18T00:00:00"/>
        <d v="1957-10-23T00:00:00"/>
        <d v="1957-10-28T00:00:00"/>
        <d v="1957-10-30T00:00:00"/>
        <d v="1957-03-11T00:00:00"/>
        <d v="1957-04-11T00:00:00"/>
        <d v="1957-06-11T00:00:00"/>
        <d v="1957-08-11T00:00:00"/>
        <d v="1957-11-15T00:00:00"/>
        <d v="1957-11-21T00:00:00"/>
        <d v="1957-08-12T00:00:00"/>
        <d v="1957-10-12T00:00:00"/>
        <d v="1957-11-12T00:00:00"/>
        <d v="1957-12-18T00:00:00"/>
        <d v="1957-12-23T00:00:00"/>
        <d v="1957-12-31T00:00:00"/>
        <d v="1958-01-16T00:00:00"/>
        <d v="1958-01-20T00:00:00"/>
        <d v="1958-01-02T00:00:00"/>
        <d v="1958-06-02T00:00:00"/>
        <d v="1958-02-15T00:00:00"/>
        <d v="1958-02-19T00:00:00"/>
        <d v="1958-02-20T00:00:00"/>
        <d v="1958-02-27T00:00:00"/>
        <d v="1958-07-03T00:00:00"/>
        <d v="1958-03-22T00:00:00"/>
        <d v="1958-03-24T00:00:00"/>
        <d v="1958-03-25T00:00:00"/>
        <d v="1958-03-27T00:00:00"/>
        <d v="1958-02-04T00:00:00"/>
        <d v="1958-06-04T00:00:00"/>
        <d v="1958-07-04T00:00:00"/>
        <d v="1958-04-14T00:00:00"/>
        <d v="1958-04-21T00:00:00"/>
        <d v="1958-05-15T00:00:00"/>
        <d v="1958-05-16T00:00:00"/>
        <d v="1958-05-18T00:00:00"/>
        <d v="1958-05-20T00:00:00"/>
        <d v="1958-05-25T00:00:00"/>
        <d v="1958-05-31T00:00:00"/>
        <d v="1958-02-06T00:00:00"/>
        <d v="1958-04-06T00:00:00"/>
        <d v="1958-09-06T00:00:00"/>
        <d v="1958-06-16T00:00:00"/>
        <d v="1958-06-25T00:00:00"/>
        <d v="1958-06-27T00:00:00"/>
        <d v="1958-09-07T00:00:00"/>
        <d v="1958-09-08T00:00:00"/>
        <d v="1958-11-08T00:00:00"/>
        <d v="1958-12-08T00:00:00"/>
        <d v="1958-08-14T00:00:00"/>
        <d v="1958-08-15T00:00:00"/>
        <d v="1958-02-09T00:00:00"/>
        <d v="1958-05-09T00:00:00"/>
        <d v="1958-07-09T00:00:00"/>
        <d v="1958-08-09T00:00:00"/>
        <d v="1958-09-09T00:00:00"/>
        <d v="1958-09-19T00:00:00"/>
        <d v="1958-09-29T00:00:00"/>
        <d v="1958-09-10T00:00:00"/>
        <d v="1958-10-14T00:00:00"/>
        <d v="1958-10-15T00:00:00"/>
        <d v="1958-10-17T00:00:00"/>
        <d v="1958-10-18T00:00:00"/>
        <d v="1958-10-22T00:00:00"/>
        <d v="1958-01-11T00:00:00"/>
        <d v="1958-03-11T00:00:00"/>
        <d v="1958-08-11T00:00:00"/>
        <d v="1958-09-11T00:00:00"/>
        <d v="1958-11-16T00:00:00"/>
        <d v="1958-04-12T00:00:00"/>
        <d v="1958-12-23T00:00:00"/>
        <d v="1958-12-24T00:00:00"/>
        <d v="1958-12-26T00:00:00"/>
        <d v="1958-12-30T00:00:00"/>
        <d v="1959-06-01T00:00:00"/>
        <d v="1959-08-01T00:00:00"/>
        <d v="1959-11-01T00:00:00"/>
        <d v="1959-01-14T00:00:00"/>
        <d v="1959-01-16T00:00:00"/>
        <d v="1959-01-18T00:00:00"/>
        <d v="1959-01-21T00:00:00"/>
        <d v="1959-01-22T00:00:00"/>
        <d v="1959-01-27T00:00:00"/>
        <d v="1959-01-02T00:00:00"/>
        <d v="1959-03-02T00:00:00"/>
        <d v="1959-02-17T00:00:00"/>
        <d v="1959-02-18T00:00:00"/>
        <d v="1959-05-03T00:00:00"/>
        <d v="1959-12-03T00:00:00"/>
        <d v="1959-03-13T00:00:00"/>
        <d v="1959-03-29T00:00:00"/>
        <d v="1959-03-30T00:00:00"/>
        <d v="1959-04-17T00:00:00"/>
        <d v="1959-04-23T00:00:00"/>
        <d v="1959-04-29T00:00:00"/>
        <d v="1959-02-05T00:00:00"/>
        <d v="1959-12-05T00:00:00"/>
        <d v="1959-05-13T00:00:00"/>
        <d v="1959-05-15T00:00:00"/>
        <d v="1959-05-21T00:00:00"/>
        <d v="1959-01-06T00:00:00"/>
        <d v="1959-05-06T00:00:00"/>
        <d v="1959-12-06T00:00:00"/>
        <d v="1959-06-23T00:00:00"/>
        <d v="1959-06-26T00:00:00"/>
        <d v="1959-06-30T00:00:00"/>
        <d v="1959-07-15T00:00:00"/>
        <d v="1959-03-08T00:00:00"/>
        <d v="1959-08-14T00:00:00"/>
        <d v="1959-08-15T00:00:00"/>
        <d v="1959-08-19T00:00:00"/>
        <d v="1959-08-27T00:00:00"/>
        <d v="1959-02-09T00:00:00"/>
        <d v="1959-08-09T00:00:00"/>
        <d v="1959-12-09T00:00:00"/>
        <d v="1959-09-23T00:00:00"/>
        <d v="1959-09-24T00:00:00"/>
        <d v="1959-09-29T00:00:00"/>
        <d v="1959-06-10T00:00:00"/>
        <d v="1959-10-23T00:00:00"/>
        <d v="1959-10-26T00:00:00"/>
        <d v="1959-10-30T00:00:00"/>
        <d v="1959-04-11T00:00:00"/>
        <d v="1959-11-16T00:00:00"/>
        <d v="1959-11-21T00:00:00"/>
        <d v="1959-11-24T00:00:00"/>
        <d v="1959-01-12T00:00:00"/>
        <d v="1959-08-12T00:00:00"/>
        <d v="1959-12-13T00:00:00"/>
        <d v="1959-12-17T00:00:00"/>
        <d v="1959-12-21T00:00:00"/>
        <d v="1959-12-22T00:00:00"/>
        <d v="1959-12-24T00:00:00"/>
        <d v="1959-12-31T00:00:00"/>
        <d v="1960-03-01T00:00:00"/>
        <d v="1960-06-01T00:00:00"/>
        <d v="1960-10-01T00:00:00"/>
        <d v="1960-01-18T00:00:00"/>
        <d v="1960-01-19T00:00:00"/>
        <d v="1960-01-21T00:00:00"/>
        <d v="1960-01-26T00:00:00"/>
        <d v="1960-05-02T00:00:00"/>
        <d v="1960-02-25T00:00:00"/>
        <d v="1960-02-26T00:00:00"/>
        <d v="1960-03-15T00:00:00"/>
        <d v="1960-03-16T00:00:00"/>
        <d v="1960-03-17T00:00:00"/>
        <d v="1960-03-19T00:00:00"/>
        <d v="1960-05-04T00:00:00"/>
        <d v="1960-12-04T00:00:00"/>
        <d v="1960-04-14T00:00:00"/>
        <d v="1960-04-18T00:00:00"/>
        <d v="1960-04-19T00:00:00"/>
        <d v="1960-04-20T00:00:00"/>
        <d v="1960-04-22T00:00:00"/>
        <d v="1960-04-28T00:00:00"/>
        <d v="1960-05-15T00:00:00"/>
        <d v="1960-05-18T00:00:00"/>
        <d v="1960-05-23T00:00:00"/>
        <d v="1960-10-06T00:00:00"/>
        <d v="1960-06-14T00:00:00"/>
        <d v="1960-06-24T00:00:00"/>
        <d v="1960-06-07T00:00:00"/>
        <d v="1960-10-07T00:00:00"/>
        <d v="1960-11-07T00:00:00"/>
        <d v="1960-07-14T00:00:00"/>
        <d v="1960-07-15T00:00:00"/>
        <d v="1960-07-16T00:00:00"/>
        <d v="1960-07-19T00:00:00"/>
        <d v="1960-07-20T00:00:00"/>
        <d v="1960-07-27T00:00:00"/>
        <d v="1960-07-31T00:00:00"/>
        <d v="1960-01-08T00:00:00"/>
        <d v="1960-08-17T00:00:00"/>
        <d v="1960-08-24T00:00:00"/>
        <d v="1960-08-29T00:00:00"/>
        <d v="1960-02-09T00:00:00"/>
        <d v="1960-07-09T00:00:00"/>
        <d v="1960-09-19T00:00:00"/>
        <d v="1960-09-22T00:00:00"/>
        <d v="1960-09-26T00:00:00"/>
        <d v="1960-09-28T00:00:00"/>
        <d v="1960-09-29T00:00:00"/>
        <d v="1960-04-10T00:00:00"/>
        <d v="1960-10-14T00:00:00"/>
        <d v="1960-10-15T00:00:00"/>
        <d v="1960-10-21T00:00:00"/>
        <d v="1960-10-28T00:00:00"/>
        <d v="1960-10-29T00:00:00"/>
        <d v="1960-05-11T00:00:00"/>
        <d v="1960-07-11T00:00:00"/>
        <d v="1960-11-23T00:00:00"/>
        <d v="1960-04-12T00:00:00"/>
        <d v="1960-07-12T00:00:00"/>
        <d v="1960-11-12T00:00:00"/>
        <d v="1960-12-16T00:00:00"/>
        <d v="1960-12-17T00:00:00"/>
        <d v="1960-12-22T00:00:00"/>
        <d v="1960-12-26T00:00:00"/>
        <d v="1961-02-01T00:00:00"/>
        <d v="1961-03-01T00:00:00"/>
        <d v="1961-01-19T00:00:00"/>
        <d v="1961-01-22T00:00:00"/>
        <d v="1961-01-24T00:00:00"/>
        <d v="1961-01-26T00:00:00"/>
        <d v="1961-01-28T00:00:00"/>
        <d v="1961-03-02T00:00:00"/>
        <d v="1961-02-15T00:00:00"/>
        <d v="1961-09-03T00:00:00"/>
        <d v="1961-03-25T00:00:00"/>
        <d v="1961-03-28T00:00:00"/>
        <d v="1961-03-04T00:00:00"/>
        <d v="1961-04-18T00:00:00"/>
        <d v="1961-10-05T00:00:00"/>
        <d v="1961-05-24T00:00:00"/>
        <d v="1961-05-29T00:00:00"/>
        <d v="1961-05-30T00:00:00"/>
        <d v="1961-12-06T00:00:00"/>
        <d v="1961-06-13T00:00:00"/>
        <d v="1961-06-17T00:00:00"/>
        <d v="1961-06-30T00:00:00"/>
        <d v="1961-08-07T00:00:00"/>
        <d v="1961-10-07T00:00:00"/>
        <d v="1961-11-07T00:00:00"/>
        <d v="1961-12-07T00:00:00"/>
        <d v="1961-07-19T00:00:00"/>
        <d v="1961-07-21T00:00:00"/>
        <d v="1961-06-08T00:00:00"/>
        <d v="1961-09-08T00:00:00"/>
        <d v="1961-08-23T00:00:00"/>
        <d v="1961-08-29T00:00:00"/>
        <d v="1961-01-09T00:00:00"/>
        <d v="1961-05-09T00:00:00"/>
        <d v="1961-06-09T00:00:00"/>
        <d v="1961-10-09T00:00:00"/>
        <d v="1961-12-09T00:00:00"/>
        <d v="1961-09-17T00:00:00"/>
        <d v="1961-09-23T00:00:00"/>
        <d v="1961-07-10T00:00:00"/>
        <d v="1961-10-10T00:00:00"/>
        <d v="1961-01-11T00:00:00"/>
        <d v="1961-08-11T00:00:00"/>
        <d v="1961-11-11T00:00:00"/>
        <d v="1961-11-21T00:00:00"/>
        <d v="1961-11-22T00:00:00"/>
        <d v="1961-11-23T00:00:00"/>
        <d v="1961-11-30T00:00:00"/>
        <d v="1961-04-12T00:00:00"/>
        <d v="1961-12-12T00:00:00"/>
        <d v="1961-12-15T00:00:00"/>
        <d v="1961-12-17T00:00:00"/>
        <d v="1961-12-21T00:00:00"/>
        <d v="1961-12-24T00:00:00"/>
        <d v="1961-12-29T00:00:00"/>
        <d v="1961-12-31T00:00:00"/>
        <d v="1962-01-13T00:00:00"/>
        <d v="1962-01-22T00:00:00"/>
        <d v="1962-01-27T00:00:00"/>
        <d v="1962-04-02T00:00:00"/>
        <d v="1962-02-25T00:00:00"/>
        <d v="1962-01-03T00:00:00"/>
        <d v="1962-04-03T00:00:00"/>
        <d v="1962-06-03T00:00:00"/>
        <d v="1962-08-03T00:00:00"/>
        <d v="1962-03-15T00:00:00"/>
        <d v="1962-03-20T00:00:00"/>
        <d v="1962-03-27T00:00:00"/>
        <d v="1962-06-04T00:00:00"/>
        <d v="1962-04-19T00:00:00"/>
        <d v="1962-04-22T00:00:00"/>
        <d v="1962-06-05T00:00:00"/>
        <d v="1962-08-05T00:00:00"/>
        <d v="1962-09-05T00:00:00"/>
        <d v="1962-12-05T00:00:00"/>
        <d v="1962-05-15T00:00:00"/>
        <d v="1962-05-17T00:00:00"/>
        <d v="1962-05-22T00:00:00"/>
        <d v="1962-05-24T00:00:00"/>
        <d v="1962-03-06T00:00:00"/>
        <d v="1962-04-06T00:00:00"/>
        <d v="1962-06-22T00:00:00"/>
        <d v="1962-06-28T00:00:00"/>
        <d v="1962-06-30T00:00:00"/>
        <d v="1962-06-07T00:00:00"/>
        <d v="1962-07-07T00:00:00"/>
        <d v="1962-09-07T00:00:00"/>
        <d v="1962-07-15T00:00:00"/>
        <d v="1962-07-16T00:00:00"/>
        <d v="1962-07-19T00:00:00"/>
        <d v="1962-07-22T00:00:00"/>
        <d v="1962-07-28T00:00:00"/>
        <d v="1962-07-30T00:00:00"/>
        <d v="1962-01-08T00:00:00"/>
        <d v="1962-08-20T00:00:00"/>
        <d v="1962-08-23T00:00:00"/>
        <d v="1962-08-24T00:00:00"/>
        <d v="1962-03-09T00:00:00"/>
        <d v="1962-04-09T00:00:00"/>
        <d v="1962-10-09T00:00:00"/>
        <d v="1962-09-18T00:00:00"/>
        <d v="1962-09-21T00:00:00"/>
        <d v="1962-09-23T00:00:00"/>
        <d v="1962-10-10T00:00:00"/>
        <d v="1962-12-10T00:00:00"/>
        <d v="1962-10-19T00:00:00"/>
        <d v="1962-10-25T00:00:00"/>
        <d v="1962-10-11T00:00:00"/>
        <d v="1962-11-19T00:00:00"/>
        <d v="1962-11-23T00:00:00"/>
        <d v="1962-11-26T00:00:00"/>
        <d v="1962-11-27T00:00:00"/>
        <d v="1962-11-30T00:00:00"/>
        <d v="1962-06-12T00:00:00"/>
        <d v="1962-12-14T00:00:00"/>
        <d v="1962-12-19T00:00:00"/>
        <d v="1962-12-20T00:00:00"/>
        <d v="1962-12-22T00:00:00"/>
        <d v="1962-12-28T00:00:00"/>
        <d v="1962-12-29T00:00:00"/>
        <d v="1963-01-14T00:00:00"/>
        <d v="1963-01-15T00:00:00"/>
        <d v="1963-01-17T00:00:00"/>
        <d v="1963-01-26T00:00:00"/>
        <d v="1963-01-29T00:00:00"/>
        <d v="1963-01-30T00:00:00"/>
        <d v="1963-01-02T00:00:00"/>
        <d v="1963-03-02T00:00:00"/>
        <d v="1963-08-02T00:00:00"/>
        <d v="1963-12-02T00:00:00"/>
        <d v="1963-02-28T00:00:00"/>
        <d v="1963-02-03T00:00:00"/>
        <d v="1963-05-03T00:00:00"/>
        <d v="1963-03-15T00:00:00"/>
        <d v="1963-03-20T00:00:00"/>
        <d v="1963-03-23T00:00:00"/>
        <d v="1963-03-30T00:00:00"/>
        <d v="1963-04-04T00:00:00"/>
        <d v="1963-04-14T00:00:00"/>
        <d v="1963-03-05T00:00:00"/>
        <d v="1963-12-05T00:00:00"/>
        <d v="1963-03-06T00:00:00"/>
        <d v="1963-10-06T00:00:00"/>
        <d v="1963-06-16T00:00:00"/>
        <d v="1963-06-23T00:00:00"/>
        <d v="1963-01-07T00:00:00"/>
        <d v="1963-02-07T00:00:00"/>
        <d v="1963-03-07T00:00:00"/>
        <d v="1963-07-13T00:00:00"/>
        <d v="1963-07-15T00:00:00"/>
        <d v="1963-07-17T00:00:00"/>
        <d v="1963-07-27T00:00:00"/>
        <d v="1963-04-08T00:00:00"/>
        <d v="1963-12-08T00:00:00"/>
        <d v="1963-08-14T00:00:00"/>
        <d v="1963-08-17T00:00:00"/>
        <d v="1963-08-21T00:00:00"/>
        <d v="1963-08-24T00:00:00"/>
        <d v="1963-08-28T00:00:00"/>
        <d v="1963-02-09T00:00:00"/>
        <d v="1963-04-09T00:00:00"/>
        <d v="1963-11-09T00:00:00"/>
        <d v="1963-12-09T00:00:00"/>
        <d v="1963-09-22T00:00:00"/>
        <d v="1963-09-10T00:00:00"/>
        <d v="1963-10-14T00:00:00"/>
        <d v="1963-10-18T00:00:00"/>
        <d v="1963-10-20T00:00:00"/>
        <d v="1963-10-22T00:00:00"/>
        <d v="1963-08-11T00:00:00"/>
        <d v="1963-11-29T00:00:00"/>
        <d v="1963-07-12T00:00:00"/>
        <d v="1963-08-12T00:00:00"/>
        <d v="1963-12-12T00:00:00"/>
        <d v="1963-12-15T00:00:00"/>
        <d v="1963-12-17T00:00:00"/>
        <d v="1964-09-01T00:00:00"/>
        <d v="1964-03-02T00:00:00"/>
        <d v="1964-04-02T00:00:00"/>
        <d v="1964-02-18T00:00:00"/>
        <d v="1964-02-21T00:00:00"/>
        <d v="1964-02-25T00:00:00"/>
        <d v="1964-02-27T00:00:00"/>
        <d v="1964-02-29T00:00:00"/>
        <d v="1964-01-03T00:00:00"/>
        <d v="1964-04-03T00:00:00"/>
        <d v="1964-08-03T00:00:00"/>
        <d v="1964-10-03T00:00:00"/>
        <d v="1964-12-03T00:00:00"/>
        <d v="1964-03-20T00:00:00"/>
        <d v="1964-03-28T00:00:00"/>
        <d v="1964-12-04T00:00:00"/>
        <d v="1964-04-17T00:00:00"/>
        <d v="1964-07-05T00:00:00"/>
        <d v="1964-08-05T00:00:00"/>
        <d v="1964-11-05T00:00:00"/>
        <d v="1964-05-20T00:00:00"/>
        <d v="1964-05-27T00:00:00"/>
        <d v="1964-06-13T00:00:00"/>
        <d v="1964-06-20T00:00:00"/>
        <d v="1964-06-21T00:00:00"/>
        <d v="1964-08-07T00:00:00"/>
        <d v="1964-09-07T00:00:00"/>
        <d v="1964-07-16T00:00:00"/>
        <d v="1964-07-31T00:00:00"/>
        <d v="1964-08-22T00:00:00"/>
        <d v="1964-02-09T00:00:00"/>
        <d v="1964-04-09T00:00:00"/>
        <d v="1964-09-15T00:00:00"/>
        <d v="1964-02-10T00:00:00"/>
        <d v="1964-09-10T00:00:00"/>
        <d v="1964-10-19T00:00:00"/>
        <d v="1964-03-11T00:00:00"/>
        <d v="1964-11-15T00:00:00"/>
        <d v="1964-11-17T00:00:00"/>
        <d v="1964-11-20T00:00:00"/>
        <d v="1964-11-23T00:00:00"/>
        <d v="1964-11-29T00:00:00"/>
        <d v="1964-08-12T00:00:00"/>
        <d v="1964-11-12T00:00:00"/>
        <d v="1964-12-21T00:00:00"/>
        <d v="1964-12-24T00:00:00"/>
        <d v="1964-12-29T00:00:00"/>
        <d v="1964-12-30T00:00:00"/>
        <d v="1965-02-01T00:00:00"/>
        <d v="1965-03-01T00:00:00"/>
        <d v="1965-01-16T00:00:00"/>
        <d v="1965-01-17T00:00:00"/>
        <d v="1965-01-22T00:00:00"/>
        <d v="1965-06-02T00:00:00"/>
        <d v="1965-08-02T00:00:00"/>
        <d v="1965-02-13T00:00:00"/>
        <d v="1965-02-03T00:00:00"/>
        <d v="1965-08-03T00:00:00"/>
        <d v="1965-03-17T00:00:00"/>
        <d v="1965-03-20T00:00:00"/>
        <d v="1965-03-22T00:00:00"/>
        <d v="1965-03-23T00:00:00"/>
        <d v="1965-03-26T00:00:00"/>
        <d v="1965-03-31T00:00:00"/>
        <d v="1965-10-04T00:00:00"/>
        <d v="1965-04-14T00:00:00"/>
        <d v="1965-04-23T00:00:00"/>
        <d v="1965-05-05T00:00:00"/>
        <d v="1965-05-20T00:00:00"/>
        <d v="1965-06-15T00:00:00"/>
        <d v="1965-06-25T00:00:00"/>
        <d v="1965-06-28T00:00:00"/>
        <d v="1965-01-07T00:00:00"/>
        <d v="1965-06-07T00:00:00"/>
        <d v="1965-07-07T00:00:00"/>
        <d v="1965-08-07T00:00:00"/>
        <d v="1965-11-07T00:00:00"/>
        <d v="1965-07-15T00:00:00"/>
        <d v="1965-07-25T00:00:00"/>
        <d v="1965-04-08T00:00:00"/>
        <d v="1965-12-08T00:00:00"/>
        <d v="1965-08-16T00:00:00"/>
        <d v="1965-08-20T00:00:00"/>
        <d v="1965-08-24T00:00:00"/>
        <d v="1965-04-09T00:00:00"/>
        <d v="1965-11-09T00:00:00"/>
        <d v="1965-09-14T00:00:00"/>
        <d v="1965-09-16T00:00:00"/>
        <d v="1965-09-17T00:00:00"/>
        <d v="1965-09-27T00:00:00"/>
        <d v="1965-08-10T00:00:00"/>
        <d v="1965-10-17T00:00:00"/>
        <d v="1965-10-18T00:00:00"/>
        <d v="1965-10-20T00:00:00"/>
        <d v="1965-10-27T00:00:00"/>
        <d v="1965-02-11T00:00:00"/>
        <d v="1965-03-11T00:00:00"/>
        <d v="1965-08-11T00:00:00"/>
        <d v="1965-10-11T00:00:00"/>
        <d v="1965-11-11T00:00:00"/>
        <d v="1965-11-14T00:00:00"/>
        <d v="1965-11-27T00:00:00"/>
        <d v="1965-04-12T00:00:00"/>
        <d v="1965-07-12T00:00:00"/>
        <d v="1965-11-12T00:00:00"/>
        <d v="1965-12-16T00:00:00"/>
        <d v="1966-01-01T00:00:00"/>
        <d v="1966-09-01T00:00:00"/>
        <d v="1966-01-14T00:00:00"/>
        <d v="1966-01-15T00:00:00"/>
        <d v="1966-01-22T00:00:00"/>
        <d v="1966-01-24T00:00:00"/>
        <d v="1966-01-25T00:00:00"/>
        <d v="1966-01-28T00:00:00"/>
        <d v="1966-04-02T00:00:00"/>
        <d v="1966-07-02T00:00:00"/>
        <d v="1966-02-15T00:00:00"/>
        <d v="1966-02-16T00:00:00"/>
        <d v="1966-02-17T00:00:00"/>
        <d v="1966-02-18T00:00:00"/>
        <d v="1966-04-03T00:00:00"/>
        <d v="1966-05-03T00:00:00"/>
        <d v="1966-10-03T00:00:00"/>
        <d v="1966-03-18T00:00:00"/>
        <d v="1966-03-20T00:00:00"/>
        <d v="1966-04-22T00:00:00"/>
        <d v="1966-04-23T00:00:00"/>
        <d v="1966-04-27T00:00:00"/>
        <d v="1966-04-05T00:00:00"/>
        <d v="1966-06-29T00:00:00"/>
        <d v="1966-04-07T00:00:00"/>
        <d v="1966-11-07T00:00:00"/>
        <d v="1966-07-15T00:00:00"/>
        <d v="1966-07-24T00:00:00"/>
        <d v="1966-03-08T00:00:00"/>
        <d v="1966-06-08T00:00:00"/>
        <d v="1966-11-08T00:00:00"/>
        <d v="1966-08-17T00:00:00"/>
        <d v="1966-08-21T00:00:00"/>
        <d v="1966-01-09T00:00:00"/>
        <d v="1966-04-09T00:00:00"/>
        <d v="1966-09-16T00:00:00"/>
        <d v="1966-09-22T00:00:00"/>
        <d v="1966-01-10T00:00:00"/>
        <d v="1966-04-10T00:00:00"/>
        <d v="1966-08-10T00:00:00"/>
        <d v="1966-11-11T00:00:00"/>
        <d v="1966-11-13T00:00:00"/>
        <d v="1966-11-15T00:00:00"/>
        <d v="1966-11-20T00:00:00"/>
        <d v="1966-11-22T00:00:00"/>
        <d v="1966-11-24T00:00:00"/>
        <d v="1966-11-26T00:00:00"/>
        <d v="1966-02-12T00:00:00"/>
        <d v="1966-12-18T00:00:00"/>
        <d v="1966-12-24T00:00:00"/>
        <d v="1967-06-02T00:00:00"/>
        <d v="1967-07-02T00:00:00"/>
        <d v="1967-09-02T00:00:00"/>
        <d v="1967-02-16T00:00:00"/>
        <d v="1967-02-20T00:00:00"/>
        <d v="1967-02-28T00:00:00"/>
        <d v="1967-05-03T00:00:00"/>
        <d v="1967-08-03T00:00:00"/>
        <d v="1967-09-03T00:00:00"/>
        <d v="1967-10-03T00:00:00"/>
        <d v="1967-11-03T00:00:00"/>
        <d v="1967-12-03T00:00:00"/>
        <d v="1967-03-13T00:00:00"/>
        <d v="1967-03-30T00:00:00"/>
        <d v="1967-02-04T00:00:00"/>
        <d v="1967-11-04T00:00:00"/>
        <d v="1967-04-17T00:00:00"/>
        <d v="1967-04-20T00:00:00"/>
        <d v="1967-04-26T00:00:00"/>
        <d v="1967-04-27T00:00:00"/>
        <d v="1967-01-05T00:00:00"/>
        <d v="1967-05-15T00:00:00"/>
        <d v="1967-05-19T00:00:00"/>
        <d v="1967-03-06T00:00:00"/>
        <d v="1967-04-06T00:00:00"/>
        <d v="1967-11-06T00:00:00"/>
        <d v="1967-12-06T00:00:00"/>
        <d v="1967-06-15T00:00:00"/>
        <d v="1967-06-17T00:00:00"/>
        <d v="1967-06-23T00:00:00"/>
        <d v="1967-06-24T00:00:00"/>
        <d v="1967-06-30T00:00:00"/>
        <d v="1967-06-07T00:00:00"/>
        <d v="1967-07-19T00:00:00"/>
        <d v="1967-07-25T00:00:00"/>
        <d v="1967-05-09T00:00:00"/>
        <d v="1967-08-10T00:00:00"/>
        <d v="1967-12-10T00:00:00"/>
        <d v="1967-10-24T00:00:00"/>
        <d v="1967-03-11T00:00:00"/>
        <d v="1967-04-11T00:00:00"/>
        <d v="1967-05-11T00:00:00"/>
        <d v="1967-06-11T00:00:00"/>
        <d v="1967-11-16T00:00:00"/>
        <d v="1967-11-20T00:00:00"/>
        <d v="1967-11-30T00:00:00"/>
        <d v="1967-07-12T00:00:00"/>
        <d v="1967-08-12T00:00:00"/>
        <d v="1967-10-12T00:00:00"/>
        <d v="1967-12-21T00:00:00"/>
        <d v="1967-12-25T00:00:00"/>
        <d v="1967-12-30T00:00:00"/>
        <d v="1968-06-01T00:00:00"/>
        <d v="1968-08-01T00:00:00"/>
        <d v="1968-10-01T00:00:00"/>
        <d v="1968-01-15T00:00:00"/>
        <d v="1968-01-27T00:00:00"/>
        <d v="1968-07-02T00:00:00"/>
        <d v="1968-02-16T00:00:00"/>
        <d v="1968-02-24T00:00:00"/>
        <d v="1968-02-29T00:00:00"/>
        <d v="1968-05-03T00:00:00"/>
        <d v="1968-06-03T00:00:00"/>
        <d v="1968-08-03T00:00:00"/>
        <d v="1968-09-03T00:00:00"/>
        <d v="1968-03-24T00:00:00"/>
        <d v="1968-03-27T00:00:00"/>
        <d v="1968-08-04T00:00:00"/>
        <d v="1968-10-04T00:00:00"/>
        <d v="1968-04-19T00:00:00"/>
        <d v="1968-04-20T00:00:00"/>
        <d v="1968-04-30T00:00:00"/>
        <d v="1968-03-05T00:00:00"/>
        <d v="1968-12-05T00:00:00"/>
        <d v="1968-05-22T00:00:00"/>
        <d v="1968-05-28T00:00:00"/>
        <d v="1968-12-06T00:00:00"/>
        <d v="1968-06-18T00:00:00"/>
        <d v="1968-06-25T00:00:00"/>
        <d v="1968-06-28T00:00:00"/>
        <d v="1968-03-07T00:00:00"/>
        <d v="1968-08-07T00:00:00"/>
        <d v="1968-07-13T00:00:00"/>
        <d v="1968-07-15T00:00:00"/>
        <d v="1968-07-18T00:00:00"/>
        <d v="1968-02-08T00:00:00"/>
        <d v="1968-04-08T00:00:00"/>
        <d v="1968-09-08T00:00:00"/>
        <d v="1968-10-08T00:00:00"/>
        <d v="1968-08-14T00:00:00"/>
        <d v="1968-08-18T00:00:00"/>
        <d v="1968-08-20T00:00:00"/>
        <d v="1968-08-31T00:00:00"/>
        <d v="1968-03-09T00:00:00"/>
        <d v="1968-08-09T00:00:00"/>
        <d v="1968-11-09T00:00:00"/>
        <d v="1968-09-28T00:00:00"/>
        <d v="1968-08-10T00:00:00"/>
        <d v="1968-11-10T00:00:00"/>
        <d v="1968-10-20T00:00:00"/>
        <d v="1968-10-21T00:00:00"/>
        <d v="1968-10-25T00:00:00"/>
        <d v="1968-11-22T00:00:00"/>
        <d v="1968-11-23T00:00:00"/>
        <d v="1968-11-25T00:00:00"/>
        <d v="1968-02-12T00:00:00"/>
        <d v="1968-12-12T00:00:00"/>
        <d v="1968-12-24T00:00:00"/>
        <d v="1968-12-26T00:00:00"/>
        <d v="1968-12-27T00:00:00"/>
        <d v="1968-12-31T00:00:00"/>
        <d v="1969-02-01T00:00:00"/>
        <d v="1969-05-01T00:00:00"/>
        <d v="1969-06-01T00:00:00"/>
        <d v="1969-01-13T00:00:00"/>
        <d v="1969-01-16T00:00:00"/>
        <d v="1969-01-18T00:00:00"/>
        <d v="1969-02-18T00:00:00"/>
        <d v="1969-02-24T00:00:00"/>
        <d v="1969-05-03T00:00:00"/>
        <d v="1969-08-03T00:00:00"/>
        <d v="1969-03-13T00:00:00"/>
        <d v="1969-03-16T00:00:00"/>
        <d v="1969-03-20T00:00:00"/>
        <d v="1969-02-04T00:00:00"/>
        <d v="1969-07-04T00:00:00"/>
        <d v="1969-04-15T00:00:00"/>
        <d v="1969-04-16T00:00:00"/>
        <d v="1969-04-21T00:00:00"/>
        <d v="1969-04-24T00:00:00"/>
        <d v="1969-06-05T00:00:00"/>
        <d v="1969-07-05T00:00:00"/>
        <d v="1969-05-23T00:00:00"/>
        <d v="1969-05-25T00:00:00"/>
        <d v="1969-04-06T00:00:00"/>
        <d v="1969-05-06T00:00:00"/>
        <d v="1969-06-23T00:00:00"/>
        <d v="1969-06-28T00:00:00"/>
        <d v="1969-06-07T00:00:00"/>
        <d v="1969-12-07T00:00:00"/>
        <d v="1969-07-15T00:00:00"/>
        <d v="1969-07-25T00:00:00"/>
        <d v="1969-07-26T00:00:00"/>
        <d v="1969-03-08T00:00:00"/>
        <d v="1969-08-19T00:00:00"/>
        <d v="1969-08-25T00:00:00"/>
        <d v="1969-08-26T00:00:00"/>
        <d v="1969-08-31T00:00:00"/>
        <d v="1969-01-09T00:00:00"/>
        <d v="1969-02-09T00:00:00"/>
        <d v="1969-06-09T00:00:00"/>
        <d v="1969-08-09T00:00:00"/>
        <d v="1969-09-09T00:00:00"/>
        <d v="1969-12-09T00:00:00"/>
        <d v="1969-09-14T00:00:00"/>
        <d v="1969-09-17T00:00:00"/>
        <d v="1969-09-20T00:00:00"/>
        <d v="1969-09-21T00:00:00"/>
        <d v="1969-09-26T00:00:00"/>
        <d v="1969-02-10T00:00:00"/>
        <d v="1969-10-13T00:00:00"/>
        <d v="1969-09-11T00:00:00"/>
        <d v="1969-11-13T00:00:00"/>
        <d v="1969-11-19T00:00:00"/>
        <d v="1969-11-20T00:00:00"/>
        <d v="1969-03-12T00:00:00"/>
        <d v="1969-05-12T00:00:00"/>
        <d v="1969-06-12T00:00:00"/>
        <d v="1969-08-12T00:00:00"/>
        <d v="1969-10-12T00:00:00"/>
        <d v="1969-12-22T00:00:00"/>
        <d v="1969-12-23T00:00:00"/>
        <d v="1970-05-01T00:00:00"/>
        <d v="1970-12-01T00:00:00"/>
        <d v="1970-01-13T00:00:00"/>
        <d v="1970-01-14T00:00:00"/>
        <d v="1970-01-25T00:00:00"/>
        <d v="1970-01-28T00:00:00"/>
        <d v="1970-01-29T00:00:00"/>
        <d v="1970-04-02T00:00:00"/>
        <d v="1970-06-02T00:00:00"/>
        <d v="1970-10-02T00:00:00"/>
        <d v="1970-12-02T00:00:00"/>
        <d v="1970-02-15T00:00:00"/>
        <d v="1970-02-19T00:00:00"/>
        <d v="1970-02-21T00:00:00"/>
        <d v="1970-06-03T00:00:00"/>
        <d v="1970-03-14T00:00:00"/>
        <d v="1970-03-16T00:00:00"/>
        <d v="1970-03-26T00:00:00"/>
        <d v="1970-01-04T00:00:00"/>
        <d v="1970-04-04T00:00:00"/>
        <d v="1970-04-21T00:00:00"/>
        <d v="1970-04-25T00:00:00"/>
        <d v="1970-04-28T00:00:00"/>
        <d v="1970-02-05T00:00:00"/>
        <d v="1970-04-05T00:00:00"/>
        <d v="1970-06-05T00:00:00"/>
        <d v="1970-09-05T00:00:00"/>
        <d v="1970-05-15T00:00:00"/>
        <d v="1970-05-26T00:00:00"/>
        <d v="1970-05-30T00:00:00"/>
        <d v="1970-01-06T00:00:00"/>
        <d v="1970-02-06T00:00:00"/>
        <d v="1970-10-06T00:00:00"/>
        <d v="1970-03-07T00:00:00"/>
        <d v="1970-05-07T00:00:00"/>
        <d v="1970-07-18T00:00:00"/>
        <d v="1970-07-27T00:00:00"/>
        <d v="1970-03-08T00:00:00"/>
        <d v="1970-06-08T00:00:00"/>
        <d v="1970-09-08T00:00:00"/>
        <d v="1970-12-08T00:00:00"/>
        <d v="1970-08-26T00:00:00"/>
        <d v="1970-08-29T00:00:00"/>
        <d v="1970-08-30T00:00:00"/>
        <d v="1970-02-09T00:00:00"/>
        <d v="1970-03-09T00:00:00"/>
        <d v="1970-08-09T00:00:00"/>
        <d v="1970-09-26T00:00:00"/>
        <d v="1970-09-30T00:00:00"/>
        <d v="1970-02-10T00:00:00"/>
        <d v="1970-04-10T00:00:00"/>
        <d v="1970-06-10T00:00:00"/>
        <d v="1970-10-10T00:00:00"/>
        <d v="1970-10-28T00:00:00"/>
        <d v="1970-11-14T00:00:00"/>
        <d v="1970-11-27T00:00:00"/>
        <d v="1970-11-29T00:00:00"/>
        <d v="1970-02-12T00:00:00"/>
        <d v="1970-05-12T00:00:00"/>
        <d v="1970-07-12T00:00:00"/>
        <d v="1970-12-28T00:00:00"/>
        <d v="1970-12-31T00:00:00"/>
        <d v="1971-02-01T00:00:00"/>
        <d v="1971-09-01T00:00:00"/>
        <d v="1971-01-18T00:00:00"/>
        <d v="1971-01-21T00:00:00"/>
        <d v="1971-01-22T00:00:00"/>
        <d v="1971-01-23T00:00:00"/>
        <d v="1971-01-25T00:00:00"/>
        <d v="1971-01-31T00:00:00"/>
        <d v="1971-02-17T00:00:00"/>
        <d v="1971-03-26T00:00:00"/>
        <d v="1971-03-31T00:00:00"/>
        <d v="1971-04-15T00:00:00"/>
        <d v="1971-04-22T00:00:00"/>
        <d v="1971-11-05T00:00:00"/>
        <d v="1971-05-23T00:00:00"/>
        <d v="1971-05-25T00:00:00"/>
        <d v="1971-05-28T00:00:00"/>
        <d v="1971-06-06T00:00:00"/>
        <d v="1971-07-06T00:00:00"/>
        <d v="1971-06-13T00:00:00"/>
        <d v="1971-06-17T00:00:00"/>
        <d v="1971-06-28T00:00:00"/>
        <d v="1971-03-07T00:00:00"/>
        <d v="1971-07-24T00:00:00"/>
        <d v="1971-07-25T00:00:00"/>
        <d v="1971-07-30T00:00:00"/>
        <d v="1971-08-18T00:00:00"/>
        <d v="1971-08-19T00:00:00"/>
        <d v="1971-08-28T00:00:00"/>
        <d v="1971-04-09T00:00:00"/>
        <d v="1971-06-09T00:00:00"/>
        <d v="1971-09-16T00:00:00"/>
        <d v="1971-09-17T00:00:00"/>
        <d v="1971-09-28T00:00:00"/>
        <d v="1971-02-10T00:00:00"/>
        <d v="1971-10-10T00:00:00"/>
        <d v="1971-10-16T00:00:00"/>
        <d v="1971-10-17T00:00:00"/>
        <d v="1971-10-21T00:00:00"/>
        <d v="1971-10-23T00:00:00"/>
        <d v="1971-10-24T00:00:00"/>
        <d v="1971-09-11T00:00:00"/>
        <d v="1971-10-11T00:00:00"/>
        <d v="1971-12-11T00:00:00"/>
        <d v="1971-11-21T00:00:00"/>
        <d v="1971-11-28T00:00:00"/>
        <d v="1971-01-12T00:00:00"/>
        <d v="1971-04-12T00:00:00"/>
        <d v="1971-06-12T00:00:00"/>
        <d v="1971-09-12T00:00:00"/>
        <d v="1971-12-21T00:00:00"/>
        <d v="1971-12-24T00:00:00"/>
        <d v="1972-06-01T00:00:00"/>
        <d v="1972-07-01T00:00:00"/>
        <d v="1972-01-21T00:00:00"/>
        <d v="1972-01-26T00:00:00"/>
        <d v="1972-01-02T00:00:00"/>
        <d v="1972-04-02T00:00:00"/>
        <d v="1972-05-02T00:00:00"/>
        <d v="1972-11-02T00:00:00"/>
        <d v="1972-03-03T00:00:00"/>
        <d v="1972-03-14T00:00:00"/>
        <d v="1972-03-19T00:00:00"/>
        <d v="1972-12-04T00:00:00"/>
        <d v="1972-04-16T00:00:00"/>
        <d v="1972-04-17T00:00:00"/>
        <d v="1972-04-18T00:00:00"/>
        <d v="1972-04-20T00:00:00"/>
        <d v="1972-04-24T00:00:00"/>
        <d v="1972-04-05T00:00:00"/>
        <d v="1972-05-05T00:00:00"/>
        <d v="1972-08-05T00:00:00"/>
        <d v="1972-10-05T00:00:00"/>
        <d v="1972-05-16T00:00:00"/>
        <d v="1972-05-18T00:00:00"/>
        <d v="1972-05-21T00:00:00"/>
        <d v="1972-05-27T00:00:00"/>
        <d v="1972-05-29T00:00:00"/>
        <d v="1972-05-30T00:00:00"/>
        <d v="1972-05-06T00:00:00"/>
        <d v="1972-06-13T00:00:00"/>
        <d v="1972-06-14T00:00:00"/>
        <d v="1972-06-15T00:00:00"/>
        <d v="1972-06-18T00:00:00"/>
        <d v="1972-06-24T00:00:00"/>
        <d v="1972-06-29T00:00:00"/>
        <d v="1972-05-07T00:00:00"/>
        <d v="1972-06-07T00:00:00"/>
        <d v="1972-11-07T00:00:00"/>
        <d v="1972-07-20T00:00:00"/>
        <d v="1972-07-29T00:00:00"/>
        <d v="1972-12-08T00:00:00"/>
        <d v="1972-08-14T00:00:00"/>
        <d v="1972-08-16T00:00:00"/>
        <d v="1972-08-27T00:00:00"/>
        <d v="1972-08-28T00:00:00"/>
        <d v="1972-08-31T00:00:00"/>
        <d v="1972-01-09T00:00:00"/>
        <d v="1972-07-09T00:00:00"/>
        <d v="1972-10-09T00:00:00"/>
        <d v="1972-09-13T00:00:00"/>
        <d v="1972-09-24T00:00:00"/>
        <d v="1972-01-10T00:00:00"/>
        <d v="1972-02-10T00:00:00"/>
        <d v="1972-10-13T00:00:00"/>
        <d v="1972-10-16T00:00:00"/>
        <d v="1972-10-21T00:00:00"/>
        <d v="1972-10-23T00:00:00"/>
        <d v="1972-10-27T00:00:00"/>
        <d v="1972-10-30T00:00:00"/>
        <d v="1972-10-31T00:00:00"/>
        <d v="1972-04-11T00:00:00"/>
        <d v="1972-11-17T00:00:00"/>
        <d v="1972-11-28T00:00:00"/>
        <d v="1972-03-12T00:00:00"/>
        <d v="1972-08-12T00:00:00"/>
        <d v="1972-12-20T00:00:00"/>
        <d v="1972-12-21T00:00:00"/>
        <d v="1972-12-23T00:00:00"/>
        <d v="1972-12-29T00:00:00"/>
        <d v="1972-12-31T00:00:00"/>
        <d v="1973-02-01T00:00:00"/>
        <d v="1973-01-19T00:00:00"/>
        <d v="1973-01-21T00:00:00"/>
        <d v="1973-01-22T00:00:00"/>
        <d v="1973-01-27T00:00:00"/>
        <d v="1973-01-29T00:00:00"/>
        <d v="1973-02-19T00:00:00"/>
        <d v="1973-02-21T00:00:00"/>
        <d v="1973-02-24T00:00:00"/>
        <d v="1973-02-28T00:00:00"/>
        <d v="1973-03-03T00:00:00"/>
        <d v="1973-05-03T00:00:00"/>
        <d v="1973-03-15T00:00:00"/>
        <d v="1973-03-19T00:00:00"/>
        <d v="1973-10-04T00:00:00"/>
        <d v="1973-12-04T00:00:00"/>
        <d v="1973-04-18T00:00:00"/>
        <d v="1973-11-05T00:00:00"/>
        <d v="1973-05-18T00:00:00"/>
        <d v="1973-05-19T00:00:00"/>
        <d v="1973-05-29T00:00:00"/>
        <d v="1973-05-31T00:00:00"/>
        <d v="1973-01-06T00:00:00"/>
        <d v="1973-03-06T00:00:00"/>
        <d v="1973-09-06T00:00:00"/>
        <d v="1973-06-20T00:00:00"/>
        <d v="1973-06-30T00:00:00"/>
        <d v="1973-04-07T00:00:00"/>
        <d v="1973-09-07T00:00:00"/>
        <d v="1973-11-07T00:00:00"/>
        <d v="1973-07-22T00:00:00"/>
        <d v="1973-07-23T00:00:00"/>
        <d v="1973-07-24T00:00:00"/>
        <d v="1973-07-31T00:00:00"/>
        <d v="1973-08-13T00:00:00"/>
        <d v="1973-08-15T00:00:00"/>
        <d v="1973-08-18T00:00:00"/>
        <d v="1973-08-22T00:00:00"/>
        <d v="1973-08-27T00:00:00"/>
        <d v="1973-08-28T00:00:00"/>
        <d v="1973-08-09T00:00:00"/>
        <d v="1973-11-09T00:00:00"/>
        <d v="1973-09-20T00:00:00"/>
        <d v="1973-09-27T00:00:00"/>
        <d v="1973-09-30T00:00:00"/>
        <d v="1973-02-10T00:00:00"/>
        <d v="1973-10-13T00:00:00"/>
        <d v="1973-10-23T00:00:00"/>
        <d v="1973-02-11T00:00:00"/>
        <d v="1973-03-11T00:00:00"/>
        <d v="1973-11-17T00:00:00"/>
        <d v="1973-07-12T00:00:00"/>
        <d v="1973-12-16T00:00:00"/>
        <d v="1973-12-17T00:00:00"/>
        <d v="1973-12-21T00:00:00"/>
        <d v="1973-12-22T00:00:00"/>
        <d v="1973-12-23T00:00:00"/>
        <d v="1973-12-28T00:00:00"/>
        <d v="1974-01-01T00:00:00"/>
        <d v="1974-06-01T00:00:00"/>
        <d v="1974-09-01T00:00:00"/>
        <d v="1974-10-01T00:00:00"/>
        <d v="1974-01-17T00:00:00"/>
        <d v="1974-01-26T00:00:00"/>
        <d v="1974-01-30T00:00:00"/>
        <d v="1974-02-02T00:00:00"/>
        <d v="1974-09-02T00:00:00"/>
        <d v="1974-02-22T00:00:00"/>
        <d v="1974-02-23T00:00:00"/>
        <d v="1974-03-03T00:00:00"/>
        <d v="1974-08-03T00:00:00"/>
        <d v="1974-03-13T00:00:00"/>
        <d v="1974-03-15T00:00:00"/>
        <d v="1974-04-04T00:00:00"/>
        <d v="1974-04-22T00:00:00"/>
        <d v="1974-04-27T00:00:00"/>
        <d v="1974-04-30T00:00:00"/>
        <d v="1974-02-05T00:00:00"/>
        <d v="1974-06-05T00:00:00"/>
        <d v="1974-05-23T00:00:00"/>
        <d v="1974-05-31T00:00:00"/>
        <d v="1974-08-06T00:00:00"/>
        <d v="1974-06-27T00:00:00"/>
        <d v="1974-06-30T00:00:00"/>
        <d v="1974-07-24T00:00:00"/>
        <d v="1974-07-27T00:00:00"/>
        <d v="1974-05-08T00:00:00"/>
        <d v="1974-11-08T00:00:00"/>
        <d v="1974-12-08T00:00:00"/>
        <d v="1974-08-14T00:00:00"/>
        <d v="1974-08-18T00:00:00"/>
        <d v="1974-07-09T00:00:00"/>
        <d v="1974-08-09T00:00:00"/>
        <d v="1974-11-09T00:00:00"/>
        <d v="1974-09-15T00:00:00"/>
        <d v="1974-10-19T00:00:00"/>
        <d v="1974-10-27T00:00:00"/>
        <d v="1974-10-28T00:00:00"/>
        <d v="1974-01-11T00:00:00"/>
        <d v="1974-11-15T00:00:00"/>
        <d v="1974-11-20T00:00:00"/>
        <d v="1974-11-22T00:00:00"/>
        <d v="1974-01-12T00:00:00"/>
        <d v="1974-04-12T00:00:00"/>
        <d v="1974-11-12T00:00:00"/>
        <d v="1974-12-12T00:00:00"/>
        <d v="1974-12-14T00:00:00"/>
        <d v="1974-12-22T00:00:00"/>
        <d v="1974-12-29T00:00:00"/>
        <d v="1975-03-01T00:00:00"/>
        <d v="1975-08-01T00:00:00"/>
        <d v="1975-09-01T00:00:00"/>
        <d v="1975-01-15T00:00:00"/>
        <d v="1975-01-16T00:00:00"/>
        <d v="1975-01-30T00:00:00"/>
        <d v="1975-01-02T00:00:00"/>
        <d v="1975-03-02T00:00:00"/>
        <d v="1975-09-02T00:00:00"/>
        <d v="1975-02-16T00:00:00"/>
        <d v="1975-02-22T00:00:00"/>
        <d v="1975-02-27T00:00:00"/>
        <d v="1975-12-03T00:00:00"/>
        <d v="1975-03-16T00:00:00"/>
        <d v="1975-03-18T00:00:00"/>
        <d v="1975-03-20T00:00:00"/>
        <d v="1975-04-04T00:00:00"/>
        <d v="1975-05-13T00:00:00"/>
        <d v="1975-03-06T00:00:00"/>
        <d v="1975-06-17T00:00:00"/>
        <d v="1975-06-24T00:00:00"/>
        <d v="1975-06-26T00:00:00"/>
        <d v="1975-10-07T00:00:00"/>
        <d v="1975-07-15T00:00:00"/>
        <d v="1975-07-31T00:00:00"/>
        <d v="1975-03-08T00:00:00"/>
        <d v="1975-07-08T00:00:00"/>
        <d v="1975-09-08T00:00:00"/>
        <d v="1975-08-15T00:00:00"/>
        <d v="1975-08-20T00:00:00"/>
        <d v="1975-08-30T00:00:00"/>
        <d v="1975-01-09T00:00:00"/>
        <d v="1975-11-09T00:00:00"/>
        <d v="1975-09-24T00:00:00"/>
        <d v="1975-09-30T00:00:00"/>
        <d v="1975-10-22T00:00:00"/>
        <d v="1975-10-23T00:00:00"/>
        <d v="1975-10-27T00:00:00"/>
        <d v="1975-10-30T00:00:00"/>
        <d v="1975-03-11T00:00:00"/>
        <d v="1975-11-17T00:00:00"/>
        <d v="1975-11-18T00:00:00"/>
        <d v="1975-11-20T00:00:00"/>
        <d v="1975-11-22T00:00:00"/>
        <d v="1975-11-25T00:00:00"/>
        <d v="1975-11-29T00:00:00"/>
        <d v="1975-12-26T00:00:00"/>
        <d v="1976-01-01T00:00:00"/>
        <d v="1976-03-01T00:00:00"/>
        <d v="1976-08-01T00:00:00"/>
        <d v="1976-01-18T00:00:00"/>
        <d v="1976-01-20T00:00:00"/>
        <d v="1976-01-21T00:00:00"/>
        <d v="1976-01-22T00:00:00"/>
        <d v="1976-04-02T00:00:00"/>
        <d v="1976-08-02T00:00:00"/>
        <d v="1976-09-02T00:00:00"/>
        <d v="1976-02-21T00:00:00"/>
        <d v="1976-01-03T00:00:00"/>
        <d v="1976-02-03T00:00:00"/>
        <d v="1976-06-03T00:00:00"/>
        <d v="1976-07-03T00:00:00"/>
        <d v="1976-02-04T00:00:00"/>
        <d v="1976-05-04T00:00:00"/>
        <d v="1976-04-14T00:00:00"/>
        <d v="1976-04-23T00:00:00"/>
        <d v="1976-04-27T00:00:00"/>
        <d v="1976-05-05T00:00:00"/>
        <d v="1976-09-05T00:00:00"/>
        <d v="1976-05-15T00:00:00"/>
        <d v="1976-05-23T00:00:00"/>
        <d v="1976-01-06T00:00:00"/>
        <d v="1976-04-06T00:00:00"/>
        <d v="1976-06-06T00:00:00"/>
        <d v="1976-06-27T00:00:00"/>
        <d v="1976-05-07T00:00:00"/>
        <d v="1976-07-28T00:00:00"/>
        <d v="1976-02-08T00:00:00"/>
        <d v="1976-09-08T00:00:00"/>
        <d v="1976-08-15T00:00:00"/>
        <d v="1976-08-28T00:00:00"/>
        <d v="1976-02-09T00:00:00"/>
        <d v="1976-03-09T00:00:00"/>
        <d v="1976-09-09T00:00:00"/>
        <d v="1976-10-09T00:00:00"/>
        <d v="1976-09-19T00:00:00"/>
        <d v="1976-09-26T00:00:00"/>
        <d v="1976-04-10T00:00:00"/>
        <d v="1976-06-10T00:00:00"/>
        <d v="1976-10-13T00:00:00"/>
        <d v="1976-10-28T00:00:00"/>
        <d v="1976-04-11T00:00:00"/>
        <d v="1976-05-11T00:00:00"/>
        <d v="1976-11-23T00:00:00"/>
        <d v="1976-11-28T00:00:00"/>
        <d v="1976-12-12T00:00:00"/>
        <d v="1976-12-17T00:00:00"/>
        <d v="1976-12-18T00:00:00"/>
        <d v="1976-12-25T00:00:00"/>
        <d v="1976-12-31T00:00:00"/>
        <d v="1977-06-01T00:00:00"/>
        <d v="1977-01-13T00:00:00"/>
        <d v="1977-01-14T00:00:00"/>
        <d v="1977-01-15T00:00:00"/>
        <d v="1977-01-20T00:00:00"/>
        <d v="1977-11-02T00:00:00"/>
        <d v="1977-02-15T00:00:00"/>
        <d v="1977-02-28T00:00:00"/>
        <d v="1977-01-03T00:00:00"/>
        <d v="1977-03-03T00:00:00"/>
        <d v="1977-04-03T00:00:00"/>
        <d v="1977-03-27T00:00:00"/>
        <d v="1977-03-29T00:00:00"/>
        <d v="1977-03-30T00:00:00"/>
        <d v="1977-04-04T00:00:00"/>
        <d v="1977-10-04T00:00:00"/>
        <d v="1977-04-19T00:00:00"/>
        <d v="1977-04-27T00:00:00"/>
        <d v="1977-10-05T00:00:00"/>
        <d v="1977-05-13T00:00:00"/>
        <d v="1977-05-14T00:00:00"/>
        <d v="1977-05-16T00:00:00"/>
        <d v="1977-05-27T00:00:00"/>
        <d v="1977-03-06T00:00:00"/>
        <d v="1977-06-20T00:00:00"/>
        <d v="1977-06-21T00:00:00"/>
        <d v="1977-06-07T00:00:00"/>
        <d v="1977-08-07T00:00:00"/>
        <d v="1977-07-14T00:00:00"/>
        <d v="1977-07-20T00:00:00"/>
        <d v="1977-07-24T00:00:00"/>
        <d v="1977-07-25T00:00:00"/>
        <d v="1977-01-08T00:00:00"/>
        <d v="1977-08-20T00:00:00"/>
        <d v="1977-08-25T00:00:00"/>
        <d v="1977-02-09T00:00:00"/>
        <d v="1977-04-09T00:00:00"/>
        <d v="1977-06-09T00:00:00"/>
        <d v="1977-08-09T00:00:00"/>
        <d v="1977-12-09T00:00:00"/>
        <d v="1977-09-14T00:00:00"/>
        <d v="1977-09-22T00:00:00"/>
        <d v="1977-09-27T00:00:00"/>
        <d v="1977-10-20T00:00:00"/>
        <d v="1977-10-21T00:00:00"/>
        <d v="1977-03-11T00:00:00"/>
        <d v="1977-11-19T00:00:00"/>
        <d v="1977-11-21T00:00:00"/>
        <d v="1977-11-26T00:00:00"/>
        <d v="1977-02-12T00:00:00"/>
        <d v="1977-04-12T00:00:00"/>
        <d v="1977-08-12T00:00:00"/>
        <d v="1977-09-12T00:00:00"/>
        <d v="1977-11-12T00:00:00"/>
        <d v="1977-12-13T00:00:00"/>
        <d v="1977-12-18T00:00:00"/>
        <d v="1977-12-19T00:00:00"/>
        <d v="1977-12-24T00:00:00"/>
        <d v="1977-12-29T00:00:00"/>
        <d v="1978-01-01T00:00:00"/>
        <d v="1978-01-27T00:00:00"/>
        <d v="1978-01-31T00:00:00"/>
        <d v="1978-10-02T00:00:00"/>
        <d v="1978-11-02T00:00:00"/>
        <d v="1978-02-28T00:00:00"/>
        <d v="1978-01-03T00:00:00"/>
        <d v="1978-02-03T00:00:00"/>
        <d v="1978-03-03T00:00:00"/>
        <d v="1978-03-16T00:00:00"/>
        <d v="1978-03-22T00:00:00"/>
        <d v="1978-03-25T00:00:00"/>
        <d v="1978-04-04T00:00:00"/>
        <d v="1978-05-04T00:00:00"/>
        <d v="1978-04-20T00:00:00"/>
        <d v="1978-04-29T00:00:00"/>
        <d v="1978-08-05T00:00:00"/>
        <d v="1978-05-19T00:00:00"/>
        <d v="1978-06-23T00:00:00"/>
        <d v="1978-06-26T00:00:00"/>
        <d v="1978-08-14T00:00:00"/>
        <d v="1978-08-26T00:00:00"/>
        <d v="1978-08-30T00:00:00"/>
        <d v="1978-03-09T00:00:00"/>
        <d v="1978-09-09T00:00:00"/>
        <d v="1978-09-13T00:00:00"/>
        <d v="1978-09-14T00:00:00"/>
        <d v="1978-09-25T00:00:00"/>
        <d v="1978-03-10T00:00:00"/>
        <d v="1978-06-10T00:00:00"/>
        <d v="1978-07-10T00:00:00"/>
        <d v="1978-08-10T00:00:00"/>
        <d v="1978-10-22T00:00:00"/>
        <d v="1978-10-23T00:00:00"/>
        <d v="1978-05-11T00:00:00"/>
        <d v="1978-11-15T00:00:00"/>
        <d v="1978-11-18T00:00:00"/>
        <d v="1978-11-19T00:00:00"/>
        <d v="1978-11-21T00:00:00"/>
        <d v="1978-11-25T00:00:00"/>
        <d v="1978-04-12T00:00:00"/>
        <d v="1978-12-16T00:00:00"/>
        <d v="1978-12-17T00:00:00"/>
        <d v="1978-12-23T00:00:00"/>
        <d v="1978-12-28T00:00:00"/>
        <d v="1979-01-15T00:00:00"/>
        <d v="1979-01-24T00:00:00"/>
        <d v="1979-01-27T00:00:00"/>
        <d v="1979-01-30T00:00:00"/>
        <d v="1979-08-02T00:00:00"/>
        <d v="1979-12-02T00:00:00"/>
        <d v="1979-02-17T00:00:00"/>
        <d v="1979-02-19T00:00:00"/>
        <d v="1979-01-03T00:00:00"/>
        <d v="1979-10-03T00:00:00"/>
        <d v="1979-03-14T00:00:00"/>
        <d v="1979-03-17T00:00:00"/>
        <d v="1979-03-26T00:00:00"/>
        <d v="1979-03-29T00:00:00"/>
        <d v="1979-04-14T00:00:00"/>
        <d v="1979-04-18T00:00:00"/>
        <d v="1979-04-23T00:00:00"/>
        <d v="1979-05-25T00:00:00"/>
        <d v="1979-05-27T00:00:00"/>
        <d v="1979-05-30T00:00:00"/>
        <d v="1979-07-06T00:00:00"/>
        <d v="1979-06-17T00:00:00"/>
        <d v="1979-11-07T00:00:00"/>
        <d v="1979-12-07T00:00:00"/>
        <d v="1979-07-23T00:00:00"/>
        <d v="1979-07-24T00:00:00"/>
        <d v="1979-07-31T00:00:00"/>
        <d v="1979-02-08T00:00:00"/>
        <d v="1979-03-08T00:00:00"/>
        <d v="1979-04-08T00:00:00"/>
        <d v="1979-11-08T00:00:00"/>
        <d v="1979-08-24T00:00:00"/>
        <d v="1979-08-29T00:00:00"/>
        <d v="1979-03-09T00:00:00"/>
        <d v="1979-11-09T00:00:00"/>
        <d v="1979-09-14T00:00:00"/>
        <d v="1979-09-18T00:00:00"/>
        <d v="1979-09-19T00:00:00"/>
        <d v="1979-09-30T00:00:00"/>
        <d v="1979-07-10T00:00:00"/>
        <d v="1979-08-10T00:00:00"/>
        <d v="1979-10-27T00:00:00"/>
        <d v="1979-10-31T00:00:00"/>
        <d v="1979-11-15T00:00:00"/>
        <d v="1979-11-16T00:00:00"/>
        <d v="1979-11-18T00:00:00"/>
        <d v="1979-11-26T00:00:00"/>
        <d v="1979-11-28T00:00:00"/>
        <d v="1979-11-30T00:00:00"/>
        <d v="1979-09-12T00:00:00"/>
        <d v="1979-12-12T00:00:00"/>
        <d v="1979-12-18T00:00:00"/>
        <d v="1979-12-22T00:00:00"/>
        <d v="1979-12-23T00:00:00"/>
        <d v="1980-02-01T00:00:00"/>
        <d v="1980-11-01T00:00:00"/>
        <d v="1980-01-14T00:00:00"/>
        <d v="1980-01-21T00:00:00"/>
        <d v="1980-01-23T00:00:00"/>
        <d v="1980-01-24T00:00:00"/>
        <d v="1980-03-02T00:00:00"/>
        <d v="1980-02-21T00:00:00"/>
        <d v="1980-02-22T00:00:00"/>
        <d v="1980-02-27T00:00:00"/>
        <d v="1980-03-14T00:00:00"/>
        <d v="1980-03-21T00:00:00"/>
        <d v="1980-12-04T00:00:00"/>
        <d v="1980-04-14T00:00:00"/>
        <d v="1980-04-24T00:00:00"/>
        <d v="1980-04-25T00:00:00"/>
        <d v="1980-04-27T00:00:00"/>
        <d v="1980-02-06T00:00:00"/>
        <d v="1980-08-06T00:00:00"/>
        <d v="1980-12-06T00:00:00"/>
        <d v="1980-06-27T00:00:00"/>
        <d v="1980-08-07T00:00:00"/>
        <d v="1980-01-08T00:00:00"/>
        <d v="1980-06-08T00:00:00"/>
        <d v="1980-07-08T00:00:00"/>
        <d v="1980-08-19T00:00:00"/>
        <d v="1980-08-26T00:00:00"/>
        <d v="1980-05-09T00:00:00"/>
        <d v="1980-10-09T00:00:00"/>
        <d v="1980-12-09T00:00:00"/>
        <d v="1980-09-14T00:00:00"/>
        <d v="1980-09-15T00:00:00"/>
        <d v="1980-09-17T00:00:00"/>
        <d v="1980-09-30T00:00:00"/>
        <d v="1980-12-11T00:00:00"/>
        <d v="1980-11-19T00:00:00"/>
        <d v="1980-11-24T00:00:00"/>
        <d v="1980-11-28T00:00:00"/>
        <d v="1980-05-12T00:00:00"/>
        <d v="1980-12-21T00:00:00"/>
        <d v="1980-12-23T00:00:00"/>
        <d v="1981-01-14T00:00:00"/>
        <d v="1981-01-20T00:00:00"/>
        <d v="1981-07-02T00:00:00"/>
        <d v="1981-11-02T00:00:00"/>
        <d v="1981-02-22T00:00:00"/>
        <d v="1981-02-24T00:00:00"/>
        <d v="1981-02-26T00:00:00"/>
        <d v="1981-10-03T00:00:00"/>
        <d v="1981-03-15T00:00:00"/>
        <d v="1981-03-26T00:00:00"/>
        <d v="1981-06-04T00:00:00"/>
        <d v="1981-07-04T00:00:00"/>
        <d v="1981-04-17T00:00:00"/>
        <d v="1981-04-28T00:00:00"/>
        <d v="1981-06-05T00:00:00"/>
        <d v="1981-07-05T00:00:00"/>
        <d v="1981-05-16T00:00:00"/>
        <d v="1981-05-21T00:00:00"/>
        <d v="1981-05-22T00:00:00"/>
        <d v="1981-05-29T00:00:00"/>
        <d v="1981-06-14T00:00:00"/>
        <d v="1981-06-26T00:00:00"/>
        <d v="1981-07-18T00:00:00"/>
        <d v="1981-07-20T00:00:00"/>
        <d v="1981-07-24T00:00:00"/>
        <d v="1981-07-25T00:00:00"/>
        <d v="1981-07-27T00:00:00"/>
        <d v="1981-08-22T00:00:00"/>
        <d v="1981-08-24T00:00:00"/>
        <d v="1981-08-27T00:00:00"/>
        <d v="1981-08-29T00:00:00"/>
        <d v="1981-02-09T00:00:00"/>
        <d v="1981-09-18T00:00:00"/>
        <d v="1981-09-21T00:00:00"/>
        <d v="1981-09-22T00:00:00"/>
        <d v="1981-09-29T00:00:00"/>
        <d v="1981-01-10T00:00:00"/>
        <d v="1981-06-10T00:00:00"/>
        <d v="1981-10-15T00:00:00"/>
        <d v="1981-10-26T00:00:00"/>
        <d v="1981-10-31T00:00:00"/>
        <d v="1981-08-11T00:00:00"/>
        <d v="1981-11-16T00:00:00"/>
        <d v="1981-11-19T00:00:00"/>
        <d v="1981-11-30T00:00:00"/>
        <d v="1981-01-12T00:00:00"/>
        <d v="1981-05-12T00:00:00"/>
        <d v="1981-12-16T00:00:00"/>
        <d v="1981-12-18T00:00:00"/>
        <d v="1982-07-01T00:00:00"/>
        <d v="1982-01-13T00:00:00"/>
        <d v="1982-01-14T00:00:00"/>
        <d v="1982-01-23T00:00:00"/>
        <d v="1982-01-25T00:00:00"/>
        <d v="1982-03-02T00:00:00"/>
        <d v="1982-06-02T00:00:00"/>
        <d v="1982-07-02T00:00:00"/>
        <d v="1982-09-02T00:00:00"/>
        <d v="1982-02-19T00:00:00"/>
        <d v="1982-02-21T00:00:00"/>
        <d v="1982-11-03T00:00:00"/>
        <d v="1982-03-19T00:00:00"/>
        <d v="1982-03-20T00:00:00"/>
        <d v="1982-03-26T00:00:00"/>
        <d v="1982-11-04T00:00:00"/>
        <d v="1982-04-13T00:00:00"/>
        <d v="1982-04-26T00:00:00"/>
        <d v="1982-04-30T00:00:00"/>
        <d v="1982-09-05T00:00:00"/>
        <d v="1982-12-05T00:00:00"/>
        <d v="1982-05-19T00:00:00"/>
        <d v="1982-05-25T00:00:00"/>
        <d v="1982-05-28T00:00:00"/>
        <d v="1982-01-06T00:00:00"/>
        <d v="1982-08-06T00:00:00"/>
        <d v="1982-12-06T00:00:00"/>
        <d v="1982-06-22T00:00:00"/>
        <d v="1982-06-24T00:00:00"/>
        <d v="1982-06-28T00:00:00"/>
        <d v="1982-03-07T00:00:00"/>
        <d v="1982-06-07T00:00:00"/>
        <d v="1982-09-07T00:00:00"/>
        <d v="1982-11-07T00:00:00"/>
        <d v="1982-07-23T00:00:00"/>
        <d v="1982-11-08T00:00:00"/>
        <d v="1982-12-08T00:00:00"/>
        <d v="1982-08-14T00:00:00"/>
        <d v="1982-01-09T00:00:00"/>
        <d v="1982-04-09T00:00:00"/>
        <d v="1982-11-09T00:00:00"/>
        <d v="1982-09-13T00:00:00"/>
        <d v="1982-09-29T00:00:00"/>
        <d v="1982-11-17T00:00:00"/>
        <d v="1982-11-29T00:00:00"/>
        <d v="1982-07-12T00:00:00"/>
        <d v="1982-09-12T00:00:00"/>
        <d v="1982-12-23T00:00:00"/>
        <d v="1982-12-24T00:00:00"/>
        <d v="1983-09-01T00:00:00"/>
        <d v="1983-11-01T00:00:00"/>
        <d v="1983-01-16T00:00:00"/>
        <d v="1983-02-13T00:00:00"/>
        <d v="1983-09-03T00:00:00"/>
        <d v="1983-10-03T00:00:00"/>
        <d v="1983-11-03T00:00:00"/>
        <d v="1983-03-30T00:00:00"/>
        <d v="1983-07-04T00:00:00"/>
        <d v="1983-04-16T00:00:00"/>
        <d v="1983-04-19T00:00:00"/>
        <d v="1983-04-26T00:00:00"/>
        <d v="1983-04-29T00:00:00"/>
        <d v="1983-04-30T00:00:00"/>
        <d v="1983-05-05T00:00:00"/>
        <d v="1983-06-05T00:00:00"/>
        <d v="1983-02-06T00:00:00"/>
        <d v="1983-06-06T00:00:00"/>
        <d v="1983-08-06T00:00:00"/>
        <d v="1983-06-16T00:00:00"/>
        <d v="1983-06-21T00:00:00"/>
        <d v="1983-06-28T00:00:00"/>
        <d v="1983-01-07T00:00:00"/>
        <d v="1983-11-07T00:00:00"/>
        <d v="1983-07-16T00:00:00"/>
        <d v="1983-07-23T00:00:00"/>
        <d v="1983-08-17T00:00:00"/>
        <d v="1983-08-30T00:00:00"/>
        <d v="1983-01-09T00:00:00"/>
        <d v="1983-02-09T00:00:00"/>
        <d v="1983-09-14T00:00:00"/>
        <d v="1983-09-23T00:00:00"/>
        <d v="1983-09-28T00:00:00"/>
        <d v="1983-07-10T00:00:00"/>
        <d v="1983-08-10T00:00:00"/>
        <d v="1983-11-10T00:00:00"/>
        <d v="1983-10-28T00:00:00"/>
        <d v="1983-08-11T00:00:00"/>
        <d v="1983-11-23T00:00:00"/>
        <d v="1983-11-27T00:00:00"/>
        <d v="1983-11-28T00:00:00"/>
        <d v="1983-07-12T00:00:00"/>
        <d v="1983-12-14T00:00:00"/>
        <d v="1983-12-17T00:00:00"/>
        <d v="1983-12-24T00:00:00"/>
        <d v="1984-02-01T00:00:00"/>
        <d v="1984-03-01T00:00:00"/>
        <d v="1984-09-01T00:00:00"/>
        <d v="1984-10-01T00:00:00"/>
        <d v="1984-01-13T00:00:00"/>
        <d v="1984-01-28T00:00:00"/>
        <d v="1984-01-30T00:00:00"/>
        <d v="1984-02-16T00:00:00"/>
        <d v="1984-02-19T00:00:00"/>
        <d v="1984-02-28T00:00:00"/>
        <d v="1984-03-13T00:00:00"/>
        <d v="1984-03-16T00:00:00"/>
        <d v="1984-03-24T00:00:00"/>
        <d v="1984-03-31T00:00:00"/>
        <d v="1984-04-18T00:00:00"/>
        <d v="1984-08-05T00:00:00"/>
        <d v="1984-05-30T00:00:00"/>
        <d v="1984-04-06T00:00:00"/>
        <d v="1984-06-19T00:00:00"/>
        <d v="1984-06-28T00:00:00"/>
        <d v="1984-11-07T00:00:00"/>
        <d v="1984-12-07T00:00:00"/>
        <d v="1984-07-21T00:00:00"/>
        <d v="1984-02-08T00:00:00"/>
        <d v="1984-04-08T00:00:00"/>
        <d v="1984-05-08T00:00:00"/>
        <d v="1984-11-08T00:00:00"/>
        <d v="1984-08-15T00:00:00"/>
        <d v="1984-08-24T00:00:00"/>
        <d v="1984-08-30T00:00:00"/>
        <d v="1984-06-09T00:00:00"/>
        <d v="1984-07-09T00:00:00"/>
        <d v="1984-11-09T00:00:00"/>
        <d v="1984-09-16T00:00:00"/>
        <d v="1984-09-18T00:00:00"/>
        <d v="1984-09-21T00:00:00"/>
        <d v="1984-09-10T00:00:00"/>
        <d v="1984-11-10T00:00:00"/>
        <d v="1984-10-27T00:00:00"/>
        <d v="1984-10-31T00:00:00"/>
        <d v="1984-11-20T00:00:00"/>
        <d v="1984-04-12T00:00:00"/>
        <d v="1984-06-12T00:00:00"/>
        <d v="1984-12-19T00:00:00"/>
        <d v="1984-12-22T00:00:00"/>
        <d v="1984-12-23T00:00:00"/>
        <d v="1985-01-01T00:00:00"/>
        <d v="1985-09-01T00:00:00"/>
        <d v="1985-01-18T00:00:00"/>
        <d v="1985-01-19T00:00:00"/>
        <d v="1985-01-20T00:00:00"/>
        <d v="1985-01-21T00:00:00"/>
        <d v="1985-01-22T00:00:00"/>
        <d v="1985-01-23T00:00:00"/>
        <d v="1985-01-02T00:00:00"/>
        <d v="1985-04-02T00:00:00"/>
        <d v="1985-02-19T00:00:00"/>
        <d v="1985-02-22T00:00:00"/>
        <d v="1985-02-25T00:00:00"/>
        <d v="1985-12-03T00:00:00"/>
        <d v="1985-03-28T00:00:00"/>
        <d v="1985-11-04T00:00:00"/>
        <d v="1985-04-15T00:00:00"/>
        <d v="1985-04-16T00:00:00"/>
        <d v="1985-04-20T00:00:00"/>
        <d v="1985-03-05T00:00:00"/>
        <d v="1985-06-05T00:00:00"/>
        <d v="1985-05-28T00:00:00"/>
        <d v="1985-05-31T00:00:00"/>
        <d v="1985-06-14T00:00:00"/>
        <d v="1985-06-23T00:00:00"/>
        <d v="1985-10-07T00:00:00"/>
        <d v="1985-07-24T00:00:00"/>
        <d v="1985-02-08T00:00:00"/>
        <d v="1985-12-08T00:00:00"/>
        <d v="1985-08-15T00:00:00"/>
        <d v="1985-08-22T00:00:00"/>
        <d v="1985-08-25T00:00:00"/>
        <d v="1985-08-27T00:00:00"/>
        <d v="1985-04-09T00:00:00"/>
        <d v="1985-06-09T00:00:00"/>
        <d v="1985-09-22T00:00:00"/>
        <d v="1985-09-25T00:00:00"/>
        <d v="1985-09-29T00:00:00"/>
        <d v="1985-09-10T00:00:00"/>
        <d v="1985-10-10T00:00:00"/>
        <d v="1985-11-10T00:00:00"/>
        <d v="1985-12-10T00:00:00"/>
        <d v="1985-11-15T00:00:00"/>
        <d v="1985-11-21T00:00:00"/>
        <d v="1985-11-24T00:00:00"/>
        <d v="1985-11-25T00:00:00"/>
        <d v="1985-12-12T00:00:00"/>
        <d v="1985-12-30T00:00:00"/>
        <d v="1985-12-31T00:00:00"/>
        <d v="1986-01-18T00:00:00"/>
        <d v="1986-01-21T00:00:00"/>
        <d v="1986-01-28T00:00:00"/>
        <d v="1986-01-29T00:00:00"/>
        <d v="1986-05-02T00:00:00"/>
        <d v="1986-02-16T00:00:00"/>
        <d v="1986-02-03T00:00:00"/>
        <d v="1986-03-13T00:00:00"/>
        <d v="1986-03-20T00:00:00"/>
        <d v="1986-03-24T00:00:00"/>
        <d v="1986-03-25T00:00:00"/>
        <d v="1986-03-27T00:00:00"/>
        <d v="1986-03-30T00:00:00"/>
        <d v="1986-03-31T00:00:00"/>
        <d v="1986-02-04T00:00:00"/>
        <d v="1986-04-27T00:00:00"/>
        <d v="1986-01-05T00:00:00"/>
        <d v="1986-03-05T00:00:00"/>
        <d v="1986-05-18T00:00:00"/>
        <d v="1986-05-24T00:00:00"/>
        <d v="1986-10-06T00:00:00"/>
        <d v="1986-12-06T00:00:00"/>
        <d v="1986-06-18T00:00:00"/>
        <d v="1986-02-07T00:00:00"/>
        <d v="1986-10-07T00:00:00"/>
        <d v="1986-04-08T00:00:00"/>
        <d v="1986-08-14T00:00:00"/>
        <d v="1986-08-16T00:00:00"/>
        <d v="1986-08-28T00:00:00"/>
        <d v="1986-08-31T00:00:00"/>
        <d v="1986-05-09T00:00:00"/>
        <d v="1986-09-09T00:00:00"/>
        <d v="1986-09-19T00:00:00"/>
        <d v="1986-04-10T00:00:00"/>
        <d v="1986-10-14T00:00:00"/>
        <d v="1986-10-15T00:00:00"/>
        <d v="1986-10-19T00:00:00"/>
        <d v="1986-10-20T00:00:00"/>
        <d v="1986-10-22T00:00:00"/>
        <d v="1986-10-23T00:00:00"/>
        <d v="1986-10-30T00:00:00"/>
        <d v="1986-02-11T00:00:00"/>
        <d v="1986-06-11T00:00:00"/>
        <d v="1986-11-25T00:00:00"/>
        <d v="1986-12-12T00:00:00"/>
        <d v="1986-12-15T00:00:00"/>
        <d v="1986-12-25T00:00:00"/>
        <d v="1986-12-27T00:00:00"/>
        <d v="1987-02-01T00:00:00"/>
        <d v="1987-03-01T00:00:00"/>
        <d v="1987-01-13T00:00:00"/>
        <d v="1987-01-15T00:00:00"/>
        <d v="1987-01-16T00:00:00"/>
        <d v="1987-06-02T00:00:00"/>
        <d v="1987-09-02T00:00:00"/>
        <d v="1987-04-03T00:00:00"/>
        <d v="1987-06-03T00:00:00"/>
        <d v="1987-03-13T00:00:00"/>
        <d v="1987-03-21T00:00:00"/>
        <d v="1987-03-30T00:00:00"/>
        <d v="1987-04-04T00:00:00"/>
        <d v="1987-04-13T00:00:00"/>
        <d v="1987-04-23T00:00:00"/>
        <d v="1987-05-05T00:00:00"/>
        <d v="1987-08-05T00:00:00"/>
        <d v="1987-09-05T00:00:00"/>
        <d v="1987-11-05T00:00:00"/>
        <d v="1987-05-20T00:00:00"/>
        <d v="1987-05-23T00:00:00"/>
        <d v="1987-05-25T00:00:00"/>
        <d v="1987-11-06T00:00:00"/>
        <d v="1987-06-18T00:00:00"/>
        <d v="1987-06-19T00:00:00"/>
        <d v="1987-06-21T00:00:00"/>
        <d v="1987-06-26T00:00:00"/>
        <d v="1987-01-07T00:00:00"/>
        <d v="1987-07-24T00:00:00"/>
        <d v="1987-07-30T00:00:00"/>
        <d v="1987-04-08T00:00:00"/>
        <d v="1987-08-16T00:00:00"/>
        <d v="1987-08-31T00:00:00"/>
        <d v="1987-08-09T00:00:00"/>
        <d v="1987-09-13T00:00:00"/>
        <d v="1987-09-21T00:00:00"/>
        <d v="1987-11-10T00:00:00"/>
        <d v="1987-10-15T00:00:00"/>
        <d v="1987-10-19T00:00:00"/>
        <d v="1987-10-20T00:00:00"/>
        <d v="1987-06-11T00:00:00"/>
        <d v="1987-11-15T00:00:00"/>
        <d v="1987-11-23T00:00:00"/>
        <d v="1987-11-28T00:00:00"/>
        <d v="1987-11-29T00:00:00"/>
        <d v="1987-03-12T00:00:00"/>
        <d v="1987-07-12T00:00:00"/>
        <d v="1987-08-12T00:00:00"/>
        <d v="1987-12-13T00:00:00"/>
        <d v="1987-12-14T00:00:00"/>
        <d v="1987-12-21T00:00:00"/>
        <d v="1987-12-30T00:00:00"/>
        <d v="1988-02-01T00:00:00"/>
        <d v="1988-01-18T00:00:00"/>
        <d v="1988-01-19T00:00:00"/>
        <d v="1988-01-24T00:00:00"/>
        <d v="1988-01-02T00:00:00"/>
        <d v="1988-08-02T00:00:00"/>
        <d v="1988-02-19T00:00:00"/>
        <d v="1988-02-27T00:00:00"/>
        <d v="1988-01-03T00:00:00"/>
        <d v="1988-04-03T00:00:00"/>
        <d v="1988-08-03T00:00:00"/>
        <d v="1988-03-17T00:00:00"/>
        <d v="1988-03-31T00:00:00"/>
        <d v="1988-05-04T00:00:00"/>
        <d v="1988-10-04T00:00:00"/>
        <d v="1988-12-04T00:00:00"/>
        <d v="1988-04-19T00:00:00"/>
        <d v="1988-04-27T00:00:00"/>
        <d v="1988-04-28T00:00:00"/>
        <d v="1988-06-05T00:00:00"/>
        <d v="1988-05-24T00:00:00"/>
        <d v="1988-05-26T00:00:00"/>
        <d v="1988-12-06T00:00:00"/>
        <d v="1988-06-18T00:00:00"/>
        <d v="1988-06-26T00:00:00"/>
        <d v="1988-03-07T00:00:00"/>
        <d v="1988-06-07T00:00:00"/>
        <d v="1988-07-20T00:00:00"/>
        <d v="1988-07-21T00:00:00"/>
        <d v="1988-02-08T00:00:00"/>
        <d v="1988-08-15T00:00:00"/>
        <d v="1988-08-17T00:00:00"/>
        <d v="1988-08-26T00:00:00"/>
        <d v="1988-08-31T00:00:00"/>
        <d v="1988-09-09T00:00:00"/>
        <d v="1988-12-09T00:00:00"/>
        <d v="1988-09-15T00:00:00"/>
        <d v="1988-09-19T00:00:00"/>
        <d v="1988-02-10T00:00:00"/>
        <d v="1988-04-10T00:00:00"/>
        <d v="1988-07-10T00:00:00"/>
        <d v="1988-11-10T00:00:00"/>
        <d v="1988-10-17T00:00:00"/>
        <d v="1988-10-19T00:00:00"/>
        <d v="1988-10-25T00:00:00"/>
        <d v="1988-02-11T00:00:00"/>
        <d v="1988-11-14T00:00:00"/>
        <d v="1988-11-18T00:00:00"/>
        <d v="1988-11-30T00:00:00"/>
        <d v="1988-07-12T00:00:00"/>
        <d v="1988-08-12T00:00:00"/>
        <d v="1988-10-12T00:00:00"/>
        <d v="1988-11-12T00:00:00"/>
        <d v="1988-12-14T00:00:00"/>
        <d v="1988-12-21T00:00:00"/>
        <d v="1989-08-01T00:00:00"/>
        <d v="1989-01-31T00:00:00"/>
        <d v="1989-03-02T00:00:00"/>
        <d v="1989-06-02T00:00:00"/>
        <d v="1989-08-02T00:00:00"/>
        <d v="1989-02-19T00:00:00"/>
        <d v="1989-02-24T00:00:00"/>
        <d v="1989-02-28T00:00:00"/>
        <d v="1989-10-03T00:00:00"/>
        <d v="1989-03-15T00:00:00"/>
        <d v="1989-03-18T00:00:00"/>
        <d v="1989-03-20T00:00:00"/>
        <d v="1989-03-21T00:00:00"/>
        <d v="1989-10-04T00:00:00"/>
        <d v="1989-04-19T00:00:00"/>
        <d v="1989-04-26T00:00:00"/>
        <d v="1989-05-05T00:00:00"/>
        <d v="1989-08-05T00:00:00"/>
        <d v="1989-09-05T00:00:00"/>
        <d v="1989-07-06T00:00:00"/>
        <d v="1989-11-06T00:00:00"/>
        <d v="1989-06-17T00:00:00"/>
        <d v="1989-06-18T00:00:00"/>
        <d v="1989-06-22T00:00:00"/>
        <d v="1989-06-27T00:00:00"/>
        <d v="1989-06-28T00:00:00"/>
        <d v="1989-06-29T00:00:00"/>
        <d v="1989-07-19T00:00:00"/>
        <d v="1989-07-21T00:00:00"/>
        <d v="1989-07-23T00:00:00"/>
        <d v="1989-07-26T00:00:00"/>
        <d v="1989-07-27T00:00:00"/>
        <d v="1989-07-31T00:00:00"/>
        <d v="1989-03-08T00:00:00"/>
        <d v="1989-07-08T00:00:00"/>
        <d v="1989-08-08T00:00:00"/>
        <d v="1989-08-13T00:00:00"/>
        <d v="1989-08-15T00:00:00"/>
        <d v="1989-08-25T00:00:00"/>
        <d v="1989-03-09T00:00:00"/>
        <d v="1989-08-09T00:00:00"/>
        <d v="1989-09-15T00:00:00"/>
        <d v="1989-09-19T00:00:00"/>
        <d v="1989-09-20T00:00:00"/>
        <d v="1989-09-21T00:00:00"/>
        <d v="1989-09-23T00:00:00"/>
        <d v="1989-09-26T00:00:00"/>
        <d v="1989-09-27T00:00:00"/>
        <d v="1989-09-28T00:00:00"/>
        <d v="1989-04-10T00:00:00"/>
        <d v="1989-06-10T00:00:00"/>
        <d v="1989-10-10T00:00:00"/>
        <d v="1989-10-18T00:00:00"/>
        <d v="1989-10-20T00:00:00"/>
        <d v="1989-10-21T00:00:00"/>
        <d v="1989-10-26T00:00:00"/>
        <d v="1989-10-28T00:00:00"/>
        <d v="1989-09-11T00:00:00"/>
        <d v="1989-10-11T00:00:00"/>
        <d v="1989-11-21T00:00:00"/>
        <d v="1989-11-23T00:00:00"/>
        <d v="1989-11-25T00:00:00"/>
        <d v="1989-11-27T00:00:00"/>
        <d v="1989-11-28T00:00:00"/>
        <d v="1989-01-12T00:00:00"/>
        <d v="1989-12-21T00:00:00"/>
        <d v="1989-12-26T00:00:00"/>
        <d v="1989-12-28T00:00:00"/>
        <d v="1989-12-30T00:00:00"/>
        <d v="1990-02-01T00:00:00"/>
        <d v="1990-01-13T00:00:00"/>
        <d v="1990-01-15T00:00:00"/>
        <d v="1990-01-17T00:00:00"/>
        <d v="1990-01-23T00:00:00"/>
        <d v="1990-01-25T00:00:00"/>
        <d v="1990-01-26T00:00:00"/>
        <d v="1990-01-27T00:00:00"/>
        <d v="1990-01-29T00:00:00"/>
        <d v="1990-05-02T00:00:00"/>
        <d v="1990-12-02T00:00:00"/>
        <d v="1990-02-14T00:00:00"/>
        <d v="1990-02-17T00:00:00"/>
        <d v="1990-02-27T00:00:00"/>
        <d v="1990-01-03T00:00:00"/>
        <d v="1990-12-03T00:00:00"/>
        <d v="1990-03-21T00:00:00"/>
        <d v="1990-03-23T00:00:00"/>
        <d v="1990-03-27T00:00:00"/>
        <d v="1990-12-04T00:00:00"/>
        <d v="1990-04-18T00:00:00"/>
        <d v="1990-04-20T00:00:00"/>
        <d v="1990-04-26T00:00:00"/>
        <d v="1990-04-30T00:00:00"/>
        <d v="1990-05-05T00:00:00"/>
        <d v="1990-10-05T00:00:00"/>
        <d v="1990-11-05T00:00:00"/>
        <d v="1990-05-18T00:00:00"/>
        <d v="1990-06-06T00:00:00"/>
        <d v="1990-10-06T00:00:00"/>
        <d v="1990-05-07T00:00:00"/>
        <d v="1990-07-27T00:00:00"/>
        <d v="1990-07-31T00:00:00"/>
        <d v="1990-01-08T00:00:00"/>
        <d v="1990-10-08T00:00:00"/>
        <d v="1990-08-27T00:00:00"/>
        <d v="1990-08-29T00:00:00"/>
        <d v="1990-03-09T00:00:00"/>
        <d v="1990-11-09T00:00:00"/>
        <d v="1990-12-09T00:00:00"/>
        <d v="1990-09-14T00:00:00"/>
        <d v="1990-09-20T00:00:00"/>
        <d v="1990-09-24T00:00:00"/>
        <d v="1990-02-10T00:00:00"/>
        <d v="1990-03-10T00:00:00"/>
        <d v="1990-10-19T00:00:00"/>
        <d v="1990-10-24T00:00:00"/>
        <d v="1990-11-14T00:00:00"/>
        <d v="1990-11-18T00:00:00"/>
        <d v="1990-11-19T00:00:00"/>
        <d v="1990-11-21T00:00:00"/>
        <d v="1990-11-25T00:00:00"/>
        <d v="1990-03-12T00:00:00"/>
        <d v="1990-04-12T00:00:00"/>
        <d v="1990-06-12T00:00:00"/>
        <d v="1991-10-01T00:00:00"/>
        <d v="1991-01-30T00:00:00"/>
        <d v="1991-01-31T00:00:00"/>
        <d v="1991-01-02T00:00:00"/>
        <d v="1991-05-02T00:00:00"/>
        <d v="1991-02-14T00:00:00"/>
        <d v="1991-02-17T00:00:00"/>
        <d v="1991-02-20T00:00:00"/>
        <d v="1991-02-22T00:00:00"/>
        <d v="1991-03-03T00:00:00"/>
        <d v="1991-05-03T00:00:00"/>
        <d v="1991-03-16T00:00:00"/>
        <d v="1991-03-21T00:00:00"/>
        <d v="1991-03-23T00:00:00"/>
        <d v="1991-03-25T00:00:00"/>
        <d v="1991-04-04T00:00:00"/>
        <d v="1991-05-04T00:00:00"/>
        <d v="1991-04-19T00:00:00"/>
        <d v="1991-09-05T00:00:00"/>
        <d v="1991-05-13T00:00:00"/>
        <d v="1991-05-15T00:00:00"/>
        <d v="1991-05-23T00:00:00"/>
        <d v="1991-05-24T00:00:00"/>
        <d v="1991-05-26T00:00:00"/>
        <d v="1991-01-06T00:00:00"/>
        <d v="1991-10-06T00:00:00"/>
        <d v="1991-06-20T00:00:00"/>
        <d v="1991-06-26T00:00:00"/>
        <d v="1991-04-07T00:00:00"/>
        <d v="1991-09-07T00:00:00"/>
        <d v="1991-10-07T00:00:00"/>
        <d v="1991-11-07T00:00:00"/>
        <d v="1991-07-25T00:00:00"/>
        <d v="1991-06-08T00:00:00"/>
        <d v="1991-08-14T00:00:00"/>
        <d v="1991-08-16T00:00:00"/>
        <d v="1991-08-20T00:00:00"/>
        <d v="1991-08-28T00:00:00"/>
        <d v="1991-03-09T00:00:00"/>
        <d v="1991-04-09T00:00:00"/>
        <d v="1991-11-09T00:00:00"/>
        <d v="1991-09-16T00:00:00"/>
        <d v="1991-09-17T00:00:00"/>
        <d v="1991-09-18T00:00:00"/>
        <d v="1991-09-23T00:00:00"/>
        <d v="1991-09-26T00:00:00"/>
        <d v="1991-09-27T00:00:00"/>
        <d v="1991-09-29T00:00:00"/>
        <d v="1991-05-10T00:00:00"/>
        <d v="1991-10-13T00:00:00"/>
        <d v="1991-10-25T00:00:00"/>
        <d v="1991-10-30T00:00:00"/>
        <d v="1991-01-11T00:00:00"/>
        <d v="1991-07-11T00:00:00"/>
        <d v="1991-11-11T00:00:00"/>
        <d v="1991-11-16T00:00:00"/>
        <d v="1991-11-20T00:00:00"/>
        <d v="1991-11-25T00:00:00"/>
        <d v="1991-11-26T00:00:00"/>
        <d v="1991-11-29T00:00:00"/>
        <d v="1991-12-22T00:00:00"/>
        <d v="1991-12-27T00:00:00"/>
        <d v="1991-12-29T00:00:00"/>
        <d v="1992-01-20T00:00:00"/>
        <d v="1992-01-28T00:00:00"/>
        <d v="1992-03-02T00:00:00"/>
        <d v="1992-09-02T00:00:00"/>
        <d v="1992-02-15T00:00:00"/>
        <d v="1992-02-20T00:00:00"/>
        <d v="1992-02-03T00:00:00"/>
        <d v="1992-12-03T00:00:00"/>
        <d v="1992-03-22T00:00:00"/>
        <d v="1992-03-24T00:00:00"/>
        <d v="1992-04-04T00:00:00"/>
        <d v="1992-07-04T00:00:00"/>
        <d v="1992-10-04T00:00:00"/>
        <d v="1992-04-14T00:00:00"/>
        <d v="1992-04-16T00:00:00"/>
        <d v="1992-04-22T00:00:00"/>
        <d v="1992-04-26T00:00:00"/>
        <d v="1992-06-06T00:00:00"/>
        <d v="1992-07-06T00:00:00"/>
        <d v="1992-06-22T00:00:00"/>
        <d v="1992-05-07T00:00:00"/>
        <d v="1992-07-13T00:00:00"/>
        <d v="1992-07-14T00:00:00"/>
        <d v="1992-07-20T00:00:00"/>
        <d v="1992-07-24T00:00:00"/>
        <d v="1992-07-27T00:00:00"/>
        <d v="1992-07-30T00:00:00"/>
        <d v="1992-07-31T00:00:00"/>
        <d v="1992-08-21T00:00:00"/>
        <d v="1992-08-25T00:00:00"/>
        <d v="1992-08-27T00:00:00"/>
        <d v="1992-08-31T00:00:00"/>
        <d v="1992-10-09T00:00:00"/>
        <d v="1992-12-09T00:00:00"/>
        <d v="1992-09-16T00:00:00"/>
        <d v="1992-09-18T00:00:00"/>
        <d v="1992-09-19T00:00:00"/>
        <d v="1992-09-21T00:00:00"/>
        <d v="1992-09-26T00:00:00"/>
        <d v="1992-09-28T00:00:00"/>
        <d v="1992-04-10T00:00:00"/>
        <d v="1992-07-10T00:00:00"/>
        <d v="1992-08-10T00:00:00"/>
        <d v="1992-09-10T00:00:00"/>
        <d v="1992-10-18T00:00:00"/>
        <d v="1992-10-19T00:00:00"/>
        <d v="1992-10-21T00:00:00"/>
        <d v="1992-10-29T00:00:00"/>
        <d v="1992-11-11T00:00:00"/>
        <d v="1992-11-14T00:00:00"/>
        <d v="1992-11-15T00:00:00"/>
        <d v="1992-11-24T00:00:00"/>
        <d v="1992-11-30T00:00:00"/>
        <d v="1992-09-12T00:00:00"/>
        <d v="1992-12-13T00:00:00"/>
        <d v="1992-12-14T00:00:00"/>
        <d v="1992-12-21T00:00:00"/>
        <d v="1992-12-22T00:00:00"/>
        <d v="1993-03-01T00:00:00"/>
        <d v="1993-06-01T00:00:00"/>
        <d v="1993-09-01T00:00:00"/>
        <d v="1993-01-13T00:00:00"/>
        <d v="1993-01-14T00:00:00"/>
        <d v="1993-01-27T00:00:00"/>
        <d v="1993-01-31T00:00:00"/>
        <d v="1993-08-02T00:00:00"/>
        <d v="1993-10-02T00:00:00"/>
        <d v="1993-02-20T00:00:00"/>
        <d v="1993-02-28T00:00:00"/>
        <d v="1993-05-03T00:00:00"/>
        <d v="1993-03-23T00:00:00"/>
        <d v="1993-03-31T00:00:00"/>
        <d v="1993-01-04T00:00:00"/>
        <d v="1993-02-04T00:00:00"/>
        <d v="1993-06-04T00:00:00"/>
        <d v="1993-04-19T00:00:00"/>
        <d v="1993-04-23T00:00:00"/>
        <d v="1993-04-26T00:00:00"/>
        <d v="1993-04-27T00:00:00"/>
        <d v="1993-11-05T00:00:00"/>
        <d v="1993-05-15T00:00:00"/>
        <d v="1993-05-19T00:00:00"/>
        <d v="1993-06-06T00:00:00"/>
        <d v="1993-09-06T00:00:00"/>
        <d v="1993-06-16T00:00:00"/>
        <d v="1993-06-17T00:00:00"/>
        <d v="1993-01-07T00:00:00"/>
        <d v="1993-06-07T00:00:00"/>
        <d v="1993-12-07T00:00:00"/>
        <d v="1993-07-23T00:00:00"/>
        <d v="1993-07-26T00:00:00"/>
        <d v="1993-07-30T00:00:00"/>
        <d v="1993-07-31T00:00:00"/>
        <d v="1993-08-18T00:00:00"/>
        <d v="1993-08-26T00:00:00"/>
        <d v="1993-08-28T00:00:00"/>
        <d v="1993-09-14T00:00:00"/>
        <d v="1993-09-21T00:00:00"/>
        <d v="1993-09-22T00:00:00"/>
        <d v="1993-04-10T00:00:00"/>
        <d v="1993-10-25T00:00:00"/>
        <d v="1993-10-26T00:00:00"/>
        <d v="1993-10-11T00:00:00"/>
        <d v="1993-11-13T00:00:00"/>
        <d v="1993-11-15T00:00:00"/>
        <d v="1993-11-20T00:00:00"/>
        <d v="1993-01-12T00:00:00"/>
        <d v="1993-03-12T00:00:00"/>
        <d v="1993-09-12T00:00:00"/>
        <d v="1993-12-13T00:00:00"/>
        <d v="1993-12-15T00:00:00"/>
        <d v="1993-12-26T00:00:00"/>
        <d v="1994-03-01T00:00:00"/>
        <d v="1994-07-01T00:00:00"/>
        <d v="1994-02-24T00:00:00"/>
        <d v="1994-02-25T00:00:00"/>
        <d v="1994-02-03T00:00:00"/>
        <d v="1994-08-03T00:00:00"/>
        <d v="1994-03-14T00:00:00"/>
        <d v="1994-03-17T00:00:00"/>
        <d v="1994-03-18T00:00:00"/>
        <d v="1994-03-21T00:00:00"/>
        <d v="1994-03-23T00:00:00"/>
        <d v="1994-03-04T00:00:00"/>
        <d v="1994-04-04T00:00:00"/>
        <d v="1994-06-04T00:00:00"/>
        <d v="1994-04-14T00:00:00"/>
        <d v="1994-04-25T00:00:00"/>
        <d v="1994-04-26T00:00:00"/>
        <d v="1994-07-05T00:00:00"/>
        <d v="1994-05-23T00:00:00"/>
        <d v="1994-05-28T00:00:00"/>
        <d v="1994-02-06T00:00:00"/>
        <d v="1994-06-06T00:00:00"/>
        <d v="1994-06-13T00:00:00"/>
        <d v="1994-06-18T00:00:00"/>
        <d v="1994-06-26T00:00:00"/>
        <d v="1994-06-29T00:00:00"/>
        <d v="1994-06-30T00:00:00"/>
        <d v="1994-01-07T00:00:00"/>
        <d v="1994-02-07T00:00:00"/>
        <d v="1994-07-14T00:00:00"/>
        <d v="1994-07-17T00:00:00"/>
        <d v="1994-07-19T00:00:00"/>
        <d v="1994-07-26T00:00:00"/>
        <d v="1994-05-08T00:00:00"/>
        <d v="1994-07-08T00:00:00"/>
        <d v="1994-10-08T00:00:00"/>
        <d v="1994-11-08T00:00:00"/>
        <d v="1994-12-08T00:00:00"/>
        <d v="1994-08-21T00:00:00"/>
        <d v="1994-08-09T00:00:00"/>
        <d v="1994-09-13T00:00:00"/>
        <d v="1994-09-17T00:00:00"/>
        <d v="1994-09-18T00:00:00"/>
        <d v="1994-09-23T00:00:00"/>
        <d v="1994-09-26T00:00:00"/>
        <d v="1994-09-28T00:00:00"/>
        <d v="1994-09-30T00:00:00"/>
        <d v="1994-08-10T00:00:00"/>
        <d v="1994-12-10T00:00:00"/>
        <d v="1994-10-14T00:00:00"/>
        <d v="1994-10-26T00:00:00"/>
        <d v="1994-10-29T00:00:00"/>
        <d v="1994-10-31T00:00:00"/>
        <d v="1994-01-11T00:00:00"/>
        <d v="1994-04-11T00:00:00"/>
        <d v="1994-05-11T00:00:00"/>
        <d v="1994-11-16T00:00:00"/>
        <d v="1994-11-22T00:00:00"/>
        <d v="1994-11-25T00:00:00"/>
        <d v="1994-10-12T00:00:00"/>
        <d v="1994-12-13T00:00:00"/>
        <d v="1994-12-15T00:00:00"/>
        <d v="1994-12-17T00:00:00"/>
        <d v="1994-12-21T00:00:00"/>
        <d v="1994-12-26T00:00:00"/>
        <d v="1994-12-29T00:00:00"/>
        <d v="1995-05-01T00:00:00"/>
        <d v="1995-10-01T00:00:00"/>
        <d v="1995-11-01T00:00:00"/>
        <d v="1995-01-14T00:00:00"/>
        <d v="1995-01-17T00:00:00"/>
        <d v="1995-01-20T00:00:00"/>
        <d v="1995-02-16T00:00:00"/>
        <d v="1995-03-16T00:00:00"/>
        <d v="1995-03-31T00:00:00"/>
        <d v="1995-04-23T00:00:00"/>
        <d v="1995-04-29T00:00:00"/>
        <d v="1995-01-05T00:00:00"/>
        <d v="1995-03-05T00:00:00"/>
        <d v="1995-09-05T00:00:00"/>
        <d v="1995-05-13T00:00:00"/>
        <d v="1995-05-24T00:00:00"/>
        <d v="1995-05-25T00:00:00"/>
        <d v="1995-05-29T00:00:00"/>
        <d v="1995-09-06T00:00:00"/>
        <d v="1995-06-16T00:00:00"/>
        <d v="1995-06-17T00:00:00"/>
        <d v="1995-06-24T00:00:00"/>
        <d v="1995-06-27T00:00:00"/>
        <d v="1995-01-07T00:00:00"/>
        <d v="1995-12-07T00:00:00"/>
        <d v="1995-07-17T00:00:00"/>
        <d v="1995-07-18T00:00:00"/>
        <d v="1995-07-25T00:00:00"/>
        <d v="1995-02-08T00:00:00"/>
        <d v="1995-09-08T00:00:00"/>
        <d v="1995-08-14T00:00:00"/>
        <d v="1995-08-21T00:00:00"/>
        <d v="1995-01-09T00:00:00"/>
        <d v="1995-02-09T00:00:00"/>
        <d v="1995-09-09T00:00:00"/>
        <d v="1995-11-09T00:00:00"/>
        <d v="1995-12-09T00:00:00"/>
        <d v="1995-09-15T00:00:00"/>
        <d v="1995-09-21T00:00:00"/>
        <d v="1995-09-22T00:00:00"/>
        <d v="1995-09-24T00:00:00"/>
        <d v="1995-09-27T00:00:00"/>
        <d v="1995-03-10T00:00:00"/>
        <d v="1995-04-10T00:00:00"/>
        <d v="1995-09-11T00:00:00"/>
        <d v="1995-11-13T00:00:00"/>
        <d v="1995-11-22T00:00:00"/>
        <d v="1995-11-29T00:00:00"/>
        <d v="1995-11-30T00:00:00"/>
        <d v="1995-03-12T00:00:00"/>
        <d v="1995-05-12T00:00:00"/>
        <d v="1995-07-12T00:00:00"/>
        <d v="1995-12-13T00:00:00"/>
        <d v="1995-12-18T00:00:00"/>
        <d v="1995-12-20T00:00:00"/>
        <d v="1995-12-22T00:00:00"/>
        <d v="1996-08-01T00:00:00"/>
        <d v="1996-01-18T00:00:00"/>
        <d v="1996-01-22T00:00:00"/>
        <d v="1996-04-02T00:00:00"/>
        <d v="1996-05-02T00:00:00"/>
        <d v="1996-06-02T00:00:00"/>
        <d v="1996-11-02T00:00:00"/>
        <d v="1996-12-02T00:00:00"/>
        <d v="1996-02-26T00:00:00"/>
        <d v="1996-02-27T00:00:00"/>
        <d v="1996-02-29T00:00:00"/>
        <d v="1996-09-03T00:00:00"/>
        <d v="1996-12-03T00:00:00"/>
        <d v="1996-03-04T00:00:00"/>
        <d v="1996-05-04T00:00:00"/>
        <d v="1996-11-04T00:00:00"/>
        <d v="1996-03-05T00:00:00"/>
        <d v="1996-09-05T00:00:00"/>
        <d v="1996-10-05T00:00:00"/>
        <d v="1996-11-05T00:00:00"/>
        <d v="1996-05-19T00:00:00"/>
        <d v="1996-06-06T00:00:00"/>
        <d v="1996-09-06T00:00:00"/>
        <d v="1996-12-06T00:00:00"/>
        <d v="1996-06-13T00:00:00"/>
        <d v="1996-06-21T00:00:00"/>
        <d v="1996-06-07T00:00:00"/>
        <d v="1996-09-07T00:00:00"/>
        <d v="1996-11-07T00:00:00"/>
        <d v="1996-07-15T00:00:00"/>
        <d v="1996-07-17T00:00:00"/>
        <d v="1996-07-20T00:00:00"/>
        <d v="1996-07-24T00:00:00"/>
        <d v="1996-12-08T00:00:00"/>
        <d v="1996-08-14T00:00:00"/>
        <d v="1996-08-17T00:00:00"/>
        <d v="1996-08-18T00:00:00"/>
        <d v="1996-08-19T00:00:00"/>
        <d v="1996-08-29T00:00:00"/>
        <d v="1996-09-25T00:00:00"/>
        <d v="1996-02-10T00:00:00"/>
        <d v="1996-03-10T00:00:00"/>
        <d v="1996-06-10T00:00:00"/>
        <d v="1996-08-10T00:00:00"/>
        <d v="1996-10-22T00:00:00"/>
        <d v="1996-10-26T00:00:00"/>
        <d v="1996-10-31T00:00:00"/>
        <d v="1996-01-11T00:00:00"/>
        <d v="1996-07-11T00:00:00"/>
        <d v="1996-12-11T00:00:00"/>
        <d v="1996-11-14T00:00:00"/>
        <d v="1996-11-19T00:00:00"/>
        <d v="1996-11-22T00:00:00"/>
        <d v="1996-11-23T00:00:00"/>
        <d v="1996-11-27T00:00:00"/>
        <d v="1996-11-30T00:00:00"/>
        <d v="1996-07-12T00:00:00"/>
        <d v="1996-09-12T00:00:00"/>
        <d v="1996-12-17T00:00:00"/>
        <d v="1996-12-21T00:00:00"/>
        <d v="1996-12-22T00:00:00"/>
        <d v="1996-12-24T00:00:00"/>
        <d v="1997-07-01T00:00:00"/>
        <d v="1997-09-01T00:00:00"/>
        <d v="1997-01-29T00:00:00"/>
        <d v="1997-01-31T00:00:00"/>
        <d v="1997-01-02T00:00:00"/>
        <d v="1997-02-02T00:00:00"/>
        <d v="1997-04-02T00:00:00"/>
        <d v="1997-02-14T00:00:00"/>
        <d v="1997-02-19T00:00:00"/>
        <d v="1997-12-03T00:00:00"/>
        <d v="1997-03-13T00:00:00"/>
        <d v="1997-03-18T00:00:00"/>
        <d v="1997-01-04T00:00:00"/>
        <d v="1997-04-04T00:00:00"/>
        <d v="1997-10-04T00:00:00"/>
        <d v="1997-04-14T00:00:00"/>
        <d v="1997-04-15T00:00:00"/>
        <d v="1997-04-16T00:00:00"/>
        <d v="1997-04-19T00:00:00"/>
        <d v="1997-04-23T00:00:00"/>
        <d v="1997-08-05T00:00:00"/>
        <d v="1997-06-06T00:00:00"/>
        <d v="1997-10-06T00:00:00"/>
        <d v="1997-03-07T00:00:00"/>
        <d v="1997-06-07T00:00:00"/>
        <d v="1997-09-07T00:00:00"/>
        <d v="1997-11-07T00:00:00"/>
        <d v="1997-07-17T00:00:00"/>
        <d v="1997-07-18T00:00:00"/>
        <d v="1997-07-29T00:00:00"/>
        <d v="1997-07-30T00:00:00"/>
        <d v="1997-06-08T00:00:00"/>
        <d v="1997-07-08T00:00:00"/>
        <d v="1997-10-08T00:00:00"/>
        <d v="1997-08-29T00:00:00"/>
        <d v="1997-03-09T00:00:00"/>
        <d v="1997-06-09T00:00:00"/>
        <d v="1997-12-09T00:00:00"/>
        <d v="1997-09-13T00:00:00"/>
        <d v="1997-09-26T00:00:00"/>
        <d v="1997-08-10T00:00:00"/>
        <d v="1997-10-10T00:00:00"/>
        <d v="1997-12-10T00:00:00"/>
        <d v="1997-10-29T00:00:00"/>
        <d v="1997-08-11T00:00:00"/>
        <d v="1997-05-12T00:00:00"/>
        <d v="1997-09-12T00:00:00"/>
        <d v="1997-12-13T00:00:00"/>
        <d v="1997-12-15T00:00:00"/>
        <d v="1997-12-17T00:00:00"/>
        <d v="1997-12-19T00:00:00"/>
        <d v="1997-12-20T00:00:00"/>
        <d v="1997-12-27T00:00:00"/>
        <d v="1997-12-28T00:00:00"/>
        <d v="1997-12-31T00:00:00"/>
        <d v="1998-01-13T00:00:00"/>
        <d v="1998-01-27T00:00:00"/>
        <d v="1998-02-02T00:00:00"/>
        <d v="1998-03-02T00:00:00"/>
        <d v="1998-04-02T00:00:00"/>
        <d v="1998-05-02T00:00:00"/>
        <d v="1998-12-02T00:00:00"/>
        <d v="1998-02-16T00:00:00"/>
        <d v="1998-10-03T00:00:00"/>
        <d v="1998-03-18T00:00:00"/>
        <d v="1998-03-19T00:00:00"/>
        <d v="1998-03-22T00:00:00"/>
        <d v="1998-03-28T00:00:00"/>
        <d v="1998-03-31T00:00:00"/>
        <d v="1998-04-20T00:00:00"/>
        <d v="1998-05-05T00:00:00"/>
        <d v="1998-12-05T00:00:00"/>
        <d v="1998-05-25T00:00:00"/>
        <d v="1998-05-26T00:00:00"/>
        <d v="1998-06-18T00:00:00"/>
        <d v="1998-06-25T00:00:00"/>
        <d v="1998-07-13T00:00:00"/>
        <d v="1998-07-16T00:00:00"/>
        <d v="1998-07-17T00:00:00"/>
        <d v="1998-07-23T00:00:00"/>
        <d v="1998-07-27T00:00:00"/>
        <d v="1998-07-28T00:00:00"/>
        <d v="1998-07-29T00:00:00"/>
        <d v="1998-07-30T00:00:00"/>
        <d v="1998-04-08T00:00:00"/>
        <d v="1998-11-08T00:00:00"/>
        <d v="1998-08-19T00:00:00"/>
        <d v="1998-08-21T00:00:00"/>
        <d v="1998-08-24T00:00:00"/>
        <d v="1998-08-29T00:00:00"/>
        <d v="1998-02-09T00:00:00"/>
        <d v="1998-09-09T00:00:00"/>
        <d v="1998-10-09T00:00:00"/>
        <d v="1998-09-25T00:00:00"/>
        <d v="1998-09-28T00:00:00"/>
        <d v="1998-09-29T00:00:00"/>
        <d v="1998-02-10T00:00:00"/>
        <d v="1998-10-10T00:00:00"/>
        <d v="1998-10-21T00:00:00"/>
        <d v="1998-10-25T00:00:00"/>
        <d v="1998-01-11T00:00:00"/>
        <d v="1998-11-11T00:00:00"/>
        <d v="1998-11-21T00:00:00"/>
        <d v="1998-07-12T00:00:00"/>
        <d v="1998-11-12T00:00:00"/>
        <d v="1998-12-14T00:00:00"/>
        <d v="1998-12-17T00:00:00"/>
        <d v="1998-12-22T00:00:00"/>
        <d v="1998-12-26T00:00:00"/>
        <d v="1999-02-01T00:00:00"/>
        <d v="1999-12-01T00:00:00"/>
        <d v="1999-01-13T00:00:00"/>
        <d v="1999-01-16T00:00:00"/>
        <d v="1999-01-21T00:00:00"/>
        <d v="1999-02-02T00:00:00"/>
        <d v="1999-03-02T00:00:00"/>
        <d v="1999-08-02T00:00:00"/>
        <d v="1999-02-24T00:00:00"/>
        <d v="1999-02-25T00:00:00"/>
        <d v="1999-07-03T00:00:00"/>
        <d v="1999-03-18T00:00:00"/>
        <d v="1999-03-19T00:00:00"/>
        <d v="1999-07-04T00:00:00"/>
        <d v="1999-08-04T00:00:00"/>
        <d v="1999-04-15T00:00:00"/>
        <d v="1999-08-05T00:00:00"/>
        <d v="1999-05-24T00:00:00"/>
        <d v="1999-05-29T00:00:00"/>
        <d v="1999-01-06T00:00:00"/>
        <d v="1999-03-06T00:00:00"/>
        <d v="1999-09-06T00:00:00"/>
        <d v="1999-06-17T00:00:00"/>
        <d v="1999-06-25T00:00:00"/>
        <d v="1999-01-07T00:00:00"/>
        <d v="1999-02-07T00:00:00"/>
        <d v="1999-04-07T00:00:00"/>
        <d v="1999-07-07T00:00:00"/>
        <d v="1999-09-07T00:00:00"/>
        <d v="1999-07-16T00:00:00"/>
        <d v="1999-07-23T00:00:00"/>
        <d v="1999-07-24T00:00:00"/>
        <d v="1999-07-08T00:00:00"/>
        <d v="1999-08-22T00:00:00"/>
        <d v="1999-08-24T00:00:00"/>
        <d v="1999-08-26T00:00:00"/>
        <d v="1999-08-31T00:00:00"/>
        <d v="1999-05-09T00:00:00"/>
        <d v="1999-09-14T00:00:00"/>
        <d v="1999-09-17T00:00:00"/>
        <d v="1999-02-10T00:00:00"/>
        <d v="1999-10-24T00:00:00"/>
        <d v="1999-10-25T00:00:00"/>
        <d v="1999-10-31T00:00:00"/>
        <d v="1999-09-11T00:00:00"/>
        <d v="1999-12-11T00:00:00"/>
        <d v="1999-05-12T00:00:00"/>
        <d v="1999-07-12T00:00:00"/>
        <d v="1999-10-12T00:00:00"/>
        <d v="1999-11-12T00:00:00"/>
        <d v="1999-12-21T00:00:00"/>
        <d v="1999-12-22T00:00:00"/>
        <d v="1999-12-24T00:00:00"/>
        <d v="1999-12-25T00:00:00"/>
        <d v="1999-12-29T00:00:00"/>
        <d v="2000-05-01T00:00:00"/>
        <d v="2000-10-01T00:00:00"/>
        <d v="2000-01-13T00:00:00"/>
        <d v="2000-01-15T00:00:00"/>
        <d v="2000-01-30T00:00:00"/>
        <d v="2000-01-31T00:00:00"/>
        <d v="2000-02-02T00:00:00"/>
        <d v="2000-02-16T00:00:00"/>
        <d v="2000-05-03T00:00:00"/>
        <d v="2000-09-03T00:00:00"/>
        <d v="2000-03-17T00:00:00"/>
        <d v="2000-03-22T00:00:00"/>
        <d v="2000-03-24T00:00:00"/>
        <d v="2000-03-25T00:00:00"/>
        <d v="2000-03-30T00:00:00"/>
        <d v="2000-05-04T00:00:00"/>
        <d v="2000-04-19T00:00:00"/>
        <d v="2000-04-29T00:00:00"/>
        <d v="2000-02-05T00:00:00"/>
        <d v="2000-03-05T00:00:00"/>
        <d v="2000-10-05T00:00:00"/>
        <d v="2000-05-17T00:00:00"/>
        <d v="2000-05-21T00:00:00"/>
        <d v="2000-05-25T00:00:00"/>
        <d v="2000-05-31T00:00:00"/>
        <d v="2000-05-06T00:00:00"/>
        <d v="2000-06-22T00:00:00"/>
        <d v="2000-06-23T00:00:00"/>
        <d v="2000-06-27T00:00:00"/>
        <d v="2000-02-07T00:00:00"/>
        <d v="2000-08-07T00:00:00"/>
        <d v="2000-09-07T00:00:00"/>
        <d v="2000-07-13T00:00:00"/>
        <d v="2000-07-17T00:00:00"/>
        <d v="2000-07-19T00:00:00"/>
        <d v="2000-07-20T00:00:00"/>
        <d v="2000-07-21T00:00:00"/>
        <d v="2000-07-25T00:00:00"/>
        <d v="2000-07-26T00:00:00"/>
        <d v="2000-07-27T00:00:00"/>
        <d v="2000-02-08T00:00:00"/>
        <d v="2000-06-08T00:00:00"/>
        <d v="2000-09-08T00:00:00"/>
        <d v="2000-12-08T00:00:00"/>
        <d v="2000-08-23T00:00:00"/>
        <d v="2000-02-09T00:00:00"/>
        <d v="2000-04-09T00:00:00"/>
        <d v="2000-09-16T00:00:00"/>
        <d v="2000-06-10T00:00:00"/>
        <d v="2000-08-10T00:00:00"/>
        <d v="2000-10-10T00:00:00"/>
        <d v="2000-10-16T00:00:00"/>
        <d v="2000-10-19T00:00:00"/>
        <d v="2000-10-25T00:00:00"/>
        <d v="2000-10-31T00:00:00"/>
        <d v="2000-07-11T00:00:00"/>
        <d v="2000-09-11T00:00:00"/>
        <d v="2000-11-15T00:00:00"/>
        <d v="2000-11-20T00:00:00"/>
        <d v="2000-11-12T00:00:00"/>
        <d v="2001-04-01T00:00:00"/>
        <d v="2001-08-01T00:00:00"/>
        <d v="2001-01-23T00:00:00"/>
        <d v="2001-01-25T00:00:00"/>
        <d v="2001-01-27T00:00:00"/>
        <d v="2001-01-31T00:00:00"/>
        <d v="2001-08-02T00:00:00"/>
        <d v="2001-10-02T00:00:00"/>
        <d v="2001-02-27T00:00:00"/>
        <d v="2001-03-03T00:00:00"/>
        <d v="2001-03-15T00:00:00"/>
        <d v="2001-03-24T00:00:00"/>
        <d v="2001-03-26T00:00:00"/>
        <d v="2001-03-29T00:00:00"/>
        <d v="2001-04-04T00:00:00"/>
        <d v="2001-07-04T00:00:00"/>
        <d v="2001-04-28T00:00:00"/>
        <d v="2001-05-16T00:00:00"/>
        <d v="2001-05-17T00:00:00"/>
        <d v="2001-05-22T00:00:00"/>
        <d v="2001-06-15T00:00:00"/>
        <d v="2001-04-07T00:00:00"/>
        <d v="2001-05-07T00:00:00"/>
        <d v="2001-12-07T00:00:00"/>
        <d v="2001-07-14T00:00:00"/>
        <d v="2001-05-08T00:00:00"/>
        <d v="2001-10-08T00:00:00"/>
        <d v="2001-08-23T00:00:00"/>
        <d v="2001-08-24T00:00:00"/>
        <d v="2001-08-29T00:00:00"/>
        <d v="2001-11-09T00:00:00"/>
        <d v="2001-12-09T00:00:00"/>
        <d v="2001-09-15T00:00:00"/>
        <d v="2001-09-18T00:00:00"/>
        <d v="2001-04-10T00:00:00"/>
        <d v="2001-08-10T00:00:00"/>
        <d v="2001-10-10T00:00:00"/>
        <d v="2001-11-10T00:00:00"/>
        <d v="2001-10-18T00:00:00"/>
        <d v="2001-12-11T00:00:00"/>
        <d v="2001-11-19T00:00:00"/>
        <d v="2001-11-22T00:00:00"/>
        <d v="2001-11-23T00:00:00"/>
        <d v="2001-11-24T00:00:00"/>
        <d v="2001-11-27T00:00:00"/>
        <d v="2001-01-12T00:00:00"/>
        <d v="2001-12-14T00:00:00"/>
        <d v="2001-12-16T00:00:00"/>
        <d v="2001-12-26T00:00:00"/>
        <d v="2002-04-01T00:00:00"/>
        <d v="2002-09-01T00:00:00"/>
        <d v="2002-01-14T00:00:00"/>
        <d v="2002-01-15T00:00:00"/>
        <d v="2002-01-16T00:00:00"/>
        <d v="2002-01-17T00:00:00"/>
        <d v="2002-01-27T00:00:00"/>
        <d v="2002-01-28T00:00:00"/>
        <d v="2002-12-02T00:00:00"/>
        <d v="2002-02-15T00:00:00"/>
        <d v="2002-02-21T00:00:00"/>
        <d v="2002-02-22T00:00:00"/>
        <d v="2002-09-03T00:00:00"/>
        <d v="2002-03-14T00:00:00"/>
        <d v="2002-03-17T00:00:00"/>
        <d v="2002-12-04T00:00:00"/>
        <d v="2002-04-15T00:00:00"/>
        <d v="2002-04-19T00:00:00"/>
        <d v="2002-04-28T00:00:00"/>
        <d v="2002-04-05T00:00:00"/>
        <d v="2002-07-05T00:00:00"/>
        <d v="2002-05-21T00:00:00"/>
        <d v="2002-05-25T00:00:00"/>
        <d v="2002-01-06T00:00:00"/>
        <d v="2002-02-06T00:00:00"/>
        <d v="2002-12-06T00:00:00"/>
        <d v="2002-01-07T00:00:00"/>
        <d v="2002-04-07T00:00:00"/>
        <d v="2002-07-16T00:00:00"/>
        <d v="2002-07-17T00:00:00"/>
        <d v="2002-07-27T00:00:00"/>
        <d v="2002-07-28T00:00:00"/>
        <d v="2002-07-08T00:00:00"/>
        <d v="2002-08-15T00:00:00"/>
        <d v="2002-08-19T00:00:00"/>
        <d v="2002-08-22T00:00:00"/>
        <d v="2002-08-29T00:00:00"/>
        <d v="2002-08-30T00:00:00"/>
        <d v="2002-09-14T00:00:00"/>
        <d v="2002-09-28T00:00:00"/>
        <d v="2002-01-10T00:00:00"/>
        <d v="2002-06-11T00:00:00"/>
        <d v="2002-07-11T00:00:00"/>
        <d v="2002-08-11T00:00:00"/>
        <d v="2002-11-11T00:00:00"/>
        <d v="2002-11-28T00:00:00"/>
        <d v="2002-12-13T00:00:00"/>
        <d v="2002-12-17T00:00:00"/>
        <d v="2002-12-21T00:00:00"/>
        <d v="2002-12-23T00:00:00"/>
        <d v="2002-12-26T00:00:00"/>
        <d v="2002-12-27T00:00:00"/>
        <d v="2003-08-01T00:00:00"/>
        <d v="2003-09-01T00:00:00"/>
        <d v="2003-01-17T00:00:00"/>
        <d v="2003-01-24T00:00:00"/>
        <d v="2003-01-31T00:00:00"/>
        <d v="2003-07-02T00:00:00"/>
        <d v="2003-10-02T00:00:00"/>
        <d v="2003-02-16T00:00:00"/>
        <d v="2003-02-19T00:00:00"/>
        <d v="2003-02-20T00:00:00"/>
        <d v="2003-01-03T00:00:00"/>
        <d v="2003-06-03T00:00:00"/>
        <d v="2003-03-27T00:00:00"/>
        <d v="2003-03-28T00:00:00"/>
        <d v="2003-08-05T00:00:00"/>
        <d v="2003-05-26T00:00:00"/>
        <d v="2003-05-28T00:00:00"/>
        <d v="2003-01-06T00:00:00"/>
        <d v="2003-04-06T00:00:00"/>
        <d v="2003-06-06T00:00:00"/>
        <d v="2003-11-06T00:00:00"/>
        <d v="2003-06-15T00:00:00"/>
        <d v="2003-06-22T00:00:00"/>
        <d v="2003-06-25T00:00:00"/>
        <d v="2003-06-26T00:00:00"/>
        <d v="2003-06-30T00:00:00"/>
        <d v="2003-01-07T00:00:00"/>
        <d v="2003-05-07T00:00:00"/>
        <d v="2003-08-07T00:00:00"/>
        <d v="2003-07-13T00:00:00"/>
        <d v="2003-07-19T00:00:00"/>
        <d v="2003-07-23T00:00:00"/>
        <d v="2003-04-08T00:00:00"/>
        <d v="2003-08-08T00:00:00"/>
        <d v="2003-08-17T00:00:00"/>
        <d v="2003-08-20T00:00:00"/>
        <d v="2003-08-24T00:00:00"/>
        <d v="2003-08-26T00:00:00"/>
        <d v="2003-11-09T00:00:00"/>
        <d v="2003-09-19T00:00:00"/>
        <d v="2003-09-20T00:00:00"/>
        <d v="2003-09-27T00:00:00"/>
        <d v="2003-03-10T00:00:00"/>
        <d v="2003-11-10T00:00:00"/>
        <d v="2003-10-26T00:00:00"/>
        <d v="2003-10-27T00:00:00"/>
        <d v="2003-10-29T00:00:00"/>
        <d v="2003-02-11T00:00:00"/>
        <d v="2003-08-11T00:00:00"/>
        <d v="2003-11-15T00:00:00"/>
        <d v="2003-11-29T00:00:00"/>
        <d v="2003-12-16T00:00:00"/>
        <d v="2003-12-18T00:00:00"/>
        <d v="2003-12-23T00:00:00"/>
        <d v="2003-12-25T00:00:00"/>
        <d v="2004-03-01T00:00:00"/>
        <d v="2004-01-13T00:00:00"/>
        <d v="2004-06-02T00:00:00"/>
        <d v="2004-10-02T00:00:00"/>
        <d v="2004-04-03T00:00:00"/>
        <d v="2004-03-16T00:00:00"/>
        <d v="2004-03-21T00:00:00"/>
        <d v="2004-02-05T00:00:00"/>
        <d v="2004-05-05T00:00:00"/>
        <d v="2004-06-05T00:00:00"/>
        <d v="2004-11-05T00:00:00"/>
        <d v="2004-05-14T00:00:00"/>
        <d v="2004-05-18T00:00:00"/>
        <d v="2004-05-23T00:00:00"/>
        <d v="2004-05-25T00:00:00"/>
        <d v="2004-08-06T00:00:00"/>
        <d v="2004-06-28T00:00:00"/>
        <d v="2004-12-07T00:00:00"/>
        <d v="2004-07-22T00:00:00"/>
        <d v="2004-07-29T00:00:00"/>
        <d v="2004-08-13T00:00:00"/>
        <d v="2004-08-21T00:00:00"/>
        <d v="2004-08-24T00:00:00"/>
        <d v="2004-08-27T00:00:00"/>
        <d v="2004-09-09T00:00:00"/>
        <d v="2004-11-09T00:00:00"/>
        <d v="2004-09-29T00:00:00"/>
        <d v="2004-05-10T00:00:00"/>
        <d v="2004-10-14T00:00:00"/>
        <d v="2004-10-15T00:00:00"/>
        <d v="2004-10-16T00:00:00"/>
        <d v="2004-10-19T00:00:00"/>
        <d v="2004-10-24T00:00:00"/>
        <d v="2004-11-18T00:00:00"/>
        <d v="2004-11-21T00:00:00"/>
        <d v="2004-11-22T00:00:00"/>
        <d v="2004-11-27T00:00:00"/>
        <d v="2004-11-28T00:00:00"/>
        <d v="2004-11-30T00:00:00"/>
        <d v="2004-10-12T00:00:00"/>
        <d v="2004-11-12T00:00:00"/>
        <d v="2005-01-13T00:00:00"/>
        <d v="2005-01-26T00:00:00"/>
        <d v="2005-01-27T00:00:00"/>
        <d v="2005-01-30T00:00:00"/>
        <d v="2005-03-02T00:00:00"/>
        <d v="2005-02-16T00:00:00"/>
        <d v="2005-02-22T00:00:00"/>
        <d v="2005-08-03T00:00:00"/>
        <d v="2005-03-15T00:00:00"/>
        <d v="2005-03-16T00:00:00"/>
        <d v="2005-03-23T00:00:00"/>
        <d v="2005-03-26T00:00:00"/>
        <d v="2005-03-31T00:00:00"/>
        <d v="2005-12-04T00:00:00"/>
        <d v="2005-04-20T00:00:00"/>
        <d v="2005-04-21T00:00:00"/>
        <d v="2005-04-28T00:00:00"/>
        <d v="2005-02-05T00:00:00"/>
        <d v="2005-05-05T00:00:00"/>
        <d v="2005-07-05T00:00:00"/>
        <d v="2005-05-16T00:00:00"/>
        <d v="2005-05-18T00:00:00"/>
        <d v="2005-05-25T00:00:00"/>
        <d v="2005-02-06T00:00:00"/>
        <d v="2005-07-16T00:00:00"/>
        <d v="2005-02-08T00:00:00"/>
        <d v="2005-06-08T00:00:00"/>
        <d v="2005-10-08T00:00:00"/>
        <d v="2005-08-14T00:00:00"/>
        <d v="2005-08-16T00:00:00"/>
        <d v="2005-08-23T00:00:00"/>
        <d v="2005-05-09T00:00:00"/>
        <d v="2005-09-09T00:00:00"/>
        <d v="2005-04-10T00:00:00"/>
        <d v="2005-10-22T00:00:00"/>
        <d v="2005-06-12T00:00:00"/>
        <d v="2005-08-12T00:00:00"/>
        <d v="2005-10-12T00:00:00"/>
        <d v="2005-12-19T00:00:00"/>
        <d v="2005-12-23T00:00:00"/>
        <d v="2006-02-01T00:00:00"/>
        <d v="2006-07-01T00:00:00"/>
        <d v="2006-08-01T00:00:00"/>
        <d v="2006-09-01T00:00:00"/>
        <d v="2006-01-19T00:00:00"/>
        <d v="2006-05-02T00:00:00"/>
        <d v="2006-08-02T00:00:00"/>
        <d v="2006-03-31T00:00:00"/>
        <d v="2006-10-04T00:00:00"/>
        <d v="2006-04-23T00:00:00"/>
        <d v="2006-04-24T00:00:00"/>
        <d v="2006-03-05T00:00:00"/>
        <d v="2006-05-14T00:00:00"/>
        <d v="2006-05-23T00:00:00"/>
        <d v="2006-03-06T00:00:00"/>
        <d v="2006-11-06T00:00:00"/>
        <d v="2006-06-21T00:00:00"/>
        <d v="2006-07-07T00:00:00"/>
        <d v="2006-09-07T00:00:00"/>
        <d v="2006-10-07T00:00:00"/>
        <d v="2006-07-27T00:00:00"/>
        <d v="2006-03-08T00:00:00"/>
        <d v="2006-04-08T00:00:00"/>
        <d v="2006-08-13T00:00:00"/>
        <d v="2006-08-22T00:00:00"/>
        <d v="2006-08-27T00:00:00"/>
        <d v="2006-01-09T00:00:00"/>
        <d v="2006-02-09T00:00:00"/>
        <d v="2006-11-09T00:00:00"/>
        <d v="2006-09-17T00:00:00"/>
        <d v="2006-09-29T00:00:00"/>
        <d v="2006-10-10T00:00:00"/>
        <d v="2006-10-19T00:00:00"/>
        <d v="2006-10-29T00:00:00"/>
        <d v="2006-11-17T00:00:00"/>
        <d v="2006-11-18T00:00:00"/>
        <d v="2006-11-27T00:00:00"/>
        <d v="2006-10-12T00:00:00"/>
        <d v="2007-01-01T00:00:00"/>
        <d v="2007-09-01T00:00:00"/>
        <d v="2007-01-20T00:00:00"/>
        <d v="2007-01-25T00:00:00"/>
        <d v="2007-07-03T00:00:00"/>
        <d v="2007-08-03T00:00:00"/>
        <d v="2007-11-03T00:00:00"/>
        <d v="2007-03-14T00:00:00"/>
        <d v="2007-03-17T00:00:00"/>
        <d v="2007-03-23T00:00:00"/>
        <d v="2007-04-25T00:00:00"/>
        <d v="2007-04-27T00:00:00"/>
        <d v="2007-05-05T00:00:00"/>
        <d v="2007-06-05T00:00:00"/>
        <d v="2007-05-17T00:00:00"/>
        <d v="2007-03-06T00:00:00"/>
        <d v="2007-04-06T00:00:00"/>
        <d v="2007-06-13T00:00:00"/>
        <d v="2007-06-21T00:00:00"/>
        <d v="2007-06-25T00:00:00"/>
        <d v="2007-06-28T00:00:00"/>
        <d v="2007-05-07T00:00:00"/>
        <d v="2007-08-07T00:00:00"/>
        <d v="2007-07-17T00:00:00"/>
        <d v="2007-07-23T00:00:00"/>
        <d v="2007-07-24T00:00:00"/>
        <d v="2007-07-29T00:00:00"/>
        <d v="2007-09-08T00:00:00"/>
        <d v="2007-08-16T00:00:00"/>
        <d v="2007-08-20T00:00:00"/>
        <d v="2007-08-22T00:00:00"/>
        <d v="2007-08-26T00:00:00"/>
        <d v="2007-07-09T00:00:00"/>
        <d v="2007-09-16T00:00:00"/>
        <d v="2007-09-24T00:00:00"/>
        <d v="2007-04-10T00:00:00"/>
        <d v="2007-08-10T00:00:00"/>
        <d v="2007-08-11T00:00:00"/>
        <d v="2007-11-30T00:00:00"/>
        <d v="2007-03-12T00:00:00"/>
        <d v="2007-05-12T00:00:00"/>
        <d v="2008-04-01T00:00:00"/>
        <d v="2008-12-01T00:00:00"/>
        <d v="2008-01-17T00:00:00"/>
        <d v="2008-01-23T00:00:00"/>
        <d v="2008-01-26T00:00:00"/>
        <d v="2008-02-21T00:00:00"/>
        <d v="2008-02-26T00:00:00"/>
        <d v="2008-03-03T00:00:00"/>
        <d v="2008-03-04T00:00:00"/>
        <d v="2008-09-04T00:00:00"/>
        <d v="2008-11-04T00:00:00"/>
        <d v="2008-04-15T00:00:00"/>
        <d v="2008-04-16T00:00:00"/>
        <d v="2008-04-28T00:00:00"/>
        <d v="2008-05-17T00:00:00"/>
        <d v="2008-05-24T00:00:00"/>
        <d v="2008-05-26T00:00:00"/>
        <d v="2008-05-29T00:00:00"/>
        <d v="2008-05-30T00:00:00"/>
        <d v="2008-08-06T00:00:00"/>
        <d v="2008-10-06T00:00:00"/>
        <d v="2008-06-18T00:00:00"/>
        <d v="2008-06-20T00:00:00"/>
        <d v="2008-06-26T00:00:00"/>
        <d v="2008-06-27T00:00:00"/>
        <d v="2008-06-29T00:00:00"/>
        <d v="2008-06-30T00:00:00"/>
        <d v="2008-06-07T00:00:00"/>
        <d v="2008-07-07T00:00:00"/>
        <d v="2008-07-31T00:00:00"/>
        <d v="2008-03-08T00:00:00"/>
        <d v="2008-05-08T00:00:00"/>
        <d v="2008-06-08T00:00:00"/>
        <d v="2008-08-13T00:00:00"/>
        <d v="2008-08-20T00:00:00"/>
        <d v="2008-08-24T00:00:00"/>
        <d v="2008-08-30T00:00:00"/>
        <d v="2008-01-09T00:00:00"/>
        <d v="2008-03-09T00:00:00"/>
        <d v="2008-09-14T00:00:00"/>
        <d v="2008-09-19T00:00:00"/>
        <d v="2008-09-27T00:00:00"/>
        <d v="2008-08-10T00:00:00"/>
        <d v="2008-10-15T00:00:00"/>
        <d v="2008-11-13T00:00:00"/>
        <d v="2008-11-16T00:00:00"/>
        <d v="2008-11-27T00:00:00"/>
        <d v="2008-03-12T00:00:00"/>
        <d v="2008-11-12T00:00:00"/>
        <d v="2008-12-15T00:00:00"/>
        <d v="2009-01-01T00:00:00"/>
        <d v="2009-04-01T00:00:00"/>
        <d v="2009-01-15T00:00:00"/>
        <d v="2009-07-02T00:00:00"/>
        <d v="2009-12-02T00:00:00"/>
        <d v="2009-02-15T00:00:00"/>
        <d v="2009-02-20T00:00:00"/>
        <d v="2009-02-25T00:00:00"/>
        <d v="2009-09-03T00:00:00"/>
        <d v="2009-12-03T00:00:00"/>
        <d v="2009-03-22T00:00:00"/>
        <d v="2009-03-23T00:00:00"/>
        <d v="2009-01-04T00:00:00"/>
        <d v="2009-06-04T00:00:00"/>
        <d v="2009-09-04T00:00:00"/>
        <d v="2009-04-29T00:00:00"/>
        <d v="2009-03-05T00:00:00"/>
        <d v="2009-05-20T00:00:00"/>
        <d v="2009-05-26T00:00:00"/>
        <d v="2009-01-06T00:00:00"/>
        <d v="2009-07-06T00:00:00"/>
        <d v="2009-08-06T00:00:00"/>
        <d v="2009-06-29T00:00:00"/>
        <d v="2009-06-30T00:00:00"/>
        <d v="2009-03-07T00:00:00"/>
        <d v="2009-07-15T00:00:00"/>
        <d v="2009-07-19T00:00:00"/>
        <d v="2009-07-24T00:00:00"/>
        <d v="2009-02-08T00:00:00"/>
        <d v="2009-04-08T00:00:00"/>
        <d v="2009-08-08T00:00:00"/>
        <d v="2009-11-08T00:00:00"/>
        <d v="2009-08-26T00:00:00"/>
        <d v="2009-08-09T00:00:00"/>
        <d v="2009-09-24T00:00:00"/>
        <d v="2009-09-25T00:00:00"/>
        <d v="2009-10-17T00:00:00"/>
        <d v="2009-10-21T00:00:00"/>
        <d v="2009-10-22T00:00:00"/>
        <d v="2009-01-11T00:00:00"/>
        <d v="2009-12-11T00:00:00"/>
        <d v="2009-11-14T00:00:00"/>
        <d v="2009-11-28T00:00:00"/>
        <d v="2009-11-29T00:00:00"/>
        <d v="2010-01-22T00:00:00"/>
        <d v="2010-01-25T00:00:00"/>
        <d v="2010-01-28T00:00:00"/>
        <d v="2010-02-14T00:00:00"/>
        <d v="2010-10-04T00:00:00"/>
        <d v="2010-04-13T00:00:00"/>
        <d v="2010-04-21T00:00:00"/>
        <d v="2010-12-05T00:00:00"/>
        <d v="2010-05-15T00:00:00"/>
        <d v="2010-05-17T00:00:00"/>
        <d v="2010-05-22T00:00:00"/>
        <d v="2010-06-19T00:00:00"/>
        <d v="2010-06-23T00:00:00"/>
        <d v="2010-05-07T00:00:00"/>
        <d v="2010-07-28T00:00:00"/>
        <d v="2010-01-08T00:00:00"/>
        <d v="2010-03-08T00:00:00"/>
        <d v="2010-09-08T00:00:00"/>
        <d v="2010-08-16T00:00:00"/>
        <d v="2010-08-21T00:00:00"/>
        <d v="2010-08-24T00:00:00"/>
        <d v="2010-08-25T00:00:00"/>
        <d v="2010-08-27T00:00:00"/>
        <d v="2010-03-09T00:00:00"/>
        <d v="2010-04-09T00:00:00"/>
        <d v="2010-09-13T00:00:00"/>
        <d v="2010-09-21T00:00:00"/>
        <d v="2010-06-10T00:00:00"/>
        <d v="2010-12-10T00:00:00"/>
        <d v="2010-10-21T00:00:00"/>
        <d v="2010-04-11T00:00:00"/>
        <d v="2010-05-11T00:00:00"/>
        <d v="2010-11-25T00:00:00"/>
        <d v="2010-11-28T00:00:00"/>
        <d v="2010-04-12T00:00:00"/>
        <d v="2011-01-01T00:00:00"/>
        <d v="2011-09-01T00:00:00"/>
        <d v="2011-08-02T00:00:00"/>
        <d v="2011-10-02T00:00:00"/>
        <d v="2011-02-14T00:00:00"/>
        <d v="2011-03-21T00:00:00"/>
        <d v="2011-04-04T00:00:00"/>
        <d v="2011-04-19T00:00:00"/>
        <d v="2011-04-21T00:00:00"/>
        <d v="2011-07-05T00:00:00"/>
        <d v="2011-05-18T00:00:00"/>
        <d v="2011-06-20T00:00:00"/>
        <d v="2011-06-07T00:00:00"/>
        <d v="2011-08-07T00:00:00"/>
        <d v="2011-11-07T00:00:00"/>
        <d v="2011-07-13T00:00:00"/>
        <d v="2011-07-26T00:00:00"/>
        <d v="2011-07-28T00:00:00"/>
        <d v="2011-06-08T00:00:00"/>
        <d v="2011-09-08T00:00:00"/>
        <d v="2011-08-20T00:00:00"/>
        <d v="2011-08-26T00:00:00"/>
        <d v="2011-02-09T00:00:00"/>
        <d v="2011-06-09T00:00:00"/>
        <d v="2011-07-09T00:00:00"/>
        <d v="2011-09-14T00:00:00"/>
        <d v="2011-09-16T00:00:00"/>
        <d v="2011-09-22T00:00:00"/>
        <d v="2011-09-25T00:00:00"/>
        <d v="2011-09-29T00:00:00"/>
        <d v="2011-10-13T00:00:00"/>
        <d v="2011-10-27T00:00:00"/>
        <d v="2011-10-11T00:00:00"/>
        <d v="2011-11-11T00:00:00"/>
        <d v="2011-07-12T00:00:00"/>
        <d v="2011-12-26T00:00:00"/>
        <d v="2012-01-30T00:00:00"/>
        <d v="2012-03-15T00:00:00"/>
        <d v="2012-03-16T00:00:00"/>
        <d v="2012-02-04T00:00:00"/>
        <d v="2012-04-20T00:00:00"/>
        <d v="2012-04-30T00:00:00"/>
        <d v="2012-09-05T00:00:00"/>
        <d v="2012-05-14T00:00:00"/>
        <d v="2012-02-06T00:00:00"/>
        <d v="2012-03-06T00:00:00"/>
        <d v="2012-06-06T00:00:00"/>
        <d v="2012-11-06T00:00:00"/>
        <d v="2012-06-21T00:00:00"/>
        <d v="2012-08-18T00:00:00"/>
        <d v="2012-08-19T00:00:00"/>
        <d v="2012-12-09T00:00:00"/>
        <d v="2012-09-28T00:00:00"/>
        <d v="2012-07-10T00:00:00"/>
        <d v="2012-11-21T00:00:00"/>
        <d v="2012-11-30T00:00:00"/>
        <d v="2012-05-12T00:00:00"/>
        <d v="2012-09-12T00:00:00"/>
        <d v="2012-12-25T00:00:00"/>
        <d v="2012-12-29T00:00:00"/>
        <d v="2013-02-01T00:00:00"/>
        <d v="2013-04-01T00:00:00"/>
        <d v="2013-01-29T00:00:00"/>
        <d v="2013-02-13T00:00:00"/>
        <d v="2013-04-03T00:00:00"/>
        <d v="2013-08-03T00:00:00"/>
        <d v="2013-04-13T00:00:00"/>
        <d v="2013-04-29T00:00:00"/>
        <d v="2013-05-31T00:00:00"/>
        <d v="2013-06-25T00:00:00"/>
        <d v="2013-06-07T00:00:00"/>
        <d v="2013-07-07T00:00:00"/>
        <d v="2013-09-08T00:00:00"/>
        <d v="2013-08-14T00:00:00"/>
        <d v="2013-03-10T00:00:00"/>
        <d v="2013-10-10T00:00:00"/>
        <d v="2013-10-16T00:00:00"/>
        <d v="2013-03-11T00:00:00"/>
        <d v="2013-09-11T00:00:00"/>
        <d v="2013-10-11T00:00:00"/>
        <d v="2013-11-17T00:00:00"/>
        <d v="2013-11-29T00:00:00"/>
        <d v="2013-05-12T00:00:00"/>
        <d v="2013-12-26T00:00:00"/>
        <d v="2014-01-20T00:00:00"/>
        <d v="2014-11-02T00:00:00"/>
        <d v="2014-02-16T00:00:00"/>
        <d v="2014-02-21T00:00:00"/>
        <d v="2014-08-03T00:00:00"/>
        <d v="2014-03-18T00:00:00"/>
        <d v="2014-04-19T00:00:00"/>
        <d v="2014-04-20T00:00:00"/>
        <d v="2014-08-05T00:00:00"/>
        <d v="2014-05-17T00:00:00"/>
        <d v="2014-06-14T00:00:00"/>
        <d v="2014-02-07T00:00:00"/>
        <d v="2014-07-07T00:00:00"/>
        <d v="2014-07-17T00:00:00"/>
        <d v="2014-07-23T00:00:00"/>
        <d v="2014-07-24T00:00:00"/>
        <d v="2014-10-08T00:00:00"/>
        <d v="2014-08-30T00:00:00"/>
        <d v="2014-08-31T00:00:00"/>
        <d v="2014-09-20T00:00:00"/>
        <d v="2014-04-10T00:00:00"/>
        <d v="2014-12-28T00:00:00"/>
        <d v="2015-01-18T00:00:00"/>
        <d v="2015-04-02T00:00:00"/>
        <d v="2015-10-03T00:00:00"/>
        <d v="2015-03-24T00:00:00"/>
        <d v="2015-06-25T00:00:00"/>
        <d v="2015-06-30T00:00:00"/>
        <d v="2015-07-31T00:00:00"/>
        <d v="2015-12-08T00:00:00"/>
        <d v="2015-08-16T00:00:00"/>
        <d v="2015-05-09T00:00:00"/>
        <d v="2015-09-15T00:00:00"/>
        <d v="2015-02-10T00:00:00"/>
        <d v="2015-10-31T00:00:00"/>
        <d v="2015-04-11T00:00:00"/>
        <d v="2015-11-21T00:00:00"/>
        <d v="2015-11-24T00:00:00"/>
        <d v="2016-08-01T00:00:00"/>
        <d v="2016-02-02T00:00:00"/>
        <d v="2016-02-24T00:00:00"/>
        <d v="2016-02-26T00:00:00"/>
        <d v="2016-09-03T00:00:00"/>
        <d v="2016-03-15T00:00:00"/>
        <d v="2016-03-19T00:00:00"/>
        <d v="2016-03-29T00:00:00"/>
        <d v="2016-04-04T00:00:00"/>
        <d v="2016-04-13T00:00:00"/>
        <d v="2016-04-29T00:00:00"/>
        <d v="2016-05-19T00:00:00"/>
        <d v="2016-07-22T00:00:00"/>
        <d v="2016-07-30T00:00:00"/>
        <d v="2016-05-08T00:00:00"/>
        <d v="2016-08-31T00:00:00"/>
        <d v="2016-10-24T00:00:00"/>
        <d v="2016-11-28T00:00:00"/>
        <d v="2016-03-12T00:00:00"/>
        <d v="2016-07-12T00:00:00"/>
        <d v="2016-12-18T00:00:00"/>
        <d v="2016-12-20T00:00:00"/>
        <d v="2016-12-25T00:00:00"/>
        <d v="2017-01-16T00:00:00"/>
        <d v="2017-02-21T00:00:00"/>
        <d v="2017-10-03T00:00:00"/>
        <d v="2017-03-27T00:00:00"/>
        <d v="2017-05-05T00:00:00"/>
        <d v="2017-05-27T00:00:00"/>
        <d v="2017-07-06T00:00:00"/>
        <d v="2017-06-28T00:00:00"/>
        <d v="2017-10-07T00:00:00"/>
        <d v="2017-09-30T00:00:00"/>
        <d v="2017-12-10T00:00:00"/>
        <d v="2017-10-14T00:00:00"/>
        <d v="2017-11-15T00:00:00"/>
        <d v="2017-12-13T00:00:00"/>
        <d v="2017-12-31T00:00:00"/>
        <d v="2018-01-29T00:00:00"/>
        <d v="2018-10-02T00:00:00"/>
        <d v="2018-11-02T00:00:00"/>
        <d v="2018-02-18T00:00:00"/>
        <d v="2018-06-03T00:00:00"/>
        <d v="2018-11-03T00:00:00"/>
        <d v="2018-12-03T00:00:00"/>
        <d v="2018-11-04T00:00:00"/>
        <d v="2018-04-17T00:00:00"/>
        <d v="2018-02-05T00:00:00"/>
        <d v="2018-05-18T00:00:00"/>
        <d v="2018-10-07T00:00:00"/>
        <d v="2018-04-08T00:00:00"/>
        <d v="2018-09-28T00:00:00"/>
        <d v="2018-10-29T00:00:00"/>
        <d v="2018-06-11T00:00:00"/>
        <d v="2019-01-14T00:00:00"/>
        <d v="2019-02-23T00:00:00"/>
        <d v="2019-09-03T00:00:00"/>
        <d v="2019-10-03T00:00:00"/>
        <d v="2019-04-16T00:00:00"/>
        <d v="2019-05-05T00:00:00"/>
        <d v="2019-03-06T00:00:00"/>
        <d v="2019-07-30T00:00:00"/>
      </sharedItems>
      <fieldGroup par="24" base="1">
        <rangePr groupBy="months" startDate="1908-09-17T00:00:00" endDate="2019-10-04T00:00:00"/>
        <groupItems count="14">
          <s v="&lt;17/9/1908"/>
          <s v="ene"/>
          <s v="feb"/>
          <s v="mar"/>
          <s v="abr"/>
          <s v="may"/>
          <s v="jun"/>
          <s v="jul"/>
          <s v="ago"/>
          <s v="sep"/>
          <s v="oct"/>
          <s v="nov"/>
          <s v="dic"/>
          <s v="&gt;4/10/2019"/>
        </groupItems>
      </fieldGroup>
    </cacheField>
    <cacheField name="Year" numFmtId="0">
      <sharedItems containsSemiMixedTypes="0" containsString="0" containsNumber="1" containsInteger="1" minValue="1908" maxValue="2019" count="109">
        <n v="1908"/>
        <n v="1909"/>
        <n v="1912"/>
        <n v="1913"/>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Decade" numFmtId="0">
      <sharedItems count="11">
        <s v="1908-1970"/>
        <s v="70"/>
        <s v="80"/>
        <s v="90"/>
        <s v="00"/>
        <s v="10"/>
        <s v="70s" u="1"/>
        <s v="80s" u="1"/>
        <s v="00s" u="1"/>
        <s v="90s" u="1"/>
        <s v="10s" u="1"/>
      </sharedItems>
    </cacheField>
    <cacheField name="Time" numFmtId="20">
      <sharedItems containsDate="1" containsMixedTypes="1" minDate="1899-12-30T00:00:00" maxDate="1900-01-02T18:00:00"/>
    </cacheField>
    <cacheField name="Location" numFmtId="0">
      <sharedItems containsBlank="1"/>
    </cacheField>
    <cacheField name="Operator" numFmtId="0">
      <sharedItems/>
    </cacheField>
    <cacheField name="Flight #" numFmtId="0">
      <sharedItems containsDate="1" containsMixedTypes="1" minDate="1899-12-31T04:01:03" maxDate="1900-01-10T11:46:04"/>
    </cacheField>
    <cacheField name="Route" numFmtId="0">
      <sharedItems containsMixedTypes="1" containsNumber="1" containsInteger="1" minValue="14099" maxValue="14099"/>
    </cacheField>
    <cacheField name="AC Type" numFmtId="0">
      <sharedItems count="2376">
        <s v="Wright Flyer III"/>
        <s v="Wright Byplane"/>
        <s v="Dirigible"/>
        <s v="Curtiss seaplane"/>
        <s v="Zeppelin L-1 (airship)"/>
        <s v="Zeppelin L-2 (airship)"/>
        <s v="Zeppelin L-8 (airship)"/>
        <s v="Zeppelin L-10 (airship)"/>
        <s v="Schutte-Lanz S-L-10 (airship)"/>
        <s v="Zeppelin L-32 (airship)"/>
        <s v="Zeppelin L-31 (airship)"/>
        <s v="Super Zeppelin (airship)"/>
        <s v="Zeppelin L-34 (airship)"/>
        <s v="Airship"/>
        <s v="Schutte-Lanz S-L-9 (airship)"/>
        <s v="Zeppelin L-22 (airship)"/>
        <s v="Zeppelin L-43 (airship)"/>
        <s v="Zepplin LZ-95 (air ship)"/>
        <s v="Zeppelin L-23 (airship)"/>
        <s v="Zeppelin L-44 (airship)"/>
        <s v="Zeppelin L-59 (airship)"/>
        <s v="Zeppelin L-70 (airship)"/>
        <s v="Zeppelin L-53 (airship)"/>
        <s v="De Havilland DH-4"/>
        <s v="FD Type Dirigible"/>
        <s v="Caproni Ca.48"/>
        <s v="Curtiss R-4LM"/>
        <s v="De Havilland DH.4"/>
        <s v="Curtiss JN-4H"/>
        <s v="Farman F-40"/>
        <s v="Armstrong-Whitworth F-K-8"/>
        <s v="Junkers JL-6"/>
        <s v="Junkers F-13"/>
        <s v="Salmson 2-A-2"/>
        <s v="Breguet 14"/>
        <s v="Handley Page HP-16"/>
        <s v="_x0009_ Avro 504"/>
        <s v="De Havilland DH-4 De Havilland DH-4"/>
        <s v="Royal Airship Works ZR-2 (airship)"/>
        <s v="Potez IX"/>
        <s v="Bristol 28 Tourer"/>
        <s v="Handley Page O/10"/>
        <s v="Dirigible Roma (airship)"/>
        <s v="Aeromarine Model 85 (flying boat)"/>
        <s v="de Havilland DH-18 / Farman F-60 Goliath"/>
        <s v="NULL"/>
        <s v="Bleriot Spad 27"/>
        <s v="LVG C VI"/>
        <s v="Potez 29"/>
        <s v="de Havilland DH-9"/>
        <s v="LiorÃ©-et-Olivier H-13"/>
        <s v="Farman F-60 Goliath"/>
        <s v="Farman F.60 Goliath"/>
        <s v="BlÃ©riot Spad 46"/>
        <s v="de Havilland DH-34"/>
        <s v="Zeppelin Dixmunde (airship)"/>
        <s v="Fokker F.III"/>
        <s v="de Havilland DH-34B"/>
        <s v="Fokker (KLM) F.III"/>
        <s v="LiorÃ©-et-Olivier LeO H-13"/>
        <s v="Dirigible ZR-1 Shenandoah (airship)"/>
        <s v="Spad 33"/>
        <s v="Curtiss Carrier Pigeon"/>
        <s v="Caudron C-61"/>
        <s v="Fokker F7"/>
        <s v="Bleriot 155"/>
        <s v="Sikorsky S-25"/>
        <s v="Fokker FG III"/>
        <s v="Handley Page W-10"/>
        <s v="Ryan M-1"/>
        <s v="Fokker F-VII"/>
        <s v="de Havilland DH-9C"/>
        <s v="Swallow Swallow"/>
        <s v="Douglas M-4"/>
        <s v="SPCA Meteore 63"/>
        <s v="Fokker F-VIII"/>
        <s v="Fokker Universal"/>
        <s v="Dornier Merkur"/>
        <s v="Fairchild FC-2"/>
        <s v="Farman F-121 Jabiru"/>
        <s v="LatÃ©coÃ¨re 23 (flying boat)"/>
        <s v="Latecoere 25"/>
        <s v="Boeing 40"/>
        <s v="Rohrbach Roland"/>
        <s v="Latecoere 26"/>
        <s v="Ford 4"/>
        <s v="AEGK"/>
        <s v="Vickers 74 Vulcan"/>
        <s v="Ford 4-AT-B Tri Motor"/>
        <s v="Bleriot Spad 33"/>
        <s v="de Havilland DH.50J"/>
        <s v="Fokker Super Universal"/>
        <s v="Bleriot Spad 56"/>
        <s v="Latecoere 32"/>
        <s v="Hamilton H-47"/>
        <s v="Travel Air 4000"/>
        <s v="Dornier Wal"/>
        <s v="Ford Tri-motor 4"/>
        <s v="Junkers G-31"/>
        <s v="BlÃ©riot Spad 66"/>
        <s v="Stearman C-38"/>
        <s v="CMASA Wal"/>
        <s v="Ford 5-AT-B Tri Motor"/>
        <s v="Fokker F-VIIA"/>
        <s v="Ford 5-AT-B Tri-Motor / B-PW-9D"/>
        <s v="Fokker F-III"/>
        <s v="Cams 53"/>
        <s v="Fokker F-X"/>
        <s v="Ford 5-AT-B Tri-Motor"/>
        <s v="Domier Delphin III (flying boat)"/>
        <s v="Lockheed 5 Vega"/>
        <s v="Kalinin K-4"/>
        <s v="Fokker FG II"/>
        <s v="Lockheed Vega"/>
        <s v="de Havilland DH-66 Hercules"/>
        <s v="Travel Air 6000"/>
        <s v="Pitcairn PA-6 Mailwing"/>
        <s v="Latecoere 25-3-R"/>
        <s v="Fairchild 71"/>
        <s v="Short Calcutta (flying boat)"/>
        <s v="Loening C-2C"/>
        <s v="Lockheed Vega 5"/>
        <s v="Junkers G-24"/>
        <s v="Liore et Olivier 190"/>
        <s v="Savoia Marchetti S55"/>
        <s v="Stearman M-2 Speedmail"/>
        <s v="Douglas M-3"/>
        <s v="Arado V1"/>
        <s v="Travel Air B6000"/>
        <s v="Boeing 95"/>
        <s v="Farman 190"/>
        <s v="Ford 5-AT-C Tri Motor"/>
        <s v="Travel Air A6000A"/>
        <s v="Farman F-63"/>
        <s v="Latecoere 28"/>
        <s v="Ford Tri-Motor 5"/>
        <s v="Junkers F-13ge"/>
        <s v="Sabca F-VII"/>
        <s v="Royal Airship Works R-101"/>
        <s v="Messerschmitt M-20B"/>
        <s v="de Havilland DH.80 Puss Moth"/>
        <s v="Handley Page W-8"/>
        <s v="Loening C-W Air Yaht"/>
        <s v="Desoutter II"/>
        <s v="Fokker Universal F-14"/>
        <s v="Avro 10"/>
        <s v="Fokker F10A Trimotor"/>
        <s v="Messerschmitt M-20"/>
        <s v="Junkers W-34"/>
        <s v="Fokker F-VIIB"/>
        <s v="Lockheed Vega 2"/>
        <s v="Lasco Lascowl"/>
        <s v="Fokker F-VIIb-3m"/>
        <s v="Heinkel HE-2"/>
        <s v="Lockheed Orion 9"/>
        <s v="De Havilland DH.80"/>
        <s v="Stinson"/>
        <s v="CAMS 56"/>
        <s v="Fairchild Pilgrim 100A"/>
        <s v="Stinson SM-2A"/>
        <s v="Stinson SM-6000B"/>
        <s v="Fairchild"/>
        <s v="Stearman C-3MB"/>
        <s v="Fokker F-10A"/>
        <s v="Northrop Alpha 3"/>
        <s v="Farman F-190"/>
        <s v="Junkers G-23"/>
        <s v="Fokker F-10"/>
        <s v="Liore-et-Olivier 213"/>
        <s v="De Havilland DH-80"/>
        <s v="Junkers W-33"/>
        <s v="Ford 5"/>
        <s v="De Havilland DH-60"/>
        <s v="Curtiss Condor 18"/>
        <s v="Stearman 4"/>
        <s v="Ford 5-AT-D"/>
        <s v="Fairchild FC-2W"/>
        <s v="Armstrong Whitworth Argosy II"/>
        <s v="Goodyear-Zeppelin U.S.S. Akron (airship)"/>
        <s v="Cams 53-1"/>
        <s v="Latecoere 28-1"/>
        <s v="Pitcairns PA-6"/>
        <s v="Sikorsky S-38B (flying boat)"/>
        <s v="CMASA Wal (flying boat)"/>
        <s v="Farman F-306"/>
        <s v="Boeing 247"/>
        <s v="Farman F-301"/>
        <s v="Northrop Delta"/>
        <s v="Kalinin K-7"/>
        <s v="Focke-Wulf A-17"/>
        <s v="Dewoitine D-332"/>
        <s v="Breguet 280T"/>
        <s v="LatÃ©coÃ¨re 28"/>
        <s v="Sikorsky S-38 Flying Boat"/>
        <s v="Ford 5-AT-C Tri-Motor"/>
        <s v="Sikorsky S-38BB"/>
        <s v="Wibault 282T-12"/>
        <s v="Curtiss Condor T-32"/>
        <s v="Lockheed Orion"/>
        <s v="Curtiss AT-32C Condor"/>
        <s v="Sikorsky S-38B"/>
        <s v="de havilland 89 Dragon Rapide"/>
        <s v="de Havilland DH-50A"/>
        <s v="de Havilland DH-86"/>
        <s v="De Havilland DH-61"/>
        <s v="Stinson SM-6000-B"/>
        <s v="Lockheed Vega 5C"/>
        <s v="Ford 4-AT-E Tri-motor"/>
        <s v="Douglas DC-2-115A"/>
        <s v="Lockheed Orion 9D"/>
        <s v="Tupolev ANT-9"/>
        <s v="Wapiti"/>
        <s v="Consolidated Fleetster"/>
        <s v="Junkers JU-52/3m"/>
        <s v="Rochrbach Roland"/>
        <s v="de Havilland Dragon 1"/>
        <s v="Farman F-300"/>
        <s v="Fokker F-12"/>
        <s v="Douglas DC-2-112"/>
        <s v="Tupolev ANT-20 / I-5"/>
        <s v="Ford model 4-AT-E"/>
        <s v="Boeing 221"/>
        <s v="Stinson SM6000B Tri-motor"/>
        <s v="Ford Tri-Motor / Ford Tri-Motor"/>
        <s v="Fokker F-XXII"/>
        <s v="General 102-E"/>
        <s v="Douglas DC-2"/>
        <s v="de Havilland DH-84 Dragon"/>
        <s v="Savoia-Marchetti S-66"/>
        <s v="Stinson Model A"/>
        <s v="Lockheed Orion 9E Explorer float plane"/>
        <s v="Waco, model YLC"/>
        <s v="Ford Tri-Motor"/>
        <s v="Boeing 247D"/>
        <s v="Boeing B-247-D"/>
        <s v="LatÃ©coÃ¨re 28-1"/>
        <s v="Short S-17 Kent"/>
        <s v="Caudron C-630 Simoun"/>
        <s v="Savoia-Marchetti SM73"/>
        <s v="Heinkel He-70"/>
        <s v="Short S-8 Calcutta flying boat"/>
        <s v="Junkers JU-52"/>
        <s v="Douglas DC-2-120"/>
        <s v="Vultee V-1"/>
        <s v="Latecoere 301 (flying boat)"/>
        <s v="Dormier Do-J-Iif Bos Wal flying boat"/>
        <s v="Ford 5-AT-D Tri-Motor"/>
        <s v="Sikorsky S-42A float plane"/>
        <s v="OFM F-VIIb/3m"/>
        <s v="General Aviation GA-43"/>
        <s v="De Havilland DH-60 Moth"/>
        <s v="Junkers JU-160"/>
        <s v="Spartan Cruiser"/>
        <s v="Saro A-19 Cloud"/>
        <s v="Wibault 280"/>
        <s v="Lockheed 9 Orion"/>
        <s v="Lockheed 10B Electra"/>
        <s v="Stinson SM 6000B"/>
        <s v="Boulton and Paul P-71"/>
        <s v="Cant Z-506 (float plane)"/>
        <s v="Blackburn B-2"/>
        <s v="Fokker F-XII"/>
        <s v="Antonov AN-9"/>
        <s v="LatÃ©coÃ¨re 300 (float plane."/>
        <s v="Douglas DC-2-115E"/>
        <s v="Lockheed 10 Electra"/>
        <s v="Lockheed 10E Electra"/>
        <s v="Sabca S-73"/>
        <s v="Douglas DC-3A"/>
        <s v="Heinkel He-111V2"/>
        <s v="Short S-23 (flying boat)"/>
        <s v="Zeppelin LZ-129"/>
        <s v="Sirkorsky S-43 (flying boat)"/>
        <s v="Douglas DC-2-115L"/>
        <s v="Sikorsky S-43"/>
        <s v="Stinson SR-7 Reliant"/>
        <s v="Short Empire flying boat"/>
        <s v="Douglas DC-3"/>
        <s v="Dewoitine D-333"/>
        <s v="Lockhed 10 Electra"/>
        <s v="Heinkel He-111"/>
        <s v="Potez 621"/>
        <s v="Wibault 283-T12"/>
        <s v="Junkers JU-38"/>
        <s v="Lockheed 14H Super Electra"/>
        <s v="Sikorsky S-42 (flying boat)"/>
        <s v="Stinson Reliant SR-9"/>
        <s v="Consolidated PBY-2 / Consolidated PBY-2"/>
        <s v="V6 (airship)"/>
        <s v="LiorÃ©-et-Olivier H-242"/>
        <s v="Cant Z-506"/>
        <s v="Junkers JU.52"/>
        <s v="Dewoitine D-338"/>
        <s v="Lockheed Vega 5B"/>
        <s v="Lockheed 14-H2 Super Electra"/>
        <s v="Douglas DST-A-207A"/>
        <s v="Fairchild 51"/>
        <s v="Heinkel 116"/>
        <s v="De Havilland DH-85"/>
        <s v="Lockheed 14 Super Electra"/>
        <s v="Savoia Marchetti S-66"/>
        <s v="Armstrong-Withworth Atlanta"/>
        <s v="Martin M-130 (flying boat)"/>
        <s v="Ford Tri-motor F-VIII"/>
        <s v="Douglas DF-151"/>
        <s v="Macchi C-94"/>
        <s v="Unknown / Unknown"/>
        <s v="De Havilland DH-84"/>
        <s v="Dornier DO.18 (float plane)"/>
        <s v="Savbia-Marchetti S-73P"/>
        <s v="Lockheed 14 Electra"/>
        <s v="Junkers JU90V2"/>
        <s v="Douglas DC 3-A-SB-3-G-14"/>
        <s v="Nakajima A-T2"/>
        <s v="Lockheed 14-WF62 Super Electra"/>
        <s v="Short S23 â€˜Câ€™ Class flying boat"/>
        <s v="Douglas DC-2-115B"/>
        <s v="Lockheed 14-H Super Electra"/>
        <s v="Fairchild 71(amphibious)"/>
        <s v="Junkers JU-86"/>
        <s v="Boeing 307 Stratoliner"/>
        <s v="Caudron C.635 Simoun"/>
        <s v="Short S-23 Empire Flying Boat"/>
        <s v="Curtiss-Wright C-14 Osprey"/>
        <s v="Koolhoven FK.43"/>
        <s v="de Havilland DH.89 Dragon Rapide"/>
        <s v="Junkers JU86 Z-2"/>
        <s v="Sikorsky S43 (flying boat)"/>
        <s v="De Havilland D-84"/>
        <s v="Airspeed Oxford"/>
        <s v="Savoia-Marchetti SM83"/>
        <s v="Savoia-Marchetti SM-75"/>
        <s v="Handley Page HP-42"/>
        <s v="Savoia Marchetti SM 73"/>
        <s v="Douglas DC-5"/>
        <s v="Junkers JU-52/3mge"/>
        <s v="Douglas DC-2-115H"/>
        <s v="Lockheed Hudson A16-97"/>
        <s v="Junkers Ju53/2m"/>
        <s v="Junkers JU-90A-1"/>
        <s v="Farman F-224"/>
        <s v="Savoia-Marchetti SM.75"/>
        <s v="Savoia-Marchetti SM-83"/>
        <s v="Ford 5-AT Tri-Motor"/>
        <s v="Douglas DC-3-3"/>
        <s v="Lockheed 18 Lodestar"/>
        <s v="Mitsubishi MC-20"/>
        <s v="Macchi C.100"/>
        <s v="Consolidated LB-30A Liberator"/>
        <s v="Consolidated 32-2 Liberator I"/>
        <s v="Bloch 220"/>
        <s v="Sikorsky S-42B (flying boat)"/>
        <s v="Junkers JU-53/3m"/>
        <s v="Tupolev ANT-6"/>
        <s v="Lockheed Hudson"/>
        <s v="Grumman G-21 Goose"/>
        <s v="Consolidated Liberator"/>
        <s v="deHavilland DH-86"/>
        <s v="Consolidated B-24 Liberator"/>
        <s v="Douglas DC-2-221"/>
        <s v="Douglas DC-3-A-269"/>
        <s v="Douglas C-49E"/>
        <s v="Liore et Olivier H-246 Air Boat"/>
        <s v="Siebel Si-204"/>
        <s v="Short Sunderland"/>
        <s v="Short S-30 (flying boat)"/>
        <s v="Dewoitine D-342"/>
        <s v="Lockheed 18 Loadstar"/>
        <s v="Douglas C-47"/>
        <s v="Douglas C-39-DO (DC-2)"/>
        <s v="Sirkorsky 44A (flying boat)"/>
        <s v="GVF PS-84"/>
        <s v="Douglas DC-3 / Lockheed B-34"/>
        <s v="Handley Page HP-57 Halifax"/>
        <s v="Grazhdansky Vozdushnyi Flot PS-84"/>
        <s v="Tupolev A.N.T. 20bis"/>
        <s v="Short S-26 (flying boat)"/>
        <s v="Douglas C-54A"/>
        <s v="Consolidated C-87"/>
        <s v="Consolidated 32-3 Liberator II"/>
        <s v="Boeing XB-29"/>
        <s v="Boeing B-314 (flying boat)"/>
        <s v="Douglas C-53"/>
        <s v="Douglas C-47-DL"/>
        <s v="Lockheed C-56B Lodestar"/>
        <s v="Short S-23"/>
        <s v="Douglas C-47A-DL"/>
        <s v="Douglas C-47 Skytrain (DC-3)"/>
        <s v="B-17C Flying Fortress"/>
        <s v="Lockheed Hudson VI"/>
        <s v="Consolidated Liberator B24 C"/>
        <s v="Short S-25 Sunderland 3 (flying boat)"/>
        <s v="Consolidated B-24"/>
        <s v="Boeing B-17F / Boeing B-17F"/>
        <s v="Douglas C-53D-DO"/>
        <s v="Douglas DC3-G102"/>
        <s v="Short Sunderland 3"/>
        <s v="Lockheed L-18-56 Lodestar"/>
        <s v="Lockheed 18-56 Lodestar"/>
        <s v="Douglas C-47A-60-DL"/>
        <s v="Consolidated B-24 / Consolidated B-24"/>
        <s v="Pilgrim 100B"/>
        <s v="Douglas C-47A"/>
        <s v="Lockheed 10C Electra"/>
        <s v="Douglas A-26B Invader"/>
        <s v="R4D-5"/>
        <s v="Douglas C-54A-DO (DC-4)"/>
        <s v="Douglas C-47A-DK"/>
        <s v="Consolidated Catalina PB2Y-3R"/>
        <s v="Consolidated PB4Y-1"/>
        <s v="Consolidated B-24H"/>
        <s v="Douglas C-54A-DC (DC-4)"/>
        <s v="Lockheed 18-56 Loadstar"/>
        <s v="Junkers JU52/3m"/>
        <s v="C-47 Dakota DT-941"/>
        <s v="Douglas C-47A-90-DL"/>
        <s v="Focke-Wulf FW 200"/>
        <s v="Short S.23 Empire Flying Boat"/>
        <s v="Consolidated B24H"/>
        <s v="Avro 683 Lancaster"/>
        <s v="Lisunov LI-2"/>
        <s v="UC-64A Noorduyn Norseman"/>
        <s v="Douglas C-47 Dakota"/>
        <s v="Douglas R4D-6"/>
        <s v="Junkers 52/3m"/>
        <s v="Curtiss C-46A"/>
        <s v="B17G Flying Fortress"/>
        <s v="Douglas C-54E-DO (DC-4)"/>
        <s v="Curtiss-Wright C-46D-CU"/>
        <s v="Avro Lancaster"/>
        <s v="Douglas C-47B-DK"/>
        <s v="de Havilland DH-86A"/>
        <s v="Boeing TB-29A Super Fortress"/>
        <s v="Douglas DC-3-201C / Army A-26"/>
        <s v="North American B-25D bomber"/>
        <s v="Sikorsky S-43 (flying boat)"/>
        <s v="Douglas DC-2-243"/>
        <s v="Douglas C-47B-5-DK"/>
        <s v="Curtiss C-46D"/>
        <s v="Consolidated LB-40-A Liberator"/>
        <s v="Short Stirling IV"/>
        <s v="Consolidated LB-30-A Liberator"/>
        <s v="Curtiss-Wright C-46F-CU"/>
        <s v="Douglas C-47B"/>
        <s v="Faucett F-19"/>
        <s v="Curtiss-Wright C-46A-CK"/>
        <s v="Douglas C-54G"/>
        <s v="Budd RB-1 Conestoga"/>
        <s v="Martin PBM-3S / Martin PBM-5"/>
        <s v="Short Stirling"/>
        <s v="Douglas C-54"/>
        <s v="Boeing B-17G"/>
        <s v="Douglas C-48"/>
        <s v="Douglas C-47 Dakota-DK"/>
        <s v="Five Grumman TBM Avengers"/>
        <s v="Douglas DC-3-201E"/>
        <s v="Douglas DC-3 Dakota"/>
        <s v="Douglas DC-3-194H"/>
        <s v="Consolidated 32-2 Liberator II"/>
        <s v="Douglas DC-3-227B"/>
        <s v="Douglas DC-3 (C-47DL)"/>
        <s v="Avro 691 Lancastrian 1"/>
        <s v="de Hvilland 89A Dragon Rapide"/>
        <s v="Vickers Wellington bomber"/>
        <s v="PBY4-2 Privateer / PB4Y-2 Privateer"/>
        <s v="Douglas C-54-DO (DC-4)"/>
        <s v="Douglas C-54D-DC (DC-4)"/>
        <s v="Boeing B17G"/>
        <s v="Lockheed L-049 Constellation"/>
        <s v="Curtiss C-46"/>
        <s v="Curtiss C-46D-10-CU"/>
        <s v="Boeing B-17G / Boeing B-17G"/>
        <s v="Douglas C-47A-10-DK"/>
        <s v="Avro Anson"/>
        <s v="Supermarine Stranraer (flying boat)"/>
        <s v="Douglas DC-3 (C-53D-DO)"/>
        <s v="Douglas DC-3 (C-47-A5-DL)"/>
        <s v="Avro 685 York I"/>
        <s v="Douglas C-47A Dakota"/>
        <s v="Douglas DC-4-1009"/>
        <s v="Curtiss Wright C-46"/>
        <s v="Douglas C-47B-25-DK"/>
        <s v="de Havilland 89A Dragon Rapide"/>
        <s v="Douglas DC-3A-228D"/>
        <s v="Douglas C-54E-5-DO"/>
        <s v="Avro 685 York 1"/>
        <s v="Fairey Firefly MK1"/>
        <s v="Douglas DC-4"/>
        <s v="AAC-1 Toucan"/>
        <s v="Douglas C-53D-DO (DC-3)"/>
        <s v="Douglas C-47A-90 DL (DC-3)"/>
        <s v="Douglas DC-3 (C-47A-90-DL)"/>
        <s v="Vickers 620 Viking 1"/>
        <s v="Curtiss-Wright R5C-1"/>
        <s v="Douglas DC-3 (C-47-B-1-DK)"/>
        <s v="Douglas DC-3 ( C-53D-DO)"/>
        <s v="Curtiss C-47"/>
        <s v="Lockheed 049 Consellation"/>
        <s v="Douglas DC-3 (C-50A-DO)"/>
        <s v="Sikorsky S-43B (flying boat)"/>
        <s v="Curtis C-46"/>
        <s v="Douglas C-47A-1-DK"/>
        <s v="Douglas DC-4 (C-54A-DO)"/>
        <s v="Lockheed C-60 Lodestar"/>
        <s v="Douglas DC-3 ( C-47-DO)"/>
        <s v="Douglas C-47 / Douglas DC-3"/>
        <s v="Douglas C- C47A-30DK"/>
        <s v="Douglas DC-3C"/>
        <s v="Douglas C-54B-15-DO"/>
        <s v="Curtiss C-46E"/>
        <s v="Savoia-Marchetti SM-95"/>
        <s v="Doublas C-47"/>
        <s v="Avro York C1"/>
        <s v="Douglas DC-3 (C-47DL) /Vultee BT-13"/>
        <s v="Douglas DC-47"/>
        <s v="Douglas C-54B"/>
        <s v="Avro 691 Lancastrian"/>
        <s v="Douglas DC-4 (C-54-DO)"/>
        <s v="Lockheed 049-46-21 Constellation"/>
        <s v="Li-2"/>
        <s v="Avro 685 York"/>
        <s v="Avro 691 Lancastrian 3"/>
        <s v="Consolidated PBY-5A Catalina"/>
        <s v="Douglas DC-3F"/>
        <s v="Short Sandringham 5 (flying boat)"/>
        <s v="Short Sandringham (flying boat)"/>
        <s v="Boeing 314A"/>
        <s v="Bristol 170 Freighter I"/>
        <s v="Douglas DC-6"/>
        <s v="Douglas DC-4A"/>
        <s v="Lockheed L-049-46-26 Constellation"/>
        <s v="Bristol 170 Freighter XI"/>
        <s v="Douglas C-47-DK"/>
        <s v="Ilyushin IL-12"/>
        <s v="Short S-29 Stirling V"/>
        <s v="Douglas DC-3 (C-47)"/>
        <s v="Douglas DC-2-172"/>
        <s v="Douglas DC-3D"/>
        <s v="Vickers 610 Viking 1B"/>
        <s v="Douglas DC-3-201F"/>
        <s v="Douglas DC-3 (C-47B-DK)"/>
        <s v="Avro 688 Tudor I"/>
        <s v="Lockheed L-649 Constellation"/>
        <s v="Latecoere 631 (flying boat)"/>
        <s v="Douglas DC-4 (C-54G-1-DO)"/>
        <s v="Douglas DC-3 (C47-DL)"/>
        <s v="Vickers 604 Viking 1B"/>
        <s v="Vickers Viking 1B &amp; Soviet YAK-3 fighter"/>
        <s v="Lockheed L-049-46 Constellation"/>
        <s v="Lockheed Hudson IIIA"/>
        <s v="Lisnov Li-2"/>
        <s v="de Havilland Dove 1"/>
        <s v="Douglas DC-3-455"/>
        <s v="Handley Page Halifax C-8"/>
        <s v="de Havilland DH-89A Dragon Rapide"/>
        <s v="PBY Catalina"/>
        <s v="Fiat G.212CP"/>
        <s v="Douglas DC-6 / RAF York"/>
        <s v="Consolidated OA-10 Catalina"/>
        <s v="Curtiss C-46D-20-CU"/>
        <s v="Short Sandringham 2 (flying boat)"/>
        <s v="Avro 691 Lancastrian (flying boat)"/>
        <s v="Martin 202"/>
        <s v="Douglas DC-3 (Douglas C-47A-10-DK)"/>
        <s v="Short Sandringham 6 (flying boat)"/>
        <s v="Ilyushin Il12"/>
        <s v="Lockheed 049-46-25 Constellation"/>
        <s v="Lockheed 10A Electra"/>
        <s v="Boeing B-29A Superfortress"/>
        <s v="Douglas C-54B-5-DO"/>
        <s v="Douglas DC-3 (C-47-DL)"/>
        <s v="Douglas DC-3DST"/>
        <s v="Douglas DC-3 (C-47A-DL)"/>
        <s v="Douglas C-54 Skymaster"/>
        <s v="Avro 688 Tudor 4B"/>
        <s v="Lockheed L-749 / Cessna 140"/>
        <s v="Douglas C-54A-1-DO Skymaster"/>
        <s v="Vickers 628 Viking 1B"/>
        <s v="Douglas DC-3 / Avro Anson"/>
        <s v="FIAT G-212CP"/>
        <s v="Bristol 170 Freighter 31 Mark II"/>
        <s v="Curtiss C-46D-5-CU"/>
        <s v="Lockheed 749-79-33 Constellation"/>
        <s v="Douglas C-47A-20-DL"/>
        <s v="Curtiss C-46E-1-CS"/>
        <s v="Lockheed L-749-79-33 Constellation"/>
        <s v="Hawker Hunter"/>
        <s v="Curtiss C-46F-1-CU"/>
        <s v="Douglas DC-3 -201D/ F-6-F- 5 Hellcat"/>
        <s v="Bristol 170 Freighter 21"/>
        <s v="Douglas DC-3 (C-54A-DO)"/>
        <s v="Consolidated Canso (amphibian)"/>
        <s v="Douglas C-54A-1-DO"/>
        <s v="Douglas C-54B / P-38"/>
        <s v="Tempest"/>
        <s v="Curtiss C-46D-CU"/>
        <s v="Douglas DC-3-313A"/>
        <s v="Douglas C-54A-DO"/>
        <s v="Douglas C-47A-50-DL"/>
        <s v="Douglas C-47A-15-DK"/>
        <s v="Avro 689 Tudor 5"/>
        <s v="Latecoere 631 (sea plane)"/>
        <s v="Douglas C-47 (DC-3)"/>
        <s v="Douglas C-54D"/>
        <s v="Douglas C-47DL"/>
        <s v="Boeing B-29"/>
        <s v="Curtiss C-46-F-1-CU"/>
        <s v="Douglas DC-3-178"/>
        <s v="Douglas C-47D"/>
        <s v="Lockheed 049 Constellation"/>
        <s v="Boeing B-29MR"/>
        <s v="Lockheed 749A Constellation"/>
        <s v="Douglas R5D-3"/>
        <s v="Avro Ninteen I"/>
        <s v="Vickers 610 Viking-1B"/>
        <s v="Lockheed 749 Constellation"/>
        <s v="Douglas C-54B-1-DC"/>
        <s v="Douglas C54E-DO (DC-4)"/>
        <s v="Savoia Marchetti SM-95"/>
        <s v="Short Sunderland 9 (flying boat)"/>
        <s v="Douglas C-124A Globemaster"/>
        <s v="Douglas C-47A-75-DL Dakota 3"/>
        <s v="Douglas DC-4 /Beechcraft SMB-1"/>
        <s v="Convair B-36D"/>
        <s v="Vickers 639 Viking 1"/>
        <s v="Fairchild C-82"/>
        <s v="Douglas DC-6B"/>
        <s v="Vickers Valetta C-1"/>
        <s v="de Havilland DHA-3 Drover II"/>
        <s v="Boeing 377 Stratocruiser 10-34"/>
        <s v="Douglas C-47A-30-DK Dakota III"/>
        <s v="_x0009_Fairchild C-119C-15-FA Flying Boxcar"/>
        <s v="Curtiss C-46D-15-CU"/>
        <s v="Boeing C-97A Stratofreighter"/>
        <s v="Fairchild C-82 Packet"/>
        <s v="Lisunov Li-2P"/>
        <s v="DC-2-243"/>
        <s v="Curtiss Wright C-46F"/>
        <s v="SNCASE Languedoc"/>
        <s v="Curtiss C 46F-CU"/>
        <s v="Convair CV-240-0"/>
        <s v="Vickers 614 Viking 1"/>
        <s v="Consolidated 32 Liberator II"/>
        <s v="Douglas C-47A-35-DL"/>
        <s v="Boeing B-29 / Boeing B-29"/>
        <s v="Curtiss C-46F-1CU"/>
        <s v="Boeing 377-10-26 Stratocruiser"/>
        <s v="Handley Page HP-81 Hermes IV"/>
        <s v="Airspeed AS-65 Consul"/>
        <s v="Boeing B-50 Superfortress"/>
        <s v="Avro Shackleton MR-1"/>
        <s v="Fairchild packet (C119 flying boxcar)"/>
        <s v="Boeing 377 Stratocruiser"/>
        <s v="Handley Page HP-81 Hermes 4A"/>
        <s v="Bristol 170 Freighter"/>
        <s v="de Havilland 110"/>
        <s v="Boeing KC-97G Stratofreighter"/>
        <s v="Fairchild C-119C"/>
        <s v="Fairchild C-119C-23-FA Flying Boxcar"/>
        <s v="Douglas C-54G (DC-4)"/>
        <s v="Vickers Viking 610-1B"/>
        <s v="Douglas C-54B-10-DO"/>
        <s v="Vickers Valetta Mk1 / Avero Lancaster"/>
        <s v="Douglas C-47B-15-DK"/>
        <s v="Douglas C-54A-5-DC"/>
        <s v="Curtiss-Wright C-46"/>
        <s v="de Havilland DH106 Comet 1A"/>
        <s v="Curtiss C-46F"/>
        <s v="Convair CV-240-7"/>
        <s v="Convair RB-36H"/>
        <s v="Douglas DC-4 (C-54-10-DO)"/>
        <s v="de Havilland DH-114 Heron 1B"/>
        <s v="Vickers 616 Viking 1B"/>
        <s v="Doublas Dc-3"/>
        <s v="Junkers JU-5/-3m"/>
        <s v="de Havilland DH106 Comet 1"/>
        <s v="Vickers Valetta T-3"/>
        <s v="Convair CV-240-4"/>
        <s v="Li-2 / Li-2T"/>
        <s v="Ilyushin IL-2"/>
        <s v="Douglas C-124A Globemaster II"/>
        <s v="Douglas DC-6A"/>
        <s v="Fairchild R4Q-2"/>
        <s v="Lockheed L- 749A Constellation"/>
        <s v="Convair B-36"/>
        <s v="Convair CV-240-12"/>
        <s v="Douglas C-46A-CU ( DC-3)"/>
        <s v="Avro Shackleton MR-2"/>
        <s v="VC-Viking"/>
        <s v="Convair CV-240"/>
        <s v="Vickers Valetta"/>
        <s v="F-88 Sabre Jet"/>
        <s v="Curtiss-Wright C46D-CU"/>
        <s v="C-46"/>
        <s v="Lockheed 749A-79-33 Constellation"/>
        <s v="Fairchild C-110F"/>
        <s v="Canadair C-4-1Argonaut / Harvard Mark II"/>
        <s v="Douglas C-47A-30-DK"/>
        <s v="Lockheed C-28"/>
        <s v="Lockheed 749A-79 Constellation"/>
        <s v="Bristol 170 Freighter 21E"/>
        <s v="Lockheed 1049C-55-81 S Constellation"/>
        <s v="Vickers 634 Viking"/>
        <s v="Ilyushin IL -12"/>
        <s v="Lockheed R7V-1"/>
        <s v="Vickers 720 Viscount"/>
        <s v="Boeing B377-10-28 Stratocruiser"/>
        <s v="Ilyushin II-14"/>
        <s v="Douglas C47"/>
        <s v="Avro Shackleton M-2 / Avro Shakleton M-2"/>
        <s v="Martin 202A / DC-3"/>
        <s v="Grumman G-73 Mallard"/>
        <s v="Convair CV-340"/>
        <s v="Consolidated PBY-5 Catalina"/>
        <s v="Martin 404"/>
        <s v="de Havilland DH.104 Dove"/>
        <s v="Douglas R6D-1 (C-118B)"/>
        <s v="Boeing 377 Stratocruiser 10-26"/>
        <s v="Avro 685 York C-1"/>
        <s v="Convair CV-340-32"/>
        <s v="Aeroflot"/>
        <s v="Fairchild C119G / Fairchild C119G"/>
        <s v="Bristol 170 Freighter 31"/>
        <s v="Canadair C-4 Argonaut"/>
        <s v="Douglas C54A"/>
        <s v="Convair CV-340-58"/>
        <s v="Douglas MC-54M"/>
        <s v="Douglas C124-DL Globemaster II"/>
        <s v="Boeing RB-52B"/>
        <s v="Lockheed 749C-79-12 Constellation"/>
        <s v="Douglas R5D2"/>
        <s v="Boeing 377 Stratocruiser 10-30"/>
        <s v="Aero Commander 520"/>
        <s v="CF-100 Mark 4B"/>
        <s v="Douglas C-47-DL (DC-3)"/>
        <s v="Lockheed 1049E-55 Super Constellation"/>
        <s v="Douglas DC-7 / Lockheed S Constellation"/>
        <s v="Vickers Viscount"/>
        <s v="Douglas C-118A"/>
        <s v="Convair CV-440-11"/>
        <s v="Douglas DC-3 / Cessna 170B"/>
        <s v="Curtiss C-46A-45-CU"/>
        <s v="Stinson AT-19"/>
        <s v="Douglas C188-B"/>
        <s v="Handley Page HP-1 Hermes"/>
        <s v="de Havilland DH-114 Heron 2B"/>
        <s v="Douglas C-54A-10-DC"/>
        <s v="Ilyushin IL-12B"/>
        <s v="Lockheed 749-79-34 Constellation"/>
        <s v="Canadair DC-4M-2 Northstar"/>
        <s v="Vickers 708 Viscount"/>
        <s v="Lockheed C-121C Super Constellation"/>
        <s v="Vickers 615 Viking 1B"/>
        <s v="SNCASE SE.2010 Armagnac"/>
        <s v="Douglas DC-7B / U.S. Air Force F-89J"/>
        <s v="Douglas C-124C"/>
        <s v="Curtiss C-46D-15--CU"/>
        <s v="Blackburn Beverley C Mark 1"/>
        <s v="Vickers Viscount 701"/>
        <s v="Douglas C-47-A-75-DL Skytrain"/>
        <s v="Boeing C-97C"/>
        <s v="Consolidated B-24J"/>
        <s v="Vickers Valetta C-Mk.1"/>
        <s v="Lockheed Super Constellation"/>
        <s v="Vickers Viking 1B"/>
        <s v="Ilyushin P-14"/>
        <s v="L-Hudson"/>
        <s v="Lockheed L-414 Hudson"/>
        <s v="Douglas C-47A-90 (DC-3)"/>
        <s v="Lockheed 1049C Super Constellation"/>
        <s v="Ilyushin IL-14P"/>
        <s v="Convair CV-440-62"/>
        <s v="Let Aero 45S"/>
        <s v="de Havilland DH-114 Heron"/>
        <s v="Vickers 802 Viscount"/>
        <s v="Fairchild C-82A"/>
        <s v="Ilushin Il-14"/>
        <s v="Bristol Britannia 175"/>
        <s v="Boeing - 377-10-29 Stratocruiser"/>
        <s v="de Havilland DH-114 Heron 2D"/>
        <s v="Short Solent 3 (flying boat)"/>
        <s v="de Havilland Canada DHC-3 Otter"/>
        <s v="Lockheed WV-2"/>
        <s v="Douglas C-118A / Lockheed P2V-5F"/>
        <s v="Airspeed Ambassador AS-57"/>
        <s v="Douglas VC-47A"/>
        <s v="Fairchild R4Q / Dougas AD-6 skyraider"/>
        <s v="Douglas DC-7-C"/>
        <s v="Douglas C-124C / Fairchild C-119C"/>
        <s v="Vickers Viscount 745D"/>
        <s v="Douglas DC-7 / F-100F"/>
        <s v="Douglas DC-7C"/>
        <s v="Vickers Viscount 745D / T-33A"/>
        <s v="Convair CV-440-59"/>
        <s v="Boeing KC-135A"/>
        <s v="Vickers Viscount 748D"/>
        <s v="Lockheed 1049H Super Constellation"/>
        <s v="Convair CV-240-2"/>
        <s v="Tupolev TU-104-A"/>
        <s v="Lockheed C-130A-II Hercules"/>
        <s v="Douglas C-124C Globemaster"/>
        <s v="Vickers 621 Viking 1"/>
        <s v="Curtiss C-46A-CU"/>
        <s v="Boeing B-52 / Boeing B-52"/>
        <s v="Lockheed L-1049H Super Constellation"/>
        <s v="Lockheed C-130A Hercules"/>
        <s v="Fairchild C-123 Provider"/>
        <s v="Lockheed 1049E Super Constellation"/>
        <s v="Tupolev TU-104A"/>
        <s v="Lockheed WV-2 Super Constellation"/>
        <s v="Vickers Viscount 701C"/>
        <s v="Vickers Viscount 755D"/>
        <s v="Martin Mariner"/>
        <s v="Ilyushin IL-14"/>
        <s v="Bristol 175 Britannia 312"/>
        <s v="Saab Scandia"/>
        <s v="Lockheed L 1049G Super Constillation"/>
        <s v="Curtiss C-46A-50-CU"/>
        <s v="Avro 688"/>
        <s v="Beechcraft Bonanza 35"/>
        <s v="Lockheed 188A Electra"/>
        <s v="Vickers Viscount 794D"/>
        <s v="Vickers Viscount 763"/>
        <s v="Nord 2501 Noratlas"/>
        <s v="Avro 688 Super Trader"/>
        <s v="Lockheed C-69 Constellation"/>
        <s v="Boeing RC-135E"/>
        <s v="Noorduyn Norseman"/>
        <s v="Lockheed 1649A Starliner"/>
        <s v="North American F-100D-25NA"/>
        <s v="Vickers 815 Viscount"/>
        <s v="Boeing 707-123"/>
        <s v="de Havilland DH-106 Comet 4"/>
        <s v="Saab Scandia 90A-1"/>
        <s v="Aero Commander AC 520"/>
        <s v="Antonov AN-10"/>
        <s v="Douglas DC-7B"/>
        <s v="Ilyushin IL-18"/>
        <s v="Vickers 785D Viscount"/>
        <s v="Vickers Viscount 827 / Fokker T-21"/>
        <s v="de Havilland Canada U-1A Otter"/>
        <s v="Sud Aviation Caravelle 1"/>
        <s v="Douglas DC-3 / USN R4-D6"/>
        <s v="Antonov 10A"/>
        <s v="Lockheed 188C Electra"/>
        <s v="Curtiss C-46A-40-CU"/>
        <s v="Fairchild F-27 / Cessna 310"/>
        <s v="Convair CV-880"/>
        <s v="Fokker F-27 Friendship 100"/>
        <s v="Lockheed 749A-79-32 Constellation"/>
        <s v="Convair CV-340-62"/>
        <s v="Goodyear ZPG-3W (airship)"/>
        <s v="de Havilland DH-89 Dragon Rapide"/>
        <s v="Fairchild C-119G"/>
        <s v="Sikorsky S-58C helicopter"/>
        <s v="Ilyushin IL-18B"/>
        <s v="Avro Lancaster 1"/>
        <s v="Vickers 634 Viking 1B"/>
        <s v="Lockheed 1049G Super Constellation"/>
        <s v="Douglas DC-6AB"/>
        <s v="Vickers Viscount 837"/>
        <s v="Douglas DC-3 (C-53-DO)"/>
        <s v="Vickers Viscount 739B"/>
        <s v="de Havilland DH-114 Heron 2"/>
        <s v="Douglas C-54A-DC"/>
        <s v="Fairchild F-27A"/>
        <s v="Ilyushin 14M"/>
        <s v="Curtiss C-46A-60-CK"/>
        <s v="Avro 691 Lancastrian IV"/>
        <s v="MD DC-8-11 / Lockheed 1049 S Const"/>
        <s v="Convair C-131D (CV-340-79)"/>
        <s v="Ilyushin IL-18A"/>
        <s v="Avia 14"/>
        <s v="McDonnell Douglas DC-8-21"/>
        <s v="Douglas C-118A Liftmaster"/>
        <s v="Boeing B-707-320"/>
        <s v="C-47(DC-3)"/>
        <s v="Douglas C-124A-DL"/>
        <s v="Handley Page Hastings C-2"/>
        <s v="McDonnell Douglas DC-8-53"/>
        <s v="Lockheed L-188C Electra"/>
        <s v="Tupolev TU-104B"/>
        <s v="McDonnell Douglas DC-8-12"/>
        <s v="Vickers Viking 3B"/>
        <s v="Douglas C-47A (DC-3)"/>
        <s v="Sud-Aviation Caravelle III"/>
        <s v="Bristol 170 Freighter 31M"/>
        <s v="Lockheed L-749A Constellation"/>
        <s v="Aero Commander 680F"/>
        <s v="de Havilland Comet 4"/>
        <s v="Vickers Viscount 720"/>
        <s v="Boeing 720-030B"/>
        <s v="Fairchild C-119G / Fairchild C-119"/>
        <s v="de Havilland Comet 4B"/>
        <s v="Grumman G-21A Goose"/>
        <s v="Antonov AN-10A"/>
        <s v="Fairchild F-27"/>
        <s v="Boeing B-707-123B"/>
        <s v="Douglas C-47A-1"/>
        <s v="Consolidated Catalina"/>
        <s v="Lockheed C121J"/>
        <s v="Boeing B-707-124"/>
        <s v="Boeing B-707-328"/>
        <s v="McDonnell Douglas DC-8-43"/>
        <s v="de Havilland Comet 4C"/>
        <s v="Bristol Britannia 314"/>
        <s v="McDonnell Douglas DC-8-33"/>
        <s v="Lockheed P2V-7"/>
        <s v="Lockheed 1049H-82 Super Constellation"/>
        <s v="Vickers 757 Viscount"/>
        <s v="Convair CV-440 -62"/>
        <s v="Convair CV-340/440"/>
        <s v="Vickers 828 Viscount"/>
        <s v="Ilyushin IL-18D"/>
        <s v="Saab Scandia / Cessna 310"/>
        <s v="Boeing B-707-441"/>
        <s v="Vickers Viscount 804"/>
        <s v="KB-50"/>
        <s v="Channel Air Bridge"/>
        <s v="Boeing B307-1 Stratoliner"/>
        <s v="Vickers Viscount 812"/>
        <s v="Lockheed P-3A Orion"/>
        <s v="Vickers Viscount 754D / Douglas C-47"/>
        <s v="Boeing B-720-051B"/>
        <s v="Douglas DC-7"/>
        <s v="Ilyushin IL-18V"/>
        <s v="Piper PA-24-250 Comanche"/>
        <s v="Avro 685 York C1"/>
        <s v="H-21B"/>
        <s v="Vickers Viscount 759D"/>
        <s v="Convair CV-340-59"/>
        <s v="Douglas DC-7CF"/>
        <s v="VEB 14P"/>
        <s v="Fairchild C-119"/>
        <s v="Vickers Viscount 708"/>
        <s v="Tupolev Tu-124"/>
        <s v="Boeing KC-135A / Boeing KC-135A"/>
        <s v="Curtiss C-46 Commando"/>
        <s v="Vickers Viscount 768D"/>
        <s v="Douglas C-133A"/>
        <s v="Douglas C-74"/>
        <s v="Boeing Vetrol 107 II helicopter"/>
        <s v="Antonov AN-12"/>
        <s v="BAC One-Eleven 200AB"/>
        <s v="McDonnell Douglas DC-8F-54F"/>
        <s v="Curtis C-46A-20-CU"/>
        <s v="Boeing B-707-121"/>
        <s v="Beech D18S"/>
        <s v="Bristol Britannia 312"/>
        <s v="Piper PA-23"/>
        <s v="Vickers Viscount 785D"/>
        <s v="Cessna 185"/>
        <s v="Sud Aviation Caravelle 3"/>
        <s v="Boeing C-135B"/>
        <s v="Curtiss C-46-CU"/>
        <s v="Caravelle VIR"/>
        <s v="Beechcraft 35-B33 Debonair"/>
        <s v="Douglas C-47A-25-DK"/>
        <s v="Vickers Viscount 710C"/>
        <s v="Lockheed L-749A-79 Constellation"/>
        <s v="Beechcraft C45G"/>
        <s v="Lockheed P-3A"/>
        <s v="Convair CV-440"/>
        <s v="Boeing B-707-331"/>
        <s v="Fairchild C-123"/>
        <s v="Curtis C-46A"/>
        <s v="Tupolev Tu-124V"/>
        <s v="Handley Page HPR-7 Herald 211"/>
        <s v="Antonov AN-24"/>
        <s v="Canadair CP-107 MK-2"/>
        <s v="Handley Page Dart Herald 207"/>
        <s v="Lockheed 1049G-55 Super Constellation"/>
        <s v="Boeing B-720-040B"/>
        <s v="Bell UH-1D / Bell UH1D (helicopters)"/>
        <s v="Boeing C-135A"/>
        <s v="Boeing B-707-321B"/>
        <s v="Handley Page Hastings C Mark 1"/>
        <s v="EC-121H (Super Constellation)"/>
        <s v="de Havilland 106A"/>
        <s v="Boeing B-727-22"/>
        <s v="Vickers 804 Viscount"/>
        <s v="Lockheed KC-130F"/>
        <s v="Aero Commander 680"/>
        <s v="Transportes AÃ©reos Orientales"/>
        <s v="Boeing B-707-121B"/>
        <s v="Beechcraft C-45H"/>
        <s v="Fokker F-27 Friendship 200"/>
        <s v="Douglas DC-3 / Piper PA-18A"/>
        <s v="Boeing 307 Stratoliner B-1"/>
        <s v="Vickers Vanguard 951"/>
        <s v="Boeing B-727-23"/>
        <s v="Learjet 23"/>
        <s v="Douglas C-53-DO (DC-3A)"/>
        <s v="Boeing B-707-131B / L1049C Constellation"/>
        <s v="Fairchild C-123C"/>
        <s v="Douglas DC-3 / Douglas DC-3"/>
        <s v="DC3(C47)"/>
        <s v="Antonov AN-2"/>
        <s v="Douglas DC-6-54B"/>
        <s v="Boeing B-707-437"/>
        <s v="Fairchild C-123B"/>
        <s v="Convair CV-440-0"/>
        <s v="Boeing B-727-81"/>
        <s v="Sud Aviation SE-210 Caravelle VIN"/>
        <s v="Ilyushin IL-18M"/>
        <s v="Tupolev Tu-114"/>
        <s v="Tupolev Tu-114D"/>
        <s v="Boeing B-707-436"/>
        <s v="Grumman G-21A"/>
        <s v="Antonov AN-24B"/>
        <s v="Boeing CH47A (helicopter)"/>
        <s v="Douglas DC-8-52"/>
        <s v="de Havilland 104-6A"/>
        <s v="Lockheed C-130B Hercules"/>
        <s v="Beechcraft H50"/>
        <s v="BAC One-Eleven 203AE"/>
        <s v="Chance Vought F-8E"/>
        <s v="Bristol Britannia 102"/>
        <s v="Sud Aviation SE-210 Caravelle"/>
        <s v="Vickers Viscount 832"/>
        <s v="McDonnell Douglas DC-9-14"/>
        <s v="de Havilland Canada CV-2B Caribou"/>
        <s v="Bell 204B helicopter"/>
        <s v="Lockheed EC-121H"/>
        <s v="NAMC-YS-11-111"/>
        <s v="Boeing 727-21"/>
        <s v="Tupolev TU-114B"/>
        <s v="Lockheed L-1649A Starliner"/>
        <s v="Douglas C-47A-80-DL"/>
        <s v="Canadair CL-44D4-1"/>
        <s v="Convair CV-580"/>
        <s v="AT L98 Carvair"/>
        <s v="MD Douglas DC-9-15 / Beechcraft Baron-55"/>
        <s v="Douglas C-47J"/>
        <s v="de Havilland Canada DHC-6 Twin Otter 100"/>
        <s v="Vickers Viscount 818"/>
        <s v="McDonnell Douglas DC-8-51"/>
        <s v="Lockheed C-130B"/>
        <s v="Fokker F-27 Friendship 400"/>
        <s v="de Havilland DH-104 / Piper PA-28"/>
        <s v="Curtiss C-46T"/>
        <s v="Douglas DC-8-54F"/>
        <s v="Douglas DC-3A-197D"/>
        <s v="Bristol 170 Freighter 31E"/>
        <s v="BAC One Eleven 204AF"/>
        <s v="Bell UH-1B / Sikorsky CH53A helicopters"/>
        <s v="Sud Aviation SE-210 Caravelle III"/>
        <s v="Boeing B-727-22 / Cessna 310"/>
        <s v="Lockheed C130B"/>
        <s v="Handley Page HPR-7 Herald 214"/>
        <s v="Sud Aviation Caravelle 10R"/>
        <s v="Convair CV-880-22M-3"/>
        <s v="Boeing B-707-131"/>
        <s v="Convair CV-880-22-1"/>
        <s v="de Havilland Canada C-7A Caribou"/>
        <s v="Douglas DC-C-54A"/>
        <s v="Beechcraft 18H"/>
        <s v="Sikorsky CH-53A (helicopter)"/>
        <s v="Douglas C-54P"/>
        <s v="Boeing B-707-138B"/>
        <s v="Antonov AN-12BP"/>
        <s v="Boeing B-727-92C"/>
        <s v="Fairchild C-123K"/>
        <s v="Boeing B-707-328C"/>
        <s v="Douglas DC6B"/>
        <s v="Vickers Viscount 803"/>
        <s v="McDonnell Douglas DC-9 and Cessna 150F"/>
        <s v="MiG-15 UTI"/>
        <s v="Boeing B-707-465"/>
        <s v="Bell UH-1H / Bell UH-1H (helicopter)"/>
        <s v="Boeing B-707-344C"/>
        <s v="Lockheed Martin L-100-10"/>
        <s v="Lockheed L188A Electra"/>
        <s v="Sikorsky S-61L helicopter"/>
        <s v="Convair CV-990-30A-5"/>
        <s v="Boeing B-707-321C"/>
        <s v="Piaggio PD-808"/>
        <s v="Bell UH-1H / Bell UH-1H / Bell UH-1H"/>
        <s v="Airspeed AS.57 Ambassador 2"/>
        <s v="Convair CV-340-68B"/>
        <s v="Boeing 707-329C"/>
        <s v="Curtiss C-46C"/>
        <s v="McDonnell Douglas DC-8"/>
        <s v="Convair CV-580 / Cessna 150"/>
        <s v="Vickers Viscount 739A"/>
        <s v="Fairchild-Hiller FH-227B"/>
        <s v="Antonov AN-24V"/>
        <s v="Hawker Siddeley HS-748-215-2"/>
        <s v="Cessna 402 / Piper PA-28"/>
        <s v="Sud-Aviation Caravelle 3"/>
        <s v="Britten-Norman BN-2 Islander"/>
        <s v="Avia 14-40"/>
        <s v="Douglas C-47A-25"/>
        <s v="Fairchild-Hiller FH227C"/>
        <s v="McDonnell Douglas DC-8-62"/>
        <s v="de Havilland Canada DHC-6 Twin Otter 200"/>
        <s v="Fairchild F-27B"/>
        <s v="Lockheed L-100 Hercules"/>
        <s v="Boeing 707-321CF"/>
        <s v="Bell 205A"/>
        <s v="Boeing B-727-113C"/>
        <s v="Boeing B-727-22QC"/>
        <s v="Handley Page Dart Herald 201"/>
        <s v="de Havilland DHC-6"/>
        <s v="McDonnell Douglas DC-9-32"/>
        <s v="Boeing Vertol CH47C (helicopter)"/>
        <s v="Lockheed EC-121M"/>
        <s v="Boeing Vertol CH47A (helicopter)"/>
        <s v="Fokker F-27 Friendship 600"/>
        <s v="Boeing B-727-64"/>
        <s v="Ilyushin IL-14M / Antonov An-12BP"/>
        <s v="Beechcraft B-99"/>
        <s v="De Havilland DH-104 Dove"/>
        <s v="Sud Aviation SE-210 Caravelle 6N"/>
        <s v="Boeing 707-331C"/>
        <s v="Pilatus Pc-6C"/>
        <s v="Cessna 172H"/>
        <s v="MD Douglas DC-9-31/Piper Cherokee PA-28"/>
        <s v="BAC One-Eleven 402AP"/>
        <s v="Convair CV-640"/>
        <s v="Douglas DC-4 / USAF F-4E"/>
        <s v="Boeing C-97"/>
        <s v="Grumman C-2A"/>
        <s v="Antonov An-12TB"/>
        <s v="BAC VC-10-1101"/>
        <s v="Boeing B-707-328B"/>
        <s v="Lockheed 18-08 Lodestar"/>
        <s v="Antonov An-12PL"/>
        <s v="Ilyushin 14P"/>
        <s v="De Havilland Dove"/>
        <s v="Hawker Siddeley HS-748 1"/>
        <s v="Convair CV-990-30A-6"/>
        <s v="Handley Page Jetstream 1"/>
        <s v="Lockheed EC-121P"/>
        <s v="Piper PA-32"/>
        <s v="Aerospatiale Caravelle 3"/>
        <s v="Hawker Siddeley HS-748-209"/>
        <s v="McDonnell Douglas DC-9-33CF"/>
        <s v="Gates Learjet 23"/>
        <s v="Fokker F-27 Friendship 400M"/>
        <s v="McDonnell Douglas DC-8-63"/>
        <s v="Antonov AN-22"/>
        <s v="McDonnell Douglas DC-8-63AF"/>
        <s v="NAMC YS-11A-219"/>
        <s v="Boeing Vertol CH47B (helicopter)"/>
        <s v="Britten-Norman BN-2A Islander"/>
        <s v="Yakovlev YAK-40"/>
        <s v="McDonnell Douglas DC-8-63CF"/>
        <s v="Fokker F-27 Friendship 300"/>
        <s v="Douglas DC-3-DST"/>
        <s v="Lockheed C-130E"/>
        <s v="Aero Commander 500-B"/>
        <s v="Lockheed L-100-20 Hercules"/>
        <s v="McDonnell Douglas DC-9-31"/>
        <s v="Canadair CL-44J"/>
        <s v="BAC One-Eleven 424EU"/>
        <s v="Boeing B-727-2A7"/>
        <s v="Nord 262E"/>
        <s v="Boeing B-707-323 / Cessna 150"/>
        <s v="Nord 262A-34"/>
        <s v="Antonov AN-12B"/>
        <s v="Fokker F-27 Friendship 500"/>
        <s v="Vickers Viscount 749"/>
        <s v="Boeing B-720-047B"/>
        <s v="Beechcraft C35"/>
        <s v="Curtiss C-46A-55-CK"/>
        <s v="Tupolev TU-134A"/>
        <s v="_x0009_Curtiss C-46"/>
        <s v="Aero Commander 680E"/>
        <s v="McDonnell Douglas DC-9-31 / F4-B"/>
        <s v="Boeing - EC-135N"/>
        <s v="NAMC YS-11A-227"/>
        <s v="Boeing B-727-281 / Air Force F86F"/>
        <s v="Boeing B-747-121"/>
        <s v="Boeing Vertol CH-47A (helicopter)"/>
        <s v="Piper PA-31"/>
        <s v="Boeing B-727-193"/>
        <s v="BAC One-Eleven 515FB"/>
        <s v="Antonov An-14"/>
        <s v="Cessna 402"/>
        <s v="Beech E18S"/>
        <s v="Beechcraft B99"/>
        <s v="Lockheed C-130K Hercules"/>
        <s v="Vickers Viscount 828"/>
        <s v="Boeing Vertol CH-47C"/>
        <s v="Douglas DC-9-31 /Cessna 206"/>
        <s v="HAL-748-224 Srs.2"/>
        <s v="Hawker Siddeley HS-748-230 Srs. 2A"/>
        <s v="Sud-Aviation Caravelle VI-R"/>
        <s v="Fairchild-Hiller FH-227-B"/>
        <s v="Aerospatiale Caravelle Super 10B"/>
        <s v="NAMC YS-11A-211"/>
        <s v="Bell 47J-2"/>
        <s v="BAC Super VC-10 1154"/>
        <s v="Pilatus PC6CH2"/>
        <s v="Antonov An-26"/>
        <s v="de Havilland Canada DHC-6 Twin Otter"/>
        <s v="Boeing Vertol CH-47 (helicopter)"/>
        <s v="Convair CV-880-22M-21"/>
        <s v="Hawker Siddeley Trident 1C"/>
        <s v="Convair CV-580/De Hav. Twin Otter 100"/>
        <s v="Boeing 737-200"/>
        <s v="McDonnell Douglas DC-8-52"/>
        <s v="Sikorsky CH-53D (helicopter)"/>
        <s v="Sud-Aviation SE210 Caravelle"/>
        <s v="Ilyushin IL-62"/>
        <s v="Douglas DC-3 (C-47A-DK)"/>
        <s v="de Havilland Canada DHC-4 Caribou"/>
        <s v="Shorts SC-7 Skyvan 3-300"/>
        <s v="F-86 Sabrejet"/>
        <s v="Douglas C-54D-1-DC"/>
        <s v="Fairchild-Hiller FH-227D/LCD"/>
        <s v="Cessna 310C"/>
        <s v="NAMC YS-11A-202"/>
        <s v="Britten-Norman BN-2A-6 Islander"/>
        <s v="Vickers Viscount 724"/>
        <s v="Beech G18S"/>
        <s v="Convair CV-990-30A-5 Coronado"/>
        <s v="Boeing B-737-222"/>
        <s v="Convair CV-880 / McDonnell DC-9-31"/>
        <s v="de Havilland Canada DHC-6 Twin Otter 300"/>
        <s v="Fokker F-28 Fellowship 1000"/>
        <s v="Lockheed L-1011 TriStar 1"/>
        <s v="Boeing 707-321C"/>
        <s v="Boeing B-707-3D3C"/>
        <s v="Tupolev TU-154"/>
        <s v="Bell 206B"/>
        <s v="Boeing B-727-224"/>
        <s v="MD Douglas DC-9-32/Convair CV-990A"/>
        <s v="HAL-748-224"/>
        <s v="Vickers Vanguard 952"/>
        <s v="Lockheed P-3C / Convair CV-990-30A-5"/>
        <s v="Boeing B-737-2A8"/>
        <s v="Tupolev TU-144"/>
        <s v="Boeing 707-327C"/>
        <s v="McDonnell Douglas DC-9-15"/>
        <s v="Boeing B-707-345C"/>
        <s v="Volpar C45G"/>
        <s v="Sud-Aviation Caravelle 10-R"/>
        <s v="Norman BN-2A-6"/>
        <s v="Lockheed L-188A Electra"/>
        <s v="Lockheed C-141A"/>
        <s v="Boeing B-707-331B"/>
        <s v="McDonnell Douglas DC-8-63F"/>
        <s v="Aerospatiale Caravelle 6N"/>
        <s v="Beechcraft E18S"/>
        <s v="Convair 600"/>
        <s v="Antonov AN-12V"/>
        <s v="Handley Page HPR-7 Herald 101"/>
        <s v="McDonnell Douglas DC-10-10"/>
        <s v="Boeing Vertol CH-47 (helilcopter)"/>
        <s v="Sud-Aviation Caravelle VI-N"/>
        <s v="Beechcraft 99A"/>
        <s v="Hawker Siddeley HS 748-260"/>
        <s v="Boeing B-747"/>
        <s v="Transall C-160D"/>
        <s v="Mc Donnell Dougals DC-9"/>
        <s v="Aerospatiale Caravelle 10B3"/>
        <s v="Beechcraft 99"/>
        <s v="Lockheed L-100-30 Hercules"/>
        <s v="Boeing 307B-1 Stratoliner"/>
        <s v="Fairchild Hiller FH1100"/>
        <s v="Lockheed C-130H"/>
        <s v="Boeing B-727-121C"/>
        <s v="Beechcraft 95-B55"/>
        <s v="Antonov An-2 / Mil Mi-8T"/>
        <s v="Douglas C-47A-30"/>
        <s v="Boeing B-747-130"/>
        <s v="Cessna 500 Citation I"/>
        <s v="Boeing B-727-231"/>
        <s v="Boeing B-727-251"/>
        <s v="Antonov An-2 / Antonov An-12"/>
        <s v="McDonnell Douglas DC-8-55F"/>
        <s v="Grumman G-21"/>
        <s v="Yakovlev 40"/>
        <s v="Antonov AN-24RV"/>
        <s v="de Hav Can. DHC-6 Tw Otter 100/ Cessna"/>
        <s v="Douglas DC-3-313"/>
        <s v="Hawker Siddeley HS-748 2"/>
        <s v="Transall C-160"/>
        <s v="Douglas DC-6BF"/>
        <s v="Canadair CL-44"/>
        <s v="Embraer 110C Bandeirante"/>
        <s v="Lockheed C-141A (L.300)"/>
        <s v="Lockheed C-5A Galaxy"/>
        <s v="Sikorsky CH-53C (helicopter)"/>
        <s v="BAC One-Eleven 524FF"/>
        <s v="Hawker Siddeley HS-748-235 Srs. 2A"/>
        <s v="Boeing B-727-225"/>
        <s v="Lockheed L-188AF Electra"/>
        <s v="Vickers 837 Viscount"/>
        <s v="Ilyushin IL-14M"/>
        <s v="Tupolev TU-134"/>
        <s v="Tupolev TU-154B"/>
        <s v="Boeing 727-24C"/>
        <s v="de Havilland DH114 Heron 2E"/>
        <s v="Convair CV-440-12"/>
        <s v="Bell 212"/>
        <s v="Lockheed C-130 Hercules"/>
        <s v="Piper PA-23-250 Aztec"/>
        <s v="Mitsubishi MU-2B"/>
        <s v="Boeing B-720B-023B"/>
        <s v="Lear Jet 24A"/>
        <s v="Britten-Norman BN-2A-21 Islander"/>
        <s v="Hawker Siddeley HS-748-246"/>
        <s v="Grumman G-21A seaplane"/>
        <s v="Ilyushin II-14P"/>
        <s v="IAI Arava 201"/>
        <s v="Ilyushin IL-18E"/>
        <s v="Cessna 207"/>
        <s v="Bell 205 A-1 helicopter"/>
        <s v="Boeing B-727-95"/>
        <s v="Boeing B-747-131F"/>
        <s v="BAC One-Eleven 527FK"/>
        <s v="Tupolev TU-154A"/>
        <s v="GAF Nomad N-22B"/>
        <s v="Airbus A300"/>
        <s v="Ilyushin IL-18L"/>
        <s v="Boeing 707-373"/>
        <s v="Douglas C-54E"/>
        <s v="Sud Aviation SE 210 Caravelle III"/>
        <s v="Hughes 369HS"/>
        <s v="Antonov AN-24 / Yakovlev Yak-40"/>
        <s v="McDonnell Douglas DC-9-31 / Trident 3B"/>
        <s v="Boeing B-727-2F2"/>
        <s v="Boeing B-707-31"/>
        <s v="NAMC YS-11A-500"/>
        <s v="_x0009_Ilyushin IL-14M"/>
        <s v="Boeing B-707-366C"/>
        <s v="Gates Learjet 24B"/>
        <s v="Douglas DC-8"/>
        <s v="Vickers Viscount 838"/>
        <s v="Avia 14T"/>
        <s v="Boeing B-747-121 / Boeing B-747-206B"/>
        <s v="Douglas DC-3-3A"/>
        <s v="Sikorsky S61L"/>
        <s v="Ilyushin IL-62M"/>
        <s v="Embraer C-95 Bandeirante"/>
        <s v="Lockheed EC-130Q"/>
        <s v="Bell 206B JetRanger"/>
        <s v="Shorts SC-7 Skyvan 3-200"/>
        <s v="Canadair CL-44D4-2"/>
        <s v="Vickers Viscount 764D"/>
        <s v="Douglas DC-7BF"/>
        <s v="Boeing - EC-135K"/>
        <s v="McDonnell Douglas DC-8-62H"/>
        <s v="Convair CV-300"/>
        <s v="Sikorksky CH-53 (helicopter)"/>
        <s v="Britten-Norman BN-2A-8 Trislander"/>
        <s v="Boeing 707-360C"/>
        <s v="Boeing B-727-282"/>
        <s v="BAC One-Eleven 420EL"/>
        <s v="Boeing B-737-2H6"/>
        <s v="SNIAS SA330J"/>
        <s v="Lockheed P-3B Orion"/>
        <s v="Aerospatiale Caravelle 10R"/>
        <s v="Piper PA-31-350 Navajo"/>
        <s v="Vickers Viscount 764 D"/>
        <s v="Boeing B-747-237B"/>
        <s v="Embraer 110P Bandeirante"/>
        <s v="Boeing B-737-275"/>
        <s v="Aero Commander 500A"/>
        <s v="Fokker F-28 Fellowship 1000 / MiG-21"/>
        <s v="British Aerospace 748 2A"/>
        <s v="Cessna T207A"/>
        <s v="Boeing B-727-235"/>
        <s v="Beech Queen Air A80"/>
        <s v="Sikorsky S-61N"/>
        <s v="Piper PA-31-350 Chieftain"/>
        <s v="de havilland Canada Twin Otter 200"/>
        <s v="Vickers Viscount 782D"/>
        <s v="Soloy 12EJ3"/>
        <s v="de Havilland DHC-2"/>
        <s v="Boeing B-727-214 / Cessna 172"/>
        <s v="Douglas R6D-1 (DC-6)"/>
        <s v="Bell 205-1"/>
        <s v="Britten Norman BN-2A Trislander"/>
        <s v="McDonnell Douglas DC-8-Super 63CF"/>
        <s v="Cessna 421 Golden Eagle"/>
        <s v="McDonnell Douglas DC-8-61"/>
        <s v="Antonov AN-24N"/>
        <s v="Nord 262A-44"/>
        <s v="Boeing B-707-326C"/>
        <s v="Nord 262"/>
        <s v="Beech BE-70"/>
        <s v="Aerospatiale Nord 262A-33"/>
        <s v="Hawker Siddeley Trident 2E"/>
        <s v="Boeing B-727-2D3"/>
        <s v="Sikorsky S61-L"/>
        <s v="de Havilland Canada DHC-4A Caribou"/>
        <s v="de Havilland Canada DHC-5D Buffalo"/>
        <s v="de Havilland DHC-6-200"/>
        <s v="Hindustan Aeronautics 748-2M"/>
        <s v="Cessna 402B"/>
        <s v="Hawker Siddeley HS-748-1"/>
        <s v="Cessna 501 Citation"/>
        <s v="LET 410M turbojet"/>
        <s v="Hindustan Aeronautics 748 2-224"/>
        <s v="Tupolev TU-134A / Tupolev Tu-134A"/>
        <s v="Boeing 707-324C"/>
        <s v="Britten Norman BN-7A lslander"/>
        <s v="Antonov An-2TP"/>
        <s v="Boeing B-727"/>
        <s v="Lockheed L-188CF Electra"/>
        <s v="Boeing B-707-340C"/>
        <s v="McDonnell Douglas DC-10-30"/>
        <s v="Douglas DC-4 (C-54)"/>
        <s v="de Havilland Canada DHC-5 Buffalo"/>
        <s v="GAF Nomad 22B"/>
        <s v="Britten Norman BN Islander"/>
        <s v="Cessna 441 Conquest"/>
        <s v="Cessna 185A"/>
        <s v="Boeing B-727-86"/>
        <s v="CASA 212 Aviocar 100"/>
        <s v="Fairchild FH-227H"/>
        <s v="Sikorsky S-62A"/>
        <s v="Beechcraft Super King Air 200"/>
        <s v="Boeing B-707-309C"/>
        <s v="Piper PA-28-180"/>
        <s v="Sikorsky S-76"/>
        <s v="Boeing B-727-27C"/>
        <s v="Lockheed EC-130E Hercules"/>
        <s v="Hawker Siddeley HS-748-2"/>
        <s v="Fairchild F-27J"/>
        <s v="Swearingen 226TC Metro II"/>
        <s v="Douglas DC-8-43F"/>
        <s v="Bell 205A-1 helicopter"/>
        <s v="Tupolev TU-154B-1"/>
        <s v="Lockheed 1011-200 TriStar"/>
        <s v="Lockheed Hercules C-130"/>
        <s v="de Havilland DHC-5 Buffalo"/>
        <s v="Boeing B-747-2B5B"/>
        <s v="Piper PA-42 Cheyenne"/>
        <s v="Aerospatiale Caravelle 6R"/>
        <s v="Lockheed L-1011-200"/>
        <s v="Lockheed C-130E Hercules"/>
        <s v="Lockheed 1339"/>
        <s v="Lockheed MC-130E-Y"/>
        <s v="Dassault-Breguet Atlantique"/>
        <s v="Boeing RC-135S"/>
        <s v="Hadley Page 137Jetstream I / Cessna 206"/>
        <s v="Douglas C-47A-5-DK"/>
        <s v="Boeing EC-135N"/>
        <s v="BAC One-Eleven 529FR"/>
        <s v="Lockheed C-130H Hercules"/>
        <s v="Hawker Siddeley HS-748"/>
        <s v="Canadair CL-44D4-6"/>
        <s v="Fokker F-27 Friendship 600RF"/>
        <s v="Antonov AN-24RV / Soviet Air Force TU-16"/>
        <s v="Embraer 110P1 Bandeirante"/>
        <s v="Yakovlev YAK-40 / Mil Mi-8"/>
        <s v="Northrop F-5A"/>
        <s v="Learjet 24"/>
        <s v="Fokker F-28 Fellowship 4000"/>
        <s v="Cessna 404 Titan"/>
        <s v="Tupolev TU-154B-2"/>
        <s v="Pilatus PC-6/B2-H2 Turbo-Porter"/>
        <s v="McDonnell Douglas MD-81"/>
        <s v="Beech C-45H"/>
        <s v="Aerospatiale Puma"/>
        <s v="McDonnell Douglas DC-10-30CF"/>
        <s v="Douglas DC-3 (C-47A-70-DL)"/>
        <s v="de Havilland DHC -6-100"/>
        <s v="Boeing KC-135C"/>
        <s v="Beechcraft Bonanza F35"/>
        <s v="Hughes 369D"/>
        <s v="de Havilland Canada DHC-7-103"/>
        <s v="Westland Sea King HC-4 (helicopter)"/>
        <s v="Boeing B-737-200"/>
        <s v="Aerospatiale 330G Puma"/>
        <s v="Boeing B-727-212A"/>
        <s v="Fairchild-Hiller FH-227B-LCD"/>
        <s v="Yakovlev YAK-42"/>
        <s v="Hawker Siddeley HS-748-209 Srs. 2"/>
        <s v="Bell UH-1B Huey Helicopter"/>
        <s v="Arava 201"/>
        <s v="Let 410UVP Turbojet / Tupolev TU-134V"/>
        <s v="Gates Learjet 25B"/>
        <s v="Boeing Vertol CH-47C (helicopter)"/>
        <s v="de Havilland Canada DHC-6 Twin Otter 310"/>
        <s v="Swearingen SA.227AC Metro III"/>
        <s v="Mil Mi-8 (helicopter)"/>
        <s v="Convair 580-11A"/>
        <s v="McDonnell Douglas DC-8-54F37"/>
        <s v="Learjet 25"/>
        <s v="Britten-Norman BN-2A-8 Islander"/>
        <s v="Hawker Siddeley HS-748-329 Srs. 2A"/>
        <s v="Kawasaki C-1 / Kawasaki C-1"/>
        <s v="Shin Meiwa PS-1"/>
        <s v="Sud Aviation SE-210 Caravelle VIR"/>
        <s v="Lockheed L-1011"/>
        <s v="Fokker F-28 Fellowship 3000RC"/>
        <s v="Fairchild C-199G"/>
        <s v="Boeing B-737-2V2"/>
        <s v="Sikorsky S-61N-II"/>
        <s v="Boeing B-767-233ER"/>
        <s v="Boeing B-747-230B"/>
        <s v="Hawker Siddeley Trident 2E / II-28"/>
        <s v="Boeing B-737-2P6"/>
        <s v="Britten-Norman BN-2A-26 Trislander"/>
        <s v="Hawker Siddeley HS-748-FAA"/>
        <s v="Shorts 330-200"/>
        <s v="Boeing B-747-283B"/>
        <s v="Fokker F-28 Fellowship 2000"/>
        <s v="Boeing B-727-200 / DC9-32"/>
        <s v="Boeing 707-373C"/>
        <s v="CASA 212-A3 Aviocar 100"/>
        <s v="Mi-6"/>
        <s v="Douglas EC-54U"/>
        <s v="Swearingen SA.226TC Metro II"/>
        <s v="Bell UH-1H / Bell UH-1H"/>
        <s v="Fairchild F-27M"/>
        <s v="Sikorsky CH-53D"/>
        <s v="Embraer 110EJ Band./Embraer 110P Band."/>
        <s v="McDonnel F-4E Phantom II"/>
        <s v="Learjet 23A"/>
        <s v="Aerospeciale AS-350D"/>
        <s v="Bell UH-1H"/>
        <s v="Lockheed C-141B"/>
        <s v="Beechcraft C99 / Rockwell 112TC"/>
        <s v="Boeing B-737-2H7C"/>
        <s v="Britten-Norman BN-2A-20 Islander"/>
        <s v="Cessna 402C"/>
        <s v="Handley Page Dart Herald 202"/>
        <s v="Antonov An-2T"/>
        <s v="McDonnell Douglas DC-8F-55"/>
        <s v="Ilyushin IL-76M"/>
        <s v="LET 410 M"/>
        <s v="Boeing B-727-225 Adv"/>
        <s v="Bell 206 L-1"/>
        <s v="Lockheed C-130A"/>
        <s v="Beech Queen Air 65-A80"/>
        <s v="Boeing B-747-SP-09"/>
        <s v="Boeing B-727-256"/>
        <s v="Boeing RC-135T"/>
        <s v="Fokker F-28 Fellowship 3000"/>
        <s v="HS-125-700B"/>
        <s v="Boeing B-727-227"/>
        <s v="Tupolev TU-134A / Antonov An-26"/>
        <s v="CH-53D"/>
        <s v="Grumman G-159 Gulfstream I"/>
        <s v="Lockheed L-1011-1 TriStar"/>
        <s v="Boeing B-747-SR46"/>
        <s v="Boeing 707-336C"/>
        <s v="Boeing B-737-236"/>
        <s v="Cessna 208 Caravan I"/>
        <s v="IAI 1124 Westwind"/>
        <s v="Boeing B-737-266"/>
        <s v="McDonnell Douglas DC-8 Super 63PF"/>
        <s v="Short SC7- Skyvan"/>
        <s v="Bell 296B"/>
        <s v="Boeing B-737-2A1"/>
        <s v="Douglas DC-3A-178"/>
        <s v="Boeing B-737-281"/>
        <s v="Antonov An-12AP"/>
        <s v="Sepecat Jaguar A"/>
        <s v="Boeing B-727-264"/>
        <s v="Lockheed HC-130P Hercules"/>
        <s v="Lockheed L-1011-100"/>
        <s v="Bell UH-1H / Bell UH-1H (helicopters)"/>
        <s v="Dassault Breguet Atlantique"/>
        <s v="de Havilland Can. DHC-6 -300/ Bell 206B"/>
        <s v="Lockheed C130D"/>
        <s v="Howard 250"/>
        <s v="MD Douglas DC-9-32 / Piper PA-28-181"/>
        <s v="Embraer 120RT Brasilia"/>
        <s v="LET 410MT Turbojet"/>
        <s v="Boeing 737-286"/>
        <s v="Enstrom F-28F"/>
        <s v="Mil Mi-17 (helicopter)"/>
        <s v="Lockheed C-130"/>
        <s v="Boeing-Vertol Chinook"/>
        <s v="Boeing B-737-270C"/>
        <s v="CASA 212-100"/>
        <s v="Boeing B-707-379C"/>
        <s v="Swearingen SA-226TC / Mooney M-20C"/>
        <s v="Embraer 110P2 Bandeirante"/>
        <s v="CASA 212 Aviocar 200"/>
        <s v="Boeing KC-135"/>
        <s v="F-4C Phantom jet fighter"/>
        <s v="Boeing 707-351C"/>
        <s v="Swearingen SA-26TC Metro II"/>
        <s v="Cessna 404 Titan II"/>
        <s v="Boeing B-377 Stratofreighter"/>
        <s v="McDonnell Douglas MD-82"/>
        <s v="Boeing B-737-2P5"/>
        <s v="Hawker Siddeley HS-125-403B"/>
        <s v="Airbus A.300B4-203"/>
        <s v="Aerospatiale Alenia ATR-42-312"/>
        <s v="A-7D Corsair"/>
        <s v="Shorts SC-7 Skyvan 3-100"/>
        <s v="Beechcraft 1900C"/>
        <s v="Boeing B-747-244B Combi"/>
        <s v="Boeing B-707-3B5C"/>
        <s v="British Aerospace BAe-146-200A"/>
        <s v="Shorts 360-300"/>
        <s v="Embraer 120 Brasilia"/>
        <s v="Aerospatiale SA-330J"/>
        <s v="Boeing B-737-230A"/>
        <s v="Curtiss C-46A-55"/>
        <s v="Tupolev TU 154B-2"/>
        <s v="Swearingen SA.227AC Metro"/>
        <s v="Swearingen SA227-AC"/>
        <s v="Boeing B-727-2H9A"/>
        <s v="Fairchild FH-227B"/>
        <s v="Sikorsky UH-60A / Sikorsky UH-60A"/>
        <s v="Boeing B-727-21"/>
        <s v="Douglas DC-8-55F"/>
        <s v="Boeing B-747-200"/>
        <s v="Let 410UVP Turolet"/>
        <s v="Boeing B-737-297"/>
        <s v="de Havilland Canada DHC-7-102"/>
        <s v="Boeing B-737-3T0"/>
        <s v="Airbus A320-111"/>
        <s v="Airbus A300B2-203"/>
        <s v="Boeing 707-328C"/>
        <s v="Let 410MU"/>
        <s v="Hawker Siddeley HS-121 Trident 2E"/>
        <s v="Boeing B-727-232 Adv"/>
        <s v="Boeing B-737-230"/>
        <s v="Beech King Air F90"/>
        <s v="Antonov 12BP"/>
        <s v="Boeing B-707-338C"/>
        <s v="Swearingen SA-226TC Metro II"/>
        <s v="Let 410UVP"/>
        <s v="Antonov AN-32"/>
        <s v="Ilyushin IL-76 / Mi-8 (helicopter)"/>
        <s v="Boeing B-747-121A"/>
        <s v="Boeing B-737-4Y0"/>
        <s v="Vickers 952F Vanguard"/>
        <s v="Boeing 747-249F"/>
        <s v="Boeing B-747-122"/>
        <s v="NAMC YS-11A-300F"/>
        <s v="McDonnell Douglas DC-9-33RC"/>
        <s v="Boeing B-707-349C"/>
        <s v="Pilatus PC-6 Turbo Porter"/>
        <s v="Aerospatiale SE-210 Caravelle"/>
        <s v="Britten Norman BN-2A Trislander II"/>
        <s v="Bell 412"/>
        <s v="McDonnell Douglas DC-8 Super 62"/>
        <s v="Ilyushin IL-62MK"/>
        <s v="Cessna 404 Titan Courier II"/>
        <s v="Hawker Siddeley HS-748-435 Srs. 2"/>
        <s v="Dassault Falcon 20"/>
        <s v="BAC One-Eleven 516FP"/>
        <s v="Mil Mi-8 / Mil Mi-8"/>
        <s v="Sikorsky S-58T"/>
        <s v="de Havilland DHC-6 Twin Otter 300"/>
        <s v="Cessna 177RG"/>
        <s v="Boeing B-737-241"/>
        <s v="Beech King Air B100"/>
        <s v="Military - U.S. Air Force"/>
        <s v="Boeing B-737-401"/>
        <s v="Mil Mi-17 ( helicopter)"/>
        <s v="Dornier Do-288-201"/>
        <s v="Agusta A109A MK II"/>
        <s v="Cessna 402C Utililiner"/>
        <s v="Ilyushin IL-76MD"/>
        <s v="Ilyushin IL-76TD"/>
        <s v="Boeing B-737-209"/>
        <s v="Casa 212 Aviocar"/>
        <s v="Mil Mi-4 / Mil Mi-4"/>
        <s v="British Aerospace 3101 Jetstream 31"/>
        <s v="Cessna 207 / Cessna 207"/>
        <s v="Cessna 208A Caravan I Cargomaster"/>
        <s v="CASA 212-200 Aviocar"/>
        <s v="Hawker Siddeley HS-748-2A"/>
        <s v="Antonov AN-26V"/>
        <s v="Nord 262C-66"/>
        <s v="Cessna 208B Caravan I"/>
        <s v="Cessna 208B Caravan I Super Cargomaster"/>
        <s v="Fokker 27 Friendship 200"/>
        <s v="Airbus A320-231"/>
        <s v="DHC-5 Buffalo"/>
        <s v="MiG-23"/>
        <s v="Sikorsky S-58ET (helilcopter)"/>
        <s v="CASA 212 Aviocar 300"/>
        <s v="Douglas DC-3 (C-47A-30-DK)"/>
        <s v="Beechcraft C99"/>
        <s v="Avro Shackleton AEW-2"/>
        <s v="Boeing B-737-3Y0"/>
        <s v="Beechcraft 1900C-1"/>
        <s v="BAC One-Eleven 528FL"/>
        <s v="Britten-Norman 2B-21 Islander"/>
        <s v="Beech King Air B90"/>
        <s v="Bell BHT-206-B Helicopter"/>
        <s v="Lockheed C-5A"/>
        <s v="Piper PA-31-325 Navajo"/>
        <s v="Boeing B-727-247"/>
        <s v="Cessna 441 Conquest II"/>
        <s v="Boeing B-737-247 / Boeing B-757-21B"/>
        <s v="Douglas C-47B-40-DK"/>
        <s v="Mil Mi-8T"/>
        <s v="de Havilland Canada DHC-8-103"/>
        <s v="Aerospatiale 330J Puma"/>
        <s v="Boeing B-727-251 / MD Douglas DC-9-14"/>
        <s v="Boeing B-707-320F"/>
        <s v="IPTN 332C Super Puma"/>
        <s v="Boeing B-737-300 / Swearingen SA-227AC"/>
        <s v="McDonnell Douglas DC-9-15RC"/>
        <s v="Boeing B-737-291"/>
        <s v="Hawker-Siddeley DH-125-1A/522"/>
        <s v="Lockheed P-3C / Lockheed P-3C"/>
        <s v="Hindustan Aeronautics 748-2"/>
        <s v="Piper Aerostar 601 / Bell 412SP"/>
        <s v="Embraer 120RT- Brasilia"/>
        <s v="Dornier Do-228-212"/>
        <s v="Cessna 207A"/>
        <s v="Ilyushin 76TD"/>
        <s v="Boeing B-767-3Z9ER"/>
        <s v="GAF Nomad N24A"/>
        <s v="Lockheed L-382B Hercules"/>
        <s v="Beechcraft BE-99-C99"/>
        <s v="McDonnell Douglas DC-8 Super 61"/>
        <s v="Aerospatiale 350B1"/>
        <s v="Britten-Norman BN-2A-21"/>
        <s v="Antonov AN-72"/>
        <s v="Lockheed C-130H-30"/>
        <s v="Bell 214 ST"/>
        <s v="Britten-Norman BN2A-III-2 Trislander"/>
        <s v="Bell 206B helicopter"/>
        <s v="Lockheed CC-130E"/>
        <s v="Embraer C-95C Bandeirante"/>
        <s v="Mc Donnell Douglas MD-81"/>
        <s v="Boeing B-747-2R7F"/>
        <s v="Convair CV- 640"/>
        <s v="Britten Norman BN-2A-26 Trislander"/>
        <s v="Boeing B-737-204"/>
        <s v="Boeing 737-2A1C"/>
        <s v="Shaanxi Y-8D"/>
        <s v="Shorts SC-7 Skyvan 3A-200"/>
        <s v="Antonov 12BK"/>
        <s v="Vickers Viscount 816"/>
        <s v="Vickers 798D Viscount"/>
        <s v="Airbus A310-304"/>
        <s v="Yakovlev YAK-42D"/>
        <s v="Convair CV-440-80"/>
        <s v="Swearingen SA-227AC Metro III"/>
        <s v="de Havilland Canada DHC-4T Caribou"/>
        <s v="Aerospatiale AS-350B"/>
        <s v="Airbus A300B4-203"/>
        <s v="Boeing B-747-258F"/>
        <s v="Avia 14M-40"/>
        <s v="Antonov 32"/>
        <s v="CASA 235-10"/>
        <s v="Antonov AN-28"/>
        <s v="Antonov AN-8"/>
        <s v="Antonov AN-22A"/>
        <s v="Lockheed C-141B / Lockheed C141B"/>
        <s v="Britten-Norman BN-2B-27 Islander"/>
        <s v="Mil Mi 8T (helicopter)"/>
        <s v="Boeing B-727-2L5 / MiG23UB"/>
        <s v="Bell 206B3"/>
        <s v="de Havilland Canada DHC-8-301"/>
        <s v="Hawker Siddeley HS-748-234"/>
        <s v="Tupolev TU-154M / Sukhoi Su-24"/>
        <s v="Mil Mi-8"/>
        <s v="Dornier 228-201"/>
        <s v="Fokker 100"/>
        <s v="Embraer EMB-110 Bandeirante"/>
        <s v="Boeing B-747-466"/>
        <s v="Fairchild SA227-TT"/>
        <s v="McDonnell Douglas MD-11"/>
        <s v="Mitsubishi MU-2B-60"/>
        <s v="Antonov AN-26B"/>
        <s v="Boeing B-727-46"/>
        <s v="Britten-Norman BN-2A-20 Trislander"/>
        <s v="Helicopter, Hughes 369HS"/>
        <s v="British Aerospace 146-300"/>
        <s v="Boeing B-737-5L9"/>
        <s v="Dornier Do-228-101"/>
        <s v="Let 410UVP-E"/>
        <s v="Airbus A320-211"/>
        <s v="GAF Nomad N-22"/>
        <s v="Hawker Siddeley HS-748-234 Srs. 2A"/>
        <s v="Antonov AN-124"/>
        <s v="British Aerospace Jetstream BA-3100"/>
        <s v="Britten Norman BN-2A Trislander7"/>
        <s v="DHC-6 Twin Otter 300 / NAMC YS-11"/>
        <s v="Yunshuji Y-12-II"/>
        <s v="Tupolev TU-154M"/>
        <s v="British Aerospace Jetstream 4101"/>
        <s v="Vickers 813 Viscount"/>
        <s v="Boeing 737-2R4C"/>
        <s v="Grumman G-73T Turbo Mallard"/>
        <s v="Britten-Norman BN-2A-21 Trislander"/>
        <s v="Saab 340B"/>
        <s v="Dassault Falcon 50"/>
        <s v="Sikorsky UH-60 / Sikorsky UH-60"/>
        <s v="Britten Norman BN-2A-21 Trislander"/>
        <s v="Airbus A300B4-622R"/>
        <s v="Embraer 110 Bandeirante"/>
        <s v="Pilatus Britten-Norman BN-2B-27 Islander"/>
        <s v="Boeing Vertol Chinook HC-2 (helicopter)"/>
        <s v="Fokker F-27 Friendship 500F"/>
        <s v="Learjet 25D"/>
        <s v="Airbus A330-321"/>
        <s v="McDonnell Douglas DC-9-30"/>
        <s v="Aerospatiale AS350D"/>
        <s v="Britten-Norman BN-2B-26 Islander"/>
        <s v="Yakovlev 40D"/>
        <s v="Sikorsky S-58ET"/>
        <s v="Bell 206L-4"/>
        <s v="Aerospatiale ATR-42-300"/>
        <s v="Boeing B-737-3B7"/>
        <s v="Antonov AN-32B"/>
        <s v="Mil Mi-8MTV (helicopter)"/>
        <s v="Antonov AN-12A"/>
        <s v="ATR-72-212"/>
        <s v="McDonnell Douglas DC-9-82 / Cessna 441"/>
        <s v="British Aerospace Jetstream 3201"/>
        <s v="Boeing 737-2D6C"/>
        <s v="Airbus A300B2-1C"/>
        <s v="Lockheed 1329 Jetstar 8"/>
        <s v="Dassault Falcon 20E"/>
        <s v="Antonov 26B"/>
        <s v="Airbus A310-324"/>
        <s v="Hawker Siddeley HS-748-357/2B SCD"/>
        <s v="Swear. SA-227CC Metro 23/Piper Navajo"/>
        <s v="Grumman Gulfstream II"/>
        <s v="Embraer 110 P1 Bandeirante"/>
        <s v="Piper PA-31-310 Navajo"/>
        <s v="de Havilland Canada DHC-8-102"/>
        <s v="Antonov 2R"/>
        <s v="Antonov An-2R"/>
        <s v="Hawker Siddeley HS-748 2A"/>
        <s v="Embraer 120-RT Brasilia"/>
        <s v="Shorts SC-7 Skyvan"/>
        <s v="British Aerospace Nimrod MR-2P"/>
        <s v="Cessna 421C Golden Eagle"/>
        <s v="Fokker 50"/>
        <s v="Boeing B-707 (E-3B)"/>
        <s v="De Havilland Dash-3"/>
        <s v="CASA 212"/>
        <s v="Mil Mi-8MTV-1"/>
        <s v="Boeing B-737-2F9"/>
        <s v="Bell 412 (helicopter)"/>
        <s v="Boeing 707-323C"/>
        <s v="Boeing B-737-2K9"/>
        <s v="Tupolev TU-134B-3"/>
        <s v="Boeing B-757-223"/>
        <s v="Britten-Norman BN-2A-27 Islander"/>
        <s v="British Aerospace BAe-125-700B"/>
        <s v="ConvairCV-440"/>
        <s v="Boeing B-757-225"/>
        <s v="GAF Nomad N-24A"/>
        <s v="Mil Mi-17"/>
        <s v="Mil Mi-8T (helicopter)"/>
        <s v="Boeing B-737-T43"/>
        <s v="Dornier 228-212"/>
        <s v="Cessna 177B"/>
        <s v="Britten Norman BN-2A-20 Trislander"/>
        <s v="Britten-Norman BN-2A-26 Islander"/>
        <s v="Ilyushin 76MD"/>
        <s v="Boeing 727-286"/>
        <s v="Sikorsky S-70 / Sikorsky S-70"/>
        <s v="Harbin Yunshuji Y-12-II"/>
        <s v="McDonnell Douglas MD-88"/>
        <s v="Let 410"/>
        <s v="Boeing B-747-131"/>
        <s v="de Havilland Canada DHC-3 Turbo Otter"/>
        <s v="Ilyushin IL-76T"/>
        <s v="Boeing B-757-200"/>
        <s v="Antonov 12B"/>
        <s v="Boeing B-707-323C"/>
        <s v="Boeing B-747-168B / Ilyushin IL-76TD"/>
        <s v="Beechcraft 1900-C / Beech King Air A90"/>
        <s v="Boeing B-767-260ER"/>
        <s v="Learjet 35A"/>
        <s v="Embraer 110P1A Bandeirante"/>
        <s v="Hawker Siddeley HS-748-353 Srs.2a"/>
        <s v="Sikorsky CH53D / Sikorsky CH53D"/>
        <s v="Boeing B-737-2C3"/>
        <s v="Lockheed C-130HF"/>
        <s v="Aviation Traders ATL-98 Carvair"/>
        <s v="British Aerospace ATP"/>
        <s v="Boeing B-737-31B"/>
        <s v="Vickers Viscount 781D"/>
        <s v="Harbin Yunshuji Y-12 II"/>
        <s v="Aerospatiale ATR-42-512"/>
        <s v="Boeing B-747-300"/>
        <s v="McDonnell Douglas DC-8-61F"/>
        <s v="Pilatus PC-6 Turbo Porter / Cessna 206"/>
        <s v="Tupolev TU-154M / C-141 Starlifter"/>
        <s v="Airbus A300-B4-200"/>
        <s v="Rutan Long EZ (experimental aircraft)"/>
        <s v="Antonov AN-124-100"/>
        <s v="Swearingen SA-226T Metro II"/>
        <s v="Boeing B-737-300"/>
        <s v="Grummand EA-6B"/>
        <s v="CASA 212-S1 Aviocar 100"/>
        <s v="Airbus A300-622R"/>
        <s v="Saab340B"/>
        <s v="Boeing B-727-228"/>
        <s v="Airbus A.320-214"/>
        <s v="Convair CV-240-53"/>
        <s v="Boeing B-727-230"/>
        <s v="Boeing B-737-282"/>
        <s v="Xian Yunshuji Y-7-100C"/>
        <s v="Bell 206L-3"/>
        <s v="Swearingen SA-226TC Metroliner II"/>
        <s v="Eurocopter AS-350-BA"/>
        <s v="Rockwell Sabreliner 60"/>
        <s v="Ilyushin II-76"/>
        <s v="Beechcraft 1900D / Cessna 177"/>
        <s v="de Havilland Dash-2 Beaver"/>
        <s v="DC-3-65TP"/>
        <s v="de Havilland Dash-2 float plane"/>
        <s v="British Aerospace BAe-146-100"/>
        <s v="Boeing B-727-30"/>
        <s v="Britten-Norman BN-2A-3 Islander"/>
        <s v="Burgess RV-6 experimental"/>
        <s v="Britten-Norman Trislander"/>
        <s v="Airbus A-310-204"/>
        <s v="Antonov 12"/>
        <s v="Antonov 32B"/>
        <s v="Lockheed Martin L-100-30 Hercules"/>
        <s v="Boeing KC-135E"/>
        <s v="Britten Norman BN-2A-26"/>
        <s v="Dornier 328-110"/>
        <s v="Antonov AN-32 Transport"/>
        <s v="Douglas DC-3C (C-47A-DK)"/>
        <s v="Learjet 24D"/>
        <s v="Boeing 737-4Q8"/>
        <s v="de Havilland Canada DHC-4A"/>
        <s v="Eurocopter AS-350BA"/>
        <s v="Boeing 727-243F"/>
        <s v="Hawker Siddeley HS-125"/>
        <s v="Piper PA-32-R301 Saratoga II HP"/>
        <s v="McDonnell Douglas MD-90-30"/>
        <s v="Boeing B-737-204C"/>
        <s v="Hawker Siddeley HS-748-501 Super 2B"/>
        <s v="Boeing 757-204"/>
        <s v="Dassault Falcon 900B"/>
        <s v="Bell 214ST helicopter"/>
        <s v="Gates Learjet 35"/>
        <s v="Boeing B-767-366ER"/>
        <s v="Aerospatiale Alenia ATR-42"/>
        <s v="Ilyushin 114T"/>
        <s v="British Aerospace APT"/>
        <s v="Boeing 747-2B5F"/>
        <s v="Airbus A300B2-101"/>
        <s v="Antonov 28"/>
        <s v="AirbusA310-304"/>
        <s v="McDonnell Douglas MD-83"/>
        <s v="McDonnell Douglas DC-8-71F"/>
        <s v="Boeing B-737-3T5"/>
        <s v="CASA 212-DE Aviocar 200"/>
        <s v="Antonov AN-12 (freighter)"/>
        <s v="Boeing B-737-2H4"/>
        <s v="Britten-Norman BN-2A-9 Islander"/>
        <s v="Rockwell Sabreliner 65"/>
        <s v="BAe Jetstream 3101-31"/>
        <s v="Airbus A.330-301"/>
        <s v="Learjet 55"/>
        <s v="Kawasaki C-1A"/>
        <s v="GAF Nomad N-22C"/>
        <s v="British Aerospace BAe Jetstream 32EP"/>
        <s v="Curtiss C-46A-60-CS"/>
        <s v="Boeing B-737-2A8 Advanced"/>
        <s v="Aerospatiale AS355-F1"/>
        <s v="Aerospatiale BAe Concorde 101"/>
        <s v="Casa 212-AB10 Aviocar"/>
        <s v="Piper Navajo PA-31/ Piper Seminole PA-44"/>
        <s v="Airbus A320-212"/>
        <s v="Beechcraft SKA 200"/>
        <s v="Shorts SC.7 Skyvan 3-100"/>
        <s v="Canadair CL-600-2B16 Challenger 604"/>
        <s v="Cessna 335"/>
        <s v="Boeing B-747-412"/>
        <s v="Airbus A300-600R"/>
        <s v="Cessna 206"/>
        <s v="Shaanxi Yunshuji Y-8/Yunshuji Y-8"/>
        <s v="CASA 212-MP Aviocar 200"/>
        <s v="Douglas C-47A-30-DK (DC-3C)"/>
        <s v="Douglas DC-3C (C47A-DL)"/>
        <s v="Beech King Air 200 Catpass"/>
        <s v="Sud Aviation SE-210 Caravelle 10R"/>
        <s v="Swearingen SA.227AT Merlin IVC"/>
        <s v="Shorts 360-100"/>
        <s v="Short 360"/>
        <s v="Boeing B-737-4D7"/>
        <s v="Tupolev 154M"/>
        <s v="Grummand Gulfstream III"/>
        <s v="Mil Mi-18 Helicopter"/>
        <s v="Cessna 208B Grand Caravan"/>
        <s v="CASA CN-235M-10"/>
        <s v="Antonov 12MGA"/>
        <s v="Transall C-160NG"/>
        <s v="Sikorsky S-76B helicopter"/>
        <s v="Antonov AN-28 PZL-Mielec M-28 Sky Truck"/>
        <s v="Ilyushin IL-76"/>
        <s v="Dassault Falcon 20C"/>
        <s v="Aerospatiale AS350 Eurocopter helicoper"/>
        <s v="Airbus A-330-243"/>
        <s v="CASA CN-235-200"/>
        <s v="Boeing 767-223ER"/>
        <s v="Boeing B-767-222"/>
        <s v="Boeing B-757-222"/>
        <s v="de Havilland DHC-2 Mk 1 Beaver"/>
        <s v="MD-87 / Cessna 525A Citation II"/>
        <s v="Swearingen SA-226AT Merlin IV"/>
        <s v="Cessna 208 Caravan"/>
        <s v="Swearingen SA.226TC Metro I"/>
        <s v="Bell 206L"/>
        <s v="Airbus A-300-605R"/>
        <s v="Ilyushin 18V"/>
        <s v="Learjet 25B"/>
        <s v="BAE Avro RJ100"/>
        <s v="Boeing 747-246F"/>
        <s v="Ilyushin IL- 76TD"/>
        <s v="Let 410A"/>
        <s v="Britten Norman BN-2B Trislander"/>
        <s v="Canadair CL-604"/>
        <s v="Lockheed Hercules KC-130R"/>
        <s v="Embraer EMB-120 Brasilia"/>
        <s v="Boeing B-737-3Q8"/>
        <s v="Fairchild FH-227E"/>
        <s v="Boeing B-727-134"/>
        <s v="MH-47 Chinook helicopter"/>
        <s v="Antonov 2TP"/>
        <s v="Boeing B-767-200ER"/>
        <s v="Antonov AN-32A"/>
        <s v="Mi-8 helicopter"/>
        <s v="BAC One-Eleven 525FT"/>
        <s v="Boeing B-737-566"/>
        <s v="Boeing B-747-209B"/>
        <s v="Hawker Siddeley HS-748-372"/>
        <s v="Mi-17"/>
        <s v="Lockheed MC-130H Hercules"/>
        <s v="Tupolev TU-154M / Boeing B-757-23APF"/>
        <s v="Sikorsky S-76A"/>
        <s v="Sukhoi Su-27"/>
        <s v="Iluyshin Il-86"/>
        <s v="Yunshuji Y-8D"/>
        <s v="Mil Mi-26"/>
        <s v="de Havilland Canada DHC-6-300 Twin Otter"/>
        <s v="Embraer 120ER Brasilia"/>
        <s v="ATR 42-300"/>
        <s v="Ilyushin IL-38 / Ilyushin IL-38"/>
        <s v="IAI 1124A Westwind"/>
        <s v="Fokker F27 Friendship 100"/>
        <s v="Let 410UVP-E20"/>
        <s v="Aerospatiale/Aeritalia ATR-72-202"/>
        <s v="Antonov AN-140"/>
        <s v="Embraer-110 C-95B Bandeirante"/>
        <s v="Beech BE-1900D"/>
        <s v="BAe Avro RJ-100"/>
        <s v="Fokker 28 Fellowship 1000"/>
        <s v="Antonov 24B"/>
        <s v="Ilyushin II-76TD"/>
        <s v="Cessna 421"/>
        <s v="Let L-410UVP"/>
        <s v="Boeing B-737-2T4"/>
        <s v="Beech A36"/>
        <s v="Illyushin 76"/>
        <s v="Yakovlev 42D"/>
        <s v="Gates Learjet 45"/>
        <s v="EMB 721C Sertanejo"/>
        <s v="Piper PA-31-350 Navajo Chieftain"/>
        <s v="Embraer 820C Navajo"/>
        <s v="McDonnell Douglas 369D"/>
        <s v="Canadair CRJ-100ER"/>
        <s v="Cessna 180H"/>
        <s v="Mitsubishi MU 2B 35"/>
        <s v="Sikorsky S 76 A"/>
        <s v="Boeing 737-2J8C"/>
        <s v="Gates Learjet 35A"/>
        <s v="Reims Aviation 406"/>
        <s v="Let 420UVP-E"/>
        <s v="Beechcraft 1900D"/>
        <s v="Aerospatiale AS350BA"/>
        <s v="Piper PA31-310"/>
        <s v="Convair CV-580F"/>
        <s v="Fairchild Hiller FH-227B"/>
        <s v="Hawker 800A"/>
        <s v="CH-47 Chinook"/>
        <s v="Robertson R44 helicopter"/>
        <s v="Shorts SC-7 Skyvan 3M Variant 100"/>
        <s v="UH-60 Black Hawk / UH-60 Black Hawk"/>
        <s v="Swearingen SA227AT Merlin IVC"/>
        <s v="de Havilland DHC-3 Otter"/>
        <s v="Douglas DC-9-15F"/>
        <s v="Boeing B-727-223"/>
        <s v="Fokker F-50"/>
        <s v="Bell 407"/>
        <s v="Rockwell Gulfstream Jetprop 840"/>
        <s v="Swearingen SA227AC Metro III"/>
        <s v="PZL-Mielec AN-2R"/>
        <s v="BAe HS-748-232 Srs 2A"/>
        <s v="Mi-8MTV-1"/>
        <s v="Sikorsky S 76"/>
        <s v="Shorts 360"/>
        <s v="Tupolev 154B-2"/>
        <s v="Tupolev 134A-3"/>
        <s v="Rockwell CT-39A Sabreliner"/>
        <s v="CH-47D Chinook"/>
        <s v="Pilatus-Britten Norman BN-2A-27 Islander"/>
        <s v="Boeing 747-244B-SF"/>
        <s v="Canadair CRJ200LR RegionalJet"/>
        <s v="Pilatus Britten-Norman BN-2A-21 Islander"/>
        <s v="Bae Jetstream 3201"/>
        <s v="Beech 200 Super King Air"/>
        <s v="BAe 3101 Jetstream 31"/>
        <s v="Bombardier CRJ200"/>
        <s v="Grumman Gulfstream G3"/>
        <s v="CASA 212-CC"/>
        <s v="Canadair CL-601-2A12 Challenger"/>
        <s v="McDonnell-Douglas MD-82"/>
        <s v="PZL-Mielec M28"/>
        <s v="Black Hawk helicopter"/>
        <s v="CH53E Sea Stallion"/>
        <s v="Let 410UVP-E4"/>
        <s v="Lockheed Hercules C.1"/>
        <s v="Cessna 560 Citation V"/>
        <s v="Pilatus-Britten Norman BN-2B-26 Islander"/>
        <s v="Antonov 24"/>
        <s v="Let-410UVP-E"/>
        <s v="Lockheed Hercules MC-130H"/>
        <s v="Boeing B-707-3J9C"/>
        <s v="Beech 65-A80 Queenaire"/>
        <s v="Yunshuji Y-12"/>
        <s v="Airbus A-340"/>
        <s v="ATR-72-202"/>
        <s v="Sikorsky S-76C"/>
        <s v="Boeing 737-31S"/>
        <s v="Boeing B-737-244"/>
        <s v="Boeing 737-230"/>
        <s v="Antonov AN-26A"/>
        <s v="Antonov 12V"/>
        <s v="Boeing B-737-2L9"/>
        <s v="Boeing B-737-7H4"/>
        <s v="McDonnell DC-9-32"/>
        <s v="Grumman G73T Turbo Mallard"/>
        <s v="Antonov AN-140-100"/>
        <s v="British Aerospace BAe-125-700A"/>
        <s v="UH-60L Black Hawk"/>
        <s v="Shorts 360-100 /Shorts 360-300"/>
        <s v="Let L410UVP-E20"/>
        <s v="Antonov 74TK-200"/>
        <s v="KJ-2000"/>
        <s v="Airbus A-310-324ET"/>
        <s v="Canadair CRJ-200ER"/>
        <s v="British Aerospace Nimrod MR-2"/>
        <s v="Dornier 228"/>
        <s v="Boeing B-737-8EH /EMB-135JB"/>
        <s v="BAe 146-200"/>
        <s v="Boeing 737-2B7"/>
        <s v="Boeing 727-23F"/>
        <s v="Antonov 74T-200"/>
        <s v="Boeing B-737-4Q8"/>
        <s v="Antonov 26B-100"/>
        <s v="Sikorsky UH-60L Black Hawk"/>
        <s v="Boeing B-737-497"/>
        <s v="Aerospatiale AS350BA Rotocraft"/>
        <s v="Mc Donnell Douglas 369FF Rotocraft"/>
        <s v="Rockwell 500S Shrike Commander"/>
        <s v="Tuolev 134AK"/>
        <s v="Ilushin Il-76TD"/>
        <s v="Pilatus Britten Norman BN-2A-27 Islander"/>
        <s v="Mi 8"/>
        <s v="Boeing B-737-8AL"/>
        <s v="Mi-8"/>
        <s v="Cessna 550 Citation II"/>
        <s v="Boeing 737-2M2"/>
        <s v="North American CT-39A Sabreline"/>
        <s v="de Havilland DHC-6 Twim Otter 100"/>
        <s v="Airbus A-320-233"/>
        <s v="de Havilland DHC-2 MK.1 Beaver"/>
        <s v="de Havilland Canada DHC-2 Beaver"/>
        <s v="Boeing 737-809"/>
        <s v="Embraer EMB-110P1 Bandeirant"/>
        <s v="UH-60 Blackhawk helilcopter"/>
        <s v="Let 410 UVP-E10A"/>
        <s v="Eurocopter Deutschland BK117C1"/>
        <s v="Let 410 UVP-E3"/>
        <s v="Mi-17 Helicopter"/>
        <s v="Boeing 777-236ER"/>
        <s v="CASA C-295M"/>
        <s v="CASA NC-212-200"/>
        <s v="ATR-42-300"/>
        <s v="Eurocopter AS332L2 Super Puma"/>
        <s v="Swearingen SA227AC Metroliner III"/>
        <s v="McDonnell Douglas DC-9-51"/>
        <s v="de Havilland Canada DHC-2 Mark I Beaver"/>
        <s v="Eurocopter AS350D Astar"/>
        <s v="Bell UN-1N Huey"/>
        <s v="Airbus A-310-324"/>
        <s v="Bell UH-1N"/>
        <s v="CASA NC-212"/>
        <s v="Bell 407 / Bell 407"/>
        <s v="Ilysushin Il-76TD"/>
        <s v="Douglas DC9-15F"/>
        <s v="Boeing B-747-209BSF"/>
        <s v="British Aerospace BAe-125-800A"/>
        <s v="Bell Huey UH-1H"/>
        <s v="Boeing B-737-219"/>
        <s v="Boeing B-737-505"/>
        <s v="Learjet 60"/>
        <s v="Aerospatiale SA365N-1 Dauphin II"/>
        <s v="Bell 222"/>
        <s v="Airbus A320-232"/>
        <s v="Rockwell International 690B"/>
        <s v="Bell 206-L4 Jet Ranger III"/>
        <s v="Britten Norman BN-2A Trislander Mk3"/>
        <s v="ATR-42-320"/>
        <s v="Sikorsky S-76C++"/>
        <s v="Airbus A320-214"/>
        <s v="Bandeirante EMB-110P1"/>
        <s v="Bombardier DHC-8-402 Q400"/>
        <s v="Boeing 737-8F2"/>
        <s v="Sikorsky S-92A"/>
        <s v="Pilatus PC-12/45"/>
        <s v="Eurocopter AS 332L2 Super Puma 2"/>
        <s v="British Aerospace BAe-146-300"/>
        <s v="Mi-35"/>
        <s v="Airbus A330-203"/>
        <s v="ATR-72-212A"/>
        <s v="Eurocopter AS-350BA / Piper PA-32R-300"/>
        <s v="Antonov An-12BK"/>
        <s v="British Aerospace Jetstream 41"/>
        <s v="Eurocopter AS350-B2"/>
        <s v="Boeing 707-330C"/>
        <s v="Britten-Norman BN-2A-8 Island"/>
        <s v="Tupolev Tu-142M3"/>
        <s v="Aerospatiale AS350"/>
        <s v="McDonnell Douglas MD-11F"/>
        <s v="de Havilland Canada DHC-2 Beaver MK- 1"/>
        <s v="Boeing 737-8AS"/>
        <s v="Embraer EMB-110C Bandeirante"/>
        <s v="GAF N22B Nomad"/>
        <s v="Helicopter"/>
        <s v="Airbus A300B4-203F"/>
        <s v="Airbus A330-202"/>
        <s v="Antonv An-28"/>
        <s v="Antonv An-24B"/>
        <s v="Boeing 737-8HG"/>
        <s v="Beechcraft A100 King Air"/>
        <s v="Airbus A321-231"/>
        <s v="McDonnell Douglas C-17A Globemaster III"/>
        <s v="Antonov An-24 V"/>
        <s v="de Havilland Canada DH-3T Otter"/>
        <s v="Boeing B-737-73V"/>
        <s v="Dornier 228-101"/>
        <s v="Embraer ERJ-190-100LR"/>
        <s v="Mi 17V-5"/>
        <s v="Boeing B747-44AF"/>
        <s v="Fletcher FU-24-954"/>
        <s v="ATR 42-320"/>
        <s v="Sikorsky UH-60 Black Hawk"/>
        <s v="Boeing B-727-286"/>
        <s v="Pilatus PC-12/47"/>
        <s v="Swearingen SA-227BC Metro III"/>
        <s v="Let L-410 UVPE-20"/>
        <s v="Canadair CL-600 CRJ-100ER"/>
        <s v="_x0009_Mil Mi-172"/>
        <s v="Embraer/Piper EMB-810C Seneca"/>
        <s v="Xian MA-60"/>
        <s v="Saab 340A"/>
        <s v="Ilyushin76TD"/>
        <s v="Boeing B-727-100"/>
        <s v="Let L-401UVP-20"/>
        <s v="Lockheed C-130 Hercule"/>
        <s v="Boeing B-747-48EF"/>
        <s v="Boeing CH-47 Chinook"/>
        <s v="Boeing B-737-210C(A) Combi"/>
        <s v="Eurocopter AS350B2"/>
        <s v="CASA C-212 Aviocar 300DF"/>
        <s v="Swearingen SA-227BC Metroliner III"/>
        <s v="North American P-51D-15-NA Mustang"/>
        <s v="CASA NC-212 Aviocar 200"/>
        <s v="Beechcraft 100 King Air"/>
        <s v="Eurocopter EC-130 B4"/>
        <s v="Aerospatiale AS 332L1 Super Puma"/>
        <s v="Aerospatiale AS-350 B2 Ecureuil"/>
        <s v="Sikorsky S-70A-28"/>
        <s v="ATR 72-201"/>
        <s v="Boeing 737-236"/>
        <s v="Sukhoi Superjet 100-95"/>
        <s v="Boeing B-727-200"/>
        <s v="Sikorsly S-58ET"/>
        <s v="PA-34-200 Seneca I"/>
        <s v="Antonov An-26-100"/>
        <s v="Dornier 228-202"/>
        <s v="Ilysushin Il-76T"/>
        <s v="Douglas C47-TP"/>
        <s v="Antonov AN-72-100D"/>
        <s v="Tupolev TU-204-100VÂ "/>
        <s v="Britten Norman BN-2A-27 Islander"/>
        <s v="Boeing B-737-8GP"/>
        <s v="Boeing B-747-428BCF"/>
        <s v="MI 172 V5 helicopter"/>
        <s v="Boeing B-777-28EER"/>
        <s v="de Havilland Canada DHC-3T"/>
        <s v="Airbus A300F-622R"/>
        <s v="ATR-72-50"/>
        <s v="Swearingen SA227-AC Metro III"/>
        <s v="Mil- Mi-17B-5"/>
        <s v="Swearingen SA227-AC Metro II"/>
        <s v="Boeing 737-53A"/>
        <s v="Eurocopter EC135 T2"/>
        <s v="Embraer ERJ-190AR"/>
        <s v="Britten Norman BN-2A-3 Islander"/>
        <s v="Lockheed C-130H-30 Hercules"/>
        <s v="Antonov 26"/>
        <s v="Boeing 777-200"/>
        <s v="Urocopter AS350 B2"/>
        <s v="British Aerospace BAe 125-700A Hawker"/>
        <s v="Aerocomp Comp Air 8"/>
        <s v="Antonov 74TK-300"/>
        <s v="Mil Mi-171"/>
        <s v="Boeing 777-2H6ER"/>
        <s v="ATR 72-500"/>
        <s v="Mc Donnell Douglas MD-83"/>
        <s v="HESA Iran-140-100"/>
        <s v="Fokker F-27 MK 500"/>
        <s v="Airbus A-320-216"/>
        <s v="ATR 72-600"/>
        <s v="de Havilland DHC-3T Vazar TurbineOtter"/>
        <s v="Lockheed C130-B Hercules"/>
        <s v="CASA CN-235-100"/>
        <s v="Pacific Aerospace"/>
        <s v="de Havilland Canada DHC 3T Turbine Otter"/>
        <s v="Lockheed C-130J Hercules"/>
        <s v="de Havilland DHC-6 Twin OtterÂ "/>
        <s v="de Havilland DCH-4T Caribou"/>
        <s v="Aerospatiale AS 350B2 Ecureuil"/>
        <s v="Canadair CRJ-200"/>
        <s v="Airbus A321-111"/>
        <s v="de Havilland DHC-6 Twin Otter 400"/>
        <s v="PAC 750XL"/>
        <s v="Antonov AN-26Â "/>
        <s v="IAI Attava 201Â "/>
        <s v="_x0009_Boeing 737-8KN (WL)"/>
        <s v="Mitsubishi MU-2B 60 Marquise"/>
        <s v="Britten-Norman Islander"/>
        <s v="_x0009_Eurocopter EC225LP Super Puma M2+"/>
        <s v="Kubicek BB85Z Hot Air Balloon"/>
        <s v="Boeing 777-31H"/>
        <s v="Cessna 208 Grand Caravan"/>
        <s v="Swearingen SA277-AT Expditer"/>
        <s v="Avro RJ-85"/>
        <s v="M28 Skytruck"/>
        <s v="ATR-42-500"/>
        <s v="_x0009_Lockheed C-130H Hercules"/>
        <s v="Boeing 727-2JOF"/>
        <s v="Boeing 747-412F"/>
        <s v="Beechcraft B200 Super King Air"/>
        <s v="Britten-Norman BN2 Islander"/>
        <s v="Shorts 300-200"/>
        <s v="Let L-410UVP-E20"/>
        <s v="Shaanxi Y-8F-200W"/>
        <s v="Socata TB1-10 Tobago"/>
        <s v="Lockheed KC-130T Hercules"/>
        <s v="Embraer EMB-120ER"/>
        <s v="ATR42-320"/>
        <s v="Shaanxi Y-8GX-3"/>
        <s v="Eurocopter EC 130B4"/>
        <s v="Antonov AN-148-100"/>
        <s v="ATR 72-212"/>
        <s v="Eurocopter AS 350B2"/>
        <s v="de Havilland Canada DHC-8-402Q Dash 8"/>
        <s v="Ilyushin 76-TD"/>
        <s v="Boeing 737-7H4"/>
        <s v="Lockheed HC-130H Hercules"/>
        <s v="Boeing 737-201"/>
        <s v="Boeing 737-8BK"/>
        <s v="Boeing 737-MAX 8"/>
        <s v="Boeing 757-N23"/>
        <s v="Boeing 707-3J9C"/>
        <s v="Boeing 767-375ER"/>
        <s v="Boeing 737 Max 8"/>
        <s v="Pilatus-Britten Norman BN-2B-27 Islander"/>
        <s v="Canadair CL-600-2B16-Challenger"/>
        <s v="Sukhoi Superjet-100-95B"/>
        <s v="Beechcraft B300 King Air"/>
      </sharedItems>
    </cacheField>
    <cacheField name="Registration" numFmtId="0">
      <sharedItems containsDate="1" containsMixedTypes="1" minDate="1899-12-31T00:01:04" maxDate="1900-01-01T12:05:05"/>
    </cacheField>
    <cacheField name="cn/ln" numFmtId="0">
      <sharedItems containsDate="1" containsMixedTypes="1" minDate="1899-12-31T04:01:03" maxDate="7838-08-03T08:42:06"/>
    </cacheField>
    <cacheField name="Aboard" numFmtId="0">
      <sharedItems containsMixedTypes="1" containsNumber="1" containsInteger="1" minValue="0" maxValue="644"/>
    </cacheField>
    <cacheField name="Aboard Passangers" numFmtId="0">
      <sharedItems containsMixedTypes="1" containsNumber="1" containsInteger="1" minValue="0" maxValue="614"/>
    </cacheField>
    <cacheField name="Aboard Crew" numFmtId="0">
      <sharedItems containsMixedTypes="1" containsNumber="1" containsInteger="1" minValue="0" maxValue="61"/>
    </cacheField>
    <cacheField name="Fatalities" numFmtId="0">
      <sharedItems containsMixedTypes="1" containsNumber="1" containsInteger="1" minValue="0" maxValue="583"/>
    </cacheField>
    <cacheField name="Fatalities Passangers" numFmtId="0">
      <sharedItems containsMixedTypes="1" containsNumber="1" containsInteger="1" minValue="0" maxValue="560"/>
    </cacheField>
    <cacheField name="Fatalities Crew" numFmtId="0">
      <sharedItems containsMixedTypes="1" containsNumber="1" containsInteger="1" minValue="0" maxValue="46"/>
    </cacheField>
    <cacheField name="Ground" numFmtId="0">
      <sharedItems containsMixedTypes="1" containsNumber="1" containsInteger="1" minValue="0" maxValue="2750"/>
    </cacheField>
    <cacheField name="Summary" numFmtId="0">
      <sharedItems longText="1"/>
    </cacheField>
    <cacheField name="Survived" numFmtId="0">
      <sharedItems containsMixedTypes="1" containsNumber="1" containsInteger="1" minValue="0" maxValue="516"/>
    </cacheField>
    <cacheField name="Porcentaje de muertes" numFmtId="10">
      <sharedItems containsSemiMixedTypes="0" containsString="0" containsNumber="1" minValue="0" maxValue="1"/>
    </cacheField>
    <cacheField name="Tipo de accidente" numFmtId="0">
      <sharedItems count="4">
        <s v="MEDIO"/>
        <s v="GRAVE"/>
        <s v="LEVE"/>
        <e v="#N/A" u="1"/>
      </sharedItems>
    </cacheField>
    <cacheField name="Trimestres" numFmtId="0" databaseField="0">
      <fieldGroup base="1">
        <rangePr groupBy="quarters" startDate="1908-09-17T00:00:00" endDate="2019-10-04T00:00:00"/>
        <groupItems count="6">
          <s v="&lt;17/9/1908"/>
          <s v="Trim.1"/>
          <s v="Trim.2"/>
          <s v="Trim.3"/>
          <s v="Trim.4"/>
          <s v="&gt;4/10/2019"/>
        </groupItems>
      </fieldGroup>
    </cacheField>
    <cacheField name="Años" numFmtId="0" databaseField="0">
      <fieldGroup base="1">
        <rangePr groupBy="years" startDate="1908-09-17T00:00:00" endDate="2019-10-04T00:00:00"/>
        <groupItems count="114">
          <s v="&lt;17/9/1908"/>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gt;4/10/2019"/>
        </groupItems>
      </fieldGroup>
    </cacheField>
  </cacheFields>
  <extLst>
    <ext xmlns:x14="http://schemas.microsoft.com/office/spreadsheetml/2009/9/main" uri="{725AE2AE-9491-48be-B2B4-4EB974FC3084}">
      <x14:pivotCacheDefinition pivotCacheId="12634193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ias Eduardo Baldi" refreshedDate="44793.500513425926" createdVersion="8" refreshedVersion="8" minRefreshableVersion="3" recordCount="50" xr:uid="{5755C9C5-52F9-42C2-9F3C-575FFE01052D}">
  <cacheSource type="worksheet">
    <worksheetSource name="Tabla2"/>
  </cacheSource>
  <cacheFields count="8">
    <cacheField name="Year" numFmtId="0">
      <sharedItems containsSemiMixedTypes="0" containsString="0" containsNumber="1" containsInteger="1" minValue="1970" maxValue="2019" count="50">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Decade" numFmtId="0">
      <sharedItems count="5">
        <s v="70"/>
        <s v="80"/>
        <s v="90"/>
        <s v="00"/>
        <s v="10"/>
      </sharedItems>
    </cacheField>
    <cacheField name="Crashes" numFmtId="0">
      <sharedItems containsSemiMixedTypes="0" containsString="0" containsNumber="1" containsInteger="1" minValue="9" maxValue="83"/>
    </cacheField>
    <cacheField name="Aboard" numFmtId="0">
      <sharedItems containsSemiMixedTypes="0" containsString="0" containsNumber="1" containsInteger="1" minValue="241" maxValue="3559"/>
    </cacheField>
    <cacheField name="Fatalities" numFmtId="0">
      <sharedItems containsSemiMixedTypes="0" containsString="0" containsNumber="1" containsInteger="1" minValue="210" maxValue="2796"/>
    </cacheField>
    <cacheField name="Survived" numFmtId="9">
      <sharedItems containsSemiMixedTypes="0" containsString="0" containsNumber="1" minValue="0.29965277777777777" maxValue="0.97108843537414968"/>
    </cacheField>
    <cacheField name="Passengers carried" numFmtId="0">
      <sharedItems containsSemiMixedTypes="0" containsString="0" containsNumber="1" minValue="1828621140" maxValue="37556701651.414337"/>
    </cacheField>
    <cacheField name="Percentage of deaths" numFmtId="166">
      <sharedItems containsSemiMixedTypes="0" containsString="0" containsNumber="1" minValue="6.2444597725834134E-9" maxValue="1.5290209321325029E-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63">
  <r>
    <n v="1"/>
    <x v="0"/>
    <x v="0"/>
    <x v="0"/>
    <d v="1899-12-30T17:18:00"/>
    <s v="Fort Myer, Virginia"/>
    <s v="Military - U.S. Army"/>
    <s v="Unknown"/>
    <s v="Demonstration"/>
    <x v="0"/>
    <s v="Unknown"/>
    <n v="1"/>
    <n v="2"/>
    <n v="1"/>
    <n v="1"/>
    <n v="1"/>
    <n v="1"/>
    <n v="0"/>
    <n v="0"/>
    <s v="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
    <n v="1"/>
    <n v="0.5"/>
    <x v="0"/>
  </r>
  <r>
    <n v="2"/>
    <x v="1"/>
    <x v="1"/>
    <x v="0"/>
    <s v="Unknown"/>
    <s v="Juvisy-sur-Orge, France"/>
    <s v="Unknown"/>
    <s v="Unknown"/>
    <s v="Air show"/>
    <x v="1"/>
    <s v="SC1"/>
    <s v="Unknown"/>
    <n v="1"/>
    <n v="0"/>
    <n v="1"/>
    <n v="1"/>
    <n v="0"/>
    <n v="0"/>
    <n v="0"/>
    <s v="Eugene Lefebvre was the first pilot to ever be killed in an air accident, after his controls jambed while flying in an air show."/>
    <n v="0"/>
    <n v="1"/>
    <x v="1"/>
  </r>
  <r>
    <n v="3"/>
    <x v="2"/>
    <x v="2"/>
    <x v="0"/>
    <d v="1899-12-30T06:30:00"/>
    <s v="Atlantic City, New Jersey"/>
    <s v="Military - U.S. Navy"/>
    <s v="Unknown"/>
    <s v="Test flight"/>
    <x v="2"/>
    <s v="Unknown"/>
    <s v="Unknown"/>
    <n v="5"/>
    <n v="0"/>
    <n v="5"/>
    <n v="5"/>
    <n v="0"/>
    <n v="5"/>
    <n v="0"/>
    <s v="First U.S. dirigible Akron exploded just offshore at an altitude of 1,000 ft. during a test flight."/>
    <n v="0"/>
    <n v="1"/>
    <x v="1"/>
  </r>
  <r>
    <n v="4"/>
    <x v="3"/>
    <x v="3"/>
    <x v="0"/>
    <s v="Unknown"/>
    <s v="Victoria, British Columbia, Canada"/>
    <s v="Private"/>
    <s v="Unknown"/>
    <s v="Unknown"/>
    <x v="3"/>
    <s v="Unknown"/>
    <s v="Unknown"/>
    <n v="1"/>
    <n v="0"/>
    <n v="1"/>
    <n v="1"/>
    <n v="0"/>
    <n v="1"/>
    <n v="0"/>
    <s v="The first fatal airplane accident in Canada occurred when American barnstormer, John M. Bryant, California aviator was killed."/>
    <n v="0"/>
    <n v="1"/>
    <x v="1"/>
  </r>
  <r>
    <n v="5"/>
    <x v="4"/>
    <x v="3"/>
    <x v="0"/>
    <d v="1899-12-30T18:30:00"/>
    <s v="Over the North Sea"/>
    <s v="Military - German Navy"/>
    <s v="Unknown"/>
    <s v="Unknown"/>
    <x v="4"/>
    <s v="Unknown"/>
    <s v="Unknown"/>
    <n v="20"/>
    <s v="NULL"/>
    <s v="NULL"/>
    <n v="14"/>
    <s v="NULL"/>
    <s v="NULL"/>
    <n v="0"/>
    <s v="The airship flew into a thunderstorm and encountered a severe downdraft crashing 20 miles north of Helgoland Island into the sea. The ship broke in two and the control car immediately sank drowning its occupants."/>
    <n v="6"/>
    <n v="0.7"/>
    <x v="1"/>
  </r>
  <r>
    <n v="6"/>
    <x v="5"/>
    <x v="3"/>
    <x v="0"/>
    <d v="1899-12-30T10:30:00"/>
    <s v="Near Johannisthal, Germany"/>
    <s v="Military - German Navy"/>
    <s v="Unknown"/>
    <s v="Unknown"/>
    <x v="5"/>
    <s v="Unknown"/>
    <s v="Unknown"/>
    <n v="30"/>
    <s v="NULL"/>
    <s v="NULL"/>
    <n v="30"/>
    <s v="NULL"/>
    <s v="NULL"/>
    <n v="0"/>
    <s v="Hydrogen gas which was being vented was sucked into the forward engine and ignited causing the airship to explode and burn at 3,000 ft.."/>
    <n v="0"/>
    <n v="1"/>
    <x v="1"/>
  </r>
  <r>
    <n v="7"/>
    <x v="6"/>
    <x v="4"/>
    <x v="0"/>
    <d v="1899-12-30T01:00:00"/>
    <s v="Tienen, Belgium"/>
    <s v="Military - German Navy"/>
    <s v="Unknown"/>
    <s v="Unknown"/>
    <x v="6"/>
    <s v="Unknown"/>
    <s v="Unknown"/>
    <n v="41"/>
    <s v="NULL"/>
    <s v="NULL"/>
    <n v="21"/>
    <s v="NULL"/>
    <s v="NULL"/>
    <n v="0"/>
    <s v="Crashed into trees while attempting to land after being shot down by British and French aircraft."/>
    <n v="20"/>
    <n v="0.51219512195121952"/>
    <x v="0"/>
  </r>
  <r>
    <n v="8"/>
    <x v="7"/>
    <x v="4"/>
    <x v="0"/>
    <d v="1899-12-30T15:20:00"/>
    <s v="Off Cuxhaven, Germany"/>
    <s v="Military - German Navy"/>
    <s v="Unknown"/>
    <s v="Unknown"/>
    <x v="7"/>
    <s v="Unknown"/>
    <s v="Unknown"/>
    <n v="19"/>
    <s v="NULL"/>
    <s v="NULL"/>
    <n v="19"/>
    <s v="NULL"/>
    <s v="NULL"/>
    <n v="0"/>
    <s v="Exploded and burned near Neuwerk Island,  when hydrogen gas, being vented, was ignited by lightning."/>
    <n v="0"/>
    <n v="1"/>
    <x v="1"/>
  </r>
  <r>
    <n v="9"/>
    <x v="8"/>
    <x v="5"/>
    <x v="0"/>
    <s v="Unknown"/>
    <s v="Near Jambol, Bulgeria"/>
    <s v="Military - German Army"/>
    <s v="Unknown"/>
    <s v="Unknown"/>
    <x v="8"/>
    <s v="Unknown"/>
    <s v="Unknown"/>
    <n v="20"/>
    <s v="NULL"/>
    <s v="NULL"/>
    <n v="20"/>
    <s v="NULL"/>
    <s v="NULL"/>
    <n v="0"/>
    <s v="Crashed near the Black Sea, cause unknown."/>
    <n v="0"/>
    <n v="1"/>
    <x v="1"/>
  </r>
  <r>
    <n v="10"/>
    <x v="9"/>
    <x v="5"/>
    <x v="0"/>
    <d v="1899-12-30T01:00:00"/>
    <s v="Billericay, England"/>
    <s v="Military - German Navy"/>
    <s v="Unknown"/>
    <s v="Unknown"/>
    <x v="9"/>
    <s v="Unknown"/>
    <s v="Unknown"/>
    <n v="22"/>
    <s v="NULL"/>
    <s v="NULL"/>
    <n v="22"/>
    <s v="NULL"/>
    <s v="NULL"/>
    <n v="0"/>
    <s v="Shot down by British aircraft crashing in flames."/>
    <n v="0"/>
    <n v="1"/>
    <x v="1"/>
  </r>
  <r>
    <n v="11"/>
    <x v="10"/>
    <x v="5"/>
    <x v="0"/>
    <d v="1899-12-30T23:45:00"/>
    <s v="Potters Bar, England"/>
    <s v="Military - German Navy"/>
    <s v="Unknown"/>
    <s v="Unknown"/>
    <x v="10"/>
    <s v="Unknown"/>
    <s v="Unknown"/>
    <n v="19"/>
    <n v="0"/>
    <n v="19"/>
    <n v="19"/>
    <n v="0"/>
    <n v="19"/>
    <n v="0"/>
    <s v="Shot down in flames by the British 39th Home Defence Squadron."/>
    <n v="0"/>
    <n v="1"/>
    <x v="1"/>
  </r>
  <r>
    <n v="12"/>
    <x v="11"/>
    <x v="5"/>
    <x v="0"/>
    <s v="Unknown"/>
    <s v="Mainz, Germany"/>
    <s v="Military - German Army"/>
    <s v="Unknown"/>
    <s v="Unknown"/>
    <x v="11"/>
    <s v="Unknown"/>
    <s v="Unknown"/>
    <n v="28"/>
    <s v="NULL"/>
    <s v="NULL"/>
    <n v="27"/>
    <s v="NULL"/>
    <s v="NULL"/>
    <n v="0"/>
    <s v="Crashed in a storm."/>
    <n v="1"/>
    <n v="0.9642857142857143"/>
    <x v="1"/>
  </r>
  <r>
    <n v="13"/>
    <x v="12"/>
    <x v="5"/>
    <x v="0"/>
    <d v="1899-12-30T23:45:00"/>
    <s v="Off West Hartlepool, England"/>
    <s v="Military - German Navy"/>
    <s v="Unknown"/>
    <s v="Unknown"/>
    <x v="12"/>
    <s v="Unknown"/>
    <s v="Unknown"/>
    <n v="20"/>
    <s v="NULL"/>
    <s v="NULL"/>
    <n v="20"/>
    <s v="NULL"/>
    <s v="NULL"/>
    <n v="0"/>
    <s v="Shot down by British anti-aircraft fire and aircraft and crashed into the North Sea."/>
    <n v="0"/>
    <n v="1"/>
    <x v="1"/>
  </r>
  <r>
    <n v="14"/>
    <x v="13"/>
    <x v="6"/>
    <x v="0"/>
    <s v="Unknown"/>
    <s v="Near Gent, Belgium"/>
    <s v="Military - German Army"/>
    <s v="Unknown"/>
    <s v="Unknown"/>
    <x v="13"/>
    <s v="Unknown"/>
    <s v="Unknown"/>
    <n v="20"/>
    <s v="NULL"/>
    <s v="NULL"/>
    <n v="20"/>
    <s v="NULL"/>
    <s v="NULL"/>
    <n v="0"/>
    <s v="Caught fire and crashed."/>
    <n v="0"/>
    <n v="1"/>
    <x v="1"/>
  </r>
  <r>
    <n v="15"/>
    <x v="14"/>
    <x v="6"/>
    <x v="0"/>
    <s v="Unknown"/>
    <s v="Off Northern Germany"/>
    <s v="Military - German Navy"/>
    <s v="Unknown"/>
    <s v="Unknown"/>
    <x v="14"/>
    <s v="Unknown"/>
    <s v="Unknown"/>
    <n v="23"/>
    <s v="NULL"/>
    <s v="NULL"/>
    <n v="23"/>
    <s v="NULL"/>
    <s v="NULL"/>
    <n v="0"/>
    <s v="Struck by lightning and crashed into the Baltic Sea."/>
    <n v="0"/>
    <n v="1"/>
    <x v="1"/>
  </r>
  <r>
    <n v="16"/>
    <x v="15"/>
    <x v="6"/>
    <x v="0"/>
    <d v="1899-12-30T05:15:00"/>
    <s v="Near Texel Island, North Sea"/>
    <s v="Military - German Navy"/>
    <s v="Unknown"/>
    <s v="Unknown"/>
    <x v="15"/>
    <s v="Unknown"/>
    <s v="Unknown"/>
    <n v="21"/>
    <s v="NULL"/>
    <s v="NULL"/>
    <n v="21"/>
    <s v="NULL"/>
    <s v="NULL"/>
    <n v="0"/>
    <s v="Crashed into the sea from an altitude of 3,000 ft. after being hit by British aircraft fire."/>
    <n v="0"/>
    <n v="1"/>
    <x v="1"/>
  </r>
  <r>
    <n v="17"/>
    <x v="16"/>
    <x v="6"/>
    <x v="0"/>
    <d v="1899-12-30T08:45:00"/>
    <s v="Off Vlieland Island, North Sea"/>
    <s v="Military - German Navy"/>
    <s v="Unknown"/>
    <s v="Unknown"/>
    <x v="16"/>
    <s v="Unknown"/>
    <s v="Unknown"/>
    <n v="24"/>
    <s v="NULL"/>
    <s v="NULL"/>
    <n v="24"/>
    <s v="NULL"/>
    <s v="NULL"/>
    <n v="0"/>
    <s v="Shot down by British aircraft."/>
    <n v="0"/>
    <n v="1"/>
    <x v="1"/>
  </r>
  <r>
    <n v="18"/>
    <x v="17"/>
    <x v="6"/>
    <x v="0"/>
    <s v="Unknown"/>
    <s v="Near Yarmouth, England"/>
    <s v="Unknown"/>
    <s v="Unknown"/>
    <s v="Unknown"/>
    <x v="17"/>
    <s v="L-48"/>
    <s v="Unknown"/>
    <n v="16"/>
    <s v="NULL"/>
    <s v="NULL"/>
    <n v="14"/>
    <s v="NULL"/>
    <s v="NULL"/>
    <n v="0"/>
    <s v="Shot down by aircraft."/>
    <n v="2"/>
    <n v="0.875"/>
    <x v="1"/>
  </r>
  <r>
    <n v="19"/>
    <x v="18"/>
    <x v="6"/>
    <x v="0"/>
    <d v="1899-12-30T07:00:00"/>
    <s v="Off western Denmark"/>
    <s v="Military - German Navy"/>
    <s v="Unknown"/>
    <s v="Unknown"/>
    <x v="18"/>
    <s v="Unknown"/>
    <s v="Unknown"/>
    <n v="18"/>
    <s v="NULL"/>
    <s v="NULL"/>
    <n v="18"/>
    <s v="NULL"/>
    <s v="NULL"/>
    <n v="0"/>
    <s v="Shot down by British aircraft."/>
    <n v="0"/>
    <n v="1"/>
    <x v="1"/>
  </r>
  <r>
    <n v="20"/>
    <x v="19"/>
    <x v="6"/>
    <x v="0"/>
    <d v="1899-12-30T07:45:00"/>
    <s v="Near Luneville, France"/>
    <s v="Military - German Navy"/>
    <s v="Unknown"/>
    <s v="Unknown"/>
    <x v="19"/>
    <s v="Unknown"/>
    <s v="Unknown"/>
    <n v="18"/>
    <s v="NULL"/>
    <s v="NULL"/>
    <n v="18"/>
    <s v="NULL"/>
    <s v="NULL"/>
    <n v="0"/>
    <s v="Shot down by French anti-aircraft fire."/>
    <n v="0"/>
    <n v="1"/>
    <x v="1"/>
  </r>
  <r>
    <n v="21"/>
    <x v="20"/>
    <x v="7"/>
    <x v="0"/>
    <d v="1899-12-30T21:30:00"/>
    <s v="Over the Mediterranean"/>
    <s v="Military - German Navy"/>
    <s v="Unknown"/>
    <s v="Unknown"/>
    <x v="20"/>
    <s v="Unknown"/>
    <s v="Unknown"/>
    <n v="23"/>
    <s v="NULL"/>
    <s v="NULL"/>
    <n v="23"/>
    <s v="NULL"/>
    <s v="NULL"/>
    <n v="0"/>
    <s v="Exploded and crashed into the sea off the southern coast of Italy."/>
    <n v="0"/>
    <n v="1"/>
    <x v="1"/>
  </r>
  <r>
    <n v="22"/>
    <x v="21"/>
    <x v="7"/>
    <x v="0"/>
    <s v="Unknown"/>
    <s v="Off Helgoland Island, Germany"/>
    <s v="Military - German Navy"/>
    <s v="Unknown"/>
    <s v="Unknown"/>
    <x v="21"/>
    <s v="Unknown"/>
    <s v="Unknown"/>
    <n v="22"/>
    <s v="NULL"/>
    <s v="NULL"/>
    <n v="22"/>
    <s v="NULL"/>
    <s v="NULL"/>
    <n v="0"/>
    <s v="Shot down by British aircraft crashing from a height of 17,000 ft."/>
    <n v="0"/>
    <n v="1"/>
    <x v="1"/>
  </r>
  <r>
    <n v="23"/>
    <x v="22"/>
    <x v="7"/>
    <x v="0"/>
    <d v="1899-12-30T10:00:00"/>
    <s v="Ameland Island, North Sea"/>
    <s v="Military - German Navy"/>
    <s v="Unknown"/>
    <s v="Unknown"/>
    <x v="22"/>
    <s v="Unknown"/>
    <s v="Unknown"/>
    <n v="19"/>
    <s v="NULL"/>
    <s v="NULL"/>
    <n v="19"/>
    <s v="NULL"/>
    <s v="NULL"/>
    <n v="0"/>
    <s v="Shot down by British aircraft."/>
    <n v="0"/>
    <n v="1"/>
    <x v="1"/>
  </r>
  <r>
    <n v="24"/>
    <x v="23"/>
    <x v="7"/>
    <x v="0"/>
    <s v="Unknown"/>
    <s v="Elizabeth, New Jersey"/>
    <s v="US Aerial Mail Service"/>
    <s v="Unknown"/>
    <s v="Unknown"/>
    <x v="23"/>
    <n v="97"/>
    <s v="Unknown"/>
    <n v="1"/>
    <n v="0"/>
    <n v="1"/>
    <n v="1"/>
    <n v="0"/>
    <n v="1"/>
    <n v="0"/>
    <s v="Carl Smith was killed when his mail plane feet 500 feet while attempting to land. He tried to reposition the aircraft after the wind shifted and lost control of the plane and dived into the ground."/>
    <n v="0"/>
    <n v="1"/>
    <x v="1"/>
  </r>
  <r>
    <n v="25"/>
    <x v="24"/>
    <x v="8"/>
    <x v="0"/>
    <s v="Unknown"/>
    <s v="Cleveland, Ohio"/>
    <s v="US Aerial Mail Service"/>
    <s v="Unknown"/>
    <s v="Unknown"/>
    <x v="23"/>
    <n v="61"/>
    <s v="Unknown"/>
    <n v="1"/>
    <n v="0"/>
    <n v="1"/>
    <n v="1"/>
    <n v="0"/>
    <n v="1"/>
    <n v="0"/>
    <s v="Caught fire in midair. The pilot leaped from the plane to his death as the plane began to go into a dive."/>
    <n v="0"/>
    <n v="1"/>
    <x v="1"/>
  </r>
  <r>
    <n v="26"/>
    <x v="25"/>
    <x v="8"/>
    <x v="0"/>
    <s v="Unknown"/>
    <s v="Dix Run, Pennsylvania"/>
    <s v="US Aerial Mail Service"/>
    <s v="Unknown"/>
    <s v="Unknown"/>
    <x v="23"/>
    <n v="82"/>
    <s v="Unknown"/>
    <n v="1"/>
    <n v="0"/>
    <n v="1"/>
    <n v="1"/>
    <n v="0"/>
    <n v="1"/>
    <n v="0"/>
    <s v="The mail plane crashed under unknown circumstances."/>
    <n v="0"/>
    <n v="1"/>
    <x v="1"/>
  </r>
  <r>
    <n v="27"/>
    <x v="26"/>
    <x v="8"/>
    <x v="0"/>
    <d v="1899-12-30T16:55:00"/>
    <s v="Chicago, Illinois"/>
    <s v="Wingfoot Air Express Goodyear Tire"/>
    <s v="Unknown"/>
    <s v="Shuttle"/>
    <x v="24"/>
    <s v="Unknown"/>
    <s v="Unknown"/>
    <s v="NULL"/>
    <s v="NULL"/>
    <s v="NULL"/>
    <n v="3"/>
    <n v="2"/>
    <n v="1"/>
    <n v="10"/>
    <s v=" The dirigible, cruising at 1,200 ft. caught fire and crashed into the Illinois Trust and Savings Building in Chicago. The was transporting people from Grant Park to the White City amusement park.[1] One crew member, two passengers, and ten bank employees were killed"/>
    <s v="NULL"/>
    <n v="0"/>
    <x v="2"/>
  </r>
  <r>
    <n v="28"/>
    <x v="27"/>
    <x v="8"/>
    <x v="0"/>
    <s v="Unknown"/>
    <s v="Verona, Italy"/>
    <s v="Caproni Company"/>
    <s v="Unknown"/>
    <s v="Venice  Taliedo"/>
    <x v="25"/>
    <s v="Unknown"/>
    <s v="Unknown"/>
    <n v="14"/>
    <n v="12"/>
    <n v="2"/>
    <n v="14"/>
    <n v="12"/>
    <n v="2"/>
    <n v="0"/>
    <s v="As the plane was passing over Verona the wings began to flutter and then collapsed and crashed. Sources differ as to the number of deaths with some reporting 15 or 17."/>
    <n v="0"/>
    <n v="1"/>
    <x v="1"/>
  </r>
  <r>
    <n v="29"/>
    <x v="28"/>
    <x v="8"/>
    <x v="0"/>
    <s v="Unknown"/>
    <s v="Newcastle, England"/>
    <s v="Aircraft Transport and Travel"/>
    <s v="Unknown"/>
    <s v="Unknown"/>
    <x v="23"/>
    <s v="Unknown"/>
    <s v="Unknown"/>
    <n v="1"/>
    <n v="0"/>
    <n v="1"/>
    <n v="1"/>
    <n v="0"/>
    <n v="1"/>
    <n v="0"/>
    <s v="No data available"/>
    <n v="0"/>
    <n v="1"/>
    <x v="1"/>
  </r>
  <r>
    <n v="30"/>
    <x v="29"/>
    <x v="8"/>
    <x v="0"/>
    <s v="Unknown"/>
    <s v="Cantonsville, Maryland"/>
    <s v="US Aerial Mail Service"/>
    <s v="Unknown"/>
    <s v="Unknown"/>
    <x v="26"/>
    <n v="32"/>
    <s v="Unknown"/>
    <n v="1"/>
    <n v="0"/>
    <n v="1"/>
    <n v="1"/>
    <n v="0"/>
    <n v="1"/>
    <n v="0"/>
    <s v="The pilot was performing a mail flight to Baltimore. While on final approach, in fog, the aircraft hit tree tops and crashed into the woods."/>
    <n v="0"/>
    <n v="1"/>
    <x v="1"/>
  </r>
  <r>
    <n v="31"/>
    <x v="30"/>
    <x v="8"/>
    <x v="0"/>
    <s v="Unknown"/>
    <s v="English Channel off Forkstone, Kent"/>
    <s v="Aircraft Transport and Travel"/>
    <s v="Unknown"/>
    <s v="Unknown"/>
    <x v="23"/>
    <s v="G-EAHG"/>
    <s v="Unknown"/>
    <n v="0"/>
    <n v="0"/>
    <n v="1"/>
    <n v="0"/>
    <n v="0"/>
    <n v="0"/>
    <n v="0"/>
    <s v="Crashed into the sea while attempting to land in fog."/>
    <n v="0"/>
    <n v="0"/>
    <x v="2"/>
  </r>
  <r>
    <n v="32"/>
    <x v="31"/>
    <x v="8"/>
    <x v="0"/>
    <s v="Unknown"/>
    <s v="Long Valley, New Jersey"/>
    <s v="US Aerial Mail Service"/>
    <s v="Unknown"/>
    <s v="Unknown"/>
    <x v="27"/>
    <n v="77"/>
    <n v="77"/>
    <n v="1"/>
    <n v="0"/>
    <n v="1"/>
    <n v="1"/>
    <n v="0"/>
    <n v="1"/>
    <n v="0"/>
    <s v="While on a mail flight to New York the pilot encountered bad weather conditions and reduced his altitude to maintain a visual contact with the ground. Eventually, he decided to make an emergency landing in Long Valley, west of Newark. Aircraft hit the ground and crashed."/>
    <n v="0"/>
    <n v="1"/>
    <x v="1"/>
  </r>
  <r>
    <n v="33"/>
    <x v="32"/>
    <x v="8"/>
    <x v="0"/>
    <s v="Unknown"/>
    <s v="Catherham, Surrey, UK"/>
    <s v="Aircraft Travel Transport"/>
    <s v="Unknown"/>
    <s v="Paris - Hounslow"/>
    <x v="23"/>
    <s v="G-EAHF"/>
    <s v="Unknown"/>
    <n v="1"/>
    <n v="1"/>
    <n v="1"/>
    <n v="1"/>
    <n v="1"/>
    <n v="1"/>
    <n v="0"/>
    <s v="Crashed in a field while attemptting to land."/>
    <n v="0"/>
    <n v="1"/>
    <x v="1"/>
  </r>
  <r>
    <n v="34"/>
    <x v="33"/>
    <x v="9"/>
    <x v="0"/>
    <s v="Unknown"/>
    <s v="New Paris, Indiana"/>
    <s v="US Aerial Mail Service"/>
    <s v="Unknown"/>
    <s v="Unknown"/>
    <x v="23"/>
    <n v="65"/>
    <s v="Unknown"/>
    <n v="1"/>
    <n v="0"/>
    <n v="1"/>
    <n v="1"/>
    <n v="0"/>
    <n v="1"/>
    <n v="0"/>
    <s v="While on a a mail flight, the aircraft hit trees in fog and crashed in a wooded area."/>
    <n v="0"/>
    <n v="1"/>
    <x v="1"/>
  </r>
  <r>
    <n v="35"/>
    <x v="34"/>
    <x v="9"/>
    <x v="0"/>
    <s v="Unknown"/>
    <s v="Newark, New Jersey"/>
    <s v="US Aerial Mail Service"/>
    <s v="Unknown"/>
    <s v="Washington - Newark"/>
    <x v="23"/>
    <n v="72"/>
    <s v="Unknown"/>
    <n v="1"/>
    <n v="0"/>
    <n v="1"/>
    <n v="1"/>
    <n v="0"/>
    <n v="1"/>
    <n v="0"/>
    <s v="George Sherlock was killed when his mail plane crashed into a chimney while attempting to land at Heller Field in poor visibility."/>
    <n v="0"/>
    <n v="1"/>
    <x v="1"/>
  </r>
  <r>
    <n v="36"/>
    <x v="35"/>
    <x v="9"/>
    <x v="0"/>
    <s v="Unknown"/>
    <s v="Newark, New Jersey"/>
    <s v="US Aerial Mail Service"/>
    <s v="Unknown"/>
    <s v="Unknown"/>
    <x v="26"/>
    <n v="49"/>
    <s v="Unknown"/>
    <n v="2"/>
    <n v="1"/>
    <n v="1"/>
    <n v="1"/>
    <n v="0"/>
    <n v="1"/>
    <n v="0"/>
    <s v="After a fire erupted in flight the pilot decided to make an emergency landing but the aircraft crashed."/>
    <n v="1"/>
    <n v="0.5"/>
    <x v="0"/>
  </r>
  <r>
    <n v="37"/>
    <x v="36"/>
    <x v="9"/>
    <x v="0"/>
    <s v="Unknown"/>
    <s v="Heller Field, New Jersey"/>
    <s v="US Aerial Mail Service"/>
    <s v="Unknown"/>
    <s v="Unknown"/>
    <x v="28"/>
    <n v="44"/>
    <s v="Unknown"/>
    <n v="2"/>
    <n v="1"/>
    <n v="1"/>
    <n v="1"/>
    <n v="0"/>
    <n v="1"/>
    <n v="0"/>
    <s v="The aircraft crashed while on approach for unknown reasons."/>
    <n v="1"/>
    <n v="0.5"/>
    <x v="0"/>
  </r>
  <r>
    <n v="38"/>
    <x v="37"/>
    <x v="9"/>
    <x v="0"/>
    <s v="Unknown"/>
    <s v="Oskaloosa, Iowa"/>
    <s v="US Aerial Mail Service"/>
    <s v="Unknown"/>
    <s v="Unknown"/>
    <x v="23"/>
    <n v="79"/>
    <s v="Unknown"/>
    <n v="2"/>
    <n v="1"/>
    <n v="1"/>
    <n v="1"/>
    <n v="1"/>
    <n v="0"/>
    <n v="0"/>
    <s v="In worsening weather conditions, the pilot lost his sense of orientation and crashed in a field."/>
    <n v="1"/>
    <n v="0.5"/>
    <x v="0"/>
  </r>
  <r>
    <n v="39"/>
    <x v="38"/>
    <x v="9"/>
    <x v="0"/>
    <s v="Unknown"/>
    <s v="Cleveland, Ohio"/>
    <s v="US Aerial Mail Service"/>
    <s v="Unknown"/>
    <s v="Unknown"/>
    <x v="23"/>
    <n v="204"/>
    <s v="Unknown"/>
    <n v="1"/>
    <n v="0"/>
    <n v="1"/>
    <n v="1"/>
    <n v="0"/>
    <n v="1"/>
    <n v="0"/>
    <s v="The aircraft suffered engine failure and crashed shortly after taking off."/>
    <n v="0"/>
    <n v="1"/>
    <x v="1"/>
  </r>
  <r>
    <n v="40"/>
    <x v="39"/>
    <x v="9"/>
    <x v="0"/>
    <s v="Unknown"/>
    <s v="Cartagena, Columbia"/>
    <s v="CompaÃ±ia Colombiana de NavegaciÃ³n AÃ©rea"/>
    <s v="Unknown"/>
    <s v="Unknown"/>
    <x v="29"/>
    <s v="Unknown"/>
    <s v="Unknown"/>
    <n v="1"/>
    <n v="1"/>
    <n v="1"/>
    <n v="1"/>
    <n v="1"/>
    <n v="1"/>
    <n v="0"/>
    <s v="Crashed while taking off after engine failure. Engine failure due to fuel exhaustion."/>
    <n v="0"/>
    <n v="1"/>
    <x v="1"/>
  </r>
  <r>
    <n v="41"/>
    <x v="40"/>
    <x v="9"/>
    <x v="0"/>
    <s v="Unknown"/>
    <s v="Bedford, England"/>
    <s v="By Air"/>
    <s v="Unknown"/>
    <s v="Unknown"/>
    <x v="30"/>
    <s v="G-EALW"/>
    <s v="Unknown"/>
    <n v="1"/>
    <n v="0"/>
    <n v="1"/>
    <n v="1"/>
    <n v="0"/>
    <n v="1"/>
    <n v="0"/>
    <s v="The plane crashed during a cargo flight under unknown circumstances."/>
    <n v="0"/>
    <n v="1"/>
    <x v="1"/>
  </r>
  <r>
    <n v="42"/>
    <x v="40"/>
    <x v="9"/>
    <x v="0"/>
    <s v="Unknown"/>
    <s v="College Park, Maryland"/>
    <s v="US Aerial Mail Service"/>
    <s v="Unknown"/>
    <s v="Unknown"/>
    <x v="23"/>
    <n v="317"/>
    <s v="Unknown"/>
    <n v="1"/>
    <n v="0"/>
    <n v="1"/>
    <n v="1"/>
    <n v="0"/>
    <n v="1"/>
    <n v="0"/>
    <s v="While approaching in poor visibility to land, the plane hit a radio mast and crashed in flames."/>
    <n v="0"/>
    <n v="1"/>
    <x v="1"/>
  </r>
  <r>
    <n v="43"/>
    <x v="41"/>
    <x v="9"/>
    <x v="0"/>
    <s v="Unknown"/>
    <s v="Morristown, New Jersey"/>
    <s v="US Aerial Mail Service"/>
    <s v="Unknown"/>
    <s v="Unknown"/>
    <x v="31"/>
    <n v="305"/>
    <s v="Unknown"/>
    <n v="2"/>
    <n v="0"/>
    <n v="2"/>
    <n v="2"/>
    <n v="0"/>
    <n v="2"/>
    <n v="0"/>
    <s v="While en route, the mail plane went out of control and crashed after experiencing an in flight fire."/>
    <n v="0"/>
    <n v="1"/>
    <x v="1"/>
  </r>
  <r>
    <n v="44"/>
    <x v="42"/>
    <x v="9"/>
    <x v="0"/>
    <s v="Unknown"/>
    <s v="Pemberville, Ohio"/>
    <s v="US Aerial Mail Service"/>
    <s v="Unknown"/>
    <s v="Unknown"/>
    <x v="32"/>
    <n v="308"/>
    <s v="Unknown"/>
    <n v="2"/>
    <s v="NULL"/>
    <s v="NULL"/>
    <n v="2"/>
    <s v="NULL"/>
    <s v="NULL"/>
    <n v="0"/>
    <s v="The pilot crashed after attempting to make an emergency landing after the engine caught fire."/>
    <n v="0"/>
    <n v="1"/>
    <x v="1"/>
  </r>
  <r>
    <n v="45"/>
    <x v="43"/>
    <x v="9"/>
    <x v="0"/>
    <s v="Unknown"/>
    <s v="Hillersburg, Pennsylvania"/>
    <s v="US Aerial Mail Service"/>
    <s v="Unknown"/>
    <s v="Unknown"/>
    <x v="23"/>
    <n v="316"/>
    <s v="Unknown"/>
    <n v="1"/>
    <n v="0"/>
    <n v="1"/>
    <n v="1"/>
    <n v="0"/>
    <n v="1"/>
    <n v="0"/>
    <s v="The plane struck power lines and crashed in flames after flying at a low altitude in poor visibility."/>
    <n v="0"/>
    <n v="1"/>
    <x v="1"/>
  </r>
  <r>
    <n v="46"/>
    <x v="44"/>
    <x v="9"/>
    <x v="0"/>
    <s v="Unknown"/>
    <s v="Off Port Vendres, France"/>
    <s v="Latecoere Airlines"/>
    <s v="Unknown"/>
    <s v="Unknown"/>
    <x v="33"/>
    <s v="F-ALAI"/>
    <n v="31"/>
    <n v="2"/>
    <n v="1"/>
    <n v="1"/>
    <n v="2"/>
    <n v="1"/>
    <n v="1"/>
    <n v="0"/>
    <s v="Crashed into the Mediterranean while on a mail flight."/>
    <n v="0"/>
    <n v="1"/>
    <x v="1"/>
  </r>
  <r>
    <n v="47"/>
    <x v="45"/>
    <x v="9"/>
    <x v="0"/>
    <s v="Unknown"/>
    <s v="Valencia, Spain"/>
    <s v="Latecoere Airlines"/>
    <s v="Unknown"/>
    <s v="Unknown"/>
    <x v="34"/>
    <s v="F-ALTA"/>
    <n v="20"/>
    <n v="2"/>
    <n v="1"/>
    <n v="1"/>
    <n v="2"/>
    <n v="1"/>
    <n v="1"/>
    <n v="0"/>
    <s v="While on a mail flight the plane crashed while attempting to land."/>
    <n v="0"/>
    <n v="1"/>
    <x v="1"/>
  </r>
  <r>
    <n v="48"/>
    <x v="46"/>
    <x v="9"/>
    <x v="0"/>
    <s v="Unknown"/>
    <s v="Batavia, Illinois"/>
    <s v="US Aerial Mail Service"/>
    <s v="Unknown"/>
    <s v="Unknown"/>
    <x v="23"/>
    <n v="76"/>
    <s v="Unknown"/>
    <n v="1"/>
    <n v="0"/>
    <n v="1"/>
    <n v="1"/>
    <n v="0"/>
    <n v="1"/>
    <n v="0"/>
    <s v="While attempting to land in fog the aircraft hit an obstruction and crashed."/>
    <n v="0"/>
    <n v="1"/>
    <x v="1"/>
  </r>
  <r>
    <n v="49"/>
    <x v="47"/>
    <x v="9"/>
    <x v="0"/>
    <s v="Unknown"/>
    <s v="Tie Siding, Wyoming"/>
    <s v="US Aerial Mail Service"/>
    <s v="Unknown"/>
    <s v="Unknown"/>
    <x v="23"/>
    <s v="Unknown"/>
    <n v="178"/>
    <n v="1"/>
    <n v="0"/>
    <n v="1"/>
    <n v="1"/>
    <n v="0"/>
    <n v="1"/>
    <n v="0"/>
    <s v="The aircraft crashed into a mountain in poor weather condtions."/>
    <n v="0"/>
    <n v="1"/>
    <x v="1"/>
  </r>
  <r>
    <n v="50"/>
    <x v="48"/>
    <x v="9"/>
    <x v="0"/>
    <d v="1899-12-30T12:15:00"/>
    <s v="London, England"/>
    <s v="Handley Page Transport"/>
    <s v="Unknown"/>
    <s v="London - Paris"/>
    <x v="35"/>
    <s v="G-EAMA"/>
    <s v="HP-25"/>
    <n v="8"/>
    <n v="6"/>
    <n v="2"/>
    <n v="4"/>
    <n v="2"/>
    <n v="2"/>
    <n v="0"/>
    <s v="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
    <n v="4"/>
    <n v="0.5"/>
    <x v="0"/>
  </r>
  <r>
    <n v="51"/>
    <x v="49"/>
    <x v="9"/>
    <x v="0"/>
    <s v="Unknown"/>
    <s v="Barcelona, Spain"/>
    <s v="Aeropostale"/>
    <s v="Unknown"/>
    <s v="Unknown"/>
    <x v="34"/>
    <s v="F-ALBO"/>
    <n v="57"/>
    <n v="1"/>
    <n v="0"/>
    <n v="1"/>
    <n v="1"/>
    <n v="0"/>
    <n v="1"/>
    <n v="0"/>
    <s v="The aircraft stalled and crashed when an engine failed."/>
    <n v="0"/>
    <n v="1"/>
    <x v="1"/>
  </r>
  <r>
    <n v="52"/>
    <x v="50"/>
    <x v="10"/>
    <x v="0"/>
    <s v="Unknown"/>
    <s v="Mendotta, Minnisota"/>
    <s v="US Aerial Mail Service"/>
    <s v="Unknown"/>
    <s v="Unknown"/>
    <x v="23"/>
    <n v="130"/>
    <s v="Unknown"/>
    <n v="1"/>
    <n v="0"/>
    <n v="1"/>
    <n v="1"/>
    <n v="0"/>
    <n v="1"/>
    <n v="0"/>
    <s v="Shortly after takeoff from Minneapolis-World Chamberlain Field the engine failed. The aircraft lost altitude and crashed  in a field."/>
    <n v="0"/>
    <n v="1"/>
    <x v="1"/>
  </r>
  <r>
    <n v="53"/>
    <x v="51"/>
    <x v="10"/>
    <x v="0"/>
    <s v="Unknown"/>
    <s v="La Crosse, Wisconsin"/>
    <s v="US Aerial Mail Service"/>
    <s v="Unknown"/>
    <s v="Unknown"/>
    <x v="32"/>
    <n v="301"/>
    <s v="Unknown"/>
    <n v="3"/>
    <n v="0"/>
    <n v="3"/>
    <n v="3"/>
    <n v="0"/>
    <n v="3"/>
    <n v="0"/>
    <s v="Crashed for unknown reasons. Both pilots and the mechanic were killed."/>
    <n v="0"/>
    <n v="1"/>
    <x v="1"/>
  </r>
  <r>
    <n v="54"/>
    <x v="52"/>
    <x v="10"/>
    <x v="0"/>
    <s v="Unknown"/>
    <s v="Off Gibraltar"/>
    <s v="Aeropostale"/>
    <s v="Unknown"/>
    <s v="Unknown"/>
    <x v="34"/>
    <s v="F-ALBA"/>
    <s v="Unknown"/>
    <n v="2"/>
    <n v="0"/>
    <n v="2"/>
    <n v="2"/>
    <n v="0"/>
    <n v="2"/>
    <n v="0"/>
    <s v="The mail fligh encountered poor weather conditions and crashed into the ocean while on approach to Gibraltar. The bodies of the crew were never recovered."/>
    <n v="0"/>
    <n v="1"/>
    <x v="1"/>
  </r>
  <r>
    <n v="55"/>
    <x v="53"/>
    <x v="10"/>
    <x v="0"/>
    <s v="Unknown"/>
    <s v="Elko, Nevada"/>
    <s v="US Aerial Mail Service"/>
    <s v="Unknown"/>
    <s v="Unknown"/>
    <x v="23"/>
    <n v="67"/>
    <s v="Unknown"/>
    <n v="1"/>
    <n v="0"/>
    <n v="1"/>
    <n v="1"/>
    <n v="0"/>
    <n v="1"/>
    <n v="0"/>
    <s v="Shortly after taking off, the aircraft stalled and crashed ."/>
    <n v="0"/>
    <n v="1"/>
    <x v="1"/>
  </r>
  <r>
    <n v="56"/>
    <x v="54"/>
    <x v="10"/>
    <x v="0"/>
    <s v="Unknown"/>
    <s v="Point Cook, Australia"/>
    <s v="Military - Royal Australian Air Force"/>
    <s v="Unknown"/>
    <s v="Unknown"/>
    <x v="36"/>
    <s v="H3021"/>
    <s v="Unknown"/>
    <n v="2"/>
    <n v="0"/>
    <n v="0"/>
    <n v="2"/>
    <n v="0"/>
    <n v="0"/>
    <n v="0"/>
    <s v="Shortly after taking off on a training flight, the aircraft dove into the ground and exploded in flames."/>
    <n v="0"/>
    <n v="1"/>
    <x v="1"/>
  </r>
  <r>
    <n v="57"/>
    <x v="55"/>
    <x v="10"/>
    <x v="0"/>
    <s v="Unknown"/>
    <s v="Mitchel Field, NY"/>
    <s v="US Aerial Mail Service"/>
    <s v="Unknown"/>
    <s v="Unknown"/>
    <x v="23"/>
    <n v="160"/>
    <s v="Unknown"/>
    <n v="1"/>
    <n v="0"/>
    <n v="1"/>
    <n v="1"/>
    <n v="0"/>
    <n v="1"/>
    <n v="0"/>
    <s v="After taking off the aircraft stalled and crashed."/>
    <n v="0"/>
    <n v="1"/>
    <x v="1"/>
  </r>
  <r>
    <n v="58"/>
    <x v="56"/>
    <x v="10"/>
    <x v="0"/>
    <s v="Unknown"/>
    <s v="Cleveland, Ohio"/>
    <s v="US Aerial Mail Service"/>
    <s v="Unknown"/>
    <s v="Unknown"/>
    <x v="23"/>
    <n v="196"/>
    <s v="Unknown"/>
    <n v="1"/>
    <n v="0"/>
    <n v="1"/>
    <n v="1"/>
    <n v="0"/>
    <n v="1"/>
    <n v="0"/>
    <s v="The aircraft crashed in a field, short of the runway, a few minutes before its scheduled arrival in Cleveland. The weather was poor with fog."/>
    <n v="0"/>
    <n v="1"/>
    <x v="1"/>
  </r>
  <r>
    <n v="59"/>
    <x v="57"/>
    <x v="10"/>
    <x v="0"/>
    <s v="Unknown"/>
    <s v="Rock Springs, Wyoming"/>
    <s v="US Aerial Mail Service"/>
    <s v="Unknown"/>
    <s v="Unknown"/>
    <x v="37"/>
    <n v="176"/>
    <s v="Unknown"/>
    <n v="1"/>
    <n v="0"/>
    <n v="1"/>
    <n v="1"/>
    <n v="0"/>
    <n v="1"/>
    <n v="0"/>
    <s v="Crashed while attempting to land."/>
    <n v="0"/>
    <n v="1"/>
    <x v="1"/>
  </r>
  <r>
    <n v="60"/>
    <x v="58"/>
    <x v="10"/>
    <x v="0"/>
    <s v="Unknown"/>
    <s v="Toulouse, France"/>
    <s v="Aeropostale"/>
    <s v="Unknown"/>
    <s v="Unknown"/>
    <x v="34"/>
    <s v="F-ALBI"/>
    <s v="Unknown"/>
    <n v="2"/>
    <s v="NULL"/>
    <s v="NULL"/>
    <n v="2"/>
    <s v="NULL"/>
    <s v="NULL"/>
    <n v="0"/>
    <s v="No data available"/>
    <n v="0"/>
    <n v="1"/>
    <x v="1"/>
  </r>
  <r>
    <n v="61"/>
    <x v="59"/>
    <x v="10"/>
    <x v="0"/>
    <d v="1899-12-30T17:40:00"/>
    <s v="River Humber, England"/>
    <s v="Military - Royal Airship Works"/>
    <s v="Unknown"/>
    <s v="Unknown"/>
    <x v="38"/>
    <s v="R-38"/>
    <s v="R-38"/>
    <n v="46"/>
    <n v="0"/>
    <n v="46"/>
    <n v="46"/>
    <n v="0"/>
    <n v="46"/>
    <n v="1"/>
    <s v="Crashed due to structural failure followed by two explosions and a fire. Attributed to faulty design."/>
    <n v="0"/>
    <n v="1"/>
    <x v="1"/>
  </r>
  <r>
    <n v="62"/>
    <x v="60"/>
    <x v="10"/>
    <x v="0"/>
    <s v="Unknown"/>
    <s v="Paris, France"/>
    <s v="Franco-Roumaine"/>
    <s v="Unknown"/>
    <s v="Warsaw - Prague - Strasbourg - Paris"/>
    <x v="39"/>
    <s v="F-ADCD"/>
    <n v="160"/>
    <n v="5"/>
    <n v="4"/>
    <n v="1"/>
    <n v="5"/>
    <n v="4"/>
    <n v="1"/>
    <n v="0"/>
    <s v="Crashed while making an approach to Le Bourget Airport in Paris. Pilot aborted the landing due to another aircraft on the runway."/>
    <n v="0"/>
    <n v="1"/>
    <x v="1"/>
  </r>
  <r>
    <n v="63"/>
    <x v="61"/>
    <x v="10"/>
    <x v="0"/>
    <s v="Unknown"/>
    <s v="Near Murchinson River, Australia"/>
    <s v="West Australian Airways"/>
    <s v="Unknown"/>
    <s v="Geraldton - Derby"/>
    <x v="40"/>
    <s v="G-AUDI"/>
    <n v="6116"/>
    <n v="2"/>
    <n v="0"/>
    <n v="2"/>
    <n v="2"/>
    <n v="0"/>
    <n v="2"/>
    <n v="0"/>
    <s v="On approach to Geraldton the plane crashed near the Murchinson River. Considered the first commercial flight in Australila."/>
    <n v="0"/>
    <n v="1"/>
    <x v="1"/>
  </r>
  <r>
    <n v="64"/>
    <x v="62"/>
    <x v="11"/>
    <x v="0"/>
    <s v="Unknown"/>
    <s v="Paris, France"/>
    <s v="Handley Page Transport"/>
    <s v="Unknown"/>
    <s v="Unknown"/>
    <x v="41"/>
    <s v="G-EATN"/>
    <s v="HP-43"/>
    <n v="5"/>
    <n v="4"/>
    <n v="1"/>
    <n v="5"/>
    <n v="4"/>
    <n v="1"/>
    <n v="5"/>
    <s v="Crashed at Le Bourget field."/>
    <n v="0"/>
    <n v="1"/>
    <x v="1"/>
  </r>
  <r>
    <n v="65"/>
    <x v="63"/>
    <x v="11"/>
    <x v="0"/>
    <s v="Unknown"/>
    <s v="Near Norfolk, Virginia"/>
    <s v="Military - U.S. Army Air Service"/>
    <s v="Unknown"/>
    <s v="Unknown"/>
    <x v="42"/>
    <s v="Unknown"/>
    <s v="Unknown"/>
    <n v="45"/>
    <s v="NULL"/>
    <s v="NULL"/>
    <n v="34"/>
    <s v="NULL"/>
    <s v="NULL"/>
    <n v="0"/>
    <s v="Crashed from a height of 500 ft. after experiencing control problems cause by malfunctioning controls."/>
    <n v="11"/>
    <n v="0.75555555555555554"/>
    <x v="1"/>
  </r>
  <r>
    <n v="66"/>
    <x v="64"/>
    <x v="11"/>
    <x v="0"/>
    <d v="1899-12-30T11:40:00"/>
    <s v="North Atlantic Ocean"/>
    <s v="Aero Limited"/>
    <s v="Unknown"/>
    <s v="Miami - Bimini"/>
    <x v="43"/>
    <s v="Unknown"/>
    <s v="Unknown"/>
    <n v="6"/>
    <n v="5"/>
    <n v="1"/>
    <n v="5"/>
    <n v="5"/>
    <n v="0"/>
    <n v="0"/>
    <s v="The plane ditched into the ocean about 40 miles East of Florida after a propeller blade broke. Only the pilot survived, being picked up over 2 days later. The flying boat was named Miss Miami."/>
    <n v="1"/>
    <n v="0.83333333333333337"/>
    <x v="1"/>
  </r>
  <r>
    <n v="67"/>
    <x v="65"/>
    <x v="11"/>
    <x v="0"/>
    <d v="1899-12-30T13:15:00"/>
    <s v="Grandvilliers, France"/>
    <s v="Daimler Airways / Grands Express Aeriens"/>
    <s v="Unknown"/>
    <s v="Croydon - Le Bourget"/>
    <x v="44"/>
    <s v="G-EAOW/FGEAD"/>
    <n v="4"/>
    <n v="7"/>
    <n v="5"/>
    <n v="2"/>
    <n v="7"/>
    <n v="5"/>
    <n v="2"/>
    <n v="0"/>
    <s v="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
    <n v="0"/>
    <n v="1"/>
    <x v="1"/>
  </r>
  <r>
    <n v="68"/>
    <x v="66"/>
    <x v="11"/>
    <x v="0"/>
    <s v="Unknown"/>
    <s v="Pao Ting Fou, China"/>
    <s v="Unknown"/>
    <s v="Unknown"/>
    <s v="Test"/>
    <x v="45"/>
    <s v="Unknown"/>
    <s v="Unknown"/>
    <n v="17"/>
    <n v="0"/>
    <n v="17"/>
    <n v="17"/>
    <n v="0"/>
    <n v="17"/>
    <n v="0"/>
    <s v="Aboard were all workers taking part in a flight test. All seventeen aboard were Chinese nationals."/>
    <n v="0"/>
    <n v="1"/>
    <x v="1"/>
  </r>
  <r>
    <n v="69"/>
    <x v="67"/>
    <x v="11"/>
    <x v="0"/>
    <s v="Unknown"/>
    <s v="Off Folkestone, Kent, England"/>
    <s v="Cie des Messageries Aeriennes"/>
    <s v="Unknown"/>
    <s v="Croydon - Paris"/>
    <x v="46"/>
    <s v="F-ACMH"/>
    <n v="555"/>
    <n v="3"/>
    <n v="2"/>
    <n v="1"/>
    <n v="3"/>
    <n v="2"/>
    <n v="1"/>
    <n v="0"/>
    <s v="Went down into the English Channel while en route."/>
    <n v="0"/>
    <n v="1"/>
    <x v="1"/>
  </r>
  <r>
    <n v="70"/>
    <x v="68"/>
    <x v="11"/>
    <x v="0"/>
    <s v="Unknown"/>
    <s v="Fuhlsbuttel, Germany"/>
    <s v="Unknown"/>
    <s v="Unknown"/>
    <s v="Hamburg - Berlin"/>
    <x v="47"/>
    <s v="Unknown"/>
    <s v="Unknown"/>
    <n v="3"/>
    <n v="2"/>
    <n v="1"/>
    <n v="2"/>
    <n v="1"/>
    <n v="1"/>
    <n v="0"/>
    <s v="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
    <n v="1"/>
    <n v="0.66666666666666663"/>
    <x v="1"/>
  </r>
  <r>
    <n v="71"/>
    <x v="69"/>
    <x v="11"/>
    <x v="0"/>
    <d v="1899-12-30T16:45:00"/>
    <s v="Near Saverne, Lorraine, France"/>
    <s v="Compagnie Franco-Roumaine de Navigaation Aerienne"/>
    <s v="Unknown"/>
    <s v="Strasbourg - Paris"/>
    <x v="48"/>
    <s v="F-FREI"/>
    <n v="25"/>
    <n v="5"/>
    <n v="4"/>
    <n v="1"/>
    <n v="5"/>
    <n v="4"/>
    <n v="1"/>
    <n v="0"/>
    <s v="Lost an engine and could not make an emergency landing because of gusty winds. Stalled while making a turn and crashed."/>
    <n v="0"/>
    <n v="1"/>
    <x v="1"/>
  </r>
  <r>
    <n v="72"/>
    <x v="70"/>
    <x v="11"/>
    <x v="0"/>
    <s v="Unknown"/>
    <s v="Cadix, Spain"/>
    <s v="Grands Express Aeriens"/>
    <s v="Unknown"/>
    <s v="Unknown"/>
    <x v="34"/>
    <s v="F-ALVE"/>
    <n v="117"/>
    <n v="3"/>
    <n v="2"/>
    <n v="1"/>
    <n v="3"/>
    <n v="2"/>
    <n v="1"/>
    <n v="0"/>
    <s v="While attempting to make an emergency landing due to engine problems, the aircraft hit telephone lines and crashed."/>
    <n v="0"/>
    <n v="1"/>
    <x v="1"/>
  </r>
  <r>
    <n v="73"/>
    <x v="71"/>
    <x v="11"/>
    <x v="0"/>
    <s v="Unknown"/>
    <s v="Indianapolis, Indiana"/>
    <s v="US Aerial Mail Service"/>
    <s v="Unknown"/>
    <s v="Unknown"/>
    <x v="23"/>
    <n v="227"/>
    <s v="Unknown"/>
    <n v="1"/>
    <n v="0"/>
    <n v="1"/>
    <n v="1"/>
    <n v="0"/>
    <n v="1"/>
    <n v="0"/>
    <s v="The plane stalled shortly after takeoff and crashed."/>
    <n v="0"/>
    <n v="1"/>
    <x v="1"/>
  </r>
  <r>
    <n v="74"/>
    <x v="72"/>
    <x v="11"/>
    <x v="0"/>
    <s v="Unknown"/>
    <s v="Venice, Italy"/>
    <s v="de Havilland Air Service"/>
    <s v="Unknown"/>
    <s v="Venice - London"/>
    <x v="49"/>
    <s v="G-EAYT"/>
    <n v="14"/>
    <n v="4"/>
    <n v="3"/>
    <n v="1"/>
    <n v="4"/>
    <n v="3"/>
    <n v="1"/>
    <n v="0"/>
    <s v="Shortly after taking off the plane crashed into the sea and sank."/>
    <n v="0"/>
    <n v="1"/>
    <x v="1"/>
  </r>
  <r>
    <n v="75"/>
    <x v="73"/>
    <x v="11"/>
    <x v="0"/>
    <s v="Unknown"/>
    <s v="Larache, Morocco"/>
    <s v="Grands Express Aeriens"/>
    <s v="Unknown"/>
    <s v="Unknown"/>
    <x v="34"/>
    <s v="Unknown"/>
    <s v="Unknown"/>
    <n v="2"/>
    <n v="1"/>
    <n v="1"/>
    <n v="2"/>
    <n v="1"/>
    <n v="1"/>
    <n v="0"/>
    <s v="Crashed under unknown circumstances."/>
    <n v="0"/>
    <n v="1"/>
    <x v="1"/>
  </r>
  <r>
    <n v="76"/>
    <x v="74"/>
    <x v="11"/>
    <x v="0"/>
    <s v="Unknown"/>
    <s v="Fez, Morocco"/>
    <s v="Grands Express Aeriens"/>
    <s v="Unknown"/>
    <s v="Toulouse - Barcelona - Valencia - Alicante - Malaga - Rabat"/>
    <x v="34"/>
    <s v="F-ALNA"/>
    <n v="14"/>
    <n v="1"/>
    <n v="0"/>
    <n v="1"/>
    <n v="1"/>
    <n v="0"/>
    <n v="1"/>
    <n v="0"/>
    <s v="While flying in foggy conditions the pilot reduced altitude and crashed into a hill."/>
    <n v="0"/>
    <n v="1"/>
    <x v="1"/>
  </r>
  <r>
    <n v="77"/>
    <x v="75"/>
    <x v="12"/>
    <x v="0"/>
    <s v="Unknown"/>
    <s v="Ajaccio, France"/>
    <s v="Amee de l'Air"/>
    <s v="Unknown"/>
    <s v="Unknown"/>
    <x v="50"/>
    <s v="F-AEIB"/>
    <n v="4"/>
    <n v="4"/>
    <n v="2"/>
    <n v="2"/>
    <n v="3"/>
    <n v="1"/>
    <n v="2"/>
    <n v="0"/>
    <s v="The plane crashed mid-air due to a structural failure of the tail."/>
    <n v="1"/>
    <n v="0.75"/>
    <x v="1"/>
  </r>
  <r>
    <n v="78"/>
    <x v="76"/>
    <x v="12"/>
    <x v="0"/>
    <s v="Unknown"/>
    <s v="Barcelona, Spain"/>
    <s v="Grands Express Aeriens"/>
    <s v="Unknown"/>
    <s v="Unknown"/>
    <x v="34"/>
    <s v="F-ALJU"/>
    <s v="6083-130"/>
    <n v="1"/>
    <n v="0"/>
    <n v="1"/>
    <n v="1"/>
    <n v="0"/>
    <n v="1"/>
    <n v="0"/>
    <s v="Crashed into a mountain during a snowstorm."/>
    <n v="0"/>
    <n v="1"/>
    <x v="1"/>
  </r>
  <r>
    <n v="79"/>
    <x v="77"/>
    <x v="12"/>
    <x v="0"/>
    <s v="Unknown"/>
    <s v="Cheyenne, Wyoming"/>
    <s v="US Aerial Mail Service"/>
    <s v="Unknown"/>
    <s v="Unknown"/>
    <x v="23"/>
    <n v="223"/>
    <s v="Unknown"/>
    <n v="1"/>
    <n v="0"/>
    <n v="1"/>
    <n v="1"/>
    <n v="0"/>
    <n v="1"/>
    <n v="0"/>
    <s v="Crashed during a mail flight."/>
    <n v="0"/>
    <n v="1"/>
    <x v="1"/>
  </r>
  <r>
    <n v="80"/>
    <x v="78"/>
    <x v="12"/>
    <x v="0"/>
    <s v="Unknown"/>
    <s v="Meadville, Pennsylvania"/>
    <s v="US Aerial Mail Service"/>
    <s v="Unknown"/>
    <s v="Unknown"/>
    <x v="23"/>
    <n v="291"/>
    <s v="Unknown"/>
    <n v="1"/>
    <n v="0"/>
    <n v="1"/>
    <n v="1"/>
    <n v="0"/>
    <n v="1"/>
    <n v="0"/>
    <s v="The pilot lost control of the aircraft  while on approach in poor weather conditions."/>
    <n v="0"/>
    <n v="1"/>
    <x v="1"/>
  </r>
  <r>
    <n v="81"/>
    <x v="79"/>
    <x v="12"/>
    <x v="0"/>
    <d v="1899-12-30T13:42:00"/>
    <s v="Near Amiens, Picrdie, France"/>
    <s v="Grands Express Aeriens (Air Union)"/>
    <s v="Unknown"/>
    <s v="Paris - London"/>
    <x v="51"/>
    <s v="F-AEBY"/>
    <n v="15"/>
    <n v="6"/>
    <n v="4"/>
    <n v="2"/>
    <n v="6"/>
    <n v="4"/>
    <n v="2"/>
    <n v="0"/>
    <s v="Broke-up in mid air after suffering structural failure at 3,000 ft. after a onboard fire weakened the plane's structure losing a wing. Possibly started by a passenger discarding a match after lighting a cigarette."/>
    <n v="0"/>
    <n v="1"/>
    <x v="1"/>
  </r>
  <r>
    <n v="82"/>
    <x v="80"/>
    <x v="12"/>
    <x v="0"/>
    <d v="1899-12-30T17:30:00"/>
    <s v="East Mallling, United Kingdom"/>
    <s v="Air Union"/>
    <s v="Unknown"/>
    <s v="Paris - Berck-sur-Mer - Croydon"/>
    <x v="52"/>
    <s v="F-AECB"/>
    <n v="4"/>
    <n v="11"/>
    <n v="9"/>
    <n v="2"/>
    <n v="1"/>
    <n v="1"/>
    <n v="0"/>
    <n v="0"/>
    <s v="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
    <n v="10"/>
    <n v="9.0909090909090912E-2"/>
    <x v="2"/>
  </r>
  <r>
    <n v="83"/>
    <x v="80"/>
    <x v="12"/>
    <x v="0"/>
    <s v="Unknown"/>
    <s v="Bucharest, Romania"/>
    <s v="Campagnie France Roumaine"/>
    <s v="Unknown"/>
    <s v="Unknown"/>
    <x v="53"/>
    <s v="F-AEGN"/>
    <n v="28"/>
    <n v="2"/>
    <n v="1"/>
    <n v="1"/>
    <n v="2"/>
    <n v="1"/>
    <n v="1"/>
    <n v="0"/>
    <s v="Crashed while on approach to Bucharesst."/>
    <n v="0"/>
    <n v="1"/>
    <x v="1"/>
  </r>
  <r>
    <n v="84"/>
    <x v="81"/>
    <x v="12"/>
    <x v="0"/>
    <s v="Unknown"/>
    <s v="Colton, Ohio"/>
    <s v="US Aerial Mail Service"/>
    <s v="Unknown"/>
    <s v="Unknown"/>
    <x v="23"/>
    <n v="283"/>
    <s v="Unknown"/>
    <n v="1"/>
    <n v="0"/>
    <n v="1"/>
    <n v="1"/>
    <n v="0"/>
    <n v="1"/>
    <n v="0"/>
    <s v="Crashed during an emergency landing attempt."/>
    <n v="0"/>
    <n v="1"/>
    <x v="1"/>
  </r>
  <r>
    <n v="85"/>
    <x v="82"/>
    <x v="12"/>
    <x v="0"/>
    <d v="1899-12-30T18:00:00"/>
    <s v="Near Ivinghoe, Buckinghamshire, England"/>
    <s v="Daimler Airways"/>
    <s v="Unknown"/>
    <s v="Croydon - Manchester"/>
    <x v="54"/>
    <s v="G-EBBS"/>
    <n v="29"/>
    <n v="5"/>
    <n v="3"/>
    <n v="2"/>
    <n v="5"/>
    <n v="3"/>
    <n v="2"/>
    <n v="0"/>
    <s v="Crashed while attempting a forced landing after encountering heavy rain."/>
    <n v="0"/>
    <n v="1"/>
    <x v="1"/>
  </r>
  <r>
    <n v="86"/>
    <x v="83"/>
    <x v="12"/>
    <x v="0"/>
    <s v="Unknown"/>
    <s v="Russia"/>
    <s v="CCCP"/>
    <s v="Unknown"/>
    <s v="Unknown"/>
    <x v="32"/>
    <s v="D-257"/>
    <s v="Unknown"/>
    <n v="5"/>
    <n v="2"/>
    <n v="3"/>
    <n v="3"/>
    <n v="1"/>
    <n v="2"/>
    <n v="0"/>
    <s v="Crashed during a training flight."/>
    <n v="2"/>
    <n v="0.6"/>
    <x v="0"/>
  </r>
  <r>
    <n v="87"/>
    <x v="84"/>
    <x v="12"/>
    <x v="0"/>
    <s v="Unknown"/>
    <s v="Castalia, Ohio"/>
    <s v="US Aerial Mail Service"/>
    <s v="Unknown"/>
    <s v="Unknown"/>
    <x v="23"/>
    <n v="318"/>
    <s v="Unknown"/>
    <n v="1"/>
    <n v="0"/>
    <n v="1"/>
    <n v="1"/>
    <n v="0"/>
    <n v="1"/>
    <n v="0"/>
    <s v="Crashed under unknown circumstances."/>
    <n v="0"/>
    <n v="1"/>
    <x v="1"/>
  </r>
  <r>
    <n v="88"/>
    <x v="85"/>
    <x v="12"/>
    <x v="0"/>
    <d v="1899-12-30T02:30:00"/>
    <s v="Over the Mediterranean Sea"/>
    <s v="Military - French Navy"/>
    <s v="Unknown"/>
    <s v="Toulon - Algiers"/>
    <x v="55"/>
    <s v="L-72"/>
    <s v="Unknown"/>
    <n v="52"/>
    <s v="NULL"/>
    <s v="NULL"/>
    <n v="52"/>
    <s v="NULL"/>
    <s v="NULL"/>
    <n v="0"/>
    <s v="Crashed while on a flight from Toulon, France to Algiers, Algeria.  The last known radio contact reported the ship nearly out of fuel and battling strong winds.  Struck by lightning."/>
    <n v="0"/>
    <n v="1"/>
    <x v="1"/>
  </r>
  <r>
    <n v="89"/>
    <x v="86"/>
    <x v="12"/>
    <x v="0"/>
    <s v="Unknown"/>
    <s v="Egbert, WY"/>
    <s v="US Aerial Mail Service"/>
    <s v="Unknown"/>
    <s v="Unknown"/>
    <x v="23"/>
    <n v="315"/>
    <s v="Unknown"/>
    <n v="1"/>
    <n v="0"/>
    <n v="1"/>
    <n v="1"/>
    <n v="0"/>
    <n v="1"/>
    <n v="0"/>
    <s v="Crashed into a montain in poor weather conditions."/>
    <n v="0"/>
    <n v="1"/>
    <x v="1"/>
  </r>
  <r>
    <n v="90"/>
    <x v="87"/>
    <x v="13"/>
    <x v="0"/>
    <s v="Unknown"/>
    <s v="Grampian, Pennsylvania"/>
    <s v="US Aerial Mail Service"/>
    <s v="Unknown"/>
    <s v="Unknown"/>
    <x v="23"/>
    <n v="327"/>
    <s v="Unknown"/>
    <n v="1"/>
    <n v="0"/>
    <n v="1"/>
    <n v="1"/>
    <n v="0"/>
    <n v="1"/>
    <n v="0"/>
    <s v="Crashed during a snowstorm."/>
    <n v="0"/>
    <n v="1"/>
    <x v="1"/>
  </r>
  <r>
    <n v="91"/>
    <x v="88"/>
    <x v="13"/>
    <x v="0"/>
    <s v="Unknown"/>
    <s v="Over the English Channel"/>
    <s v="KLM Royal Dutch Airlines"/>
    <s v="Unknown"/>
    <s v="Lympne, England - Rotterdam, The Netherlands"/>
    <x v="56"/>
    <s v="H-NABS"/>
    <n v="1535"/>
    <n v="3"/>
    <n v="2"/>
    <n v="1"/>
    <n v="3"/>
    <n v="2"/>
    <n v="1"/>
    <n v="0"/>
    <s v="The aircraft disappeared over the North Sea. The plane and passengers were never found."/>
    <n v="0"/>
    <n v="1"/>
    <x v="1"/>
  </r>
  <r>
    <n v="92"/>
    <x v="89"/>
    <x v="13"/>
    <x v="0"/>
    <s v="Unknown"/>
    <s v="Barranquilla, Colombia"/>
    <s v="SCADTA"/>
    <s v="Unknown"/>
    <s v="Barranquilla - Bogota"/>
    <x v="32"/>
    <s v="A16"/>
    <n v="684"/>
    <n v="5"/>
    <n v="3"/>
    <n v="2"/>
    <n v="5"/>
    <n v="3"/>
    <n v="2"/>
    <n v="0"/>
    <s v="Stalled after taking off and crashed into houses.."/>
    <n v="0"/>
    <n v="1"/>
    <x v="1"/>
  </r>
  <r>
    <n v="93"/>
    <x v="90"/>
    <x v="13"/>
    <x v="0"/>
    <s v="Unknown"/>
    <s v="United States"/>
    <s v="US Aerial Mail Service"/>
    <s v="Unknown"/>
    <s v="Unknown"/>
    <x v="23"/>
    <n v="297"/>
    <s v="Unknown"/>
    <n v="1"/>
    <n v="0"/>
    <n v="1"/>
    <n v="1"/>
    <n v="0"/>
    <n v="1"/>
    <n v="0"/>
    <s v="The pliot made a low pass in honor of another pilot who had died, stalled and cashed."/>
    <n v="0"/>
    <n v="1"/>
    <x v="1"/>
  </r>
  <r>
    <n v="94"/>
    <x v="91"/>
    <x v="13"/>
    <x v="0"/>
    <s v="Unknown"/>
    <s v="Cabrerolles, France"/>
    <s v="Grands Express Aeriens"/>
    <s v="Unknown"/>
    <s v="Unknown"/>
    <x v="34"/>
    <s v="F-AFBD"/>
    <s v="Unknown"/>
    <n v="1"/>
    <n v="0"/>
    <n v="1"/>
    <n v="1"/>
    <n v="0"/>
    <n v="1"/>
    <n v="0"/>
    <s v="While en route the pilot encountered thunderstorms, lost control and crashed."/>
    <n v="0"/>
    <n v="1"/>
    <x v="1"/>
  </r>
  <r>
    <n v="95"/>
    <x v="92"/>
    <x v="13"/>
    <x v="0"/>
    <s v="Unknown"/>
    <s v="Goshen, Indiana"/>
    <s v="US Aerial Mail Service"/>
    <s v="Unknown"/>
    <s v="Unknown"/>
    <x v="23"/>
    <n v="311"/>
    <s v="Unknown"/>
    <n v="1"/>
    <n v="0"/>
    <n v="1"/>
    <n v="1"/>
    <n v="0"/>
    <n v="1"/>
    <n v="0"/>
    <s v="Lost in a snowstorm, the pilot decided to bail out of the plane but was killed."/>
    <n v="0"/>
    <n v="1"/>
    <x v="1"/>
  </r>
  <r>
    <n v="96"/>
    <x v="93"/>
    <x v="13"/>
    <x v="0"/>
    <d v="1899-12-30T12:00:00"/>
    <s v="Purley, England"/>
    <s v="Imperial Airways"/>
    <s v="Unknown"/>
    <s v="London - Paris"/>
    <x v="57"/>
    <s v="G-EBBX"/>
    <n v="36"/>
    <n v="8"/>
    <n v="7"/>
    <n v="1"/>
    <n v="8"/>
    <n v="7"/>
    <n v="1"/>
    <n v="0"/>
    <s v="Shortly after taking off, witnesses observed a puff of white smoke after which the plane nose-dived into the ground. Crashed due to an unknown mechanical failure and subsiquent stall. Captain Stewart and seven passengers were killed in an attempted forced landing."/>
    <n v="0"/>
    <n v="1"/>
    <x v="1"/>
  </r>
  <r>
    <n v="97"/>
    <x v="94"/>
    <x v="14"/>
    <x v="0"/>
    <s v="Unknown"/>
    <s v="Near Tiflis, Georgia, USSR"/>
    <s v="Zakavia"/>
    <s v="Unknown"/>
    <s v="Tiflis - Suchumi"/>
    <x v="32"/>
    <s v="R-RECA"/>
    <n v="590"/>
    <n v="5"/>
    <n v="3"/>
    <n v="2"/>
    <n v="5"/>
    <n v="3"/>
    <n v="2"/>
    <n v="0"/>
    <s v="Shortly after take off the plane went out of control and crashed in flames."/>
    <n v="0"/>
    <n v="1"/>
    <x v="1"/>
  </r>
  <r>
    <n v="98"/>
    <x v="95"/>
    <x v="14"/>
    <x v="0"/>
    <s v="Unknown"/>
    <s v="Alicante, Spain"/>
    <s v="Grands Express Aeriens"/>
    <s v="Unknown"/>
    <s v="Alicante - Barcelona - Toulouse"/>
    <x v="34"/>
    <s v="F-AFBB"/>
    <n v="202"/>
    <n v="3"/>
    <n v="1"/>
    <n v="2"/>
    <n v="3"/>
    <n v="1"/>
    <n v="2"/>
    <n v="0"/>
    <s v="Shortly after takeoff, while flying at a low altitude, in poor visibility, the, aircraft hit a lightning rod, stalled and crashed."/>
    <n v="0"/>
    <n v="1"/>
    <x v="1"/>
  </r>
  <r>
    <n v="99"/>
    <x v="96"/>
    <x v="14"/>
    <x v="0"/>
    <s v="Unknown"/>
    <s v="LandrÃ©cies, France"/>
    <s v="KLM Royal Dutch Airlines"/>
    <s v="Unknown"/>
    <s v="Amsterdam - Paris"/>
    <x v="58"/>
    <s v="H-NABM"/>
    <n v="1502"/>
    <n v="4"/>
    <n v="3"/>
    <n v="1"/>
    <n v="4"/>
    <n v="3"/>
    <n v="1"/>
    <n v="0"/>
    <s v="While in a turn in bad weather, the right wing struck trees and the plane crashed. Failure of an aileron in flight."/>
    <n v="0"/>
    <n v="1"/>
    <x v="1"/>
  </r>
  <r>
    <n v="100"/>
    <x v="97"/>
    <x v="14"/>
    <x v="0"/>
    <s v="Unknown"/>
    <s v="Alicante, Spain"/>
    <s v="Grands Express Aeriens"/>
    <s v="Unknown"/>
    <s v="Oran - Alicante"/>
    <x v="59"/>
    <s v="F-FREM"/>
    <s v="Unknown"/>
    <n v="2"/>
    <n v="0"/>
    <n v="2"/>
    <n v="2"/>
    <n v="0"/>
    <n v="2"/>
    <n v="0"/>
    <s v="While attempting to land the seaplane hit a lightning mast and crashed."/>
    <n v="0"/>
    <n v="1"/>
    <x v="1"/>
  </r>
  <r>
    <n v="101"/>
    <x v="98"/>
    <x v="14"/>
    <x v="0"/>
    <s v="Unknown"/>
    <s v="Rosas, Spain"/>
    <s v="Lignes Aeriennes Latecoere"/>
    <s v="Unknown"/>
    <s v="Toulouse - Barcelona"/>
    <x v="34"/>
    <s v="F-AFBI"/>
    <n v="209"/>
    <n v="1"/>
    <n v="0"/>
    <n v="1"/>
    <n v="1"/>
    <n v="0"/>
    <n v="1"/>
    <n v="0"/>
    <s v="Crashed in unknown circumstance."/>
    <n v="0"/>
    <n v="1"/>
    <x v="1"/>
  </r>
  <r>
    <n v="102"/>
    <x v="99"/>
    <x v="14"/>
    <x v="0"/>
    <s v="Unknown"/>
    <s v="Budapest, Hungary"/>
    <s v="CIDNA"/>
    <s v="Unknown"/>
    <s v="Unknown"/>
    <x v="39"/>
    <s v="Unknown"/>
    <s v="Unknown"/>
    <n v="1"/>
    <n v="0"/>
    <n v="1"/>
    <n v="1"/>
    <n v="0"/>
    <n v="1"/>
    <n v="0"/>
    <s v="Crashed while attempting to land 10 km from the airport"/>
    <n v="0"/>
    <n v="1"/>
    <x v="1"/>
  </r>
  <r>
    <n v="103"/>
    <x v="100"/>
    <x v="14"/>
    <x v="0"/>
    <d v="1899-12-30T05:30:00"/>
    <s v="Caldwell, Ohio"/>
    <s v="Military - U.S. Navy"/>
    <s v="Unknown"/>
    <s v="Lakehurst, NJ - S.t Louis, MO"/>
    <x v="60"/>
    <s v="ZR-1"/>
    <s v="Unknown"/>
    <n v="43"/>
    <s v="NULL"/>
    <s v="NULL"/>
    <n v="14"/>
    <s v="NULL"/>
    <s v="NULL"/>
    <n v="0"/>
    <s v="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n v="29"/>
    <n v="0.32558139534883723"/>
    <x v="2"/>
  </r>
  <r>
    <n v="104"/>
    <x v="101"/>
    <x v="14"/>
    <x v="0"/>
    <s v="Unknown"/>
    <s v="Toul, France"/>
    <s v="CIDNA"/>
    <s v="Unknown"/>
    <s v="Unknown"/>
    <x v="61"/>
    <s v="Unknown"/>
    <s v="Unknown"/>
    <s v="NULL"/>
    <s v="NULL"/>
    <s v="NULL"/>
    <s v="NULL"/>
    <s v="NULL"/>
    <s v="NULL"/>
    <s v="NULL"/>
    <s v="No data available"/>
    <s v="NULL"/>
    <n v="0"/>
    <x v="2"/>
  </r>
  <r>
    <n v="105"/>
    <x v="102"/>
    <x v="14"/>
    <x v="0"/>
    <s v="Unknown"/>
    <s v="Mt. Nittany, Ohio"/>
    <s v="US Aerial Mail Service"/>
    <s v="Unknown"/>
    <s v="New York - San Francisco"/>
    <x v="23"/>
    <n v="385"/>
    <s v="Unknown"/>
    <n v="1"/>
    <n v="0"/>
    <n v="1"/>
    <n v="1"/>
    <n v="0"/>
    <n v="1"/>
    <n v="0"/>
    <s v="Crashed into a wooded area on Mt. Nittany in fog and low visibility."/>
    <n v="0"/>
    <n v="1"/>
    <x v="1"/>
  </r>
  <r>
    <n v="106"/>
    <x v="103"/>
    <x v="14"/>
    <x v="0"/>
    <s v="Unknown"/>
    <s v="Nouadhibou, Mauritania"/>
    <s v="Lignes Aeriennes Latecoere"/>
    <s v="Unknown"/>
    <s v="Unknown"/>
    <x v="34"/>
    <s v="F-AEGZ"/>
    <n v="168"/>
    <n v="1"/>
    <n v="0"/>
    <n v="1"/>
    <n v="1"/>
    <n v="0"/>
    <n v="1"/>
    <n v="0"/>
    <s v="The pilot suffered sunstroke lost control of the plane and crashed."/>
    <n v="0"/>
    <n v="1"/>
    <x v="1"/>
  </r>
  <r>
    <n v="107"/>
    <x v="103"/>
    <x v="14"/>
    <x v="0"/>
    <s v="Unknown"/>
    <s v="Off Boulogne-sur-Mer, France"/>
    <s v="Air Union"/>
    <s v="Unknown"/>
    <s v="Unknown"/>
    <x v="51"/>
    <s v="F-AMFY"/>
    <s v="Unknown"/>
    <n v="2"/>
    <s v="NULL"/>
    <s v="NULL"/>
    <n v="2"/>
    <s v="NULL"/>
    <s v="NULL"/>
    <n v="0"/>
    <s v="No data available"/>
    <n v="0"/>
    <n v="1"/>
    <x v="1"/>
  </r>
  <r>
    <n v="108"/>
    <x v="104"/>
    <x v="15"/>
    <x v="0"/>
    <s v="Unknown"/>
    <s v="Montpelier, Ohio"/>
    <s v="US Aerial Mail Service"/>
    <s v="Unknown"/>
    <s v="Unknown"/>
    <x v="62"/>
    <n v="602"/>
    <s v="Unknown"/>
    <n v="1"/>
    <n v="0"/>
    <n v="1"/>
    <n v="1"/>
    <n v="0"/>
    <n v="1"/>
    <n v="0"/>
    <s v="While the mail plane was flying at a low altitude, the  aircraft hit trees and crashed in a wooded area."/>
    <n v="0"/>
    <n v="1"/>
    <x v="1"/>
  </r>
  <r>
    <n v="109"/>
    <x v="105"/>
    <x v="15"/>
    <x v="0"/>
    <s v="Unknown"/>
    <s v="Staaken, Germany"/>
    <s v="Deutche Lufthansa"/>
    <s v="Unknown"/>
    <s v="Unknown"/>
    <x v="32"/>
    <s v="D-290 D-290"/>
    <n v="665"/>
    <n v="1"/>
    <n v="0"/>
    <n v="1"/>
    <n v="1"/>
    <n v="0"/>
    <n v="1"/>
    <n v="0"/>
    <s v="While in a training filight the aircraft stalled and crashed while attempting to land."/>
    <n v="0"/>
    <n v="1"/>
    <x v="1"/>
  </r>
  <r>
    <n v="110"/>
    <x v="106"/>
    <x v="15"/>
    <x v="0"/>
    <s v="Unknown"/>
    <s v="English Channel"/>
    <s v="Air Union"/>
    <s v="Unknown"/>
    <s v="Paris - Cryodon"/>
    <x v="34"/>
    <s v="F-ADAI"/>
    <n v="1908"/>
    <n v="1"/>
    <n v="0"/>
    <n v="1"/>
    <n v="1"/>
    <n v="0"/>
    <n v="1"/>
    <n v="0"/>
    <s v="The mail plane crashed into the English Channel and was never found."/>
    <n v="0"/>
    <n v="1"/>
    <x v="1"/>
  </r>
  <r>
    <n v="111"/>
    <x v="107"/>
    <x v="15"/>
    <x v="0"/>
    <s v="Unknown"/>
    <s v="Rossaugpt, Czechoslovakia"/>
    <s v="Compagnie Internationale de Navigation AÃ©rienne"/>
    <s v="Unknown"/>
    <s v="Paris - Prague - Budapest"/>
    <x v="63"/>
    <s v="F-AFBT"/>
    <n v="5307"/>
    <n v="6"/>
    <n v="4"/>
    <n v="2"/>
    <n v="6"/>
    <n v="4"/>
    <n v="2"/>
    <n v="0"/>
    <s v="Crashed while en route into a mountain in adverse weather conditions. The pilot was flying at too low of an altitude."/>
    <n v="0"/>
    <n v="1"/>
    <x v="1"/>
  </r>
  <r>
    <n v="112"/>
    <x v="108"/>
    <x v="15"/>
    <x v="0"/>
    <d v="1899-12-30T09:30:00"/>
    <s v="Wolvertem, Belgium"/>
    <s v="KLM Royal Dutch Airlines"/>
    <s v="Unknown"/>
    <s v="Amsterdam - Rotterdam - Brussels - Paris"/>
    <x v="64"/>
    <s v="H-NACC"/>
    <n v="4759"/>
    <n v="2"/>
    <n v="1"/>
    <n v="1"/>
    <n v="2"/>
    <n v="1"/>
    <n v="1"/>
    <n v="0"/>
    <s v="Crashed into the ground while descending in poor weather."/>
    <n v="0"/>
    <n v="1"/>
    <x v="1"/>
  </r>
  <r>
    <n v="113"/>
    <x v="109"/>
    <x v="15"/>
    <x v="0"/>
    <s v="Unknown"/>
    <s v="Juist, Germany"/>
    <s v="Deutsche Lufthansa"/>
    <s v="Unknown"/>
    <s v="Unknown"/>
    <x v="32"/>
    <s v="D-272"/>
    <n v="660"/>
    <n v="5"/>
    <n v="4"/>
    <n v="1"/>
    <n v="5"/>
    <n v="4"/>
    <n v="1"/>
    <n v="0"/>
    <s v="Crashed under weather related.circumstances."/>
    <n v="0"/>
    <n v="1"/>
    <x v="1"/>
  </r>
  <r>
    <n v="114"/>
    <x v="110"/>
    <x v="15"/>
    <x v="0"/>
    <s v="Unknown"/>
    <s v="Hurst, Kent, England"/>
    <s v="Air Union"/>
    <s v="Unknown"/>
    <s v="Lebourget, France - Croydon, England"/>
    <x v="65"/>
    <s v="F-AIEB"/>
    <n v="2"/>
    <n v="15"/>
    <n v="13"/>
    <n v="2"/>
    <n v="3"/>
    <n v="2"/>
    <n v="1"/>
    <n v="0"/>
    <s v="The plane made a forced landing at Romney Marsh  in heavy fog.  Engine failure. The pilot initally survived but died a day later."/>
    <n v="12"/>
    <n v="0.2"/>
    <x v="2"/>
  </r>
  <r>
    <n v="115"/>
    <x v="111"/>
    <x v="15"/>
    <x v="0"/>
    <s v="Unknown"/>
    <s v="New York, New York"/>
    <s v="Unknown"/>
    <s v="Unknown"/>
    <s v="New York - Paris"/>
    <x v="66"/>
    <s v="Unknown"/>
    <s v="Unknown"/>
    <n v="5"/>
    <n v="4"/>
    <n v="1"/>
    <n v="2"/>
    <n v="2"/>
    <n v="0"/>
    <n v="0"/>
    <s v="Too much weight caused the landing gear to collapse as the plane took off for Paris on the first trans-Atlantic passenger flight."/>
    <n v="3"/>
    <n v="0.4"/>
    <x v="0"/>
  </r>
  <r>
    <n v="116"/>
    <x v="112"/>
    <x v="15"/>
    <x v="0"/>
    <d v="1899-12-30T15:27:00"/>
    <s v="Leigh, Kent, Unied Kingdom"/>
    <s v="Air Union"/>
    <s v="Unknown"/>
    <s v="Paris - London"/>
    <x v="65"/>
    <s v="F- AICQ"/>
    <n v="1"/>
    <n v="7"/>
    <n v="5"/>
    <n v="2"/>
    <n v="7"/>
    <n v="5"/>
    <n v="2"/>
    <n v="0"/>
    <s v="After an engine fire, the pilot attempts to make an emergency landing at Penshurst Airfield but crashed.."/>
    <n v="0"/>
    <n v="1"/>
    <x v="1"/>
  </r>
  <r>
    <n v="117"/>
    <x v="113"/>
    <x v="15"/>
    <x v="0"/>
    <s v="Unknown"/>
    <s v="Bueren, Germany"/>
    <s v="Deutsche Lufthansa"/>
    <s v="Unknown"/>
    <s v="Unknown"/>
    <x v="67"/>
    <s v="D-468"/>
    <n v="1554"/>
    <n v="4"/>
    <n v="3"/>
    <n v="1"/>
    <n v="4"/>
    <n v="3"/>
    <n v="1"/>
    <n v="0"/>
    <s v="Weather related."/>
    <n v="0"/>
    <n v="1"/>
    <x v="1"/>
  </r>
  <r>
    <n v="118"/>
    <x v="114"/>
    <x v="15"/>
    <x v="0"/>
    <d v="1899-12-30T13:15:00"/>
    <s v="English Channel"/>
    <s v="Imperial Airways"/>
    <s v="Unknown"/>
    <s v="Croydon - Paris"/>
    <x v="68"/>
    <s v="G-EBMS"/>
    <s v="W10/3"/>
    <n v="12"/>
    <n v="10"/>
    <n v="2"/>
    <n v="0"/>
    <n v="0"/>
    <n v="0"/>
    <n v="0"/>
    <s v="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
    <n v="12"/>
    <n v="0"/>
    <x v="2"/>
  </r>
  <r>
    <n v="119"/>
    <x v="115"/>
    <x v="15"/>
    <x v="0"/>
    <d v="1899-12-30T08:00:00"/>
    <s v="Cape Bojador, Morocco"/>
    <s v="Grands Express Aeriens"/>
    <s v="Unknown"/>
    <s v="Casablanca -Dakar"/>
    <x v="34"/>
    <s v="F-AFAX"/>
    <n v="198"/>
    <n v="3"/>
    <n v="3"/>
    <n v="0"/>
    <n v="3"/>
    <n v="3"/>
    <n v="0"/>
    <n v="0"/>
    <s v="While en route and cruising along the shore, the mail plane's engine failed. The crew made an emergency landing on a beach near Cape Bojador. After the landing, crew was attacked by Maures tribesmen and killed while the aircraft was set on fire and destroyed."/>
    <n v="0"/>
    <n v="1"/>
    <x v="1"/>
  </r>
  <r>
    <n v="120"/>
    <x v="116"/>
    <x v="15"/>
    <x v="0"/>
    <s v="Unknown"/>
    <s v="Medford, Oregon"/>
    <s v="Pacific Air Transport"/>
    <s v="Unknown"/>
    <s v="Unknown"/>
    <x v="69"/>
    <n v="2"/>
    <s v="Unknown"/>
    <n v="1"/>
    <n v="0"/>
    <n v="1"/>
    <n v="1"/>
    <n v="0"/>
    <n v="1"/>
    <n v="0"/>
    <s v="The postal plane crashed into a mountain slope in foggy conditions."/>
    <n v="0"/>
    <n v="1"/>
    <x v="1"/>
  </r>
  <r>
    <n v="121"/>
    <x v="117"/>
    <x v="16"/>
    <x v="0"/>
    <s v="Unknown"/>
    <s v="Estaires, France"/>
    <s v="Fokker"/>
    <s v="Unknown"/>
    <s v="Delivery flight"/>
    <x v="70"/>
    <s v="G-EBPL"/>
    <n v="4938"/>
    <n v="0"/>
    <n v="0"/>
    <n v="2"/>
    <n v="0"/>
    <n v="0"/>
    <n v="2"/>
    <n v="0"/>
    <s v="The flight crew encountered poor weather conditions and made an emergency landing. The aircraft landed in a field badly damaged and written off."/>
    <n v="0"/>
    <n v="0"/>
    <x v="2"/>
  </r>
  <r>
    <n v="122"/>
    <x v="118"/>
    <x v="16"/>
    <x v="0"/>
    <s v="Unknown"/>
    <s v="Rabat, Morocco"/>
    <s v="Grands Express Aeriens"/>
    <s v="Unknown"/>
    <s v="Casablanca - Oran"/>
    <x v="34"/>
    <s v="F-ALRA"/>
    <s v="Unknown"/>
    <n v="1"/>
    <n v="0"/>
    <n v="1"/>
    <n v="1"/>
    <n v="0"/>
    <n v="1"/>
    <n v="0"/>
    <s v="Unknown."/>
    <n v="0"/>
    <n v="1"/>
    <x v="1"/>
  </r>
  <r>
    <n v="123"/>
    <x v="119"/>
    <x v="16"/>
    <x v="0"/>
    <s v="Unknown"/>
    <s v="Tambo, Qld, Australia"/>
    <s v="Qantas"/>
    <s v="Unknown"/>
    <s v="Charleville - Tambo - Blackall"/>
    <x v="71"/>
    <s v="G-AUED"/>
    <n v="86"/>
    <n v="3"/>
    <n v="2"/>
    <n v="1"/>
    <n v="3"/>
    <n v="2"/>
    <n v="1"/>
    <n v="0"/>
    <s v="While attempting to land, the engine failed, the aircraft stalled and crashed."/>
    <n v="0"/>
    <n v="1"/>
    <x v="1"/>
  </r>
  <r>
    <n v="124"/>
    <x v="120"/>
    <x v="16"/>
    <x v="0"/>
    <s v="Unknown"/>
    <s v="King Hill, Idaho"/>
    <s v="Varney Air Lines"/>
    <s v="Unknown"/>
    <s v="Unknown"/>
    <x v="72"/>
    <s v="Unknown"/>
    <s v="A28"/>
    <n v="1"/>
    <n v="0"/>
    <n v="1"/>
    <n v="1"/>
    <n v="0"/>
    <n v="1"/>
    <n v="0"/>
    <s v="Crashed after an unsuccessful attempt at fly into strong headwinds. The engine quit and the plane nosedived into the ground."/>
    <n v="0"/>
    <n v="1"/>
    <x v="1"/>
  </r>
  <r>
    <n v="125"/>
    <x v="121"/>
    <x v="16"/>
    <x v="0"/>
    <s v="Unknown"/>
    <s v="Floh, Germany"/>
    <s v="Deutsche Lufthansa"/>
    <s v="Unknown"/>
    <s v="Charleville - Tambo - Blackall"/>
    <x v="67"/>
    <s v="D-729"/>
    <n v="1567"/>
    <n v="2"/>
    <n v="1"/>
    <n v="1"/>
    <n v="2"/>
    <n v="1"/>
    <n v="1"/>
    <n v="0"/>
    <s v="Crashed following engine failure."/>
    <n v="0"/>
    <n v="1"/>
    <x v="1"/>
  </r>
  <r>
    <n v="126"/>
    <x v="121"/>
    <x v="16"/>
    <x v="0"/>
    <s v="Unknown"/>
    <s v="Goshen, Indiana"/>
    <s v="US Aerial Mail Service"/>
    <s v="Unknown"/>
    <s v="Unknown"/>
    <x v="73"/>
    <n v="626"/>
    <s v="Unknown"/>
    <n v="1"/>
    <n v="0"/>
    <n v="1"/>
    <n v="1"/>
    <n v="0"/>
    <n v="1"/>
    <n v="0"/>
    <s v="Crashed into a field during a snow storm."/>
    <n v="0"/>
    <n v="1"/>
    <x v="1"/>
  </r>
  <r>
    <n v="127"/>
    <x v="122"/>
    <x v="16"/>
    <x v="0"/>
    <s v="Unknown"/>
    <s v="Algiers, Algeria"/>
    <s v="Air Union"/>
    <s v="Unknown"/>
    <s v="Unknown"/>
    <x v="74"/>
    <s v="F-AIFN"/>
    <s v="Unknown"/>
    <n v="3"/>
    <n v="0"/>
    <n v="3"/>
    <n v="1"/>
    <n v="0"/>
    <n v="1"/>
    <n v="0"/>
    <s v="The three engine seaplane stalled and crashed into the sea shortly after taking off."/>
    <n v="2"/>
    <n v="0.33333333333333331"/>
    <x v="2"/>
  </r>
  <r>
    <n v="128"/>
    <x v="123"/>
    <x v="16"/>
    <x v="0"/>
    <s v="Unknown"/>
    <s v="Amoneburg, Germany"/>
    <s v="Deutsche Lufthansa"/>
    <s v="Unknown"/>
    <s v="Kassel - Frankfurt"/>
    <x v="32"/>
    <s v="D-206"/>
    <n v="591"/>
    <n v="5"/>
    <n v="3"/>
    <n v="2"/>
    <n v="5"/>
    <n v="3"/>
    <n v="2"/>
    <n v="0"/>
    <s v="Crashed after experiencing engine failure and attempting to make a forced landing."/>
    <n v="0"/>
    <n v="1"/>
    <x v="1"/>
  </r>
  <r>
    <n v="129"/>
    <x v="124"/>
    <x v="16"/>
    <x v="0"/>
    <d v="1899-12-30T08:30:00"/>
    <s v="Sevenoaks, England"/>
    <s v="KLM Royal Dutch Airlines"/>
    <s v="Unknown"/>
    <s v="Croydon - Schiphol"/>
    <x v="75"/>
    <s v="H-NADU H-NADU"/>
    <n v="4993"/>
    <n v="11"/>
    <n v="9"/>
    <n v="2"/>
    <n v="1"/>
    <n v="0"/>
    <n v="1"/>
    <n v="0"/>
    <s v="A broken wire led to the partial loss of the the rudder and a crash landing which resulted in the aircraft striking a tree, killing the flight engineer."/>
    <n v="10"/>
    <n v="9.0909090909090912E-2"/>
    <x v="2"/>
  </r>
  <r>
    <n v="130"/>
    <x v="125"/>
    <x v="16"/>
    <x v="0"/>
    <s v="Unknown"/>
    <s v="Willington, Connecticut"/>
    <s v="Colonial Air Transport"/>
    <s v="Unknown"/>
    <s v="Unknown"/>
    <x v="76"/>
    <s v="NC52  _x0009_ NC52"/>
    <n v="405"/>
    <n v="1"/>
    <n v="0"/>
    <n v="1"/>
    <n v="1"/>
    <n v="0"/>
    <n v="1"/>
    <n v="0"/>
    <s v="The postal plane crashed for unknown reasons."/>
    <n v="0"/>
    <n v="1"/>
    <x v="1"/>
  </r>
  <r>
    <n v="131"/>
    <x v="126"/>
    <x v="16"/>
    <x v="0"/>
    <s v="Unknown"/>
    <s v="Hadley, New Jersey"/>
    <s v="Reynolds Airways"/>
    <s v="Unknown"/>
    <s v="Sightseeing"/>
    <x v="70"/>
    <s v="NC776"/>
    <n v="4840"/>
    <n v="12"/>
    <n v="11"/>
    <n v="1"/>
    <n v="7"/>
    <n v="6"/>
    <n v="1"/>
    <n v="0"/>
    <s v="The sightseeing plane took off and rose to 400 ft. when the engine failed.  The plane stalled and plunged to the ground in an apple orchard. Engine failure. The pilot was not familiar with the type of aircraft."/>
    <n v="5"/>
    <n v="0.58333333333333337"/>
    <x v="0"/>
  </r>
  <r>
    <n v="132"/>
    <x v="126"/>
    <x v="16"/>
    <x v="0"/>
    <d v="1899-12-30T04:05:00"/>
    <s v="Atlantic Ocean"/>
    <s v="Private"/>
    <s v="Unknown"/>
    <s v="Old Orchad Beach - Rome"/>
    <x v="64"/>
    <s v="NX703"/>
    <s v="4899/0501"/>
    <n v="3"/>
    <n v="1"/>
    <n v="2"/>
    <n v="3"/>
    <n v="1"/>
    <n v="2"/>
    <n v="0"/>
    <s v="While flying 1,000 km east of the Canadian coast, the crew sent a mayday message and the aircraft crashed into the ocean two minutes later. The plane was owned by William Randolph Hearst who financed this nonstop transatlantic flight."/>
    <n v="0"/>
    <n v="1"/>
    <x v="1"/>
  </r>
  <r>
    <n v="133"/>
    <x v="127"/>
    <x v="16"/>
    <x v="0"/>
    <d v="1899-12-30T10:00:00"/>
    <s v="Schleiz, Germany"/>
    <s v="Deutsche Lufthansa"/>
    <s v="Unknown"/>
    <s v="Berlin - Munich"/>
    <x v="77"/>
    <s v="D-585"/>
    <n v="75"/>
    <n v="6"/>
    <n v="4"/>
    <n v="2"/>
    <n v="6"/>
    <n v="4"/>
    <n v="2"/>
    <n v="0"/>
    <s v="From an altitude of 500 ft. the plane went out of control and crashed  due to a broken wing strut."/>
    <n v="0"/>
    <n v="1"/>
    <x v="1"/>
  </r>
  <r>
    <n v="134"/>
    <x v="128"/>
    <x v="16"/>
    <x v="0"/>
    <s v="Unknown"/>
    <s v="Thies, Mauritania"/>
    <s v="Lignes Aeriennes Latecoere"/>
    <s v="Unknown"/>
    <s v="Saint Louis - Dakar"/>
    <x v="34"/>
    <s v="F-AGBN"/>
    <n v="229"/>
    <n v="2"/>
    <n v="0"/>
    <n v="2"/>
    <n v="2"/>
    <n v="0"/>
    <n v="2"/>
    <n v="0"/>
    <s v="The plane crashed while attempting to land at Dakar."/>
    <n v="0"/>
    <n v="1"/>
    <x v="1"/>
  </r>
  <r>
    <n v="135"/>
    <x v="129"/>
    <x v="16"/>
    <x v="0"/>
    <s v="Unknown"/>
    <s v="New Brunswick, New Jersey"/>
    <s v="Colonial Air Transport"/>
    <s v="Unknown"/>
    <s v="Unknown"/>
    <x v="78"/>
    <s v="Unknown"/>
    <n v="20"/>
    <n v="4"/>
    <n v="3"/>
    <n v="1"/>
    <n v="4"/>
    <n v="3"/>
    <n v="1"/>
    <n v="0"/>
    <s v="Went into a tailspin and crashed into a corn field about 10 km from the airport."/>
    <n v="0"/>
    <n v="1"/>
    <x v="1"/>
  </r>
  <r>
    <n v="136"/>
    <x v="130"/>
    <x v="16"/>
    <x v="0"/>
    <s v="Unknown"/>
    <s v="Strasburg, France"/>
    <s v="CIDNA"/>
    <s v="Unknown"/>
    <s v="Strasbourg - Paris"/>
    <x v="79"/>
    <s v="F-AIBR"/>
    <n v="1"/>
    <n v="1"/>
    <n v="0"/>
    <n v="1"/>
    <n v="1"/>
    <n v="0"/>
    <n v="1"/>
    <n v="0"/>
    <s v="The mail plane crashed shortly after taking off."/>
    <n v="0"/>
    <n v="1"/>
    <x v="1"/>
  </r>
  <r>
    <n v="137"/>
    <x v="131"/>
    <x v="16"/>
    <x v="0"/>
    <s v="Unknown"/>
    <s v="Over the Gulf of Finland"/>
    <s v="Aero O-Y"/>
    <s v="Unknown"/>
    <s v="Tallinn - Helsinki"/>
    <x v="32"/>
    <s v="K-SALD"/>
    <n v="798"/>
    <n v="6"/>
    <n v="4"/>
    <n v="2"/>
    <n v="6"/>
    <n v="4"/>
    <n v="2"/>
    <n v="0"/>
    <s v="Crashed in the gulf of Finland and never found."/>
    <n v="0"/>
    <n v="1"/>
    <x v="1"/>
  </r>
  <r>
    <n v="138"/>
    <x v="132"/>
    <x v="16"/>
    <x v="0"/>
    <s v="Unknown"/>
    <s v="Corunna, Indiana"/>
    <s v="National Air Transport"/>
    <s v="Unknown"/>
    <s v="Unknown"/>
    <x v="73"/>
    <s v="NC62  _x0009_ NC1062"/>
    <s v="PO641"/>
    <n v="1"/>
    <n v="0"/>
    <n v="1"/>
    <n v="1"/>
    <n v="0"/>
    <n v="1"/>
    <n v="0"/>
    <s v="The postal plane crashed at night in poor weather."/>
    <n v="0"/>
    <n v="1"/>
    <x v="1"/>
  </r>
  <r>
    <n v="139"/>
    <x v="133"/>
    <x v="16"/>
    <x v="0"/>
    <s v="Unknown"/>
    <s v="Almeria, Spain"/>
    <s v="Aeropostale"/>
    <s v="Unknown"/>
    <s v="Dakar - Casablanca - Alicante - Perpignan - Toulouse"/>
    <x v="34"/>
    <s v="F-AFGS"/>
    <n v="227"/>
    <n v="1"/>
    <n v="0"/>
    <n v="1"/>
    <n v="1"/>
    <n v="0"/>
    <n v="1"/>
    <n v="0"/>
    <s v="A fire erupted aboard the mail plane while en route and crashed."/>
    <n v="0"/>
    <n v="1"/>
    <x v="1"/>
  </r>
  <r>
    <n v="140"/>
    <x v="134"/>
    <x v="16"/>
    <x v="0"/>
    <s v="Unknown"/>
    <s v="Near Marseille,France"/>
    <s v="Latecoere Airlines"/>
    <s v="Unknown"/>
    <s v="Test flight"/>
    <x v="80"/>
    <s v="F-AIHP"/>
    <d v="2022-01-23T00:00:00"/>
    <n v="5"/>
    <n v="0"/>
    <n v="5"/>
    <n v="5"/>
    <n v="0"/>
    <n v="5"/>
    <n v="0"/>
    <s v="Suffered structural failure at an altitude of 1,000 ft."/>
    <n v="0"/>
    <n v="1"/>
    <x v="1"/>
  </r>
  <r>
    <n v="141"/>
    <x v="135"/>
    <x v="17"/>
    <x v="0"/>
    <s v="Unknown"/>
    <s v="Near Canajoharie, New York"/>
    <s v="Colonial Western Airlines"/>
    <s v="Unknown"/>
    <s v="Minola - Albany - Buffalo"/>
    <x v="78"/>
    <s v="NC3780"/>
    <n v="39"/>
    <n v="3"/>
    <n v="1"/>
    <n v="2"/>
    <n v="3"/>
    <n v="1"/>
    <n v="2"/>
    <n v="0"/>
    <s v="Became lost in dense fog and flew into trees in the Mohawk Valley while proceeding to Buffalo.."/>
    <n v="0"/>
    <n v="1"/>
    <x v="1"/>
  </r>
  <r>
    <n v="142"/>
    <x v="136"/>
    <x v="17"/>
    <x v="0"/>
    <s v="Unknown"/>
    <s v="Solis, Uruguay"/>
    <s v="Aeropostale"/>
    <s v="F-AIKG"/>
    <s v="Buenos Aires - Montevideo"/>
    <x v="81"/>
    <s v="F-AIKG"/>
    <n v="633"/>
    <n v="2"/>
    <n v="0"/>
    <n v="2"/>
    <n v="2"/>
    <n v="0"/>
    <n v="2"/>
    <n v="0"/>
    <s v="The wing on the mail plane detached from the aircraft and crashed into the sea."/>
    <n v="0"/>
    <n v="1"/>
    <x v="1"/>
  </r>
  <r>
    <n v="143"/>
    <x v="137"/>
    <x v="17"/>
    <x v="0"/>
    <s v="Unknown"/>
    <s v="L'Hospitalet, AriÃ¨ge"/>
    <s v="Aeropostale"/>
    <s v="Unknown"/>
    <s v="Toulouse - Perpignan - Alicante - Casablanca - Dakar"/>
    <x v="34"/>
    <s v="  F-AHEQ"/>
    <s v="Unknown"/>
    <n v="1"/>
    <n v="0"/>
    <n v="1"/>
    <n v="1"/>
    <n v="0"/>
    <n v="1"/>
    <n v="0"/>
    <s v="Crashed after experiencing mechanical difficulties."/>
    <n v="0"/>
    <n v="1"/>
    <x v="1"/>
  </r>
  <r>
    <n v="144"/>
    <x v="137"/>
    <x v="17"/>
    <x v="0"/>
    <s v="Unknown"/>
    <s v="Tarragona, Spain"/>
    <s v="Aeropostale"/>
    <s v="Unknown"/>
    <s v="Casablanca - Alicante - Perpignan - Toulouse"/>
    <x v="34"/>
    <s v="F-AHEQ"/>
    <n v="240"/>
    <n v="2"/>
    <n v="0"/>
    <n v="2"/>
    <n v="2"/>
    <n v="0"/>
    <n v="2"/>
    <n v="0"/>
    <s v="Crashed in unknown circumstances."/>
    <n v="0"/>
    <n v="1"/>
    <x v="1"/>
  </r>
  <r>
    <n v="145"/>
    <x v="138"/>
    <x v="17"/>
    <x v="0"/>
    <s v="Unknown"/>
    <s v="Almeria, Spain"/>
    <s v="Aeropostale"/>
    <s v="Unknown"/>
    <s v="Casablanca - Alicante - Perpignan - Toulouse"/>
    <x v="34"/>
    <s v="F-AFHN"/>
    <n v="162"/>
    <n v="1"/>
    <n v="0"/>
    <n v="1"/>
    <n v="1"/>
    <n v="0"/>
    <n v="1"/>
    <n v="0"/>
    <s v="After experiencing turbulence the pilot's seat belt broke and ejecting the pilot."/>
    <n v="0"/>
    <n v="1"/>
    <x v="1"/>
  </r>
  <r>
    <n v="146"/>
    <x v="139"/>
    <x v="17"/>
    <x v="0"/>
    <s v="Unknown"/>
    <s v="Marquette, Nebraska"/>
    <s v="Boeing Air Transport"/>
    <s v="Unknown"/>
    <s v="Unknown"/>
    <x v="82"/>
    <s v="NC280"/>
    <n v="891"/>
    <n v="2"/>
    <n v="1"/>
    <n v="1"/>
    <n v="1"/>
    <n v="1"/>
    <n v="0"/>
    <n v="0"/>
    <s v="The air mail plane crashed into a grove of cottonwood trees and burned. Businessman F.H. Craig was killed and pilot Frank Yegar injured. The pilot descended in altitude due to air pockets.The plane then ran into an air pocket that brought the plane down into the grove of trees."/>
    <n v="1"/>
    <n v="0.5"/>
    <x v="0"/>
  </r>
  <r>
    <n v="147"/>
    <x v="140"/>
    <x v="17"/>
    <x v="0"/>
    <s v="Unknown"/>
    <s v="Off Cape Griz Nez, France"/>
    <s v="Air Union"/>
    <s v="Unknown"/>
    <s v="Paris - Croydon"/>
    <x v="51"/>
    <s v="F-AEFC"/>
    <s v="62/6943"/>
    <n v="2"/>
    <n v="0"/>
    <n v="2"/>
    <n v="2"/>
    <n v="0"/>
    <n v="2"/>
    <n v="0"/>
    <s v="Crashed into the sea while delivering mail in poor weather."/>
    <n v="0"/>
    <n v="1"/>
    <x v="1"/>
  </r>
  <r>
    <n v="148"/>
    <x v="141"/>
    <x v="17"/>
    <x v="0"/>
    <s v="Unknown"/>
    <s v="Federal, Wyoming"/>
    <s v="Boeing Air Transport"/>
    <s v="Unknown"/>
    <s v="Unknown"/>
    <x v="82"/>
    <s v="NC282 NC282"/>
    <n v="893"/>
    <n v="2"/>
    <n v="1"/>
    <n v="1"/>
    <n v="1"/>
    <n v="1"/>
    <n v="0"/>
    <n v="0"/>
    <s v="Spatial disorientation after entering a snowstorm."/>
    <n v="1"/>
    <n v="0.5"/>
    <x v="0"/>
  </r>
  <r>
    <n v="149"/>
    <x v="142"/>
    <x v="17"/>
    <x v="0"/>
    <s v="Unknown"/>
    <s v="Minuesa, Spain"/>
    <s v="Iberia Airlines"/>
    <s v="Unknown"/>
    <s v="Barcelona - Madrid"/>
    <x v="83"/>
    <s v="M-CCCC"/>
    <n v="36"/>
    <n v="9"/>
    <n v="7"/>
    <n v="2"/>
    <n v="9"/>
    <n v="7"/>
    <n v="2"/>
    <n v="0"/>
    <s v="Crashed into a field after getting lost in fog."/>
    <n v="0"/>
    <n v="1"/>
    <x v="1"/>
  </r>
  <r>
    <n v="150"/>
    <x v="143"/>
    <x v="17"/>
    <x v="0"/>
    <s v="Unknown"/>
    <s v="Florianopolis, Brazil Florianopolis, Brazil Florianopolis, Brazil"/>
    <s v="Aeropostale"/>
    <s v="Unknown"/>
    <s v="Unknown"/>
    <x v="84"/>
    <s v="F-AIMQ"/>
    <n v="671"/>
    <n v="5"/>
    <n v="3"/>
    <n v="2"/>
    <n v="1"/>
    <n v="1"/>
    <n v="0"/>
    <n v="0"/>
    <s v="An in flight fire caused he pilot to lose control and crash in a field after which a fire erupted."/>
    <n v="4"/>
    <n v="0.2"/>
    <x v="2"/>
  </r>
  <r>
    <n v="151"/>
    <x v="144"/>
    <x v="17"/>
    <x v="0"/>
    <s v="Unknown"/>
    <s v="Dearborn, Minnesota"/>
    <s v="Ford Air Freight Inc."/>
    <s v="Unknown"/>
    <s v="Dearborn - Buffalo"/>
    <x v="85"/>
    <s v="NC1492"/>
    <s v="4-AT-001"/>
    <n v="2"/>
    <n v="0"/>
    <n v="2"/>
    <n v="2"/>
    <n v="0"/>
    <n v="2"/>
    <n v="0"/>
    <s v="The cargo plane crashed on itâ€™s inaugural flight. The pilot tried to become airborne without sufficient speed."/>
    <n v="0"/>
    <n v="1"/>
    <x v="1"/>
  </r>
  <r>
    <n v="152"/>
    <x v="145"/>
    <x v="17"/>
    <x v="0"/>
    <s v="Unknown"/>
    <s v="Radevormwald, Germany"/>
    <s v="Deutsche Lufthansa"/>
    <s v="Unknown"/>
    <s v="Essen - Dortmund - Frankfurt"/>
    <x v="32"/>
    <s v="D-583"/>
    <n v="742"/>
    <n v="5"/>
    <n v="4"/>
    <n v="1"/>
    <n v="3"/>
    <n v="2"/>
    <n v="1"/>
    <n v="0"/>
    <s v="After taking off and encountering fog, the pilot decided to  to make a precautionary landing in a field but t hit a cow, crashed and burned. Pilot error."/>
    <n v="2"/>
    <n v="0.6"/>
    <x v="0"/>
  </r>
  <r>
    <n v="153"/>
    <x v="146"/>
    <x v="17"/>
    <x v="0"/>
    <s v="Unknown"/>
    <s v="Frankfurt, Germany"/>
    <s v="Deutsche Lufthansa"/>
    <s v="Unknown"/>
    <s v="Unknown"/>
    <x v="86"/>
    <s v="D-74"/>
    <n v="439"/>
    <n v="5"/>
    <n v="4"/>
    <n v="1"/>
    <n v="5"/>
    <n v="4"/>
    <n v="1"/>
    <n v="0"/>
    <s v="The &quot;Viper&quot; crashed for unknown reasons."/>
    <n v="0"/>
    <n v="1"/>
    <x v="1"/>
  </r>
  <r>
    <n v="154"/>
    <x v="147"/>
    <x v="17"/>
    <x v="0"/>
    <s v="Unknown"/>
    <s v="Lebo, Kansas"/>
    <s v="National Air Transport"/>
    <s v="Unknown"/>
    <s v="Chicago - Dallas"/>
    <x v="73"/>
    <s v="NC1059"/>
    <n v="628"/>
    <n v="1"/>
    <n v="0"/>
    <n v="1"/>
    <n v="1"/>
    <n v="0"/>
    <n v="1"/>
    <n v="0"/>
    <s v="The mail plane flew into tornado like winds and crashed in a field."/>
    <n v="0"/>
    <n v="1"/>
    <x v="1"/>
  </r>
  <r>
    <n v="155"/>
    <x v="148"/>
    <x v="17"/>
    <x v="0"/>
    <s v="Unknown"/>
    <s v="Over the Gulf of Finland"/>
    <s v="Aero O-Y"/>
    <s v="Unknown"/>
    <s v="Tallinn - Helsinki"/>
    <x v="32"/>
    <s v="K-SALB"/>
    <n v="760"/>
    <n v="6"/>
    <n v="4"/>
    <n v="2"/>
    <n v="6"/>
    <n v="4"/>
    <n v="2"/>
    <n v="0"/>
    <s v="Crashed under unknown circumstances"/>
    <n v="0"/>
    <n v="1"/>
    <x v="1"/>
  </r>
  <r>
    <n v="156"/>
    <x v="149"/>
    <x v="17"/>
    <x v="0"/>
    <s v="Unknown"/>
    <s v="Purley, England"/>
    <s v="Imperial Airways"/>
    <s v="Unknown"/>
    <s v="Testing"/>
    <x v="87"/>
    <s v="G-EBLB"/>
    <n v="9"/>
    <n v="6"/>
    <n v="5"/>
    <n v="1"/>
    <n v="4"/>
    <n v="4"/>
    <n v="0"/>
    <n v="0"/>
    <s v="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
    <n v="2"/>
    <n v="0.66666666666666663"/>
    <x v="1"/>
  </r>
  <r>
    <n v="157"/>
    <x v="150"/>
    <x v="17"/>
    <x v="0"/>
    <d v="1899-12-30T14:48:00"/>
    <s v="Waalhaven, Netherlands"/>
    <s v="KLM Royal Dutch Airlines"/>
    <s v="Unknown"/>
    <s v="Sightseeing over Rotterdam"/>
    <x v="58"/>
    <s v="H-NABR"/>
    <s v="1533 (KLM-1)"/>
    <n v="6"/>
    <n v="5"/>
    <n v="1"/>
    <n v="1"/>
    <n v="1"/>
    <n v="0"/>
    <n v="0"/>
    <s v="The plane became airborne in a stalled condition, hit a shipsmast and crashed into the Waalhaven."/>
    <n v="5"/>
    <n v="0.16666666666666666"/>
    <x v="2"/>
  </r>
  <r>
    <n v="158"/>
    <x v="151"/>
    <x v="17"/>
    <x v="0"/>
    <d v="1899-12-30T11:00:00"/>
    <s v="Near Port Townsend, BC, Canada"/>
    <s v="British Columbia Airways"/>
    <s v="Unknown"/>
    <s v="Victoria - Seattle"/>
    <x v="88"/>
    <s v="G-CATX"/>
    <s v="4-AT-26"/>
    <n v="7"/>
    <n v="5"/>
    <n v="2"/>
    <n v="7"/>
    <n v="5"/>
    <n v="2"/>
    <n v="0"/>
    <s v="Crashed into Puget Sound in dense fog 12 miles off Port Townsend.  Considered the first Canadian air disaster."/>
    <n v="0"/>
    <n v="1"/>
    <x v="1"/>
  </r>
  <r>
    <n v="159"/>
    <x v="152"/>
    <x v="17"/>
    <x v="0"/>
    <d v="1899-12-30T19:05:00"/>
    <s v="Toul, France"/>
    <s v="CIDNA"/>
    <s v="Unknown"/>
    <s v="Toul - Clermont-Ferrand"/>
    <x v="89"/>
    <s v="F-AIEP"/>
    <d v="4207-05-01T00:00:00"/>
    <n v="5"/>
    <n v="2"/>
    <n v="3"/>
    <n v="5"/>
    <n v="2"/>
    <n v="3"/>
    <n v="0"/>
    <s v="After taking off the engine failed, the plane stalled and crashed."/>
    <n v="0"/>
    <n v="1"/>
    <x v="1"/>
  </r>
  <r>
    <n v="160"/>
    <x v="153"/>
    <x v="17"/>
    <x v="0"/>
    <s v="Unknown"/>
    <s v="Adelaide Hills, Australia"/>
    <s v="Qantas"/>
    <s v="Unknown"/>
    <s v="Adelaide - Longreach"/>
    <x v="90"/>
    <s v="G-AUHI"/>
    <n v="5"/>
    <n v="2"/>
    <n v="0"/>
    <n v="2"/>
    <n v="1"/>
    <n v="0"/>
    <n v="1"/>
    <n v="0"/>
    <s v="Following the conclusion of an aerial tour carrying Sir John Salmond, the aircraft departed Adelaide piloted by C. W. A. Scott with an engineer as passenger. Control was lost in the cloud during an attempt to cross the Adelaide Hills"/>
    <n v="1"/>
    <n v="0.5"/>
    <x v="0"/>
  </r>
  <r>
    <n v="161"/>
    <x v="153"/>
    <x v="17"/>
    <x v="0"/>
    <d v="1899-12-30T11:30:00"/>
    <s v="Pocatello, Idaho"/>
    <s v="National Parks Airways"/>
    <s v="Unknown"/>
    <s v="Great Falls - Pocatello - Salt Lake City"/>
    <x v="91"/>
    <s v="NC7242"/>
    <n v="809"/>
    <n v="7"/>
    <n v="6"/>
    <n v="1"/>
    <n v="7"/>
    <n v="6"/>
    <n v="1"/>
    <n v="0"/>
    <s v="While flying low and circling six times for a landing, the mail plane went into a nose dive when the pilot headed into the wind and crashed to the ground, rolling over several times."/>
    <n v="0"/>
    <n v="1"/>
    <x v="1"/>
  </r>
  <r>
    <n v="162"/>
    <x v="154"/>
    <x v="17"/>
    <x v="0"/>
    <s v="Unknown"/>
    <s v="Heroldbach, Germany"/>
    <s v="Deutsche Lufthansa"/>
    <s v="Unknown"/>
    <s v="Unknown"/>
    <x v="67"/>
    <s v="D-180"/>
    <n v="1531"/>
    <n v="3"/>
    <n v="2"/>
    <n v="1"/>
    <n v="3"/>
    <n v="2"/>
    <n v="1"/>
    <n v="0"/>
    <s v="Crashed due to engine failure."/>
    <n v="0"/>
    <n v="1"/>
    <x v="1"/>
  </r>
  <r>
    <n v="163"/>
    <x v="155"/>
    <x v="17"/>
    <x v="0"/>
    <s v="Unknown"/>
    <s v="Gerona, Spain"/>
    <s v="Aeropostale"/>
    <s v="Unknown"/>
    <s v="Casablanca - Alicante - Barcelona - Perpignan - Toulouse"/>
    <x v="34"/>
    <s v="F-AEEJ F-AEEJ"/>
    <n v="159"/>
    <n v="3"/>
    <n v="2"/>
    <n v="1"/>
    <n v="3"/>
    <n v="2"/>
    <n v="1"/>
    <n v="0"/>
    <s v="Encountered fog and crashed into a mountain slope near the monastery of Sant Pere de Rodes, south of LlancÃ ,"/>
    <n v="0"/>
    <n v="1"/>
    <x v="1"/>
  </r>
  <r>
    <n v="164"/>
    <x v="156"/>
    <x v="17"/>
    <x v="0"/>
    <s v="Unknown"/>
    <s v="Polk, Pennsylvania"/>
    <s v="National Air Transport"/>
    <s v="Unknown"/>
    <s v="Unknown"/>
    <x v="73"/>
    <s v="NC1064"/>
    <n v="658"/>
    <n v="1"/>
    <n v="0"/>
    <n v="1"/>
    <n v="1"/>
    <n v="0"/>
    <n v="1"/>
    <n v="0"/>
    <s v="The mail plane crashed into a hill and burned during the night during poor weather conditons."/>
    <n v="0"/>
    <n v="1"/>
    <x v="1"/>
  </r>
  <r>
    <n v="165"/>
    <x v="157"/>
    <x v="17"/>
    <x v="0"/>
    <s v="Unknown"/>
    <s v="Valence, France"/>
    <s v="Air Union"/>
    <s v="Unknown"/>
    <s v="Paris - Lyon - Marseille"/>
    <x v="92"/>
    <s v="F-AIMN"/>
    <s v="4381.9"/>
    <n v="2"/>
    <n v="1"/>
    <n v="1"/>
    <n v="1"/>
    <n v="0"/>
    <n v="1"/>
    <n v="0"/>
    <s v="The pilot attempted an emergency landing in a muddy field and crashed."/>
    <n v="1"/>
    <n v="0.5"/>
    <x v="0"/>
  </r>
  <r>
    <n v="166"/>
    <x v="158"/>
    <x v="17"/>
    <x v="0"/>
    <s v="Unknown"/>
    <s v="Off Gibraltar"/>
    <s v="Aeropostale"/>
    <s v="Unknown"/>
    <s v="Marseille - Palma de Majorca"/>
    <x v="93"/>
    <s v="F-AISN"/>
    <n v="80"/>
    <n v="3"/>
    <s v="NULL"/>
    <n v="3"/>
    <n v="1"/>
    <n v="0"/>
    <n v="1"/>
    <n v="0"/>
    <s v="The sea plane stuck a lightning mast and crashed into houses. Pilot error."/>
    <n v="2"/>
    <n v="0.33333333333333331"/>
    <x v="2"/>
  </r>
  <r>
    <n v="167"/>
    <x v="159"/>
    <x v="17"/>
    <x v="0"/>
    <s v="Unknown"/>
    <s v="Edgerton, Ohio"/>
    <s v="Universal Airlines"/>
    <s v="Unknown"/>
    <s v="Cleveland - Chicago"/>
    <x v="94"/>
    <s v="NC7521"/>
    <n v="46"/>
    <n v="3"/>
    <n v="2"/>
    <n v="1"/>
    <n v="3"/>
    <n v="2"/>
    <n v="1"/>
    <n v="0"/>
    <s v="The mail plane crashed in a heavy snow storm."/>
    <n v="0"/>
    <n v="1"/>
    <x v="1"/>
  </r>
  <r>
    <n v="168"/>
    <x v="160"/>
    <x v="17"/>
    <x v="0"/>
    <s v="Unknown"/>
    <s v="Edgerton, Ohio"/>
    <s v="Continental Air Lines"/>
    <s v="Unknown"/>
    <s v="Cleveland - Louisville"/>
    <x v="95"/>
    <s v="NC5436"/>
    <n v="525"/>
    <n v="1"/>
    <n v="0"/>
    <n v="1"/>
    <n v="1"/>
    <n v="0"/>
    <n v="1"/>
    <n v="0"/>
    <s v="The mail plane crashed in a heavy snow storm"/>
    <n v="0"/>
    <n v="1"/>
    <x v="1"/>
  </r>
  <r>
    <n v="169"/>
    <x v="160"/>
    <x v="17"/>
    <x v="0"/>
    <s v="Unknown"/>
    <s v="Bristolville, Ohio"/>
    <s v="National Air Transport"/>
    <s v="Unknown"/>
    <s v="Unknown"/>
    <x v="73"/>
    <s v="NC792"/>
    <n v="650"/>
    <n v="1"/>
    <n v="0"/>
    <n v="1"/>
    <n v="1"/>
    <n v="0"/>
    <n v="1"/>
    <n v="0"/>
    <s v="The mail plane crashed in a snow storm."/>
    <n v="0"/>
    <n v="1"/>
    <x v="1"/>
  </r>
  <r>
    <n v="170"/>
    <x v="161"/>
    <x v="17"/>
    <x v="0"/>
    <d v="1899-12-30T10:00:00"/>
    <s v="Spur, Texas"/>
    <s v="Sunbeam Air Transport Co."/>
    <s v="Unknown"/>
    <s v="San Antonio - Amarillo - Tulsa - Denver"/>
    <x v="88"/>
    <s v="NC7862"/>
    <s v="4-AT-47"/>
    <n v="5"/>
    <n v="4"/>
    <n v="1"/>
    <n v="5"/>
    <n v="4"/>
    <n v="1"/>
    <n v="0"/>
    <s v="The aircraft crashed and burned while en route. Flames were seen aboard the plane before it crashed. The plane was on a delivery flight."/>
    <n v="0"/>
    <n v="1"/>
    <x v="1"/>
  </r>
  <r>
    <n v="171"/>
    <x v="162"/>
    <x v="17"/>
    <x v="0"/>
    <d v="1899-12-30T08:00:00"/>
    <s v="Near Rio de Janeiro,Brazil"/>
    <s v="Syndicato Condor"/>
    <s v="Unknown"/>
    <s v="Sightseeing"/>
    <x v="96"/>
    <s v="P-BACA"/>
    <n v="83"/>
    <n v="14"/>
    <n v="9"/>
    <n v="5"/>
    <n v="14"/>
    <n v="9"/>
    <n v="5"/>
    <n v="0"/>
    <s v="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
    <n v="0"/>
    <n v="1"/>
    <x v="1"/>
  </r>
  <r>
    <n v="172"/>
    <x v="163"/>
    <x v="17"/>
    <x v="0"/>
    <d v="1899-12-30T10:45:00"/>
    <s v="Spokan, Washington"/>
    <s v="Spokane Airways"/>
    <s v="Unknown"/>
    <s v="Colfax - Spokane"/>
    <x v="97"/>
    <s v="NC7687"/>
    <s v="4-AT-045"/>
    <n v="5"/>
    <n v="3"/>
    <n v="2"/>
    <n v="5"/>
    <n v="3"/>
    <n v="2"/>
    <n v="0"/>
    <s v="The aircraft crashed while attempting to land in fog."/>
    <n v="0"/>
    <n v="1"/>
    <x v="1"/>
  </r>
  <r>
    <n v="173"/>
    <x v="164"/>
    <x v="17"/>
    <x v="0"/>
    <s v="Unknown"/>
    <s v="Letzlingen, Germany"/>
    <s v="Deutsche Lufthansa"/>
    <s v="Unknown"/>
    <s v="Cologne -  Berlin"/>
    <x v="98"/>
    <s v="D-1473"/>
    <n v="3005"/>
    <n v="4"/>
    <n v="1"/>
    <n v="3"/>
    <n v="3"/>
    <n v="0"/>
    <n v="3"/>
    <n v="0"/>
    <s v="After a fuel line broke in flight, the pilot was forced to make an emergency landing in an open field. On landing, the aircraft crashed, overturned and came to rest in flames."/>
    <n v="1"/>
    <n v="0.75"/>
    <x v="1"/>
  </r>
  <r>
    <n v="174"/>
    <x v="165"/>
    <x v="17"/>
    <x v="0"/>
    <s v="Unknown"/>
    <s v="Huron, Ohio"/>
    <s v="National Air Transport"/>
    <s v="Unknown"/>
    <s v="Cleveland - Chicago"/>
    <x v="73"/>
    <s v="NC790"/>
    <n v="653"/>
    <n v="1"/>
    <n v="0"/>
    <n v="1"/>
    <n v="1"/>
    <n v="0"/>
    <n v="1"/>
    <n v="0"/>
    <s v="The mail plane crashed into an apple tree during a snow storm after the pilot experienced spatial disorientation."/>
    <n v="0"/>
    <n v="1"/>
    <x v="1"/>
  </r>
  <r>
    <n v="175"/>
    <x v="166"/>
    <x v="17"/>
    <x v="0"/>
    <s v="Unknown"/>
    <s v="Chattanooga, Tennessee"/>
    <s v="Interstate Airlines"/>
    <s v="Unknown"/>
    <s v="Unknown"/>
    <x v="78"/>
    <s v="Unknown"/>
    <s v="Unknown"/>
    <n v="4"/>
    <n v="3"/>
    <n v="1"/>
    <n v="4"/>
    <n v="3"/>
    <n v="1"/>
    <n v="0"/>
    <s v="Crashed onto a roof and garage on takeoff and burst into flames. The motor may have not been warmed- up properly."/>
    <n v="0"/>
    <n v="1"/>
    <x v="1"/>
  </r>
  <r>
    <n v="176"/>
    <x v="167"/>
    <x v="17"/>
    <x v="0"/>
    <s v="Unknown"/>
    <s v="Reims, France"/>
    <s v="CIDNA"/>
    <s v="Unknown"/>
    <s v="Strasbourg - Paris"/>
    <x v="99"/>
    <s v="F-AEHX"/>
    <s v="3359-40"/>
    <n v="3"/>
    <n v="2"/>
    <n v="1"/>
    <n v="2"/>
    <n v="2"/>
    <n v="0"/>
    <n v="0"/>
    <s v="Crashed into high ground in fog."/>
    <n v="1"/>
    <n v="0.66666666666666663"/>
    <x v="1"/>
  </r>
  <r>
    <n v="177"/>
    <x v="168"/>
    <x v="18"/>
    <x v="0"/>
    <s v="Unknown"/>
    <s v="Stafford Springs, Connecticut"/>
    <s v="Colonial Air Transport"/>
    <s v="Unknown"/>
    <s v="Unknown"/>
    <x v="78"/>
    <s v="NC5650"/>
    <n v="111"/>
    <n v="1"/>
    <n v="0"/>
    <n v="1"/>
    <n v="1"/>
    <n v="0"/>
    <n v="1"/>
    <n v="0"/>
    <s v="Struck a mountain slope  in poor weather."/>
    <n v="0"/>
    <n v="1"/>
    <x v="1"/>
  </r>
  <r>
    <n v="178"/>
    <x v="169"/>
    <x v="18"/>
    <x v="0"/>
    <s v="Unknown"/>
    <s v="Cove, Oregon"/>
    <s v="Varney Air Lines"/>
    <s v="Unknown"/>
    <s v="Boise, ID - Pasco, WA"/>
    <x v="100"/>
    <s v="NC1682"/>
    <n v="102"/>
    <n v="1"/>
    <n v="0"/>
    <n v="1"/>
    <n v="1"/>
    <n v="0"/>
    <n v="1"/>
    <n v="0"/>
    <s v="While attempting to make an emergency landing on the Minam river the mail plane hit a bolder killing the pilot."/>
    <n v="0"/>
    <n v="1"/>
    <x v="1"/>
  </r>
  <r>
    <n v="179"/>
    <x v="170"/>
    <x v="18"/>
    <x v="0"/>
    <s v="Unknown"/>
    <s v="Near Corfu, Greece"/>
    <s v="Aeroespresso"/>
    <s v="Unknown"/>
    <s v="Brindisi - Athens - Istanbul"/>
    <x v="101"/>
    <s v="I-AZDA"/>
    <n v="53"/>
    <n v="9"/>
    <n v="7"/>
    <n v="2"/>
    <n v="2"/>
    <n v="7"/>
    <n v="2"/>
    <n v="0"/>
    <s v="The passenger plane diverted off Kerkira in the Ionian Sea due to poor weather conditions and thunderstoms and sank in rough seas."/>
    <n v="7"/>
    <n v="0.22222222222222221"/>
    <x v="2"/>
  </r>
  <r>
    <n v="180"/>
    <x v="171"/>
    <x v="18"/>
    <x v="0"/>
    <s v="Unknown"/>
    <s v="Off Morocco"/>
    <s v="Aeropostale"/>
    <s v="Unknown"/>
    <s v="Agadir - Casablanca"/>
    <x v="84"/>
    <s v="F-AIMU F-AIMU"/>
    <n v="674"/>
    <n v="2"/>
    <n v="0"/>
    <n v="2"/>
    <n v="2"/>
    <n v="0"/>
    <n v="2"/>
    <n v="0"/>
    <s v="While cruising along the coast, the mail plane crashed into the Atlantic Ocean for unknown reasons."/>
    <n v="0"/>
    <n v="1"/>
    <x v="1"/>
  </r>
  <r>
    <n v="181"/>
    <x v="171"/>
    <x v="18"/>
    <x v="0"/>
    <s v="Unknown"/>
    <s v="Morgantown, West Virginia"/>
    <s v="Skyline Transportation Company"/>
    <s v="Unknown"/>
    <s v="Unknown"/>
    <x v="95"/>
    <s v="NC6480"/>
    <n v="800"/>
    <n v="1"/>
    <n v="0"/>
    <n v="1"/>
    <n v="1"/>
    <n v="0"/>
    <n v="1"/>
    <n v="0"/>
    <s v="While attempting to land, the aircraft overran the runway and hit the perimeter fence."/>
    <n v="0"/>
    <n v="1"/>
    <x v="1"/>
  </r>
  <r>
    <n v="182"/>
    <x v="172"/>
    <x v="18"/>
    <x v="0"/>
    <d v="1899-12-30T17:00:00"/>
    <s v="Newark, New Jersey"/>
    <s v="Colonial Western Airlines"/>
    <s v="Unknown"/>
    <s v="Sightseeing"/>
    <x v="102"/>
    <s v="NC7683"/>
    <s v="4-AT-41"/>
    <n v="15"/>
    <n v="13"/>
    <n v="2"/>
    <n v="14"/>
    <n v="13"/>
    <n v="1"/>
    <n v="0"/>
    <s v="The plane was making the last of a number of sightseeing flights when two of it's three engines failed. The plane stalled and went out of control at an altitude of 200 ft. and crashed into a railroad freight car. Engine failure followed by a stall during an emergency landing attempt."/>
    <n v="1"/>
    <n v="0.93333333333333335"/>
    <x v="1"/>
  </r>
  <r>
    <n v="183"/>
    <x v="173"/>
    <x v="18"/>
    <x v="0"/>
    <d v="1899-12-30T09:18:00"/>
    <s v="Near Beaumont, California"/>
    <s v="New Standard Airlines"/>
    <s v="Unknown"/>
    <s v="Los Angeles - Phoenix - El Paso"/>
    <x v="103"/>
    <s v="NC7888"/>
    <n v="617"/>
    <n v="4"/>
    <n v="3"/>
    <n v="1"/>
    <n v="4"/>
    <n v="3"/>
    <n v="1"/>
    <n v="0"/>
    <s v="The aircraft crashed into a high mountain ridge, exploding on impact. Investigators speculated that upon encountering fog and winds in the treacherous mountain pass, the pilot may have turned the airliner around and was heading back to the airport when the crash occurred."/>
    <n v="0"/>
    <n v="1"/>
    <x v="1"/>
  </r>
  <r>
    <n v="184"/>
    <x v="174"/>
    <x v="18"/>
    <x v="0"/>
    <d v="1899-12-30T11:45:00"/>
    <s v="San Diego, California"/>
    <s v="Maddux Airlines / Military - U.S.Army Air Force"/>
    <s v="Unknown"/>
    <s v="San Diego - Phoenix"/>
    <x v="104"/>
    <s v="NC9636 / 28-037"/>
    <s v="4-AT-010"/>
    <n v="6"/>
    <n v="3"/>
    <n v="3"/>
    <n v="6"/>
    <n v="3"/>
    <n v="3"/>
    <n v="0"/>
    <s v="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
    <n v="0"/>
    <n v="1"/>
    <x v="1"/>
  </r>
  <r>
    <n v="185"/>
    <x v="175"/>
    <x v="18"/>
    <x v="0"/>
    <s v="Unknown"/>
    <s v="Tampico, Mexico"/>
    <s v="Mexicana"/>
    <s v="Unknown"/>
    <s v="Tampico - Brownsville, TX"/>
    <x v="97"/>
    <s v="M-SCAL"/>
    <s v="Unknown"/>
    <n v="5"/>
    <n v="4"/>
    <n v="1"/>
    <n v="5"/>
    <n v="4"/>
    <n v="1"/>
    <n v="0"/>
    <s v="An engine failed, the plane stalled and crashed."/>
    <n v="0"/>
    <n v="1"/>
    <x v="1"/>
  </r>
  <r>
    <n v="186"/>
    <x v="176"/>
    <x v="18"/>
    <x v="0"/>
    <s v="Unknown"/>
    <s v="TÃ¶kÃ¶l,  Pest Hungary"/>
    <s v="MALERT"/>
    <s v="Unknown"/>
    <s v="Unknown"/>
    <x v="105"/>
    <s v="H-MABC"/>
    <n v="1604"/>
    <n v="2"/>
    <n v="0"/>
    <n v="2"/>
    <n v="2"/>
    <n v="0"/>
    <n v="2"/>
    <n v="0"/>
    <s v="A wing separated in flight and the plane crashed."/>
    <n v="0"/>
    <n v="1"/>
    <x v="1"/>
  </r>
  <r>
    <n v="187"/>
    <x v="177"/>
    <x v="18"/>
    <x v="0"/>
    <s v="Unknown"/>
    <s v="Algiers"/>
    <s v="Aeropostale"/>
    <s v="Unknown"/>
    <s v="Algiers - Marseille"/>
    <x v="106"/>
    <s v="F-AISX"/>
    <n v="7"/>
    <n v="6"/>
    <n v="3"/>
    <n v="3"/>
    <n v="4"/>
    <n v="3"/>
    <n v="2"/>
    <n v="0"/>
    <s v="The plane collided with a submerged object while taking off."/>
    <n v="2"/>
    <n v="0.66666666666666663"/>
    <x v="1"/>
  </r>
  <r>
    <n v="188"/>
    <x v="178"/>
    <x v="18"/>
    <x v="0"/>
    <d v="1899-12-30T08:00:00"/>
    <s v="Santiago de Cuba, Cuba"/>
    <s v="Pan American Airways"/>
    <s v="Unknown"/>
    <s v="Santiago de Cuba - Havana"/>
    <x v="107"/>
    <s v="NC9700"/>
    <n v="1010"/>
    <n v="5"/>
    <n v="1"/>
    <n v="4"/>
    <n v="2"/>
    <n v="1"/>
    <n v="1"/>
    <n v="0"/>
    <s v="Crashed while taking off. The muddy field prevented the aircraft from gaining altitude. The plane hit telephone wires and crashed. The plane was named &quot;Christopher Columbus&quot;."/>
    <n v="3"/>
    <n v="0.4"/>
    <x v="0"/>
  </r>
  <r>
    <n v="189"/>
    <x v="179"/>
    <x v="18"/>
    <x v="0"/>
    <s v="Unknown"/>
    <s v="Barcelona, Spain"/>
    <s v="Aeropostale"/>
    <s v="Unknown"/>
    <s v="Janeiro - Buenos Aires"/>
    <x v="34"/>
    <s v="F-AFEJ"/>
    <n v="217"/>
    <n v="2"/>
    <n v="0"/>
    <n v="2"/>
    <n v="1"/>
    <n v="0"/>
    <n v="1"/>
    <n v="0"/>
    <s v="Took off, lost power and altitude and crashed into a telegraph tower."/>
    <n v="1"/>
    <n v="0.5"/>
    <x v="0"/>
  </r>
  <r>
    <n v="190"/>
    <x v="180"/>
    <x v="18"/>
    <x v="0"/>
    <d v="1899-12-30T11:30:00"/>
    <s v="Off Dungeness, England"/>
    <s v="Imperial Airways"/>
    <s v="Unknown"/>
    <s v="London - Paris - Basil - Zuric"/>
    <x v="68"/>
    <s v="G-EBMT"/>
    <s v="W10/4"/>
    <n v="13"/>
    <n v="11"/>
    <n v="2"/>
    <n v="7"/>
    <n v="7"/>
    <n v="0"/>
    <n v="0"/>
    <s v="The plane was over the English Channel, approximately 3 miles offshore, when an engine failed. The pilot attempted to return to the airport but the plane ditched into the English Channel. Failure of a connecting rod on a cylinder due to fatigue.The plane was named &quot;City of Ottawa.&quot;"/>
    <n v="6"/>
    <n v="0.53846153846153844"/>
    <x v="0"/>
  </r>
  <r>
    <n v="191"/>
    <x v="181"/>
    <x v="18"/>
    <x v="0"/>
    <s v="Unknown"/>
    <s v="St. Paul, Minnesota"/>
    <s v="Northwest Orient Airlines"/>
    <s v="Unknown"/>
    <s v="St. Paul - Minneapolis"/>
    <x v="108"/>
    <s v="NC7416"/>
    <s v="5-AT-002"/>
    <n v="8"/>
    <n v="6"/>
    <n v="2"/>
    <n v="1"/>
    <n v="0"/>
    <n v="1"/>
    <n v="0"/>
    <s v="All three engines failed shortly after takeoff causing the plane to stall and crash near Indian Mounds park."/>
    <n v="7"/>
    <n v="0.125"/>
    <x v="2"/>
  </r>
  <r>
    <n v="192"/>
    <x v="182"/>
    <x v="18"/>
    <x v="0"/>
    <d v="1899-12-30T21:00:00"/>
    <s v="Near Lindau, Bavaria, Germany"/>
    <s v="Bodensee Aerolloyd"/>
    <s v="Unknown"/>
    <s v="Unknown"/>
    <x v="109"/>
    <s v="D-1620"/>
    <n v="151"/>
    <n v="5"/>
    <n v="4"/>
    <n v="1"/>
    <n v="5"/>
    <n v="4"/>
    <n v="1"/>
    <n v="0"/>
    <s v="The seaplane crashed into lake Constance while attempting to landing. The landing was hard and the plane broke in two and sank."/>
    <n v="0"/>
    <n v="1"/>
    <x v="1"/>
  </r>
  <r>
    <n v="193"/>
    <x v="182"/>
    <x v="18"/>
    <x v="0"/>
    <s v="Unknown"/>
    <s v="Columbus, Ohio"/>
    <s v="Continental Air Lines"/>
    <s v="Unknown"/>
    <s v="Unknown"/>
    <x v="95"/>
    <s v="NC5435"/>
    <n v="524"/>
    <n v="1"/>
    <n v="0"/>
    <n v="1"/>
    <n v="1"/>
    <n v="0"/>
    <n v="1"/>
    <n v="0"/>
    <s v="The mail plane crashed into an antenna mast in fog and low visibility and burned."/>
    <n v="0"/>
    <n v="1"/>
    <x v="1"/>
  </r>
  <r>
    <n v="194"/>
    <x v="183"/>
    <x v="18"/>
    <x v="0"/>
    <s v="Unknown"/>
    <s v="Clovis, New Mexico"/>
    <s v="Middle States Airlines"/>
    <s v="Unknown"/>
    <s v="Unknown"/>
    <x v="110"/>
    <s v="NC870E"/>
    <s v="Unknown"/>
    <n v="4"/>
    <n v="2"/>
    <n v="2"/>
    <n v="4"/>
    <n v="2"/>
    <n v="2"/>
    <n v="0"/>
    <s v="The just manufactured aircraft was on its way to be delivered to its new owner with  four employees of Lockheed,  two pilots and two engineers when it crashed under unknown circumstances."/>
    <n v="0"/>
    <n v="1"/>
    <x v="1"/>
  </r>
  <r>
    <n v="195"/>
    <x v="184"/>
    <x v="18"/>
    <x v="0"/>
    <s v="Unknown"/>
    <s v="Sochi, Russia"/>
    <s v="Ukvozduchput"/>
    <s v="Unknown"/>
    <s v="Unknown"/>
    <x v="111"/>
    <s v="CCCP-217"/>
    <n v="108"/>
    <n v="1"/>
    <n v="0"/>
    <n v="1"/>
    <n v="1"/>
    <n v="0"/>
    <n v="1"/>
    <n v="0"/>
    <s v="Crashed under unknown circumstances."/>
    <n v="0"/>
    <n v="1"/>
    <x v="1"/>
  </r>
  <r>
    <n v="196"/>
    <x v="184"/>
    <x v="18"/>
    <x v="0"/>
    <s v="Unknown"/>
    <s v="Elm, Germany"/>
    <s v="Deutsche Lufthansa"/>
    <s v="Unknown"/>
    <s v="Frankfurt - Berlin"/>
    <x v="112"/>
    <s v="D-757"/>
    <n v="1571"/>
    <n v="5"/>
    <n v="4"/>
    <n v="1"/>
    <n v="4"/>
    <n v="3"/>
    <n v="1"/>
    <n v="0"/>
    <s v="The aorcraft hit a hill in fog and poor visibility."/>
    <n v="1"/>
    <n v="0.8"/>
    <x v="1"/>
  </r>
  <r>
    <n v="197"/>
    <x v="185"/>
    <x v="18"/>
    <x v="0"/>
    <s v="Unknown"/>
    <s v="Needles, California"/>
    <s v="Associated Aviators"/>
    <s v="Unknown"/>
    <s v="Unknown"/>
    <x v="113"/>
    <s v="NR859E"/>
    <n v="67"/>
    <n v="2"/>
    <n v="0"/>
    <n v="2"/>
    <n v="1"/>
    <n v="0"/>
    <n v="1"/>
    <n v="0"/>
    <s v="The plane crashed after going into a tail spin in a thunderstorm. The mechanic was able to parachute to safety."/>
    <n v="1"/>
    <n v="0.5"/>
    <x v="0"/>
  </r>
  <r>
    <n v="198"/>
    <x v="186"/>
    <x v="18"/>
    <x v="0"/>
    <d v="1899-12-30T11:01:00"/>
    <s v="Mt. Taylor, near Grants, New Mexico"/>
    <s v="Trans Continental Air Transport"/>
    <s v="Unknown"/>
    <s v="Albuquerque - Los Angeles"/>
    <x v="102"/>
    <s v="NC9649"/>
    <s v="5-AT-002"/>
    <n v="8"/>
    <n v="5"/>
    <n v="3"/>
    <n v="8"/>
    <n v="5"/>
    <n v="3"/>
    <n v="0"/>
    <s v="Shortly after departing the aircraft crashed into a Mt Taylor after encountering a thunderstorm and turbulence. The plane was named &quot;The City of San Francisco.&quot;"/>
    <n v="0"/>
    <n v="1"/>
    <x v="1"/>
  </r>
  <r>
    <n v="199"/>
    <x v="187"/>
    <x v="18"/>
    <x v="0"/>
    <s v="Unknown"/>
    <s v="Jask, Iran"/>
    <s v="Imperial Airways"/>
    <s v="Unknown"/>
    <s v="London, England - India"/>
    <x v="114"/>
    <s v="G-EBMZ"/>
    <n v="239"/>
    <n v="5"/>
    <n v="2"/>
    <n v="3"/>
    <n v="3"/>
    <n v="1"/>
    <n v="2"/>
    <n v="0"/>
    <s v="At night, the aircraft crashed short of the runway in low visibility."/>
    <n v="2"/>
    <n v="0.6"/>
    <x v="0"/>
  </r>
  <r>
    <n v="200"/>
    <x v="188"/>
    <x v="18"/>
    <x v="0"/>
    <s v="Unknown"/>
    <s v="North Atlantic Ocean"/>
    <s v="Aeropostale"/>
    <s v="Unknown"/>
    <s v="Toulouse, France - Casablanca, Morocco"/>
    <x v="81"/>
    <s v="F-AIUJ"/>
    <n v="704"/>
    <n v="6"/>
    <n v="4"/>
    <n v="2"/>
    <n v="6"/>
    <n v="4"/>
    <n v="2"/>
    <n v="0"/>
    <s v="Crashed at sea, 30 miles from Larache, Morocco for unknown reasons."/>
    <n v="0"/>
    <n v="1"/>
    <x v="1"/>
  </r>
  <r>
    <n v="201"/>
    <x v="188"/>
    <x v="18"/>
    <x v="0"/>
    <d v="1899-12-30T18:00:00"/>
    <s v="Saint Catharines, Ontario"/>
    <s v="Skyways"/>
    <s v="Unknown"/>
    <s v="Sightseeing"/>
    <x v="115"/>
    <s v="CF-ABE"/>
    <n v="1024"/>
    <n v="6"/>
    <n v="5"/>
    <n v="1"/>
    <n v="6"/>
    <n v="5"/>
    <n v="1"/>
    <n v="0"/>
    <s v="The aircraft went out of control and crashed for unknown reasons."/>
    <n v="0"/>
    <n v="1"/>
    <x v="1"/>
  </r>
  <r>
    <n v="202"/>
    <x v="189"/>
    <x v="18"/>
    <x v="0"/>
    <s v="Unknown"/>
    <s v="Mt Lamentation, Connecticut"/>
    <s v="Colonial Air Transport"/>
    <s v="Unknown"/>
    <s v="Unknown"/>
    <x v="116"/>
    <s v="Unknown"/>
    <s v="Unknown"/>
    <n v="1"/>
    <n v="0"/>
    <n v="1"/>
    <n v="1"/>
    <n v="0"/>
    <n v="1"/>
    <n v="0"/>
    <s v="The mail plane crashed into Mt. Lamentation in fog and burst into flames."/>
    <n v="0"/>
    <n v="1"/>
    <x v="1"/>
  </r>
  <r>
    <n v="203"/>
    <x v="189"/>
    <x v="18"/>
    <x v="0"/>
    <s v="Unknown"/>
    <s v="Off Larache, Morocco"/>
    <s v="Aeropostale"/>
    <s v="Unknown"/>
    <s v="Toulouse - Perpignan - Barcelona - Alicante - Casablanca"/>
    <x v="117"/>
    <s v="F-AIUJ"/>
    <n v="704"/>
    <n v="5"/>
    <n v="3"/>
    <n v="2"/>
    <n v="5"/>
    <n v="3"/>
    <n v="2"/>
    <n v="0"/>
    <s v="Crashed into the Mediterranean for unknown reasons."/>
    <n v="0"/>
    <n v="1"/>
    <x v="1"/>
  </r>
  <r>
    <n v="204"/>
    <x v="189"/>
    <x v="18"/>
    <x v="0"/>
    <s v="Unknown"/>
    <s v="Jacumba, California"/>
    <s v="Pickwick Airways"/>
    <s v="Unknown"/>
    <s v="Tijuana - Nogales"/>
    <x v="118"/>
    <s v="Unknown"/>
    <s v="Unknown"/>
    <n v="2"/>
    <n v="0"/>
    <n v="2"/>
    <n v="1"/>
    <n v="0"/>
    <n v="1"/>
    <n v="0"/>
    <s v="The mail plane crashed into a hillside in the desert while attempting to make an emergency landing during a storm."/>
    <n v="1"/>
    <n v="0.5"/>
    <x v="0"/>
  </r>
  <r>
    <n v="205"/>
    <x v="190"/>
    <x v="18"/>
    <x v="0"/>
    <d v="1899-12-30T18:00:00"/>
    <s v="Off Spezia, Italy"/>
    <s v="Imperial Airways"/>
    <s v="Unknown"/>
    <s v="Naples - Genoa"/>
    <x v="119"/>
    <s v="G-AADN"/>
    <s v="S748"/>
    <n v="7"/>
    <n v="5"/>
    <n v="2"/>
    <n v="7"/>
    <n v="5"/>
    <n v="2"/>
    <n v="0"/>
    <s v="The aircraft ditched in the ocean after encountering gale force winds. Sank while in tow. The plane was named &quot;City of Rome.&quot;"/>
    <n v="0"/>
    <n v="1"/>
    <x v="1"/>
  </r>
  <r>
    <n v="206"/>
    <x v="191"/>
    <x v="18"/>
    <x v="0"/>
    <s v="Unknown"/>
    <s v="Mount Vernon, Ohio"/>
    <s v="Continental Air Lines"/>
    <s v="Unknown"/>
    <s v="Cleveland - Louisville"/>
    <x v="100"/>
    <s v="Unknown"/>
    <s v="Unknown"/>
    <n v="1"/>
    <n v="0"/>
    <n v="1"/>
    <n v="1"/>
    <n v="0"/>
    <n v="1"/>
    <n v="0"/>
    <s v="The mail plane crashed into a grove of trees 8 miles southwest of Mount Vernon in foggy conditons."/>
    <n v="0"/>
    <n v="1"/>
    <x v="1"/>
  </r>
  <r>
    <n v="207"/>
    <x v="192"/>
    <x v="18"/>
    <x v="0"/>
    <s v="Unknown"/>
    <s v="Off Bremerton, Washington"/>
    <s v="Bremerton-Seattle Air Taxi / Gorst Air Lines"/>
    <s v="Unknown"/>
    <s v="Bremerton - Seattle"/>
    <x v="120"/>
    <s v="NC9158"/>
    <n v="232"/>
    <n v="2"/>
    <n v="0"/>
    <n v="2"/>
    <n v="2"/>
    <n v="0"/>
    <n v="2"/>
    <n v="0"/>
    <s v="The air taxi crashed into Puget Sound as it attempted to take off."/>
    <n v="0"/>
    <n v="1"/>
    <x v="1"/>
  </r>
  <r>
    <n v="208"/>
    <x v="193"/>
    <x v="18"/>
    <x v="0"/>
    <d v="1899-12-30T07:00:00"/>
    <s v="Cerro del Carbon, Mexico"/>
    <s v="Corp. Aeronautica de Transportes"/>
    <s v="Unknown"/>
    <s v="Matamoros - Mexico City - Juarez"/>
    <x v="121"/>
    <s v="NC46M"/>
    <n v="97"/>
    <n v="4"/>
    <n v="3"/>
    <n v="1"/>
    <n v="4"/>
    <n v="3"/>
    <n v="1"/>
    <n v="0"/>
    <s v="The mail plane crashed in dense fog."/>
    <n v="0"/>
    <n v="1"/>
    <x v="1"/>
  </r>
  <r>
    <n v="209"/>
    <x v="194"/>
    <x v="18"/>
    <x v="0"/>
    <d v="1899-12-30T10:10:00"/>
    <s v="Near Godstone, Surrey, England"/>
    <s v="Deutsche Lufthansa"/>
    <s v="Unknown"/>
    <s v="Croyden - Amsterdam - Berlin"/>
    <x v="122"/>
    <s v="D-903"/>
    <n v="911"/>
    <n v="8"/>
    <n v="4"/>
    <n v="4"/>
    <n v="7"/>
    <n v="3"/>
    <n v="4"/>
    <n v="0"/>
    <s v="After the plane's antenna wire struck the ground and was partially torn off, the pilot attempted to return to land but hit tree tops and crashed in rain and fog."/>
    <n v="1"/>
    <n v="0.875"/>
    <x v="1"/>
  </r>
  <r>
    <n v="210"/>
    <x v="195"/>
    <x v="18"/>
    <x v="0"/>
    <d v="1899-12-30T09:35:00"/>
    <s v="Off Corsica, France"/>
    <s v="Air Union"/>
    <s v="Unknown"/>
    <s v="Marseille - Ajaccio - Tunis"/>
    <x v="123"/>
    <s v="F-AIGB"/>
    <n v="1"/>
    <n v="3"/>
    <n v="0"/>
    <n v="3"/>
    <n v="3"/>
    <n v="0"/>
    <n v="3"/>
    <n v="0"/>
    <s v="While flying along the Corsican coast, the aircraft crashed into the Mediterranean in fog. No trace of the plane was ever found."/>
    <n v="0"/>
    <n v="1"/>
    <x v="1"/>
  </r>
  <r>
    <n v="211"/>
    <x v="196"/>
    <x v="18"/>
    <x v="0"/>
    <s v="Unknown"/>
    <s v="Terranova Pausania, East Sardinia"/>
    <s v="S.A.M. SocietÃ  Aerea Mediterranea"/>
    <s v="Unknown"/>
    <s v="Cagliari, Terranova - Rome"/>
    <x v="124"/>
    <s v="I-TACO"/>
    <n v="10519"/>
    <n v="12"/>
    <n v="9"/>
    <n v="3"/>
    <n v="1"/>
    <n v="1"/>
    <n v="0"/>
    <n v="0"/>
    <s v="The plane crashed due to  an optical phenomenon caused by calm waters and an erroneous height assessment."/>
    <n v="11"/>
    <n v="8.3333333333333329E-2"/>
    <x v="2"/>
  </r>
  <r>
    <n v="212"/>
    <x v="197"/>
    <x v="18"/>
    <x v="0"/>
    <s v="Unknown"/>
    <s v="Vancouver, Washington"/>
    <s v="Varney Air Lines"/>
    <s v="Unknown"/>
    <s v="Unknown"/>
    <x v="125"/>
    <s v="NC8199"/>
    <n v="1006"/>
    <n v="1"/>
    <n v="0"/>
    <n v="1"/>
    <n v="1"/>
    <n v="0"/>
    <n v="1"/>
    <n v="0"/>
    <s v="The mail plane crashed into a fog bound tower of the interstate bridge spanning the Columbia River."/>
    <n v="0"/>
    <n v="1"/>
    <x v="1"/>
  </r>
  <r>
    <n v="213"/>
    <x v="198"/>
    <x v="18"/>
    <x v="0"/>
    <s v="Unknown"/>
    <s v="Chagrin Falls, Ohio"/>
    <s v="National Air Transport"/>
    <s v="Unknown"/>
    <s v="Unknown"/>
    <x v="126"/>
    <s v="NC789"/>
    <n v="622"/>
    <n v="1"/>
    <n v="0"/>
    <n v="1"/>
    <n v="1"/>
    <n v="0"/>
    <n v="1"/>
    <n v="0"/>
    <s v="The mail plane crashed en route during a storm."/>
    <n v="0"/>
    <n v="1"/>
    <x v="1"/>
  </r>
  <r>
    <n v="214"/>
    <x v="199"/>
    <x v="18"/>
    <x v="0"/>
    <s v="Unknown"/>
    <s v="Near Berlin, Germany"/>
    <s v="Deutsche Lufthansa"/>
    <s v="Unknown"/>
    <s v="Marseille - Berlin"/>
    <x v="127"/>
    <s v="D-1594"/>
    <n v="47"/>
    <n v="3"/>
    <n v="0"/>
    <n v="2"/>
    <n v="2"/>
    <n v="0"/>
    <n v="2"/>
    <n v="0"/>
    <s v="In fog, the pilot lost his bearing in fog and crashed 60 km from the airport."/>
    <n v="1"/>
    <n v="0.66666666666666663"/>
    <x v="1"/>
  </r>
  <r>
    <n v="215"/>
    <x v="200"/>
    <x v="18"/>
    <x v="0"/>
    <d v="1899-12-30T17:00:00"/>
    <s v="Amarillo, Texas"/>
    <s v="Trans Continental Air Transport"/>
    <s v="Unknown"/>
    <s v="Demonistration"/>
    <x v="128"/>
    <s v="Unknown"/>
    <s v="Unknown"/>
    <n v="5"/>
    <n v="3"/>
    <n v="2"/>
    <n v="5"/>
    <n v="3"/>
    <n v="2"/>
    <n v="0"/>
    <s v="Crashed onto a golf course  while on approach during a demonstration flight."/>
    <n v="0"/>
    <n v="1"/>
    <x v="1"/>
  </r>
  <r>
    <n v="216"/>
    <x v="201"/>
    <x v="19"/>
    <x v="0"/>
    <s v="Unknown"/>
    <s v="Brawnson, Nebraska"/>
    <s v="Boeing Air Transport"/>
    <s v="Unknown"/>
    <s v="Unknown"/>
    <x v="129"/>
    <s v="NC184E"/>
    <s v="Unknown"/>
    <n v="1"/>
    <n v="0"/>
    <n v="1"/>
    <n v="1"/>
    <n v="0"/>
    <n v="1"/>
    <n v="0"/>
    <s v="The airmail plane crash landed and burst into flames on a farm in fog and snow while attempting to make an emergency landing."/>
    <n v="0"/>
    <n v="1"/>
    <x v="1"/>
  </r>
  <r>
    <n v="217"/>
    <x v="202"/>
    <x v="19"/>
    <x v="0"/>
    <s v="Unknown"/>
    <s v="Antananarivo, Madagascar"/>
    <s v="Air Orient"/>
    <s v="Unknown"/>
    <s v="Antananarivo - Paris"/>
    <x v="130"/>
    <s v="F-AJJK"/>
    <n v="1"/>
    <n v="3"/>
    <n v="0"/>
    <n v="3"/>
    <n v="3"/>
    <n v="0"/>
    <n v="3"/>
    <n v="0"/>
    <s v="Crrashed moments after taking off from Port-Francqui."/>
    <n v="0"/>
    <n v="1"/>
    <x v="1"/>
  </r>
  <r>
    <n v="218"/>
    <x v="203"/>
    <x v="19"/>
    <x v="0"/>
    <d v="1899-12-30T18:23:00"/>
    <s v="Oceanside, California"/>
    <s v="Maddux Airlines"/>
    <n v="7"/>
    <s v="Aqua Caliente, Mexico - Los Angeles"/>
    <x v="131"/>
    <s v="NC9689"/>
    <s v="5-AT-046"/>
    <n v="16"/>
    <n v="14"/>
    <n v="2"/>
    <n v="16"/>
    <n v="14"/>
    <n v="2"/>
    <n v="0"/>
    <s v="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
    <n v="0"/>
    <n v="1"/>
    <x v="1"/>
  </r>
  <r>
    <n v="219"/>
    <x v="204"/>
    <x v="19"/>
    <x v="0"/>
    <s v="Unknown"/>
    <s v="Off Ceuta, Spain"/>
    <s v="Aeropostale"/>
    <s v="Unknown"/>
    <s v="Casablanca - Alicante"/>
    <x v="81"/>
    <s v="F-AJCL"/>
    <n v="691"/>
    <n v="2"/>
    <n v="0"/>
    <n v="2"/>
    <n v="2"/>
    <n v="0"/>
    <n v="2"/>
    <n v="0"/>
    <s v="Ran into thunderstorms and crashed into the sea."/>
    <n v="0"/>
    <n v="1"/>
    <x v="1"/>
  </r>
  <r>
    <n v="220"/>
    <x v="205"/>
    <x v="19"/>
    <x v="0"/>
    <d v="1899-12-30T17:30:00"/>
    <s v="Kansas City, Missouri"/>
    <s v="Central  Airlines (Universal Aviation Corporation)"/>
    <s v="Unknown"/>
    <s v="Wichita - Kansas City, KS"/>
    <x v="132"/>
    <s v="Unknown"/>
    <n v="963"/>
    <n v="5"/>
    <n v="4"/>
    <n v="1"/>
    <n v="5"/>
    <n v="4"/>
    <n v="1"/>
    <n v="0"/>
    <s v="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
    <n v="0"/>
    <n v="1"/>
    <x v="1"/>
  </r>
  <r>
    <n v="221"/>
    <x v="206"/>
    <x v="19"/>
    <x v="0"/>
    <s v="Unknown"/>
    <s v="Hartford, Connecticut"/>
    <s v="Colonial Air Transport"/>
    <s v="Unknown"/>
    <s v="Newark, NJ - Hartford, CT"/>
    <x v="116"/>
    <s v="NC801H"/>
    <n v="41"/>
    <n v="1"/>
    <n v="0"/>
    <n v="1"/>
    <n v="1"/>
    <n v="0"/>
    <n v="1"/>
    <n v="0"/>
    <s v="While attempting to land the plane struck a building and fell into the Connecticut river."/>
    <n v="0"/>
    <n v="1"/>
    <x v="1"/>
  </r>
  <r>
    <n v="222"/>
    <x v="207"/>
    <x v="19"/>
    <x v="0"/>
    <s v="Unknown"/>
    <s v="Marden, England"/>
    <s v="Air Union"/>
    <s v="Unknown"/>
    <s v="Paris - Croydon"/>
    <x v="133"/>
    <s v="F-FHMY"/>
    <s v="21/6844"/>
    <n v="6"/>
    <n v="3"/>
    <n v="3"/>
    <n v="2"/>
    <n v="2"/>
    <n v="0"/>
    <n v="0"/>
    <s v="While attempting to land in snow, the plane rose up, stalled and crashed. Fatigue of the upper front strut of the right tail which failed in flight, causing the spar to fail as well."/>
    <n v="4"/>
    <n v="0.33333333333333331"/>
    <x v="2"/>
  </r>
  <r>
    <n v="223"/>
    <x v="208"/>
    <x v="19"/>
    <x v="0"/>
    <d v="1899-12-30T17:00:00"/>
    <s v="Jersey City, New Jersey"/>
    <s v="Canadian Colonial Airways"/>
    <s v="Unknown"/>
    <s v="Albany, NY - Jersey City, NJ"/>
    <x v="118"/>
    <s v="NC9148"/>
    <n v="634"/>
    <n v="4"/>
    <n v="3"/>
    <n v="1"/>
    <n v="4"/>
    <n v="3"/>
    <n v="1"/>
    <n v="0"/>
    <s v="Crashed into power lines 150 feet above the ground in fog."/>
    <n v="0"/>
    <n v="1"/>
    <x v="1"/>
  </r>
  <r>
    <n v="224"/>
    <x v="209"/>
    <x v="19"/>
    <x v="0"/>
    <s v="Unknown"/>
    <s v="Buenos Aires, Argentina"/>
    <s v="Aeropostale"/>
    <s v="Unknown"/>
    <s v="Buenos Aires - Montevideo"/>
    <x v="134"/>
    <s v="F-AJPD"/>
    <n v="918"/>
    <n v="4"/>
    <n v="2"/>
    <n v="2"/>
    <n v="3"/>
    <n v="1"/>
    <n v="2"/>
    <n v="0"/>
    <s v="While flying in foggy conditions at night, the captain lowered his altitude, hit a wave and fiipped over."/>
    <n v="1"/>
    <n v="0.75"/>
    <x v="1"/>
  </r>
  <r>
    <n v="225"/>
    <x v="210"/>
    <x v="19"/>
    <x v="0"/>
    <s v="Unknown"/>
    <s v="Boston, Massachusetts"/>
    <s v="Colonial Air Transport"/>
    <s v="Unknown"/>
    <s v="Boston - Newark"/>
    <x v="135"/>
    <s v="NC9675"/>
    <s v="5-AT-033"/>
    <n v="15"/>
    <n v="13"/>
    <n v="2"/>
    <n v="1"/>
    <n v="1"/>
    <n v="0"/>
    <n v="0"/>
    <s v="Crashed into Boston Harbor after losing the right  engine on takeoff."/>
    <n v="14"/>
    <n v="6.6666666666666666E-2"/>
    <x v="2"/>
  </r>
  <r>
    <n v="226"/>
    <x v="211"/>
    <x v="19"/>
    <x v="0"/>
    <s v="Unknown"/>
    <s v="Bornholm, Denmark"/>
    <s v="Deutsche Lufthansa"/>
    <s v="Unknown"/>
    <s v="Stettin - Norway"/>
    <x v="96"/>
    <s v="D-864"/>
    <n v="44"/>
    <n v="8"/>
    <n v="5"/>
    <n v="3"/>
    <n v="5"/>
    <n v="4"/>
    <n v="1"/>
    <n v="0"/>
    <s v="The flying boat landed in a storm in the open ocean due to engine failure. After three hours, the plane was  capsized by a large wave while under tow."/>
    <n v="3"/>
    <n v="0.625"/>
    <x v="0"/>
  </r>
  <r>
    <n v="227"/>
    <x v="212"/>
    <x v="19"/>
    <x v="0"/>
    <s v="Unknown"/>
    <s v="Arkansas Pass, Texas"/>
    <s v="Cross Airways"/>
    <s v="Unknown"/>
    <s v="Port Aransas - Kansas City"/>
    <x v="121"/>
    <s v="NC-394H"/>
    <n v="87"/>
    <n v="5"/>
    <n v="4"/>
    <n v="1"/>
    <n v="5"/>
    <n v="4"/>
    <n v="1"/>
    <n v="0"/>
    <s v="The aircraft exploded in the air at an altitude of 4,000 feet shortly after taking off. The plane was flying in an area of fog and thunderstorms."/>
    <n v="0"/>
    <n v="1"/>
    <x v="1"/>
  </r>
  <r>
    <n v="228"/>
    <x v="213"/>
    <x v="19"/>
    <x v="0"/>
    <d v="1899-12-30T15:00:00"/>
    <s v="Near Meopham, Kent, England"/>
    <s v="Walcot Air Line"/>
    <s v="Unknown"/>
    <s v="London - Le touquet, France"/>
    <x v="136"/>
    <s v="G-AAZK"/>
    <s v="Unknown"/>
    <n v="6"/>
    <n v="4"/>
    <n v="2"/>
    <n v="6"/>
    <n v="4"/>
    <n v="2"/>
    <n v="0"/>
    <s v="The plane crashed about 10 miles from it's destination. Possible buffeting or irregular ocillation of the horizontal stabilizer leading to separation of the left stabilizer."/>
    <n v="0"/>
    <n v="1"/>
    <x v="1"/>
  </r>
  <r>
    <n v="229"/>
    <x v="214"/>
    <x v="19"/>
    <x v="0"/>
    <d v="1899-12-30T15:45:00"/>
    <s v="Iglau, Czechoslovakia"/>
    <s v="Ceskoslovenske Aerolinie"/>
    <s v="Unknown"/>
    <s v="Prague - Bratislava"/>
    <x v="131"/>
    <s v="OK-FOR"/>
    <s v="5-AT-050"/>
    <n v="11"/>
    <n v="10"/>
    <n v="1"/>
    <n v="10"/>
    <n v="9"/>
    <n v="1"/>
    <n v="0"/>
    <s v="Crashed when the pilot made a sharp turn to avoid a chimney and lost control of the aircraft."/>
    <n v="1"/>
    <n v="0.90909090909090906"/>
    <x v="1"/>
  </r>
  <r>
    <n v="230"/>
    <x v="215"/>
    <x v="19"/>
    <x v="0"/>
    <s v="Unknown"/>
    <s v="Croydon, England"/>
    <s v="Sabena"/>
    <s v="Unknown"/>
    <s v="Croydon - Brussels"/>
    <x v="137"/>
    <s v="OO-AIN"/>
    <s v="Unknown"/>
    <n v="2"/>
    <n v="0"/>
    <n v="2"/>
    <n v="2"/>
    <n v="0"/>
    <n v="2"/>
    <n v="0"/>
    <s v="The plane caught on file shortly after taking off from Croydon."/>
    <n v="0"/>
    <n v="1"/>
    <x v="1"/>
  </r>
  <r>
    <n v="231"/>
    <x v="216"/>
    <x v="19"/>
    <x v="0"/>
    <s v="Unknown"/>
    <s v="Edmonton, Alberta, Canada"/>
    <s v="Western Canada Airways"/>
    <s v="Unknown"/>
    <s v="Calgary - Moosejaw"/>
    <x v="82"/>
    <s v="CF-AIN"/>
    <n v="1165"/>
    <n v="3"/>
    <n v="2"/>
    <n v="1"/>
    <n v="3"/>
    <n v="2"/>
    <n v="1"/>
    <n v="0"/>
    <s v="The air mail plane crashed in fog  while attempting to land in fog."/>
    <n v="0"/>
    <n v="1"/>
    <x v="1"/>
  </r>
  <r>
    <n v="232"/>
    <x v="217"/>
    <x v="19"/>
    <x v="0"/>
    <d v="1899-12-30T02:05:00"/>
    <s v="Near Beauvais, France"/>
    <s v="Military - British Air Ministry"/>
    <s v="Unknown"/>
    <s v="Cardington, England - Karachi, Pakistan"/>
    <x v="138"/>
    <s v="G-FAAW"/>
    <s v="R-101"/>
    <n v="54"/>
    <s v="NULL"/>
    <s v="NULL"/>
    <n v="48"/>
    <s v="NULL"/>
    <s v="NULL"/>
    <n v="0"/>
    <s v="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
    <n v="6"/>
    <n v="0.88888888888888884"/>
    <x v="1"/>
  </r>
  <r>
    <n v="233"/>
    <x v="218"/>
    <x v="19"/>
    <x v="0"/>
    <d v="1899-12-30T09:45:00"/>
    <s v="Dresden, Germany"/>
    <s v="Deutsche Lufthansa"/>
    <s v="Unknown"/>
    <s v="Berlin - Vienna"/>
    <x v="139"/>
    <s v="D-1930"/>
    <n v="443"/>
    <n v="8"/>
    <n v="6"/>
    <n v="2"/>
    <n v="8"/>
    <n v="6"/>
    <n v="2"/>
    <n v="0"/>
    <s v="Crashed into hill while attempting to land after running into a strong gust of wind.."/>
    <n v="0"/>
    <n v="1"/>
    <x v="1"/>
  </r>
  <r>
    <n v="234"/>
    <x v="219"/>
    <x v="19"/>
    <x v="0"/>
    <s v="Unknown"/>
    <s v="La Rache, Morocco"/>
    <s v="Aeropostale"/>
    <s v="Unknown"/>
    <s v="Casablanca - Bahat - Toulouse"/>
    <x v="134"/>
    <s v="F-AJUU"/>
    <s v="Unknown"/>
    <n v="4"/>
    <n v="3"/>
    <n v="1"/>
    <n v="4"/>
    <n v="3"/>
    <n v="1"/>
    <n v="0"/>
    <s v="The french postal plane crashed into mountains."/>
    <n v="0"/>
    <n v="1"/>
    <x v="1"/>
  </r>
  <r>
    <n v="235"/>
    <x v="220"/>
    <x v="19"/>
    <x v="0"/>
    <s v="Unknown"/>
    <s v="Perth, Australia"/>
    <s v="Wings Ltd"/>
    <s v="Unknown"/>
    <s v="Unknown"/>
    <x v="140"/>
    <s v="VH-UPC"/>
    <n v="2021"/>
    <n v="3"/>
    <n v="2"/>
    <n v="1"/>
    <n v="3"/>
    <n v="2"/>
    <n v="1"/>
    <s v="NULL"/>
    <s v="Fflying over the Darling Range, aircraft went out of control and dove into a hilly terrain,"/>
    <n v="0"/>
    <n v="1"/>
    <x v="1"/>
  </r>
  <r>
    <n v="236"/>
    <x v="221"/>
    <x v="19"/>
    <x v="0"/>
    <s v="Unknown"/>
    <s v="Prince Rupert, BC, Canada"/>
    <s v="Alaska-Washington Airways"/>
    <s v="Unknown"/>
    <s v="Unknown"/>
    <x v="113"/>
    <s v="NC103W"/>
    <n v="120"/>
    <n v="3"/>
    <n v="2"/>
    <n v="1"/>
    <n v="3"/>
    <n v="2"/>
    <n v="1"/>
    <n v="0"/>
    <s v="Crashed while taking off."/>
    <n v="0"/>
    <n v="1"/>
    <x v="1"/>
  </r>
  <r>
    <n v="237"/>
    <x v="222"/>
    <x v="19"/>
    <x v="0"/>
    <s v="Unknown"/>
    <s v="Near Neufchatel, France"/>
    <s v="Imperial Airways"/>
    <s v="Unknown"/>
    <s v="Paris, France - London, England"/>
    <x v="141"/>
    <s v="G-EBIX"/>
    <s v="W8-7"/>
    <n v="6"/>
    <n v="3"/>
    <n v="3"/>
    <n v="3"/>
    <n v="2"/>
    <n v="1"/>
    <n v="0"/>
    <s v="Crashed into high ground in fog after losing an engine. The plane was named &quot;City of Washington.&quot;"/>
    <n v="3"/>
    <n v="0.5"/>
    <x v="0"/>
  </r>
  <r>
    <n v="238"/>
    <x v="222"/>
    <x v="19"/>
    <x v="0"/>
    <s v="Unknown"/>
    <s v="Brookston, Indiana"/>
    <s v="Embry Riddle Company"/>
    <s v="Unknown"/>
    <s v="Unknown"/>
    <x v="116"/>
    <s v="Unknown"/>
    <s v="Unknown"/>
    <n v="1"/>
    <n v="0"/>
    <n v="1"/>
    <n v="1"/>
    <n v="0"/>
    <n v="1"/>
    <n v="0"/>
    <s v="After developing engine trouble the pilot tried to parachute out of the plane but the parachute got caught on the plane and the pilot was dragged to his death."/>
    <n v="0"/>
    <n v="1"/>
    <x v="1"/>
  </r>
  <r>
    <n v="239"/>
    <x v="223"/>
    <x v="19"/>
    <x v="0"/>
    <s v="Unknown"/>
    <s v="Off of Santos, Brazil"/>
    <s v="Syndicato Condor"/>
    <s v="Unknown"/>
    <s v="Porto Alegre - Laguna - Rio de Janeiro"/>
    <x v="122"/>
    <s v="P-BAHA"/>
    <n v="921"/>
    <n v="9"/>
    <n v="8"/>
    <n v="1"/>
    <n v="1"/>
    <n v="1"/>
    <n v="0"/>
    <n v="0"/>
    <s v="Crashed into the sea."/>
    <n v="8"/>
    <n v="0.1111111111111111"/>
    <x v="2"/>
  </r>
  <r>
    <n v="240"/>
    <x v="224"/>
    <x v="19"/>
    <x v="0"/>
    <d v="1899-12-30T20:00:00"/>
    <s v="Techachapi Mountains, California"/>
    <s v="Pacific Air Transport"/>
    <s v="Unknown"/>
    <s v="Burbank, CA - Oakland, CA"/>
    <x v="82"/>
    <s v="NC5340"/>
    <s v="Unknown"/>
    <n v="3"/>
    <n v="0"/>
    <n v="3"/>
    <n v="3"/>
    <n v="0"/>
    <n v="3"/>
    <s v="NULL"/>
    <s v="Crashed into a mountainside at an altitude of 4,500  feet during a snowstorm."/>
    <n v="0"/>
    <n v="1"/>
    <x v="1"/>
  </r>
  <r>
    <n v="241"/>
    <x v="225"/>
    <x v="19"/>
    <x v="0"/>
    <s v="Unknown"/>
    <s v="Shanghai, China"/>
    <s v="China National Aviation Corporation"/>
    <s v="Unknown"/>
    <s v="Shanghai - Hankow"/>
    <x v="142"/>
    <s v="Unknown"/>
    <s v="Unknown"/>
    <n v="6"/>
    <n v="4"/>
    <n v="2"/>
    <n v="4"/>
    <n v="2"/>
    <n v="2"/>
    <n v="0"/>
    <s v="The lower right wing of the aircraft hit the mast of  a river boat and the plane flipped over on its back and  crashed onto a river bank. The aircraft was named &quot;Shanghai&quot;."/>
    <n v="2"/>
    <n v="0.66666666666666663"/>
    <x v="1"/>
  </r>
  <r>
    <n v="242"/>
    <x v="226"/>
    <x v="20"/>
    <x v="0"/>
    <d v="1899-12-30T22:40:00"/>
    <s v="Melle, Belgium"/>
    <s v="Sabena"/>
    <s v="Unknown"/>
    <s v="Brussels - London"/>
    <x v="70"/>
    <s v="OO-AIL"/>
    <n v="1930"/>
    <n v="2"/>
    <n v="0"/>
    <n v="2"/>
    <n v="2"/>
    <n v="0"/>
    <n v="2"/>
    <n v="0"/>
    <s v="After deciding to return to his base because of fog, the pilot of the mail plane  lowered his altitude and struck the ground."/>
    <n v="0"/>
    <n v="1"/>
    <x v="1"/>
  </r>
  <r>
    <n v="243"/>
    <x v="227"/>
    <x v="20"/>
    <x v="0"/>
    <s v="Unknown"/>
    <s v=" Bluff Mountain, Washington"/>
    <s v="Varney Air Lines"/>
    <s v="Unknown"/>
    <s v="Portland - Pasco"/>
    <x v="82"/>
    <s v="NC741K"/>
    <n v="1422"/>
    <n v="1"/>
    <n v="0"/>
    <n v="1"/>
    <n v="1"/>
    <n v="0"/>
    <n v="1"/>
    <n v="0"/>
    <s v="The mail plane flew into Bluff Mountain in dense fog."/>
    <n v="0"/>
    <n v="1"/>
    <x v="1"/>
  </r>
  <r>
    <n v="244"/>
    <x v="228"/>
    <x v="20"/>
    <x v="0"/>
    <s v="Unknown"/>
    <s v="Wairoa, New Zealand"/>
    <s v="Dominion Air Lines"/>
    <s v="Unknown"/>
    <s v="Gisborne - Hastings"/>
    <x v="143"/>
    <s v="ZK-ACA"/>
    <s v="D-36"/>
    <n v="3"/>
    <n v="2"/>
    <n v="1"/>
    <n v="3"/>
    <n v="2"/>
    <n v="1"/>
    <n v="0"/>
    <s v="While droping a mail bag the plane stalled and crashed."/>
    <n v="0"/>
    <n v="1"/>
    <x v="1"/>
  </r>
  <r>
    <n v="245"/>
    <x v="229"/>
    <x v="20"/>
    <x v="0"/>
    <s v="Unknown"/>
    <s v="Bagot, Manitoba, Canada"/>
    <s v="Western Canada Airways"/>
    <s v="Unknown"/>
    <s v="Winnigeg - Moosejaw"/>
    <x v="144"/>
    <s v="Unknown"/>
    <s v="Unknown"/>
    <n v="3"/>
    <n v="2"/>
    <n v="1"/>
    <n v="2"/>
    <n v="2"/>
    <n v="0"/>
    <n v="0"/>
    <s v="The plane carrying mail, crashed into a field, turned over and burst into flames. There was heavy fog in the area of the accident."/>
    <n v="1"/>
    <n v="0.66666666666666663"/>
    <x v="1"/>
  </r>
  <r>
    <n v="246"/>
    <x v="230"/>
    <x v="20"/>
    <x v="0"/>
    <s v="Unknown"/>
    <s v="Off Spain"/>
    <s v="Aeropostale"/>
    <s v="Unknown"/>
    <s v="Algiers â€“ Marseille"/>
    <x v="93"/>
    <s v="F-AITX"/>
    <n v="84"/>
    <n v="3"/>
    <n v="0"/>
    <n v="3"/>
    <n v="1"/>
    <n v="0"/>
    <n v="1"/>
    <n v="0"/>
    <s v="Crashed due to fuel exhaustion after encountering strong headwinds and getting lost."/>
    <n v="2"/>
    <n v="0.33333333333333331"/>
    <x v="2"/>
  </r>
  <r>
    <n v="247"/>
    <x v="231"/>
    <x v="20"/>
    <x v="0"/>
    <d v="1899-12-30T13:00:00"/>
    <s v="New South Wales, Australia"/>
    <s v="Australian National Airways"/>
    <s v="Unknown"/>
    <s v="Sydney - Melbourne"/>
    <x v="145"/>
    <s v="VH-UMF"/>
    <n v="241"/>
    <n v="8"/>
    <n v="6"/>
    <n v="2"/>
    <n v="8"/>
    <n v="6"/>
    <n v="2"/>
    <n v="0"/>
    <s v="Crashed in the Snowy Mountains in poor weather conditions. Wreckage found 10/26/1958."/>
    <n v="0"/>
    <n v="1"/>
    <x v="1"/>
  </r>
  <r>
    <n v="248"/>
    <x v="232"/>
    <x v="20"/>
    <x v="0"/>
    <d v="1899-12-30T10:45:00"/>
    <s v="Bazaar, Kansas"/>
    <s v="Trans Continental and Western Air"/>
    <n v="599"/>
    <s v="Kansas City - Wichita -  Los Angeles"/>
    <x v="146"/>
    <s v="NC-999"/>
    <n v="1063"/>
    <n v="8"/>
    <n v="6"/>
    <n v="2"/>
    <n v="8"/>
    <n v="6"/>
    <n v="2"/>
    <n v="0"/>
    <s v="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
    <n v="0"/>
    <n v="1"/>
    <x v="1"/>
  </r>
  <r>
    <n v="249"/>
    <x v="233"/>
    <x v="20"/>
    <x v="0"/>
    <s v="Unknown"/>
    <s v="Near Letschen, Germany"/>
    <s v="Deutsche Lufthansa"/>
    <s v="Unknown"/>
    <s v="Unknown"/>
    <x v="147"/>
    <s v="D-1928"/>
    <n v="442"/>
    <n v="10"/>
    <n v="7"/>
    <n v="3"/>
    <n v="2"/>
    <n v="0"/>
    <n v="2"/>
    <n v="0"/>
    <s v="Fuselage failure. Four were seriously injured and both the pilot and radio operator were killed."/>
    <n v="8"/>
    <n v="0.2"/>
    <x v="2"/>
  </r>
  <r>
    <n v="250"/>
    <x v="234"/>
    <x v="20"/>
    <x v="0"/>
    <d v="1899-12-30T23:30:00"/>
    <s v="Burbank, California"/>
    <s v="Pacific Air Transport"/>
    <s v="Unknown"/>
    <s v="San Diego - Los Angeles"/>
    <x v="82"/>
    <s v="NC5390"/>
    <n v="1044"/>
    <n v="2"/>
    <n v="0"/>
    <n v="2"/>
    <n v="2"/>
    <n v="0"/>
    <n v="2"/>
    <n v="0"/>
    <s v="The mail plane crashed into Las Tunas Canyon while attempting to land at  Burbank Airport in dense fog."/>
    <n v="0"/>
    <n v="1"/>
    <x v="1"/>
  </r>
  <r>
    <n v="251"/>
    <x v="235"/>
    <x v="20"/>
    <x v="0"/>
    <s v="Unknown"/>
    <s v="Wampit, Australia"/>
    <s v="Guiena Airways"/>
    <s v="Unknown"/>
    <s v="Lae - Bulolo"/>
    <x v="148"/>
    <s v="VH-UNR"/>
    <n v="2611"/>
    <n v="1"/>
    <n v="0"/>
    <n v="1"/>
    <n v="1"/>
    <n v="0"/>
    <n v="1"/>
    <n v="0"/>
    <s v="Hit trees in fog and cashed into the jungle."/>
    <n v="0"/>
    <n v="1"/>
    <x v="1"/>
  </r>
  <r>
    <n v="252"/>
    <x v="236"/>
    <x v="20"/>
    <x v="0"/>
    <d v="1899-12-30T22:30:00"/>
    <s v="Bellefonte, Pennsylvania"/>
    <s v="National Air Transport"/>
    <s v="Unknown"/>
    <s v="Unknown"/>
    <x v="129"/>
    <s v="NC397E"/>
    <n v="1057"/>
    <n v="1"/>
    <n v="0"/>
    <n v="1"/>
    <n v="1"/>
    <n v="0"/>
    <n v="1"/>
    <n v="0"/>
    <s v="Crashed into a mountain and burned in poor visibility and icing conditions."/>
    <n v="0"/>
    <n v="1"/>
    <x v="1"/>
  </r>
  <r>
    <n v="253"/>
    <x v="237"/>
    <x v="20"/>
    <x v="0"/>
    <d v="1899-12-30T09:00:00"/>
    <s v="Near Sandoway, Burma"/>
    <s v="Air Orient"/>
    <s v="Unknown"/>
    <s v="Saigon - Karachi"/>
    <x v="149"/>
    <s v="PH-AEO"/>
    <n v="5096"/>
    <n v="4"/>
    <n v="0"/>
    <n v="4"/>
    <n v="4"/>
    <n v="0"/>
    <n v="4"/>
    <n v="0"/>
    <s v="Crashed into a trees and fell into a river 50 km south of Sandoway after experiencing engine trouble while attempting to land at Sandoway in poor visibility and monsoon conditions."/>
    <n v="0"/>
    <n v="1"/>
    <x v="1"/>
  </r>
  <r>
    <n v="254"/>
    <x v="238"/>
    <x v="20"/>
    <x v="0"/>
    <s v="Unknown"/>
    <s v="Walbridge, Ohio"/>
    <s v="Rubner Flying Service"/>
    <s v="Unknown"/>
    <s v="Unknown"/>
    <x v="150"/>
    <s v="NC857E"/>
    <n v="64"/>
    <n v="3"/>
    <n v="1"/>
    <n v="2"/>
    <n v="2"/>
    <n v="0"/>
    <n v="2"/>
    <n v="0"/>
    <s v="A wing buckled as the plane was attempting to land and the plane crashed."/>
    <n v="1"/>
    <n v="0.66666666666666663"/>
    <x v="1"/>
  </r>
  <r>
    <n v="255"/>
    <x v="239"/>
    <x v="20"/>
    <x v="0"/>
    <s v="Unknown"/>
    <s v="Saarbrucken, Germany"/>
    <s v="Deutsche Lufthansa"/>
    <s v="Unknown"/>
    <s v="Cologne - Saarbrucken"/>
    <x v="77"/>
    <s v="D-1455"/>
    <n v="177"/>
    <n v="4"/>
    <n v="2"/>
    <n v="2"/>
    <n v="4"/>
    <n v="2"/>
    <n v="2"/>
    <n v="0"/>
    <s v="After circling in fog for half an hour, the plane rose to about 300 ft. and nose dived into the ground and burst into flames. Engine failure."/>
    <n v="0"/>
    <n v="1"/>
    <x v="1"/>
  </r>
  <r>
    <n v="256"/>
    <x v="240"/>
    <x v="20"/>
    <x v="0"/>
    <s v="Unknown"/>
    <s v="Chicago, Illinois"/>
    <s v="Braniff Airlines"/>
    <s v="Unknown"/>
    <s v="Chicago - Detroit"/>
    <x v="113"/>
    <s v="NC8497"/>
    <n v="154"/>
    <n v="2"/>
    <n v="0"/>
    <n v="2"/>
    <n v="2"/>
    <n v="0"/>
    <n v="2"/>
    <n v="0"/>
    <s v="Engine quit while taking off. The plane crashed from a height of 700 feet. The pilot tried to return to the airport  by banking to the right but did not have sufficient altitude to recover."/>
    <n v="0"/>
    <n v="1"/>
    <x v="1"/>
  </r>
  <r>
    <n v="257"/>
    <x v="241"/>
    <x v="20"/>
    <x v="0"/>
    <s v="Unknown"/>
    <s v="Temora, Australia"/>
    <s v="Australian Aerial Services"/>
    <s v="Unknown"/>
    <s v="Unknown"/>
    <x v="151"/>
    <s v="VH-UGF"/>
    <n v="3"/>
    <n v="2"/>
    <n v="0"/>
    <n v="2"/>
    <n v="2"/>
    <n v="0"/>
    <n v="2"/>
    <n v="0"/>
    <s v="No data available"/>
    <n v="0"/>
    <n v="1"/>
    <x v="1"/>
  </r>
  <r>
    <n v="258"/>
    <x v="242"/>
    <x v="20"/>
    <x v="0"/>
    <s v="Unknown"/>
    <s v="Centralia, Illinois"/>
    <s v="American Airways"/>
    <s v="Unknown"/>
    <s v="Unknown"/>
    <x v="116"/>
    <s v="Unknown"/>
    <s v="Unknown"/>
    <n v="1"/>
    <n v="0"/>
    <n v="1"/>
    <n v="1"/>
    <n v="0"/>
    <n v="1"/>
    <n v="0"/>
    <s v="No data available"/>
    <n v="0"/>
    <n v="1"/>
    <x v="1"/>
  </r>
  <r>
    <n v="259"/>
    <x v="243"/>
    <x v="20"/>
    <x v="0"/>
    <s v="Unknown"/>
    <s v="Kurudjevo, Bulgaria"/>
    <s v="CIDNA"/>
    <s v="Unknown"/>
    <s v="Constantinople - Budapest"/>
    <x v="70"/>
    <s v="F-ALGT"/>
    <n v="18"/>
    <n v="7"/>
    <n v="5"/>
    <n v="2"/>
    <n v="7"/>
    <n v="5"/>
    <n v="2"/>
    <n v="0"/>
    <s v="The aircraft caught fire in mid air and crashed."/>
    <n v="0"/>
    <n v="1"/>
    <x v="1"/>
  </r>
  <r>
    <n v="260"/>
    <x v="244"/>
    <x v="20"/>
    <x v="0"/>
    <d v="1899-12-30T08:40:00"/>
    <s v="Cincinnati, Ohio"/>
    <s v="American Airways"/>
    <s v="Unknown"/>
    <s v="Cincinnati - Atlanta"/>
    <x v="131"/>
    <s v="NC9662"/>
    <s v="5AT-029"/>
    <n v="6"/>
    <n v="4"/>
    <n v="2"/>
    <n v="6"/>
    <n v="4"/>
    <n v="2"/>
    <n v="0"/>
    <s v="Crashed from a height of 500 feet on the banks of Little Miami River shortly after taking off.  Engine failure due to a broken hub on the right engine which led to the detachment of the motor from the aircraft."/>
    <n v="0"/>
    <n v="1"/>
    <x v="1"/>
  </r>
  <r>
    <n v="261"/>
    <x v="245"/>
    <x v="20"/>
    <x v="0"/>
    <d v="1899-12-30T20:00:00"/>
    <s v="Chicago, Illinois"/>
    <s v="Chicago-Detroit Airways"/>
    <s v="Unknown"/>
    <s v="Unknown"/>
    <x v="113"/>
    <s v="NC606"/>
    <n v="56"/>
    <n v="1"/>
    <n v="0"/>
    <n v="1"/>
    <n v="1"/>
    <n v="0"/>
    <n v="1"/>
    <n v="0"/>
    <s v="Crashed in a severe rainstorm while attempting to land."/>
    <n v="0"/>
    <n v="1"/>
    <x v="1"/>
  </r>
  <r>
    <n v="262"/>
    <x v="246"/>
    <x v="20"/>
    <x v="0"/>
    <s v="Unknown"/>
    <s v="Near Craiova, Oltenia, Romania"/>
    <s v="CIDNA"/>
    <s v="Unknown"/>
    <s v="Paris - Bucharest"/>
    <x v="152"/>
    <s v="F-AIGT"/>
    <s v="Unknown"/>
    <n v="6"/>
    <n v="4"/>
    <n v="2"/>
    <n v="6"/>
    <n v="4"/>
    <n v="2"/>
    <n v="0"/>
    <s v="Crashed in low overcast and darkness while en route."/>
    <n v="0"/>
    <n v="1"/>
    <x v="1"/>
  </r>
  <r>
    <n v="263"/>
    <x v="247"/>
    <x v="20"/>
    <x v="0"/>
    <d v="1899-12-30T04:00:00"/>
    <s v="Oakland, California"/>
    <s v="Pacific Air Transport"/>
    <s v="Unknown"/>
    <s v="Oakland, CA - Seattle, WA"/>
    <x v="82"/>
    <s v="NC10347"/>
    <n v="1428"/>
    <n v="4"/>
    <n v="3"/>
    <n v="1"/>
    <n v="4"/>
    <n v="3"/>
    <n v="1"/>
    <n v="0"/>
    <s v="Crashed into San Francisco Bay shortly after taking off from Oakland airport."/>
    <n v="0"/>
    <n v="1"/>
    <x v="1"/>
  </r>
  <r>
    <n v="264"/>
    <x v="248"/>
    <x v="20"/>
    <x v="0"/>
    <s v="Unknown"/>
    <s v="Novia Scotia, Canada"/>
    <s v="Deutsche Lufthansa"/>
    <s v="Unknown"/>
    <s v="Sydney - New York"/>
    <x v="153"/>
    <s v="D-1717"/>
    <n v="334"/>
    <n v="3"/>
    <n v="0"/>
    <n v="3"/>
    <n v="3"/>
    <n v="0"/>
    <n v="3"/>
    <n v="0"/>
    <s v="Crashed into the sea while en route."/>
    <n v="0"/>
    <n v="1"/>
    <x v="1"/>
  </r>
  <r>
    <n v="265"/>
    <x v="249"/>
    <x v="20"/>
    <x v="0"/>
    <s v="Unknown"/>
    <s v="Brazil"/>
    <s v="Syndicato Condor"/>
    <s v="Unknown"/>
    <s v="Unknown"/>
    <x v="96"/>
    <s v="P-BALSA"/>
    <n v="107"/>
    <n v="3"/>
    <n v="0"/>
    <n v="3"/>
    <n v="3"/>
    <n v="0"/>
    <n v="3"/>
    <n v="0"/>
    <s v="No data available"/>
    <n v="0"/>
    <n v="1"/>
    <x v="1"/>
  </r>
  <r>
    <n v="266"/>
    <x v="250"/>
    <x v="20"/>
    <x v="0"/>
    <d v="1899-12-30T06:48:00"/>
    <s v="Camden, New Jersey"/>
    <s v="NY, Phil., Washington AW"/>
    <s v="Unknown"/>
    <s v="Newark, NJ  - Camden, NJ - Washington DC"/>
    <x v="154"/>
    <s v="NC12221"/>
    <n v="178"/>
    <n v="5"/>
    <n v="4"/>
    <n v="1"/>
    <n v="5"/>
    <n v="4"/>
    <n v="1"/>
    <n v="0"/>
    <s v="Crashed  onto a golf course and burst into flames after circling the airport twice to land."/>
    <n v="0"/>
    <n v="1"/>
    <x v="1"/>
  </r>
  <r>
    <n v="267"/>
    <x v="251"/>
    <x v="20"/>
    <x v="0"/>
    <s v="Unknown"/>
    <s v="Sir Lowry's pass, South Africa"/>
    <s v="Union Airways"/>
    <s v="Unknown"/>
    <s v="Durban - Cape Town"/>
    <x v="155"/>
    <s v="ZS-ACD"/>
    <n v="2110"/>
    <n v="3"/>
    <n v="2"/>
    <n v="1"/>
    <n v="3"/>
    <n v="2"/>
    <n v="1"/>
    <n v="0"/>
    <s v="Flew into a thunderstorm over mountains, lost a wing and crashed."/>
    <n v="0"/>
    <n v="1"/>
    <x v="1"/>
  </r>
  <r>
    <n v="268"/>
    <x v="252"/>
    <x v="20"/>
    <x v="0"/>
    <s v="Unknown"/>
    <s v="Salt Lake City, Utah"/>
    <s v="Boeing Air Transport"/>
    <s v="Unknown"/>
    <s v="Unknown"/>
    <x v="82"/>
    <s v="NC7465"/>
    <n v="897"/>
    <n v="1"/>
    <n v="0"/>
    <n v="1"/>
    <n v="1"/>
    <n v="0"/>
    <n v="1"/>
    <n v="0"/>
    <s v="The mail plane crashed 8 miles west of Salt Lake airport. It is believed the plane overturned while attempting to land in the dark and in a snowstorm."/>
    <n v="0"/>
    <n v="1"/>
    <x v="1"/>
  </r>
  <r>
    <n v="269"/>
    <x v="253"/>
    <x v="20"/>
    <x v="0"/>
    <s v="Unknown"/>
    <s v="Near Tsinan, China"/>
    <s v="China National Aviation Corporation"/>
    <s v="Unknown"/>
    <s v="Nanking - Peiking"/>
    <x v="156"/>
    <s v="Unknown"/>
    <s v="Unknown"/>
    <n v="3"/>
    <n v="1"/>
    <n v="2"/>
    <n v="3"/>
    <n v="1"/>
    <n v="2"/>
    <n v="0"/>
    <s v="Crashed into Chingshan mountain range 10 miles south of Tsinan in fog."/>
    <n v="0"/>
    <n v="1"/>
    <x v="1"/>
  </r>
  <r>
    <n v="270"/>
    <x v="254"/>
    <x v="20"/>
    <x v="0"/>
    <d v="1899-12-30T22:30:00"/>
    <s v="Pasco, Washington"/>
    <s v="Varney Air Lines"/>
    <s v="Unknown"/>
    <s v="Portland,  WA - Pasco, WA"/>
    <x v="82"/>
    <s v="NC10338"/>
    <n v="1419"/>
    <n v="1"/>
    <n v="0"/>
    <n v="1"/>
    <n v="1"/>
    <n v="0"/>
    <n v="1"/>
    <n v="0"/>
    <s v="Crashed in fog while attempting to land."/>
    <n v="0"/>
    <n v="1"/>
    <x v="1"/>
  </r>
  <r>
    <n v="271"/>
    <x v="255"/>
    <x v="20"/>
    <x v="0"/>
    <s v="Unknown"/>
    <s v="Kewanee, Illinois"/>
    <s v="Braniff Airways"/>
    <s v="Unknown"/>
    <s v="Kansas City - Chicago"/>
    <x v="121"/>
    <s v="NC433E"/>
    <n v="49"/>
    <n v="6"/>
    <n v="5"/>
    <n v="1"/>
    <n v="2"/>
    <n v="2"/>
    <n v="0"/>
    <n v="0"/>
    <s v="Crashed attempting to land at an alternate airfield in a sleet storm. The plane struck the roof of a barn adjacent to the airfield and was destroyed. Icing."/>
    <n v="4"/>
    <n v="0.33333333333333331"/>
    <x v="2"/>
  </r>
  <r>
    <n v="272"/>
    <x v="256"/>
    <x v="20"/>
    <x v="0"/>
    <d v="1899-12-30T05:45:00"/>
    <s v="Bangkok, Thailand"/>
    <s v="KLM Royal Dutch Airlines"/>
    <s v="Unknown"/>
    <s v="Djakarta - Amsterdam -  Bangkok - Rangoon (Burma)"/>
    <x v="152"/>
    <s v="PH-AFO"/>
    <n v="5226"/>
    <n v="7"/>
    <n v="3"/>
    <n v="4"/>
    <n v="5"/>
    <n v="2"/>
    <n v="3"/>
    <n v="0"/>
    <s v="Take off  was made with the  emergency hatch in cockpit roof open. This spoiled the lift and aircraft didn't become airborne.  At the end of the field, the aircraft crashed into a dam."/>
    <n v="2"/>
    <n v="0.7142857142857143"/>
    <x v="1"/>
  </r>
  <r>
    <n v="273"/>
    <x v="257"/>
    <x v="20"/>
    <x v="0"/>
    <s v="Unknown"/>
    <s v="Off Algiers"/>
    <s v="Aeropostale"/>
    <s v="Unknown"/>
    <s v="Marseille - Algiers"/>
    <x v="157"/>
    <s v="F-AIOX"/>
    <n v="3"/>
    <n v="2"/>
    <n v="0"/>
    <n v="2"/>
    <n v="2"/>
    <n v="0"/>
    <n v="2"/>
    <n v="0"/>
    <s v="The crew crashed into the sea after a hydraulic failure and fire."/>
    <n v="0"/>
    <n v="1"/>
    <x v="1"/>
  </r>
  <r>
    <n v="274"/>
    <x v="258"/>
    <x v="20"/>
    <x v="0"/>
    <s v="Unknown"/>
    <s v="Springfield, Ohio"/>
    <s v="American Airways"/>
    <s v="Unknown"/>
    <s v="Port Colombus, OH - Louisville, KY"/>
    <x v="158"/>
    <s v="Unknown"/>
    <s v="Unknown"/>
    <n v="5"/>
    <n v="4"/>
    <n v="1"/>
    <n v="4"/>
    <n v="4"/>
    <n v="0"/>
    <n v="0"/>
    <s v="Under orders from his supervisor, the pilot took off in extremely poor weather conditions. After encountering fog he attempted to turn back to the airport but a wing tip struck a knoll and the plane crashed."/>
    <n v="1"/>
    <n v="0.8"/>
    <x v="1"/>
  </r>
  <r>
    <n v="275"/>
    <x v="259"/>
    <x v="21"/>
    <x v="0"/>
    <s v="Unknown"/>
    <s v="Colvin Park, Ilinois"/>
    <s v="Northwest Airways"/>
    <s v="Unknown"/>
    <s v="Rockford - Chicago, IL - Madison, WI"/>
    <x v="159"/>
    <s v="NC443H"/>
    <n v="1088"/>
    <n v="1"/>
    <n v="0"/>
    <n v="1"/>
    <n v="1"/>
    <n v="0"/>
    <n v="1"/>
    <n v="0"/>
    <s v="The pilot lost his directions in heavy fog. He decided to bail out and abandoned the aircraft. While doing so, he hit the horizontal stabilizer and was killed. The aircraft then crashed into a residential area,"/>
    <n v="0"/>
    <n v="1"/>
    <x v="1"/>
  </r>
  <r>
    <n v="276"/>
    <x v="260"/>
    <x v="21"/>
    <x v="0"/>
    <d v="1899-12-30T16:00:00"/>
    <s v="Lebec, California"/>
    <s v="Century Pacific Lines"/>
    <s v="Unknown"/>
    <s v="San Francisco - Bakersfield - Los Angeles, CA"/>
    <x v="160"/>
    <s v="NC10813"/>
    <n v="5034"/>
    <n v="8"/>
    <n v="7"/>
    <n v="1"/>
    <n v="8"/>
    <n v="7"/>
    <n v="1"/>
    <n v="0"/>
    <s v="Crashed into a canyon, in mountains, during a blizzard. Wreckage found a week later."/>
    <n v="0"/>
    <n v="1"/>
    <x v="1"/>
  </r>
  <r>
    <n v="277"/>
    <x v="261"/>
    <x v="21"/>
    <x v="0"/>
    <s v="Unknown"/>
    <s v="Off Miami, Florida"/>
    <s v="Bimini Airways"/>
    <s v="Unknown"/>
    <s v="Miami - Bimini"/>
    <x v="161"/>
    <s v="Unknown"/>
    <s v="Unknown"/>
    <n v="5"/>
    <n v="4"/>
    <n v="1"/>
    <n v="5"/>
    <n v="4"/>
    <n v="1"/>
    <n v="0"/>
    <s v="Disappeared while en route on a 45 minute flight."/>
    <n v="0"/>
    <n v="1"/>
    <x v="1"/>
  </r>
  <r>
    <n v="278"/>
    <x v="262"/>
    <x v="21"/>
    <x v="0"/>
    <s v="Unknown"/>
    <s v="Rio Vista, California"/>
    <s v="Boeing Air Transport"/>
    <s v="Unknown"/>
    <s v="Unknown"/>
    <x v="82"/>
    <s v=" NC291"/>
    <n v="902"/>
    <n v="2"/>
    <n v="0"/>
    <n v="2"/>
    <n v="1"/>
    <n v="0"/>
    <n v="1"/>
    <n v="0"/>
    <s v="Struck an irrigation ditch and caught fire during landing."/>
    <n v="1"/>
    <n v="0.5"/>
    <x v="0"/>
  </r>
  <r>
    <n v="279"/>
    <x v="262"/>
    <x v="21"/>
    <x v="0"/>
    <s v="Unknown"/>
    <s v="Marcellus, Michigan"/>
    <s v="Transamerican Airlines"/>
    <s v="Unknown"/>
    <s v="Chicago - Kalamazoo"/>
    <x v="162"/>
    <s v="NC6411"/>
    <n v="161"/>
    <n v="1"/>
    <n v="0"/>
    <n v="1"/>
    <n v="1"/>
    <n v="0"/>
    <n v="1"/>
    <n v="0"/>
    <s v="The mail plane crashed in a snowstorm."/>
    <n v="0"/>
    <n v="1"/>
    <x v="1"/>
  </r>
  <r>
    <n v="280"/>
    <x v="263"/>
    <x v="21"/>
    <x v="0"/>
    <s v="Unknown"/>
    <s v="Off Setiba, Brazil"/>
    <s v="Aeropostale"/>
    <s v="Unknown"/>
    <s v="Unknown"/>
    <x v="134"/>
    <s v="F-AJOX"/>
    <n v="917"/>
    <n v="3"/>
    <n v="0"/>
    <n v="3"/>
    <n v="3"/>
    <n v="0"/>
    <n v="3"/>
    <n v="0"/>
    <s v="Crashed into the ocean after flying into a thunderstorm."/>
    <n v="0"/>
    <n v="1"/>
    <x v="1"/>
  </r>
  <r>
    <n v="281"/>
    <x v="264"/>
    <x v="21"/>
    <x v="0"/>
    <d v="1899-12-30T02:00:00"/>
    <s v="Saint Louis, Illinois"/>
    <s v="Century Air Lines"/>
    <s v="Unknown"/>
    <s v="Training"/>
    <x v="160"/>
    <s v="NC11122"/>
    <n v="5016"/>
    <n v="5"/>
    <n v="0"/>
    <n v="5"/>
    <n v="3"/>
    <n v="0"/>
    <n v="3"/>
    <n v="0"/>
    <s v="Crashed into a skeleton of an old windmill, 500 yards from the edge of the field while practicing night landings."/>
    <n v="2"/>
    <n v="0.6"/>
    <x v="0"/>
  </r>
  <r>
    <n v="282"/>
    <x v="265"/>
    <x v="21"/>
    <x v="0"/>
    <d v="1899-12-30T19:30:00"/>
    <s v="Calimesa, California"/>
    <s v="American Airways"/>
    <s v="Unknown"/>
    <s v="Phoenix, AZ - Los Angeles, CA"/>
    <x v="163"/>
    <s v="NC652E"/>
    <n v="1027"/>
    <n v="7"/>
    <n v="5"/>
    <n v="2"/>
    <n v="7"/>
    <n v="5"/>
    <n v="2"/>
    <n v="0"/>
    <s v="The crew reduced altitude in foggy conditions to maintain visual contact with the ground. Crashed into an apple orchard after striking power lines. One survivor died the next day."/>
    <n v="0"/>
    <n v="1"/>
    <x v="1"/>
  </r>
  <r>
    <n v="283"/>
    <x v="266"/>
    <x v="21"/>
    <x v="0"/>
    <s v="Unknown"/>
    <s v="Steubenville, Ohio"/>
    <s v="Trans Continental and Western Air"/>
    <s v="Unknown"/>
    <s v="Columbus - McKeesport"/>
    <x v="164"/>
    <s v="NC966Y"/>
    <n v="9"/>
    <n v="1"/>
    <n v="0"/>
    <n v="1"/>
    <n v="1"/>
    <n v="0"/>
    <n v="1"/>
    <n v="0"/>
    <s v="The mail plane pilot drowned when his parachute tangled in the fuselage and he was dragged into the Ohio River after his plane crashed."/>
    <n v="0"/>
    <n v="1"/>
    <x v="1"/>
  </r>
  <r>
    <n v="284"/>
    <x v="267"/>
    <x v="21"/>
    <x v="0"/>
    <s v="Unknown"/>
    <s v="Rutbah Wells, Iraq"/>
    <s v="Air Orient"/>
    <s v="Unknown"/>
    <s v="Damascus - Baghdad - Karachi"/>
    <x v="165"/>
    <s v="F-AJDP F-AJDP"/>
    <n v="7120"/>
    <n v="3"/>
    <n v="1"/>
    <n v="2"/>
    <n v="3"/>
    <n v="1"/>
    <n v="2"/>
    <n v="0"/>
    <s v="Crashed into the ground during a sand storm."/>
    <n v="0"/>
    <n v="1"/>
    <x v="1"/>
  </r>
  <r>
    <n v="285"/>
    <x v="268"/>
    <x v="21"/>
    <x v="0"/>
    <s v="Unknown"/>
    <s v="Bedford, Ohio"/>
    <s v="National Air Transport"/>
    <s v="Unknown"/>
    <s v="Unknown"/>
    <x v="129"/>
    <s v="NC191E"/>
    <n v="1054"/>
    <n v="1"/>
    <n v="0"/>
    <n v="1"/>
    <n v="1"/>
    <n v="0"/>
    <n v="1"/>
    <n v="0"/>
    <s v="Crashed in a storm."/>
    <n v="0"/>
    <n v="1"/>
    <x v="1"/>
  </r>
  <r>
    <n v="286"/>
    <x v="269"/>
    <x v="21"/>
    <x v="0"/>
    <s v="Unknown"/>
    <s v="Fort Wayne, Indiana"/>
    <s v="Transamerica Airlines"/>
    <s v="Unknown"/>
    <s v="Unknown"/>
    <x v="162"/>
    <s v="NC6412"/>
    <n v="162"/>
    <n v="1"/>
    <n v="0"/>
    <n v="1"/>
    <n v="1"/>
    <n v="0"/>
    <n v="1"/>
    <n v="0"/>
    <s v="Crashed while in final approach."/>
    <n v="0"/>
    <n v="1"/>
    <x v="1"/>
  </r>
  <r>
    <n v="287"/>
    <x v="270"/>
    <x v="21"/>
    <x v="0"/>
    <s v="Unknown"/>
    <s v="Burbank, California"/>
    <s v="Pacific Air Transport"/>
    <s v="Unknown"/>
    <s v="San Diego - Burbank - Oakland"/>
    <x v="82"/>
    <s v="NC5589"/>
    <n v="1042"/>
    <n v="3"/>
    <n v="2"/>
    <n v="1"/>
    <n v="3"/>
    <n v="2"/>
    <n v="1"/>
    <n v="0"/>
    <s v="Crashed and burned  in fog while attempting to land at Burbank Airport."/>
    <n v="0"/>
    <n v="1"/>
    <x v="1"/>
  </r>
  <r>
    <n v="288"/>
    <x v="271"/>
    <x v="21"/>
    <x v="0"/>
    <d v="1899-12-30T12:00:00"/>
    <s v="Portland, Oregon"/>
    <s v="Varney Air Lines"/>
    <s v="Unknown"/>
    <s v="Unknown"/>
    <x v="82"/>
    <s v="NC830M"/>
    <n v="1155"/>
    <n v="2"/>
    <n v="0"/>
    <n v="2"/>
    <n v="1"/>
    <n v="0"/>
    <n v="1"/>
    <n v="0"/>
    <s v="Crashed in a river after the engine exploded."/>
    <n v="1"/>
    <n v="0.5"/>
    <x v="0"/>
  </r>
  <r>
    <n v="289"/>
    <x v="272"/>
    <x v="21"/>
    <x v="0"/>
    <d v="1899-12-30T08:00:00"/>
    <s v="Mount El Plomo, near Vitacura, Chile"/>
    <s v="Panagra"/>
    <s v="Unknown"/>
    <s v="Santiago, Chile - Mendosa, Argentina"/>
    <x v="131"/>
    <s v="NC403H"/>
    <s v="5-AT-062"/>
    <n v="9"/>
    <n v="6"/>
    <n v="3"/>
    <n v="9"/>
    <n v="6"/>
    <n v="3"/>
    <n v="0"/>
    <s v="The aircraft crashed in a severe snowstorm in the Andes Mountains.  The wreckage was buried by ice and snow and wasnâ€™t found until March 22, 1934."/>
    <n v="0"/>
    <n v="1"/>
    <x v="1"/>
  </r>
  <r>
    <n v="290"/>
    <x v="273"/>
    <x v="21"/>
    <x v="0"/>
    <s v="Unknown"/>
    <s v="Beyrouth, Lebanon"/>
    <s v="Air Orient"/>
    <s v="Unknown"/>
    <s v=" Marseille - Naples - Beyrouth - Saigon"/>
    <x v="106"/>
    <s v="F-AIQY"/>
    <n v="7"/>
    <n v="7"/>
    <n v="3"/>
    <n v="4"/>
    <n v="0"/>
    <n v="0"/>
    <n v="0"/>
    <n v="0"/>
    <s v="Crrashed and sunk while landing in Beyrough harbor."/>
    <n v="7"/>
    <n v="0"/>
    <x v="2"/>
  </r>
  <r>
    <n v="291"/>
    <x v="274"/>
    <x v="21"/>
    <x v="0"/>
    <d v="1899-12-30T00:10:00"/>
    <s v="Tubergen, Germany"/>
    <s v="A B Aerotransport"/>
    <s v="Unknown"/>
    <s v="Amsterdam - Hanover - Copenagen - MalmÃ¶"/>
    <x v="166"/>
    <s v="SE-AAE"/>
    <n v="836"/>
    <n v="2"/>
    <n v="0"/>
    <n v="2"/>
    <n v="2"/>
    <n v="0"/>
    <n v="2"/>
    <n v="0"/>
    <s v="The crew radioed they had problems with engine 3. The crew lowered their altitude and attempted an emergency landing. In low visibility and at night they hit a chimney and crashed."/>
    <n v="0"/>
    <n v="1"/>
    <x v="1"/>
  </r>
  <r>
    <n v="292"/>
    <x v="275"/>
    <x v="21"/>
    <x v="0"/>
    <d v="1899-12-30T09:00:00"/>
    <s v="Salt Flats, Texas"/>
    <s v="American Airways"/>
    <s v="Unknown"/>
    <s v="El Paso - Dallas"/>
    <x v="167"/>
    <s v="NC9716"/>
    <n v="1009"/>
    <n v="4"/>
    <n v="2"/>
    <n v="2"/>
    <n v="3"/>
    <n v="1"/>
    <n v="2"/>
    <n v="0"/>
    <s v="The mail plane struck a mountain and burned after encountering poor weather conditions."/>
    <n v="1"/>
    <n v="0.75"/>
    <x v="1"/>
  </r>
  <r>
    <n v="293"/>
    <x v="276"/>
    <x v="21"/>
    <x v="0"/>
    <d v="1899-12-30T06:00:00"/>
    <s v="Selsdon Park, England"/>
    <s v="Air Union"/>
    <s v="Unknown"/>
    <s v="Unknown"/>
    <x v="168"/>
    <s v="F-AIFE"/>
    <n v="2"/>
    <n v="2"/>
    <n v="0"/>
    <n v="2"/>
    <n v="1"/>
    <n v="0"/>
    <n v="1"/>
    <n v="0"/>
    <s v="On approach to Croydon in fog and reduced visibility the plane crashed in a hotel parking lot."/>
    <n v="1"/>
    <n v="0.5"/>
    <x v="0"/>
  </r>
  <r>
    <n v="294"/>
    <x v="277"/>
    <x v="21"/>
    <x v="0"/>
    <s v="Unknown"/>
    <s v="Byron Bay, Australia"/>
    <s v="New England Airways"/>
    <s v="Unknown"/>
    <s v="Sydney - Lismore - Brisbane"/>
    <x v="169"/>
    <s v="VH-UPM"/>
    <n v="2052"/>
    <n v="3"/>
    <n v="2"/>
    <n v="1"/>
    <n v="3"/>
    <n v="2"/>
    <n v="1"/>
    <n v="0"/>
    <s v="The left wing and rudder detached in strong winds and turbulence after the pilot made a sharp left turn."/>
    <n v="0"/>
    <n v="1"/>
    <x v="1"/>
  </r>
  <r>
    <n v="295"/>
    <x v="278"/>
    <x v="21"/>
    <x v="0"/>
    <s v="Unknown"/>
    <s v="Port Etienne, Mauritania"/>
    <s v="Aeropostale"/>
    <s v="Unknown"/>
    <s v="Dakar - Port Etienne - Algiers - Paris"/>
    <x v="134"/>
    <s v="F-AJIP"/>
    <n v="905"/>
    <n v="1"/>
    <n v="0"/>
    <n v="1"/>
    <n v="1"/>
    <n v="0"/>
    <n v="1"/>
    <n v="0"/>
    <s v="Crashed shortly afer taking off."/>
    <n v="0"/>
    <n v="1"/>
    <x v="1"/>
  </r>
  <r>
    <n v="296"/>
    <x v="279"/>
    <x v="21"/>
    <x v="0"/>
    <s v="Unknown"/>
    <s v="Villa Monte, Bolivia"/>
    <s v="Lloyd Aero Boliviano"/>
    <s v="Unknown"/>
    <s v="Unknown"/>
    <x v="135"/>
    <s v="Unknown"/>
    <s v="Unknown"/>
    <n v="2"/>
    <n v="0"/>
    <n v="2"/>
    <n v="2"/>
    <n v="0"/>
    <n v="2"/>
    <n v="0"/>
    <s v="Former American army flyer Donald Duke was killed when his plane carrying Bolivian army supplies crashed."/>
    <n v="0"/>
    <n v="1"/>
    <x v="1"/>
  </r>
  <r>
    <n v="297"/>
    <x v="280"/>
    <x v="21"/>
    <x v="0"/>
    <s v="Unknown"/>
    <s v="Ramsgate, England"/>
    <s v="Deutsche Lufthansa"/>
    <s v="Unknown"/>
    <s v="London - Cologne - Berlin"/>
    <x v="170"/>
    <s v=" D-2017"/>
    <s v="Unknown"/>
    <n v="2"/>
    <n v="0"/>
    <n v="2"/>
    <n v="2"/>
    <n v="0"/>
    <n v="2"/>
    <n v="0"/>
    <s v="The mail plane ditched into the English Channel after encountering 60 mile-an-hour gale force winds."/>
    <n v="0"/>
    <n v="1"/>
    <x v="1"/>
  </r>
  <r>
    <n v="298"/>
    <x v="281"/>
    <x v="21"/>
    <x v="0"/>
    <s v="Unknown"/>
    <s v="Echterpfuhl, Germany"/>
    <s v="Deutsche Lufthansa"/>
    <s v="Unknown"/>
    <s v="Nuremberg - Frankfort"/>
    <x v="32"/>
    <s v="D-724"/>
    <n v="696"/>
    <n v="5"/>
    <n v="3"/>
    <n v="2"/>
    <n v="5"/>
    <n v="3"/>
    <n v="2"/>
    <n v="0"/>
    <s v="Crashed into mountainous terrain in the Spessart mountains in fog, after a wing separated from the aircraft due to overstressing.."/>
    <n v="0"/>
    <n v="1"/>
    <x v="1"/>
  </r>
  <r>
    <n v="299"/>
    <x v="282"/>
    <x v="21"/>
    <x v="0"/>
    <s v="Unknown"/>
    <s v="Marianna, Arkansas"/>
    <s v="Hunter Airways"/>
    <s v="Unknown"/>
    <s v="Little Rock, AR - Memphis, TN"/>
    <x v="115"/>
    <s v=" NC369M"/>
    <n v="2020"/>
    <n v="2"/>
    <n v="1"/>
    <n v="1"/>
    <n v="2"/>
    <n v="1"/>
    <n v="1"/>
    <n v="0"/>
    <s v="Became lost and circled  until the plane struck an oak tree and crashed onto a island in the bayou."/>
    <n v="0"/>
    <n v="1"/>
    <x v="1"/>
  </r>
  <r>
    <n v="300"/>
    <x v="283"/>
    <x v="21"/>
    <x v="0"/>
    <s v="Unknown"/>
    <s v="Amarillo, Texas"/>
    <s v="Trans Continental and Western Air"/>
    <s v="Unknown"/>
    <s v="Unknown"/>
    <x v="171"/>
    <s v="NC9650"/>
    <s v="5-AT-037"/>
    <n v="2"/>
    <n v="0"/>
    <n v="2"/>
    <n v="2"/>
    <n v="0"/>
    <n v="2"/>
    <n v="0"/>
    <s v="The mail plane crashed in a snowstorm. The pilot died two days later from his injuries."/>
    <n v="0"/>
    <n v="1"/>
    <x v="1"/>
  </r>
  <r>
    <n v="301"/>
    <x v="283"/>
    <x v="21"/>
    <x v="0"/>
    <s v="Unknown"/>
    <s v="Rocky Ridge, Colorado"/>
    <s v="Boeing Air Transport"/>
    <s v="Unknown"/>
    <s v="Unknown"/>
    <x v="82"/>
    <s v="NC281"/>
    <n v="892"/>
    <n v="1"/>
    <n v="0"/>
    <n v="1"/>
    <n v="1"/>
    <n v="0"/>
    <n v="1"/>
    <n v="0"/>
    <s v="Struck a mountain when the pilot reduced altitude to maintain contact with the ground."/>
    <n v="0"/>
    <n v="1"/>
    <x v="1"/>
  </r>
  <r>
    <n v="302"/>
    <x v="284"/>
    <x v="21"/>
    <x v="0"/>
    <s v="Unknown"/>
    <s v="Wau, Australia"/>
    <s v="Guinea Airways"/>
    <s v="Unknown"/>
    <s v="Unknown"/>
    <x v="172"/>
    <s v="VH-UMJ"/>
    <n v="1372"/>
    <n v="1"/>
    <n v="0"/>
    <n v="1"/>
    <n v="1"/>
    <n v="0"/>
    <n v="1"/>
    <n v="0"/>
    <s v="The pilot lost control and crashed after attempting an aerobatic maneuver."/>
    <n v="0"/>
    <n v="1"/>
    <x v="1"/>
  </r>
  <r>
    <n v="303"/>
    <x v="285"/>
    <x v="22"/>
    <x v="0"/>
    <s v="Unknown"/>
    <s v="Algiers"/>
    <s v="Aeropostale"/>
    <s v="Unknown"/>
    <s v="Unknown"/>
    <x v="106"/>
    <s v="F-AISV"/>
    <n v="5"/>
    <n v="3"/>
    <n v="0"/>
    <n v="3"/>
    <n v="1"/>
    <n v="0"/>
    <n v="1"/>
    <n v="0"/>
    <s v="On the second attempt at taking off, the float plane struck waves and overturned."/>
    <n v="2"/>
    <n v="0.33333333333333331"/>
    <x v="2"/>
  </r>
  <r>
    <n v="304"/>
    <x v="286"/>
    <x v="22"/>
    <x v="0"/>
    <s v="Unknown"/>
    <s v="Newark, New Jersey"/>
    <s v="Eastern Air Transport"/>
    <s v="Unknown"/>
    <s v="Test flight"/>
    <x v="173"/>
    <s v="NC185H"/>
    <n v="1168"/>
    <n v="2"/>
    <n v="0"/>
    <n v="2"/>
    <n v="2"/>
    <n v="0"/>
    <n v="2"/>
    <n v="0"/>
    <s v="Went into a vertical bank and crashed and burned."/>
    <n v="0"/>
    <n v="1"/>
    <x v="1"/>
  </r>
  <r>
    <n v="305"/>
    <x v="287"/>
    <x v="22"/>
    <x v="0"/>
    <s v="Unknown"/>
    <s v="Marietta, Georgia"/>
    <s v="American Airways"/>
    <s v="Unknown"/>
    <s v="Unknown"/>
    <x v="174"/>
    <s v="N490W"/>
    <n v="4039"/>
    <n v="1"/>
    <n v="0"/>
    <n v="1"/>
    <n v="1"/>
    <n v="0"/>
    <n v="1"/>
    <n v="0"/>
    <s v="Crashed into a mountainside."/>
    <n v="0"/>
    <n v="1"/>
    <x v="1"/>
  </r>
  <r>
    <n v="306"/>
    <x v="287"/>
    <x v="22"/>
    <x v="0"/>
    <d v="1899-12-30T02:07:00"/>
    <s v="Bourne, Texas"/>
    <s v="American Airways"/>
    <s v="Unknown"/>
    <s v="Big Springs - San Antonio"/>
    <x v="174"/>
    <s v="NC11721"/>
    <n v="4039"/>
    <n v="1"/>
    <n v="0"/>
    <n v="1"/>
    <n v="1"/>
    <n v="0"/>
    <n v="1"/>
    <n v="0"/>
    <s v="The pilot of the mail plane lost his bearings and crashed into the hillside in poor visibility."/>
    <n v="0"/>
    <n v="1"/>
    <x v="1"/>
  </r>
  <r>
    <n v="307"/>
    <x v="288"/>
    <x v="22"/>
    <x v="0"/>
    <s v="Unknown"/>
    <s v="Eugene, Oregon"/>
    <s v="Pacific Air Transport"/>
    <s v="Unknown"/>
    <s v="Unknown"/>
    <x v="175"/>
    <s v="NC431H"/>
    <s v="5-AT-098"/>
    <n v="3"/>
    <n v="1"/>
    <n v="2"/>
    <n v="2"/>
    <n v="0"/>
    <n v="2"/>
    <n v="0"/>
    <s v="The mail plane crashed while taking off."/>
    <n v="1"/>
    <n v="0.66666666666666663"/>
    <x v="1"/>
  </r>
  <r>
    <n v="308"/>
    <x v="289"/>
    <x v="22"/>
    <x v="0"/>
    <s v="Unknown"/>
    <s v="Near Mendoza, Argentina"/>
    <s v="Pan American Grace Airways"/>
    <s v="Unknown"/>
    <s v="Mendoza, Argentina - Santiago, Chili"/>
    <x v="176"/>
    <s v="NC9723"/>
    <s v="Unknown"/>
    <n v="2"/>
    <n v="0"/>
    <n v="2"/>
    <n v="2"/>
    <n v="0"/>
    <n v="2"/>
    <n v="0"/>
    <s v="Crashed and burned."/>
    <n v="0"/>
    <n v="1"/>
    <x v="1"/>
  </r>
  <r>
    <n v="309"/>
    <x v="290"/>
    <x v="22"/>
    <x v="0"/>
    <d v="1899-12-30T20:07:00"/>
    <s v="Hayward, California"/>
    <s v="Varney Airlines"/>
    <s v="Unknown"/>
    <s v="Burbank - San Francisco"/>
    <x v="154"/>
    <s v="NC12226"/>
    <n v="184"/>
    <n v="3"/>
    <n v="2"/>
    <n v="1"/>
    <n v="3"/>
    <n v="2"/>
    <n v="1"/>
    <n v="11"/>
    <s v="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
    <n v="0"/>
    <n v="1"/>
    <x v="1"/>
  </r>
  <r>
    <n v="310"/>
    <x v="291"/>
    <x v="22"/>
    <x v="0"/>
    <d v="1899-12-30T14:30:00"/>
    <s v="Near Dixmude, Belgium"/>
    <s v="Imperial Airways"/>
    <s v="Unknown"/>
    <s v="Cologne, Germany - Croydon, England"/>
    <x v="177"/>
    <s v="G-AACI"/>
    <s v="AW-363"/>
    <n v="15"/>
    <n v="12"/>
    <n v="3"/>
    <n v="15"/>
    <n v="12"/>
    <n v="3"/>
    <n v="0"/>
    <s v="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
    <n v="0"/>
    <n v="1"/>
    <x v="1"/>
  </r>
  <r>
    <n v="311"/>
    <x v="292"/>
    <x v="22"/>
    <x v="0"/>
    <s v="Unknown"/>
    <s v="Hemkenrode, Germany"/>
    <s v="Deutsche Lufthansa"/>
    <s v="Unknown"/>
    <s v="Unknown"/>
    <x v="32"/>
    <s v="D-534"/>
    <s v="Unknown"/>
    <n v="2"/>
    <n v="1"/>
    <n v="1"/>
    <n v="1"/>
    <n v="1"/>
    <n v="0"/>
    <n v="0"/>
    <s v="Crashed under unknown circumstances."/>
    <n v="1"/>
    <n v="0.5"/>
    <x v="0"/>
  </r>
  <r>
    <n v="312"/>
    <x v="293"/>
    <x v="22"/>
    <x v="0"/>
    <d v="1899-12-30T12:30:00"/>
    <s v="Off Barnegat, New Jersey"/>
    <s v="Military - U.S. Navy"/>
    <s v="Unknown"/>
    <s v="Unknown"/>
    <x v="178"/>
    <s v="ZRS-4"/>
    <s v="Unknown"/>
    <n v="76"/>
    <s v="NULL"/>
    <s v="NULL"/>
    <n v="73"/>
    <s v="NULL"/>
    <s v="NULL"/>
    <n v="0"/>
    <s v="While cruising at 1,600 feet off New Jersey, strong air currents droped the ship to 700 feet before leveling off.  Before it could regain a safe height, it plummeted into the Atlantic Ocean. Decision by the commander to fly into a storm despite the presence of lightning."/>
    <n v="3"/>
    <n v="0.96052631578947367"/>
    <x v="1"/>
  </r>
  <r>
    <n v="313"/>
    <x v="294"/>
    <x v="22"/>
    <x v="0"/>
    <d v="1899-12-30T07:40:00"/>
    <s v="Near Castrovillari, Calabria, Italy"/>
    <s v="Air Orient"/>
    <s v="Unknown"/>
    <s v="Corfu - Naples"/>
    <x v="179"/>
    <s v="F-ALCE"/>
    <n v="29"/>
    <n v="8"/>
    <n v="5"/>
    <n v="3"/>
    <n v="5"/>
    <n v="2"/>
    <n v="3"/>
    <n v="0"/>
    <s v="Crashed into a mountain after encountering a mountain wave.."/>
    <n v="3"/>
    <n v="0.625"/>
    <x v="0"/>
  </r>
  <r>
    <n v="314"/>
    <x v="295"/>
    <x v="22"/>
    <x v="0"/>
    <s v="Unknown"/>
    <s v="Traunstein, Germany"/>
    <s v="Eurasia"/>
    <s v="Unknown"/>
    <s v="Unknown"/>
    <x v="148"/>
    <s v="D-4"/>
    <n v="2737"/>
    <n v="4"/>
    <n v="2"/>
    <n v="2"/>
    <n v="4"/>
    <n v="2"/>
    <n v="2"/>
    <n v="0"/>
    <s v="Crashed on a test flight before delivery to Eurasia in China."/>
    <n v="0"/>
    <n v="1"/>
    <x v="1"/>
  </r>
  <r>
    <n v="315"/>
    <x v="296"/>
    <x v="22"/>
    <x v="0"/>
    <d v="1899-12-30T15:00:00"/>
    <s v="Near Viladrau, Spain"/>
    <s v="Aeropostale - La Tecoere Company"/>
    <s v="Unknown"/>
    <s v="Paris - Morroco"/>
    <x v="180"/>
    <s v="F-AJIX"/>
    <n v="1701"/>
    <n v="6"/>
    <n v="3"/>
    <n v="3"/>
    <n v="6"/>
    <n v="3"/>
    <n v="3"/>
    <n v="0"/>
    <s v="Crashed after being forced down to the ground by strong downdrafts."/>
    <n v="0"/>
    <n v="1"/>
    <x v="1"/>
  </r>
  <r>
    <n v="316"/>
    <x v="297"/>
    <x v="22"/>
    <x v="0"/>
    <d v="1899-12-30T03:15:00"/>
    <s v="Bowling Green, Virginia"/>
    <s v="Eastern Air Transport"/>
    <s v="Unknown"/>
    <s v="Unknown"/>
    <x v="181"/>
    <s v="Unknown"/>
    <s v="Unknown"/>
    <n v="1"/>
    <n v="0"/>
    <n v="1"/>
    <n v="1"/>
    <n v="0"/>
    <n v="1"/>
    <n v="0"/>
    <s v="The mail plane had engine faiure and crashed into a ravine."/>
    <n v="0"/>
    <n v="1"/>
    <x v="1"/>
  </r>
  <r>
    <n v="317"/>
    <x v="298"/>
    <x v="22"/>
    <x v="0"/>
    <d v="1899-12-30T17:00:00"/>
    <s v="Glenview, Illinois"/>
    <s v="Palwaukee"/>
    <s v="Unknown"/>
    <s v="Sightseeing"/>
    <x v="182"/>
    <s v="NC-141M"/>
    <s v="Unknown"/>
    <n v="9"/>
    <n v="7"/>
    <n v="2"/>
    <n v="9"/>
    <n v="7"/>
    <n v="2"/>
    <n v="0"/>
    <s v="After attempting to land in lake Michigan the pilot encounter rough water and aborted the landing. While taking off the right wing separated from the plane due to the previous rough landing,"/>
    <n v="0"/>
    <n v="1"/>
    <x v="1"/>
  </r>
  <r>
    <n v="318"/>
    <x v="299"/>
    <x v="22"/>
    <x v="0"/>
    <d v="1899-12-30T15:40:00"/>
    <s v="Aegean Sea"/>
    <s v="Societa Anonima Aero Expresso Italiana"/>
    <s v="Unknown"/>
    <s v="Athens - Rhodes"/>
    <x v="183"/>
    <s v="I-AZEE"/>
    <n v="127"/>
    <n v="6"/>
    <n v="2"/>
    <n v="4"/>
    <n v="6"/>
    <n v="2"/>
    <n v="4"/>
    <n v="0"/>
    <s v="The float plane was forced to ditch in gale force winds. No trace of the plane or those onboard were ever found."/>
    <n v="0"/>
    <n v="1"/>
    <x v="1"/>
  </r>
  <r>
    <n v="319"/>
    <x v="300"/>
    <x v="22"/>
    <x v="0"/>
    <d v="1899-12-30T01:00:00"/>
    <s v="Quay, New Mexico"/>
    <s v="Trans Continental and Western Air"/>
    <s v="Unknown"/>
    <s v="Amarillo, TX - Albuquerque, NM"/>
    <x v="102"/>
    <s v="NC9607"/>
    <s v="5-AT-005"/>
    <n v="5"/>
    <n v="3"/>
    <n v="2"/>
    <n v="5"/>
    <n v="3"/>
    <n v="2"/>
    <n v="0"/>
    <s v="Crashed into a mountain slope  during a storm while attempting to make an emergency landing."/>
    <n v="0"/>
    <n v="1"/>
    <x v="1"/>
  </r>
  <r>
    <n v="320"/>
    <x v="301"/>
    <x v="22"/>
    <x v="0"/>
    <s v="Unknown"/>
    <s v="Near Ljubljana, Yugoslavia"/>
    <s v="Aeroput"/>
    <s v="Unknown"/>
    <s v="Ljubjana - Susak, Croatia"/>
    <x v="184"/>
    <s v="YU-SAH"/>
    <s v="Unknown"/>
    <n v="8"/>
    <n v="6"/>
    <n v="2"/>
    <n v="8"/>
    <n v="6"/>
    <n v="2"/>
    <n v="0"/>
    <s v="Crashed on the grounds of an insane asylum after losing an engine on takeoff."/>
    <n v="0"/>
    <n v="1"/>
    <x v="1"/>
  </r>
  <r>
    <n v="321"/>
    <x v="302"/>
    <x v="22"/>
    <x v="0"/>
    <d v="1899-12-30T21:00:00"/>
    <s v="Chesterton, Indiana"/>
    <s v="United Air Lines"/>
    <s v="Unknown"/>
    <s v="Newark - Cleveland - Chicago - Oakland"/>
    <x v="185"/>
    <s v="NC13304"/>
    <n v="1685"/>
    <n v="10"/>
    <n v="7"/>
    <n v="3"/>
    <n v="10"/>
    <n v="7"/>
    <n v="3"/>
    <n v="0"/>
    <s v="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
    <n v="0"/>
    <n v="1"/>
    <x v="1"/>
  </r>
  <r>
    <n v="322"/>
    <x v="303"/>
    <x v="22"/>
    <x v="0"/>
    <d v="1899-12-30T11:20:00"/>
    <s v="Etobon, France"/>
    <s v="Air France"/>
    <s v="Unknown"/>
    <s v="Zurich - Basel - Paris"/>
    <x v="186"/>
    <s v="F-AJMI"/>
    <n v="4"/>
    <n v="5"/>
    <n v="2"/>
    <n v="3"/>
    <n v="2"/>
    <n v="1"/>
    <n v="1"/>
    <n v="0"/>
    <s v="No data available"/>
    <n v="3"/>
    <n v="0.4"/>
    <x v="0"/>
  </r>
  <r>
    <n v="323"/>
    <x v="304"/>
    <x v="22"/>
    <x v="0"/>
    <d v="1899-12-30T22:35:00"/>
    <s v="Portland, Oregon"/>
    <s v="United Air Lines"/>
    <s v="Unknown"/>
    <s v="Seattle, WA - Dallas, TX"/>
    <x v="185"/>
    <s v="NC13345"/>
    <n v="1772"/>
    <n v="10"/>
    <n v="7"/>
    <n v="3"/>
    <n v="4"/>
    <n v="3"/>
    <n v="1"/>
    <s v="NULL"/>
    <s v="Crashed in a thickly wooded area upon taking off after the pilot became lost in fog."/>
    <n v="6"/>
    <n v="0.4"/>
    <x v="0"/>
  </r>
  <r>
    <n v="324"/>
    <x v="305"/>
    <x v="22"/>
    <x v="0"/>
    <s v="Unknown"/>
    <s v="Moriarty, New Mexico"/>
    <s v="Trans Continental and Western Air"/>
    <s v="Unknown"/>
    <s v="Unknown"/>
    <x v="187"/>
    <s v="NC12292"/>
    <n v="3"/>
    <n v="1"/>
    <n v="0"/>
    <n v="1"/>
    <n v="0"/>
    <n v="0"/>
    <n v="0"/>
    <n v="0"/>
    <s v="The pilot bailed out after the engine caught fire. He was not injured."/>
    <n v="1"/>
    <n v="0"/>
    <x v="2"/>
  </r>
  <r>
    <n v="325"/>
    <x v="306"/>
    <x v="22"/>
    <x v="0"/>
    <s v="Unknown"/>
    <s v="Near Tsinan, China"/>
    <s v="China National Aviation Corporation"/>
    <s v="Unknown"/>
    <s v="Canton - Shanghai"/>
    <x v="156"/>
    <s v="Unknown"/>
    <s v="Unknown"/>
    <n v="8"/>
    <n v="7"/>
    <n v="1"/>
    <n v="8"/>
    <n v="7"/>
    <n v="1"/>
    <s v="NULL"/>
    <s v="Crashed into the Chingshan mountain range in fog."/>
    <n v="0"/>
    <n v="1"/>
    <x v="1"/>
  </r>
  <r>
    <n v="326"/>
    <x v="307"/>
    <x v="22"/>
    <x v="0"/>
    <d v="1899-12-30T15:00:00"/>
    <s v="Near Kharkov, Ukraine, USSR"/>
    <s v="Kalinin"/>
    <s v="Unknown"/>
    <s v="Test flight"/>
    <x v="188"/>
    <s v="Unknown"/>
    <s v="Unknown"/>
    <n v="20"/>
    <n v="0"/>
    <n v="20"/>
    <n v="14"/>
    <n v="0"/>
    <n v="14"/>
    <n v="0"/>
    <s v="Crashed due to structural failure during a test flight."/>
    <n v="6"/>
    <n v="0.7"/>
    <x v="1"/>
  </r>
  <r>
    <n v="327"/>
    <x v="308"/>
    <x v="22"/>
    <x v="0"/>
    <s v="Unknown"/>
    <s v="Wedron, Illinois"/>
    <s v="National Air Transport"/>
    <s v="Unknown"/>
    <s v="Unknown"/>
    <x v="185"/>
    <s v="NC13324"/>
    <n v="1705"/>
    <n v="2"/>
    <n v="0"/>
    <n v="2"/>
    <n v="2"/>
    <n v="0"/>
    <n v="2"/>
    <n v="0"/>
    <s v="Crashed under unknown circumstances."/>
    <n v="0"/>
    <n v="1"/>
    <x v="1"/>
  </r>
  <r>
    <n v="328"/>
    <x v="309"/>
    <x v="22"/>
    <x v="0"/>
    <d v="1899-12-30T16:00:00"/>
    <s v="Hamburg, Germany"/>
    <s v="Deutsche Lufthansa"/>
    <s v="Unknown"/>
    <s v="Berlin - Hamburg"/>
    <x v="189"/>
    <s v="D-1403"/>
    <n v="47"/>
    <n v="10"/>
    <n v="8"/>
    <n v="2"/>
    <n v="6"/>
    <n v="4"/>
    <n v="2"/>
    <n v="0"/>
    <s v="Crashed after striking an obstacle while landing in poor visibility and snow."/>
    <n v="4"/>
    <n v="0.6"/>
    <x v="0"/>
  </r>
  <r>
    <n v="329"/>
    <x v="310"/>
    <x v="22"/>
    <x v="0"/>
    <s v="Unknown"/>
    <s v="Eshowe, South Africa"/>
    <s v="Union Airways"/>
    <s v="Unknown"/>
    <s v="Unknown"/>
    <x v="148"/>
    <s v="ZS-AEB"/>
    <n v="2735"/>
    <n v="6"/>
    <n v="4"/>
    <n v="2"/>
    <n v="5"/>
    <n v="3"/>
    <n v="2"/>
    <n v="0"/>
    <s v="Crashed in poor weather conditions while enroute."/>
    <n v="1"/>
    <n v="0.83333333333333337"/>
    <x v="1"/>
  </r>
  <r>
    <n v="330"/>
    <x v="311"/>
    <x v="22"/>
    <x v="0"/>
    <d v="1899-12-30T13:00:00"/>
    <s v="Near Ruysselede, Belgium"/>
    <s v="Imperial Airways"/>
    <s v="Unknown"/>
    <s v="Brussels, Belgium - Croydon, England"/>
    <x v="145"/>
    <s v="G-ABLU"/>
    <n v="528"/>
    <n v="10"/>
    <n v="8"/>
    <n v="2"/>
    <n v="10"/>
    <n v="8"/>
    <n v="2"/>
    <n v="0"/>
    <s v="Crashed  into a field in desnse fog after hitting a radio antenna tower which tore off a wing."/>
    <n v="0"/>
    <n v="1"/>
    <x v="1"/>
  </r>
  <r>
    <n v="331"/>
    <x v="312"/>
    <x v="23"/>
    <x v="0"/>
    <d v="1899-12-30T18:15:00"/>
    <s v="Corbigny, France"/>
    <s v="Air France"/>
    <s v="Unknown"/>
    <s v="Saigon - Paris"/>
    <x v="190"/>
    <s v="F-AMMY"/>
    <n v="1"/>
    <n v="14"/>
    <n v="10"/>
    <n v="4"/>
    <n v="14"/>
    <n v="10"/>
    <n v="4"/>
    <n v="0"/>
    <s v="The aircraft crashed while en route in a severe snowstorm.  Icing. The aircraft was named &quot;Emeraude.&quot;"/>
    <n v="0"/>
    <n v="1"/>
    <x v="1"/>
  </r>
  <r>
    <n v="332"/>
    <x v="313"/>
    <x v="23"/>
    <x v="0"/>
    <s v="Unknown"/>
    <s v="Carombe, France"/>
    <s v="Air France"/>
    <s v="Unknown"/>
    <s v="Unknown"/>
    <x v="191"/>
    <s v="F-AJKX"/>
    <s v="Unknown"/>
    <n v="2"/>
    <s v="NULL"/>
    <s v="NULL"/>
    <n v="2"/>
    <s v="NULL"/>
    <s v="NULL"/>
    <n v="0"/>
    <s v="No data available"/>
    <n v="0"/>
    <n v="1"/>
    <x v="1"/>
  </r>
  <r>
    <n v="333"/>
    <x v="314"/>
    <x v="23"/>
    <x v="0"/>
    <d v="1899-12-30T14:15:00"/>
    <s v="Near Salt Lake City, Utah"/>
    <s v="Boeing Aircraft Company"/>
    <s v="Unknown"/>
    <s v="Salt Lake City - Cheyenne"/>
    <x v="185"/>
    <s v="NC13357"/>
    <n v="1739"/>
    <n v="8"/>
    <n v="5"/>
    <n v="3"/>
    <n v="8"/>
    <n v="5"/>
    <n v="3"/>
    <n v="0"/>
    <s v="Crashed on top of Parley's Canyon, 20 miles from Salt Lake City shortly after taking off for Cheyenne. Pilot error. The crew failed to gain sufficient altitude to clear rapidly rising terrain."/>
    <n v="0"/>
    <n v="1"/>
    <x v="1"/>
  </r>
  <r>
    <n v="334"/>
    <x v="315"/>
    <x v="23"/>
    <x v="0"/>
    <s v="Unknown"/>
    <s v="Rio de Oro, Morocco"/>
    <s v="Air France"/>
    <s v="Unknown"/>
    <s v="Unknown"/>
    <x v="192"/>
    <s v="F-AJPA"/>
    <n v="925"/>
    <n v="6"/>
    <s v="NULL"/>
    <s v="NULL"/>
    <n v="1"/>
    <s v="NULL"/>
    <s v="NULL"/>
    <n v="0"/>
    <s v="No data available"/>
    <n v="5"/>
    <n v="0.16666666666666666"/>
    <x v="2"/>
  </r>
  <r>
    <n v="335"/>
    <x v="316"/>
    <x v="23"/>
    <x v="0"/>
    <s v="Unknown"/>
    <s v="Petersburg, Illinois"/>
    <s v="American Airways"/>
    <s v="Unknown"/>
    <s v="St. Louis, MO - Chicago, IL"/>
    <x v="158"/>
    <s v="NC710Y"/>
    <n v="6606"/>
    <n v="4"/>
    <n v="3"/>
    <n v="1"/>
    <n v="4"/>
    <n v="3"/>
    <s v="NULL"/>
    <n v="0"/>
    <s v="Crashed into a snow drift due to icing in a blizzard."/>
    <n v="0"/>
    <n v="1"/>
    <x v="1"/>
  </r>
  <r>
    <n v="336"/>
    <x v="317"/>
    <x v="23"/>
    <x v="0"/>
    <s v="Unknown"/>
    <s v="Pereira, Colombia"/>
    <s v="Pan American Airways (Scadta)"/>
    <s v="Unknown"/>
    <s v="Quiddo - Cartago"/>
    <x v="193"/>
    <s v="NC-9107"/>
    <s v="Unknown"/>
    <n v="6"/>
    <n v="4"/>
    <n v="2"/>
    <n v="5"/>
    <n v="3"/>
    <n v="2"/>
    <n v="0"/>
    <s v="Scadta was a Pan Am subsidiary.  It was operating a domestic flight, which crashed in the Colombian jungle, which was called &quot;Green Hell.&quot;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
    <n v="1"/>
    <n v="0.83333333333333337"/>
    <x v="1"/>
  </r>
  <r>
    <n v="337"/>
    <x v="318"/>
    <x v="23"/>
    <x v="0"/>
    <s v="Unknown"/>
    <s v="Near Lima, Peru"/>
    <s v="Pan American Grace Airlines"/>
    <s v="Unknown"/>
    <s v="Unknown"/>
    <x v="194"/>
    <s v="NC407H"/>
    <s v="5-AT-066"/>
    <n v="15"/>
    <n v="12"/>
    <n v="3"/>
    <n v="3"/>
    <n v="0"/>
    <n v="3"/>
    <n v="0"/>
    <s v="Crashed on take off due to engine failure."/>
    <n v="12"/>
    <n v="0.2"/>
    <x v="2"/>
  </r>
  <r>
    <n v="338"/>
    <x v="319"/>
    <x v="23"/>
    <x v="0"/>
    <s v="Unknown"/>
    <s v="Ningpo Bay, China"/>
    <s v="China National Aviation Corporation"/>
    <s v="Unknown"/>
    <s v="Unknown"/>
    <x v="195"/>
    <s v="NV17V"/>
    <s v="Unknown"/>
    <n v="3"/>
    <n v="1"/>
    <n v="2"/>
    <n v="3"/>
    <n v="1"/>
    <n v="2"/>
    <n v="0"/>
    <s v="No data available"/>
    <n v="0"/>
    <n v="1"/>
    <x v="1"/>
  </r>
  <r>
    <n v="339"/>
    <x v="320"/>
    <x v="23"/>
    <x v="0"/>
    <s v="Unknown"/>
    <s v="English Channel"/>
    <s v="Air France"/>
    <s v="Unknown"/>
    <s v="Dieppe, France - New Haven, England"/>
    <x v="196"/>
    <s v="F-AMPH"/>
    <n v="8"/>
    <n v="6"/>
    <n v="3"/>
    <n v="3"/>
    <n v="6"/>
    <n v="3"/>
    <n v="3"/>
    <n v="0"/>
    <s v="Crashed into the English Channel and sunk immedately in fog."/>
    <n v="0"/>
    <n v="1"/>
    <x v="1"/>
  </r>
  <r>
    <n v="340"/>
    <x v="321"/>
    <x v="23"/>
    <x v="0"/>
    <d v="1899-12-30T05:00:00"/>
    <s v="Croydon, England"/>
    <s v="Air France"/>
    <s v="Unknown"/>
    <s v="Croydon, England - Paris, France"/>
    <x v="168"/>
    <s v="F-AIVG"/>
    <s v="Unknown"/>
    <n v="2"/>
    <n v="0"/>
    <n v="2"/>
    <n v="2"/>
    <n v="0"/>
    <n v="2"/>
    <n v="0"/>
    <s v="The cargo plane struck an aerial mast and crashed into houses while attempting to take off."/>
    <n v="0"/>
    <n v="1"/>
    <x v="1"/>
  </r>
  <r>
    <n v="341"/>
    <x v="322"/>
    <x v="23"/>
    <x v="0"/>
    <d v="1899-12-30T17:00:00"/>
    <s v="Mongaup Mountain, New York"/>
    <s v="American Airways"/>
    <s v="Unknown"/>
    <s v="New York - Chicago"/>
    <x v="197"/>
    <s v="NC12354"/>
    <n v="22"/>
    <n v="7"/>
    <n v="4"/>
    <n v="3"/>
    <n v="7"/>
    <n v="4"/>
    <n v="3"/>
    <n v="0"/>
    <s v="Crashed into Last Chance Hill in the Catskill Mountains at an altitude of 2,000 feet in fog and thunderstorms while en route. Pilot deviated from the prescribed course and flew over hazardous terrain."/>
    <n v="0"/>
    <n v="1"/>
    <x v="1"/>
  </r>
  <r>
    <n v="342"/>
    <x v="323"/>
    <x v="23"/>
    <x v="0"/>
    <d v="1899-12-30T11:00:00"/>
    <s v="Junin, Argentina"/>
    <s v="Panagra"/>
    <s v="Unknown"/>
    <s v="Buenos Aires - Santiago"/>
    <x v="194"/>
    <s v="NC8417"/>
    <s v="5-AT-055"/>
    <n v="10"/>
    <n v="7"/>
    <n v="3"/>
    <n v="6"/>
    <n v="3"/>
    <n v="3"/>
    <n v="0"/>
    <s v="Crashed into Mar Chiquita Lagoon during a heavy rainstorm. The aircraft was named &quot;San Pedro.&quot;"/>
    <n v="4"/>
    <n v="0.6"/>
    <x v="0"/>
  </r>
  <r>
    <n v="343"/>
    <x v="324"/>
    <x v="23"/>
    <x v="0"/>
    <s v="Unknown"/>
    <s v="Chausseehausen, Germany"/>
    <s v="Deutsche Lufthansa"/>
    <s v="Unknown"/>
    <s v="Unknown"/>
    <x v="77"/>
    <s v="D-1445"/>
    <n v="176"/>
    <n v="7"/>
    <n v="5"/>
    <n v="2"/>
    <n v="1"/>
    <n v="0"/>
    <n v="1"/>
    <n v="0"/>
    <s v="Weather related."/>
    <n v="6"/>
    <n v="0.14285714285714285"/>
    <x v="2"/>
  </r>
  <r>
    <n v="344"/>
    <x v="325"/>
    <x v="23"/>
    <x v="0"/>
    <d v="1899-12-30T06:00:00"/>
    <s v="Burbank, California"/>
    <s v="Aerevias Centrales Air Service"/>
    <s v="Unknown"/>
    <s v="Mexico - Burbank"/>
    <x v="198"/>
    <s v="XA-BEJ"/>
    <s v="Unknown"/>
    <n v="1"/>
    <n v="0"/>
    <n v="1"/>
    <n v="1"/>
    <n v="0"/>
    <n v="1"/>
    <n v="0"/>
    <s v="Crashed while en route to pick up passengers. The plane crashed near a fire station in heavy fog and burst into flames killing the pilot."/>
    <n v="0"/>
    <n v="1"/>
    <x v="1"/>
  </r>
  <r>
    <n v="345"/>
    <x v="326"/>
    <x v="23"/>
    <x v="0"/>
    <s v="Unknown"/>
    <s v="San Bernardino, California"/>
    <s v="United Air Services"/>
    <s v="Unknown"/>
    <s v="San Bernardion - Los Angeles"/>
    <x v="113"/>
    <s v="NC32E"/>
    <n v="33"/>
    <n v="4"/>
    <n v="3"/>
    <n v="1"/>
    <n v="3"/>
    <n v="2"/>
    <n v="1"/>
    <n v="0"/>
    <s v="Failed to gain altitude and struck a grove of trees while attempting to take off. The plane came to rest in a watermelon patch."/>
    <n v="1"/>
    <n v="0.75"/>
    <x v="1"/>
  </r>
  <r>
    <n v="346"/>
    <x v="327"/>
    <x v="23"/>
    <x v="0"/>
    <d v="1899-12-30T09:50:00"/>
    <s v="Near Tuttlingen, Germany"/>
    <s v="Swissair"/>
    <s v="Unknown"/>
    <s v="Zurich - Stuttgart - Leipzig - Berlin"/>
    <x v="199"/>
    <s v="CH-170"/>
    <n v="53"/>
    <n v="12"/>
    <n v="9"/>
    <n v="3"/>
    <n v="12"/>
    <n v="9"/>
    <n v="3"/>
    <n v="0"/>
    <s v="The aircraft crashed during a violent storm near the Swiss - Germany border. The plane fell from a height of 3,000 feet, bursting into flames. Failure of the right wing caused by fractures in the structure which occurred because of  oscillations in the wing."/>
    <n v="0"/>
    <n v="1"/>
    <x v="1"/>
  </r>
  <r>
    <n v="347"/>
    <x v="328"/>
    <x v="23"/>
    <x v="0"/>
    <s v="Unknown"/>
    <s v="Bahia, Brazil"/>
    <s v="Air France"/>
    <s v="Unknown"/>
    <s v="Unknown"/>
    <x v="84"/>
    <s v="F-AILK"/>
    <n v="662"/>
    <n v="2"/>
    <n v="0"/>
    <n v="2"/>
    <n v="2"/>
    <n v="0"/>
    <n v="2"/>
    <n v="0"/>
    <s v="The crew lost control of the aircraft and crashed while taking off from Bahia while on a mail flight."/>
    <n v="0"/>
    <n v="1"/>
    <x v="1"/>
  </r>
  <r>
    <n v="348"/>
    <x v="329"/>
    <x v="23"/>
    <x v="0"/>
    <s v="Unknown"/>
    <s v="Ningbo, China"/>
    <s v="China National Aviation Corporation"/>
    <s v="Unknown"/>
    <s v="Unknown"/>
    <x v="200"/>
    <s v="Unknown"/>
    <s v="Unknown"/>
    <s v="NULL"/>
    <s v="NULL"/>
    <s v="NULL"/>
    <s v="NULL"/>
    <s v="NULL"/>
    <s v="NULL"/>
    <s v="NULL"/>
    <s v="No data available"/>
    <s v="NULL"/>
    <n v="0"/>
    <x v="2"/>
  </r>
  <r>
    <n v="349"/>
    <x v="330"/>
    <x v="23"/>
    <x v="0"/>
    <d v="1899-12-30T22:45:00"/>
    <s v="Amazonia, Missouri"/>
    <s v="Rapid Air Transport"/>
    <n v="6"/>
    <s v="Kansas City - Saint Joseph - Omaha"/>
    <x v="160"/>
    <s v="NC11118"/>
    <n v="5004"/>
    <n v="5"/>
    <n v="4"/>
    <n v="1"/>
    <n v="5"/>
    <n v="4"/>
    <n v="1"/>
    <n v="0"/>
    <s v="The plane crashed about 11 miles from St. Joseph in heavy fog. Pilot error in taking off in dangerous weather conditions and turning too close the the ground in a fog-bound area. Inaccurate weather conditions reported to the pilot."/>
    <n v="0"/>
    <n v="1"/>
    <x v="1"/>
  </r>
  <r>
    <n v="350"/>
    <x v="331"/>
    <x v="23"/>
    <x v="0"/>
    <d v="1899-12-30T10:50:00"/>
    <s v="English Channel"/>
    <s v="Hillman's Airways"/>
    <s v="Unknown"/>
    <s v="Croydon - Paris"/>
    <x v="201"/>
    <s v="G-ACPM"/>
    <s v="Unknown"/>
    <n v="7"/>
    <n v="6"/>
    <n v="1"/>
    <n v="7"/>
    <n v="6"/>
    <n v="1"/>
    <n v="0"/>
    <s v="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quot;s lack of skill and knowledge in matters of navigation ."/>
    <n v="0"/>
    <n v="1"/>
    <x v="1"/>
  </r>
  <r>
    <n v="351"/>
    <x v="332"/>
    <x v="23"/>
    <x v="0"/>
    <s v="Unknown"/>
    <s v="Near Winton, Australia"/>
    <s v="Qantas"/>
    <s v="Unknown"/>
    <s v="Unknown"/>
    <x v="202"/>
    <s v="VH-UHE"/>
    <n v="4"/>
    <n v="3"/>
    <n v="2"/>
    <n v="1"/>
    <n v="3"/>
    <n v="2"/>
    <n v="1"/>
    <n v="0"/>
    <s v="Crashed after in-flight loss of control, possibly stalled at low altitude in dusty low-visibility conditions."/>
    <n v="0"/>
    <n v="1"/>
    <x v="1"/>
  </r>
  <r>
    <n v="352"/>
    <x v="333"/>
    <x v="23"/>
    <x v="0"/>
    <s v="Unknown"/>
    <s v="Bass Strait, Australia"/>
    <s v="Holymans Airways"/>
    <s v="Unknown"/>
    <s v="Launceston, Tasmania - Melbourne, Australia"/>
    <x v="203"/>
    <s v="VH-URN"/>
    <n v="2301"/>
    <n v="11"/>
    <n v="10"/>
    <n v="1"/>
    <n v="11"/>
    <n v="10"/>
    <n v="1"/>
    <n v="0"/>
    <s v="Crashed 10 miles off the coast under unknown circumstances"/>
    <n v="0"/>
    <n v="1"/>
    <x v="1"/>
  </r>
  <r>
    <n v="353"/>
    <x v="334"/>
    <x v="23"/>
    <x v="0"/>
    <s v="Unknown"/>
    <s v="Kiapit, Australia"/>
    <s v="Holdens Air Transport Service"/>
    <s v="Unknown"/>
    <s v="Rabaul - Kaiapit"/>
    <x v="204"/>
    <s v="VH-UHW"/>
    <n v="330"/>
    <n v="4"/>
    <n v="2"/>
    <n v="2"/>
    <n v="2"/>
    <n v="2"/>
    <n v="0"/>
    <n v="0"/>
    <s v="On final approach to Kaiapit, the aircraft was too low and hit a house short of runway and caught fir. The aircraft was named &quot;Canberra.&quot;"/>
    <n v="2"/>
    <n v="0.5"/>
    <x v="0"/>
  </r>
  <r>
    <n v="354"/>
    <x v="335"/>
    <x v="23"/>
    <x v="0"/>
    <s v="Unknown"/>
    <s v="Near Longreach, Australia"/>
    <s v="Qantas"/>
    <s v="Unknown"/>
    <s v="London - Sydney"/>
    <x v="203"/>
    <s v="VH-USG"/>
    <n v="2311"/>
    <n v="4"/>
    <n v="3"/>
    <n v="1"/>
    <n v="4"/>
    <n v="3"/>
    <n v="1"/>
    <n v="0"/>
    <s v="The aircraft suddenly went out of control and crashed to the ground on its delivery flight from England to Brisbane. Improper loading of parts resulting in an aft center of gravity."/>
    <n v="0"/>
    <n v="1"/>
    <x v="1"/>
  </r>
  <r>
    <n v="355"/>
    <x v="335"/>
    <x v="23"/>
    <x v="0"/>
    <d v="1899-12-30T23:42:00"/>
    <s v="Amazonia, Montana"/>
    <s v="Rapid Air Transport"/>
    <s v="Unknown"/>
    <s v="Omaha - Kansas City"/>
    <x v="205"/>
    <s v="NC10809"/>
    <n v="5031"/>
    <n v="2"/>
    <n v="0"/>
    <n v="2"/>
    <n v="2"/>
    <n v="0"/>
    <n v="2"/>
    <n v="0"/>
    <s v="While flying at night in marginal weather conditions, the pilot flew too close to the ground  hit trees and crashed in flames in a wooded area.  The pilot committed an error in judgment in turning too close to the ground in a fog bound area."/>
    <n v="0"/>
    <n v="1"/>
    <x v="1"/>
  </r>
  <r>
    <n v="356"/>
    <x v="336"/>
    <x v="23"/>
    <x v="0"/>
    <s v="Unknown"/>
    <s v="Salchau, Germany"/>
    <s v="Deutsche Lufthansa"/>
    <s v="Unknown"/>
    <s v="Berlin - Hanover"/>
    <x v="32"/>
    <s v="D-OMAS"/>
    <n v="2008"/>
    <n v="3"/>
    <n v="0"/>
    <n v="3"/>
    <n v="3"/>
    <n v="0"/>
    <n v="3"/>
    <n v="0"/>
    <s v="Crashed under unknown circumstances"/>
    <n v="0"/>
    <n v="1"/>
    <x v="1"/>
  </r>
  <r>
    <n v="357"/>
    <x v="337"/>
    <x v="23"/>
    <x v="0"/>
    <d v="1899-12-30T05:30:00"/>
    <s v="Columbia, Missouri"/>
    <s v="Braniff Airlines"/>
    <s v="Unknown"/>
    <s v="Kansas City, MO - Chicago, IL"/>
    <x v="206"/>
    <s v="NC106W"/>
    <n v="123"/>
    <n v="1"/>
    <n v="0"/>
    <n v="1"/>
    <n v="1"/>
    <n v="0"/>
    <n v="1"/>
    <n v="0"/>
    <s v="The mail plane crashed to the ground from a low altitude. Icing."/>
    <n v="0"/>
    <n v="1"/>
    <x v="1"/>
  </r>
  <r>
    <n v="358"/>
    <x v="338"/>
    <x v="23"/>
    <x v="0"/>
    <d v="1899-12-30T07:30:00"/>
    <s v="Palma Soriano, Cuba"/>
    <s v="Cubana de Aviacion"/>
    <s v="Unknown"/>
    <s v="Havana - Santiago de Cuba"/>
    <x v="207"/>
    <s v="NM-7"/>
    <s v="4-AT-63"/>
    <n v="8"/>
    <n v="5"/>
    <n v="3"/>
    <n v="4"/>
    <n v="2"/>
    <n v="2"/>
    <n v="0"/>
    <s v="Crashed into a mountain in poor weater condtions and low visiblity while en route."/>
    <n v="4"/>
    <n v="0.5"/>
    <x v="0"/>
  </r>
  <r>
    <n v="359"/>
    <x v="339"/>
    <x v="23"/>
    <x v="0"/>
    <d v="1899-12-30T03:33:00"/>
    <s v="Rutbah Wells, Syria"/>
    <s v="KLM Royal Dutch Airlines"/>
    <s v="Unknown"/>
    <s v="Amsterdam - Batavia, Java"/>
    <x v="208"/>
    <s v="PH-AJU"/>
    <n v="1317"/>
    <n v="7"/>
    <n v="3"/>
    <n v="4"/>
    <n v="7"/>
    <n v="3"/>
    <n v="4"/>
    <n v="0"/>
    <s v="While flying over the Iraqi Desert at night, the crew encountered poor weather conditions and decided to divert to Rutbah Wells. On approach, the aircraft impacted the ground and exploded.16 km from Rutbah Wells airfield. The aircraft was named &quot;Uiver&quot; (Dutch word for stork)."/>
    <n v="0"/>
    <n v="1"/>
    <x v="1"/>
  </r>
  <r>
    <n v="360"/>
    <x v="340"/>
    <x v="23"/>
    <x v="0"/>
    <d v="1899-12-30T02:52:00"/>
    <s v="Sunbright, Tennessee"/>
    <s v="American Airlines"/>
    <s v="Unknown"/>
    <s v="Louisville, KY - Nashville, TN"/>
    <x v="209"/>
    <s v="NC12286"/>
    <n v="198"/>
    <n v="1"/>
    <n v="0"/>
    <n v="1"/>
    <n v="1"/>
    <n v="0"/>
    <n v="1"/>
    <n v="0"/>
    <s v="Crashed into Big Pilot mountain, 50 feet from the top of the summit, four miles from Sunbright, in poor visibility. The battery-generator system failed, thus causing an error in the ship's compass and probably affecting other essential navigation instruments."/>
    <n v="0"/>
    <n v="1"/>
    <x v="1"/>
  </r>
  <r>
    <n v="361"/>
    <x v="341"/>
    <x v="23"/>
    <x v="0"/>
    <s v="Unknown"/>
    <m/>
    <s v="Aeroflot"/>
    <s v="Unknown"/>
    <s v="Unknown"/>
    <x v="210"/>
    <s v="Unknown"/>
    <s v="Unknown"/>
    <n v="10"/>
    <n v="8"/>
    <n v="2"/>
    <n v="10"/>
    <n v="8"/>
    <n v="2"/>
    <n v="0"/>
    <s v="Crashed under unknown circumstances."/>
    <n v="0"/>
    <n v="1"/>
    <x v="1"/>
  </r>
  <r>
    <n v="362"/>
    <x v="342"/>
    <x v="24"/>
    <x v="0"/>
    <s v="Unknown"/>
    <s v="Near Karachi, Pakistan"/>
    <s v="Indian Air Force"/>
    <s v="Unknown"/>
    <s v="Training"/>
    <x v="211"/>
    <s v="Unknown"/>
    <s v="Unknown"/>
    <n v="2"/>
    <n v="0"/>
    <n v="2"/>
    <n v="0"/>
    <n v="0"/>
    <n v="2"/>
    <n v="15"/>
    <s v="Crashed into a column of soldiers during training. The crew survived with injuries but 15 soldiers were killed and 11 injured. Later the pilot was court-martialled and dismissed."/>
    <n v="2"/>
    <n v="0"/>
    <x v="2"/>
  </r>
  <r>
    <n v="363"/>
    <x v="343"/>
    <x v="24"/>
    <x v="0"/>
    <s v="Unknown"/>
    <s v="Pittsburgh, Pennsylvania"/>
    <s v="Trans Continental and Western Air"/>
    <s v="Unknown"/>
    <s v="Newark, NJ - Columbus, OH"/>
    <x v="212"/>
    <s v="NC13212"/>
    <s v="Unknown"/>
    <n v="1"/>
    <n v="0"/>
    <n v="1"/>
    <n v="1"/>
    <n v="0"/>
    <n v="1"/>
    <n v="0"/>
    <s v="The mail plane crashed and burned soon after taking off in a blinding snowstorm."/>
    <n v="0"/>
    <n v="1"/>
    <x v="1"/>
  </r>
  <r>
    <n v="364"/>
    <x v="344"/>
    <x v="24"/>
    <x v="0"/>
    <d v="1899-12-30T19:00:00"/>
    <s v="Stettin, Germany"/>
    <s v="Deruluft"/>
    <s v="Unknown"/>
    <s v="Koenigberg - Berlin"/>
    <x v="213"/>
    <s v="D-AREN"/>
    <n v="4051"/>
    <n v="11"/>
    <n v="8"/>
    <n v="3"/>
    <n v="11"/>
    <n v="8"/>
    <n v="3"/>
    <n v="0"/>
    <s v="Crashed full speed into a hill, 450 feet high in rain and fog. Icing."/>
    <n v="0"/>
    <n v="1"/>
    <x v="1"/>
  </r>
  <r>
    <n v="365"/>
    <x v="345"/>
    <x v="24"/>
    <x v="0"/>
    <s v="Unknown"/>
    <s v="Schievelbein, Germany"/>
    <s v="Deruluft"/>
    <s v="Unknown"/>
    <s v="Unknown"/>
    <x v="214"/>
    <s v="D-AJYP"/>
    <n v="45"/>
    <n v="3"/>
    <n v="0"/>
    <n v="3"/>
    <n v="0"/>
    <n v="0"/>
    <n v="0"/>
    <n v="0"/>
    <s v="Fuselage failure forced an emergency landing in a field."/>
    <n v="3"/>
    <n v="0"/>
    <x v="2"/>
  </r>
  <r>
    <n v="366"/>
    <x v="346"/>
    <x v="24"/>
    <x v="0"/>
    <s v="Unknown"/>
    <s v="El Arish, Egypt"/>
    <s v="Misrair"/>
    <s v="Unknown"/>
    <s v="Jerusalem - Cairo"/>
    <x v="215"/>
    <s v="SU-ABI"/>
    <n v="6031"/>
    <n v="6"/>
    <n v="5"/>
    <n v="1"/>
    <n v="3"/>
    <n v="2"/>
    <n v="1"/>
    <n v="0"/>
    <s v="After flying over the airport into a strong headwind, in an attempt to land, one of the aircraft's two engines failed.  While attempting to return to the airport the pilot headed into the strong wind and lost airspeed until he stalled and crashed from a height  of 100 - 130 feet."/>
    <n v="3"/>
    <n v="0.5"/>
    <x v="0"/>
  </r>
  <r>
    <n v="367"/>
    <x v="347"/>
    <x v="24"/>
    <x v="0"/>
    <s v="Unknown"/>
    <s v="Off Samland, Germany"/>
    <s v="Deutsche Lufthansa"/>
    <s v="Unknown"/>
    <s v="Training"/>
    <x v="32"/>
    <s v="D-OHIL"/>
    <s v="Unknown"/>
    <n v="5"/>
    <n v="0"/>
    <n v="5"/>
    <n v="5"/>
    <n v="0"/>
    <n v="5"/>
    <n v="0"/>
    <s v="The crew,(3 student pilots and 2 instructors were performing a training flight over Baltic Sea when the  aircraft crashed into the sea for reasons unknown."/>
    <n v="0"/>
    <n v="1"/>
    <x v="1"/>
  </r>
  <r>
    <n v="368"/>
    <x v="348"/>
    <x v="24"/>
    <x v="0"/>
    <d v="1899-12-30T00:45:00"/>
    <s v="Beauvais, France"/>
    <s v="Air France"/>
    <s v="Unknown"/>
    <s v="Unknown"/>
    <x v="216"/>
    <s v="F-ALHQ"/>
    <s v="7243-2"/>
    <n v="3"/>
    <n v="0"/>
    <n v="3"/>
    <n v="1"/>
    <n v="0"/>
    <n v="1"/>
    <n v="0"/>
    <s v="Shortly after departure, the captain decided to return to Paris because of low visibility. The aircraft hit a tree and crashed in an open field. The chief pilot of Air France, Robert Bajac, 36, was killed. Blame was placed on the aircraft which was found to be unstable in flight."/>
    <n v="2"/>
    <n v="0.33333333333333331"/>
    <x v="2"/>
  </r>
  <r>
    <n v="369"/>
    <x v="349"/>
    <x v="24"/>
    <x v="0"/>
    <d v="1899-12-30T15:20:00"/>
    <s v="Brilon, Germany"/>
    <s v="KLM Royal Dutch Airlines"/>
    <s v="Unknown"/>
    <s v="Praha, Czechoslovakia - Amsterdam, Netherlands"/>
    <x v="217"/>
    <s v="PH-AFL"/>
    <n v="5242"/>
    <n v="7"/>
    <n v="3"/>
    <n v="4"/>
    <n v="7"/>
    <n v="3"/>
    <n v="4"/>
    <n v="0"/>
    <s v="Crashed after the pilot tried to maintain visual contact with the ground in heavy fog and snow. The plane was named &quot;Leeuwerik.&quot; The pilot was unable to distinguish the ground from the surroundings and to establish his real position to continue then flight in a safely manner."/>
    <n v="0"/>
    <n v="1"/>
    <x v="1"/>
  </r>
  <r>
    <n v="370"/>
    <x v="350"/>
    <x v="24"/>
    <x v="0"/>
    <d v="1899-12-30T10:45:00"/>
    <s v="Near Walsenberg, Colorado"/>
    <s v="Varney Air Lines"/>
    <s v="Unknown"/>
    <s v="Pueblo - El Paso"/>
    <x v="113"/>
    <s v="NC891E"/>
    <n v="73"/>
    <n v="1"/>
    <n v="0"/>
    <n v="1"/>
    <n v="1"/>
    <n v="0"/>
    <n v="1"/>
    <n v="0"/>
    <s v="Crashed at Rattlesnake Butte after the plane lost engine power. James Montijo, 40, the man who taught Amelia Earhart to fly, killed. The accidental collision with the ground while doing low flying in violation of the Air Commerce Regulations."/>
    <n v="0"/>
    <n v="1"/>
    <x v="1"/>
  </r>
  <r>
    <n v="371"/>
    <x v="351"/>
    <x v="24"/>
    <x v="0"/>
    <d v="1899-12-30T03:30:00"/>
    <s v="Atlanta, Missouri"/>
    <s v="Trans Continental and Western Air"/>
    <n v="6"/>
    <s v="Los Angeles - Albuquerque - Kanasas City -  Washington"/>
    <x v="218"/>
    <s v="NC13785"/>
    <n v="1295"/>
    <n v="14"/>
    <n v="12"/>
    <n v="2"/>
    <n v="5"/>
    <n v="3"/>
    <n v="2"/>
    <n v="0"/>
    <s v="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
    <n v="9"/>
    <n v="0.35714285714285715"/>
    <x v="0"/>
  </r>
  <r>
    <n v="372"/>
    <x v="352"/>
    <x v="24"/>
    <x v="0"/>
    <d v="1899-12-30T00:45:00"/>
    <s v="Near Moscow, Russia"/>
    <s v="Gor'ky Eskadril'ya"/>
    <s v="Unknown"/>
    <s v="Demonstration"/>
    <x v="219"/>
    <s v="CCCP-I20"/>
    <s v="Unknown"/>
    <n v="50"/>
    <n v="37"/>
    <n v="13"/>
    <n v="50"/>
    <n v="37"/>
    <n v="13"/>
    <n v="2"/>
    <s v="Midair collision with an I-5 fighter at 2,300 ft. The fighter was performing aerobatics trying to loop around the Tupolev. The plane crashed into a residental neighborhood and was on its maiden flight. The plane was nicknamed &quot;Maxim Gorky.&quot;  Pilot error. Forty-nine killed on the Tupolev, one on the I-5"/>
    <n v="0"/>
    <n v="1"/>
    <x v="1"/>
  </r>
  <r>
    <n v="373"/>
    <x v="352"/>
    <x v="24"/>
    <x v="0"/>
    <d v="1899-12-30T18:35:00"/>
    <s v="Flint, Michigan"/>
    <s v="Knowles Flying Service of Detroit"/>
    <s v="Unknown"/>
    <s v="Sightseeing"/>
    <x v="220"/>
    <s v="WC-7864"/>
    <s v="4-AT-49"/>
    <n v="12"/>
    <n v="11"/>
    <n v="1"/>
    <n v="3"/>
    <n v="2"/>
    <n v="1"/>
    <n v="0"/>
    <s v="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
    <n v="9"/>
    <n v="0.25"/>
    <x v="2"/>
  </r>
  <r>
    <n v="374"/>
    <x v="353"/>
    <x v="24"/>
    <x v="0"/>
    <d v="1899-12-30T16:00:00"/>
    <s v="Glendo, Wyoming"/>
    <s v="Wyoming Air Service"/>
    <s v="Unknown"/>
    <s v="Billings - Sheridan - Casper - Cheyenne"/>
    <x v="221"/>
    <s v="NC725W"/>
    <n v="1153"/>
    <n v="1"/>
    <n v="0"/>
    <n v="1"/>
    <n v="1"/>
    <n v="0"/>
    <n v="1"/>
    <n v="0"/>
    <s v="While flying in poor weather conditions, the pilot decided to reduce his altitude to maintain a visual contact with the ground and crashed into a hill. The accidental collision with the ground while flying low due to severe local weather conditions."/>
    <n v="0"/>
    <n v="1"/>
    <x v="1"/>
  </r>
  <r>
    <n v="375"/>
    <x v="354"/>
    <x v="24"/>
    <x v="0"/>
    <d v="1899-12-30T22:25:00"/>
    <s v="Maywood, Illinois"/>
    <s v="Chicago and Southern Airlines"/>
    <s v="Unknown"/>
    <s v="Chicago - St. Louis"/>
    <x v="222"/>
    <s v="NC10894"/>
    <n v="5050"/>
    <n v="2"/>
    <n v="1"/>
    <n v="1"/>
    <n v="2"/>
    <n v="1"/>
    <n v="1"/>
    <n v="0"/>
    <s v="Crashed into the ground on a farm  after the pilot made an abrupt turn to avoid trees, striking the wing on the ground. The unintentional collision with the ground while flying at too low altitude at night."/>
    <n v="0"/>
    <n v="1"/>
    <x v="1"/>
  </r>
  <r>
    <n v="376"/>
    <x v="355"/>
    <x v="24"/>
    <x v="0"/>
    <s v="Unknown"/>
    <s v="San Barbra, Honduras"/>
    <s v="Unknown"/>
    <s v="Unknown"/>
    <s v="Unknown"/>
    <x v="45"/>
    <s v="Unknown"/>
    <s v="Unknown"/>
    <n v="9"/>
    <s v="NULL"/>
    <s v="NULL"/>
    <n v="6"/>
    <s v="NULL"/>
    <s v="NULL"/>
    <n v="0"/>
    <s v="Crashed into the Ulua River."/>
    <n v="3"/>
    <n v="0.66666666666666663"/>
    <x v="1"/>
  </r>
  <r>
    <n v="377"/>
    <x v="356"/>
    <x v="24"/>
    <x v="0"/>
    <d v="1899-12-30T14:36:00"/>
    <s v="Medellin, Colombia"/>
    <s v="Servicio Aereo Columbiano / SCADTA"/>
    <s v="Unknown"/>
    <s v="Medellin - BogotÃ¡"/>
    <x v="223"/>
    <s v="C-31 / F-31"/>
    <s v="5-AT-112/5-AT-006"/>
    <n v="20"/>
    <n v="18"/>
    <n v="2"/>
    <n v="17"/>
    <n v="15"/>
    <n v="2"/>
    <n v="0"/>
    <s v="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
    <n v="3"/>
    <n v="0.85"/>
    <x v="1"/>
  </r>
  <r>
    <n v="378"/>
    <x v="357"/>
    <x v="24"/>
    <x v="0"/>
    <d v="1899-12-30T09:40:00"/>
    <s v="Amsterdam, Netherlands"/>
    <s v="KLM Royal Dutch Airlines"/>
    <s v="Unknown"/>
    <s v="Amsterdam - Sweden"/>
    <x v="224"/>
    <s v="PH-AJQ"/>
    <n v="5358"/>
    <n v="20"/>
    <n v="15"/>
    <n v="5"/>
    <n v="6"/>
    <n v="2"/>
    <n v="4"/>
    <n v="0"/>
    <s v="The plane lost altitude while attempting an emergency landing after taking off and losing two engines. The wing hit a dyke and the plane burst into flames."/>
    <n v="14"/>
    <n v="0.3"/>
    <x v="2"/>
  </r>
  <r>
    <n v="379"/>
    <x v="358"/>
    <x v="24"/>
    <x v="0"/>
    <d v="1899-12-30T14:20:00"/>
    <s v="Off Chandeleur Island, Mississippi"/>
    <s v="Wedell-Williams Air Service Corporation"/>
    <s v="Unknown"/>
    <s v="New Orleans, LA - Mobile, AL"/>
    <x v="225"/>
    <s v="NC-492K"/>
    <s v="Unknown"/>
    <n v="2"/>
    <n v="1"/>
    <n v="1"/>
    <n v="2"/>
    <n v="1"/>
    <n v="1"/>
    <n v="0"/>
    <s v="The plane deviated from its course and flew 20 miles off shore and crashed.  Cause unknown."/>
    <n v="0"/>
    <n v="1"/>
    <x v="1"/>
  </r>
  <r>
    <n v="380"/>
    <x v="359"/>
    <x v="24"/>
    <x v="0"/>
    <d v="1899-12-30T12:30:00"/>
    <s v="Pian Giacomo, Switzerland"/>
    <s v="KLM Royal Dutch Airlines"/>
    <s v="Unknown"/>
    <s v="Milan - Frankfort - Amsterdam"/>
    <x v="226"/>
    <s v="PH-AKG"/>
    <n v="1335"/>
    <n v="13"/>
    <n v="9"/>
    <n v="4"/>
    <n v="13"/>
    <n v="9"/>
    <n v="4"/>
    <n v="0"/>
    <s v="Crashed into a mountain near St. Bernard Pass in Switzerland. Mountains obscured by clouds. The crew flew through the wrong valley which ended in a dead end. Icing condtions,."/>
    <n v="0"/>
    <n v="1"/>
    <x v="1"/>
  </r>
  <r>
    <n v="381"/>
    <x v="360"/>
    <x v="24"/>
    <x v="0"/>
    <s v="Unknown"/>
    <s v="Cardiff, United Kingdom"/>
    <s v="Jersey Airways"/>
    <s v="Unknown"/>
    <s v="Cardiff - Saint-Helier"/>
    <x v="227"/>
    <s v="G-ACMP"/>
    <n v="6063"/>
    <n v="8"/>
    <n v="7"/>
    <n v="1"/>
    <n v="1"/>
    <n v="3"/>
    <n v="0"/>
    <n v="0"/>
    <s v="Shortly after taking from Cardiff Airport, and climbing, the twin engine aircraft stalled and crashed in a field. The plane was named  &quot;Saint Clements Bay .&quot;"/>
    <n v="7"/>
    <n v="0.125"/>
    <x v="2"/>
  </r>
  <r>
    <n v="382"/>
    <x v="361"/>
    <x v="24"/>
    <x v="0"/>
    <s v="Unknown"/>
    <s v="El Retiro, Colombia"/>
    <s v="Fuerza Aerea Colombiana"/>
    <s v="Unknown"/>
    <s v="Palanquero - Tres Esquinas"/>
    <x v="148"/>
    <n v="406"/>
    <n v="2779"/>
    <n v="5"/>
    <n v="3"/>
    <n v="2"/>
    <n v="5"/>
    <n v="3"/>
    <n v="2"/>
    <n v="0"/>
    <s v="While en route,, the crew encountered engine trouble, lost control of the aircraft and crashed  near the Rio Magdalena."/>
    <n v="0"/>
    <n v="1"/>
    <x v="1"/>
  </r>
  <r>
    <n v="383"/>
    <x v="362"/>
    <x v="24"/>
    <x v="0"/>
    <d v="1899-12-30T08:00:00"/>
    <s v="Cairo, Egypt"/>
    <s v="Ala Littoria"/>
    <s v="Unknown"/>
    <s v="Guidonia - Cairo - Massawa - Asmara"/>
    <x v="228"/>
    <s v="I-REDI"/>
    <n v="15004"/>
    <n v="7"/>
    <n v="3"/>
    <n v="4"/>
    <n v="7"/>
    <n v="3"/>
    <n v="4"/>
    <n v="0"/>
    <s v="Ten minutes after taking off an explosion occurred aboard and the aircraft crashed in the dessert, 8 km south of the airport. The cause of the explosion was undetermined."/>
    <n v="0"/>
    <n v="1"/>
    <x v="1"/>
  </r>
  <r>
    <n v="384"/>
    <x v="363"/>
    <x v="24"/>
    <x v="0"/>
    <s v="Unknown"/>
    <s v="Hangow, China"/>
    <s v="China National Aviation Corporation"/>
    <s v="Unknown"/>
    <s v="Unknown"/>
    <x v="200"/>
    <s v="NV40V"/>
    <s v="Unknown"/>
    <s v="NULL"/>
    <s v="NULL"/>
    <s v="NULL"/>
    <s v="NULL"/>
    <s v="NULL"/>
    <s v="NULL"/>
    <s v="NULL"/>
    <s v="Destoryed in a storm."/>
    <s v="NULL"/>
    <n v="0"/>
    <x v="2"/>
  </r>
  <r>
    <n v="385"/>
    <x v="364"/>
    <x v="24"/>
    <x v="0"/>
    <d v="1899-12-30T23:45:00"/>
    <s v="Near Gilmer, Texas"/>
    <s v="Delta Air Lines"/>
    <n v="4"/>
    <s v="Dallas -  Atlanta"/>
    <x v="229"/>
    <s v="NC14599"/>
    <n v="9103"/>
    <n v="4"/>
    <n v="3"/>
    <n v="1"/>
    <n v="4"/>
    <n v="3"/>
    <n v="1"/>
    <n v="0"/>
    <s v="Crashed 3 miles south of Gilmer. The outboard engine separated from the aircraft after a propeller blade broke off resulting in an imbalanced condition which led to loss of control of the aircraft."/>
    <n v="0"/>
    <n v="1"/>
    <x v="1"/>
  </r>
  <r>
    <n v="386"/>
    <x v="365"/>
    <x v="24"/>
    <x v="0"/>
    <d v="1899-12-30T20:18:00"/>
    <s v="Walakpa, near Point Barrow, Alaska"/>
    <s v="Private"/>
    <s v="Unknown"/>
    <s v="Unknown"/>
    <x v="230"/>
    <s v="NR12283"/>
    <n v="195"/>
    <n v="2"/>
    <n v="1"/>
    <n v="1"/>
    <n v="2"/>
    <n v="1"/>
    <n v="1"/>
    <n v="0"/>
    <s v="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
    <n v="0"/>
    <n v="1"/>
    <x v="1"/>
  </r>
  <r>
    <n v="387"/>
    <x v="365"/>
    <x v="24"/>
    <x v="0"/>
    <d v="1899-12-30T20:08:00"/>
    <s v="Near Glendo, Wyoming"/>
    <s v="Aero Mayflower Transit Co"/>
    <s v="Unknown"/>
    <s v="Helena - Denver"/>
    <x v="231"/>
    <s v="NC14140"/>
    <n v="4202"/>
    <n v="3"/>
    <n v="2"/>
    <n v="1"/>
    <n v="3"/>
    <n v="2"/>
    <n v="1"/>
    <n v="0"/>
    <s v="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
    <n v="0"/>
    <n v="1"/>
    <x v="1"/>
  </r>
  <r>
    <n v="388"/>
    <x v="366"/>
    <x v="24"/>
    <x v="0"/>
    <d v="1899-12-30T23:00:00"/>
    <s v="Burbank, California"/>
    <s v="Western Air Express"/>
    <s v="Unknown"/>
    <s v="Burbank, CA - Salt Lake City, UT"/>
    <x v="185"/>
    <s v="NC13314"/>
    <n v="1695"/>
    <n v="3"/>
    <n v="0"/>
    <n v="3"/>
    <n v="3"/>
    <n v="0"/>
    <n v="3"/>
    <n v="0"/>
    <s v="A few minutes after take off from Burbank Airport, while climbing to a height of 1,000 feet in foggy conditions, the aircraft went out of control, stalled, hit power lines and crashed in flames in a field."/>
    <n v="0"/>
    <n v="1"/>
    <x v="1"/>
  </r>
  <r>
    <n v="389"/>
    <x v="367"/>
    <x v="24"/>
    <x v="0"/>
    <d v="1899-12-30T09:00:00"/>
    <s v="Near Tambo, Panama"/>
    <s v="Panama Airways"/>
    <s v="Unknown"/>
    <s v="Panama City - David"/>
    <x v="232"/>
    <s v="Unknown"/>
    <s v="Unknown"/>
    <n v="8"/>
    <n v="7"/>
    <n v="1"/>
    <n v="8"/>
    <n v="7"/>
    <n v="1"/>
    <n v="0"/>
    <s v="Crashed and burned in mountainous terrain in  adverse weather conditions."/>
    <n v="0"/>
    <n v="1"/>
    <x v="1"/>
  </r>
  <r>
    <n v="390"/>
    <x v="368"/>
    <x v="24"/>
    <x v="0"/>
    <d v="1899-12-30T09:55:00"/>
    <s v="Off Finders Island, Victoria, Australia"/>
    <s v="Holyman Airways"/>
    <s v="Unknown"/>
    <s v="Melbourne - Sydney"/>
    <x v="203"/>
    <s v="VH-URT"/>
    <n v="2312"/>
    <n v="5"/>
    <n v="3"/>
    <n v="2"/>
    <n v="5"/>
    <n v="3"/>
    <n v="2"/>
    <n v="0"/>
    <s v="Crashed in the Bass Strait. Went in to an uncontrollable spin following an engine failure."/>
    <n v="0"/>
    <n v="1"/>
    <x v="1"/>
  </r>
  <r>
    <n v="391"/>
    <x v="369"/>
    <x v="24"/>
    <x v="0"/>
    <d v="1899-12-30T02:19:00"/>
    <s v="Near Cheyenne, Wyoming"/>
    <s v="United Air Lines"/>
    <n v="4"/>
    <s v="Salt Lake City - Cheyenne"/>
    <x v="233"/>
    <s v="NC13317"/>
    <n v="1698"/>
    <n v="12"/>
    <n v="9"/>
    <n v="3"/>
    <n v="12"/>
    <n v="9"/>
    <n v="3"/>
    <n v="0"/>
    <s v="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
    <n v="0"/>
    <n v="1"/>
    <x v="1"/>
  </r>
  <r>
    <n v="392"/>
    <x v="370"/>
    <x v="24"/>
    <x v="0"/>
    <s v="Unknown"/>
    <s v="Gulf of Finland"/>
    <s v="Aero O-Y"/>
    <s v="Unknown"/>
    <s v="Tallinn - Helsinki"/>
    <x v="32"/>
    <s v="OH-ALI"/>
    <n v="2033"/>
    <n v="6"/>
    <n v="4"/>
    <n v="2"/>
    <n v="6"/>
    <n v="4"/>
    <n v="2"/>
    <n v="0"/>
    <s v="Crashed into the sea in the dense fog and low visibility."/>
    <n v="0"/>
    <n v="1"/>
    <x v="1"/>
  </r>
  <r>
    <n v="393"/>
    <x v="371"/>
    <x v="24"/>
    <x v="0"/>
    <d v="1899-12-30T11:00:00"/>
    <s v="Troy, New York"/>
    <s v="Chamberlin Flying Service"/>
    <s v="Unknown"/>
    <s v="Troy - Teterboro"/>
    <x v="199"/>
    <s v="NC725K"/>
    <s v="G-2"/>
    <n v="6"/>
    <n v="4"/>
    <n v="2"/>
    <n v="1"/>
    <n v="0"/>
    <n v="1"/>
    <n v="0"/>
    <s v="The plane lost the left engine shortly after taking off. The pilot tried to make an emergency landing but was caught in a downdraft and the plane crashed."/>
    <n v="5"/>
    <n v="0.16666666666666666"/>
    <x v="2"/>
  </r>
  <r>
    <n v="394"/>
    <x v="372"/>
    <x v="24"/>
    <x v="0"/>
    <d v="1899-12-30T19:40:00"/>
    <s v="Cheyenne, Wyoming"/>
    <s v="United Air Lines"/>
    <s v="Unknown"/>
    <s v="Test flight"/>
    <x v="234"/>
    <s v="NC13323"/>
    <n v="1704"/>
    <n v="4"/>
    <n v="0"/>
    <n v="4"/>
    <n v="4"/>
    <n v="0"/>
    <n v="4"/>
    <n v="0"/>
    <s v="Crashed into a hill in poor weather conditions 5 miles south of Cheyenne. Test flight. Poor judgment by the pilot for executing an abrupt maneuver with insufficient altitude for safety and  failure of the pilot to maintain proper control of the aircraft during this maneuver."/>
    <n v="0"/>
    <n v="1"/>
    <x v="1"/>
  </r>
  <r>
    <n v="395"/>
    <x v="373"/>
    <x v="24"/>
    <x v="0"/>
    <s v="Unknown"/>
    <s v="Off Nhambupe, Brazil"/>
    <s v="Air France"/>
    <s v="Unknown"/>
    <s v="Bahia - Aracaju"/>
    <x v="235"/>
    <s v="F-AJIQ"/>
    <n v="906"/>
    <n v="4"/>
    <n v="0"/>
    <n v="4"/>
    <n v="4"/>
    <n v="0"/>
    <n v="4"/>
    <n v="0"/>
    <s v="The postal plane crashed at Atalaya Beach in unknown circumstances."/>
    <n v="0"/>
    <n v="1"/>
    <x v="1"/>
  </r>
  <r>
    <n v="396"/>
    <x v="374"/>
    <x v="24"/>
    <x v="0"/>
    <d v="1899-12-30T04:40:00"/>
    <s v="Near Fort Worth, Texas"/>
    <s v="Braniff Airlines"/>
    <s v="Unknown"/>
    <s v="Dallas - Waco"/>
    <x v="113"/>
    <s v="NC980Y"/>
    <n v="191"/>
    <n v="1"/>
    <n v="0"/>
    <n v="1"/>
    <n v="1"/>
    <n v="0"/>
    <n v="1"/>
    <n v="0"/>
    <s v="Plunged to the ground thirty minutes after leaving Fort Worth. Tried to return to Dallas airport due to inclement weather."/>
    <n v="0"/>
    <n v="1"/>
    <x v="1"/>
  </r>
  <r>
    <n v="397"/>
    <x v="374"/>
    <x v="24"/>
    <x v="0"/>
    <s v="Unknown"/>
    <s v="Brindisi, Italy"/>
    <s v="Imperial Airways"/>
    <s v="Unknown"/>
    <s v="London - Brindisi - Alexandria"/>
    <x v="236"/>
    <s v="G-ABFB"/>
    <s v="S-759"/>
    <n v="13"/>
    <n v="10"/>
    <n v="3"/>
    <n v="12"/>
    <n v="9"/>
    <n v="3"/>
    <n v="0"/>
    <s v="While preparing for departure a fire broke out. The fire erupted while fueling."/>
    <n v="1"/>
    <n v="0.92307692307692313"/>
    <x v="1"/>
  </r>
  <r>
    <n v="398"/>
    <x v="375"/>
    <x v="24"/>
    <x v="0"/>
    <s v="Unknown"/>
    <s v="Istres, France"/>
    <s v="Air France"/>
    <s v="Unknown"/>
    <s v="Unknown"/>
    <x v="134"/>
    <s v="F-AJPB"/>
    <s v="6-926"/>
    <n v="3"/>
    <n v="0"/>
    <n v="3"/>
    <n v="3"/>
    <n v="0"/>
    <n v="3"/>
    <n v="0"/>
    <s v="Crashed whille flying in the vicinity of a thunderstorm."/>
    <n v="0"/>
    <n v="1"/>
    <x v="1"/>
  </r>
  <r>
    <n v="399"/>
    <x v="376"/>
    <x v="24"/>
    <x v="0"/>
    <s v="Unknown"/>
    <s v="Tours, France"/>
    <s v="Air Bleu"/>
    <s v="Unknown"/>
    <s v="Le Havre - Paris - Tours - Bordeaux"/>
    <x v="237"/>
    <s v="F-ANRK"/>
    <n v="7013"/>
    <n v="2"/>
    <n v="0"/>
    <n v="2"/>
    <n v="1"/>
    <n v="0"/>
    <n v="1"/>
    <n v="0"/>
    <s v="On final approach, the aircraft was too low and hit a tree with it's right wing. It stalled and crashed in a garden short of the runway."/>
    <n v="1"/>
    <n v="0.5"/>
    <x v="0"/>
  </r>
  <r>
    <n v="400"/>
    <x v="377"/>
    <x v="24"/>
    <x v="0"/>
    <d v="1899-12-30T16:45:00"/>
    <s v="Croydon, England"/>
    <s v="Sabena"/>
    <s v="Unknown"/>
    <s v="Brussels, Belgium - Croydon, England"/>
    <x v="238"/>
    <s v="OO-AGN"/>
    <n v="30002"/>
    <n v="11"/>
    <n v="7"/>
    <n v="4"/>
    <n v="11"/>
    <n v="7"/>
    <n v="4"/>
    <n v="0"/>
    <s v="While flying low, the aircraft hit tree tops, stalled and crashed in flames into a wooded area 13 km short of the runway, The pilot did not request bearings from the airport and tried to navigate on his own."/>
    <n v="0"/>
    <n v="1"/>
    <x v="1"/>
  </r>
  <r>
    <n v="401"/>
    <x v="378"/>
    <x v="24"/>
    <x v="0"/>
    <s v="Unknown"/>
    <s v="Wroctaw, Poland"/>
    <s v="Deutsche Lufthansa"/>
    <s v="Unknown"/>
    <s v="Unknown"/>
    <x v="239"/>
    <s v="D-UVOR"/>
    <n v="915"/>
    <n v="3"/>
    <n v="2"/>
    <n v="1"/>
    <n v="3"/>
    <n v="2"/>
    <n v="1"/>
    <n v="0"/>
    <s v="Crashed under unknown circumstances"/>
    <n v="0"/>
    <n v="1"/>
    <x v="1"/>
  </r>
  <r>
    <n v="402"/>
    <x v="379"/>
    <x v="24"/>
    <x v="0"/>
    <d v="1899-12-30T19:15:00"/>
    <s v="Off Alexandria, Egypt"/>
    <s v="Imperial Airways"/>
    <s v="Unknown"/>
    <s v="London - Brindisi - Mirabella - Alexandria"/>
    <x v="240"/>
    <s v="G-AASJ"/>
    <s v="S-752"/>
    <n v="13"/>
    <n v="9"/>
    <n v="4"/>
    <n v="12"/>
    <n v="9"/>
    <n v="1"/>
    <n v="0"/>
    <s v="The aircraft ran out of fuel and crashed off Alexandria. The plane was named &quot;The City of Khartoum.&quot;"/>
    <n v="1"/>
    <n v="0.92307692307692313"/>
    <x v="1"/>
  </r>
  <r>
    <n v="403"/>
    <x v="380"/>
    <x v="25"/>
    <x v="0"/>
    <s v="Unknown"/>
    <s v=" Tres Esquinas, Colombia"/>
    <s v="Military - Fuerza Aerea Colombiana"/>
    <s v="Unknown"/>
    <s v="Unknown"/>
    <x v="241"/>
    <n v="624"/>
    <s v="Unknown"/>
    <n v="16"/>
    <n v="13"/>
    <n v="3"/>
    <n v="13"/>
    <n v="10"/>
    <n v="3"/>
    <n v="0"/>
    <s v="The float plane crashed after experiencing unknown technical difficulties while attempting to land."/>
    <n v="3"/>
    <n v="0.8125"/>
    <x v="1"/>
  </r>
  <r>
    <n v="404"/>
    <x v="380"/>
    <x v="25"/>
    <x v="0"/>
    <d v="1899-12-30T19:32:00"/>
    <s v="Goodwin, Arkansas"/>
    <s v="American Airlines"/>
    <n v="1"/>
    <s v=" Newark - Memphis - Little Rock - Dallas - Los Angeles"/>
    <x v="242"/>
    <s v="NC14274"/>
    <n v="1307"/>
    <n v="17"/>
    <n v="14"/>
    <n v="3"/>
    <n v="17"/>
    <n v="14"/>
    <n v="3"/>
    <n v="0"/>
    <s v="Flew into trees and disintegrated. The cause of the crash could not be determined.  Possible causes include, passenger interference, one fuel tank running dry, flying too low and the co-pilot alone at the controls."/>
    <n v="0"/>
    <n v="1"/>
    <x v="1"/>
  </r>
  <r>
    <n v="405"/>
    <x v="381"/>
    <x v="25"/>
    <x v="0"/>
    <s v="Unknown"/>
    <s v="Near Cordillera, Boliva"/>
    <s v="Lloyd Aereo Boliviano"/>
    <s v="Unknown"/>
    <s v="Cochabamba - La Paz"/>
    <x v="241"/>
    <s v="Unknown"/>
    <n v="4018"/>
    <n v="13"/>
    <n v="10"/>
    <n v="3"/>
    <n v="13"/>
    <n v="10"/>
    <n v="3"/>
    <n v="0"/>
    <s v="Crashed into a mountain near the village of Tapacari, 23 miles from Chochabanba."/>
    <n v="0"/>
    <n v="1"/>
    <x v="1"/>
  </r>
  <r>
    <n v="406"/>
    <x v="382"/>
    <x v="25"/>
    <x v="0"/>
    <d v="1899-12-30T10:00:00"/>
    <s v="Off Ajaccio, Corsica, France"/>
    <s v="Air France"/>
    <s v="Unknown"/>
    <s v=" Marseille - Ajaccio - Tunis"/>
    <x v="106"/>
    <s v="F-AJIR"/>
    <n v="19"/>
    <n v="6"/>
    <n v="3"/>
    <n v="3"/>
    <n v="6"/>
    <n v="3"/>
    <n v="3"/>
    <n v="0"/>
    <s v="Vanished off the coast of Corsica after sending a distress call that the engine had failed."/>
    <n v="0"/>
    <n v="1"/>
    <x v="1"/>
  </r>
  <r>
    <n v="407"/>
    <x v="383"/>
    <x v="25"/>
    <x v="0"/>
    <s v="Unknown"/>
    <s v="Denton, Texas"/>
    <s v="American Airlines"/>
    <s v="Unknown"/>
    <s v="Chicago - Oklahoma City"/>
    <x v="243"/>
    <s v="NC13767"/>
    <n v="5"/>
    <n v="6"/>
    <n v="5"/>
    <n v="1"/>
    <n v="1"/>
    <n v="0"/>
    <n v="1"/>
    <n v="0"/>
    <s v="Crashed into a clump of trees while attempting a landing in a snowstorm."/>
    <n v="5"/>
    <n v="0.16666666666666666"/>
    <x v="2"/>
  </r>
  <r>
    <n v="408"/>
    <x v="384"/>
    <x v="25"/>
    <x v="0"/>
    <s v="Unknown"/>
    <s v="Atlantic Ocean"/>
    <s v="Air France"/>
    <s v="Unknown"/>
    <s v="Natal, Brazil - Dakar, Senegal"/>
    <x v="244"/>
    <s v="F-ANLE"/>
    <n v="1016"/>
    <n v="6"/>
    <n v="1"/>
    <n v="5"/>
    <n v="6"/>
    <n v="1"/>
    <n v="5"/>
    <n v="0"/>
    <s v="Disappeared over the Atlantic ocean during a storm. The aircraft was never found. The aircraft was named &quot;Ville de Buenos Aires.&quot;"/>
    <n v="0"/>
    <n v="1"/>
    <x v="1"/>
  </r>
  <r>
    <n v="409"/>
    <x v="385"/>
    <x v="25"/>
    <x v="0"/>
    <d v="1899-12-30T03:52:00"/>
    <s v="South Atlantic Ocean"/>
    <s v="Deutsche Lufthansa"/>
    <s v="Unknown"/>
    <s v="Rio de Janerio - Berlin"/>
    <x v="245"/>
    <s v="D-ADYS"/>
    <n v="229"/>
    <n v="4"/>
    <n v="0"/>
    <n v="4"/>
    <n v="4"/>
    <n v="0"/>
    <n v="4"/>
    <n v="0"/>
    <s v="The mail plane disappeared while en route."/>
    <n v="0"/>
    <n v="1"/>
    <x v="1"/>
  </r>
  <r>
    <n v="410"/>
    <x v="386"/>
    <x v="25"/>
    <x v="0"/>
    <s v="Unknown"/>
    <s v="Near Tengya, China"/>
    <s v="China National Aviation Corporation"/>
    <s v="Unknown"/>
    <s v="Unknown"/>
    <x v="246"/>
    <s v="Unknown"/>
    <s v="Unknown"/>
    <n v="6"/>
    <n v="3"/>
    <n v="3"/>
    <n v="0"/>
    <n v="0"/>
    <n v="0"/>
    <n v="0"/>
    <s v="Crash landed in mountains during a snowstorm."/>
    <n v="6"/>
    <n v="0"/>
    <x v="2"/>
  </r>
  <r>
    <n v="411"/>
    <x v="387"/>
    <x v="25"/>
    <x v="0"/>
    <s v="Unknown"/>
    <s v="Ovalle, Chile"/>
    <s v="Lan Chile"/>
    <s v="Unknown"/>
    <s v="Unknown"/>
    <x v="78"/>
    <n v="19"/>
    <s v="Unknown"/>
    <n v="5"/>
    <n v="4"/>
    <n v="1"/>
    <n v="5"/>
    <n v="4"/>
    <n v="1"/>
    <n v="0"/>
    <s v="Went out of control while taking off and crashed in a rivine."/>
    <n v="0"/>
    <n v="1"/>
    <x v="1"/>
  </r>
  <r>
    <n v="412"/>
    <x v="388"/>
    <x v="25"/>
    <x v="0"/>
    <d v="1899-12-30T11:00:00"/>
    <s v="Amemeca, Mexico"/>
    <s v="Mexicana"/>
    <s v="Unknown"/>
    <s v="Mexico - Guatemala"/>
    <x v="102"/>
    <s v="XA-BCB"/>
    <s v="5-AT-012"/>
    <n v="14"/>
    <n v="10"/>
    <n v="4"/>
    <n v="14"/>
    <n v="10"/>
    <n v="4"/>
    <n v="0"/>
    <s v="While making a turn at low speed, the aircraft stalled and crashed into mountains and caught fire.  The plane was carrying mainly German tourists. Possibly caught in a down draft when flying too low to the ground."/>
    <n v="0"/>
    <n v="1"/>
    <x v="1"/>
  </r>
  <r>
    <n v="413"/>
    <x v="389"/>
    <x v="25"/>
    <x v="0"/>
    <d v="1899-12-30T19:10:00"/>
    <s v="Pavillon, New York"/>
    <s v="American Airlines"/>
    <s v="Unknown"/>
    <s v="Newwark - Buffalo"/>
    <x v="229"/>
    <s v="NC15152"/>
    <n v="9112"/>
    <n v="2"/>
    <n v="0"/>
    <n v="2"/>
    <n v="2"/>
    <n v="0"/>
    <n v="2"/>
    <n v="0"/>
    <s v="The mail plane explosion in mid-air before crashing to the ground in a snowstorm."/>
    <n v="0"/>
    <n v="1"/>
    <x v="1"/>
  </r>
  <r>
    <n v="414"/>
    <x v="390"/>
    <x v="25"/>
    <x v="0"/>
    <d v="1899-12-30T10:20:00"/>
    <s v="Uniontown, Pennsylvania"/>
    <s v="Trans Continental and Western Air"/>
    <n v="1"/>
    <s v="Newark - Los Angeles"/>
    <x v="218"/>
    <s v="NC13721"/>
    <n v="1247"/>
    <n v="14"/>
    <n v="11"/>
    <n v="3"/>
    <n v="12"/>
    <n v="10"/>
    <n v="2"/>
    <n v="0"/>
    <s v="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
    <n v="2"/>
    <n v="0.8571428571428571"/>
    <x v="1"/>
  </r>
  <r>
    <n v="415"/>
    <x v="391"/>
    <x v="25"/>
    <x v="0"/>
    <d v="1899-12-30T05:20:00"/>
    <s v="Port of Spain, Trinidad"/>
    <s v="Pan American Airways"/>
    <s v="Unknown"/>
    <s v="Miami - Rio de Janeiro"/>
    <x v="247"/>
    <s v="NC1537"/>
    <n v="4204"/>
    <n v="25"/>
    <n v="18"/>
    <n v="7"/>
    <n v="3"/>
    <n v="2"/>
    <n v="1"/>
    <n v="0"/>
    <s v="Crashed  while taking off after the plane hit a boat . The aircraft was shipped to Miami and repaired. One of the injured passengers was Jose Iturbi, well known conductor and  pianist."/>
    <n v="22"/>
    <n v="0.12"/>
    <x v="2"/>
  </r>
  <r>
    <n v="416"/>
    <x v="392"/>
    <x v="25"/>
    <x v="0"/>
    <s v="Unknown"/>
    <s v="Near Turin, Italy"/>
    <s v="Avio Linee Italiane"/>
    <s v="Unknown"/>
    <s v="Turin - Milan"/>
    <x v="248"/>
    <s v="I-AAXZ"/>
    <n v="359"/>
    <n v="7"/>
    <n v="5"/>
    <n v="2"/>
    <n v="7"/>
    <n v="5"/>
    <n v="2"/>
    <n v="0"/>
    <s v="Crashed on the slopes of Mount Basso, 20 miles from Turin."/>
    <n v="0"/>
    <n v="1"/>
    <x v="1"/>
  </r>
  <r>
    <n v="417"/>
    <x v="393"/>
    <x v="25"/>
    <x v="0"/>
    <s v="Unknown"/>
    <s v="Orvin, Switzerland"/>
    <s v="Deutsche Lufthansa"/>
    <s v="Unknown"/>
    <s v="Test flight"/>
    <x v="241"/>
    <s v="D-ASOR"/>
    <n v="5044"/>
    <n v="5"/>
    <n v="0"/>
    <n v="5"/>
    <n v="3"/>
    <n v="0"/>
    <n v="3"/>
    <n v="0"/>
    <s v="Deviated from the prescribed course and hit a mountain in poor weather conditions. Navigation error by the crew."/>
    <n v="2"/>
    <n v="0.6"/>
    <x v="0"/>
  </r>
  <r>
    <n v="418"/>
    <x v="394"/>
    <x v="25"/>
    <x v="0"/>
    <s v="Unknown"/>
    <s v="Senlis, France"/>
    <s v="Sabena"/>
    <s v="Unknown"/>
    <s v="Paris - Brussels - Cologne"/>
    <x v="70"/>
    <s v="OO-AIF"/>
    <s v="Unknown"/>
    <n v="2"/>
    <n v="0"/>
    <n v="2"/>
    <n v="2"/>
    <n v="0"/>
    <n v="2"/>
    <n v="0"/>
    <s v="Following taking off the cargo plane went out of control and crashed near Le Bourget Airport."/>
    <n v="0"/>
    <n v="1"/>
    <x v="1"/>
  </r>
  <r>
    <n v="419"/>
    <x v="395"/>
    <x v="25"/>
    <x v="0"/>
    <s v="Unknown"/>
    <s v="Basel, Switzerland"/>
    <s v="Swissair"/>
    <s v="Unknown"/>
    <s v="Unknown"/>
    <x v="249"/>
    <s v="HB-ITU"/>
    <n v="2204"/>
    <n v="2"/>
    <n v="0"/>
    <n v="2"/>
    <n v="2"/>
    <n v="0"/>
    <n v="2"/>
    <n v="0"/>
    <s v="The cargo plane crashed into Mt. Rigi at night in poor weather conditons."/>
    <n v="0"/>
    <n v="1"/>
    <x v="1"/>
  </r>
  <r>
    <n v="420"/>
    <x v="396"/>
    <x v="25"/>
    <x v="0"/>
    <s v="Unknown"/>
    <s v="Mount Waverley, Australia"/>
    <s v="Holymans Airways"/>
    <s v="Unknown"/>
    <s v="Training"/>
    <x v="250"/>
    <s v="VH-UII"/>
    <n v="895"/>
    <n v="2"/>
    <n v="0"/>
    <n v="2"/>
    <n v="2"/>
    <n v="0"/>
    <n v="2"/>
    <n v="0"/>
    <s v="The aircraft hit telephone wires and a chimney before crashing in flames into a house."/>
    <n v="0"/>
    <n v="1"/>
    <x v="1"/>
  </r>
  <r>
    <n v="421"/>
    <x v="397"/>
    <x v="25"/>
    <x v="0"/>
    <s v="Unknown"/>
    <s v="Malmo, Sweden"/>
    <s v="A B Aerotransport"/>
    <s v="Unknown"/>
    <s v="Malmo - Amsterdam"/>
    <x v="224"/>
    <s v="SE-ABA"/>
    <n v="5359"/>
    <n v="15"/>
    <n v="11"/>
    <n v="4"/>
    <n v="1"/>
    <n v="1"/>
    <n v="0"/>
    <n v="0"/>
    <s v="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
    <n v="14"/>
    <n v="6.6666666666666666E-2"/>
    <x v="2"/>
  </r>
  <r>
    <n v="422"/>
    <x v="398"/>
    <x v="25"/>
    <x v="0"/>
    <s v="Unknown"/>
    <s v="Hannover, Germany"/>
    <s v="Deutsche Lufthansa"/>
    <s v="Unknown"/>
    <s v="Unknown"/>
    <x v="251"/>
    <s v="D-UPYM"/>
    <n v="4211"/>
    <n v="6"/>
    <n v="4"/>
    <n v="2"/>
    <n v="1"/>
    <n v="1"/>
    <n v="0"/>
    <n v="0"/>
    <s v="The pilot attempted an emergency landing in a field after the engine failured. The aircraft was named &quot;Puma.&quot;"/>
    <n v="5"/>
    <n v="0.16666666666666666"/>
    <x v="2"/>
  </r>
  <r>
    <n v="423"/>
    <x v="399"/>
    <x v="25"/>
    <x v="0"/>
    <d v="1899-12-30T07:00:00"/>
    <s v="Mt. Lihesten, Norway"/>
    <s v="Den Norske Luftfartskole"/>
    <s v="Unknown"/>
    <s v="Bergen - Trondheim"/>
    <x v="213"/>
    <s v="LN-DAE"/>
    <n v="4077"/>
    <n v="7"/>
    <n v="3"/>
    <n v="4"/>
    <n v="7"/>
    <n v="3"/>
    <n v="4"/>
    <n v="0"/>
    <s v="While cruising, the aircraft crashed into the south face of Mt. Lyhesten in fog."/>
    <n v="0"/>
    <n v="1"/>
    <x v="1"/>
  </r>
  <r>
    <n v="424"/>
    <x v="400"/>
    <x v="25"/>
    <x v="0"/>
    <s v="Unknown"/>
    <s v="Zagreb, Croatia"/>
    <s v="Aeroput"/>
    <s v="Unknown"/>
    <s v="Belgrade - Zagreb - Ljubljana"/>
    <x v="252"/>
    <s v="YU-SAP"/>
    <n v="1"/>
    <n v="7"/>
    <n v="5"/>
    <n v="2"/>
    <n v="7"/>
    <n v="5"/>
    <n v="2"/>
    <n v="0"/>
    <s v="Shortly after taking off in fog the aircraft went out of control and crashed into a field."/>
    <n v="0"/>
    <n v="1"/>
    <x v="1"/>
  </r>
  <r>
    <n v="425"/>
    <x v="401"/>
    <x v="25"/>
    <x v="0"/>
    <s v="Unknown"/>
    <s v="Kulyab, Tajikistan"/>
    <s v="Aeroflot"/>
    <s v="Unknown"/>
    <s v="Unknown"/>
    <x v="210"/>
    <s v="Unknown"/>
    <s v="Unknown"/>
    <n v="6"/>
    <n v="4"/>
    <n v="2"/>
    <n v="6"/>
    <n v="4"/>
    <n v="2"/>
    <n v="0"/>
    <s v="The landing gear failed on landing. The aircraft veered off the runway and burst into flames."/>
    <n v="0"/>
    <n v="1"/>
    <x v="1"/>
  </r>
  <r>
    <n v="426"/>
    <x v="402"/>
    <x v="25"/>
    <x v="0"/>
    <d v="1899-12-30T19:30:00"/>
    <s v="Off Channel Islands, Jersey"/>
    <s v="Guernsey Airways"/>
    <s v="Unknown"/>
    <s v=" Saint Pierre - Saint-HÃ©lier"/>
    <x v="253"/>
    <s v="G-ABXW"/>
    <s v="A-19/4"/>
    <n v="10"/>
    <n v="8"/>
    <n v="2"/>
    <n v="10"/>
    <n v="8"/>
    <n v="2"/>
    <n v="0"/>
    <s v="Ditched at sea. Loss of all engines necessitating a ditching at sea."/>
    <n v="0"/>
    <n v="1"/>
    <x v="1"/>
  </r>
  <r>
    <n v="427"/>
    <x v="403"/>
    <x v="25"/>
    <x v="0"/>
    <d v="1899-12-30T06:00:00"/>
    <s v="Mazamet, France"/>
    <s v="Air France"/>
    <s v="Unknown"/>
    <s v="Paris - Toulouse - Dakar - Natal - Rio de Janeiro"/>
    <x v="254"/>
    <s v="F-ANBL F-ANBL"/>
    <n v="15"/>
    <n v="3"/>
    <n v="0"/>
    <n v="3"/>
    <n v="3"/>
    <n v="0"/>
    <n v="3"/>
    <n v="0"/>
    <s v="The mail plane crashed into mountains 50 miles from Toulouse in fog."/>
    <n v="0"/>
    <n v="1"/>
    <x v="1"/>
  </r>
  <r>
    <n v="428"/>
    <x v="404"/>
    <x v="25"/>
    <x v="0"/>
    <s v="Unknown"/>
    <s v="Ciudad Serdan,Mexico"/>
    <s v="Mexicana"/>
    <s v="Unknown"/>
    <s v="Unknown"/>
    <x v="255"/>
    <s v="XA-BAY"/>
    <n v="169"/>
    <n v="1"/>
    <n v="0"/>
    <n v="1"/>
    <n v="1"/>
    <n v="0"/>
    <n v="1"/>
    <n v="0"/>
    <s v="Crashed while delivering mail."/>
    <n v="0"/>
    <n v="1"/>
    <x v="1"/>
  </r>
  <r>
    <n v="429"/>
    <x v="405"/>
    <x v="25"/>
    <x v="0"/>
    <d v="1899-12-30T22:00:00"/>
    <s v="St. Louis, Missouri"/>
    <s v="Chicago Southern Airlines"/>
    <n v="4"/>
    <s v="New Orleans - Chicago"/>
    <x v="256"/>
    <s v="NC16022"/>
    <n v="1057"/>
    <n v="8"/>
    <n v="6"/>
    <n v="2"/>
    <n v="8"/>
    <n v="6"/>
    <n v="2"/>
    <n v="0"/>
    <s v="Crashed while attempting to take off from Lambert Field.  The making of a turn at an extremely low altitude, for reasons unknown, in which the wing of the airplane unintentionally contacted the ground."/>
    <n v="0"/>
    <n v="1"/>
    <x v="1"/>
  </r>
  <r>
    <n v="430"/>
    <x v="406"/>
    <x v="25"/>
    <x v="0"/>
    <s v="Unknown"/>
    <s v="Choco, Colombia"/>
    <s v="SCADTA"/>
    <s v="Unknown"/>
    <s v="Unknown"/>
    <x v="32"/>
    <s v="C-40"/>
    <s v="Unknown"/>
    <n v="3"/>
    <n v="1"/>
    <n v="2"/>
    <n v="2"/>
    <n v="1"/>
    <n v="1"/>
    <n v="0"/>
    <s v="The float plane crashed under unknown circumstances."/>
    <n v="1"/>
    <n v="0.66666666666666663"/>
    <x v="1"/>
  </r>
  <r>
    <n v="431"/>
    <x v="407"/>
    <x v="25"/>
    <x v="0"/>
    <d v="1899-12-30T03:00:00"/>
    <s v="Altenkirchen, Germany"/>
    <s v="British Airways"/>
    <s v="Unknown"/>
    <s v="Hanover - Cologne - London-Gatwick"/>
    <x v="203"/>
    <s v="G-ADEB"/>
    <n v="2324"/>
    <n v="2"/>
    <n v="0"/>
    <n v="2"/>
    <n v="2"/>
    <n v="0"/>
    <n v="2"/>
    <n v="0"/>
    <s v="The mail plane crashed at night under unknown circumstances."/>
    <n v="0"/>
    <n v="1"/>
    <x v="1"/>
  </r>
  <r>
    <n v="432"/>
    <x v="408"/>
    <x v="25"/>
    <x v="0"/>
    <s v="Unknown"/>
    <s v="Mirabella, Greece"/>
    <s v="Imperial Airways"/>
    <s v="Unknown"/>
    <s v="Alexandria - Mirabella - Brindisi - Southampton"/>
    <x v="236"/>
    <s v="G-ABFA"/>
    <s v="S-758"/>
    <n v="11"/>
    <n v="8"/>
    <n v="3"/>
    <n v="2"/>
    <n v="2"/>
    <n v="0"/>
    <n v="0"/>
    <s v="While attempting to land, the plane hit high waves and broke up. Strong lateral winds while landing on rough sea."/>
    <n v="9"/>
    <n v="0.18181818181818182"/>
    <x v="2"/>
  </r>
  <r>
    <n v="433"/>
    <x v="409"/>
    <x v="25"/>
    <x v="0"/>
    <d v="1899-12-30T22:00:00"/>
    <s v="Near Pittsburgh, Pennsylvania"/>
    <s v="Pittsburgh Skyways Inc."/>
    <s v="Unknown"/>
    <s v="Sightseeing"/>
    <x v="257"/>
    <s v="NC117S"/>
    <n v="5025"/>
    <n v="11"/>
    <n v="10"/>
    <n v="1"/>
    <n v="10"/>
    <n v="9"/>
    <n v="1"/>
    <n v="0"/>
    <s v="Lost all three engines after the fuel supply was cut off. Possibly a passenger shut off the fuel supply by accident with the heel of her shoe. One 17 year old girl survived."/>
    <n v="1"/>
    <n v="0.90909090909090906"/>
    <x v="1"/>
  </r>
  <r>
    <n v="434"/>
    <x v="410"/>
    <x v="25"/>
    <x v="0"/>
    <s v="Unknown"/>
    <s v="English Channel"/>
    <s v="Imperial Airways"/>
    <s v="Unknown"/>
    <s v="Croydon - Paris"/>
    <x v="258"/>
    <s v="G-ACOX"/>
    <s v="P-71-1"/>
    <n v="2"/>
    <n v="0"/>
    <n v="2"/>
    <n v="2"/>
    <n v="0"/>
    <n v="2"/>
    <n v="0"/>
    <s v="Crashed under unknown circumstances while delivering mail."/>
    <n v="0"/>
    <n v="1"/>
    <x v="1"/>
  </r>
  <r>
    <n v="435"/>
    <x v="411"/>
    <x v="25"/>
    <x v="0"/>
    <s v="Unknown"/>
    <s v="Walsenberg, Colorado"/>
    <s v="Varney Air Lines"/>
    <s v="Unknown"/>
    <s v="El Paso, TX - Pueblo, CO"/>
    <x v="110"/>
    <s v="NC176W"/>
    <n v="129"/>
    <n v="3"/>
    <n v="1"/>
    <n v="2"/>
    <n v="3"/>
    <n v="1"/>
    <n v="2"/>
    <n v="0"/>
    <s v="Crashed in a snowstorm after the pilot cut the motor and the plane crashed into a hill."/>
    <n v="0"/>
    <n v="1"/>
    <x v="1"/>
  </r>
  <r>
    <n v="436"/>
    <x v="411"/>
    <x v="25"/>
    <x v="0"/>
    <s v="Unknown"/>
    <s v="Benghazi, Libya"/>
    <s v="Ala Littoria SA"/>
    <s v="Unknown"/>
    <s v="Addis Ababa, Ethiopia - Rome, Italy"/>
    <x v="259"/>
    <s v="I-RODI"/>
    <n v="301"/>
    <n v="10"/>
    <n v="7"/>
    <n v="3"/>
    <n v="9"/>
    <n v="7"/>
    <n v="2"/>
    <n v="0"/>
    <s v="Suffered engine failue on the approach,struck the mast of a ship and burst into flames."/>
    <n v="1"/>
    <n v="0.9"/>
    <x v="1"/>
  </r>
  <r>
    <n v="437"/>
    <x v="412"/>
    <x v="25"/>
    <x v="0"/>
    <s v="Unknown"/>
    <s v="Napierville, Illinois"/>
    <s v="Blue Bird Air Service"/>
    <s v="Unknown"/>
    <s v="Unknown"/>
    <x v="206"/>
    <s v="NC959Y"/>
    <n v="170"/>
    <n v="4"/>
    <n v="3"/>
    <n v="1"/>
    <n v="4"/>
    <n v="3"/>
    <n v="1"/>
    <n v="0"/>
    <s v="A half-hour after taking off, the engine failed and the plane crashed into a fence and burst into flames  while making a forced landing."/>
    <n v="0"/>
    <n v="1"/>
    <x v="1"/>
  </r>
  <r>
    <n v="438"/>
    <x v="413"/>
    <x v="25"/>
    <x v="0"/>
    <s v="Unknown"/>
    <s v=" Francisco Rueda,  Tabasco, Mexico"/>
    <s v="Mexicana"/>
    <s v="Unknown"/>
    <s v="Unknown"/>
    <x v="198"/>
    <s v="XA-BDH"/>
    <n v="174"/>
    <n v="1"/>
    <n v="0"/>
    <n v="1"/>
    <n v="1"/>
    <n v="0"/>
    <n v="1"/>
    <n v="0"/>
    <s v="The mail plane crashed for reasons unknown."/>
    <n v="0"/>
    <n v="1"/>
    <x v="1"/>
  </r>
  <r>
    <n v="439"/>
    <x v="414"/>
    <x v="25"/>
    <x v="0"/>
    <s v="Unknown"/>
    <s v="Selby, North Yorkshire, United Kingdom"/>
    <s v="North Sea Aerial and General Transport"/>
    <s v="Unknown"/>
    <s v="Unknown"/>
    <x v="260"/>
    <s v="G-ABWI"/>
    <s v="4700-1"/>
    <n v="1"/>
    <n v="0"/>
    <n v="1"/>
    <n v="1"/>
    <n v="0"/>
    <n v="1"/>
    <n v="0"/>
    <s v="The mail plane crashed under unknown circumstances."/>
    <n v="0"/>
    <n v="1"/>
    <x v="1"/>
  </r>
  <r>
    <n v="440"/>
    <x v="415"/>
    <x v="25"/>
    <x v="0"/>
    <d v="1899-12-30T15:00:00"/>
    <s v="Near Tabarz, Germany"/>
    <s v="Deutsche Lufthansa"/>
    <s v="Unknown"/>
    <s v="Frankfurt - Erfurt"/>
    <x v="241"/>
    <s v="D-APOO"/>
    <n v="5506"/>
    <n v="15"/>
    <n v="12"/>
    <n v="3"/>
    <n v="11"/>
    <n v="8"/>
    <n v="3"/>
    <n v="0"/>
    <s v="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
    <n v="4"/>
    <n v="0.73333333333333328"/>
    <x v="1"/>
  </r>
  <r>
    <n v="441"/>
    <x v="416"/>
    <x v="25"/>
    <x v="0"/>
    <d v="1899-12-30T14:00:00"/>
    <s v="Nurnberg, Germany"/>
    <s v="Deutsche Lufthansa"/>
    <s v="Unknown"/>
    <s v="Leipzig - Nuremberg"/>
    <x v="213"/>
    <s v="D-ASUI"/>
    <n v="5498"/>
    <n v="16"/>
    <n v="13"/>
    <n v="3"/>
    <n v="4"/>
    <n v="3"/>
    <n v="1"/>
    <n v="0"/>
    <s v="On approach to Nuremberg Airport in foggy conditions, the aircraft deviated from the prescribed course and was too low when it hit tree tops and crashed in a wooded area. Pilot error."/>
    <n v="12"/>
    <n v="0.25"/>
    <x v="2"/>
  </r>
  <r>
    <n v="442"/>
    <x v="417"/>
    <x v="25"/>
    <x v="0"/>
    <d v="1899-12-30T03:38:00"/>
    <s v="London, England"/>
    <s v="British Airways"/>
    <s v="Unknown"/>
    <s v="Hanover - London"/>
    <x v="261"/>
    <s v="G-AEOT"/>
    <n v="5300"/>
    <n v="4"/>
    <n v="0"/>
    <n v="4"/>
    <n v="2"/>
    <n v="0"/>
    <n v="2"/>
    <n v="0"/>
    <s v="The mail plane attempted to land in strong winds and poor weather conditons. Pilot error."/>
    <n v="2"/>
    <n v="0.5"/>
    <x v="0"/>
  </r>
  <r>
    <n v="443"/>
    <x v="418"/>
    <x v="25"/>
    <x v="0"/>
    <d v="1899-12-30T12:00:00"/>
    <s v="Near Grenoble, France"/>
    <s v="Deutsche Lufthansa"/>
    <s v="Unknown"/>
    <s v="Lisbon - Burgos - Geneva - Munich"/>
    <x v="213"/>
    <s v="D-ASIH"/>
    <n v="5078"/>
    <n v="6"/>
    <n v="3"/>
    <n v="3"/>
    <n v="6"/>
    <n v="3"/>
    <n v="3"/>
    <n v="0"/>
    <s v="Crashed into the French Alps  in high winds. The plane was named &quot;Rudolf Windisch.&quot;"/>
    <n v="0"/>
    <n v="1"/>
    <x v="1"/>
  </r>
  <r>
    <n v="444"/>
    <x v="419"/>
    <x v="25"/>
    <x v="0"/>
    <s v="Unknown"/>
    <s v="Near Moscow, Russia"/>
    <s v="Deruluft"/>
    <s v="Unknown"/>
    <s v="Berlin - Moscow"/>
    <x v="262"/>
    <s v="CCCP-D311"/>
    <n v="160"/>
    <n v="14"/>
    <n v="11"/>
    <n v="3"/>
    <n v="9"/>
    <n v="7"/>
    <n v="2"/>
    <n v="0"/>
    <s v="Crashed short of the runway while attempting to land."/>
    <n v="5"/>
    <n v="0.6428571428571429"/>
    <x v="0"/>
  </r>
  <r>
    <n v="445"/>
    <x v="420"/>
    <x v="25"/>
    <x v="0"/>
    <d v="1899-12-30T10:47:00"/>
    <s v="Off Dakar, French West Africa"/>
    <s v="Air France"/>
    <s v="Unknown"/>
    <s v="Marseille - Dakar - Natal - Rio de Janeiro"/>
    <x v="263"/>
    <s v="F-AKGF"/>
    <n v="1"/>
    <n v="5"/>
    <n v="1"/>
    <n v="4"/>
    <n v="5"/>
    <n v="1"/>
    <n v="4"/>
    <n v="0"/>
    <s v=" The last message from the aviator was &quot;we have switched off the rear engine.&quot; The plane and crew of four were never found. Aviator Jean Mermoz killed."/>
    <n v="0"/>
    <n v="1"/>
    <x v="1"/>
  </r>
  <r>
    <n v="446"/>
    <x v="421"/>
    <x v="25"/>
    <x v="0"/>
    <d v="1899-12-30T10:30:00"/>
    <s v="Croydon, England"/>
    <s v="KLM Royal Dutch Airlines"/>
    <s v="Unknown"/>
    <s v="Croydon - Amsterdam"/>
    <x v="264"/>
    <s v="PH-AKL"/>
    <n v="1358"/>
    <n v="17"/>
    <n v="13"/>
    <n v="4"/>
    <n v="15"/>
    <n v="12"/>
    <n v="3"/>
    <n v="0"/>
    <s v="The aircraft crashed into houses while attempting to take off in heavy fog. A stewardess and the radio operator survived. Aircraft designer Juan de la Cierva killed. Pilot error. Piilot did not maintain directional control of the aircraft and abort the takeoff"/>
    <n v="2"/>
    <n v="0.88235294117647056"/>
    <x v="1"/>
  </r>
  <r>
    <n v="447"/>
    <x v="422"/>
    <x v="25"/>
    <x v="0"/>
    <d v="1899-12-30T03:14:00"/>
    <s v="Near Salt Lake City, Utah"/>
    <s v="Western Air Express"/>
    <n v="6"/>
    <s v="Burbank - Las Vegas - Salt Lake City"/>
    <x v="233"/>
    <s v="NC13370"/>
    <n v="1957"/>
    <n v="7"/>
    <n v="4"/>
    <n v="3"/>
    <n v="7"/>
    <n v="4"/>
    <n v="3"/>
    <n v="0"/>
    <s v="Crashed into Lone Peak while attempting to land at Salt Lake. Inability of the pilots to identify the south leg of the Salt Lake radio range due to a local static condition which rendered both range receivers in the airplane inoperative."/>
    <n v="0"/>
    <n v="1"/>
    <x v="1"/>
  </r>
  <r>
    <n v="448"/>
    <x v="423"/>
    <x v="25"/>
    <x v="0"/>
    <d v="1899-12-30T03:23:00"/>
    <s v="Kellogg, Idaho"/>
    <s v="Northwest Orient Airlines"/>
    <s v="Unknown"/>
    <s v="Chicago - Minneapolis - Missoula - Seattle"/>
    <x v="265"/>
    <s v="NC14935"/>
    <n v="1024"/>
    <n v="2"/>
    <n v="0"/>
    <n v="2"/>
    <n v="2"/>
    <n v="0"/>
    <n v="2"/>
    <n v="0"/>
    <s v="The mail plane crashed into Early Creek Ridge, 15 miles south of Kellogg, in a blizzard. Pilot error in not following the radio range course upon leaving Missoula and failing to ascent to a safe altitude over the course pursued from Elk River."/>
    <n v="0"/>
    <n v="1"/>
    <x v="1"/>
  </r>
  <r>
    <n v="449"/>
    <x v="424"/>
    <x v="25"/>
    <x v="0"/>
    <d v="1899-12-30T20:47:00"/>
    <s v="Near Milford, Pennsylvania"/>
    <s v="Eastern Air Lines"/>
    <n v="14"/>
    <s v="Miami - Charleston - Newark"/>
    <x v="218"/>
    <s v="NC13732"/>
    <n v="1258"/>
    <n v="11"/>
    <n v="8"/>
    <n v="3"/>
    <n v="0"/>
    <n v="0"/>
    <n v="0"/>
    <n v="0"/>
    <s v="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
    <n v="11"/>
    <n v="0"/>
    <x v="2"/>
  </r>
  <r>
    <n v="450"/>
    <x v="425"/>
    <x v="25"/>
    <x v="0"/>
    <s v="Unknown"/>
    <s v="Near Dallas, Texas"/>
    <s v="Braniff Airways"/>
    <s v="Unknown"/>
    <s v="Test flight"/>
    <x v="265"/>
    <s v="NC14905"/>
    <n v="1018"/>
    <n v="6"/>
    <n v="4"/>
    <n v="2"/>
    <n v="6"/>
    <n v="4"/>
    <n v="2"/>
    <n v="0"/>
    <s v="After an attempted go-around the right engine failed and the plane crashed and burst into flames into a corn field.."/>
    <n v="0"/>
    <n v="1"/>
    <x v="1"/>
  </r>
  <r>
    <n v="451"/>
    <x v="426"/>
    <x v="25"/>
    <x v="0"/>
    <s v="Unknown"/>
    <s v="Nanking, China"/>
    <s v="China National Aviation Corporation"/>
    <s v="Unknown"/>
    <s v="Unknown"/>
    <x v="226"/>
    <s v="NC14269"/>
    <s v="Unknown"/>
    <s v="NULL"/>
    <s v="NULL"/>
    <s v="NULL"/>
    <s v="NULL"/>
    <s v="NULL"/>
    <s v="NULL"/>
    <s v="NULL"/>
    <s v="No data available"/>
    <s v="NULL"/>
    <n v="0"/>
    <x v="2"/>
  </r>
  <r>
    <n v="452"/>
    <x v="427"/>
    <x v="25"/>
    <x v="0"/>
    <d v="1899-12-30T19:38:00"/>
    <s v="Newhall, California"/>
    <s v="United Air Lines"/>
    <n v="34"/>
    <s v="Oakland - San Francisco - Los Angeles"/>
    <x v="233"/>
    <s v="NC13355"/>
    <n v="1737"/>
    <n v="12"/>
    <n v="10"/>
    <n v="2"/>
    <n v="12"/>
    <n v="10"/>
    <n v="2"/>
    <n v="0"/>
    <s v="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
    <n v="0"/>
    <n v="1"/>
    <x v="1"/>
  </r>
  <r>
    <n v="453"/>
    <x v="428"/>
    <x v="26"/>
    <x v="0"/>
    <d v="1899-12-30T10:30:00"/>
    <s v="Near Playa V icente, Veracruz, Mexico"/>
    <s v="Mexicana"/>
    <s v="Unknown"/>
    <s v="Mexico City - MinatitlÃ¡n - MÃ©rida"/>
    <x v="266"/>
    <s v="X-ABEO"/>
    <n v="1007"/>
    <n v="9"/>
    <n v="6"/>
    <n v="3"/>
    <n v="9"/>
    <n v="6"/>
    <n v="3"/>
    <n v="0"/>
    <s v="After starting a descent, the aircraft crashed into Playa Vincente in adverse weather."/>
    <n v="0"/>
    <n v="1"/>
    <x v="1"/>
  </r>
  <r>
    <n v="454"/>
    <x v="429"/>
    <x v="26"/>
    <x v="0"/>
    <d v="1899-12-30T11:07:00"/>
    <s v="Near Newhall, California"/>
    <s v="Western Air Express"/>
    <n v="7"/>
    <s v="Salt Lake City - Burbank"/>
    <x v="233"/>
    <s v="NC13315"/>
    <n v="1696"/>
    <n v="13"/>
    <n v="11"/>
    <n v="2"/>
    <n v="5"/>
    <n v="4"/>
    <n v="1"/>
    <n v="0"/>
    <s v="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
    <n v="8"/>
    <n v="0.38461538461538464"/>
    <x v="0"/>
  </r>
  <r>
    <n v="455"/>
    <x v="430"/>
    <x v="26"/>
    <x v="0"/>
    <d v="1899-12-30T17:30:00"/>
    <s v="Oran, Algeria"/>
    <s v="Sabena"/>
    <s v="Unknown"/>
    <s v="Elizabethville - Gao - Colomb-BÃ©char - Oran - Brussels"/>
    <x v="267"/>
    <s v="OO-AGR"/>
    <n v="2"/>
    <n v="12"/>
    <n v="8"/>
    <n v="4"/>
    <n v="12"/>
    <n v="8"/>
    <n v="4"/>
    <n v="0"/>
    <s v="While attempting to land the aircraft went out of control and crashed."/>
    <n v="0"/>
    <n v="1"/>
    <x v="1"/>
  </r>
  <r>
    <n v="456"/>
    <x v="431"/>
    <x v="26"/>
    <x v="0"/>
    <d v="1899-12-30T20:50:00"/>
    <s v="Off San Francisco, California"/>
    <s v="United Air Lines"/>
    <n v="23"/>
    <s v="Los Angeles - San Francisco - Oakland"/>
    <x v="268"/>
    <s v="NC16073"/>
    <n v="1913"/>
    <n v="11"/>
    <n v="9"/>
    <n v="2"/>
    <n v="11"/>
    <n v="9"/>
    <n v="2"/>
    <n v="0"/>
    <s v="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
    <n v="0"/>
    <n v="1"/>
    <x v="1"/>
  </r>
  <r>
    <n v="457"/>
    <x v="432"/>
    <x v="26"/>
    <x v="0"/>
    <d v="1899-12-30T13:40:00"/>
    <s v="McPherson Ranges, Queensland, Australia"/>
    <s v="Airlines of Australia"/>
    <s v="Unknown"/>
    <s v="Brisbane - Sidney"/>
    <x v="229"/>
    <s v="VH-UHH"/>
    <n v="1926"/>
    <n v="7"/>
    <n v="5"/>
    <n v="2"/>
    <n v="5"/>
    <n v="3"/>
    <n v="2"/>
    <n v="0"/>
    <s v="Flying low to maintain visual contact with the ground the plane ran into downdrafts that exceeded its ability to climb. The plane crashed and burned."/>
    <n v="2"/>
    <n v="0.7142857142857143"/>
    <x v="1"/>
  </r>
  <r>
    <n v="458"/>
    <x v="433"/>
    <x v="26"/>
    <x v="0"/>
    <s v="Unknown"/>
    <s v="Bathurst, Gambia"/>
    <s v="Deutsche Lufthansa"/>
    <s v="Unknown"/>
    <s v="Las Palmas, Canary Islands - Bathhurst, Gambia"/>
    <x v="269"/>
    <s v="D-ALIX"/>
    <n v="715"/>
    <n v="4"/>
    <n v="0"/>
    <n v="4"/>
    <n v="4"/>
    <n v="0"/>
    <n v="4"/>
    <n v="0"/>
    <s v="The German mail plane crashed into a swamp. The plane was named 'Rostock.&quot;"/>
    <n v="0"/>
    <n v="1"/>
    <x v="1"/>
  </r>
  <r>
    <n v="459"/>
    <x v="434"/>
    <x v="26"/>
    <x v="0"/>
    <d v="1899-12-30T14:00:00"/>
    <s v="Near Ouroux, France"/>
    <s v="Imperial Airways"/>
    <s v="Unknown"/>
    <s v="Southhampton, England - Alexandria, Egypt"/>
    <x v="270"/>
    <s v="G-ADVA"/>
    <s v="S-818"/>
    <n v="6"/>
    <n v="1"/>
    <n v="5"/>
    <n v="5"/>
    <n v="1"/>
    <n v="4"/>
    <n v="0"/>
    <s v="Crashed into trees on a mountainside in a snowstorm."/>
    <n v="1"/>
    <n v="0.83333333333333337"/>
    <x v="1"/>
  </r>
  <r>
    <n v="460"/>
    <x v="435"/>
    <x v="26"/>
    <x v="0"/>
    <d v="1899-12-30T18:40:00"/>
    <s v="Clifton, Pennsylvania"/>
    <s v="Trans Continental and Western Air"/>
    <s v="15A"/>
    <s v="Newark - Camden - Pittsburg"/>
    <x v="218"/>
    <s v="NC13730"/>
    <n v="1256"/>
    <n v="13"/>
    <n v="10"/>
    <n v="3"/>
    <n v="13"/>
    <n v="10"/>
    <n v="3"/>
    <n v="0"/>
    <s v="While attempting to land the aircraft banked left and crashed short of the runway. Heavy icing which rendered the plane uncontrollable."/>
    <n v="0"/>
    <n v="1"/>
    <x v="1"/>
  </r>
  <r>
    <n v="461"/>
    <x v="436"/>
    <x v="26"/>
    <x v="0"/>
    <s v="Unknown"/>
    <s v="Wetnum, Germany"/>
    <s v="Deutsche Lufthansa"/>
    <s v="Unknown"/>
    <s v="Unknown"/>
    <x v="213"/>
    <s v="D-UPOZ"/>
    <n v="4207"/>
    <n v="6"/>
    <n v="4"/>
    <n v="2"/>
    <n v="0"/>
    <n v="0"/>
    <n v="0"/>
    <n v="0"/>
    <s v="Engine failure led to a crash landing in a field."/>
    <n v="6"/>
    <n v="0"/>
    <x v="2"/>
  </r>
  <r>
    <n v="462"/>
    <x v="437"/>
    <x v="26"/>
    <x v="0"/>
    <d v="1899-12-30T19:25:00"/>
    <s v="Lakehurst, New Jersey"/>
    <s v="Deutsche Zeppelin Reederei"/>
    <s v="LZ 129"/>
    <s v="Frankfurt - Lakehurst N.J."/>
    <x v="271"/>
    <s v="D-LZ-129"/>
    <s v="D-LZ129"/>
    <n v="97"/>
    <n v="36"/>
    <n v="61"/>
    <n v="35"/>
    <n v="13"/>
    <n v="22"/>
    <n v="1"/>
    <s v="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
    <n v="62"/>
    <n v="0.36082474226804123"/>
    <x v="0"/>
  </r>
  <r>
    <n v="463"/>
    <x v="438"/>
    <x v="26"/>
    <x v="0"/>
    <s v="Unknown"/>
    <s v="Stuttgart, Germany"/>
    <s v="Deutsche Lufthansa"/>
    <s v="Unknown"/>
    <s v="Unknown"/>
    <x v="239"/>
    <s v="D-UXUV"/>
    <n v="916"/>
    <n v="4"/>
    <n v="2"/>
    <n v="2"/>
    <n v="4"/>
    <n v="2"/>
    <n v="2"/>
    <n v="0"/>
    <s v="Stalled and crashed on takeoff."/>
    <n v="0"/>
    <n v="1"/>
    <x v="1"/>
  </r>
  <r>
    <n v="464"/>
    <x v="439"/>
    <x v="26"/>
    <x v="0"/>
    <d v="1899-12-30T05:30:00"/>
    <s v=" Wadi Halfa, Sudan"/>
    <s v="Linea Aerea Nacional de Chile"/>
    <s v="Unknown"/>
    <s v="Puerto Montt - Magallanes"/>
    <x v="272"/>
    <s v="I-SUSA"/>
    <n v="30014"/>
    <n v="8"/>
    <n v="4"/>
    <n v="4"/>
    <n v="8"/>
    <n v="4"/>
    <n v="4"/>
    <n v="0"/>
    <s v="On final approach at night, the crew elected to make a go around for unknown reasons. The aircraft stalled and crashed short of runway."/>
    <n v="0"/>
    <n v="1"/>
    <x v="1"/>
  </r>
  <r>
    <n v="465"/>
    <x v="440"/>
    <x v="26"/>
    <x v="0"/>
    <s v="Unknown"/>
    <s v="Off Lae, New Guinea"/>
    <s v="Private - Purdue Reasearch Foundation"/>
    <s v="Unknown"/>
    <s v="Lae - Howland Island"/>
    <x v="266"/>
    <s v="NR16020"/>
    <n v="1055"/>
    <n v="2"/>
    <n v="0"/>
    <n v="2"/>
    <n v="2"/>
    <n v="0"/>
    <n v="2"/>
    <n v="0"/>
    <s v="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
    <n v="0"/>
    <n v="1"/>
    <x v="1"/>
  </r>
  <r>
    <n v="466"/>
    <x v="441"/>
    <x v="26"/>
    <x v="0"/>
    <d v="1899-12-30T10:40:00"/>
    <s v="Hal, Belgium"/>
    <s v="KLM Royal Dutch Airlines"/>
    <s v="Unknown"/>
    <s v="Amsterdam - Paris"/>
    <x v="273"/>
    <s v="PH-ALF"/>
    <n v="1585"/>
    <n v="15"/>
    <n v="10"/>
    <n v="5"/>
    <n v="15"/>
    <n v="10"/>
    <n v="5"/>
    <n v="0"/>
    <s v="The aircraft crashed  into a potato field after possibly being struck by lightning and after an in-flight fire."/>
    <n v="0"/>
    <n v="1"/>
    <x v="1"/>
  </r>
  <r>
    <n v="467"/>
    <x v="442"/>
    <x v="26"/>
    <x v="0"/>
    <s v="Unknown"/>
    <s v="Wadi Halfa, Sudan"/>
    <s v="Ala Littoria"/>
    <s v="Unknown"/>
    <s v="Rome, Italy - Kartoum"/>
    <x v="238"/>
    <s v="I-SUSA"/>
    <n v="30014"/>
    <n v="9"/>
    <n v="5"/>
    <n v="4"/>
    <n v="9"/>
    <n v="5"/>
    <n v="4"/>
    <n v="0"/>
    <s v="Crashed into a building on takeoff. The accident happened after the crew abandoned the approach and attempt an overshoot maneuver,"/>
    <n v="0"/>
    <n v="1"/>
    <x v="1"/>
  </r>
  <r>
    <n v="468"/>
    <x v="443"/>
    <x v="26"/>
    <x v="0"/>
    <d v="1899-12-30T19:38:00"/>
    <s v="Off Cristobal, Panama"/>
    <s v="Pan American Grace Airways"/>
    <s v="Unknown"/>
    <s v="Santiago, Chili - Cristobal, Panama"/>
    <x v="274"/>
    <s v="NC15065"/>
    <n v="4305"/>
    <n v="14"/>
    <n v="11"/>
    <n v="3"/>
    <n v="14"/>
    <n v="11"/>
    <n v="3"/>
    <n v="0"/>
    <s v="The flying boat plunged into the ocean 20 miles off of Cristobal. The plane probably struck the water at high speed and was destroyed by an immediate explosion and fire."/>
    <n v="0"/>
    <n v="1"/>
    <x v="1"/>
  </r>
  <r>
    <n v="469"/>
    <x v="444"/>
    <x v="26"/>
    <x v="0"/>
    <s v="Unknown"/>
    <s v=" Bistrita, Romania"/>
    <s v="Aeroflot"/>
    <s v="Unknown"/>
    <s v="Unknown"/>
    <x v="226"/>
    <s v="CCCP-M25"/>
    <n v="1413"/>
    <n v="5"/>
    <n v="2"/>
    <n v="3"/>
    <n v="5"/>
    <n v="2"/>
    <n v="3"/>
    <n v="0"/>
    <s v="While en route, the plane caught fire and crashed. A passenger lit a cigarette in the rear toilet and ignited accumulated vapors."/>
    <n v="0"/>
    <n v="1"/>
    <x v="1"/>
  </r>
  <r>
    <n v="470"/>
    <x v="445"/>
    <x v="26"/>
    <x v="0"/>
    <d v="1899-12-30T10:50:00"/>
    <s v="Chilang Point, Bias Bay, China"/>
    <s v="China National Aviation Corporation"/>
    <s v="Unknown"/>
    <s v="Canton - Shanghi"/>
    <x v="274"/>
    <s v="NC16930"/>
    <s v="Unknown"/>
    <n v="11"/>
    <n v="8"/>
    <n v="3"/>
    <n v="3"/>
    <n v="0"/>
    <n v="3"/>
    <n v="0"/>
    <s v="Forced to ditch into the sea due to bad weather. One wing broke off due to high waves and 8 passengers hung on to the remaining wing until rescued. The aircraft was named Chekiang."/>
    <n v="8"/>
    <n v="0.27272727272727271"/>
    <x v="2"/>
  </r>
  <r>
    <n v="471"/>
    <x v="446"/>
    <x v="26"/>
    <x v="0"/>
    <d v="1899-12-30T04:40:00"/>
    <s v="Daytona Beach, Florida"/>
    <s v="Eastern Air Lines"/>
    <n v="7"/>
    <s v="Chicago - Daytona"/>
    <x v="226"/>
    <s v="NC-13739"/>
    <n v="1289"/>
    <n v="9"/>
    <n v="7"/>
    <n v="2"/>
    <n v="4"/>
    <n v="2"/>
    <n v="2"/>
    <n v="0"/>
    <s v="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
    <n v="5"/>
    <n v="0.44444444444444442"/>
    <x v="0"/>
  </r>
  <r>
    <n v="472"/>
    <x v="447"/>
    <x v="26"/>
    <x v="0"/>
    <s v="Unknown"/>
    <s v="San Luis, Argentina"/>
    <s v="Pan American Grace Airways"/>
    <s v="Unknown"/>
    <s v="Mendosa - Cordoba"/>
    <x v="226"/>
    <s v="NC14298"/>
    <n v="1370"/>
    <n v="3"/>
    <n v="0"/>
    <n v="3"/>
    <n v="3"/>
    <n v="0"/>
    <n v="3"/>
    <n v="0"/>
    <s v="The cargo plane crashed and burned in a field while en route after entering dense fog."/>
    <n v="0"/>
    <n v="1"/>
    <x v="1"/>
  </r>
  <r>
    <n v="473"/>
    <x v="448"/>
    <x v="26"/>
    <x v="0"/>
    <s v="Unknown"/>
    <s v="Wau, Papua New Guinea"/>
    <s v="Guinea Airways"/>
    <s v="Unknown"/>
    <s v="Unknown"/>
    <x v="275"/>
    <s v="VH-URC"/>
    <n v="9669"/>
    <n v="1"/>
    <n v="0"/>
    <n v="1"/>
    <n v="1"/>
    <n v="0"/>
    <n v="1"/>
    <n v="1"/>
    <s v="After taking off in foggy condition, the cargo plane lost altitude and crashed into a house."/>
    <n v="0"/>
    <n v="1"/>
    <x v="1"/>
  </r>
  <r>
    <n v="474"/>
    <x v="449"/>
    <x v="26"/>
    <x v="0"/>
    <s v="Unknown"/>
    <s v="Phaleron Bay, Greece"/>
    <s v="Imperial Airways"/>
    <s v="Unknown"/>
    <s v="Alexandria, Egypt  - Athens, Greece"/>
    <x v="276"/>
    <s v="G-ADVC"/>
    <s v="S-820"/>
    <n v="14"/>
    <n v="9"/>
    <n v="5"/>
    <n v="2"/>
    <n v="2"/>
    <n v="0"/>
    <n v="0"/>
    <s v="Crashed as it landed in Phaleron Bay. Two passengers drowned. Poor visibility was blamed for the accident."/>
    <n v="12"/>
    <n v="0.14285714285714285"/>
    <x v="2"/>
  </r>
  <r>
    <n v="475"/>
    <x v="450"/>
    <x v="26"/>
    <x v="0"/>
    <d v="1899-12-30T12:25:00"/>
    <s v="Palembang, Netherlands Indies"/>
    <s v="KLM Royal Dutch Airlines"/>
    <s v="Unknown"/>
    <s v="Palembang - Singapore"/>
    <x v="277"/>
    <s v="PH-ALS"/>
    <n v="1940"/>
    <n v="11"/>
    <n v="7"/>
    <n v="4"/>
    <n v="4"/>
    <n v="1"/>
    <n v="3"/>
    <n v="0"/>
    <s v="While in initial climb, the left engine failed. The crew decided to return for a safe landing but the aircraft hit  tree tops, stalled and crashed. Bronislaw Hubermann, celibrated Polish violinist was sightly injured."/>
    <n v="7"/>
    <n v="0.36363636363636365"/>
    <x v="0"/>
  </r>
  <r>
    <n v="476"/>
    <x v="451"/>
    <x v="26"/>
    <x v="0"/>
    <d v="1899-12-30T21:00:00"/>
    <s v="Haydens Peak, Wyoming"/>
    <s v="United Air Lines"/>
    <n v="1"/>
    <s v="Newark - Chicago - Cheyenne - Salt Lake City - Los Angeles"/>
    <x v="277"/>
    <s v="NC16074"/>
    <n v="1914"/>
    <n v="19"/>
    <n v="16"/>
    <n v="3"/>
    <n v="19"/>
    <n v="16"/>
    <n v="3"/>
    <n v="0"/>
    <s v="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
    <n v="0"/>
    <n v="1"/>
    <x v="1"/>
  </r>
  <r>
    <n v="477"/>
    <x v="452"/>
    <x v="26"/>
    <x v="0"/>
    <d v="1899-12-30T04:23:00"/>
    <s v="Off Western Africa"/>
    <s v="Air France"/>
    <s v="Unknown"/>
    <s v="Dakar - Casablanca"/>
    <x v="278"/>
    <s v="F-ALQA"/>
    <n v="1"/>
    <n v="7"/>
    <n v="2"/>
    <n v="5"/>
    <n v="7"/>
    <n v="2"/>
    <n v="5"/>
    <n v="0"/>
    <s v="Disappeared after sending a distress call while en route."/>
    <n v="0"/>
    <n v="1"/>
    <x v="1"/>
  </r>
  <r>
    <n v="478"/>
    <x v="453"/>
    <x v="26"/>
    <x v="0"/>
    <s v="Unknown"/>
    <s v="Warsaw, Poland"/>
    <s v="LOT"/>
    <s v="Unknown"/>
    <s v="Krakow - Warsaw"/>
    <x v="279"/>
    <s v="SP-AYD"/>
    <n v="1048"/>
    <n v="11"/>
    <n v="9"/>
    <n v="2"/>
    <n v="4"/>
    <n v="2"/>
    <n v="2"/>
    <s v="NULL"/>
    <s v="On final approach at night and in poor visibility due to fog, the pilot flew too low, hit power lines and crashed in a field."/>
    <n v="7"/>
    <n v="0.36363636363636365"/>
    <x v="0"/>
  </r>
  <r>
    <n v="479"/>
    <x v="453"/>
    <x v="26"/>
    <x v="0"/>
    <d v="1899-12-30T16:50:00"/>
    <s v="Mannheim, Germany"/>
    <s v="Deutsche Lufthansa"/>
    <s v="Unknown"/>
    <s v=" Berlin - Mannheim"/>
    <x v="280"/>
    <s v="D-AXAV"/>
    <n v="1830"/>
    <n v="12"/>
    <n v="9"/>
    <n v="3"/>
    <n v="10"/>
    <n v="7"/>
    <n v="3"/>
    <n v="0"/>
    <s v="Hit the ground prematurely while attempting to land in fog."/>
    <n v="2"/>
    <n v="0.83333333333333337"/>
    <x v="1"/>
  </r>
  <r>
    <n v="480"/>
    <x v="454"/>
    <x v="26"/>
    <x v="0"/>
    <d v="1899-12-30T15:30:00"/>
    <s v="Ostende, Belgium"/>
    <s v="Sabena"/>
    <s v="Unknown"/>
    <s v="Cologne - Brussels - London"/>
    <x v="213"/>
    <s v="OO-AUB"/>
    <n v="5827"/>
    <n v="11"/>
    <n v="8"/>
    <n v="3"/>
    <n v="11"/>
    <n v="8"/>
    <n v="3"/>
    <n v="0"/>
    <s v="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
    <n v="0"/>
    <n v="1"/>
    <x v="1"/>
  </r>
  <r>
    <n v="481"/>
    <x v="455"/>
    <x v="26"/>
    <x v="0"/>
    <s v="Unknown"/>
    <s v="Croydon, United Kingdom"/>
    <s v="Deutsche Lufthansa"/>
    <s v="Unknown"/>
    <s v="Unknown"/>
    <x v="241"/>
    <s v="D-AGAV"/>
    <n v="4023"/>
    <n v="3"/>
    <n v="0"/>
    <n v="3"/>
    <n v="3"/>
    <n v="0"/>
    <n v="3"/>
    <n v="0"/>
    <s v="Engine failure on takeoff caused the cargo plane to stall and crash into a hanger."/>
    <n v="0"/>
    <n v="1"/>
    <x v="1"/>
  </r>
  <r>
    <n v="482"/>
    <x v="456"/>
    <x v="26"/>
    <x v="0"/>
    <s v="Unknown"/>
    <s v="Munich, Germany"/>
    <s v="Ala Littoria"/>
    <s v="Unknown"/>
    <s v="Rome - Munich - Berlin"/>
    <x v="241"/>
    <s v="I-BAUS"/>
    <n v="4063"/>
    <n v="17"/>
    <n v="14"/>
    <n v="3"/>
    <n v="4"/>
    <n v="4"/>
    <n v="0"/>
    <n v="0"/>
    <s v="Crashed into a hill while on approach in low visibility."/>
    <n v="13"/>
    <n v="0.23529411764705882"/>
    <x v="2"/>
  </r>
  <r>
    <n v="483"/>
    <x v="457"/>
    <x v="26"/>
    <x v="0"/>
    <s v="Unknown"/>
    <s v=" Brindisi, Italy"/>
    <s v="Imperial Airways"/>
    <s v="Unknown"/>
    <s v="Unknown"/>
    <x v="270"/>
    <s v="G-ADUZ"/>
    <s v="S-817"/>
    <n v="8"/>
    <n v="4"/>
    <n v="4"/>
    <n v="2"/>
    <n v="1"/>
    <n v="1"/>
    <n v="0"/>
    <s v="Stalled during takeoff and crashed into the sea. Wrong flap setting for takeoff, causing the aircraft to stall."/>
    <n v="6"/>
    <n v="0.25"/>
    <x v="2"/>
  </r>
  <r>
    <n v="484"/>
    <x v="457"/>
    <x v="26"/>
    <x v="0"/>
    <d v="1899-12-30T09:00:00"/>
    <s v="Brindisi Harbor, Italy"/>
    <s v="Imperial Airways"/>
    <s v="Unknown"/>
    <s v="India - London"/>
    <x v="276"/>
    <s v="G-ADUZ"/>
    <s v="Unknown"/>
    <n v="19"/>
    <n v="13"/>
    <n v="6"/>
    <n v="2"/>
    <n v="1"/>
    <n v="1"/>
    <n v="0"/>
    <s v="The flying boat crashed while attempting to take off. The aircraft was named Cygnus."/>
    <n v="17"/>
    <n v="0.10526315789473684"/>
    <x v="2"/>
  </r>
  <r>
    <n v="485"/>
    <x v="458"/>
    <x v="26"/>
    <x v="0"/>
    <s v="Unknown"/>
    <s v="Saint Sauveur, France"/>
    <s v="Air France"/>
    <s v="Unknown"/>
    <s v="Marseille - Lyon - Paris"/>
    <x v="281"/>
    <s v="F-AOTZ"/>
    <n v="4213"/>
    <n v="7"/>
    <n v="6"/>
    <n v="1"/>
    <n v="2"/>
    <n v="1"/>
    <n v="1"/>
    <n v="0"/>
    <s v="Crashed in poor weather conditions while flying too low hitting Pas de la Motte peak."/>
    <n v="5"/>
    <n v="0.2857142857142857"/>
    <x v="2"/>
  </r>
  <r>
    <n v="486"/>
    <x v="459"/>
    <x v="26"/>
    <x v="0"/>
    <d v="1899-12-30T17:30:00"/>
    <s v="Kasperske Hory, Czechoslovakia"/>
    <s v="Air France"/>
    <s v="Unknown"/>
    <s v="Bucharest - Vienna - Prague - Paris"/>
    <x v="282"/>
    <s v="F-AMYD"/>
    <n v="11"/>
    <n v="3"/>
    <n v="1"/>
    <n v="2"/>
    <n v="3"/>
    <n v="1"/>
    <n v="2"/>
    <n v="0"/>
    <s v="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
    <n v="0"/>
    <n v="1"/>
    <x v="1"/>
  </r>
  <r>
    <n v="487"/>
    <x v="460"/>
    <x v="27"/>
    <x v="0"/>
    <s v="Unknown"/>
    <s v="Frankfurt, Germany"/>
    <s v="Lufthansa"/>
    <s v="Unknown"/>
    <s v="Milan - Frankfurt"/>
    <x v="283"/>
    <s v="D-ABUR"/>
    <n v="5777"/>
    <n v="6"/>
    <n v="3"/>
    <n v="3"/>
    <n v="6"/>
    <n v="3"/>
    <n v="3"/>
    <n v="0"/>
    <s v="Crashed short of the runway while attempting to land in snow and icing conditions."/>
    <n v="0"/>
    <n v="1"/>
    <x v="1"/>
  </r>
  <r>
    <n v="488"/>
    <x v="461"/>
    <x v="27"/>
    <x v="0"/>
    <d v="1899-12-30T15:07:00"/>
    <s v="Bozeman, Montana"/>
    <s v="Northwest Orient Airlines"/>
    <n v="2"/>
    <s v="Seattle - Spokane - Butte - Billings - Chicago"/>
    <x v="284"/>
    <s v="NC-17388"/>
    <n v="1407"/>
    <n v="10"/>
    <n v="8"/>
    <n v="2"/>
    <n v="10"/>
    <n v="8"/>
    <n v="2"/>
    <n v="0"/>
    <s v="The aircraft crashed 12 miles northeast of Bozeman after experiencing structural failure of the tail. There was severe turbulence reported in the area at the time of the accident. The structural failure of the upper vertical fins and rudders due to flutter &quot;natural resonance, or period of vibration&quot; which resulted in the separation of the rudder and fins and loss of control of the aircraft."/>
    <n v="0"/>
    <n v="1"/>
    <x v="1"/>
  </r>
  <r>
    <n v="489"/>
    <x v="462"/>
    <x v="27"/>
    <x v="0"/>
    <d v="1899-12-30T08:03:00"/>
    <s v="Pago Pago, U.S. Samoa"/>
    <s v="Pan American World Airways"/>
    <n v="1"/>
    <s v="Oakland - Honolulu - Kingman Reef - Pago Pago - Auckland"/>
    <x v="285"/>
    <s v="NC16734"/>
    <n v="4207"/>
    <n v="7"/>
    <n v="0"/>
    <n v="7"/>
    <n v="7"/>
    <n v="0"/>
    <n v="7"/>
    <n v="0"/>
    <s v="The aircraft exploded in mid-air as the crew attempted to dump fuel for an emergency landing at Pago Pago. Neither the plane or seven crew members were ever found. The aircraft was named &quot;Samoan Clipper.&quot;  Pan American's first and chief pilot, Captain Edwin C. Musick, killed."/>
    <n v="0"/>
    <n v="1"/>
    <x v="1"/>
  </r>
  <r>
    <n v="490"/>
    <x v="463"/>
    <x v="27"/>
    <x v="0"/>
    <s v="Unknown"/>
    <s v="North Pine, Ontario, Canada"/>
    <s v="General Airways"/>
    <s v="Unknown"/>
    <s v="Sioux Lookout - Hudson"/>
    <x v="286"/>
    <s v="CF-BEI"/>
    <s v="5212-S"/>
    <n v="1"/>
    <n v="0"/>
    <n v="1"/>
    <n v="1"/>
    <n v="0"/>
    <n v="1"/>
    <n v="0"/>
    <s v="Crashed in rugged terrain while en route."/>
    <n v="0"/>
    <n v="1"/>
    <x v="1"/>
  </r>
  <r>
    <n v="491"/>
    <x v="464"/>
    <x v="27"/>
    <x v="0"/>
    <d v="1899-12-30T20:40:00"/>
    <s v="Off San Clemente Island, California"/>
    <s v="Military - U.S. Navy / Military - U.S. Navy"/>
    <s v="Unknown"/>
    <s v="Training"/>
    <x v="287"/>
    <s v="04062 / 0463"/>
    <s v="Unknown"/>
    <n v="14"/>
    <n v="0"/>
    <n v="14"/>
    <n v="11"/>
    <n v="0"/>
    <n v="11"/>
    <n v="0"/>
    <s v="The two aircraft crashed in mid-air in heavy rain and darkness and crashed into the sea."/>
    <n v="3"/>
    <n v="0.7857142857142857"/>
    <x v="1"/>
  </r>
  <r>
    <n v="492"/>
    <x v="465"/>
    <x v="27"/>
    <x v="0"/>
    <s v="Unknown"/>
    <s v="Kandalaksha, Russia"/>
    <s v="TsAGI"/>
    <s v="Unknown"/>
    <s v="Moscow - Murmansk"/>
    <x v="288"/>
    <s v="CCCP-V6"/>
    <s v="Unknown"/>
    <n v="19"/>
    <n v="0"/>
    <n v="19"/>
    <n v="13"/>
    <n v="0"/>
    <n v="13"/>
    <n v="0"/>
    <s v="The airship crashed while on a trial flight in preparation of rescuing  Russian scientists on an ice floe in Greenland. The airship crashed into the side of a mountain."/>
    <n v="6"/>
    <n v="0.68421052631578949"/>
    <x v="1"/>
  </r>
  <r>
    <n v="493"/>
    <x v="466"/>
    <x v="27"/>
    <x v="0"/>
    <s v="Unknown"/>
    <s v="Guadalupe, Mexico"/>
    <s v="Mexicana"/>
    <s v="Unknown"/>
    <s v="Test flight"/>
    <x v="265"/>
    <s v="XA-BAS"/>
    <s v="Unknown"/>
    <n v="2"/>
    <n v="0"/>
    <n v="0"/>
    <n v="2"/>
    <n v="0"/>
    <n v="0"/>
    <n v="0"/>
    <s v="Crashed on a second test flight."/>
    <n v="0"/>
    <n v="1"/>
    <x v="1"/>
  </r>
  <r>
    <n v="494"/>
    <x v="466"/>
    <x v="27"/>
    <x v="0"/>
    <d v="1899-12-30T07:30:00"/>
    <s v="Marseille, France"/>
    <s v="Air France"/>
    <s v="Unknown"/>
    <s v="Marseille, France - Ajaccio, Corsica"/>
    <x v="289"/>
    <s v="F-ANPB"/>
    <n v="5"/>
    <n v="12"/>
    <n v="7"/>
    <n v="5"/>
    <n v="8"/>
    <n v="5"/>
    <n v="3"/>
    <n v="0"/>
    <s v="The flying boat struck the breakwater in fog at 60 miles an hour and burst into flames while attempting to take off."/>
    <n v="4"/>
    <n v="0.66666666666666663"/>
    <x v="1"/>
  </r>
  <r>
    <n v="495"/>
    <x v="467"/>
    <x v="27"/>
    <x v="0"/>
    <d v="1899-12-30T14:30:00"/>
    <s v="Mediterranean Sea"/>
    <s v="Ala Littoria SA"/>
    <s v="Unknown"/>
    <s v="Cadiz - PollenÃ§a -Alghero - Rome"/>
    <x v="290"/>
    <s v="I-ORIA"/>
    <n v="297"/>
    <n v="14"/>
    <n v="10"/>
    <n v="4"/>
    <n v="14"/>
    <n v="10"/>
    <n v="4"/>
    <n v="0"/>
    <s v="Disappeared over the Mediterranean Sea while flying in a storm."/>
    <n v="0"/>
    <n v="1"/>
    <x v="1"/>
  </r>
  <r>
    <n v="496"/>
    <x v="468"/>
    <x v="27"/>
    <x v="0"/>
    <d v="1899-12-30T04:45:00"/>
    <s v="Pontoise, France"/>
    <s v="Deutsche Lufthansa"/>
    <s v="Unknown"/>
    <s v="Berlin, Germany - Paris, France"/>
    <x v="291"/>
    <s v="D-APAR"/>
    <n v="4040"/>
    <n v="3"/>
    <n v="0"/>
    <n v="0"/>
    <n v="3"/>
    <n v="0"/>
    <n v="0"/>
    <n v="0"/>
    <s v="The mail plane crashed in fog within a few miles of it's destination near Bourget Airport."/>
    <n v="0"/>
    <n v="1"/>
    <x v="1"/>
  </r>
  <r>
    <n v="497"/>
    <x v="469"/>
    <x v="27"/>
    <x v="0"/>
    <d v="1899-12-30T21:30:00"/>
    <s v="Near Wawona, Cailifornia"/>
    <s v="Trans Continental and Western Air"/>
    <n v="8"/>
    <s v="San Francisco - Winslow, AZ,  Burbank, CA"/>
    <x v="218"/>
    <s v="NC13789"/>
    <n v="1299"/>
    <n v="9"/>
    <n v="6"/>
    <n v="3"/>
    <n v="9"/>
    <n v="6"/>
    <n v="3"/>
    <n v="0"/>
    <s v="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
    <n v="0"/>
    <n v="1"/>
    <x v="1"/>
  </r>
  <r>
    <n v="498"/>
    <x v="470"/>
    <x v="27"/>
    <x v="0"/>
    <s v="Unknown"/>
    <s v="Datia, India"/>
    <s v="Air France"/>
    <s v="Unknown"/>
    <s v="Hanoi, Vietnam - Paris, France"/>
    <x v="281"/>
    <s v="F-ANQR"/>
    <s v="4031/12"/>
    <n v="7"/>
    <n v="3"/>
    <n v="4"/>
    <n v="7"/>
    <n v="3"/>
    <n v="4"/>
    <n v="0"/>
    <s v="Crashed and burst into flames shortly after taking off from Dum Dum."/>
    <n v="0"/>
    <n v="1"/>
    <x v="1"/>
  </r>
  <r>
    <n v="499"/>
    <x v="471"/>
    <x v="27"/>
    <x v="0"/>
    <s v="Unknown"/>
    <s v="Somerton, Australia"/>
    <s v="Australian National Airways"/>
    <s v="Unknown"/>
    <s v="Training"/>
    <x v="172"/>
    <s v="VH-UNU"/>
    <s v="Unknown"/>
    <n v="1"/>
    <n v="0"/>
    <n v="1"/>
    <n v="1"/>
    <n v="0"/>
    <n v="1"/>
    <n v="0"/>
    <s v="The pilot made a sharp turn, lost control of the aircraft and chrashed."/>
    <n v="0"/>
    <n v="1"/>
    <x v="1"/>
  </r>
  <r>
    <n v="500"/>
    <x v="472"/>
    <x v="27"/>
    <x v="0"/>
    <d v="1899-12-30T07:00:00"/>
    <s v="Corsavy, France"/>
    <s v="Air France"/>
    <s v="Unknown"/>
    <s v="Dakar - Casablanca - Oran - Toulouse - Paris"/>
    <x v="292"/>
    <s v="F-AQBB"/>
    <n v="2"/>
    <n v="8"/>
    <n v="5"/>
    <n v="3"/>
    <n v="8"/>
    <n v="5"/>
    <n v="3"/>
    <n v="0"/>
    <s v="The mail plane crashed into Cinq Croix peak in  the Pyrenees mountains while en route."/>
    <n v="0"/>
    <n v="1"/>
    <x v="1"/>
  </r>
  <r>
    <n v="501"/>
    <x v="473"/>
    <x v="27"/>
    <x v="0"/>
    <d v="1899-12-30T14:00:00"/>
    <s v="Near Formia, Italy"/>
    <s v="Ala Littoria"/>
    <s v="Unknown"/>
    <s v="Brindisi - Rome"/>
    <x v="241"/>
    <s v="I-BAUS"/>
    <n v="4063"/>
    <n v="19"/>
    <n v="14"/>
    <n v="5"/>
    <n v="19"/>
    <n v="14"/>
    <n v="5"/>
    <n v="0"/>
    <s v="Struck cloud obscured Mount Maranola."/>
    <n v="0"/>
    <n v="1"/>
    <x v="1"/>
  </r>
  <r>
    <n v="502"/>
    <x v="474"/>
    <x v="27"/>
    <x v="0"/>
    <s v="Unknown"/>
    <s v="Balbuena, Mexico"/>
    <s v="Lineas AÃ©reas Mineras"/>
    <s v="Unknown"/>
    <s v="Mexico City - Juarez"/>
    <x v="293"/>
    <s v="XA-BFR"/>
    <n v="124"/>
    <n v="6"/>
    <n v="5"/>
    <n v="1"/>
    <n v="1"/>
    <n v="5"/>
    <n v="1"/>
    <n v="0"/>
    <s v="Stalled and crashed on takeoff."/>
    <n v="5"/>
    <n v="0.16666666666666666"/>
    <x v="2"/>
  </r>
  <r>
    <n v="503"/>
    <x v="475"/>
    <x v="27"/>
    <x v="0"/>
    <s v="Unknown"/>
    <s v="Mangere, New Zealand"/>
    <s v="United Airways of New Zealand"/>
    <s v="Unknown"/>
    <s v="Auckland - Palmerston North"/>
    <x v="265"/>
    <s v="ZK-AFC"/>
    <n v="1092"/>
    <n v="2"/>
    <s v="NULL"/>
    <s v="NULL"/>
    <n v="2"/>
    <s v="NULL"/>
    <s v="NULL"/>
    <n v="0"/>
    <s v="After experiencing engine failure while taking off, the plane crashed into trees and exploded in flames."/>
    <n v="0"/>
    <n v="1"/>
    <x v="1"/>
  </r>
  <r>
    <n v="504"/>
    <x v="476"/>
    <x v="27"/>
    <x v="0"/>
    <d v="1899-12-30T14:07:00"/>
    <s v="Near Saugus, California"/>
    <s v="Northwest Orient Airlines"/>
    <s v="Unknown"/>
    <s v="Burbank,- St. Paul"/>
    <x v="294"/>
    <s v="NC17394"/>
    <n v="1439"/>
    <n v="9"/>
    <n v="7"/>
    <n v="2"/>
    <n v="9"/>
    <n v="7"/>
    <n v="2"/>
    <n v="0"/>
    <s v="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
    <n v="0"/>
    <n v="1"/>
    <x v="1"/>
  </r>
  <r>
    <n v="505"/>
    <x v="477"/>
    <x v="27"/>
    <x v="0"/>
    <d v="1899-12-30T13:40:00"/>
    <s v="Sao Paulo, Brazil"/>
    <s v="Cruzeiro do Sul"/>
    <s v="Unknown"/>
    <s v="Santos - Sao Paulo - Rio de Janeiro - Natal"/>
    <x v="213"/>
    <s v="PP-CBC"/>
    <n v="5453"/>
    <n v="17"/>
    <n v="14"/>
    <n v="3"/>
    <n v="6"/>
    <n v="6"/>
    <n v="0"/>
    <n v="0"/>
    <s v="Shortly after taking the plane stalled and crashed into Santos estuary."/>
    <n v="11"/>
    <n v="0.35294117647058826"/>
    <x v="0"/>
  </r>
  <r>
    <n v="506"/>
    <x v="478"/>
    <x v="27"/>
    <x v="0"/>
    <d v="1899-12-30T22:17:00"/>
    <s v="Cleveland, Ohio"/>
    <s v="United Air Lines"/>
    <n v="9"/>
    <s v="Newark - Cleveland - Chicago"/>
    <x v="295"/>
    <s v="NC18108"/>
    <n v="1956"/>
    <n v="10"/>
    <n v="7"/>
    <n v="3"/>
    <n v="10"/>
    <n v="7"/>
    <n v="3"/>
    <n v="0"/>
    <s v="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
    <n v="0"/>
    <n v="1"/>
    <x v="1"/>
  </r>
  <r>
    <n v="507"/>
    <x v="479"/>
    <x v="27"/>
    <x v="0"/>
    <s v="Unknown"/>
    <s v="Alberno Canal, BC, Canada"/>
    <s v="Ginger Coote Airways"/>
    <s v="Unknown"/>
    <s v="Vancouver - Zeballos"/>
    <x v="296"/>
    <s v="CF-AUX"/>
    <s v="Unknown"/>
    <n v="1"/>
    <n v="0"/>
    <n v="1"/>
    <n v="1"/>
    <n v="0"/>
    <n v="1"/>
    <n v="0"/>
    <s v="Crashed into a wooded area after hitting trees"/>
    <n v="0"/>
    <n v="1"/>
    <x v="1"/>
  </r>
  <r>
    <n v="508"/>
    <x v="479"/>
    <x v="27"/>
    <x v="0"/>
    <s v="Unknown"/>
    <s v="Langeoog, Germany"/>
    <s v="Deutsche Lufthansa"/>
    <s v="Unknown"/>
    <s v="Unknown"/>
    <x v="297"/>
    <s v="D-ATIO"/>
    <n v="546"/>
    <n v="3"/>
    <n v="0"/>
    <n v="3"/>
    <n v="3"/>
    <n v="0"/>
    <n v="3"/>
    <n v="0"/>
    <s v="Crashed on Langeoog Island."/>
    <n v="0"/>
    <n v="1"/>
    <x v="1"/>
  </r>
  <r>
    <n v="509"/>
    <x v="480"/>
    <x v="27"/>
    <x v="0"/>
    <s v="Unknown"/>
    <s v="Near Singida, Tanzania"/>
    <s v="Wilson Airways"/>
    <s v="Unknown"/>
    <s v="Unknown"/>
    <x v="298"/>
    <s v="VP-KBE"/>
    <n v="7055"/>
    <n v="3"/>
    <n v="1"/>
    <n v="2"/>
    <n v="3"/>
    <n v="1"/>
    <n v="2"/>
    <n v="0"/>
    <s v="Crashed about 50 miles from Singida."/>
    <n v="0"/>
    <n v="1"/>
    <x v="1"/>
  </r>
  <r>
    <n v="510"/>
    <x v="481"/>
    <x v="27"/>
    <x v="0"/>
    <s v="Unknown"/>
    <s v="Mount  Mercedario, Chile"/>
    <s v="Pan American Grace Airways"/>
    <s v="Unknown"/>
    <s v="Unknown"/>
    <x v="226"/>
    <s v="NC14272"/>
    <s v="Unknown"/>
    <n v="4"/>
    <s v="NULL"/>
    <s v="NULL"/>
    <n v="4"/>
    <s v="NULL"/>
    <s v="NULL"/>
    <n v="0"/>
    <s v="An hour after leaving Santiago, radio contact with the flight was lost, as it had crashed in the high Andes.  It was not found until February 1941, by indians, who plundered the aircraft and the dead passengers looking for valuables."/>
    <n v="0"/>
    <n v="1"/>
    <x v="1"/>
  </r>
  <r>
    <n v="511"/>
    <x v="482"/>
    <x v="27"/>
    <x v="0"/>
    <d v="1899-12-30T02:56:00"/>
    <s v="Billings, Montana"/>
    <s v="Northwest Orient Airlines"/>
    <n v="4"/>
    <s v="Seattle - Spokane - Helena - Billings - Fargo"/>
    <x v="299"/>
    <s v="NC17383"/>
    <n v="1402"/>
    <n v="10"/>
    <n v="8"/>
    <n v="2"/>
    <n v="1"/>
    <n v="1"/>
    <n v="0"/>
    <n v="0"/>
    <s v="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
    <n v="9"/>
    <n v="0.1"/>
    <x v="2"/>
  </r>
  <r>
    <n v="512"/>
    <x v="483"/>
    <x v="27"/>
    <x v="0"/>
    <d v="1899-12-30T08:00:00"/>
    <s v="Off Sardinia, Italy"/>
    <s v="Ala Littoria"/>
    <s v="Unknown"/>
    <s v="Cagliari - Rome"/>
    <x v="300"/>
    <s v="I-VOLO"/>
    <n v="15013"/>
    <n v="20"/>
    <n v="16"/>
    <n v="4"/>
    <n v="20"/>
    <n v="16"/>
    <n v="4"/>
    <n v="0"/>
    <s v="The flying boat crashed into the Tyrrhenian Sea after the collapse of a wing."/>
    <n v="0"/>
    <n v="1"/>
    <x v="1"/>
  </r>
  <r>
    <n v="513"/>
    <x v="484"/>
    <x v="27"/>
    <x v="0"/>
    <s v="Unknown"/>
    <s v="Andes"/>
    <s v="Panagra"/>
    <s v="Unknown"/>
    <s v="Unknown"/>
    <x v="226"/>
    <s v="NC14272"/>
    <n v="1305"/>
    <n v="4"/>
    <n v="0"/>
    <n v="4"/>
    <n v="4"/>
    <n v="0"/>
    <n v="4"/>
    <s v="NULL"/>
    <s v="Disappeared over the Andes mountains. Wreckage found Feb 1941at Mt. Mercedario."/>
    <n v="0"/>
    <n v="1"/>
    <x v="1"/>
  </r>
  <r>
    <n v="514"/>
    <x v="485"/>
    <x v="27"/>
    <x v="0"/>
    <d v="1899-12-30T17:40:00"/>
    <s v="Stulpica, Romania"/>
    <s v="LOT Polish Airlines"/>
    <s v="Unknown"/>
    <s v="Warsaw, Poland - Bucharest, Romania"/>
    <x v="284"/>
    <s v="SP-BNG"/>
    <n v="1432"/>
    <n v="14"/>
    <n v="12"/>
    <n v="2"/>
    <n v="14"/>
    <n v="12"/>
    <n v="2"/>
    <n v="0"/>
    <s v="Crashed in strong turbulence and after being struck by lightning ."/>
    <n v="0"/>
    <n v="1"/>
    <x v="1"/>
  </r>
  <r>
    <n v="515"/>
    <x v="486"/>
    <x v="27"/>
    <x v="0"/>
    <s v="Unknown"/>
    <s v="Kisumu, Kenya"/>
    <s v="Imperial Airways"/>
    <s v="Unknown"/>
    <s v="London - Kisumu - Cape Town"/>
    <x v="301"/>
    <s v="G-ABTG"/>
    <s v="AW-785"/>
    <n v="4"/>
    <n v="0"/>
    <n v="4"/>
    <n v="4"/>
    <n v="0"/>
    <n v="4"/>
    <n v="0"/>
    <s v="Flew into a hillside soon after takeoff from Kisumu. The ship was named &quot;Amalthea.&quot;"/>
    <n v="0"/>
    <n v="1"/>
    <x v="1"/>
  </r>
  <r>
    <n v="516"/>
    <x v="487"/>
    <x v="27"/>
    <x v="0"/>
    <d v="1899-12-30T04:11:00"/>
    <s v="Pacific Ocean between Manila and Guam"/>
    <s v="Pan American World Airways"/>
    <n v="229"/>
    <s v="Alameda - Manila"/>
    <x v="302"/>
    <s v="NC14714"/>
    <n v="556"/>
    <n v="15"/>
    <n v="6"/>
    <n v="9"/>
    <n v="15"/>
    <n v="6"/>
    <n v="9"/>
    <n v="0"/>
    <s v="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quot;Hawaii Clipper.&quot;"/>
    <n v="0"/>
    <n v="1"/>
    <x v="1"/>
  </r>
  <r>
    <n v="517"/>
    <x v="488"/>
    <x v="27"/>
    <x v="0"/>
    <s v="Unknown"/>
    <s v="Debrecen, Hungary"/>
    <s v="Magyar Legiforagalmi"/>
    <s v="Unknown"/>
    <s v="Unknown"/>
    <x v="303"/>
    <s v="HA-FNC"/>
    <n v="4053"/>
    <n v="12"/>
    <n v="10"/>
    <n v="2"/>
    <n v="12"/>
    <n v="10"/>
    <n v="2"/>
    <n v="0"/>
    <s v="Crashed in a field after penetrating a thunderstorm. The plane was carrying Hungarian journalists."/>
    <n v="0"/>
    <n v="1"/>
    <x v="1"/>
  </r>
  <r>
    <n v="518"/>
    <x v="488"/>
    <x v="27"/>
    <x v="0"/>
    <s v="Unknown"/>
    <s v="Shishijima, Japan"/>
    <s v="Dai Nippon"/>
    <s v="Unknown"/>
    <s v="Unknown"/>
    <x v="304"/>
    <s v="J-ANES"/>
    <n v="1"/>
    <n v="6"/>
    <n v="3"/>
    <n v="3"/>
    <n v="6"/>
    <n v="3"/>
    <n v="3"/>
    <n v="0"/>
    <s v="Crash landed off Chichijima island."/>
    <n v="0"/>
    <n v="1"/>
    <x v="1"/>
  </r>
  <r>
    <n v="519"/>
    <x v="489"/>
    <x v="27"/>
    <x v="0"/>
    <d v="1899-12-30T12:30:00"/>
    <s v="Near San Andres Tuxtla, VeraCruz, Mexico"/>
    <s v="Mexicana"/>
    <s v="Unknown"/>
    <s v="Villahermosa - Veracruz - Mexico City"/>
    <x v="266"/>
    <s v="X-ABAS"/>
    <n v="1043"/>
    <n v="11"/>
    <n v="8"/>
    <n v="3"/>
    <n v="11"/>
    <n v="8"/>
    <n v="3"/>
    <n v="0"/>
    <s v="Crashed into a mountain in heavy rain in an area being affected by a hurricane."/>
    <n v="0"/>
    <n v="1"/>
    <x v="1"/>
  </r>
  <r>
    <n v="520"/>
    <x v="490"/>
    <x v="27"/>
    <x v="0"/>
    <d v="1899-12-30T11:00:00"/>
    <s v="Kiel, Germany"/>
    <s v="CSA Czech Airlines"/>
    <s v="Unknown"/>
    <s v="Prague - Strasbourg - Paris"/>
    <x v="238"/>
    <s v="OK-BAG"/>
    <n v="30040"/>
    <n v="17"/>
    <n v="14"/>
    <n v="3"/>
    <n v="16"/>
    <n v="13"/>
    <n v="3"/>
    <n v="0"/>
    <s v="Crashed into the Black Forest mountains in poor weather conditions. One stewardess survived but died a day later.."/>
    <n v="1"/>
    <n v="0.94117647058823528"/>
    <x v="1"/>
  </r>
  <r>
    <n v="521"/>
    <x v="491"/>
    <x v="27"/>
    <x v="0"/>
    <s v="Unknown"/>
    <s v="Guanabara, Brazil"/>
    <s v="Syndicato Condor"/>
    <s v="Unknown"/>
    <s v="Guanabara - Victoria"/>
    <x v="213"/>
    <s v="PP-CAT"/>
    <n v="4024"/>
    <n v="9"/>
    <n v="5"/>
    <n v="4"/>
    <n v="9"/>
    <n v="5"/>
    <n v="4"/>
    <n v="0"/>
    <s v="Flew into a mountain wave after taking off, went into a dive and crashed into Guanabara Bay."/>
    <n v="0"/>
    <n v="1"/>
    <x v="1"/>
  </r>
  <r>
    <n v="522"/>
    <x v="492"/>
    <x v="27"/>
    <x v="0"/>
    <s v="Unknown"/>
    <s v="Bucharest, Romania"/>
    <s v="LOT Polish Airlines"/>
    <s v="Unknown"/>
    <s v="Unknown"/>
    <x v="299"/>
    <s v="SP-BNJ"/>
    <n v="1424"/>
    <n v="7"/>
    <n v="4"/>
    <n v="3"/>
    <n v="0"/>
    <n v="0"/>
    <n v="0"/>
    <n v="0"/>
    <s v="Caught fire after a ground looping."/>
    <n v="7"/>
    <n v="0"/>
    <x v="2"/>
  </r>
  <r>
    <n v="523"/>
    <x v="492"/>
    <x v="27"/>
    <x v="0"/>
    <d v="1899-12-30T17:00:00"/>
    <s v="Montnago, Italy"/>
    <s v="Macchi"/>
    <s v="Unknown"/>
    <s v="Test flight"/>
    <x v="305"/>
    <s v="I-NILO"/>
    <n v="94001"/>
    <n v="15"/>
    <n v="13"/>
    <n v="2"/>
    <n v="15"/>
    <n v="13"/>
    <n v="2"/>
    <n v="0"/>
    <s v="The sea plane crashed shortly after taking off on a test flight and sank."/>
    <n v="0"/>
    <n v="1"/>
    <x v="1"/>
  </r>
  <r>
    <n v="524"/>
    <x v="493"/>
    <x v="27"/>
    <x v="0"/>
    <d v="1899-12-30T08:00:00"/>
    <s v="Wangmoon, China"/>
    <s v="China National Aviation Corporation"/>
    <s v="Unknown"/>
    <s v="Hong Kong - Chungking"/>
    <x v="226"/>
    <n v="32"/>
    <n v="1369"/>
    <n v="17"/>
    <n v="13"/>
    <n v="4"/>
    <n v="14"/>
    <n v="12"/>
    <n v="2"/>
    <n v="0"/>
    <s v="While en route from Hong Kong to Chungking, the aircraft was shot down by Japanese military fighters. The aircraft was named Kweilin. The plane was rebuilt to fly again only to be shot down again by Japanese military."/>
    <n v="3"/>
    <n v="0.82352941176470584"/>
    <x v="1"/>
  </r>
  <r>
    <n v="525"/>
    <x v="493"/>
    <x v="27"/>
    <x v="0"/>
    <s v="Unknown"/>
    <s v="Tokyo, Japan"/>
    <s v="Japan Air / Japan Flying School"/>
    <s v="Unknown"/>
    <s v="Unknown"/>
    <x v="306"/>
    <s v="Unknown"/>
    <s v="Unknown"/>
    <n v="5"/>
    <s v="NULL"/>
    <s v="NULL"/>
    <n v="5"/>
    <s v="NULL"/>
    <s v="NULL"/>
    <n v="53"/>
    <s v="Midair collision between the airliner and a small plane. The wreckage fell on the suburbs of Tokyo.  Three killed on the airliner, two in the trainer and 53 on the ground."/>
    <n v="0"/>
    <n v="1"/>
    <x v="1"/>
  </r>
  <r>
    <n v="526"/>
    <x v="494"/>
    <x v="27"/>
    <x v="0"/>
    <d v="1899-12-30T23:00:00"/>
    <s v="Near Tucumcari, New Mexico"/>
    <s v="Transcontinental &amp;Western Air"/>
    <s v="Unknown"/>
    <s v=" Burbank - Winslow - Albuquerque"/>
    <x v="232"/>
    <s v="NC17316"/>
    <n v="410"/>
    <n v="11"/>
    <n v="8"/>
    <n v="3"/>
    <n v="0"/>
    <n v="0"/>
    <n v="0"/>
    <n v="0"/>
    <s v="The mail /passenger transport crashed in a field 10 miles south of Tucumcari after penetrating a strong storm. Excessive vibration and loss of power, due to malfunctioning of left engine, consulting in insufficient speed to sustain the aircraft in flight."/>
    <n v="11"/>
    <n v="0"/>
    <x v="2"/>
  </r>
  <r>
    <n v="527"/>
    <x v="494"/>
    <x v="27"/>
    <x v="0"/>
    <d v="1899-12-30T09:30:00"/>
    <s v="Innisfail, Australia"/>
    <s v="North Queensland Airways"/>
    <s v="Unknown"/>
    <s v="Townsville - Innisfail - Cairns"/>
    <x v="307"/>
    <s v="VH-UXK"/>
    <n v="6053"/>
    <n v="9"/>
    <n v="8"/>
    <n v="1"/>
    <n v="5"/>
    <n v="4"/>
    <n v="1"/>
    <n v="0"/>
    <s v="Crashed into a cane field short of the runwa while attempting to land when the pilot swerved to avoid a tractor."/>
    <n v="4"/>
    <n v="0.55555555555555558"/>
    <x v="0"/>
  </r>
  <r>
    <n v="528"/>
    <x v="495"/>
    <x v="27"/>
    <x v="0"/>
    <s v="Unknown"/>
    <s v="Off Bathurst, Gambia"/>
    <s v="Deutsche Lufthansa"/>
    <s v="Unknown"/>
    <s v="Frankfurt, Germany - Milan, Italy"/>
    <x v="308"/>
    <s v="D-AROZ"/>
    <n v="255"/>
    <n v="4"/>
    <n v="0"/>
    <n v="4"/>
    <n v="4"/>
    <n v="0"/>
    <n v="4"/>
    <n v="0"/>
    <s v="Disappeared over the Atlantic ocean."/>
    <n v="0"/>
    <n v="1"/>
    <x v="1"/>
  </r>
  <r>
    <n v="529"/>
    <x v="495"/>
    <x v="27"/>
    <x v="0"/>
    <s v="Unknown"/>
    <s v="Grisons, Switzerland"/>
    <s v="Deutsche Lufthansa"/>
    <s v="Unknown"/>
    <s v="Frankfurt, Germany - Milan, Italy"/>
    <x v="213"/>
    <s v="D-AVFB"/>
    <n v="5928"/>
    <n v="13"/>
    <n v="10"/>
    <n v="3"/>
    <n v="13"/>
    <n v="10"/>
    <n v="3"/>
    <n v="0"/>
    <s v="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
    <n v="0"/>
    <n v="1"/>
    <x v="1"/>
  </r>
  <r>
    <n v="530"/>
    <x v="496"/>
    <x v="27"/>
    <x v="0"/>
    <d v="1899-12-30T11:00:00"/>
    <s v="Soest, Germany"/>
    <s v="Sabena"/>
    <s v="Unknown"/>
    <s v="Brussels - DÃ¼sseldorf - Berlin"/>
    <x v="309"/>
    <s v="OO-AGT"/>
    <n v="4"/>
    <n v="20"/>
    <n v="16"/>
    <n v="4"/>
    <n v="20"/>
    <n v="16"/>
    <n v="4"/>
    <n v="0"/>
    <s v="The aircraft broke-up in midair and crashed to the ground.  A propeller may have broken, tearing loose an engine."/>
    <n v="0"/>
    <n v="1"/>
    <x v="1"/>
  </r>
  <r>
    <n v="531"/>
    <x v="497"/>
    <x v="27"/>
    <x v="0"/>
    <d v="1899-12-30T13:45:00"/>
    <s v="Mt. Dandenong, Australia"/>
    <s v="Australian National Airways"/>
    <s v="Unknown"/>
    <s v="Adelaide - Melbourne"/>
    <x v="218"/>
    <s v="VH-UYC"/>
    <n v="1566"/>
    <n v="18"/>
    <n v="14"/>
    <n v="4"/>
    <n v="18"/>
    <n v="14"/>
    <n v="4"/>
    <n v="0"/>
    <s v="Crashed into Mt. Daodenong in heavy fog while en route. Procedural errors by the pilot."/>
    <n v="0"/>
    <n v="1"/>
    <x v="1"/>
  </r>
  <r>
    <n v="532"/>
    <x v="498"/>
    <x v="27"/>
    <x v="0"/>
    <s v="Unknown"/>
    <s v="Somerset, England"/>
    <s v="British Airways"/>
    <s v="Unknown"/>
    <s v="Unknown"/>
    <x v="310"/>
    <s v="CF-TCL"/>
    <s v="Unknown"/>
    <n v="2"/>
    <s v="NULL"/>
    <s v="NULL"/>
    <n v="2"/>
    <s v="NULL"/>
    <s v="NULL"/>
    <n v="0"/>
    <s v="No data available"/>
    <n v="0"/>
    <n v="1"/>
    <x v="1"/>
  </r>
  <r>
    <n v="533"/>
    <x v="499"/>
    <x v="27"/>
    <x v="0"/>
    <d v="1899-12-30T10:50:00"/>
    <s v="Channel Islands, Jersey"/>
    <s v="Jersey Airways"/>
    <s v="Unknown"/>
    <s v="Jersey - Southhampton"/>
    <x v="203"/>
    <s v="G-ACZN"/>
    <n v="2316"/>
    <n v="14"/>
    <n v="13"/>
    <n v="1"/>
    <n v="14"/>
    <n v="13"/>
    <n v="1"/>
    <n v="1"/>
    <s v="Caught fire and crashed into a field two minutes after taking off. A farm worker was crushed to death when the wreckage landed on him. The pilot allowed the plane to fall into a side-slip while climbing through a low overcast and at an insufficient altitude for him to regain contol."/>
    <n v="0"/>
    <n v="1"/>
    <x v="1"/>
  </r>
  <r>
    <n v="534"/>
    <x v="500"/>
    <x v="27"/>
    <x v="0"/>
    <d v="1899-12-30T18:41:00"/>
    <s v="Schiphol, Amsterdam"/>
    <s v="KLM Royal Dutch Airlines"/>
    <s v="Unknown"/>
    <s v="Berlin - Amsterdam"/>
    <x v="277"/>
    <s v="PH-ARY"/>
    <n v="2021"/>
    <n v="19"/>
    <n v="14"/>
    <n v="5"/>
    <n v="6"/>
    <n v="2"/>
    <n v="4"/>
    <n v="0"/>
    <s v="The aircraft flew into the ground during approach in poor visibility. The first officer was commander of the military flying school Soesterberg. Pilot descended below a safe height during the approach."/>
    <n v="13"/>
    <n v="0.31578947368421051"/>
    <x v="2"/>
  </r>
  <r>
    <n v="535"/>
    <x v="501"/>
    <x v="27"/>
    <x v="0"/>
    <d v="1899-12-30T00:51:00"/>
    <s v="Regina, Saskatchewan, Canada"/>
    <s v="Trans Canada Air Lines"/>
    <s v="Unknown"/>
    <s v="Winnipeg - Regina - Vancouver"/>
    <x v="310"/>
    <s v="CF-TCL"/>
    <n v="1475"/>
    <n v="2"/>
    <n v="0"/>
    <n v="2"/>
    <n v="2"/>
    <n v="0"/>
    <n v="2"/>
    <n v="0"/>
    <s v="The mail plane crashed several minutes after taking off from Regina"/>
    <n v="0"/>
    <n v="1"/>
    <x v="1"/>
  </r>
  <r>
    <n v="536"/>
    <x v="502"/>
    <x v="27"/>
    <x v="0"/>
    <d v="1899-12-30T15:20:00"/>
    <s v="Bathurst, Gambia"/>
    <s v="Deutsche Lufthansa"/>
    <s v="Unknown"/>
    <s v="Unknown"/>
    <x v="311"/>
    <s v="D-AIVI"/>
    <n v="4914"/>
    <n v="15"/>
    <n v="10"/>
    <n v="5"/>
    <n v="12"/>
    <n v="9"/>
    <n v="3"/>
    <n v="0"/>
    <s v="During takeoff the aircraft hit a palm tree and burst into flames due to double engine failure."/>
    <n v="3"/>
    <n v="0.8"/>
    <x v="1"/>
  </r>
  <r>
    <n v="537"/>
    <x v="503"/>
    <x v="27"/>
    <x v="0"/>
    <s v="Unknown"/>
    <s v="Bagdad, Iraq"/>
    <s v="Imperial Airways"/>
    <s v="Unknown"/>
    <s v="Southampton - Sydney"/>
    <x v="276"/>
    <s v="G-AETW"/>
    <s v="S839"/>
    <n v="6"/>
    <n v="0"/>
    <n v="6"/>
    <n v="4"/>
    <n v="0"/>
    <n v="4"/>
    <n v="0"/>
    <s v="The flying boat crashed on Lake Ramadi at night in a sandstorm."/>
    <n v="2"/>
    <n v="0.66666666666666663"/>
    <x v="1"/>
  </r>
  <r>
    <n v="538"/>
    <x v="504"/>
    <x v="27"/>
    <x v="0"/>
    <d v="1899-12-30T05:30:00"/>
    <s v="Off Point Reyes, California"/>
    <s v="United Air Lines"/>
    <n v="6"/>
    <s v="Seattle, WA - Medford, OR - Oakland,CA"/>
    <x v="312"/>
    <s v="NC16066"/>
    <n v="1907"/>
    <n v="7"/>
    <n v="4"/>
    <n v="3"/>
    <n v="5"/>
    <n v="3"/>
    <n v="2"/>
    <n v="0"/>
    <s v="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
    <n v="2"/>
    <n v="0.7142857142857143"/>
    <x v="1"/>
  </r>
  <r>
    <n v="539"/>
    <x v="505"/>
    <x v="27"/>
    <x v="0"/>
    <d v="1899-12-30T07:55:00"/>
    <s v="Mexico City, Mexico"/>
    <s v="Mexicana"/>
    <s v="Unknown"/>
    <s v="Mexico City - Merida"/>
    <x v="266"/>
    <s v="X-ABAU"/>
    <n v="1041"/>
    <n v="8"/>
    <n v="5"/>
    <n v="3"/>
    <n v="8"/>
    <n v="5"/>
    <n v="3"/>
    <n v="0"/>
    <s v="Crashed and burned on a hill while taking off in foggy conditions. The pilot did not have authorization to take off during poor visibility."/>
    <n v="0"/>
    <n v="1"/>
    <x v="1"/>
  </r>
  <r>
    <n v="540"/>
    <x v="506"/>
    <x v="27"/>
    <x v="0"/>
    <d v="1899-12-30T09:00:00"/>
    <s v="Off Kuba Island, Okinawa"/>
    <s v="Japan Aviation Corporation"/>
    <s v="Unknown"/>
    <s v="Fukuoka - Taihoku"/>
    <x v="313"/>
    <s v="J-BDOH"/>
    <s v="1481-1"/>
    <n v="15"/>
    <n v="12"/>
    <n v="3"/>
    <n v="10"/>
    <n v="7"/>
    <n v="3"/>
    <n v="0"/>
    <s v="Crashed into the East China Sea after experiencing engine failure."/>
    <n v="5"/>
    <n v="0.66666666666666663"/>
    <x v="1"/>
  </r>
  <r>
    <n v="541"/>
    <x v="507"/>
    <x v="27"/>
    <x v="0"/>
    <d v="1899-12-30T11:20:00"/>
    <s v="Amsterdam, Netherlands"/>
    <s v="KLM Royal Dutch Airlines"/>
    <s v="Unknown"/>
    <s v="Instructional Flight"/>
    <x v="314"/>
    <s v="PH-APE"/>
    <n v="1413"/>
    <n v="4"/>
    <n v="0"/>
    <n v="4"/>
    <n v="4"/>
    <n v="0"/>
    <n v="4"/>
    <n v="0"/>
    <s v="Whle taking off the aircraft stalled and struck a dyke near Schiphol Airport and caught fire."/>
    <n v="0"/>
    <n v="1"/>
    <x v="1"/>
  </r>
  <r>
    <n v="542"/>
    <x v="508"/>
    <x v="27"/>
    <x v="0"/>
    <s v="Unknown"/>
    <s v="Darwin, Australia"/>
    <s v="Qantas"/>
    <s v="Unknown"/>
    <s v="Unknown"/>
    <x v="315"/>
    <s v="G-AEUH"/>
    <s v="Unknown"/>
    <n v="13"/>
    <s v="NULL"/>
    <s v="NULL"/>
    <n v="13"/>
    <s v="NULL"/>
    <s v="NULL"/>
    <n v="0"/>
    <s v="Shot down by Japanese aircraft. Owned by Imperial Airways and operated by Qantas."/>
    <n v="0"/>
    <n v="1"/>
    <x v="1"/>
  </r>
  <r>
    <n v="543"/>
    <x v="509"/>
    <x v="28"/>
    <x v="0"/>
    <d v="1899-12-30T16:30:00"/>
    <s v="Paris, France"/>
    <s v="Swissair"/>
    <s v="Unknown"/>
    <s v="Zurich - Geneva - Paris"/>
    <x v="316"/>
    <s v="HB-ITA"/>
    <n v="1329"/>
    <n v="17"/>
    <n v="12"/>
    <n v="5"/>
    <n v="5"/>
    <n v="2"/>
    <n v="3"/>
    <n v="0"/>
    <s v="The aircraft crashed onto a field losing both wings while attempting to land in low overcast."/>
    <n v="12"/>
    <n v="0.29411764705882354"/>
    <x v="2"/>
  </r>
  <r>
    <n v="544"/>
    <x v="510"/>
    <x v="28"/>
    <x v="0"/>
    <s v="Unknown"/>
    <s v="Rio de Janeiro, Brazil"/>
    <s v="Syndicato Condor"/>
    <s v="Unknown"/>
    <s v="Vitoria - Rio de Janeiro"/>
    <x v="213"/>
    <s v="PP-CAY"/>
    <n v="4042"/>
    <n v="10"/>
    <n v="7"/>
    <n v="3"/>
    <n v="10"/>
    <n v="7"/>
    <n v="3"/>
    <n v="0"/>
    <s v="In reduced visibility and strong winds, the seaplane crashed into the side of Mt. Chambe while attempting to land at Rio de Janerio."/>
    <n v="0"/>
    <n v="1"/>
    <x v="1"/>
  </r>
  <r>
    <n v="545"/>
    <x v="510"/>
    <x v="28"/>
    <x v="0"/>
    <d v="1899-12-30T21:15:00"/>
    <s v="Miles City, Montana"/>
    <s v="Northwest Orient Airlines"/>
    <n v="1"/>
    <s v="Chicago - Seattle"/>
    <x v="317"/>
    <s v="NC17389"/>
    <n v="1408"/>
    <n v="4"/>
    <n v="2"/>
    <n v="2"/>
    <n v="4"/>
    <n v="2"/>
    <n v="2"/>
    <n v="0"/>
    <s v="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
    <n v="0"/>
    <n v="1"/>
    <x v="1"/>
  </r>
  <r>
    <n v="546"/>
    <x v="511"/>
    <x v="28"/>
    <x v="0"/>
    <d v="1899-12-30T07:59:00"/>
    <s v="Katherine, Australia"/>
    <s v="Guinea Airways"/>
    <s v="Unknown"/>
    <s v="Katherine - Adelaide"/>
    <x v="310"/>
    <s v="VH-ABI"/>
    <n v="1418"/>
    <n v="4"/>
    <n v="1"/>
    <n v="3"/>
    <n v="4"/>
    <n v="1"/>
    <n v="3"/>
    <n v="0"/>
    <s v="The mail plane failed to gain height after taking off, stalled and crashed into the Katherine River during a storm."/>
    <n v="0"/>
    <n v="1"/>
    <x v="1"/>
  </r>
  <r>
    <n v="547"/>
    <x v="512"/>
    <x v="28"/>
    <x v="0"/>
    <d v="1899-12-30T12:30:00"/>
    <s v="Atlantic Ocean between N.Y. and Bermuda"/>
    <s v="Imperial Airways"/>
    <s v="Unknown"/>
    <s v="New York City - Bermuda"/>
    <x v="270"/>
    <s v="G-ADUU"/>
    <s v="S-812"/>
    <n v="13"/>
    <n v="8"/>
    <n v="5"/>
    <n v="3"/>
    <n v="2"/>
    <n v="1"/>
    <n v="0"/>
    <s v="While en route, the aircraft ditched, broke in two  and sank in the Atlantic Ocean, 285 miles SE of Long Island New York. Complete loss of power to the two inner engines and partial loss of power to the two outer engines due to carburetor icing. The aircraft was named &quot;Cavalier.&quot;"/>
    <n v="10"/>
    <n v="0.23076923076923078"/>
    <x v="2"/>
  </r>
  <r>
    <n v="548"/>
    <x v="513"/>
    <x v="28"/>
    <x v="0"/>
    <d v="1899-12-30T14:15:00"/>
    <s v="Juneau, Alaska"/>
    <s v="Marine Airways"/>
    <s v="Unknown"/>
    <s v="Ketchikan - Juneau"/>
    <x v="318"/>
    <s v="NC9777"/>
    <n v="618"/>
    <n v="6"/>
    <n v="5"/>
    <n v="1"/>
    <n v="6"/>
    <n v="5"/>
    <n v="1"/>
    <n v="0"/>
    <s v="The air taxi encountered low visibility and snow and crashed on Grand Island. The wreckage was found 1 month later"/>
    <n v="0"/>
    <n v="1"/>
    <x v="1"/>
  </r>
  <r>
    <n v="549"/>
    <x v="514"/>
    <x v="28"/>
    <x v="0"/>
    <d v="1899-12-30T09:45:00"/>
    <s v="Near Roubien, France"/>
    <s v="Deutsche Lufthansa"/>
    <s v="Unknown"/>
    <s v="Barcelona, Spain - Rome, Italy"/>
    <x v="213"/>
    <s v="D-ALUS"/>
    <n v="5210"/>
    <n v="10"/>
    <n v="6"/>
    <n v="4"/>
    <n v="10"/>
    <n v="6"/>
    <n v="4"/>
    <n v="0"/>
    <s v="While cruising in bad weather conditions, aircraft hit a mountain near Roubion, in the National Park of Mercantour, 50 km north of Nice. Engine trouble may have factored in the accident, which occurred in adverse weather conditions, with fog and falling snow in the area."/>
    <n v="0"/>
    <n v="1"/>
    <x v="1"/>
  </r>
  <r>
    <n v="550"/>
    <x v="515"/>
    <x v="28"/>
    <x v="0"/>
    <s v="Unknown"/>
    <s v="Haren, Belgium"/>
    <s v="Sabena"/>
    <s v="Unknown"/>
    <s v="London - Brussels"/>
    <x v="241"/>
    <s v="OO-AUA"/>
    <n v="5815"/>
    <n v="3"/>
    <n v="0"/>
    <n v="3"/>
    <n v="3"/>
    <n v="0"/>
    <n v="3"/>
    <n v="0"/>
    <s v="The cargo plane stalled and crashed into a field short of the runway."/>
    <n v="0"/>
    <n v="1"/>
    <x v="1"/>
  </r>
  <r>
    <n v="551"/>
    <x v="516"/>
    <x v="28"/>
    <x v="0"/>
    <s v="Unknown"/>
    <s v="Manzanares, Colombia"/>
    <s v="Deutsche Lufthansa"/>
    <s v="Unknown"/>
    <s v="Unknown"/>
    <x v="319"/>
    <s v="Unknown"/>
    <s v="Unknown"/>
    <n v="8"/>
    <n v="6"/>
    <n v="2"/>
    <n v="8"/>
    <n v="6"/>
    <n v="2"/>
    <n v="0"/>
    <s v="No data available"/>
    <n v="0"/>
    <n v="1"/>
    <x v="1"/>
  </r>
  <r>
    <n v="552"/>
    <x v="517"/>
    <x v="28"/>
    <x v="0"/>
    <d v="1899-12-30T13:17:00"/>
    <s v="Near Adler, Washington"/>
    <s v="Boeing Aircraft Company"/>
    <s v="Unknown"/>
    <s v="Test flight"/>
    <x v="320"/>
    <s v="NX19901"/>
    <n v="1994"/>
    <n v="10"/>
    <n v="8"/>
    <n v="2"/>
    <n v="10"/>
    <n v="8"/>
    <n v="2"/>
    <n v="0"/>
    <s v="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
    <n v="0"/>
    <n v="1"/>
    <x v="1"/>
  </r>
  <r>
    <n v="553"/>
    <x v="518"/>
    <x v="28"/>
    <x v="0"/>
    <d v="1899-12-30T14:48:00"/>
    <s v="Oklahoma City, Oklahoma"/>
    <s v="Braniff Airlines"/>
    <n v="1"/>
    <s v="Chicago - Kansas City - Wichita - Oklahoma City - Dallas"/>
    <x v="218"/>
    <s v="NC13727"/>
    <n v="1253"/>
    <n v="12"/>
    <n v="9"/>
    <n v="3"/>
    <n v="8"/>
    <n v="7"/>
    <n v="1"/>
    <n v="0"/>
    <s v="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
    <n v="4"/>
    <n v="0.66666666666666663"/>
    <x v="1"/>
  </r>
  <r>
    <n v="554"/>
    <x v="519"/>
    <x v="28"/>
    <x v="0"/>
    <s v="Unknown"/>
    <s v="Near Marrakech, Morocco"/>
    <s v="Air France"/>
    <s v="Unknown"/>
    <s v="Unknown"/>
    <x v="321"/>
    <s v="F-AOOT"/>
    <n v="7372"/>
    <n v="9"/>
    <s v="NULL"/>
    <s v="NULL"/>
    <n v="9"/>
    <s v="NULL"/>
    <s v="NULL"/>
    <n v="0"/>
    <s v="Crashed into a mountain."/>
    <n v="0"/>
    <n v="1"/>
    <x v="1"/>
  </r>
  <r>
    <n v="555"/>
    <x v="520"/>
    <x v="28"/>
    <x v="0"/>
    <s v="Unknown"/>
    <s v="Lumbo, Mozambique"/>
    <s v="Imperial Airways"/>
    <s v="Unknown"/>
    <s v="London - Cairo- Mombasa - Dar es-Salaam - Lumbo - Maputo"/>
    <x v="322"/>
    <s v="G-ADVD"/>
    <s v="S-821"/>
    <n v="4"/>
    <n v="0"/>
    <n v="4"/>
    <n v="2"/>
    <n v="0"/>
    <n v="2"/>
    <n v="0"/>
    <s v="After an aborted landing the plane hit the water and came to rest off Ilha de Mocambique island."/>
    <n v="2"/>
    <n v="0.5"/>
    <x v="0"/>
  </r>
  <r>
    <n v="556"/>
    <x v="521"/>
    <x v="28"/>
    <x v="0"/>
    <d v="1899-12-30T15:30:00"/>
    <s v="Near Marrakech, Morocco"/>
    <s v="Air France"/>
    <s v="Unknown"/>
    <s v="Casablanca, Morocco - Dakar, Senegal"/>
    <x v="292"/>
    <s v="F-ARIC"/>
    <n v="25"/>
    <n v="9"/>
    <n v="6"/>
    <n v="3"/>
    <n v="9"/>
    <n v="6"/>
    <n v="3"/>
    <n v="0"/>
    <s v="Crashed and burned in a mountainous area due to icing."/>
    <n v="0"/>
    <n v="1"/>
    <x v="1"/>
  </r>
  <r>
    <n v="557"/>
    <x v="522"/>
    <x v="28"/>
    <x v="0"/>
    <d v="1899-12-30T12:00:00"/>
    <s v="Guayaquil, Ecuador"/>
    <s v="Military - Ecuadorian Air Force"/>
    <s v="Unknown"/>
    <s v="Unknown"/>
    <x v="323"/>
    <s v="Unknown"/>
    <s v="Unknown"/>
    <n v="1"/>
    <n v="0"/>
    <n v="1"/>
    <n v="1"/>
    <n v="0"/>
    <n v="1"/>
    <n v="22"/>
    <s v="While performing aerobatics, the aircraft lost control and crashed into numerous building near a college."/>
    <n v="0"/>
    <n v="1"/>
    <x v="1"/>
  </r>
  <r>
    <n v="558"/>
    <x v="523"/>
    <x v="28"/>
    <x v="0"/>
    <d v="1899-12-30T09:25:00"/>
    <s v="Schiphol, Amsterdam"/>
    <s v="KLM Royal Duch Airlines"/>
    <s v="Unknown"/>
    <s v="Training"/>
    <x v="226"/>
    <s v="PH-AKN"/>
    <n v="1360"/>
    <n v="4"/>
    <n v="0"/>
    <n v="4"/>
    <n v="0"/>
    <n v="0"/>
    <n v="0"/>
    <n v="1"/>
    <s v="During  a training flight with one engine out,  the crew hit an obstacle and then a sentry-box with 9 soldiers inside. One soldier  died and 3 others were wounded. The aircraft was repaired."/>
    <n v="4"/>
    <n v="0"/>
    <x v="2"/>
  </r>
  <r>
    <n v="559"/>
    <x v="524"/>
    <x v="28"/>
    <x v="0"/>
    <d v="1899-12-30T16:20:00"/>
    <s v="Vlissingen, The Netherlands"/>
    <s v="KLM Royal Dutch Airlines"/>
    <s v="Unknown"/>
    <s v="Haamstede - Vlissingen"/>
    <x v="324"/>
    <s v="PH-AJK"/>
    <n v="4305"/>
    <n v="3"/>
    <n v="1"/>
    <n v="2"/>
    <n v="3"/>
    <n v="1"/>
    <n v="2"/>
    <n v="0"/>
    <s v="The crew  made a steep turn over a beach at too low a speed, stalled and crashed. Two student pilots.were flying the plane."/>
    <n v="0"/>
    <n v="1"/>
    <x v="1"/>
  </r>
  <r>
    <n v="560"/>
    <x v="525"/>
    <x v="28"/>
    <x v="0"/>
    <s v="Unknown"/>
    <s v=" Forest-in-Teesdale. United Kingdom"/>
    <s v=" British American Air Services"/>
    <s v="Unknown"/>
    <s v="Heston - Newcastle"/>
    <x v="325"/>
    <s v="G-AERE"/>
    <n v="6355"/>
    <n v="3"/>
    <n v="1"/>
    <n v="2"/>
    <n v="3"/>
    <n v="1"/>
    <n v="2"/>
    <n v="0"/>
    <s v="The aircraft hit the slope of Mt Dora's Seat when flying too low."/>
    <n v="0"/>
    <n v="1"/>
    <x v="1"/>
  </r>
  <r>
    <n v="561"/>
    <x v="526"/>
    <x v="28"/>
    <x v="0"/>
    <d v="1899-12-30T18:50:00"/>
    <s v="Konstanz, Switzerland"/>
    <s v="Swissair"/>
    <s v="Unknown"/>
    <s v="Vienna - Zurich"/>
    <x v="326"/>
    <s v="HB-IXA"/>
    <s v="086/0951"/>
    <n v="6"/>
    <n v="4"/>
    <n v="2"/>
    <n v="6"/>
    <n v="4"/>
    <n v="2"/>
    <n v="0"/>
    <s v="While attempting to land the aircraft crashed after an engine fire caused a loss in air speed and a stall."/>
    <n v="0"/>
    <n v="1"/>
    <x v="1"/>
  </r>
  <r>
    <n v="562"/>
    <x v="527"/>
    <x v="28"/>
    <x v="0"/>
    <s v="Unknown"/>
    <s v="Barcelona, Spain"/>
    <s v="Deutsche Lufthansa"/>
    <s v="Unknown"/>
    <s v="Cologne - Toulouse - Barcelona - Casablanca"/>
    <x v="213"/>
    <s v="D-AUJG"/>
    <n v="5942"/>
    <n v="7"/>
    <n v="4"/>
    <n v="3"/>
    <n v="7"/>
    <n v="4"/>
    <n v="3"/>
    <n v="0"/>
    <s v="Crashed in the Llaveria mountains in heavy fog and caught fire. The plane hit the highest peak of the mountains."/>
    <n v="0"/>
    <n v="1"/>
    <x v="1"/>
  </r>
  <r>
    <n v="563"/>
    <x v="528"/>
    <x v="28"/>
    <x v="0"/>
    <d v="1899-12-30T16:35:00"/>
    <s v="Rio de Janerio, Brazil"/>
    <s v="Pan American World Airways"/>
    <s v="Unknown"/>
    <s v="Miami - Rio de Janerio"/>
    <x v="327"/>
    <s v="NC16933"/>
    <n v="4316"/>
    <n v="16"/>
    <n v="12"/>
    <n v="4"/>
    <n v="14"/>
    <n v="10"/>
    <n v="4"/>
    <n v="0"/>
    <s v="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
    <n v="2"/>
    <n v="0.875"/>
    <x v="1"/>
  </r>
  <r>
    <n v="564"/>
    <x v="529"/>
    <x v="28"/>
    <x v="0"/>
    <d v="1899-12-30T13:00:00"/>
    <s v="Off Copenhagen, Denmark"/>
    <s v="British Airways"/>
    <s v="Unknown"/>
    <s v="London - Hamburg - Copenhagen"/>
    <x v="265"/>
    <s v="G-ASEY"/>
    <n v="1102"/>
    <n v="6"/>
    <n v="4"/>
    <n v="2"/>
    <n v="5"/>
    <n v="4"/>
    <n v="1"/>
    <n v="0"/>
    <s v="Crashed into the sea after a fire aboard. Leakage of fuel from the overflow boxes, which resulted from overfilling of the fuel tanks."/>
    <n v="1"/>
    <n v="0.83333333333333337"/>
    <x v="1"/>
  </r>
  <r>
    <n v="565"/>
    <x v="530"/>
    <x v="28"/>
    <x v="0"/>
    <s v="Unknown"/>
    <s v="Lahore, India"/>
    <s v="Indian National Airways"/>
    <s v="Unknown"/>
    <s v="Calcutta - Dum Dum"/>
    <x v="328"/>
    <s v="VT-AEL"/>
    <n v="6048"/>
    <n v="2"/>
    <n v="1"/>
    <n v="1"/>
    <n v="2"/>
    <n v="1"/>
    <n v="1"/>
    <n v="0"/>
    <s v="Crashed en route for unknown reasons."/>
    <n v="0"/>
    <n v="1"/>
    <x v="1"/>
  </r>
  <r>
    <n v="566"/>
    <x v="531"/>
    <x v="28"/>
    <x v="0"/>
    <s v="Unknown"/>
    <s v="Hannover, Germany"/>
    <s v="Deutsche Lufthansa"/>
    <s v="Unknown"/>
    <s v="Berlin - Hanover - Cologne - London"/>
    <x v="213"/>
    <s v="D-AFOP"/>
    <n v="5800"/>
    <n v="7"/>
    <n v="4"/>
    <n v="3"/>
    <n v="7"/>
    <n v="4"/>
    <n v="3"/>
    <n v="0"/>
    <s v="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
    <n v="0"/>
    <n v="1"/>
    <x v="1"/>
  </r>
  <r>
    <n v="567"/>
    <x v="532"/>
    <x v="28"/>
    <x v="0"/>
    <d v="1899-12-30T14:10:00"/>
    <s v="North Sea"/>
    <s v="KLM Royal Dutch Airlines"/>
    <s v="Unknown"/>
    <s v="Copenhagen - Amsterdam"/>
    <x v="277"/>
    <s v="PH-ASM"/>
    <n v="2142"/>
    <n v="20"/>
    <n v="15"/>
    <n v="5"/>
    <n v="1"/>
    <n v="1"/>
    <n v="0"/>
    <n v="0"/>
    <s v="One Swedish passenger was killed when the plane was attacked by a German fighter. The plane was able to land safely in Amsterdam."/>
    <n v="19"/>
    <n v="0.05"/>
    <x v="2"/>
  </r>
  <r>
    <n v="568"/>
    <x v="533"/>
    <x v="28"/>
    <x v="0"/>
    <d v="1899-12-30T07:30:00"/>
    <s v=" Calarmar, Colombia"/>
    <s v="Scarta"/>
    <s v="Unknown"/>
    <s v="Barranquilla - Girardot"/>
    <x v="148"/>
    <s v="C-53"/>
    <s v="Unknown"/>
    <n v="5"/>
    <n v="3"/>
    <n v="2"/>
    <n v="5"/>
    <n v="3"/>
    <n v="2"/>
    <n v="0"/>
    <s v="Crashed while en route."/>
    <n v="0"/>
    <n v="1"/>
    <x v="1"/>
  </r>
  <r>
    <n v="569"/>
    <x v="534"/>
    <x v="28"/>
    <x v="0"/>
    <s v="Unknown"/>
    <s v="Gosport, England"/>
    <s v="British Airways"/>
    <s v="Unknown"/>
    <s v="Training"/>
    <x v="329"/>
    <s v="G-AFFM"/>
    <n v="75"/>
    <n v="2"/>
    <n v="0"/>
    <n v="2"/>
    <n v="2"/>
    <n v="0"/>
    <n v="2"/>
    <s v="NULL"/>
    <s v="Collided with the mooring of a ballon.went out of control and crashed."/>
    <n v="0"/>
    <n v="1"/>
    <x v="1"/>
  </r>
  <r>
    <n v="570"/>
    <x v="535"/>
    <x v="28"/>
    <x v="0"/>
    <d v="1899-12-30T08:15:00"/>
    <s v="South of Gibraltar"/>
    <s v="Iberia Airlines"/>
    <s v="Unknown"/>
    <s v="Tetouan- Seville - Alicante"/>
    <x v="241"/>
    <s v="M-CABA"/>
    <n v="5854"/>
    <n v="9"/>
    <n v="6"/>
    <n v="3"/>
    <n v="9"/>
    <n v="6"/>
    <n v="3"/>
    <n v="0"/>
    <s v="Shot down by a British RAF fighter. Crashed 6 miles south of Europa Point."/>
    <n v="0"/>
    <n v="1"/>
    <x v="1"/>
  </r>
  <r>
    <n v="571"/>
    <x v="536"/>
    <x v="28"/>
    <x v="0"/>
    <d v="1899-12-30T13:00:00"/>
    <s v="Off Malta-Luqa"/>
    <s v="British Airways"/>
    <s v="Unknown"/>
    <s v="Egypt - England"/>
    <x v="299"/>
    <s v="G-AFYU"/>
    <n v="1444"/>
    <n v="8"/>
    <n v="6"/>
    <n v="2"/>
    <n v="5"/>
    <n v="3"/>
    <n v="2"/>
    <n v="0"/>
    <s v="Ditched into the sea, 300 miles NW of Alexandria, Egypt. A ship rescued six survivers."/>
    <n v="3"/>
    <n v="0.625"/>
    <x v="0"/>
  </r>
  <r>
    <n v="572"/>
    <x v="537"/>
    <x v="28"/>
    <x v="0"/>
    <d v="1899-12-30T08:00:00"/>
    <s v="Mogador, Morocco"/>
    <s v="Linee Aeree Italiane"/>
    <s v="Unknown"/>
    <s v="Rome - Rio de Janerio"/>
    <x v="330"/>
    <s v="I-ARPA"/>
    <n v="34017"/>
    <n v="7"/>
    <n v="3"/>
    <n v="4"/>
    <n v="7"/>
    <n v="3"/>
    <n v="4"/>
    <n v="0"/>
    <s v="Crashed into a mountain  60 km southeast of Mogadorin in  a storm while attempting to make a forced landing."/>
    <n v="0"/>
    <n v="1"/>
    <x v="1"/>
  </r>
  <r>
    <n v="573"/>
    <x v="538"/>
    <x v="29"/>
    <x v="0"/>
    <s v="Unknown"/>
    <s v="Denpasar, Indonesia"/>
    <s v="KNILM"/>
    <s v="Unknown"/>
    <s v="Batavia - Denpasar - Kupang - Darwin - Sydney"/>
    <x v="299"/>
    <s v="PK-AFO"/>
    <n v="1415"/>
    <n v="9"/>
    <n v="5"/>
    <n v="4"/>
    <n v="8"/>
    <n v="5"/>
    <n v="3"/>
    <n v="0"/>
    <s v="Crashed into the sea shortly after take-off. Cause unknown"/>
    <n v="1"/>
    <n v="0.88888888888888884"/>
    <x v="1"/>
  </r>
  <r>
    <n v="574"/>
    <x v="539"/>
    <x v="29"/>
    <x v="0"/>
    <s v="Unknown"/>
    <s v="Near Cosenza, Italy"/>
    <s v="Ala Littoria SA"/>
    <s v="Unknown"/>
    <s v="Catania - Brindisi - Rome"/>
    <x v="331"/>
    <s v="I-LEAL"/>
    <n v="32031"/>
    <n v="10"/>
    <n v="4"/>
    <n v="6"/>
    <n v="10"/>
    <n v="4"/>
    <n v="6"/>
    <n v="0"/>
    <s v="Crashed and burned on a hill side in fog. Prior to crashing the crew reported ice on the wings."/>
    <n v="0"/>
    <n v="1"/>
    <x v="1"/>
  </r>
  <r>
    <n v="575"/>
    <x v="540"/>
    <x v="29"/>
    <x v="0"/>
    <d v="1899-12-30T10:00:00"/>
    <s v="Near Bucaramanga, Columbia"/>
    <s v="SCADTA"/>
    <s v="Unknown"/>
    <s v="Bogota - Cucuta"/>
    <x v="233"/>
    <s v="C-79"/>
    <s v="Unknown"/>
    <n v="11"/>
    <n v="9"/>
    <n v="2"/>
    <n v="11"/>
    <n v="9"/>
    <n v="2"/>
    <n v="0"/>
    <s v="The plane hit a mountain in the Andes  near Tona, northeast of Bucaramanga after the crew lost their bearings in fog."/>
    <n v="0"/>
    <n v="1"/>
    <x v="1"/>
  </r>
  <r>
    <n v="576"/>
    <x v="541"/>
    <x v="29"/>
    <x v="0"/>
    <d v="1899-12-30T13:20:00"/>
    <s v="Gulf of Oman"/>
    <s v="Imperial Airways"/>
    <s v="Unknown"/>
    <s v="Calcutta - Jask - Sharjah - Alexandria - London"/>
    <x v="332"/>
    <s v="G-AAGX"/>
    <s v="HP42/1"/>
    <n v="8"/>
    <n v="4"/>
    <n v="4"/>
    <n v="8"/>
    <n v="4"/>
    <n v="4"/>
    <n v="0"/>
    <s v="Crashed in the Persian Gulf while en route with out a trace. The aircraft was named &quot;Hannibal.&quot;"/>
    <n v="0"/>
    <n v="1"/>
    <x v="1"/>
  </r>
  <r>
    <n v="577"/>
    <x v="542"/>
    <x v="29"/>
    <x v="0"/>
    <s v="Unknown"/>
    <s v="Stromboli Island, Italy"/>
    <s v="Ala Littoria"/>
    <s v="Unknown"/>
    <s v=" Tripol- Catania - Rome - Milan"/>
    <x v="333"/>
    <s v="I- SUTO"/>
    <n v="30024"/>
    <n v="14"/>
    <n v="10"/>
    <n v="4"/>
    <n v="14"/>
    <n v="10"/>
    <n v="4"/>
    <n v="0"/>
    <s v="The plane crashed into Stromboli Volcano. The cause was possibly bad weather or some electromagnetic phenomena."/>
    <n v="0"/>
    <n v="1"/>
    <x v="1"/>
  </r>
  <r>
    <n v="578"/>
    <x v="543"/>
    <x v="29"/>
    <x v="0"/>
    <s v="Unknown"/>
    <s v="Near Loch Lomond, Scotland"/>
    <s v="British Overseas Airways"/>
    <s v="Unknown"/>
    <s v="Stockholm - Perth - Heston"/>
    <x v="299"/>
    <s v="G-AFKD"/>
    <n v="1484"/>
    <n v="5"/>
    <n v="2"/>
    <n v="3"/>
    <n v="5"/>
    <n v="2"/>
    <n v="3"/>
    <n v="0"/>
    <s v="Struck a mountain after being off course 10 miles to the west in reduced visibility."/>
    <n v="0"/>
    <n v="1"/>
    <x v="1"/>
  </r>
  <r>
    <n v="579"/>
    <x v="544"/>
    <x v="29"/>
    <x v="0"/>
    <s v="Unknown"/>
    <s v="El Segundo, California"/>
    <s v="Douglas Aircraft Company"/>
    <s v="Unknown"/>
    <s v="Test flight"/>
    <x v="334"/>
    <s v="Unknown"/>
    <s v="Unknown"/>
    <n v="5"/>
    <n v="0"/>
    <n v="5"/>
    <n v="5"/>
    <n v="0"/>
    <n v="5"/>
    <n v="0"/>
    <s v="Crashed and burned during a government test flight"/>
    <n v="0"/>
    <n v="1"/>
    <x v="1"/>
  </r>
  <r>
    <n v="580"/>
    <x v="545"/>
    <x v="29"/>
    <x v="0"/>
    <d v="1899-12-30T14:00:00"/>
    <s v="Off Prangli Island, Gulf of Finland, Estonia"/>
    <s v="Aero O-Y"/>
    <s v="Unknown"/>
    <s v=" Tallinn, Estonia - Helsinki, Finland"/>
    <x v="335"/>
    <s v="OH-ALL"/>
    <n v="5494"/>
    <n v="9"/>
    <n v="7"/>
    <n v="2"/>
    <n v="9"/>
    <n v="7"/>
    <n v="2"/>
    <n v="0"/>
    <s v="The plane was en route when it was shot down by two Soviet Tupolev SB-2 bombers. The aircraft  crashed 2-3 nm offshore of Prangli Island near Keri Lighthouse. The aircraft was named &quot;Kaleva.&quot;"/>
    <n v="0"/>
    <n v="1"/>
    <x v="1"/>
  </r>
  <r>
    <n v="581"/>
    <x v="546"/>
    <x v="29"/>
    <x v="0"/>
    <s v="Unknown"/>
    <s v="Near Ouistreham, France"/>
    <s v="Air France"/>
    <s v="Unknown"/>
    <s v="Unknown"/>
    <x v="292"/>
    <s v="F-ARTD"/>
    <n v="22"/>
    <n v="1"/>
    <s v="NULL"/>
    <s v="NULL"/>
    <n v="1"/>
    <s v="NULL"/>
    <s v="NULL"/>
    <n v="0"/>
    <s v="Inadvertently shot down by French anti-aircraft fire."/>
    <n v="0"/>
    <n v="1"/>
    <x v="1"/>
  </r>
  <r>
    <n v="582"/>
    <x v="547"/>
    <x v="29"/>
    <x v="0"/>
    <s v="Unknown"/>
    <s v="Gulf of Tonkin"/>
    <s v="Air France"/>
    <s v="Unknown"/>
    <s v="Unknown"/>
    <x v="292"/>
    <s v="F-AQBA"/>
    <n v="1"/>
    <n v="4"/>
    <s v="NULL"/>
    <s v="NULL"/>
    <n v="4"/>
    <s v="NULL"/>
    <s v="NULL"/>
    <n v="0"/>
    <s v="Shot down by a Japanese military fighter."/>
    <n v="0"/>
    <n v="1"/>
    <x v="1"/>
  </r>
  <r>
    <n v="583"/>
    <x v="548"/>
    <x v="29"/>
    <x v="0"/>
    <s v="Unknown"/>
    <s v="Hannover, Germany"/>
    <s v="Deutsche Lufthansa"/>
    <s v="Unknown"/>
    <s v="Unknown"/>
    <x v="336"/>
    <s v="D-AIAV"/>
    <n v="1366"/>
    <n v="13"/>
    <n v="10"/>
    <n v="3"/>
    <n v="2"/>
    <n v="2"/>
    <n v="0"/>
    <n v="0"/>
    <s v="No cause was described except it being pilot error."/>
    <n v="11"/>
    <n v="0.15384615384615385"/>
    <x v="2"/>
  </r>
  <r>
    <n v="584"/>
    <x v="549"/>
    <x v="29"/>
    <x v="0"/>
    <d v="1899-12-30T10:15:00"/>
    <s v="Near Canberra, Australia"/>
    <s v="Military - Royal Australian Air Force"/>
    <s v="Unknown"/>
    <s v="Melbourne - Canberra"/>
    <x v="337"/>
    <s v="Unknown"/>
    <s v="Unknown"/>
    <n v="10"/>
    <n v="6"/>
    <n v="4"/>
    <n v="10"/>
    <n v="6"/>
    <n v="4"/>
    <n v="0"/>
    <s v="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
    <n v="0"/>
    <n v="1"/>
    <x v="1"/>
  </r>
  <r>
    <n v="585"/>
    <x v="550"/>
    <x v="29"/>
    <x v="0"/>
    <s v="Unknown"/>
    <s v=" Gospic,,Coatia"/>
    <s v="Aeroput"/>
    <s v="Unknown"/>
    <s v="Zagreb - Split"/>
    <x v="265"/>
    <s v=" YU-SBC"/>
    <n v="1135"/>
    <n v="11"/>
    <n v="9"/>
    <n v="2"/>
    <n v="11"/>
    <n v="9"/>
    <n v="2"/>
    <n v="0"/>
    <s v="Hit a mountain slope while en route."/>
    <n v="0"/>
    <n v="1"/>
    <x v="1"/>
  </r>
  <r>
    <n v="586"/>
    <x v="551"/>
    <x v="29"/>
    <x v="0"/>
    <s v="Unknown"/>
    <s v="Cluj, Romania"/>
    <s v="LARES"/>
    <s v="Unknown"/>
    <s v=" Baia Mare - Cluj-Napoca - Sibiu - Bucharest"/>
    <x v="277"/>
    <s v="YR-PAF"/>
    <n v="1986"/>
    <n v="15"/>
    <n v="12"/>
    <n v="3"/>
    <n v="15"/>
    <n v="12"/>
    <n v="3"/>
    <n v="0"/>
    <s v="While approaching Cluj-Napoca from the west, the aircraft was not on the assigned track and hit the slope of Mt Gaina during a hail and thunderstorm."/>
    <n v="0"/>
    <n v="1"/>
    <x v="1"/>
  </r>
  <r>
    <n v="587"/>
    <x v="552"/>
    <x v="29"/>
    <x v="0"/>
    <d v="1899-12-30T14:41:00"/>
    <s v="Near Lovettsville, Virginia"/>
    <s v="Pennsylvania Central Airlines"/>
    <n v="19"/>
    <s v="Washington D.C. - Detroit"/>
    <x v="277"/>
    <s v="NC21789"/>
    <n v="2188"/>
    <n v="25"/>
    <n v="21"/>
    <n v="4"/>
    <n v="25"/>
    <n v="21"/>
    <n v="4"/>
    <n v="0"/>
    <s v="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
    <n v="0"/>
    <n v="1"/>
    <x v="1"/>
  </r>
  <r>
    <n v="588"/>
    <x v="553"/>
    <x v="29"/>
    <x v="0"/>
    <s v="Unknown"/>
    <s v="Osijek, Croatia"/>
    <s v="Aeroput"/>
    <s v="Unknown"/>
    <s v="Belgrade - Osijek - Zagreb"/>
    <x v="265"/>
    <s v="YU-SBE"/>
    <n v="1137"/>
    <n v="12"/>
    <n v="9"/>
    <n v="3"/>
    <n v="7"/>
    <n v="4"/>
    <n v="3"/>
    <n v="0"/>
    <s v="Crashed while attempting to land."/>
    <n v="5"/>
    <n v="0.58333333333333337"/>
    <x v="0"/>
  </r>
  <r>
    <n v="589"/>
    <x v="554"/>
    <x v="29"/>
    <x v="0"/>
    <s v="Unknown"/>
    <s v="Near Changyi, China"/>
    <s v="China National Aviation Corporation"/>
    <s v="Unknown"/>
    <s v="Chungking - Kunming"/>
    <x v="226"/>
    <s v="NC14297"/>
    <n v="1369"/>
    <n v="14"/>
    <n v="10"/>
    <n v="4"/>
    <n v="9"/>
    <n v="8"/>
    <n v="1"/>
    <n v="0"/>
    <s v="Shot down by Japanese military fighters. The plane ran into 5 Japanese fighters and made an emergency landing at a remote field only to be machine-gunned while trying to escape."/>
    <n v="5"/>
    <n v="0.6428571428571429"/>
    <x v="0"/>
  </r>
  <r>
    <n v="590"/>
    <x v="554"/>
    <x v="29"/>
    <x v="0"/>
    <s v="Unknown"/>
    <s v="Berlin, Germany"/>
    <s v="Deutsche Lufthansa"/>
    <s v="Unknown"/>
    <s v="Unknown"/>
    <x v="277"/>
    <s v="D-AAIH"/>
    <n v="1973"/>
    <n v="15"/>
    <n v="12"/>
    <n v="3"/>
    <n v="2"/>
    <n v="0"/>
    <n v="2"/>
    <n v="0"/>
    <s v="Hit the ground short of the runway in reduced visibility."/>
    <n v="13"/>
    <n v="0.13333333333333333"/>
    <x v="2"/>
  </r>
  <r>
    <n v="591"/>
    <x v="555"/>
    <x v="29"/>
    <x v="0"/>
    <d v="1899-12-30T19:10:00"/>
    <s v="Near Rincon, Bolivia"/>
    <s v="Lloyd Aero Boliviano SA"/>
    <s v="Unknown"/>
    <s v="Santa Cruz - Corumba"/>
    <x v="213"/>
    <s v="CB-17"/>
    <n v="4008"/>
    <n v="17"/>
    <n v="14"/>
    <n v="3"/>
    <n v="17"/>
    <n v="14"/>
    <n v="3"/>
    <n v="0"/>
    <s v="Crashe in a storm while en route. Wreckage found 15 months later."/>
    <n v="0"/>
    <n v="1"/>
    <x v="1"/>
  </r>
  <r>
    <n v="592"/>
    <x v="555"/>
    <x v="29"/>
    <x v="0"/>
    <d v="1899-12-30T04:42:00"/>
    <s v="Near Centerville, Utah"/>
    <s v="United Air Lines"/>
    <n v="16"/>
    <s v="Oakland - Salt Lake City"/>
    <x v="277"/>
    <s v="NC16086"/>
    <n v="1925"/>
    <n v="10"/>
    <n v="8"/>
    <n v="2"/>
    <n v="10"/>
    <n v="8"/>
    <n v="2"/>
    <n v="0"/>
    <s v="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
    <n v="0"/>
    <n v="1"/>
    <x v="1"/>
  </r>
  <r>
    <n v="593"/>
    <x v="556"/>
    <x v="29"/>
    <x v="0"/>
    <s v="Unknown"/>
    <s v="Rio de Janeiro, Brazil"/>
    <s v="VASP"/>
    <s v="Unknown"/>
    <s v="Rio de Janeiro - Sao Paulo"/>
    <x v="338"/>
    <s v="PP-SPF"/>
    <n v="5689"/>
    <n v="18"/>
    <n v="14"/>
    <n v="4"/>
    <n v="18"/>
    <n v="14"/>
    <n v="4"/>
    <n v="0"/>
    <s v="Midair collision with a private plane.  After the collision, both aircraft crashed into the Botafogo Bay. Seventeen killed on the Junkers, 1 on the private plane."/>
    <n v="0"/>
    <n v="1"/>
    <x v="1"/>
  </r>
  <r>
    <n v="594"/>
    <x v="556"/>
    <x v="29"/>
    <x v="0"/>
    <d v="1899-12-30T15:02:00"/>
    <s v="Brandenburg, Germany"/>
    <s v="Deutsche Lufthansa"/>
    <s v="Unknown"/>
    <s v="Berlin - Budapest"/>
    <x v="339"/>
    <s v="D-AVMF"/>
    <n v="900010"/>
    <n v="29"/>
    <n v="23"/>
    <n v="6"/>
    <n v="29"/>
    <n v="23"/>
    <n v="6"/>
    <n v="0"/>
    <s v="Crashed while en route in poor weather condtions . Icing."/>
    <n v="0"/>
    <n v="1"/>
    <x v="1"/>
  </r>
  <r>
    <n v="595"/>
    <x v="557"/>
    <x v="29"/>
    <x v="0"/>
    <s v="Unknown"/>
    <s v="Mediterranean Sea"/>
    <s v="Air France"/>
    <s v="Unknown"/>
    <s v="Unknown"/>
    <x v="340"/>
    <s v="F-AROA"/>
    <n v="2"/>
    <n v="6"/>
    <s v="NULL"/>
    <s v="NULL"/>
    <n v="6"/>
    <s v="NULL"/>
    <s v="NULL"/>
    <n v="0"/>
    <s v="Shot down by Italian aircraft."/>
    <n v="0"/>
    <n v="1"/>
    <x v="1"/>
  </r>
  <r>
    <n v="596"/>
    <x v="558"/>
    <x v="29"/>
    <x v="0"/>
    <d v="1899-12-30T17:48:00"/>
    <s v="Chicago, Illinois"/>
    <s v="United Air Lines"/>
    <n v="21"/>
    <s v="New York City - Chicago"/>
    <x v="268"/>
    <s v="NC25678"/>
    <n v="2175"/>
    <n v="16"/>
    <n v="13"/>
    <n v="3"/>
    <n v="10"/>
    <n v="7"/>
    <n v="3"/>
    <n v="0"/>
    <s v="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
    <n v="6"/>
    <n v="0.625"/>
    <x v="0"/>
  </r>
  <r>
    <n v="597"/>
    <x v="559"/>
    <x v="29"/>
    <x v="0"/>
    <d v="1899-12-30T11:30:00"/>
    <s v="Capri Island, Italy"/>
    <s v="Ala Littolia"/>
    <s v="Unknown"/>
    <s v="Catania - Rome"/>
    <x v="341"/>
    <s v=" I-LIGO"/>
    <n v="32035"/>
    <n v="7"/>
    <n v="3"/>
    <n v="4"/>
    <n v="7"/>
    <n v="3"/>
    <n v="4"/>
    <n v="0"/>
    <s v="While en route, the aircraft was shot down by the pilot of a RAF fighter and crashed into the sea some 40 miles southwest of the Capri Island."/>
    <n v="0"/>
    <n v="1"/>
    <x v="1"/>
  </r>
  <r>
    <n v="598"/>
    <x v="560"/>
    <x v="30"/>
    <x v="0"/>
    <d v="1899-12-30T12:00:00"/>
    <s v="Mediterranean Sea"/>
    <s v="LATI"/>
    <s v="Unknown"/>
    <s v="Rome - Seville - Villa Cisneros - Sal - Natal - Rio"/>
    <x v="342"/>
    <s v="I-AREM"/>
    <n v="34019"/>
    <n v="16"/>
    <n v="12"/>
    <n v="4"/>
    <n v="16"/>
    <n v="12"/>
    <n v="4"/>
    <n v="0"/>
    <s v="Crashed into the Mediterranian sea while en route without a trace."/>
    <n v="0"/>
    <n v="1"/>
    <x v="1"/>
  </r>
  <r>
    <n v="599"/>
    <x v="561"/>
    <x v="30"/>
    <x v="0"/>
    <d v="1899-12-30T12:05:00"/>
    <s v="Off  Fernando de Noronha, Brazil"/>
    <s v="LATI"/>
    <s v="Unknown"/>
    <s v="Rio de Janeiro - Natal - Sal - Seville - Rome"/>
    <x v="331"/>
    <s v="I-BAYR"/>
    <n v="32013"/>
    <n v="10"/>
    <n v="6"/>
    <n v="4"/>
    <n v="10"/>
    <n v="6"/>
    <n v="4"/>
    <n v="0"/>
    <s v="Crashed near the Equator after the crew had lost an engine. Three hours after taking off, an SOS was transmitted. No trace of the plane was ever found."/>
    <n v="0"/>
    <n v="1"/>
    <x v="1"/>
  </r>
  <r>
    <n v="600"/>
    <x v="562"/>
    <x v="30"/>
    <x v="0"/>
    <d v="1899-12-30T12:00:00"/>
    <s v="Near Nagyvarad, Hungary"/>
    <s v="Malert Airlines"/>
    <s v="Unknown"/>
    <s v="Budapest - Maros-Vasarhely"/>
    <x v="213"/>
    <s v="HA-JUA"/>
    <n v="5523"/>
    <n v="16"/>
    <n v="13"/>
    <n v="3"/>
    <n v="12"/>
    <n v="9"/>
    <n v="3"/>
    <n v="0"/>
    <s v="An engine stalled during the initial climb and the plane crashed and burned,"/>
    <n v="4"/>
    <n v="0.75"/>
    <x v="1"/>
  </r>
  <r>
    <n v="601"/>
    <x v="563"/>
    <x v="30"/>
    <x v="0"/>
    <s v="Unknown"/>
    <s v="Near Kian, China"/>
    <s v="China National Aviation Corporation"/>
    <s v="Unknown"/>
    <s v="Unknown"/>
    <x v="343"/>
    <n v="23"/>
    <s v="5-AT-101"/>
    <n v="6"/>
    <n v="1"/>
    <n v="5"/>
    <n v="5"/>
    <n v="1"/>
    <n v="4"/>
    <n v="0"/>
    <s v="Crashed into a mountain during a thunderstorm and reduced visibility."/>
    <n v="1"/>
    <n v="0.83333333333333337"/>
    <x v="1"/>
  </r>
  <r>
    <n v="602"/>
    <x v="564"/>
    <x v="30"/>
    <x v="0"/>
    <d v="1899-12-30T04:13:00"/>
    <s v="Near Robertson, Missouri"/>
    <s v="Trans Continental and Western Air"/>
    <n v="6"/>
    <s v="Kansas City, MO - New York"/>
    <x v="344"/>
    <s v="NC17315"/>
    <n v="1930"/>
    <n v="13"/>
    <n v="10"/>
    <n v="3"/>
    <n v="2"/>
    <n v="1"/>
    <n v="1"/>
    <n v="0"/>
    <s v="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
    <n v="11"/>
    <n v="0.15384615384615385"/>
    <x v="2"/>
  </r>
  <r>
    <n v="603"/>
    <x v="565"/>
    <x v="30"/>
    <x v="0"/>
    <d v="1899-12-30T02:00:00"/>
    <s v="Armstrong, ON, Canada"/>
    <s v="Trans Canada Air Lines"/>
    <n v="3"/>
    <s v="Toronto - Winnipeg"/>
    <x v="294"/>
    <s v="CF-TCP"/>
    <n v="1501"/>
    <n v="12"/>
    <n v="9"/>
    <n v="3"/>
    <n v="12"/>
    <n v="9"/>
    <n v="3"/>
    <n v="0"/>
    <s v="The plane crashed after the right wing struck a tree as the pilot was attempting to land in adverse weather. Struck several other trees and landed inverted in a swamp."/>
    <n v="0"/>
    <n v="1"/>
    <x v="1"/>
  </r>
  <r>
    <n v="604"/>
    <x v="566"/>
    <x v="30"/>
    <x v="0"/>
    <d v="1899-12-30T11:50:00"/>
    <s v="Atlanta, Georgia"/>
    <s v="Eastern Air Lines"/>
    <n v="21"/>
    <s v="New York City -  Washington D.C. - Atlanta - Brownsville"/>
    <x v="277"/>
    <s v="NC28394"/>
    <n v="3204"/>
    <n v="16"/>
    <n v="13"/>
    <n v="3"/>
    <n v="9"/>
    <n v="6"/>
    <n v="3"/>
    <n v="0"/>
    <s v="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
    <n v="7"/>
    <n v="0.5625"/>
    <x v="0"/>
  </r>
  <r>
    <n v="605"/>
    <x v="567"/>
    <x v="30"/>
    <x v="0"/>
    <d v="1899-12-30T15:50:00"/>
    <s v="Trontheim, Norway"/>
    <s v="Deutsche Lufthansa"/>
    <s v="Unknown"/>
    <s v="Unknown"/>
    <x v="213"/>
    <s v="D-AQUB"/>
    <n v="5751"/>
    <n v="12"/>
    <n v="9"/>
    <n v="3"/>
    <n v="3"/>
    <n v="3"/>
    <n v="0"/>
    <n v="0"/>
    <s v="The seaplane crashed while attemping to land and sunk."/>
    <n v="9"/>
    <n v="0.25"/>
    <x v="2"/>
  </r>
  <r>
    <n v="606"/>
    <x v="568"/>
    <x v="30"/>
    <x v="0"/>
    <d v="1899-12-30T11:45:00"/>
    <s v="Elands Bay, South Africa"/>
    <s v="South African Airways"/>
    <s v="Unknown"/>
    <s v="Luanda - Windhoek - Cape Town"/>
    <x v="345"/>
    <s v="ZS-AST"/>
    <n v="2034"/>
    <n v="10"/>
    <n v="6"/>
    <n v="4"/>
    <n v="10"/>
    <n v="6"/>
    <n v="4"/>
    <n v="0"/>
    <s v="Crashed into a mountain near Elands Bay in inclement weather."/>
    <n v="0"/>
    <n v="1"/>
    <x v="1"/>
  </r>
  <r>
    <n v="607"/>
    <x v="569"/>
    <x v="30"/>
    <x v="0"/>
    <d v="1899-12-30T17:00:00"/>
    <s v="Atlantic Ocean"/>
    <s v="Great Western and Southern Air Lines"/>
    <s v="Unknown"/>
    <s v="Isles of Scilly - Penzance, Cornwall"/>
    <x v="227"/>
    <s v="G-ACPY"/>
    <n v="6076"/>
    <n v="6"/>
    <n v="5"/>
    <n v="1"/>
    <n v="6"/>
    <n v="5"/>
    <n v="1"/>
    <n v="0"/>
    <s v="Shot down by a He-111 German military aircraft 20 minutes after takeoff.."/>
    <n v="0"/>
    <n v="1"/>
    <x v="1"/>
  </r>
  <r>
    <n v="608"/>
    <x v="570"/>
    <x v="30"/>
    <x v="0"/>
    <s v="Unknown"/>
    <s v="Bucharest, Romania"/>
    <s v="LARES"/>
    <s v="Unknown"/>
    <s v="Bucharest - Sofia"/>
    <x v="277"/>
    <s v="YR-PAF"/>
    <n v="1985"/>
    <n v="18"/>
    <n v="3"/>
    <n v="15"/>
    <n v="0"/>
    <n v="0"/>
    <n v="0"/>
    <n v="0"/>
    <s v="Stalled and crashed during takeoff."/>
    <n v="18"/>
    <n v="0"/>
    <x v="2"/>
  </r>
  <r>
    <n v="609"/>
    <x v="571"/>
    <x v="30"/>
    <x v="0"/>
    <s v="Unknown"/>
    <s v="Sea of Japan"/>
    <s v="Manchurian Air Lines"/>
    <s v="Unknown"/>
    <s v="Unknown"/>
    <x v="346"/>
    <s v="M-604"/>
    <s v="Unknown"/>
    <n v="18"/>
    <n v="15"/>
    <n v="3"/>
    <n v="18"/>
    <n v="15"/>
    <n v="3"/>
    <n v="0"/>
    <s v="Crashed while en route. Cause unknown."/>
    <n v="0"/>
    <n v="1"/>
    <x v="1"/>
  </r>
  <r>
    <n v="610"/>
    <x v="572"/>
    <x v="30"/>
    <x v="0"/>
    <d v="1899-12-30T09:15:00"/>
    <s v="Rome, Italy"/>
    <s v="Ala Littoria"/>
    <s v="Unknown"/>
    <s v="Rome - Cagliari"/>
    <x v="347"/>
    <s v="I-PACE"/>
    <n v="4158"/>
    <n v="25"/>
    <n v="20"/>
    <n v="5"/>
    <n v="5"/>
    <n v="5"/>
    <n v="0"/>
    <n v="0"/>
    <s v="After an engine failed the crew decided to return but encountered turbulence and crashed."/>
    <n v="20"/>
    <n v="0.2"/>
    <x v="2"/>
  </r>
  <r>
    <n v="611"/>
    <x v="573"/>
    <x v="30"/>
    <x v="0"/>
    <d v="1899-12-30T20:35:00"/>
    <s v="Arran, Scotland"/>
    <s v="Military -Royal Air Force"/>
    <s v="Unknown"/>
    <s v="Unknown"/>
    <x v="348"/>
    <s v="AM261"/>
    <s v="Unknown"/>
    <n v="22"/>
    <n v="17"/>
    <n v="5"/>
    <n v="22"/>
    <n v="17"/>
    <n v="5"/>
    <n v="0"/>
    <s v="Crashed into a mountain ridge in rain, low visibility and overcast conditions. Navigational error."/>
    <n v="0"/>
    <n v="1"/>
    <x v="1"/>
  </r>
  <r>
    <n v="612"/>
    <x v="574"/>
    <x v="30"/>
    <x v="0"/>
    <d v="1899-12-30T20:40:00"/>
    <s v="Ayr, Scotland"/>
    <s v="Military - Royal Air Force"/>
    <s v="Unknown"/>
    <s v="Unknown"/>
    <x v="348"/>
    <s v="AM260"/>
    <s v="Unknown"/>
    <n v="22"/>
    <s v="NULL"/>
    <s v="NULL"/>
    <n v="22"/>
    <s v="NULL"/>
    <s v="NULL"/>
    <n v="0"/>
    <s v="Crashed and burned on takeoff at Heathfield airfield, after veered off the runway and striking a small building and then an embankment."/>
    <n v="0"/>
    <n v="1"/>
    <x v="1"/>
  </r>
  <r>
    <n v="613"/>
    <x v="575"/>
    <x v="30"/>
    <x v="0"/>
    <s v="Unknown"/>
    <s v="Near Sao Paulo, Brazil"/>
    <s v="Panair do Brasil"/>
    <s v="Unknown"/>
    <s v="Curitiba - Sao Paulo"/>
    <x v="345"/>
    <s v="PP-PBD"/>
    <n v="2083"/>
    <n v="14"/>
    <n v="10"/>
    <n v="4"/>
    <n v="8"/>
    <n v="5"/>
    <n v="3"/>
    <n v="0"/>
    <s v="After a goaround the plane diverted from its prescribed course and crashed into a mountain."/>
    <n v="6"/>
    <n v="0.5714285714285714"/>
    <x v="0"/>
  </r>
  <r>
    <n v="614"/>
    <x v="576"/>
    <x v="30"/>
    <x v="0"/>
    <s v="Unknown"/>
    <s v="Coen, Australila"/>
    <s v="Airlines of Australia"/>
    <s v="Unknown"/>
    <s v="Horn Island - Coen - Cairns"/>
    <x v="140"/>
    <s v="VH-UQL"/>
    <n v="2088"/>
    <n v="3"/>
    <n v="2"/>
    <n v="1"/>
    <n v="3"/>
    <n v="2"/>
    <n v="1"/>
    <n v="0"/>
    <s v="On approach the left wing broke off and the aircraft crashed in a field."/>
    <n v="0"/>
    <n v="1"/>
    <x v="1"/>
  </r>
  <r>
    <n v="615"/>
    <x v="577"/>
    <x v="30"/>
    <x v="0"/>
    <s v="Unknown"/>
    <s v="Campbeltown, Argyll, Scotland"/>
    <s v="British Overseas Airways"/>
    <s v="Unknown"/>
    <s v="Unknown"/>
    <x v="349"/>
    <s v="AM-915"/>
    <s v="Unknown"/>
    <n v="10"/>
    <s v="NULL"/>
    <s v="NULL"/>
    <n v="10"/>
    <s v="NULL"/>
    <s v="NULL"/>
    <n v="0"/>
    <s v="Crashed into a hillside."/>
    <n v="0"/>
    <n v="1"/>
    <x v="1"/>
  </r>
  <r>
    <n v="616"/>
    <x v="577"/>
    <x v="30"/>
    <x v="0"/>
    <d v="1899-12-30T13:40:00"/>
    <s v="Bollemont, France"/>
    <s v="Air France"/>
    <s v="Unknown"/>
    <s v="Marseille - Toulouse"/>
    <x v="350"/>
    <s v="F-AQNL"/>
    <n v="12"/>
    <n v="17"/>
    <n v="14"/>
    <n v="3"/>
    <n v="15"/>
    <n v="12"/>
    <n v="3"/>
    <n v="0"/>
    <s v="The aircraft crashed into lake Bolomon after engine failure during takeoff in windy conditions."/>
    <n v="2"/>
    <n v="0.88235294117647056"/>
    <x v="1"/>
  </r>
  <r>
    <n v="617"/>
    <x v="578"/>
    <x v="30"/>
    <x v="0"/>
    <d v="1899-12-30T17:48:00"/>
    <s v="San Juan, Puerto Rico"/>
    <s v="Pan American World Airways"/>
    <n v="203"/>
    <s v="Miami - Buenos Aires"/>
    <x v="351"/>
    <s v="NC15376"/>
    <n v="4206"/>
    <n v="15"/>
    <n v="9"/>
    <n v="6"/>
    <n v="2"/>
    <n v="2"/>
    <n v="0"/>
    <n v="0"/>
    <s v="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
    <n v="13"/>
    <n v="0.13333333333333333"/>
    <x v="2"/>
  </r>
  <r>
    <n v="618"/>
    <x v="579"/>
    <x v="30"/>
    <x v="0"/>
    <s v="Unknown"/>
    <s v="Near Petrich, bulgaria"/>
    <s v="Deutsche Lufthansa"/>
    <s v="Unknown"/>
    <s v="Athens - Sofia"/>
    <x v="352"/>
    <s v="D-AUXZ"/>
    <n v="7172"/>
    <n v="13"/>
    <n v="10"/>
    <n v="3"/>
    <n v="13"/>
    <n v="10"/>
    <n v="3"/>
    <n v="0"/>
    <s v="Crashed on the Greek/Hungarian border. Cause unknown,"/>
    <n v="0"/>
    <n v="1"/>
    <x v="1"/>
  </r>
  <r>
    <n v="619"/>
    <x v="580"/>
    <x v="30"/>
    <x v="0"/>
    <d v="1899-12-30T02:04:00"/>
    <s v="Near Moorhead, Minnesota"/>
    <s v="Northwest Orient Airlines"/>
    <n v="5"/>
    <s v="Minneapolis - Fargo"/>
    <x v="277"/>
    <s v="NC21712"/>
    <n v="2124"/>
    <n v="15"/>
    <n v="13"/>
    <n v="2"/>
    <n v="14"/>
    <n v="13"/>
    <n v="1"/>
    <n v="0"/>
    <s v="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
    <n v="1"/>
    <n v="0.93333333333333335"/>
    <x v="1"/>
  </r>
  <r>
    <n v="620"/>
    <x v="580"/>
    <x v="30"/>
    <x v="0"/>
    <d v="1899-12-30T22:10:00"/>
    <s v="St. Thomas, Ontario, Canada"/>
    <s v="American Airlines"/>
    <n v="1"/>
    <s v="New York - Buffalo - Chicago - Detroit"/>
    <x v="277"/>
    <s v="NC25663"/>
    <n v="2207"/>
    <n v="20"/>
    <n v="17"/>
    <n v="3"/>
    <n v="20"/>
    <n v="17"/>
    <n v="3"/>
    <n v="0"/>
    <s v="The aircraft, on a flight from New York to Chicago, circled a wooded area 3 or 4 times looking for a landing spot before stalling and diving into a plowed field. Cause unknown."/>
    <n v="0"/>
    <n v="1"/>
    <x v="1"/>
  </r>
  <r>
    <n v="621"/>
    <x v="581"/>
    <x v="30"/>
    <x v="0"/>
    <d v="1899-12-30T05:55:00"/>
    <s v=" Chardzhou, Turkmenistan"/>
    <s v="Aeroflot"/>
    <s v="Unknown"/>
    <s v="Chardzhou - Urgench"/>
    <x v="353"/>
    <s v="CP-L2010"/>
    <n v="61"/>
    <n v="36"/>
    <n v="31"/>
    <n v="5"/>
    <n v="7"/>
    <n v="5"/>
    <n v="2"/>
    <n v="0"/>
    <s v="During the initial climb at night, the pilot in command suffered a spatial disorientation stalled the plane and crashed."/>
    <n v="29"/>
    <n v="0.19444444444444445"/>
    <x v="2"/>
  </r>
  <r>
    <n v="622"/>
    <x v="582"/>
    <x v="30"/>
    <x v="0"/>
    <s v="Unknown"/>
    <s v="Miami, Florida"/>
    <s v="Pan American Airways"/>
    <s v="Unknown"/>
    <s v="Unknown"/>
    <x v="45"/>
    <s v="NC21V"/>
    <s v="Unknown"/>
    <n v="3"/>
    <s v="NULL"/>
    <s v="NULL"/>
    <n v="3"/>
    <s v="NULL"/>
    <s v="NULL"/>
    <n v="0"/>
    <s v="No data available"/>
    <n v="0"/>
    <n v="1"/>
    <x v="1"/>
  </r>
  <r>
    <n v="623"/>
    <x v="583"/>
    <x v="30"/>
    <x v="0"/>
    <d v="1899-12-30T11:26:00"/>
    <s v=" Baiserke, Kazakhstan"/>
    <s v="Aeroflot"/>
    <s v="Unknown"/>
    <s v="Almaty - Karaganda - Aktyubinsk - Kuybyshev - Kazan"/>
    <x v="353"/>
    <s v="CCCP-L3043"/>
    <n v="22182"/>
    <n v="34"/>
    <n v="28"/>
    <n v="6"/>
    <n v="26"/>
    <n v="21"/>
    <n v="5"/>
    <n v="0"/>
    <s v="The crew decided to takeoff in below-minima weather conditions with low clouds, fog, turbulences and severe icing. While attempting to return to the airport the aircraft lost altitude and crashed into a field."/>
    <n v="8"/>
    <n v="0.76470588235294112"/>
    <x v="1"/>
  </r>
  <r>
    <n v="624"/>
    <x v="584"/>
    <x v="30"/>
    <x v="0"/>
    <s v="Unknown"/>
    <s v="Sabang, Indonesia"/>
    <s v="BOAC"/>
    <s v="Unknown"/>
    <s v="Unknown"/>
    <x v="322"/>
    <s v=" G-ADUX"/>
    <s v="S-815"/>
    <n v="4"/>
    <n v="0"/>
    <n v="4"/>
    <n v="4"/>
    <n v="0"/>
    <n v="4"/>
    <n v="0"/>
    <s v="While taking off the plane hit debris in the water and broke up."/>
    <n v="0"/>
    <n v="1"/>
    <x v="1"/>
  </r>
  <r>
    <n v="625"/>
    <x v="585"/>
    <x v="31"/>
    <x v="0"/>
    <d v="1899-12-30T19:20:00"/>
    <s v="Near Las Vegas, Nevada"/>
    <s v="Trans Continental and Western Air"/>
    <s v="Unknown"/>
    <s v="Las Vegas - Los Angeles"/>
    <x v="277"/>
    <s v="NC1946"/>
    <n v="3295"/>
    <n v="22"/>
    <n v="19"/>
    <n v="3"/>
    <n v="22"/>
    <n v="19"/>
    <n v="3"/>
    <n v="0"/>
    <s v="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
    <n v="0"/>
    <n v="1"/>
    <x v="1"/>
  </r>
  <r>
    <n v="626"/>
    <x v="586"/>
    <x v="31"/>
    <x v="0"/>
    <s v="Unknown"/>
    <s v=" Kupang, Indonesia"/>
    <s v="Military - Royal Australian Air Force"/>
    <s v="Unknown"/>
    <s v="Unknown"/>
    <x v="354"/>
    <s v="A16-79"/>
    <s v="414-1933"/>
    <n v="11"/>
    <n v="7"/>
    <n v="4"/>
    <n v="11"/>
    <s v="NULL"/>
    <n v="4"/>
    <n v="0"/>
    <s v="Shortly after taking off the left engine caught fire, the plane stalled and crashed."/>
    <n v="0"/>
    <n v="1"/>
    <x v="1"/>
  </r>
  <r>
    <n v="627"/>
    <x v="587"/>
    <x v="31"/>
    <x v="0"/>
    <s v="Unknown"/>
    <s v="Kupang, Timor"/>
    <s v="KNILM"/>
    <s v="Unknown"/>
    <s v="Unknown"/>
    <x v="355"/>
    <s v="PK-AFS"/>
    <n v="1081"/>
    <n v="5"/>
    <n v="2"/>
    <n v="3"/>
    <n v="5"/>
    <n v="2"/>
    <n v="3"/>
    <n v="0"/>
    <s v="Shot down by Japanese military aircraft."/>
    <n v="0"/>
    <n v="1"/>
    <x v="1"/>
  </r>
  <r>
    <n v="628"/>
    <x v="588"/>
    <x v="31"/>
    <x v="0"/>
    <d v="1899-12-30T08:00:00"/>
    <s v="Near Kupang, Timor"/>
    <s v="Qantas"/>
    <s v="Unknown"/>
    <s v="Darwin - Surabaya, Dutch East Indies"/>
    <x v="270"/>
    <s v="G-AEUH"/>
    <s v="S-850"/>
    <n v="18"/>
    <n v="13"/>
    <n v="5"/>
    <n v="13"/>
    <n v="11"/>
    <n v="2"/>
    <n v="0"/>
    <s v="Shot down by Japanese military aircraft. Owned by British Overseas Airways."/>
    <n v="5"/>
    <n v="0.72222222222222221"/>
    <x v="1"/>
  </r>
  <r>
    <n v="629"/>
    <x v="589"/>
    <x v="31"/>
    <x v="0"/>
    <d v="1899-12-30T08:50:00"/>
    <s v="English Channel, near Plymouth, England"/>
    <s v="British Overseas Airways"/>
    <s v="Unknown"/>
    <s v="Cairo, Egypt - England"/>
    <x v="356"/>
    <s v="G-AGDR"/>
    <n v="9"/>
    <n v="9"/>
    <n v="4"/>
    <n v="5"/>
    <n v="9"/>
    <n v="4"/>
    <n v="5"/>
    <n v="0"/>
    <s v="Shot down in error by two Royal Air Force Spitfire fighters.."/>
    <n v="0"/>
    <n v="1"/>
    <x v="1"/>
  </r>
  <r>
    <n v="630"/>
    <x v="590"/>
    <x v="31"/>
    <x v="0"/>
    <s v="Unknown"/>
    <s v=" Zhengzhou-Xinzheng, China"/>
    <s v="China National Aviation Corporation"/>
    <s v="Unknown"/>
    <s v="Unknown"/>
    <x v="226"/>
    <n v="45"/>
    <s v="Unknown"/>
    <n v="1"/>
    <n v="0"/>
    <n v="1"/>
    <n v="1"/>
    <n v="0"/>
    <n v="1"/>
    <s v="NULL"/>
    <s v="Crashed under unknown circumstances."/>
    <n v="0"/>
    <n v="1"/>
    <x v="1"/>
  </r>
  <r>
    <n v="631"/>
    <x v="591"/>
    <x v="31"/>
    <x v="0"/>
    <s v="Unknown"/>
    <s v="Off Belmont, Brisbane, Australia"/>
    <s v="Qantas"/>
    <s v="Unknown"/>
    <s v="Brisbane - Darwin"/>
    <x v="357"/>
    <s v="VH-USE"/>
    <n v="2309"/>
    <n v="9"/>
    <n v="7"/>
    <n v="2"/>
    <n v="9"/>
    <n v="7"/>
    <n v="2"/>
    <n v="0"/>
    <s v="Crashed shortly after takeoff from Archerfield Airfiield  into a hillside. Suffered structural failure while flying in adverse weather conditons of wind and low overcast."/>
    <n v="0"/>
    <n v="1"/>
    <x v="1"/>
  </r>
  <r>
    <n v="632"/>
    <x v="592"/>
    <x v="31"/>
    <x v="0"/>
    <s v="Unknown"/>
    <s v="Indian Ocean"/>
    <s v="British Overseas Airways"/>
    <s v="Unknown"/>
    <s v="Java - Broom, Australia"/>
    <x v="270"/>
    <s v="G-AETZ"/>
    <s v="S-842"/>
    <n v="20"/>
    <n v="16"/>
    <n v="4"/>
    <n v="20"/>
    <n v="16"/>
    <n v="4"/>
    <n v="0"/>
    <s v="Shot down by Japanese military aircraft about 150 miles from Java."/>
    <n v="0"/>
    <n v="1"/>
    <x v="1"/>
  </r>
  <r>
    <n v="633"/>
    <x v="593"/>
    <x v="31"/>
    <x v="0"/>
    <s v="Unknown"/>
    <s v="Wyndham, Australia"/>
    <s v="KNILM"/>
    <s v="Unknown"/>
    <s v="Java - Australia"/>
    <x v="277"/>
    <s v="PK-AFV"/>
    <n v="1965"/>
    <n v="12"/>
    <n v="8"/>
    <n v="4"/>
    <n v="8"/>
    <s v="NULL"/>
    <s v="NULL"/>
    <n v="0"/>
    <s v="Shot down by Japanese military aircraft."/>
    <n v="4"/>
    <n v="0.66666666666666663"/>
    <x v="1"/>
  </r>
  <r>
    <n v="634"/>
    <x v="593"/>
    <x v="31"/>
    <x v="0"/>
    <s v="Unknown"/>
    <s v="Off Broome, Australia"/>
    <s v="Military - U.S. Army Air Force"/>
    <s v="Unknown"/>
    <s v=" Broome - Kupang"/>
    <x v="358"/>
    <s v="40-2370"/>
    <n v="6"/>
    <n v="21"/>
    <n v="19"/>
    <n v="2"/>
    <n v="20"/>
    <n v="18"/>
    <n v="2"/>
    <n v="0"/>
    <s v="Shot down shortly after taking off by a Japanese fighter."/>
    <n v="1"/>
    <n v="0.95238095238095233"/>
    <x v="1"/>
  </r>
  <r>
    <n v="635"/>
    <x v="594"/>
    <x v="31"/>
    <x v="0"/>
    <d v="1899-12-30T21:30:00"/>
    <s v="Kunming, China"/>
    <s v="China National Aviation Corporation"/>
    <s v="Unknown"/>
    <s v="Kunming - Chungking"/>
    <x v="359"/>
    <n v="31"/>
    <n v="1567"/>
    <n v="17"/>
    <n v="14"/>
    <n v="3"/>
    <n v="13"/>
    <n v="10"/>
    <n v="3"/>
    <n v="0"/>
    <s v="Crashed 2 km from the Kunming Airdome shortly after takeoff.  Possible causes include engine failure,  overloading, sabotage and temporary blinding by a bright light."/>
    <n v="4"/>
    <n v="0.76470588235294112"/>
    <x v="1"/>
  </r>
  <r>
    <n v="636"/>
    <x v="595"/>
    <x v="31"/>
    <x v="0"/>
    <d v="1899-12-30T21:27:00"/>
    <s v="Pine Creek, Australia"/>
    <s v="Guinea Airways Limited"/>
    <s v="Unknown"/>
    <s v="Brisbane - Bachelor Field"/>
    <x v="310"/>
    <s v="VH-ADY"/>
    <s v="Unknown"/>
    <n v="12"/>
    <n v="10"/>
    <n v="2"/>
    <n v="12"/>
    <n v="10"/>
    <n v="2"/>
    <n v="0"/>
    <s v="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
    <n v="0"/>
    <n v="1"/>
    <x v="1"/>
  </r>
  <r>
    <n v="637"/>
    <x v="596"/>
    <x v="31"/>
    <x v="0"/>
    <d v="1899-12-30T23:00:00"/>
    <s v="Salt Lake City, Utah"/>
    <s v="United Air Lines"/>
    <n v="4"/>
    <s v="San Francisco - New York City"/>
    <x v="295"/>
    <s v="NC18146"/>
    <n v="1978"/>
    <n v="17"/>
    <n v="14"/>
    <n v="3"/>
    <n v="17"/>
    <n v="14"/>
    <n v="3"/>
    <n v="0"/>
    <s v="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
    <n v="0"/>
    <n v="1"/>
    <x v="1"/>
  </r>
  <r>
    <n v="638"/>
    <x v="597"/>
    <x v="31"/>
    <x v="0"/>
    <d v="1899-12-30T11:51:00"/>
    <s v="Miles City, Montana"/>
    <s v="Northwest Orient Airlines"/>
    <n v="1"/>
    <s v="Chicago - Seattle"/>
    <x v="360"/>
    <s v="NC 21714"/>
    <n v="2129"/>
    <n v="14"/>
    <n v="10"/>
    <n v="4"/>
    <n v="3"/>
    <n v="0"/>
    <n v="3"/>
    <n v="0"/>
    <s v="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
    <n v="11"/>
    <n v="0.21428571428571427"/>
    <x v="2"/>
  </r>
  <r>
    <n v="639"/>
    <x v="598"/>
    <x v="31"/>
    <x v="0"/>
    <s v="Unknown"/>
    <s v="Near Rome, Italy"/>
    <s v="LATI"/>
    <s v="Unknown"/>
    <s v="Rome - Tripoli, Lybia"/>
    <x v="331"/>
    <s v="I-MELE"/>
    <n v="32052"/>
    <n v="20"/>
    <n v="16"/>
    <n v="4"/>
    <n v="20"/>
    <n v="16"/>
    <n v="4"/>
    <n v="0"/>
    <s v="Stalled, struck trees, crashed and burned immediately after takeoff."/>
    <n v="0"/>
    <n v="1"/>
    <x v="1"/>
  </r>
  <r>
    <n v="640"/>
    <x v="599"/>
    <x v="31"/>
    <x v="0"/>
    <d v="1899-12-30T12:00:00"/>
    <s v="Near Premier, West Virginia"/>
    <s v="Military - U.S. Army Air Forces"/>
    <s v="Unknown"/>
    <s v="Battle Creek - Cincinnati - Florence"/>
    <x v="361"/>
    <s v="42-56093"/>
    <n v="1976"/>
    <n v="21"/>
    <n v="19"/>
    <n v="2"/>
    <n v="21"/>
    <n v="19"/>
    <n v="2"/>
    <n v="0"/>
    <s v="Flew into a thunderstorm and was observed in a near vertical dive before crashing to the ground.  Icing, possible overloading."/>
    <n v="0"/>
    <n v="1"/>
    <x v="1"/>
  </r>
  <r>
    <n v="641"/>
    <x v="600"/>
    <x v="31"/>
    <x v="0"/>
    <s v="Unknown"/>
    <s v="Off Broken Head, Australia"/>
    <s v="Military - Royal Australian Air Force"/>
    <s v="Unknown"/>
    <s v="Horn Island - Amberley"/>
    <x v="354"/>
    <s v="A16-198"/>
    <s v="414-6463"/>
    <n v="10"/>
    <n v="0"/>
    <n v="10"/>
    <n v="10"/>
    <n v="0"/>
    <n v="10"/>
    <n v="0"/>
    <s v="While approaching Amberley at night, the crew became lost and continued south. After running out of fuel, the aircraft crashed into the sea some 3 km off Broken Head and sunk."/>
    <n v="0"/>
    <n v="1"/>
    <x v="1"/>
  </r>
  <r>
    <n v="642"/>
    <x v="601"/>
    <x v="31"/>
    <x v="0"/>
    <s v="Unknown"/>
    <s v="Llanfair, England"/>
    <s v="Military - Royal Air Force"/>
    <s v="Unknown"/>
    <s v="Sydenham - Hendon"/>
    <x v="354"/>
    <s v="N7253"/>
    <s v=" 414-1649"/>
    <n v="13"/>
    <n v="10"/>
    <n v="3"/>
    <n v="13"/>
    <n v="10"/>
    <n v="3"/>
    <n v="0"/>
    <s v="The aircraft went out of control while flying in thunderstorm activity and may have been struck by lightning."/>
    <n v="0"/>
    <n v="1"/>
    <x v="1"/>
  </r>
  <r>
    <n v="643"/>
    <x v="602"/>
    <x v="31"/>
    <x v="0"/>
    <s v="Unknown"/>
    <s v="Algiers, Algeria"/>
    <s v="Air France"/>
    <s v="Unknown"/>
    <s v="Unknown"/>
    <x v="362"/>
    <s v="F-AREJ"/>
    <n v="403"/>
    <n v="10"/>
    <n v="6"/>
    <n v="4"/>
    <n v="4"/>
    <n v="4"/>
    <n v="0"/>
    <n v="0"/>
    <s v="Attacked by Royal Air Force fighters.  Crashed in the water while attempting to land and sank."/>
    <n v="6"/>
    <n v="0.4"/>
    <x v="0"/>
  </r>
  <r>
    <n v="644"/>
    <x v="603"/>
    <x v="31"/>
    <x v="0"/>
    <s v="Unknown"/>
    <m/>
    <s v="Deutsche Lufthansa"/>
    <s v="Unknown"/>
    <s v="Unknown"/>
    <x v="363"/>
    <s v="Unknown"/>
    <s v="Unknown"/>
    <n v="4"/>
    <n v="2"/>
    <n v="2"/>
    <n v="4"/>
    <n v="2"/>
    <n v="2"/>
    <n v="0"/>
    <s v="Lufthansa chairman, Von Gablenz killed."/>
    <n v="0"/>
    <n v="1"/>
    <x v="1"/>
  </r>
  <r>
    <n v="645"/>
    <x v="604"/>
    <x v="31"/>
    <x v="0"/>
    <d v="1899-12-30T13:00:00"/>
    <s v="Trinidad"/>
    <s v="KLM Royal Dutch Airlines"/>
    <s v="Unknown"/>
    <s v="Trinidad - Curacao"/>
    <x v="310"/>
    <s v="PJ-AIP"/>
    <n v="1410"/>
    <n v="13"/>
    <n v="10"/>
    <n v="3"/>
    <n v="13"/>
    <n v="10"/>
    <n v="3"/>
    <n v="0"/>
    <s v=" Shortly after taking off all radio contact was lost with the aircraft. Next day, the wreckage was found near the airport. The cause was never determined. Possible encounter with a severe thunderstorm."/>
    <n v="0"/>
    <n v="1"/>
    <x v="1"/>
  </r>
  <r>
    <n v="646"/>
    <x v="605"/>
    <x v="31"/>
    <x v="0"/>
    <d v="1899-12-30T13:42:00"/>
    <s v="Near Dunbeath, Scotland"/>
    <s v="Military - Royal Air Force"/>
    <s v="Unknown"/>
    <s v="Oban - Invergordon - Keflavik"/>
    <x v="364"/>
    <s v="W4026"/>
    <s v="Unknown"/>
    <n v="15"/>
    <n v="11"/>
    <n v="4"/>
    <n v="14"/>
    <n v="10"/>
    <n v="4"/>
    <n v="0"/>
    <s v="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
    <n v="1"/>
    <n v="0.93333333333333335"/>
    <x v="1"/>
  </r>
  <r>
    <n v="647"/>
    <x v="606"/>
    <x v="31"/>
    <x v="0"/>
    <s v="Unknown"/>
    <s v="Off West Africa"/>
    <s v="British Overseas Airways"/>
    <s v="Unknown"/>
    <s v="Lagos - Bathurst - Lisbon - Poole"/>
    <x v="365"/>
    <s v="G-AFCZ"/>
    <s v="S-885"/>
    <n v="19"/>
    <n v="13"/>
    <n v="6"/>
    <n v="19"/>
    <n v="13"/>
    <n v="6"/>
    <n v="0"/>
    <s v="Possible catastrophic in-flight fire possibly related to the design of its fuel-intake system, 90 minutes after departure."/>
    <n v="0"/>
    <n v="1"/>
    <x v="1"/>
  </r>
  <r>
    <n v="648"/>
    <x v="607"/>
    <x v="31"/>
    <x v="0"/>
    <s v="Unknown"/>
    <s v="Ameur el Ain, Algeria"/>
    <s v="Air France"/>
    <s v="Unknown"/>
    <s v="Marseille, France - Dakar, Senegal"/>
    <x v="366"/>
    <s v="F-ARIZ"/>
    <n v="1"/>
    <n v="25"/>
    <n v="18"/>
    <n v="7"/>
    <n v="25"/>
    <n v="18"/>
    <n v="7"/>
    <n v="0"/>
    <s v="Crashed during takeoff after an in-flight failure of a wing."/>
    <n v="0"/>
    <n v="1"/>
    <x v="1"/>
  </r>
  <r>
    <n v="649"/>
    <x v="608"/>
    <x v="31"/>
    <x v="0"/>
    <d v="1899-12-30T09:00:00"/>
    <s v="Near Sao Paulo, Brazil"/>
    <s v="Panair do Brasil SA"/>
    <s v="Unknown"/>
    <s v="Rio de Janeiro - Sao Paulo"/>
    <x v="367"/>
    <s v="PP-PBG"/>
    <n v="2081"/>
    <n v="15"/>
    <n v="11"/>
    <n v="4"/>
    <n v="15"/>
    <n v="11"/>
    <n v="4"/>
    <n v="0"/>
    <s v="Struck a mountain, 5 miles from its destination in adverse weather."/>
    <n v="0"/>
    <n v="1"/>
    <x v="1"/>
  </r>
  <r>
    <n v="650"/>
    <x v="609"/>
    <x v="31"/>
    <x v="0"/>
    <s v="Unknown"/>
    <s v="Kunming, China"/>
    <s v="China National Aviation Corporation"/>
    <s v="Unknown"/>
    <s v="Unknown"/>
    <x v="368"/>
    <n v="69"/>
    <s v="Unknown"/>
    <s v="NULL"/>
    <s v="NULL"/>
    <s v="NULL"/>
    <s v="NULL"/>
    <s v="NULL"/>
    <s v="NULL"/>
    <s v="NULL"/>
    <s v="Crashed while attempting to land after losing oil pressure on one engine."/>
    <s v="NULL"/>
    <n v="0"/>
    <x v="2"/>
  </r>
  <r>
    <n v="651"/>
    <x v="609"/>
    <x v="31"/>
    <x v="0"/>
    <d v="1899-12-30T09:30:00"/>
    <s v="Near Coamo, Puerto Rico"/>
    <s v="Military - U.S. Army Air Forces"/>
    <s v="Unknown"/>
    <s v="Juana DÃ­az-Losey Field - San Juan"/>
    <x v="369"/>
    <s v="38-524"/>
    <n v="2081"/>
    <n v="22"/>
    <n v="17"/>
    <n v="5"/>
    <n v="22"/>
    <n v="17"/>
    <n v="5"/>
    <n v="0"/>
    <s v="The aircraft made a wide descending turn with engines running roughly and crashed into a hill in poor visibility."/>
    <n v="0"/>
    <n v="1"/>
    <x v="1"/>
  </r>
  <r>
    <n v="652"/>
    <x v="610"/>
    <x v="31"/>
    <x v="0"/>
    <d v="1899-12-30T19:05:00"/>
    <s v="Botwood, Newfoundland"/>
    <s v="American Export Airlines"/>
    <n v="71"/>
    <s v="New York - Botwood - Foynes, Ireland"/>
    <x v="370"/>
    <s v="NC41880"/>
    <n v="4401"/>
    <n v="37"/>
    <n v="26"/>
    <n v="11"/>
    <n v="11"/>
    <n v="6"/>
    <n v="5"/>
    <n v="0"/>
    <s v="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
    <n v="26"/>
    <n v="0.29729729729729731"/>
    <x v="2"/>
  </r>
  <r>
    <n v="653"/>
    <x v="611"/>
    <x v="31"/>
    <x v="0"/>
    <d v="1899-12-30T13:40:00"/>
    <s v=" Yanaul, Russia"/>
    <s v="Aeroflot"/>
    <s v="Unknown"/>
    <s v="Moscow - Kazan - Sverdlovsk"/>
    <x v="371"/>
    <s v="CCCP-L3903"/>
    <n v="505"/>
    <n v="12"/>
    <n v="7"/>
    <n v="5"/>
    <n v="10"/>
    <n v="5"/>
    <n v="5"/>
    <n v="0"/>
    <s v="Crashed while on final approach. Icing. Incorrect weather conditions supplied to crew."/>
    <n v="2"/>
    <n v="0.83333333333333337"/>
    <x v="1"/>
  </r>
  <r>
    <n v="654"/>
    <x v="611"/>
    <x v="31"/>
    <x v="0"/>
    <s v="Unknown"/>
    <s v="Budapest, Romania"/>
    <s v="Deutsche Lufthansa"/>
    <n v="7208"/>
    <s v=" Budapest - Belgrade"/>
    <x v="213"/>
    <s v="D-AYGX"/>
    <n v="7208"/>
    <n v="17"/>
    <n v="14"/>
    <n v="3"/>
    <n v="17"/>
    <n v="14"/>
    <n v="3"/>
    <n v="0"/>
    <s v="The aircraft struck the north slope of Mt. Fruka Gora. Improper weather information provided to the crew."/>
    <n v="0"/>
    <n v="1"/>
    <x v="1"/>
  </r>
  <r>
    <n v="655"/>
    <x v="612"/>
    <x v="31"/>
    <x v="0"/>
    <d v="1899-12-30T17:15:00"/>
    <s v="Palm Springs, California"/>
    <s v="American Airlines / Military - USAF"/>
    <n v="28"/>
    <s v="Palm Springs - New York City"/>
    <x v="372"/>
    <s v="NC16017"/>
    <n v="1555"/>
    <n v="13"/>
    <n v="10"/>
    <n v="3"/>
    <n v="12"/>
    <n v="10"/>
    <n v="2"/>
    <n v="0"/>
    <s v="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
    <n v="1"/>
    <n v="0.92307692307692313"/>
    <x v="1"/>
  </r>
  <r>
    <n v="656"/>
    <x v="613"/>
    <x v="31"/>
    <x v="0"/>
    <s v="Unknown"/>
    <s v=" La Esperanza, Colombia"/>
    <s v="Avianca"/>
    <s v="Unknown"/>
    <s v="Unknown"/>
    <x v="185"/>
    <s v="C-144"/>
    <n v="1949"/>
    <n v="6"/>
    <n v="4"/>
    <n v="2"/>
    <n v="6"/>
    <n v="4"/>
    <n v="2"/>
    <n v="0"/>
    <s v="Struck a mouintian 8km from La Esperanza."/>
    <n v="0"/>
    <n v="1"/>
    <x v="1"/>
  </r>
  <r>
    <n v="657"/>
    <x v="614"/>
    <x v="31"/>
    <x v="0"/>
    <s v="Unknown"/>
    <s v="Norway"/>
    <s v="Military - Royal Air Force"/>
    <s v="Unknown"/>
    <s v="Unknown"/>
    <x v="373"/>
    <s v="W7773"/>
    <s v="Unknown"/>
    <n v="10"/>
    <n v="7"/>
    <n v="3"/>
    <n v="10"/>
    <n v="7"/>
    <n v="3"/>
    <n v="0"/>
    <s v="After a flight of ten hours, while overflying the south part of Norway, the bomber was shot down by enemy fire and crashed."/>
    <n v="0"/>
    <n v="1"/>
    <x v="1"/>
  </r>
  <r>
    <n v="658"/>
    <x v="615"/>
    <x v="31"/>
    <x v="0"/>
    <s v="Unknown"/>
    <s v="Near Kranoyarsk, Russia"/>
    <s v="Kranoyarskie Vozhjushnye Trassy"/>
    <s v="Unknown"/>
    <s v="Kranoyarsk - Kirensk"/>
    <x v="374"/>
    <s v="CCCP-L-3965"/>
    <n v="1841703"/>
    <n v="20"/>
    <n v="16"/>
    <n v="4"/>
    <n v="20"/>
    <n v="16"/>
    <n v="4"/>
    <n v="0"/>
    <s v="Stalled immediately after becoming airborne and crashed. Icing."/>
    <n v="0"/>
    <n v="1"/>
    <x v="1"/>
  </r>
  <r>
    <n v="659"/>
    <x v="616"/>
    <x v="31"/>
    <x v="0"/>
    <s v="Unknown"/>
    <s v="Near Tashkent, Russia"/>
    <s v="Aeroflot"/>
    <s v="Unknown"/>
    <s v="Chardzhou - Tashkent"/>
    <x v="375"/>
    <s v="SSSR-L-760"/>
    <s v="Unknown"/>
    <n v="36"/>
    <n v="30"/>
    <n v="6"/>
    <n v="36"/>
    <n v="30"/>
    <n v="6"/>
    <n v="0"/>
    <s v="While attempting to land, the attitude of the plane became almost vertical after which it dove into the ground and exploded. It was reported that after the captain left his seat a passenger disengaged the autopilot and assumed control of the plane."/>
    <n v="0"/>
    <n v="1"/>
    <x v="1"/>
  </r>
  <r>
    <n v="660"/>
    <x v="617"/>
    <x v="31"/>
    <x v="0"/>
    <d v="1899-12-30T01:22:00"/>
    <s v="Fairfield, Utah"/>
    <s v="Western Airlines"/>
    <n v="1"/>
    <s v="Salt Lake - Las Vegas - Burbank"/>
    <x v="268"/>
    <s v="NC16060"/>
    <n v="1900"/>
    <n v="19"/>
    <n v="15"/>
    <n v="4"/>
    <n v="17"/>
    <n v="13"/>
    <n v="4"/>
    <n v="0"/>
    <s v="Crashed after performing a violent maneuver.  Failure of the left, or possibly both wing tips and of the horizontal  tail  surfaces as a result of a sever pull-up which caused unusual and  abnormally high air loads. The reason the pull-up maneuver was not determined."/>
    <n v="2"/>
    <n v="0.89473684210526316"/>
    <x v="1"/>
  </r>
  <r>
    <n v="661"/>
    <x v="618"/>
    <x v="31"/>
    <x v="0"/>
    <d v="1899-12-30T16:00:00"/>
    <s v="Near Vienna, Austria"/>
    <s v="DDL"/>
    <s v="Unknown"/>
    <s v="Copenhagen, Denmark - Budapest, Hungary"/>
    <x v="213"/>
    <s v="OY-DAL"/>
    <n v="5610"/>
    <n v="16"/>
    <n v="13"/>
    <n v="3"/>
    <n v="2"/>
    <n v="2"/>
    <n v="0"/>
    <n v="0"/>
    <s v="Crashed 2 km from the airport  while attempting to land at Vienna to refuel."/>
    <n v="14"/>
    <n v="0.125"/>
    <x v="2"/>
  </r>
  <r>
    <n v="662"/>
    <x v="619"/>
    <x v="31"/>
    <x v="0"/>
    <d v="1899-12-30T19:00:00"/>
    <s v="Near Chilliwack, British Columbia, Canada"/>
    <s v="Canadian Pacific Air Lines"/>
    <s v="Unknown"/>
    <s v="Prince George - Vancouver"/>
    <x v="294"/>
    <s v="CF-CPD"/>
    <n v="1504"/>
    <n v="13"/>
    <n v="10"/>
    <n v="3"/>
    <n v="13"/>
    <n v="10"/>
    <n v="3"/>
    <n v="0"/>
    <s v="Crashed into the slopes of M.t Cheam at 7,000 feet. Possible complete electrical failure resulting in the deviation from the prescribed route."/>
    <n v="0"/>
    <n v="1"/>
    <x v="1"/>
  </r>
  <r>
    <n v="663"/>
    <x v="620"/>
    <x v="32"/>
    <x v="0"/>
    <d v="1899-12-30T10:30:00"/>
    <s v="Near Cabo Ruivo, Marine Base, Lisbon, Portugal"/>
    <s v="British Overseas Airways"/>
    <s v="Unknown"/>
    <s v="Lisbon - London"/>
    <x v="376"/>
    <s v="G-AFCK"/>
    <s v="S-873"/>
    <n v="15"/>
    <n v="11"/>
    <n v="4"/>
    <n v="13"/>
    <n v="10"/>
    <n v="3"/>
    <n v="0"/>
    <s v="Crashed into the River Tagus after a fire broke out aboard the plane. While attempting an emergency landing the ship porpoised and slamed back down and broke up. The separation of a cylinder may have thrown out oil and started the blaze."/>
    <n v="2"/>
    <n v="0.8666666666666667"/>
    <x v="1"/>
  </r>
  <r>
    <n v="664"/>
    <x v="621"/>
    <x v="32"/>
    <x v="0"/>
    <s v="Unknown"/>
    <s v="Near Paramarino, Dutch Guyana"/>
    <s v="Military - U.S. Army Air Forces"/>
    <s v="Unknown"/>
    <s v="Unknown"/>
    <x v="377"/>
    <s v="42-32939"/>
    <n v="3114"/>
    <n v="35"/>
    <n v="26"/>
    <n v="9"/>
    <n v="35"/>
    <n v="26"/>
    <n v="9"/>
    <n v="0"/>
    <s v="Exploded in mid-air and crashed along the coast of South American while en route to Africa."/>
    <n v="0"/>
    <n v="1"/>
    <x v="1"/>
  </r>
  <r>
    <n v="665"/>
    <x v="622"/>
    <x v="32"/>
    <x v="0"/>
    <d v="1899-12-30T23:00:00"/>
    <s v="Off the Brazilian coast,  Atlantic Ocean"/>
    <s v="Military - U.S. Army Air Forces"/>
    <s v="Unknown"/>
    <s v="Accra, Ghana - Natal, Brazil"/>
    <x v="378"/>
    <s v="41-1708"/>
    <n v="204"/>
    <n v="26"/>
    <n v="20"/>
    <n v="6"/>
    <n v="26"/>
    <n v="20"/>
    <n v="6"/>
    <n v="0"/>
    <s v="Disappeared while en route. Life boats with dead bodies found 100 km away."/>
    <n v="0"/>
    <n v="1"/>
    <x v="1"/>
  </r>
  <r>
    <n v="666"/>
    <x v="623"/>
    <x v="32"/>
    <x v="0"/>
    <d v="1899-12-30T07:30:00"/>
    <s v="Ukiah, California"/>
    <s v="Pan American World Airways"/>
    <s v="V-1104"/>
    <s v="Honolulu - San Francisco"/>
    <x v="302"/>
    <s v="NC14715"/>
    <n v="557"/>
    <n v="19"/>
    <n v="10"/>
    <n v="9"/>
    <n v="19"/>
    <n v="10"/>
    <n v="9"/>
    <n v="0"/>
    <s v="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
    <n v="0"/>
    <n v="1"/>
    <x v="1"/>
  </r>
  <r>
    <n v="667"/>
    <x v="624"/>
    <x v="32"/>
    <x v="0"/>
    <d v="1899-12-30T15:15:00"/>
    <s v="Near Chaparra, Peru"/>
    <s v="Pan American Grace Airlines"/>
    <n v="9"/>
    <s v="S Santiago de Chile - Arequipa - Lima"/>
    <x v="268"/>
    <s v="NC33645"/>
    <n v="4124"/>
    <n v="15"/>
    <n v="11"/>
    <n v="4"/>
    <n v="14"/>
    <n v="10"/>
    <n v="4"/>
    <n v="0"/>
    <s v="The aircraft crashed into the Mt. Chaparra in the Andes mountains while en route.  Action of the pilot in continuing the flight on instruments in the overcast, contrary to company flight procedure of which, according to the evidence, the pilot was aware."/>
    <n v="1"/>
    <n v="0.93333333333333335"/>
    <x v="1"/>
  </r>
  <r>
    <n v="668"/>
    <x v="625"/>
    <x v="32"/>
    <x v="0"/>
    <s v="Unknown"/>
    <s v="Near Gander, Newfoundland"/>
    <s v="British Overseas Airways"/>
    <s v="Unknown"/>
    <s v="Unknown"/>
    <x v="379"/>
    <s v="AL-591"/>
    <s v="Unknown"/>
    <n v="21"/>
    <s v="NULL"/>
    <s v="NULL"/>
    <n v="19"/>
    <s v="NULL"/>
    <s v="NULL"/>
    <n v="0"/>
    <s v="Ran out of fuel."/>
    <n v="2"/>
    <n v="0.90476190476190477"/>
    <x v="1"/>
  </r>
  <r>
    <n v="669"/>
    <x v="626"/>
    <x v="32"/>
    <x v="0"/>
    <d v="1899-12-30T12:30:00"/>
    <s v="Seattle, Washington"/>
    <s v="Private - Boeing Aircraft Company"/>
    <s v="Unknown"/>
    <s v="Test flight"/>
    <x v="380"/>
    <s v="41-3"/>
    <s v="Unknown"/>
    <n v="10"/>
    <n v="0"/>
    <n v="10"/>
    <n v="10"/>
    <n v="0"/>
    <n v="10"/>
    <n v="20"/>
    <s v="Lost altitude, struck power lines and crashed into a packing house after encountering an engine fire on a test flight."/>
    <n v="0"/>
    <n v="1"/>
    <x v="1"/>
  </r>
  <r>
    <n v="670"/>
    <x v="627"/>
    <x v="32"/>
    <x v="0"/>
    <d v="1899-12-30T06:47:00"/>
    <s v="Lisbon, Portugal"/>
    <s v="Pan American World Airways"/>
    <n v="9035"/>
    <s v="New York - Hamilton - Horta - Lisbon - Marseille"/>
    <x v="381"/>
    <s v="NC18603"/>
    <n v="1990"/>
    <n v="39"/>
    <n v="33"/>
    <n v="6"/>
    <n v="25"/>
    <n v="20"/>
    <n v="5"/>
    <n v="0"/>
    <s v="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
    <n v="14"/>
    <n v="0.64102564102564108"/>
    <x v="0"/>
  </r>
  <r>
    <n v="671"/>
    <x v="628"/>
    <x v="32"/>
    <x v="0"/>
    <s v="Unknown"/>
    <s v="Luishui, China"/>
    <s v="China National Aviation Corporation"/>
    <s v="Unknown"/>
    <s v="Kunming - Assam"/>
    <x v="382"/>
    <n v="53"/>
    <s v="Unknown"/>
    <n v="3"/>
    <n v="0"/>
    <n v="3"/>
    <n v="3"/>
    <n v="0"/>
    <n v="3"/>
    <n v="0"/>
    <s v="The cargo plane was caught in a downdraft in a mountain pass en route and crashed."/>
    <n v="0"/>
    <n v="1"/>
    <x v="1"/>
  </r>
  <r>
    <n v="672"/>
    <x v="629"/>
    <x v="32"/>
    <x v="0"/>
    <s v="Unknown"/>
    <s v="Himalaya, China"/>
    <s v="China National Aviation Corporation"/>
    <s v="Unknown"/>
    <s v="Kunming - Dinjan"/>
    <x v="382"/>
    <n v="49"/>
    <s v="Unknown"/>
    <n v="3"/>
    <n v="0"/>
    <n v="3"/>
    <n v="3"/>
    <n v="0"/>
    <n v="3"/>
    <n v="0"/>
    <s v="Disappeared over the Himalayas."/>
    <n v="0"/>
    <n v="1"/>
    <x v="1"/>
  </r>
  <r>
    <n v="673"/>
    <x v="630"/>
    <x v="32"/>
    <x v="0"/>
    <d v="1899-12-30T05:15:00"/>
    <s v="Archerfield Aerodrome, Queensland, Australia"/>
    <s v="Military - Royal Australian Air Force"/>
    <s v="Unknown"/>
    <s v="Brisbane - Sydney"/>
    <x v="383"/>
    <s v="A65-2"/>
    <n v="6149"/>
    <n v="24"/>
    <n v="20"/>
    <n v="4"/>
    <n v="24"/>
    <n v="20"/>
    <n v="4"/>
    <n v="0"/>
    <s v="The aircraft, taking off in darkness and poor visibility, crashed in heavy timber and caught fire."/>
    <n v="0"/>
    <n v="1"/>
    <x v="1"/>
  </r>
  <r>
    <n v="674"/>
    <x v="631"/>
    <x v="32"/>
    <x v="0"/>
    <d v="1899-12-30T01:40:00"/>
    <s v="North Sea"/>
    <s v="British Overseas Airways"/>
    <s v="Unknown"/>
    <s v="Stockholm, Sweden - RAF Leuchars, Scotland"/>
    <x v="384"/>
    <s v="G-AGEJ"/>
    <n v="2085"/>
    <n v="7"/>
    <n v="4"/>
    <n v="3"/>
    <n v="7"/>
    <n v="4"/>
    <n v="3"/>
    <n v="0"/>
    <s v="Shot down  by German fighters, 30 miles from Skagen, Denmark"/>
    <n v="0"/>
    <n v="1"/>
    <x v="1"/>
  </r>
  <r>
    <n v="675"/>
    <x v="632"/>
    <x v="32"/>
    <x v="0"/>
    <d v="1899-12-30T20:00:00"/>
    <s v="Off Port Moresby, New Guinea"/>
    <s v="Qantas"/>
    <s v="Unknown"/>
    <s v=" Townsville - Port Moresby"/>
    <x v="385"/>
    <s v="VH-ADU"/>
    <s v="S-844"/>
    <n v="31"/>
    <n v="27"/>
    <n v="4"/>
    <n v="13"/>
    <n v="11"/>
    <n v="2"/>
    <n v="0"/>
    <s v="Stalled and crashed in poor weather into the water during an emergency landing on the open sea. Broke up in heavy seas."/>
    <n v="18"/>
    <n v="0.41935483870967744"/>
    <x v="0"/>
  </r>
  <r>
    <n v="676"/>
    <x v="633"/>
    <x v="32"/>
    <x v="0"/>
    <d v="1899-12-30T11:00:00"/>
    <s v="Off the coast of France"/>
    <s v="British Overseas Airways"/>
    <n v="777"/>
    <s v="Lisbon - Bristol"/>
    <x v="277"/>
    <s v="G-AGBB"/>
    <n v="1590"/>
    <n v="17"/>
    <n v="13"/>
    <n v="4"/>
    <n v="17"/>
    <n v="13"/>
    <n v="4"/>
    <n v="0"/>
    <s v="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
    <n v="0"/>
    <n v="1"/>
    <x v="1"/>
  </r>
  <r>
    <n v="677"/>
    <x v="634"/>
    <x v="32"/>
    <x v="0"/>
    <d v="1899-12-30T04:00:00"/>
    <s v="Red Springs, North Carolina"/>
    <s v="Military - U.S. Army Air Forces"/>
    <s v="Unknown"/>
    <s v="Pope Field - Maxton"/>
    <x v="386"/>
    <s v="42-23512"/>
    <n v="9374"/>
    <n v="20"/>
    <n v="16"/>
    <n v="4"/>
    <n v="20"/>
    <n v="16"/>
    <n v="4"/>
    <n v="0"/>
    <s v="Crashed in thunderstorm activity while attempting to land."/>
    <n v="0"/>
    <n v="1"/>
    <x v="1"/>
  </r>
  <r>
    <n v="678"/>
    <x v="635"/>
    <x v="32"/>
    <x v="0"/>
    <d v="1899-12-30T00:55:00"/>
    <s v=" Noumea,  New Caledonia"/>
    <s v="Military - US Navy"/>
    <s v="Unknown"/>
    <s v="Noumea - Sydney"/>
    <x v="387"/>
    <n v="12406"/>
    <n v="9178"/>
    <n v="23"/>
    <n v="3"/>
    <n v="20"/>
    <n v="23"/>
    <n v="3"/>
    <n v="20"/>
    <n v="0"/>
    <s v="During the initial climb one engine failed. While attempting an emergency landing, the plane stalled and crashed."/>
    <n v="0"/>
    <n v="1"/>
    <x v="1"/>
  </r>
  <r>
    <n v="679"/>
    <x v="636"/>
    <x v="32"/>
    <x v="0"/>
    <d v="1899-12-30T06:00:00"/>
    <s v="Near Mackay, OLD, Australia"/>
    <s v="Military - U.S. Army Air Forces"/>
    <s v="Unknown"/>
    <s v="Mackay - Port Moresby"/>
    <x v="388"/>
    <n v="12406"/>
    <n v="2072"/>
    <n v="41"/>
    <n v="35"/>
    <n v="6"/>
    <n v="40"/>
    <n v="34"/>
    <n v="6"/>
    <n v="0"/>
    <s v="The aircraft took off into ground fog and leveled off at an altitude of about 300 feet. The plane stalled and crashed and exploded."/>
    <n v="1"/>
    <n v="0.97560975609756095"/>
    <x v="1"/>
  </r>
  <r>
    <n v="680"/>
    <x v="637"/>
    <x v="32"/>
    <x v="0"/>
    <s v="Unknown"/>
    <s v="Khartoum, Sudan"/>
    <s v="British Overseas Airways"/>
    <s v="Unknown"/>
    <s v="Unknown"/>
    <x v="389"/>
    <s v="FK-459"/>
    <s v="Unknown"/>
    <n v="17"/>
    <s v="NULL"/>
    <s v="NULL"/>
    <n v="17"/>
    <s v="NULL"/>
    <s v="NULL"/>
    <n v="0"/>
    <s v="No data available"/>
    <n v="0"/>
    <n v="1"/>
    <x v="1"/>
  </r>
  <r>
    <n v="681"/>
    <x v="638"/>
    <x v="32"/>
    <x v="0"/>
    <s v="Unknown"/>
    <s v="Khartoum, Sudan"/>
    <s v="British Overseas Airways"/>
    <s v="Unknown"/>
    <s v="Unknown"/>
    <x v="389"/>
    <s v="FK-618"/>
    <s v="Unknown"/>
    <n v="16"/>
    <s v="NULL"/>
    <s v="NULL"/>
    <n v="16"/>
    <s v="NULL"/>
    <s v="NULL"/>
    <n v="0"/>
    <s v="No data available"/>
    <n v="0"/>
    <n v="1"/>
    <x v="1"/>
  </r>
  <r>
    <n v="682"/>
    <x v="639"/>
    <x v="32"/>
    <x v="0"/>
    <d v="1899-12-30T23:00:00"/>
    <s v="Gibraltar"/>
    <s v="Unknown"/>
    <s v="Unknown"/>
    <s v="Unknown"/>
    <x v="390"/>
    <s v="A-L-523"/>
    <s v="Unknown"/>
    <n v="13"/>
    <s v="NULL"/>
    <s v="NULL"/>
    <n v="12"/>
    <s v="NULL"/>
    <s v="NULL"/>
    <n v="0"/>
    <s v="The flight, bound for London, crashed into the Mediterranean shortly after takeoff. Wladyslaw Sikorski, prime minister of the Polish government in exile, killed."/>
    <n v="1"/>
    <n v="0.92307692307692313"/>
    <x v="1"/>
  </r>
  <r>
    <n v="683"/>
    <x v="640"/>
    <x v="32"/>
    <x v="0"/>
    <d v="1899-12-30T05:20:00"/>
    <s v="Brandon Head, Ireland"/>
    <s v="British Overseas Airways"/>
    <s v="Unknown"/>
    <s v=" Lagos - Lisbon - Foynes"/>
    <x v="391"/>
    <s v="G-AGES"/>
    <s v="Unknown"/>
    <n v="25"/>
    <n v="18"/>
    <n v="7"/>
    <n v="10"/>
    <n v="9"/>
    <n v="1"/>
    <n v="0"/>
    <s v="The wing struck the side of a mountain as the crew descended from overcast conditions. Pilot error. The captain descended without obtaining bearings from the ground to determine his position accurately."/>
    <n v="15"/>
    <n v="0.4"/>
    <x v="0"/>
  </r>
  <r>
    <n v="684"/>
    <x v="640"/>
    <x v="32"/>
    <x v="0"/>
    <d v="1899-12-30T22:43:00"/>
    <s v="Trammel, Kentucky"/>
    <s v="American Airlines"/>
    <n v="63"/>
    <s v="Cleveland - Memphis"/>
    <x v="277"/>
    <s v="NC16014"/>
    <n v="1552"/>
    <n v="22"/>
    <n v="18"/>
    <n v="4"/>
    <n v="20"/>
    <n v="16"/>
    <n v="4"/>
    <n v="0"/>
    <s v="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
    <n v="2"/>
    <n v="0.90909090909090906"/>
    <x v="1"/>
  </r>
  <r>
    <n v="685"/>
    <x v="641"/>
    <x v="32"/>
    <x v="0"/>
    <d v="1899-12-30T15:00:00"/>
    <s v="Ploesti, Romania"/>
    <s v="Military - U.S. Army Air Forces"/>
    <s v="Unknown"/>
    <s v="Bombing run"/>
    <x v="392"/>
    <s v="Unknown"/>
    <s v="Unknown"/>
    <n v="10"/>
    <n v="0"/>
    <n v="10"/>
    <n v="10"/>
    <n v="0"/>
    <n v="10"/>
    <n v="63"/>
    <s v="Crashed into a women's prison after being hit by anti-aircraft fire while on a bombing run."/>
    <n v="0"/>
    <n v="1"/>
    <x v="1"/>
  </r>
  <r>
    <n v="686"/>
    <x v="642"/>
    <x v="32"/>
    <x v="0"/>
    <d v="1899-12-30T05:20:00"/>
    <s v="Off Townsville, Australia"/>
    <s v="Military - U.S. Air Force"/>
    <s v="Unknown"/>
    <s v="Townsville - Brisbane"/>
    <x v="383"/>
    <s v="41-7733"/>
    <n v="4212"/>
    <n v="27"/>
    <n v="23"/>
    <n v="4"/>
    <n v="27"/>
    <n v="23"/>
    <n v="4"/>
    <n v="0"/>
    <s v="Twenty minutes after taking off the aircraft crashed into Cleveland Bay several miles offshore."/>
    <n v="0"/>
    <n v="1"/>
    <x v="1"/>
  </r>
  <r>
    <n v="687"/>
    <x v="643"/>
    <x v="32"/>
    <x v="0"/>
    <s v="Unknown"/>
    <s v="Fort Hertz, China"/>
    <s v="China National Aviation Corporation"/>
    <s v="Unknown"/>
    <s v="Unknown"/>
    <x v="382"/>
    <n v="48"/>
    <s v="Unknown"/>
    <n v="3"/>
    <n v="0"/>
    <n v="3"/>
    <n v="3"/>
    <n v="0"/>
    <n v="3"/>
    <n v="0"/>
    <s v="The cargo plane was shot down by Japanese fighters."/>
    <n v="0"/>
    <n v="1"/>
    <x v="1"/>
  </r>
  <r>
    <n v="688"/>
    <x v="644"/>
    <x v="32"/>
    <x v="0"/>
    <d v="1899-12-30T04:12:00"/>
    <s v="Rhodes, Greece"/>
    <s v="LATI"/>
    <s v="Unknown"/>
    <s v="Unknown"/>
    <x v="341"/>
    <s v=" I-BETA"/>
    <n v="1"/>
    <n v="17"/>
    <n v="13"/>
    <n v="4"/>
    <n v="17"/>
    <n v="13"/>
    <n v="4"/>
    <n v="0"/>
    <s v="While taking off the aircraft lost control and crashed offshore."/>
    <n v="0"/>
    <n v="1"/>
    <x v="1"/>
  </r>
  <r>
    <n v="689"/>
    <x v="645"/>
    <x v="32"/>
    <x v="0"/>
    <d v="1899-12-30T09:00:00"/>
    <s v="Rio de Janeiro, Brazil"/>
    <s v="VASP"/>
    <s v="Unknown"/>
    <s v="Sao Paulo - Rio de Janeiro"/>
    <x v="213"/>
    <s v="PP-SPD"/>
    <n v="5459"/>
    <n v="21"/>
    <n v="18"/>
    <n v="3"/>
    <n v="18"/>
    <n v="18"/>
    <n v="3"/>
    <n v="0"/>
    <s v="Struck a Naval Academy building while attemptin to take off in heavy fog.  The plane then broke in two and fell into the harbor. The plane was named &quot;City of Rio de Janiero.&quot;"/>
    <n v="3"/>
    <n v="0.8571428571428571"/>
    <x v="1"/>
  </r>
  <r>
    <n v="690"/>
    <x v="645"/>
    <x v="32"/>
    <x v="0"/>
    <d v="1899-12-30T23:41:00"/>
    <s v="North Sea"/>
    <s v="AB Aerotransport"/>
    <s v="Unknown"/>
    <s v="Aberdeen - Stockholm"/>
    <x v="277"/>
    <s v="SE-BAF"/>
    <n v="2133"/>
    <n v="7"/>
    <n v="3"/>
    <n v="4"/>
    <n v="7"/>
    <n v="3"/>
    <n v="4"/>
    <n v="0"/>
    <s v="Shot down by German military aircraft and crashed 70 km west of Hirsthals, Denmark."/>
    <n v="0"/>
    <n v="1"/>
    <x v="1"/>
  </r>
  <r>
    <n v="691"/>
    <x v="646"/>
    <x v="32"/>
    <x v="0"/>
    <d v="1899-12-30T16:00:00"/>
    <s v="Off Galveston, Texas"/>
    <s v="Military - U.S. Army Air Forces"/>
    <s v="Unknown"/>
    <s v="Unknown"/>
    <x v="393"/>
    <s v="42-4621/42-6031"/>
    <s v="Unknown"/>
    <n v="22"/>
    <n v="0"/>
    <n v="22"/>
    <n v="22"/>
    <n v="0"/>
    <n v="22"/>
    <n v="0"/>
    <s v="Midair collision over the Gulf of Mexico while flying in formation. Eleven killed on each plane."/>
    <n v="0"/>
    <n v="1"/>
    <x v="1"/>
  </r>
  <r>
    <n v="692"/>
    <x v="647"/>
    <x v="32"/>
    <x v="0"/>
    <d v="1899-12-30T08:50:00"/>
    <s v="Near Maxton, North Carolina"/>
    <s v="Military - U.S. Army Air Forces"/>
    <s v="Unknown"/>
    <s v="Maxton - Godman"/>
    <x v="394"/>
    <s v="42-68729"/>
    <n v="11656"/>
    <n v="25"/>
    <n v="21"/>
    <n v="4"/>
    <n v="25"/>
    <n v="21"/>
    <n v="4"/>
    <n v="0"/>
    <s v="Crashed into a wooded area after nearly colliding with a glider being towed by another aircraft.  The evasive maneuver caused the aircraft to stall and crash."/>
    <n v="0"/>
    <n v="1"/>
    <x v="1"/>
  </r>
  <r>
    <n v="693"/>
    <x v="648"/>
    <x v="32"/>
    <x v="0"/>
    <d v="1899-12-30T06:00:00"/>
    <s v="Near Calcutta, India"/>
    <s v="Military - U.S. Army Air Forces"/>
    <s v="Unknown"/>
    <s v="Unknown"/>
    <x v="382"/>
    <s v="42-6471"/>
    <n v="4923"/>
    <n v="20"/>
    <n v="15"/>
    <n v="5"/>
    <n v="20"/>
    <n v="15"/>
    <n v="5"/>
    <n v="0"/>
    <s v="Cashed into trees shortly after taking off."/>
    <n v="0"/>
    <n v="1"/>
    <x v="1"/>
  </r>
  <r>
    <n v="694"/>
    <x v="649"/>
    <x v="32"/>
    <x v="0"/>
    <d v="1899-12-30T23:17:00"/>
    <s v="Near Centerville, Tennessee"/>
    <s v="American Airlines"/>
    <n v="63"/>
    <s v="Nashville - Memphis"/>
    <x v="395"/>
    <s v="NC16088"/>
    <n v="1588"/>
    <n v="15"/>
    <n v="11"/>
    <n v="4"/>
    <n v="15"/>
    <n v="11"/>
    <n v="4"/>
    <n v="0"/>
    <s v="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
    <n v="0"/>
    <n v="1"/>
    <x v="1"/>
  </r>
  <r>
    <n v="695"/>
    <x v="650"/>
    <x v="32"/>
    <x v="0"/>
    <d v="1899-12-30T02:45:00"/>
    <s v="St. Donat, Quebec, Canada"/>
    <s v="Military - Royal Canadian Air Force"/>
    <s v="Unknown"/>
    <s v="Gander - Mont-Joli"/>
    <x v="392"/>
    <n v="3701"/>
    <n v="1031"/>
    <n v="24"/>
    <n v="20"/>
    <n v="4"/>
    <n v="24"/>
    <n v="20"/>
    <n v="4"/>
    <n v="0"/>
    <s v="The plane crashed in a snowstorm, on a cliff near the summit of Black Mountain, 60 miles north of its destination, Montreal. The wreckage was located three years later."/>
    <n v="0"/>
    <n v="1"/>
    <x v="1"/>
  </r>
  <r>
    <n v="696"/>
    <x v="651"/>
    <x v="32"/>
    <x v="0"/>
    <d v="1899-12-30T23:03:00"/>
    <s v="Hallo, Sweden"/>
    <s v="AB Aerotransport"/>
    <s v="Unknown"/>
    <s v="Aberdeen - Stockholm"/>
    <x v="277"/>
    <s v="SE-BAG"/>
    <n v="2132"/>
    <n v="15"/>
    <n v="12"/>
    <n v="3"/>
    <n v="13"/>
    <n v="12"/>
    <n v="3"/>
    <n v="0"/>
    <s v="Shot down by a Ju88, German military aircraft. While attempting to ditch the plane the aircraft hit a cliff."/>
    <n v="2"/>
    <n v="0.8666666666666667"/>
    <x v="1"/>
  </r>
  <r>
    <n v="697"/>
    <x v="651"/>
    <x v="32"/>
    <x v="0"/>
    <d v="1899-12-30T20:20:00"/>
    <s v="Columbus, Georgia"/>
    <s v="Military - U.S. Army Air Forces"/>
    <s v="Unknown"/>
    <s v="Unknown"/>
    <x v="383"/>
    <s v="42-5677"/>
    <n v="7371"/>
    <n v="20"/>
    <n v="15"/>
    <n v="5"/>
    <n v="20"/>
    <n v="15"/>
    <n v="5"/>
    <n v="0"/>
    <s v="Stalled when it was making a descending turn during a parachute exercise."/>
    <n v="0"/>
    <n v="1"/>
    <x v="1"/>
  </r>
  <r>
    <n v="698"/>
    <x v="652"/>
    <x v="32"/>
    <x v="0"/>
    <d v="1899-12-30T22:45:00"/>
    <s v="Eastern Libya"/>
    <s v="British Overseas Airways"/>
    <s v="Unknown"/>
    <s v="Cairo - Djerba - Poole"/>
    <x v="396"/>
    <s v="G-AGIB"/>
    <s v="Unknown"/>
    <n v="19"/>
    <n v="10"/>
    <n v="9"/>
    <n v="19"/>
    <n v="10"/>
    <n v="9"/>
    <n v="0"/>
    <s v="Crashed after an In-flight fire started behind one of the engines."/>
    <n v="0"/>
    <n v="1"/>
    <x v="1"/>
  </r>
  <r>
    <n v="699"/>
    <x v="653"/>
    <x v="32"/>
    <x v="0"/>
    <s v="Unknown"/>
    <s v="Poona, India"/>
    <s v="Military - Indian Air Force"/>
    <s v="Unknown"/>
    <s v="Unknown"/>
    <x v="45"/>
    <s v="Unknown"/>
    <s v="Unknown"/>
    <n v="1"/>
    <s v="NULL"/>
    <s v="NULL"/>
    <n v="1"/>
    <s v="NULL"/>
    <s v="NULL"/>
    <n v="37"/>
    <s v="Crashed into a village."/>
    <n v="0"/>
    <n v="1"/>
    <x v="1"/>
  </r>
  <r>
    <n v="700"/>
    <x v="654"/>
    <x v="32"/>
    <x v="0"/>
    <s v="Unknown"/>
    <s v="Kunming, China"/>
    <s v="China National Aviation Corporation"/>
    <s v="Unknown"/>
    <s v="Unknown"/>
    <x v="382"/>
    <n v="59"/>
    <s v="Unknown"/>
    <n v="3"/>
    <n v="0"/>
    <n v="3"/>
    <n v="2"/>
    <n v="0"/>
    <n v="2"/>
    <n v="0"/>
    <s v="The cargo plane crashed short of the runway in poor weather conditions."/>
    <n v="1"/>
    <n v="0.66666666666666663"/>
    <x v="1"/>
  </r>
  <r>
    <n v="701"/>
    <x v="654"/>
    <x v="32"/>
    <x v="0"/>
    <s v="Unknown"/>
    <s v="Kunming, China"/>
    <s v="China National Aviation Corporation"/>
    <s v="Unknown"/>
    <s v="Unknown"/>
    <x v="368"/>
    <n v="63"/>
    <s v="Unknown"/>
    <n v="3"/>
    <n v="0"/>
    <n v="3"/>
    <n v="3"/>
    <n v="0"/>
    <n v="3"/>
    <n v="0"/>
    <s v="A navigational error caused the cargo plane to strike a mountain."/>
    <n v="0"/>
    <n v="1"/>
    <x v="1"/>
  </r>
  <r>
    <n v="702"/>
    <x v="655"/>
    <x v="32"/>
    <x v="0"/>
    <d v="1899-12-30T04:15:00"/>
    <s v="Port Moresby, New Guinea"/>
    <s v="Qantas"/>
    <s v="Unknown"/>
    <s v="Port Moresby - Townsville,, Queensland, Australia"/>
    <x v="397"/>
    <s v="VH-CAB"/>
    <s v="Unknown"/>
    <n v="15"/>
    <n v="11"/>
    <n v="4"/>
    <n v="15"/>
    <n v="11"/>
    <n v="4"/>
    <n v="0"/>
    <s v="Flew into a hill shortly after talking off from Ward's Strip operated by Qantas for Allied Directorate of Air Transport."/>
    <n v="0"/>
    <n v="1"/>
    <x v="1"/>
  </r>
  <r>
    <n v="703"/>
    <x v="656"/>
    <x v="32"/>
    <x v="0"/>
    <d v="1899-12-30T22:45:00"/>
    <s v="Off Montrose, Scotland"/>
    <s v="British Overseas Airways"/>
    <s v="Unknown"/>
    <s v="Stockholm - Leuchars"/>
    <x v="398"/>
    <s v="G-AGdE"/>
    <n v="2086"/>
    <n v="10"/>
    <n v="7"/>
    <n v="3"/>
    <n v="10"/>
    <n v="7"/>
    <n v="3"/>
    <n v="0"/>
    <s v="Went out of control from cruising altiude and crashed into the sea. Icing."/>
    <n v="0"/>
    <n v="1"/>
    <x v="1"/>
  </r>
  <r>
    <n v="704"/>
    <x v="657"/>
    <x v="32"/>
    <x v="0"/>
    <s v="Unknown"/>
    <s v="Suifu, China"/>
    <s v="China National Aviation Corporation"/>
    <s v="Unknown"/>
    <s v="Unknown"/>
    <x v="368"/>
    <n v="83"/>
    <s v="Unknown"/>
    <n v="3"/>
    <n v="0"/>
    <n v="3"/>
    <n v="3"/>
    <n v="0"/>
    <n v="3"/>
    <n v="0"/>
    <s v="The cargo plane struck a mountain while attempting a go-around."/>
    <n v="0"/>
    <n v="1"/>
    <x v="1"/>
  </r>
  <r>
    <n v="705"/>
    <x v="658"/>
    <x v="32"/>
    <x v="0"/>
    <d v="1899-12-30T09:20:00"/>
    <s v="Canal Creek, Australia"/>
    <s v="Military - U.S. Air Force"/>
    <s v="Unknown"/>
    <s v="Townsville - Rockhampton - Brisbane"/>
    <x v="399"/>
    <s v="43-30742"/>
    <n v="13893"/>
    <n v="31"/>
    <n v="27"/>
    <n v="4"/>
    <n v="31"/>
    <n v="27"/>
    <n v="4"/>
    <n v="0"/>
    <s v="Crashed and exploded while en route."/>
    <n v="0"/>
    <n v="1"/>
    <x v="1"/>
  </r>
  <r>
    <n v="706"/>
    <x v="659"/>
    <x v="32"/>
    <x v="0"/>
    <d v="1899-12-30T15:00:00"/>
    <s v="Lakeside, Utah"/>
    <s v="Military - U.S. Army Air Forces / Military - U.S. Army Air Forces"/>
    <s v="Unknown"/>
    <s v="Wendover Field - Pocatello AAB"/>
    <x v="400"/>
    <s v="42-7183/42-7408"/>
    <s v="Unknown"/>
    <n v="25"/>
    <n v="0"/>
    <n v="25"/>
    <n v="25"/>
    <n v="0"/>
    <n v="25"/>
    <n v="0"/>
    <s v="A midair collision occurred while on a cross-country flight flying in formation. Twelve kiled aboard 4207183 and thirteen aboard 42-7408. Faulty flying technique displayed by the pilot of 42-7183."/>
    <n v="0"/>
    <n v="1"/>
    <x v="1"/>
  </r>
  <r>
    <n v="707"/>
    <x v="660"/>
    <x v="33"/>
    <x v="0"/>
    <d v="1899-12-30T13:45:00"/>
    <s v="Belgrad, Yugoslavia"/>
    <s v="Deutsche Lufthansa"/>
    <s v="Unknown"/>
    <s v="Thessaloniki - Belgrade"/>
    <x v="213"/>
    <s v="D-ADQW"/>
    <n v="640610"/>
    <n v="5"/>
    <n v="3"/>
    <n v="2"/>
    <n v="5"/>
    <n v="3"/>
    <n v="2"/>
    <n v="0"/>
    <s v="While approaching to land the aircraft was too low and hit a hill located 16 km east of the Belgrade-Zemun Airport."/>
    <n v="0"/>
    <n v="1"/>
    <x v="1"/>
  </r>
  <r>
    <n v="708"/>
    <x v="661"/>
    <x v="33"/>
    <x v="0"/>
    <d v="1899-12-30T23:36:00"/>
    <s v="Memphis, Tennessee"/>
    <s v="American Airlines"/>
    <n v="2"/>
    <s v="Little Rock - Memphis"/>
    <x v="277"/>
    <s v="NC21767"/>
    <n v="2166"/>
    <n v="24"/>
    <n v="21"/>
    <n v="3"/>
    <n v="24"/>
    <n v="21"/>
    <n v="3"/>
    <n v="0"/>
    <s v="The aircraft crashed into a river and sank ,18 miles southwest of Memphis, in a snowstorm, while en route from Little Rock. Cause undetermined."/>
    <n v="0"/>
    <n v="1"/>
    <x v="1"/>
  </r>
  <r>
    <n v="709"/>
    <x v="661"/>
    <x v="33"/>
    <x v="0"/>
    <s v="Unknown"/>
    <s v="Near Quelimane, Mozambique"/>
    <s v="DETA"/>
    <s v="Unknown"/>
    <s v="Quelimane - Lourence Marques"/>
    <x v="294"/>
    <s v="CR-AAV"/>
    <s v="Unknown"/>
    <n v="14"/>
    <n v="10"/>
    <n v="4"/>
    <n v="14"/>
    <n v="10"/>
    <n v="4"/>
    <n v="0"/>
    <s v="Crashed and burned while taking off."/>
    <n v="0"/>
    <n v="1"/>
    <x v="1"/>
  </r>
  <r>
    <n v="710"/>
    <x v="662"/>
    <x v="33"/>
    <x v="0"/>
    <s v="Unknown"/>
    <s v="China"/>
    <s v="China National Aviation Corporation"/>
    <s v="Unknown"/>
    <s v="Unknown"/>
    <x v="368"/>
    <n v="75"/>
    <s v="Unknown"/>
    <n v="2"/>
    <n v="0"/>
    <n v="2"/>
    <n v="2"/>
    <n v="0"/>
    <n v="2"/>
    <n v="0"/>
    <s v="The cargo plane flew into a mountain"/>
    <n v="0"/>
    <n v="1"/>
    <x v="1"/>
  </r>
  <r>
    <n v="711"/>
    <x v="663"/>
    <x v="33"/>
    <x v="0"/>
    <d v="1899-12-30T17:10:00"/>
    <s v="Eubeoa, Greece"/>
    <s v="Deutsche Lufthansa"/>
    <s v="Unknown"/>
    <s v="Unknown"/>
    <x v="213"/>
    <s v="D-ABAS"/>
    <n v="6561"/>
    <n v="16"/>
    <n v="13"/>
    <n v="3"/>
    <n v="16"/>
    <n v="13"/>
    <n v="3"/>
    <n v="0"/>
    <s v="After radioing they were returning , the plane went missing and was never found."/>
    <n v="0"/>
    <n v="1"/>
    <x v="1"/>
  </r>
  <r>
    <n v="712"/>
    <x v="664"/>
    <x v="33"/>
    <x v="0"/>
    <s v="Unknown"/>
    <s v="New Guinea"/>
    <s v="Military - U.S. Army"/>
    <s v="Unknown"/>
    <s v="Port Moreaby - Nadzab"/>
    <x v="358"/>
    <s v="Unknown"/>
    <s v="Unknown"/>
    <n v="21"/>
    <s v="NULL"/>
    <s v="NULL"/>
    <n v="21"/>
    <s v="NULL"/>
    <s v="NULL"/>
    <s v="NULL"/>
    <s v="Disappeared while en route on a non-combat mission. Wreckage found 39 years later on 4/30/1983."/>
    <n v="0"/>
    <n v="1"/>
    <x v="1"/>
  </r>
  <r>
    <n v="713"/>
    <x v="665"/>
    <x v="33"/>
    <x v="0"/>
    <d v="1899-12-30T15:48:00"/>
    <s v="Near Nome, Alaska"/>
    <s v="Pan American World Airways"/>
    <s v="Unknown"/>
    <s v="Nome - Fairbanks"/>
    <x v="401"/>
    <s v="NC742N"/>
    <s v="Unknown"/>
    <n v="6"/>
    <n v="3"/>
    <n v="3"/>
    <n v="6"/>
    <n v="3"/>
    <n v="3"/>
    <n v="0"/>
    <s v="Crashed shortly after takeoff in a snow storm. Failure of the pilot to recognize his proximity to the ground due to heavy snow which entirely covered the terrain."/>
    <n v="0"/>
    <n v="1"/>
    <x v="1"/>
  </r>
  <r>
    <n v="714"/>
    <x v="666"/>
    <x v="33"/>
    <x v="0"/>
    <s v="Unknown"/>
    <s v="Belgrad, Yugoslavia"/>
    <s v="Deutsche Lufthansa"/>
    <s v="Unknown"/>
    <s v="Vienna - Belgrade - Sofia - Thessaloniki - Athens"/>
    <x v="213"/>
    <s v="D-AOCA"/>
    <n v="640996"/>
    <n v="7"/>
    <n v="4"/>
    <n v="3"/>
    <n v="5"/>
    <n v="4"/>
    <n v="1"/>
    <n v="0"/>
    <s v="Shot down by allied fighters."/>
    <n v="2"/>
    <n v="0.7142857142857143"/>
    <x v="1"/>
  </r>
  <r>
    <n v="715"/>
    <x v="667"/>
    <x v="33"/>
    <x v="0"/>
    <s v="Unknown"/>
    <s v="Frederikstad, Norway"/>
    <s v="Deutsche Lufthansa"/>
    <s v="Unknown"/>
    <s v="Copenhagen - Oslo"/>
    <x v="277"/>
    <s v="D-AAIG"/>
    <n v="2095"/>
    <n v="20"/>
    <n v="17"/>
    <n v="3"/>
    <n v="9"/>
    <n v="6"/>
    <n v="3"/>
    <n v="0"/>
    <s v="Crashed  50 miles from its destination after a signal flare started an onboard fire causing the plane to ditch."/>
    <n v="11"/>
    <n v="0.45"/>
    <x v="0"/>
  </r>
  <r>
    <n v="716"/>
    <x v="668"/>
    <x v="33"/>
    <x v="0"/>
    <s v="Unknown"/>
    <s v="Montreal, Canada"/>
    <s v="Military - Royal Air Force"/>
    <s v="Unknown"/>
    <s v="Montreal, Canada - European air base"/>
    <x v="356"/>
    <s v="Unknown"/>
    <s v="Unknown"/>
    <n v="16"/>
    <n v="11"/>
    <n v="5"/>
    <n v="16"/>
    <n v="11"/>
    <n v="5"/>
    <n v="0"/>
    <s v="Crashed into a row of houses shortly after taking off from Dorval Airport."/>
    <n v="0"/>
    <n v="1"/>
    <x v="1"/>
  </r>
  <r>
    <n v="717"/>
    <x v="669"/>
    <x v="33"/>
    <x v="0"/>
    <s v="Unknown"/>
    <s v="Between Calcutta to Dinjan, China"/>
    <s v="China National Aviation Corporation"/>
    <s v="Unknown"/>
    <s v="Calcutta - Dinjan"/>
    <x v="368"/>
    <n v="82"/>
    <s v="Unknown"/>
    <n v="12"/>
    <n v="9"/>
    <n v="3"/>
    <n v="12"/>
    <n v="9"/>
    <n v="3"/>
    <n v="0"/>
    <s v="While enroute the crew got lost and crashed into 22,000 foot mountain in Tibet. Bad weather prevented the pilot from getting a bearing on any radio station."/>
    <n v="0"/>
    <n v="1"/>
    <x v="1"/>
  </r>
  <r>
    <n v="718"/>
    <x v="670"/>
    <x v="33"/>
    <x v="0"/>
    <s v="Unknown"/>
    <s v="Off Calcutta, India"/>
    <s v="China National Aviation Corporation"/>
    <s v="Unknown"/>
    <s v="Unknown"/>
    <x v="277"/>
    <s v="Unknown"/>
    <s v="Unknown"/>
    <n v="14"/>
    <s v="NULL"/>
    <s v="NULL"/>
    <n v="14"/>
    <s v="NULL"/>
    <s v="NULL"/>
    <n v="0"/>
    <s v="Crashed at sea in poor weather conditions."/>
    <n v="0"/>
    <n v="1"/>
    <x v="1"/>
  </r>
  <r>
    <n v="719"/>
    <x v="671"/>
    <x v="33"/>
    <x v="0"/>
    <d v="1899-12-30T01:15:00"/>
    <s v="Barneville, France"/>
    <s v="Military - U.S. Army Air Forces"/>
    <s v="Unknown"/>
    <s v="Unknown"/>
    <x v="402"/>
    <s v="42-93095"/>
    <n v="112969"/>
    <n v="22"/>
    <n v="18"/>
    <n v="4"/>
    <n v="22"/>
    <n v="18"/>
    <n v="4"/>
    <n v="0"/>
    <s v="Shot down by anti-aircraft fire during the Normandy invasion."/>
    <n v="0"/>
    <n v="1"/>
    <x v="1"/>
  </r>
  <r>
    <n v="720"/>
    <x v="671"/>
    <x v="33"/>
    <x v="0"/>
    <d v="1899-12-30T02:00:00"/>
    <s v="Flamanville, France"/>
    <s v="Military - U.S. Army Air Forces"/>
    <s v="Unknown"/>
    <s v="Unknown"/>
    <x v="402"/>
    <s v="42-100905"/>
    <n v="19368"/>
    <n v="22"/>
    <n v="17"/>
    <n v="5"/>
    <n v="22"/>
    <n v="17"/>
    <n v="5"/>
    <n v="0"/>
    <s v="Shot down by anti-aircraft fire during the Normandy invasion."/>
    <n v="0"/>
    <n v="1"/>
    <x v="1"/>
  </r>
  <r>
    <n v="721"/>
    <x v="671"/>
    <x v="33"/>
    <x v="0"/>
    <d v="1899-12-30T01:30:00"/>
    <s v="Carentan, France"/>
    <s v="Military - U.S. Army Air Forces"/>
    <s v="Unknown"/>
    <s v="Unknown"/>
    <x v="386"/>
    <s v="42-101035"/>
    <n v="19498"/>
    <n v="22"/>
    <n v="18"/>
    <n v="4"/>
    <n v="22"/>
    <n v="18"/>
    <n v="4"/>
    <n v="0"/>
    <s v="Shot down by anti-aircraft fire during the Normandy invasion."/>
    <n v="0"/>
    <n v="1"/>
    <x v="1"/>
  </r>
  <r>
    <n v="722"/>
    <x v="672"/>
    <x v="33"/>
    <x v="0"/>
    <s v="Unknown"/>
    <s v="Kunming, China"/>
    <s v="China National Aviation Corporation"/>
    <s v="Unknown"/>
    <s v="Dijan - Kunming"/>
    <x v="368"/>
    <n v="85"/>
    <s v="Unknown"/>
    <n v="6"/>
    <n v="0"/>
    <n v="6"/>
    <n v="6"/>
    <n v="0"/>
    <n v="6"/>
    <n v="0"/>
    <s v="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
    <n v="0"/>
    <n v="1"/>
    <x v="1"/>
  </r>
  <r>
    <n v="723"/>
    <x v="673"/>
    <x v="33"/>
    <x v="0"/>
    <s v="Unknown"/>
    <s v="Kweilin, China"/>
    <s v="China National Aviation Corporation"/>
    <s v="Unknown"/>
    <s v="Kunming - Chungking,"/>
    <x v="368"/>
    <n v="71"/>
    <s v="Unknown"/>
    <n v="4"/>
    <n v="1"/>
    <n v="3"/>
    <n v="2"/>
    <n v="1"/>
    <n v="1"/>
    <n v="0"/>
    <s v="Diverted to Kweilin after Chunking was below minimums. After holding over Kweilin for 3 hours, the aircraft ran out of gas, hit mountain and was demolished."/>
    <n v="2"/>
    <n v="0.5"/>
    <x v="0"/>
  </r>
  <r>
    <n v="724"/>
    <x v="674"/>
    <x v="33"/>
    <x v="0"/>
    <s v="Unknown"/>
    <s v="Porto Alegre, Brazil"/>
    <s v="Varig"/>
    <s v="Unknown"/>
    <s v="Unknown"/>
    <x v="403"/>
    <s v="PP-VAG"/>
    <n v="1008"/>
    <n v="10"/>
    <n v="8"/>
    <n v="2"/>
    <n v="10"/>
    <n v="8"/>
    <n v="2"/>
    <n v="0"/>
    <s v="While on approach the aircraft crashed into the river Guiaba"/>
    <n v="0"/>
    <n v="1"/>
    <x v="1"/>
  </r>
  <r>
    <n v="725"/>
    <x v="675"/>
    <x v="33"/>
    <x v="0"/>
    <d v="1899-12-30T16:40:00"/>
    <s v="Portland, Maine"/>
    <s v="Military - U.S. Army"/>
    <s v="Unknown"/>
    <s v="Barksdale - Portland"/>
    <x v="404"/>
    <s v=" 43-22253"/>
    <n v="18400"/>
    <n v="2"/>
    <n v="0"/>
    <n v="2"/>
    <n v="2"/>
    <n v="0"/>
    <n v="2"/>
    <n v="19"/>
    <s v="Smoke and fire was seen coming out of one engine before the aircraft crashed. A wing hit the ground and the plane cartwheeled into the Redbank trailer park."/>
    <n v="0"/>
    <n v="1"/>
    <x v="1"/>
  </r>
  <r>
    <n v="726"/>
    <x v="676"/>
    <x v="33"/>
    <x v="0"/>
    <s v="Unknown"/>
    <s v="Nineteen miles W of Kokoda, Papua New Guinea"/>
    <s v="Military - US Navy"/>
    <s v="Unknown"/>
    <s v="Cairns or Mareeba, Australia - Los Negros Island"/>
    <x v="405"/>
    <n v="39090"/>
    <n v="13859"/>
    <n v="17"/>
    <n v="15"/>
    <n v="2"/>
    <n v="17"/>
    <n v="15"/>
    <n v="2"/>
    <n v="0"/>
    <s v="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
    <n v="0"/>
    <n v="1"/>
    <x v="1"/>
  </r>
  <r>
    <n v="727"/>
    <x v="677"/>
    <x v="33"/>
    <x v="0"/>
    <d v="1899-12-30T03:00:00"/>
    <s v="North Atlantic Ocean"/>
    <s v="Military - U.S. Army Air Forces"/>
    <s v="Unknown"/>
    <s v="England - Long Island, N.Y."/>
    <x v="406"/>
    <s v="42-107470"/>
    <n v="7489"/>
    <n v="26"/>
    <n v="20"/>
    <n v="6"/>
    <n v="26"/>
    <n v="20"/>
    <n v="6"/>
    <n v="0"/>
    <s v="Disappeared while en route from Iceland to Newfoundland."/>
    <n v="0"/>
    <n v="1"/>
    <x v="1"/>
  </r>
  <r>
    <n v="728"/>
    <x v="678"/>
    <x v="33"/>
    <x v="0"/>
    <d v="1899-12-30T16:00:00"/>
    <s v="Port Logan, Scotland"/>
    <s v="Military - U.S. Army Air Forces"/>
    <s v="Unknown"/>
    <s v="Bristol - Preswick"/>
    <x v="407"/>
    <s v="42-93038"/>
    <n v="12905"/>
    <n v="22"/>
    <n v="17"/>
    <n v="5"/>
    <n v="22"/>
    <n v="17"/>
    <n v="5"/>
    <n v="0"/>
    <s v="As the aircraft approached land, it began a climb but was not able to gain sufficient altitude to clear a cloud shrouded cliff."/>
    <n v="0"/>
    <n v="1"/>
    <x v="1"/>
  </r>
  <r>
    <n v="729"/>
    <x v="679"/>
    <x v="33"/>
    <x v="0"/>
    <s v="Unknown"/>
    <s v="Funafuti, Gilbert Islands, Pacific Ocean"/>
    <s v="Pan American Airways"/>
    <s v="Unknown"/>
    <s v="Unknown"/>
    <x v="408"/>
    <n v="7233"/>
    <s v="Unknown"/>
    <n v="24"/>
    <n v="17"/>
    <n v="7"/>
    <n v="22"/>
    <n v="16"/>
    <n v="6"/>
    <n v="0"/>
    <s v="While taking off in the dark, the aircraft's wingtip collided with the jackpole mast of an anchored liberty ship which had slipped anchor and drifted, unlighted, into the seaplane area.  The aircraft then spun out of control, and crashed into the ocean and sank."/>
    <n v="2"/>
    <n v="0.91666666666666663"/>
    <x v="1"/>
  </r>
  <r>
    <n v="730"/>
    <x v="680"/>
    <x v="33"/>
    <x v="0"/>
    <d v="1899-12-30T20:30:00"/>
    <s v="Naper, Nebraska"/>
    <s v="Military - U.S. Army Air Forces"/>
    <s v="Unknown"/>
    <s v="Bruning, NB - Pierre, SD"/>
    <x v="386"/>
    <s v="42-23652"/>
    <n v="9514"/>
    <n v="28"/>
    <n v="24"/>
    <n v="4"/>
    <n v="28"/>
    <n v="24"/>
    <n v="4"/>
    <n v="0"/>
    <s v="Crashed in a severe thunderstorm after possibly being hit by lightning and losing both engines."/>
    <n v="0"/>
    <n v="1"/>
    <x v="1"/>
  </r>
  <r>
    <n v="731"/>
    <x v="681"/>
    <x v="33"/>
    <x v="0"/>
    <d v="1899-12-30T13:20:00"/>
    <s v="Off Antilla, Cuba"/>
    <s v="Pan American World Airways"/>
    <n v="218"/>
    <s v="San Juan - Antilla - Miami"/>
    <x v="285"/>
    <s v="NC823M"/>
    <n v="4201"/>
    <n v="31"/>
    <n v="26"/>
    <n v="5"/>
    <n v="17"/>
    <n v="17"/>
    <n v="0"/>
    <n v="0"/>
    <s v="Crashed during the third attempt to lift from the water and sank into the ocean. Loss of control due to the captain's inexperience in handling the particular type of aircraft. The aircraft was named &quot;Hong Kong Clipper.&quot;"/>
    <n v="14"/>
    <n v="0.54838709677419351"/>
    <x v="0"/>
  </r>
  <r>
    <n v="732"/>
    <x v="682"/>
    <x v="33"/>
    <x v="0"/>
    <d v="1899-12-30T18:20:00"/>
    <s v="Blythburgh, England"/>
    <s v="Military - U.S. Navy"/>
    <s v="-"/>
    <s v="Unknown"/>
    <x v="409"/>
    <n v="32271"/>
    <s v="Unknown"/>
    <n v="2"/>
    <n v="0"/>
    <n v="2"/>
    <n v="2"/>
    <n v="0"/>
    <n v="2"/>
    <n v="0"/>
    <s v="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n v="0"/>
    <n v="1"/>
    <x v="1"/>
  </r>
  <r>
    <n v="733"/>
    <x v="683"/>
    <x v="33"/>
    <x v="0"/>
    <d v="1899-12-30T10:45:00"/>
    <s v="Freckelton, England"/>
    <s v="Military - U.S. Air Force"/>
    <s v="Unknown"/>
    <s v="Unknown"/>
    <x v="410"/>
    <s v="42-50291"/>
    <s v="Unknown"/>
    <n v="3"/>
    <n v="0"/>
    <n v="3"/>
    <n v="3"/>
    <n v="0"/>
    <n v="3"/>
    <n v="58"/>
    <s v="The bomber crashed into a school and a cafe while attempting to land at Warton Air Depot in poor weather. The crash occurred during a thunderstorm with heavy rain and winds. Windshear."/>
    <n v="0"/>
    <n v="1"/>
    <x v="1"/>
  </r>
  <r>
    <n v="734"/>
    <x v="684"/>
    <x v="33"/>
    <x v="0"/>
    <d v="1899-12-30T01:00:00"/>
    <s v="Preswick, Scotland"/>
    <s v="Military - U.S. Army Air Forces"/>
    <s v="Unknown"/>
    <s v="Boston - Gander - Keflavik - Prestwick"/>
    <x v="411"/>
    <s v="42-72171"/>
    <n v="10276"/>
    <n v="20"/>
    <n v="14"/>
    <n v="6"/>
    <n v="20"/>
    <n v="14"/>
    <n v="6"/>
    <n v="5"/>
    <s v="Crashed into a roof of a residence in poor visiblility while attemping to land after a trans-Atlantic flilght."/>
    <n v="0"/>
    <n v="1"/>
    <x v="1"/>
  </r>
  <r>
    <n v="735"/>
    <x v="685"/>
    <x v="33"/>
    <x v="0"/>
    <d v="1899-12-30T00:02:00"/>
    <s v="Near LidkÃ¶ping, VÃ¤stergÃ¶tland, Swden"/>
    <s v="British Overseas Airways"/>
    <s v="Unknown"/>
    <s v="Stockholm - Leuchars"/>
    <x v="412"/>
    <s v="G-AGIH"/>
    <n v="2491"/>
    <n v="15"/>
    <n v="12"/>
    <n v="3"/>
    <n v="11"/>
    <n v="8"/>
    <n v="3"/>
    <n v="0"/>
    <s v="While cruising at night, the aircraft crashed into the slopes of Mt. Kinnekulle after diverting towards Gothenburg due to radio problems."/>
    <n v="4"/>
    <n v="0.73333333333333328"/>
    <x v="1"/>
  </r>
  <r>
    <n v="736"/>
    <x v="686"/>
    <x v="33"/>
    <x v="0"/>
    <d v="1899-12-30T00:00:00"/>
    <s v="Sao Paulo, Brazil"/>
    <s v="Panair do Brasil"/>
    <s v="Unknown"/>
    <s v="Rio de Janeiro - Sao Paulo"/>
    <x v="345"/>
    <s v="PP-PBI"/>
    <n v="2114"/>
    <n v="18"/>
    <n v="14"/>
    <n v="4"/>
    <n v="18"/>
    <n v="14"/>
    <n v="4"/>
    <n v="0"/>
    <s v="Crashed in fog, short of the runway, while attempting to land at Congonhas Airport."/>
    <n v="0"/>
    <n v="1"/>
    <x v="1"/>
  </r>
  <r>
    <n v="737"/>
    <x v="687"/>
    <x v="33"/>
    <x v="0"/>
    <s v="Unknown"/>
    <s v="Belgrad, Yugoslavia"/>
    <s v="Deutsche Lufthansa"/>
    <s v="Unknown"/>
    <s v="Athens - Sofia - Belgrade - Vienna"/>
    <x v="413"/>
    <s v="D-AUAW"/>
    <n v="641039"/>
    <n v="5"/>
    <n v="2"/>
    <n v="3"/>
    <n v="5"/>
    <n v="2"/>
    <n v="3"/>
    <n v="0"/>
    <s v="Shot down by allied fighters."/>
    <n v="0"/>
    <n v="1"/>
    <x v="1"/>
  </r>
  <r>
    <n v="738"/>
    <x v="688"/>
    <x v="33"/>
    <x v="0"/>
    <s v="Unknown"/>
    <s v="Near Mossman, Queensland, Australia"/>
    <s v="Military - Royal Netherlands East Indies Air Force"/>
    <s v="Unknown"/>
    <s v="Merauke -- Cairns"/>
    <x v="414"/>
    <s v="VH-RDK"/>
    <n v="12880"/>
    <n v="20"/>
    <n v="16"/>
    <n v="4"/>
    <n v="20"/>
    <n v="16"/>
    <n v="4"/>
    <n v="0"/>
    <s v="The plane went missing while en route from Merauke to Cairns. The last radio contact was 15 minutes before ETA.  A scientific expedition found the wreckage in January 1989, 65 km northwest from Cairns at a height of 1,200 meters."/>
    <n v="0"/>
    <n v="1"/>
    <x v="1"/>
  </r>
  <r>
    <n v="739"/>
    <x v="689"/>
    <x v="33"/>
    <x v="0"/>
    <d v="1899-12-30T21:20:00"/>
    <s v="Copeland, Kansas"/>
    <s v="Military - U.S. Army"/>
    <s v="Unknown"/>
    <s v="Unknown"/>
    <x v="358"/>
    <s v="Unknown"/>
    <s v="Unknown"/>
    <n v="13"/>
    <n v="0"/>
    <n v="13"/>
    <n v="13"/>
    <n v="0"/>
    <n v="13"/>
    <n v="2"/>
    <s v="The bomber crashed into a farmhouse."/>
    <n v="0"/>
    <n v="1"/>
    <x v="1"/>
  </r>
  <r>
    <n v="740"/>
    <x v="690"/>
    <x v="33"/>
    <x v="0"/>
    <d v="1899-12-30T07:42:00"/>
    <s v="Alaska"/>
    <s v="U. S. Air Force"/>
    <s v="Unknown"/>
    <s v="Elmindorf AFB, Anchorage - Ladd Field, Fairbanks"/>
    <x v="415"/>
    <s v="43-15738"/>
    <n v="20204"/>
    <n v="19"/>
    <n v="16"/>
    <n v="3"/>
    <n v="19"/>
    <n v="16"/>
    <n v="3"/>
    <n v="0"/>
    <s v="Struck the side of a mountain while in full flight. Cause unknown but weather conditions suspected."/>
    <n v="0"/>
    <n v="1"/>
    <x v="1"/>
  </r>
  <r>
    <n v="741"/>
    <x v="691"/>
    <x v="33"/>
    <x v="0"/>
    <s v="Unknown"/>
    <s v="Rio Doce, Brazil"/>
    <s v="Panair do Brasil"/>
    <s v="Unknown"/>
    <s v="Rio de Janeiro - Belem"/>
    <x v="345"/>
    <s v="PP-PBH"/>
    <n v="2113"/>
    <n v="17"/>
    <n v="13"/>
    <n v="4"/>
    <n v="17"/>
    <n v="13"/>
    <n v="4"/>
    <n v="0"/>
    <s v="While en route, the right engine failed, forcing the crew to reduce their altitude in an attempt to make an emergency landing. Eventually, the aircraft went out of control and crashed."/>
    <n v="0"/>
    <n v="1"/>
    <x v="1"/>
  </r>
  <r>
    <n v="742"/>
    <x v="692"/>
    <x v="33"/>
    <x v="0"/>
    <d v="1899-12-30T20:30:00"/>
    <s v="Near Dijon, France"/>
    <s v="Deutsche Lufthansa"/>
    <s v="Unknown"/>
    <s v="Stuttgart - Barcelona"/>
    <x v="416"/>
    <s v="D-AMHL"/>
    <n v="200021"/>
    <n v="9"/>
    <n v="5"/>
    <n v="4"/>
    <n v="9"/>
    <n v="5"/>
    <n v="4"/>
    <n v="0"/>
    <s v="Missing on a flight from France to Spain. Shot down by an American Bristol Beau allied night fighter."/>
    <n v="0"/>
    <n v="1"/>
    <x v="1"/>
  </r>
  <r>
    <n v="743"/>
    <x v="693"/>
    <x v="33"/>
    <x v="0"/>
    <s v="Unknown"/>
    <s v="Near Sadiya, India"/>
    <s v="China National Aviation Corporation"/>
    <s v="Unknown"/>
    <s v="Dinjan - Suifu"/>
    <x v="368"/>
    <n v="101"/>
    <s v="Unknown"/>
    <n v="3"/>
    <n v="0"/>
    <n v="3"/>
    <n v="3"/>
    <n v="0"/>
    <n v="3"/>
    <n v="0"/>
    <s v="Both wing of the cargo plane separated from the fuselage after the aircraft penetrated a thunderstorm."/>
    <n v="0"/>
    <n v="1"/>
    <x v="1"/>
  </r>
  <r>
    <n v="744"/>
    <x v="694"/>
    <x v="33"/>
    <x v="0"/>
    <s v="Unknown"/>
    <s v="Bosnia"/>
    <s v="Deutsche Lufthansa"/>
    <s v="Unknown"/>
    <s v="Unknown"/>
    <x v="213"/>
    <s v="D-AUSS"/>
    <n v="641382"/>
    <n v="7"/>
    <n v="4"/>
    <n v="3"/>
    <n v="7"/>
    <n v="4"/>
    <n v="3"/>
    <n v="0"/>
    <s v="No data available"/>
    <n v="0"/>
    <n v="1"/>
    <x v="1"/>
  </r>
  <r>
    <n v="745"/>
    <x v="695"/>
    <x v="33"/>
    <x v="0"/>
    <s v="Unknown"/>
    <s v="Sydney, Australia"/>
    <s v="Qantas"/>
    <s v="Unknown"/>
    <s v="Unknown"/>
    <x v="270"/>
    <s v="VH-ABB"/>
    <s v="S-877"/>
    <n v="30"/>
    <s v="NULL"/>
    <s v="NULL"/>
    <n v="1"/>
    <s v="NULL"/>
    <s v="NULL"/>
    <n v="0"/>
    <s v="On final approach with one engine shut-down, stalled 10 ft above the water and hull ruptured on impact."/>
    <n v="29"/>
    <n v="3.3333333333333333E-2"/>
    <x v="2"/>
  </r>
  <r>
    <n v="746"/>
    <x v="695"/>
    <x v="33"/>
    <x v="0"/>
    <d v="1899-12-30T07:30:00"/>
    <s v="Sydney, Australia"/>
    <s v="Qantas"/>
    <s v="Unknown"/>
    <s v="Sydney - Townsville"/>
    <x v="417"/>
    <s v="VH-ABB"/>
    <s v="S-877"/>
    <n v="29"/>
    <n v="22"/>
    <n v="7"/>
    <n v="1"/>
    <n v="1"/>
    <n v="0"/>
    <n v="0"/>
    <s v="While landing on the water the plane broke up and sank. One passenger drowned."/>
    <n v="28"/>
    <n v="3.4482758620689655E-2"/>
    <x v="2"/>
  </r>
  <r>
    <n v="747"/>
    <x v="696"/>
    <x v="33"/>
    <x v="0"/>
    <d v="1899-12-30T20:25:00"/>
    <s v="Telemark, Norway"/>
    <s v="Deutsche Lufthansa"/>
    <s v="Unknown"/>
    <s v="Frankfurt - Berlin - Hamburg - Copenhagen - Oslo"/>
    <x v="213"/>
    <s v="D-ADQV"/>
    <n v="640608"/>
    <n v="15"/>
    <n v="12"/>
    <n v="3"/>
    <n v="15"/>
    <n v="12"/>
    <n v="3"/>
    <n v="0"/>
    <s v="Crashed into Mt Skorvefjell in poor weather conditions."/>
    <n v="0"/>
    <n v="1"/>
    <x v="1"/>
  </r>
  <r>
    <n v="748"/>
    <x v="697"/>
    <x v="33"/>
    <x v="0"/>
    <d v="1899-12-30T07:40:00"/>
    <s v=" Komarom,, Hungary"/>
    <s v="Deutsche Lufthansa"/>
    <s v="Unknown"/>
    <s v="Unknown"/>
    <x v="213"/>
    <s v="D-ASHE"/>
    <n v="640601"/>
    <n v="9"/>
    <n v="6"/>
    <n v="3"/>
    <n v="1"/>
    <n v="1"/>
    <n v="0"/>
    <n v="0"/>
    <s v="Shot down by British Mosquito fighters."/>
    <n v="8"/>
    <n v="0.1111111111111111"/>
    <x v="2"/>
  </r>
  <r>
    <n v="749"/>
    <x v="698"/>
    <x v="33"/>
    <x v="0"/>
    <d v="1899-12-30T15:40:00"/>
    <s v="Birkenhead, England"/>
    <s v="Military - U.S. Army Air Forces"/>
    <s v="Unknown"/>
    <s v="Liverpool - New York"/>
    <x v="418"/>
    <s v="42-50347"/>
    <s v="Unknown"/>
    <n v="24"/>
    <n v="19"/>
    <n v="5"/>
    <n v="24"/>
    <n v="19"/>
    <n v="5"/>
    <n v="0"/>
    <s v="Broke-up in flight either due to an explosion or catastrophic structural failure of the aircraft."/>
    <n v="0"/>
    <n v="1"/>
    <x v="1"/>
  </r>
  <r>
    <n v="750"/>
    <x v="699"/>
    <x v="33"/>
    <x v="0"/>
    <d v="1899-12-30T17:15:00"/>
    <s v="Hanford, California"/>
    <s v="Trans Continental and Western Air"/>
    <n v="8"/>
    <s v="San Francisco - New York City"/>
    <x v="277"/>
    <s v="NC28310"/>
    <n v="2251"/>
    <n v="24"/>
    <n v="21"/>
    <n v="3"/>
    <n v="24"/>
    <n v="21"/>
    <n v="3"/>
    <n v="0"/>
    <s v="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
    <n v="0"/>
    <n v="1"/>
    <x v="1"/>
  </r>
  <r>
    <n v="751"/>
    <x v="700"/>
    <x v="33"/>
    <x v="0"/>
    <s v="Unknown"/>
    <s v="Jacksonville, Florida"/>
    <s v="Military - US Navy"/>
    <s v="Unknown"/>
    <s v="Unknown"/>
    <x v="387"/>
    <n v="39063"/>
    <n v="9941"/>
    <n v="17"/>
    <n v="14"/>
    <n v="3"/>
    <n v="17"/>
    <n v="14"/>
    <n v="3"/>
    <n v="0"/>
    <s v="Colllided with a Navy Goodyear FG-1A Corsair airship."/>
    <n v="0"/>
    <n v="1"/>
    <x v="1"/>
  </r>
  <r>
    <n v="752"/>
    <x v="701"/>
    <x v="33"/>
    <x v="0"/>
    <s v="Unknown"/>
    <s v="Seljord, Norway"/>
    <s v="Military - U.S. Army Air Corps"/>
    <s v="Unknown"/>
    <s v="Unknown"/>
    <x v="45"/>
    <s v="42-52196"/>
    <s v="Unknown"/>
    <s v="NULL"/>
    <s v="NULL"/>
    <s v="NULL"/>
    <s v="NULL"/>
    <s v="NULL"/>
    <s v="NULL"/>
    <s v="NULL"/>
    <s v="No data available"/>
    <s v="NULL"/>
    <n v="0"/>
    <x v="2"/>
  </r>
  <r>
    <n v="753"/>
    <x v="702"/>
    <x v="33"/>
    <x v="0"/>
    <s v="Unknown"/>
    <s v="Near Kumming, Yunan, China"/>
    <s v="CATC"/>
    <s v="Unknown"/>
    <s v="Unknown"/>
    <x v="354"/>
    <s v="Unknown"/>
    <s v="Unknown"/>
    <n v="20"/>
    <n v="17"/>
    <n v="3"/>
    <n v="20"/>
    <n v="17"/>
    <n v="3"/>
    <n v="0"/>
    <s v="Crashed while attempting to land."/>
    <n v="0"/>
    <n v="1"/>
    <x v="1"/>
  </r>
  <r>
    <n v="754"/>
    <x v="703"/>
    <x v="33"/>
    <x v="0"/>
    <d v="1899-12-30T15:10:00"/>
    <s v="Lewes, England"/>
    <s v="Military - U.S. Army Air Forces"/>
    <s v="Unknown"/>
    <s v="Chateaudun - Greenham Common"/>
    <x v="386"/>
    <s v="43-15046"/>
    <n v="19512"/>
    <n v="30"/>
    <n v="25"/>
    <n v="5"/>
    <n v="25"/>
    <n v="20"/>
    <n v="5"/>
    <n v="0"/>
    <s v="Flying in low overcast, the aircraft struck a hill, exploded and burned."/>
    <n v="5"/>
    <n v="0.83333333333333337"/>
    <x v="1"/>
  </r>
  <r>
    <n v="755"/>
    <x v="704"/>
    <x v="33"/>
    <x v="0"/>
    <s v="Unknown"/>
    <s v="Nairobi, Kenya"/>
    <s v="BOAC"/>
    <s v="Unknown"/>
    <s v="Cairo - Juba - Nairobi - Salisbury"/>
    <x v="345"/>
    <s v="G-AGBW"/>
    <s v="Unknown"/>
    <n v="11"/>
    <n v="7"/>
    <n v="4"/>
    <n v="11"/>
    <n v="7"/>
    <n v="4"/>
    <n v="0"/>
    <s v="Crashed in the Aberdare Mountains, 50 miles from it's destination after entering a thunderstorm. The wreckage was not located for a month."/>
    <n v="0"/>
    <n v="1"/>
    <x v="1"/>
  </r>
  <r>
    <n v="756"/>
    <x v="704"/>
    <x v="33"/>
    <x v="0"/>
    <d v="1899-12-30T15:00:00"/>
    <s v="Tegucigalpa, Nicaragua"/>
    <s v="TACA"/>
    <s v="Unknown"/>
    <s v="Near Tegucigalpa - San Pedro Sula"/>
    <x v="108"/>
    <s v="XH-TAN"/>
    <s v="Unknown"/>
    <n v="16"/>
    <n v="14"/>
    <n v="2"/>
    <n v="16"/>
    <n v="14"/>
    <n v="2"/>
    <n v="0"/>
    <s v="Crashed while en route. Failure of a wing probably having been weakened by viabration turbulence and constant operation on rough fields."/>
    <n v="0"/>
    <n v="1"/>
    <x v="1"/>
  </r>
  <r>
    <n v="757"/>
    <x v="704"/>
    <x v="33"/>
    <x v="0"/>
    <d v="1899-12-30T10:25:00"/>
    <s v="Off Falsterbo, Sweden"/>
    <s v="Deutsche Lufthansa"/>
    <s v="Unknown"/>
    <s v="Stockholm, Sweden - Berlin Germany"/>
    <x v="416"/>
    <s v="D-ARHW"/>
    <n v="2994"/>
    <n v="10"/>
    <n v="6"/>
    <n v="4"/>
    <n v="10"/>
    <n v="6"/>
    <n v="4"/>
    <n v="0"/>
    <s v="Shot down by a German patrol boat."/>
    <n v="0"/>
    <n v="1"/>
    <x v="1"/>
  </r>
  <r>
    <n v="758"/>
    <x v="705"/>
    <x v="33"/>
    <x v="0"/>
    <s v="Unknown"/>
    <s v="Dinjan, China"/>
    <s v="China National Aviation Corporation"/>
    <s v="Unknown"/>
    <s v="Unknown"/>
    <x v="368"/>
    <n v="56"/>
    <s v="Unknown"/>
    <n v="3"/>
    <n v="0"/>
    <n v="3"/>
    <n v="3"/>
    <n v="0"/>
    <n v="3"/>
    <n v="0"/>
    <s v="The cargo plane flew into Digboi Mountain after losing both engines."/>
    <n v="0"/>
    <n v="1"/>
    <x v="1"/>
  </r>
  <r>
    <n v="759"/>
    <x v="706"/>
    <x v="33"/>
    <x v="0"/>
    <d v="1899-12-30T00:54:00"/>
    <s v="Van Nuys, California"/>
    <s v="Trans Continental and Western Air"/>
    <n v="13"/>
    <s v="San Francisco - Burbank - New York City"/>
    <x v="277"/>
    <s v="NC17322"/>
    <n v="1965"/>
    <n v="17"/>
    <n v="14"/>
    <n v="3"/>
    <n v="9"/>
    <n v="6"/>
    <n v="3"/>
    <n v="0"/>
    <s v="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
    <n v="8"/>
    <n v="0.52941176470588236"/>
    <x v="0"/>
  </r>
  <r>
    <n v="760"/>
    <x v="707"/>
    <x v="33"/>
    <x v="0"/>
    <s v="Unknown"/>
    <s v="Atlantic Ocean"/>
    <s v="Trans-Canada Air Lines"/>
    <s v="Unknown"/>
    <s v="Unknown"/>
    <x v="419"/>
    <s v="CF-CMU"/>
    <s v="Unknown"/>
    <n v="5"/>
    <s v="NULL"/>
    <s v="NULL"/>
    <n v="5"/>
    <s v="NULL"/>
    <s v="NULL"/>
    <n v="0"/>
    <s v="No data available"/>
    <n v="0"/>
    <n v="1"/>
    <x v="1"/>
  </r>
  <r>
    <n v="761"/>
    <x v="708"/>
    <x v="33"/>
    <x v="0"/>
    <d v="1899-12-30T15:15:00"/>
    <s v=" Orlivka, Ukraine"/>
    <s v="Aeroflot"/>
    <s v="Unknown"/>
    <s v="Chisinau - Kiev - Moscow"/>
    <x v="420"/>
    <s v="CCCP-L4161"/>
    <n v="1849106"/>
    <n v="16"/>
    <n v="11"/>
    <n v="5"/>
    <n v="16"/>
    <n v="11"/>
    <n v="5"/>
    <n v="0"/>
    <s v="Crashed in a revine in fog. Wrong decision on part of the crew to reduce their altitude and flying in minima weather conditions."/>
    <n v="0"/>
    <n v="1"/>
    <x v="1"/>
  </r>
  <r>
    <n v="762"/>
    <x v="709"/>
    <x v="33"/>
    <x v="0"/>
    <d v="1899-12-30T14:00:00"/>
    <s v="English Channel"/>
    <s v="Military - U.S. Army Air Forces"/>
    <s v="Unknown"/>
    <s v="Twinwood, England - Villacoublay, France"/>
    <x v="421"/>
    <s v="44-70286"/>
    <n v="550"/>
    <n v="3"/>
    <n v="2"/>
    <n v="1"/>
    <n v="3"/>
    <n v="2"/>
    <n v="1"/>
    <n v="0"/>
    <s v="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
    <n v="0"/>
    <n v="1"/>
    <x v="1"/>
  </r>
  <r>
    <n v="763"/>
    <x v="710"/>
    <x v="34"/>
    <x v="0"/>
    <s v="Unknown"/>
    <s v="Near Dinjan, India"/>
    <s v="China National Aviation Corporation"/>
    <s v="Unknown"/>
    <s v="Kunming - Tengchung"/>
    <x v="368"/>
    <n v="77"/>
    <s v="Unknown"/>
    <n v="4"/>
    <n v="0"/>
    <n v="4"/>
    <n v="4"/>
    <n v="0"/>
    <n v="4"/>
    <n v="0"/>
    <s v="The cargo plane crashed in strong winds"/>
    <n v="0"/>
    <n v="1"/>
    <x v="1"/>
  </r>
  <r>
    <n v="764"/>
    <x v="711"/>
    <x v="34"/>
    <x v="0"/>
    <d v="1899-12-30T21:16:00"/>
    <s v="Port of Spain, Trinidad"/>
    <s v="Pan American World Airways"/>
    <n v="161"/>
    <s v="Miami - Leopoldville"/>
    <x v="302"/>
    <s v="NC14716"/>
    <n v="558"/>
    <n v="30"/>
    <s v="NULL"/>
    <s v="NULL"/>
    <n v="23"/>
    <s v="NULL"/>
    <s v="NULL"/>
    <n v="0"/>
    <s v="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
    <n v="7"/>
    <n v="0.76666666666666672"/>
    <x v="1"/>
  </r>
  <r>
    <n v="765"/>
    <x v="712"/>
    <x v="34"/>
    <x v="0"/>
    <d v="1899-12-30T04:10:00"/>
    <s v="Burbank, California"/>
    <s v="American Airlines"/>
    <n v="6001"/>
    <s v="New York City - Juarez, Mexico - Burbank"/>
    <x v="277"/>
    <s v="NC25684"/>
    <n v="2215"/>
    <n v="24"/>
    <n v="21"/>
    <n v="3"/>
    <n v="24"/>
    <n v="21"/>
    <n v="3"/>
    <n v="0"/>
    <s v="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
    <n v="0"/>
    <n v="1"/>
    <x v="1"/>
  </r>
  <r>
    <n v="766"/>
    <x v="713"/>
    <x v="34"/>
    <x v="0"/>
    <s v="Unknown"/>
    <s v="China"/>
    <s v="China National Aviation Corporation"/>
    <s v="Unknown"/>
    <s v="Unknown"/>
    <x v="368"/>
    <n v="70"/>
    <s v="Unknown"/>
    <n v="6"/>
    <n v="0"/>
    <n v="6"/>
    <n v="4"/>
    <n v="0"/>
    <n v="4"/>
    <n v="0"/>
    <s v="The cargo plane struck a mountain."/>
    <n v="2"/>
    <n v="0.66666666666666663"/>
    <x v="1"/>
  </r>
  <r>
    <n v="767"/>
    <x v="714"/>
    <x v="34"/>
    <x v="0"/>
    <s v="Unknown"/>
    <s v="Near Kunming, China"/>
    <s v="China National Aviation Corporation"/>
    <s v="Unknown"/>
    <s v="Chongqing - Kunming"/>
    <x v="368"/>
    <s v="Unknown"/>
    <s v="Unknown"/>
    <n v="3"/>
    <n v="0"/>
    <n v="3"/>
    <n v="3"/>
    <n v="0"/>
    <n v="3"/>
    <n v="0"/>
    <s v="No data available"/>
    <n v="0"/>
    <n v="1"/>
    <x v="1"/>
  </r>
  <r>
    <n v="768"/>
    <x v="715"/>
    <x v="34"/>
    <x v="0"/>
    <s v="Unknown"/>
    <s v="Timor, Indonesia"/>
    <s v="Military - Royal Australian Air Force"/>
    <s v="Unknown"/>
    <s v="Unknown"/>
    <x v="356"/>
    <s v="A72-70"/>
    <s v="Unknown"/>
    <n v="11"/>
    <s v="NULL"/>
    <s v="NULL"/>
    <n v="11"/>
    <s v="NULL"/>
    <s v="NULL"/>
    <n v="0"/>
    <s v="No data available"/>
    <n v="0"/>
    <n v="1"/>
    <x v="1"/>
  </r>
  <r>
    <n v="769"/>
    <x v="716"/>
    <x v="34"/>
    <x v="0"/>
    <d v="1899-12-30T08:25:00"/>
    <s v="Redesdale, Australia"/>
    <s v="Australian National Airways"/>
    <s v="Unknown"/>
    <s v="Melbourne - Kerang - Mildura - Broken Hill"/>
    <x v="229"/>
    <s v="VH-UYY"/>
    <n v="9130"/>
    <n v="10"/>
    <n v="8"/>
    <n v="2"/>
    <n v="10"/>
    <n v="8"/>
    <n v="2"/>
    <n v="0"/>
    <s v="Crashed while en route from Melbourne to Broken Hill. Believed caused by metal fatigue in the outer port wing which broke off during severe turbulence."/>
    <n v="0"/>
    <n v="1"/>
    <x v="1"/>
  </r>
  <r>
    <n v="770"/>
    <x v="717"/>
    <x v="34"/>
    <x v="0"/>
    <d v="1899-12-30T10:15:00"/>
    <s v="Near Montieri, Italy"/>
    <s v="Military - U.S. Army Air Forces"/>
    <s v="Unknown"/>
    <s v="Florence - Rome"/>
    <x v="383"/>
    <s v="41-18603"/>
    <n v="4728"/>
    <n v="26"/>
    <n v="22"/>
    <n v="4"/>
    <n v="23"/>
    <n v="21"/>
    <n v="2"/>
    <n v="0"/>
    <s v="Crashed into a mountain after encountering a fog bank and not climbing in sufficient time to avoid the terrain."/>
    <n v="3"/>
    <n v="0.88461538461538458"/>
    <x v="1"/>
  </r>
  <r>
    <n v="771"/>
    <x v="718"/>
    <x v="34"/>
    <x v="0"/>
    <d v="1899-12-30T10:05:00"/>
    <s v="Nunters Burgh, England"/>
    <s v="Military -Royal Air Force"/>
    <s v="Unknown"/>
    <s v="Thorney Island - Amiens"/>
    <x v="422"/>
    <s v="KG630"/>
    <n v="13390"/>
    <n v="23"/>
    <n v="19"/>
    <n v="4"/>
    <n v="23"/>
    <n v="19"/>
    <n v="4"/>
    <n v="0"/>
    <s v="Struck a mountain while flying in low clouds and poor visibility."/>
    <n v="0"/>
    <n v="1"/>
    <x v="1"/>
  </r>
  <r>
    <n v="772"/>
    <x v="719"/>
    <x v="34"/>
    <x v="0"/>
    <d v="1899-12-30T06:30:00"/>
    <s v="Off Oakland, California"/>
    <s v="Military - U.S. Navy"/>
    <s v="Unknown"/>
    <s v="Unknown"/>
    <x v="423"/>
    <n v="50765"/>
    <s v="14848/26293"/>
    <n v="24"/>
    <n v="21"/>
    <n v="3"/>
    <n v="24"/>
    <n v="21"/>
    <n v="3"/>
    <n v="0"/>
    <s v="Crashed into San Francisco bay shortly after taking off. The right wing struck to water as the plane made a wide turn. Malfunction of the gyro."/>
    <n v="0"/>
    <n v="1"/>
    <x v="1"/>
  </r>
  <r>
    <n v="773"/>
    <x v="720"/>
    <x v="34"/>
    <x v="0"/>
    <s v="Unknown"/>
    <s v="Lagoa Santa, Brazil"/>
    <s v="Navegacao Aerea Brasileira"/>
    <s v="Unknown"/>
    <s v="Unknown"/>
    <x v="367"/>
    <s v="PP-NAE"/>
    <n v="2149"/>
    <n v="11"/>
    <n v="7"/>
    <n v="4"/>
    <n v="11"/>
    <n v="7"/>
    <n v="4"/>
    <n v="0"/>
    <s v="Crashed while en route."/>
    <n v="0"/>
    <n v="1"/>
    <x v="1"/>
  </r>
  <r>
    <n v="774"/>
    <x v="721"/>
    <x v="34"/>
    <x v="0"/>
    <s v="Unknown"/>
    <s v="Snezka mountains, Poland"/>
    <s v="Military - German Army"/>
    <s v="Unknown"/>
    <s v="Unknown"/>
    <x v="424"/>
    <s v=" 4V+DR"/>
    <n v="6820"/>
    <n v="8"/>
    <n v="8"/>
    <n v="0"/>
    <n v="8"/>
    <n v="8"/>
    <n v="0"/>
    <n v="0"/>
    <s v="Crashed in the Snezka mountains during an ice storm."/>
    <n v="0"/>
    <n v="1"/>
    <x v="1"/>
  </r>
  <r>
    <n v="775"/>
    <x v="721"/>
    <x v="34"/>
    <x v="0"/>
    <s v="Unknown"/>
    <s v="Casablanca, Morocco"/>
    <s v="Military - United States Army Air Force"/>
    <s v="Unknown"/>
    <s v="Unknown"/>
    <x v="425"/>
    <s v="42-107377"/>
    <n v="27064"/>
    <n v="30"/>
    <n v="26"/>
    <n v="4"/>
    <n v="13"/>
    <n v="13"/>
    <n v="0"/>
    <n v="0"/>
    <s v="No data available"/>
    <n v="17"/>
    <n v="0.43333333333333335"/>
    <x v="0"/>
  </r>
  <r>
    <n v="776"/>
    <x v="721"/>
    <x v="34"/>
    <x v="0"/>
    <d v="1899-12-30T02:25:00"/>
    <s v="Marion, Virginia"/>
    <s v="American Airlines"/>
    <n v="9"/>
    <s v="New York City - Los Angeles"/>
    <x v="277"/>
    <s v="NC18142"/>
    <n v="2138"/>
    <n v="22"/>
    <n v="19"/>
    <n v="3"/>
    <n v="17"/>
    <n v="15"/>
    <n v="2"/>
    <n v="0"/>
    <s v="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
    <n v="5"/>
    <n v="0.77272727272727271"/>
    <x v="1"/>
  </r>
  <r>
    <n v="777"/>
    <x v="722"/>
    <x v="34"/>
    <x v="0"/>
    <s v="Unknown"/>
    <s v="Coral Sea, off Australia"/>
    <s v="Military - U.S. Air Force"/>
    <s v="Unknown"/>
    <s v="Cooktown - Finschafen"/>
    <x v="415"/>
    <s v="43-16011"/>
    <n v="20477"/>
    <n v="24"/>
    <n v="20"/>
    <n v="4"/>
    <n v="24"/>
    <n v="20"/>
    <n v="4"/>
    <n v="0"/>
    <s v="Disappeared en route."/>
    <n v="0"/>
    <n v="1"/>
    <x v="1"/>
  </r>
  <r>
    <n v="778"/>
    <x v="723"/>
    <x v="34"/>
    <x v="0"/>
    <s v="Unknown"/>
    <s v="Kunming, China"/>
    <s v="China National Aviation Corporation"/>
    <s v="Unknown"/>
    <s v="Kunming - Sichang"/>
    <x v="368"/>
    <n v="88"/>
    <s v="Unknown"/>
    <n v="3"/>
    <n v="0"/>
    <n v="3"/>
    <n v="3"/>
    <n v="0"/>
    <n v="3"/>
    <n v="0"/>
    <s v="The cargo plane struck a mountain in the Himalayas under poor weather conditions."/>
    <n v="0"/>
    <n v="1"/>
    <x v="1"/>
  </r>
  <r>
    <n v="779"/>
    <x v="724"/>
    <x v="34"/>
    <x v="0"/>
    <d v="1899-12-30T16:58:00"/>
    <s v="Morgantown, West Virginia"/>
    <s v="Pennsylvania Central Airlines"/>
    <n v="142"/>
    <s v="Pittsburgh - Morgantown"/>
    <x v="277"/>
    <s v="NC25692"/>
    <n v="2262"/>
    <n v="20"/>
    <n v="17"/>
    <n v="3"/>
    <n v="20"/>
    <n v="17"/>
    <n v="3"/>
    <n v="0"/>
    <s v="The aircraft crashed against the slope of Cheat Mountain at 2,100 ft., 7 miles east northeast of Morgantown. The action of the pilot in continuing flight over mountainous terrain under instrument conditions, below the minimum authorized instrument altitude."/>
    <n v="0"/>
    <n v="1"/>
    <x v="1"/>
  </r>
  <r>
    <n v="780"/>
    <x v="725"/>
    <x v="34"/>
    <x v="0"/>
    <d v="1899-12-30T05:35:00"/>
    <s v="Near Perth, Australia"/>
    <s v="Military - U.S. Navy"/>
    <s v="Unknown"/>
    <s v="Perth - Adelaide"/>
    <x v="277"/>
    <n v="39067"/>
    <n v="10017"/>
    <n v="13"/>
    <n v="11"/>
    <n v="2"/>
    <n v="13"/>
    <n v="11"/>
    <n v="2"/>
    <n v="0"/>
    <s v="Failed to gain altitude while taking off. The transport crashed into a hillside as it took off in heavy fog at Guildford Airport."/>
    <n v="0"/>
    <n v="1"/>
    <x v="1"/>
  </r>
  <r>
    <n v="781"/>
    <x v="726"/>
    <x v="34"/>
    <x v="0"/>
    <d v="1899-12-30T06:40:00"/>
    <s v="Sweetwater, Texas"/>
    <s v="Military - U.S. Army Air Forces"/>
    <s v="Unknown"/>
    <s v="Midland, TX - Nashville, TN"/>
    <x v="383"/>
    <s v="41-18451"/>
    <n v="4513"/>
    <n v="25"/>
    <n v="22"/>
    <n v="3"/>
    <n v="25"/>
    <n v="22"/>
    <n v="3"/>
    <n v="0"/>
    <s v="Broke-up after entering an area of thunderstorms. Initial structural failure involved the elevator followed by the entire aircraft."/>
    <n v="0"/>
    <n v="1"/>
    <x v="1"/>
  </r>
  <r>
    <n v="782"/>
    <x v="726"/>
    <x v="34"/>
    <x v="0"/>
    <s v="Unknown"/>
    <s v="Near Steinreich, Germany"/>
    <s v="Lufthansa"/>
    <s v="Unknown"/>
    <s v="Berlin - Prague - Vienna - Munich"/>
    <x v="352"/>
    <s v="D-ANAJ"/>
    <s v="Unknown"/>
    <n v="20"/>
    <n v="17"/>
    <n v="3"/>
    <n v="18"/>
    <n v="15"/>
    <n v="3"/>
    <n v="0"/>
    <s v="Missing on an evacuation flight from Berlin to Munich. Shot down by Soviet forces south of Berlin."/>
    <n v="2"/>
    <n v="0.9"/>
    <x v="1"/>
  </r>
  <r>
    <n v="783"/>
    <x v="727"/>
    <x v="34"/>
    <x v="0"/>
    <d v="1899-12-30T22:05:00"/>
    <s v="Near Piesenkofen, Germany"/>
    <s v="Deutsche Lufthansa"/>
    <s v="Unknown"/>
    <s v="Berlin - Munich"/>
    <x v="416"/>
    <s v="D-ASHH"/>
    <s v="Unknown"/>
    <n v="21"/>
    <n v="16"/>
    <n v="5"/>
    <n v="21"/>
    <n v="16"/>
    <n v="5"/>
    <n v="0"/>
    <s v="Shot down by Allied forces 50 miles from its destination."/>
    <n v="0"/>
    <n v="1"/>
    <x v="1"/>
  </r>
  <r>
    <n v="784"/>
    <x v="728"/>
    <x v="34"/>
    <x v="0"/>
    <s v="Unknown"/>
    <s v="North Barrule, Isle of Man, England"/>
    <s v="Military - U.S. Air Force"/>
    <s v="Unknown"/>
    <s v="Ridgewell - Nutts Corner"/>
    <x v="426"/>
    <s v="43-38856"/>
    <n v="9834"/>
    <n v="31"/>
    <n v="26"/>
    <n v="5"/>
    <n v="31"/>
    <n v="26"/>
    <n v="5"/>
    <n v="0"/>
    <s v="While cruising at an altitude of 2,000 feet, the aircraft hit the slope of Mt North Barrule located 2 miles south of Ramsey."/>
    <n v="0"/>
    <n v="1"/>
    <x v="1"/>
  </r>
  <r>
    <n v="785"/>
    <x v="729"/>
    <x v="34"/>
    <x v="0"/>
    <d v="1899-12-30T12:40:00"/>
    <s v="Washington D.C."/>
    <s v="Page Airways"/>
    <s v="Unknown"/>
    <s v="Washington - New York"/>
    <x v="345"/>
    <s v="NC33328"/>
    <n v="2221"/>
    <n v="13"/>
    <n v="11"/>
    <n v="2"/>
    <n v="6"/>
    <n v="6"/>
    <n v="0"/>
    <n v="0"/>
    <s v="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
    <n v="7"/>
    <n v="0.46153846153846156"/>
    <x v="0"/>
  </r>
  <r>
    <n v="786"/>
    <x v="730"/>
    <x v="34"/>
    <x v="0"/>
    <d v="1899-12-30T22:26:00"/>
    <s v="Manus Island, New Guinea"/>
    <s v="Military - U.S. Army Air Forces"/>
    <s v="Unknown"/>
    <s v="Lorengau - Biak"/>
    <x v="427"/>
    <s v="44-9043"/>
    <n v="27269"/>
    <n v="21"/>
    <n v="15"/>
    <n v="6"/>
    <n v="21"/>
    <n v="15"/>
    <n v="6"/>
    <n v="0"/>
    <s v="Crashed into a wooded area shortly after taking off from Sorido airstrip at night. Cause unknown."/>
    <n v="0"/>
    <n v="1"/>
    <x v="1"/>
  </r>
  <r>
    <n v="787"/>
    <x v="731"/>
    <x v="34"/>
    <x v="0"/>
    <d v="1899-12-30T12:55:00"/>
    <s v="Hindhead, England"/>
    <s v="Military - U.S. Army Air Forces"/>
    <s v="Unknown"/>
    <s v="Unknown"/>
    <x v="428"/>
    <s v="44-77839"/>
    <n v="33235"/>
    <n v="30"/>
    <n v="25"/>
    <n v="5"/>
    <n v="30"/>
    <n v="25"/>
    <n v="5"/>
    <n v="1"/>
    <s v="Flying low because of poor visiblity, the aircraft struck a radar tower, lost its right wing, crashed and burned. Pilot error. Flying VFR in IFR conditions."/>
    <n v="0"/>
    <n v="1"/>
    <x v="1"/>
  </r>
  <r>
    <n v="788"/>
    <x v="732"/>
    <x v="34"/>
    <x v="0"/>
    <d v="1899-12-30T01:30:00"/>
    <s v="Roye, France"/>
    <s v="Military -Royal Air Force"/>
    <s v="Unknown"/>
    <s v="England - Brussels"/>
    <x v="429"/>
    <s v="RF230"/>
    <s v="Unknown"/>
    <n v="31"/>
    <n v="25"/>
    <n v="6"/>
    <n v="31"/>
    <n v="25"/>
    <n v="6"/>
    <n v="0"/>
    <s v="The aircraft went in to a spin and crashed in a wooded area and caught fire."/>
    <n v="0"/>
    <n v="1"/>
    <x v="1"/>
  </r>
  <r>
    <n v="789"/>
    <x v="733"/>
    <x v="34"/>
    <x v="0"/>
    <d v="1899-12-30T15:00:00"/>
    <s v="Iran Jayas, New Guinea"/>
    <s v="Military - U.S. Army Air Forces"/>
    <s v="Unknown"/>
    <s v="Unknown"/>
    <x v="430"/>
    <s v="43-49788"/>
    <n v="27049"/>
    <n v="23"/>
    <n v="19"/>
    <n v="4"/>
    <n v="20"/>
    <n v="16"/>
    <n v="4"/>
    <n v="0"/>
    <s v="Crashed into a mountain at 7,000 feet. Three passengers rescued two weeks later. All occupants were members of the women's military corps of the US Army."/>
    <n v="3"/>
    <n v="0.86956521739130432"/>
    <x v="1"/>
  </r>
  <r>
    <n v="790"/>
    <x v="734"/>
    <x v="34"/>
    <x v="0"/>
    <d v="1899-12-30T09:20:00"/>
    <s v="Off Drewin, Ivory Coast"/>
    <s v="Military - U.S. Army Air Forces"/>
    <s v="Unknown"/>
    <s v="Accra, Ghana - Monrovia, Liberia"/>
    <x v="430"/>
    <s v="44-76406"/>
    <n v="32738"/>
    <n v="21"/>
    <n v="18"/>
    <n v="3"/>
    <n v="21"/>
    <n v="18"/>
    <n v="3"/>
    <n v="0"/>
    <s v="Disappeared off the Atlantic coast after sending a distress message. A witness observed the plane hit the water at a 45 degree angle. No wreckage or bodies were ever found."/>
    <n v="0"/>
    <n v="1"/>
    <x v="1"/>
  </r>
  <r>
    <n v="791"/>
    <x v="735"/>
    <x v="34"/>
    <x v="0"/>
    <s v="Unknown"/>
    <s v="China"/>
    <s v="China National Aviation Corporation"/>
    <s v="Unknown"/>
    <s v="Unknown"/>
    <x v="368"/>
    <n v="81"/>
    <s v="Unknown"/>
    <n v="3"/>
    <n v="0"/>
    <n v="3"/>
    <n v="3"/>
    <n v="0"/>
    <n v="3"/>
    <n v="0"/>
    <s v="The aircraft crashed into a mountain in the Carstenz Range at an altitude of 14,200 ft. The wreckage was discovered in December 1970."/>
    <n v="0"/>
    <n v="1"/>
    <x v="1"/>
  </r>
  <r>
    <n v="792"/>
    <x v="736"/>
    <x v="34"/>
    <x v="0"/>
    <d v="1899-12-30T10:30:00"/>
    <s v="Gealdton, Australia"/>
    <s v="Mac Robertson Miller Airlines"/>
    <s v="Unknown"/>
    <s v="Perth - Geraldton - Carnarvon - Port Hedland"/>
    <x v="431"/>
    <s v="VH-USF"/>
    <n v="2310"/>
    <n v="11"/>
    <n v="9"/>
    <n v="2"/>
    <n v="2"/>
    <n v="1"/>
    <n v="1"/>
    <n v="0"/>
    <s v="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
    <n v="9"/>
    <n v="0.18181818181818182"/>
    <x v="2"/>
  </r>
  <r>
    <n v="793"/>
    <x v="737"/>
    <x v="34"/>
    <x v="0"/>
    <d v="1899-12-30T07:50:00"/>
    <s v="Swanage, England"/>
    <s v="Military -Royal Air Force"/>
    <s v="Unknown"/>
    <s v="Unknown"/>
    <x v="348"/>
    <s v="JT985"/>
    <s v="Unknown"/>
    <n v="27"/>
    <s v="NULL"/>
    <s v="NULL"/>
    <n v="27"/>
    <s v="NULL"/>
    <s v="NULL"/>
    <n v="0"/>
    <s v="Crashed and burned on a hillside after experiencing engine failure."/>
    <n v="0"/>
    <n v="1"/>
    <x v="1"/>
  </r>
  <r>
    <n v="794"/>
    <x v="738"/>
    <x v="34"/>
    <x v="0"/>
    <s v="Unknown"/>
    <s v="Bangalore, India"/>
    <s v="Military - Royal Indian Air Force"/>
    <s v="Unknown"/>
    <s v="Unknown"/>
    <x v="45"/>
    <s v="Unknown"/>
    <s v="Unknown"/>
    <n v="2"/>
    <s v="NULL"/>
    <s v="NULL"/>
    <n v="2"/>
    <s v="NULL"/>
    <s v="NULL"/>
    <n v="36"/>
    <s v="Crashed into a village exploding and destoying several houses."/>
    <n v="0"/>
    <n v="1"/>
    <x v="1"/>
  </r>
  <r>
    <n v="795"/>
    <x v="739"/>
    <x v="34"/>
    <x v="0"/>
    <s v="Unknown"/>
    <s v="Texas"/>
    <s v="Military - U.S. Air Force"/>
    <s v="Unknown"/>
    <s v="Unknown"/>
    <x v="432"/>
    <s v="44-69943"/>
    <s v="Unknown"/>
    <n v="12"/>
    <s v="NULL"/>
    <s v="NULL"/>
    <n v="12"/>
    <s v="NULL"/>
    <s v="NULL"/>
    <n v="0"/>
    <s v="No data available"/>
    <n v="0"/>
    <n v="1"/>
    <x v="1"/>
  </r>
  <r>
    <n v="796"/>
    <x v="740"/>
    <x v="34"/>
    <x v="0"/>
    <s v="Unknown"/>
    <s v="North Atlantic Ocean"/>
    <s v="Military -Royal Air Force"/>
    <s v="Unknown"/>
    <s v="Montreal - Gander - Keflavik - Prestwick - Northolt"/>
    <x v="348"/>
    <s v="JT982"/>
    <n v="90030"/>
    <n v="15"/>
    <s v="NULL"/>
    <s v="NULL"/>
    <n v="15"/>
    <s v="NULL"/>
    <s v="NULL"/>
    <n v="0"/>
    <s v="Disappeared on a trans-Atlantic flight from Montreal to England."/>
    <n v="0"/>
    <n v="1"/>
    <x v="1"/>
  </r>
  <r>
    <n v="797"/>
    <x v="741"/>
    <x v="34"/>
    <x v="0"/>
    <s v="Unknown"/>
    <s v="Near Kisumu, Kenya"/>
    <s v="Military - South African Air Force"/>
    <s v="Unknown"/>
    <s v="Kisumu - Durban"/>
    <x v="368"/>
    <n v="6812"/>
    <n v="6812"/>
    <n v="28"/>
    <n v="24"/>
    <n v="4"/>
    <n v="28"/>
    <n v="24"/>
    <n v="4"/>
    <n v="0"/>
    <s v="Crashed  on an island  located in Winam Bay shortly after take off Kismu."/>
    <n v="0"/>
    <n v="1"/>
    <x v="1"/>
  </r>
  <r>
    <n v="798"/>
    <x v="742"/>
    <x v="34"/>
    <x v="0"/>
    <d v="1899-12-30T14:36:00"/>
    <s v="Near Florence, South Carolina"/>
    <s v="Eastern Air Lines / Military - U.S. Army Air Corps"/>
    <n v="45"/>
    <s v="Boston - NY - Washington DC - Jacksonville - Miami"/>
    <x v="433"/>
    <s v="NC25647"/>
    <n v="2235"/>
    <n v="10"/>
    <n v="4"/>
    <n v="6"/>
    <n v="3"/>
    <n v="1"/>
    <n v="2"/>
    <n v="0"/>
    <s v="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
    <n v="7"/>
    <n v="0.3"/>
    <x v="2"/>
  </r>
  <r>
    <n v="799"/>
    <x v="743"/>
    <x v="34"/>
    <x v="0"/>
    <d v="1899-12-30T09:49:00"/>
    <s v="New York, New York"/>
    <s v="Military - U.S. Army Air Forces"/>
    <s v="Unknown"/>
    <s v="Bedford - New York"/>
    <x v="434"/>
    <s v="43-0577"/>
    <s v="87-8742"/>
    <n v="3"/>
    <n v="1"/>
    <n v="2"/>
    <n v="3"/>
    <n v="1"/>
    <n v="2"/>
    <n v="11"/>
    <s v="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
    <n v="0"/>
    <n v="1"/>
    <x v="1"/>
  </r>
  <r>
    <n v="800"/>
    <x v="744"/>
    <x v="34"/>
    <x v="0"/>
    <d v="1899-12-30T09:50:00"/>
    <s v="Near San Luis Potosi, Mexico"/>
    <s v="Lineas Aereas Mineras"/>
    <s v="Unknown"/>
    <s v="Mexico City - Nogales"/>
    <x v="233"/>
    <s v="XA-DUY"/>
    <n v="1723"/>
    <n v="12"/>
    <n v="9"/>
    <n v="3"/>
    <n v="12"/>
    <n v="9"/>
    <n v="3"/>
    <n v="0"/>
    <s v="Crashed into mountainous terrain after encountering engine failure.."/>
    <n v="0"/>
    <n v="1"/>
    <x v="1"/>
  </r>
  <r>
    <n v="801"/>
    <x v="745"/>
    <x v="34"/>
    <x v="0"/>
    <d v="1899-12-30T10:11:00"/>
    <s v="Fort de France, Martinique"/>
    <s v="Pan American World Airways"/>
    <n v="216"/>
    <s v="Port of Spain - Fort de France"/>
    <x v="435"/>
    <s v="NC15066"/>
    <n v="4306"/>
    <n v="14"/>
    <n v="10"/>
    <n v="4"/>
    <n v="4"/>
    <n v="4"/>
    <n v="0"/>
    <n v="0"/>
    <s v="The aircraft crashed while landing at Fort de France. The plane sank and 4 passengers drowned. The attempt by the pilot to land the aircraft in conditions of water surface not suitable for landing of a flying boat."/>
    <n v="10"/>
    <n v="0.2857142857142857"/>
    <x v="2"/>
  </r>
  <r>
    <n v="802"/>
    <x v="746"/>
    <x v="34"/>
    <x v="0"/>
    <d v="1899-12-30T16:00:00"/>
    <s v="Ixtaccihuati, Mexico"/>
    <s v="Mexicana"/>
    <s v="Unknown"/>
    <s v="Tapachula - Mexico City"/>
    <x v="436"/>
    <s v="XA-DOT"/>
    <n v="2075"/>
    <n v="16"/>
    <n v="12"/>
    <n v="4"/>
    <n v="16"/>
    <n v="12"/>
    <n v="4"/>
    <n v="0"/>
    <s v="Crashed in Ixtaccihuatl mountain 40 miles east-sout-east of Mexico City. Navigational error as the crew's last message stated they were in an entirely different area."/>
    <n v="0"/>
    <n v="1"/>
    <x v="1"/>
  </r>
  <r>
    <n v="803"/>
    <x v="747"/>
    <x v="34"/>
    <x v="0"/>
    <d v="1899-12-30T02:13:00"/>
    <s v="Florence, South Carolina"/>
    <s v="Eastern Air Lines"/>
    <n v="42"/>
    <s v="Miami - New York City"/>
    <x v="277"/>
    <s v="NC33631"/>
    <n v="4137"/>
    <n v="22"/>
    <n v="19"/>
    <n v="3"/>
    <n v="22"/>
    <n v="19"/>
    <n v="3"/>
    <n v="0"/>
    <s v="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
    <n v="0"/>
    <n v="1"/>
    <x v="1"/>
  </r>
  <r>
    <n v="804"/>
    <x v="748"/>
    <x v="34"/>
    <x v="0"/>
    <d v="1899-12-30T10:15:00"/>
    <s v="Near Milne Bay, New Guinea"/>
    <s v="Military - Royal Australian Air Force"/>
    <s v="Unknown"/>
    <s v="Milne Bay - Dobodura"/>
    <x v="402"/>
    <s v="A6556"/>
    <n v="25365"/>
    <n v="11"/>
    <n v="7"/>
    <n v="4"/>
    <n v="11"/>
    <n v="7"/>
    <n v="4"/>
    <n v="0"/>
    <s v="Left Milne Bay on routine flight  to Dobodura at 10:15. Crashed into sea near Milne Bay."/>
    <n v="0"/>
    <n v="1"/>
    <x v="1"/>
  </r>
  <r>
    <n v="805"/>
    <x v="749"/>
    <x v="34"/>
    <x v="0"/>
    <d v="1899-12-30T00:08:00"/>
    <s v="Near Kansas, Missouri"/>
    <s v="Military - U.S. Army Air Forces"/>
    <s v="Unknown"/>
    <s v="Unknown"/>
    <x v="430"/>
    <s v="45-1011"/>
    <n v="34277"/>
    <n v="24"/>
    <n v="21"/>
    <n v="3"/>
    <n v="23"/>
    <n v="20"/>
    <n v="3"/>
    <n v="0"/>
    <s v="Failed to gain altitude while taking off, struck trees, lost both wings, exploded and burned. Engine failure."/>
    <n v="1"/>
    <n v="0.95833333333333337"/>
    <x v="1"/>
  </r>
  <r>
    <n v="806"/>
    <x v="750"/>
    <x v="34"/>
    <x v="0"/>
    <s v="Unknown"/>
    <s v="Puncak Jaya, Papua New Guinea"/>
    <s v="Military - Royal Australian Air Force"/>
    <s v="Unknown"/>
    <s v="Pitu - Merauke - Bamaga - Townsville"/>
    <x v="437"/>
    <s v="A65-61"/>
    <s v="14554/25999"/>
    <n v="29"/>
    <n v="26"/>
    <n v="3"/>
    <n v="29"/>
    <n v="26"/>
    <n v="3"/>
    <n v="0"/>
    <s v="A month later the wreckage was found  on the slope of a mountain located near Mt Puncak Jaya, southwest of Mulia, 100 feet from the summit. It"/>
    <n v="0"/>
    <n v="1"/>
    <x v="1"/>
  </r>
  <r>
    <n v="807"/>
    <x v="751"/>
    <x v="34"/>
    <x v="0"/>
    <s v="Unknown"/>
    <s v="Near Chihkiang, China"/>
    <s v="Military - United States Army Air Force"/>
    <s v="Unknown"/>
    <s v="Unknown"/>
    <x v="438"/>
    <s v="42-101183"/>
    <n v="30638"/>
    <n v="20"/>
    <n v="17"/>
    <n v="3"/>
    <n v="20"/>
    <n v="17"/>
    <n v="3"/>
    <n v="0"/>
    <s v="Crash 32 km southeast of Chinkiang under unknown circumstances."/>
    <n v="0"/>
    <n v="1"/>
    <x v="1"/>
  </r>
  <r>
    <n v="808"/>
    <x v="752"/>
    <x v="34"/>
    <x v="0"/>
    <d v="1899-12-30T01:05:00"/>
    <s v="Lakeland, Florida"/>
    <s v="National Airlines"/>
    <n v="16"/>
    <s v="Miami - Jacksonville"/>
    <x v="345"/>
    <s v="NC18199"/>
    <n v="2265"/>
    <n v="15"/>
    <n v="12"/>
    <n v="3"/>
    <n v="2"/>
    <n v="2"/>
    <n v="0"/>
    <n v="0"/>
    <s v="Crashed into a lake while attempting to execute a missed approach. The faulty execution of a missed approach procedure resulting in settling of the aircraft into a water area beyond the landing runway."/>
    <n v="13"/>
    <n v="0.13333333333333333"/>
    <x v="2"/>
  </r>
  <r>
    <n v="809"/>
    <x v="752"/>
    <x v="34"/>
    <x v="0"/>
    <d v="1899-12-30T12:50:00"/>
    <s v="Elvetham, England"/>
    <s v="Military -Royal Air Force"/>
    <s v="Unknown"/>
    <s v="England - Prague"/>
    <x v="439"/>
    <s v="Unknown"/>
    <s v="Unknown"/>
    <n v="23"/>
    <n v="18"/>
    <n v="5"/>
    <n v="23"/>
    <n v="18"/>
    <n v="5"/>
    <n v="0"/>
    <s v="Cashed and burned shortly after takeoff after experiencing an engine fire in the No. 2 engine."/>
    <n v="0"/>
    <n v="1"/>
    <x v="1"/>
  </r>
  <r>
    <n v="810"/>
    <x v="753"/>
    <x v="34"/>
    <x v="0"/>
    <d v="1899-12-30T00:30:00"/>
    <s v="Rennes, France"/>
    <s v="Military - Royal Air Force"/>
    <s v="Unknown"/>
    <s v="London - Cairo"/>
    <x v="440"/>
    <s v="LJ668"/>
    <s v="Unknown"/>
    <n v="26"/>
    <n v="20"/>
    <n v="6"/>
    <n v="26"/>
    <n v="20"/>
    <n v="6"/>
    <n v="0"/>
    <s v="Lost altitude while in a turn and attempting to land and crashed and burned short of the runway."/>
    <n v="0"/>
    <n v="1"/>
    <x v="1"/>
  </r>
  <r>
    <n v="811"/>
    <x v="754"/>
    <x v="34"/>
    <x v="0"/>
    <d v="1899-12-30T20:45:00"/>
    <s v="Melsbroek, Belgium"/>
    <s v="Military -Royal Air Force"/>
    <s v="Unknown"/>
    <s v="London - Brussels - New Delhi"/>
    <x v="441"/>
    <s v="KL595"/>
    <s v="Unknown"/>
    <n v="31"/>
    <n v="25"/>
    <n v="6"/>
    <n v="31"/>
    <n v="25"/>
    <n v="6"/>
    <n v="0"/>
    <s v="The aircraft failed to gain speed or altitude and struck a hill at the end of the runway."/>
    <n v="0"/>
    <n v="1"/>
    <x v="1"/>
  </r>
  <r>
    <n v="812"/>
    <x v="755"/>
    <x v="34"/>
    <x v="0"/>
    <d v="1899-12-30T11:30:00"/>
    <s v="Near Peking, China"/>
    <s v="Military - U.S. Army Air Forces"/>
    <s v="Unknown"/>
    <s v="Hankou - Peking"/>
    <x v="442"/>
    <s v="44-78591"/>
    <n v="22414"/>
    <n v="59"/>
    <n v="55"/>
    <n v="4"/>
    <n v="59"/>
    <n v="55"/>
    <n v="4"/>
    <n v="0"/>
    <s v="Struck a radio transmission tower while on approach for landing at Nanyman field after encountering low clouds and poor visibility."/>
    <n v="0"/>
    <n v="1"/>
    <x v="1"/>
  </r>
  <r>
    <n v="813"/>
    <x v="756"/>
    <x v="34"/>
    <x v="0"/>
    <s v="Unknown"/>
    <s v="Between Shanghi and Canton, China"/>
    <s v="China National Aviation Corporation"/>
    <s v="Unknown"/>
    <s v="Shanghai - Canton"/>
    <x v="368"/>
    <s v="Unknown"/>
    <s v="Unknown"/>
    <n v="31"/>
    <n v="28"/>
    <n v="3"/>
    <n v="31"/>
    <n v="28"/>
    <n v="3"/>
    <n v="0"/>
    <s v="Crashed into a mountain while en route, flying at a low altitude in adverse meteorological conditions."/>
    <n v="0"/>
    <n v="1"/>
    <x v="1"/>
  </r>
  <r>
    <n v="814"/>
    <x v="756"/>
    <x v="34"/>
    <x v="0"/>
    <s v="Unknown"/>
    <s v="Timor Sea, Atlantic Ocean"/>
    <s v="Military - Royal Australian Air Force"/>
    <s v="Unknown"/>
    <s v="Ambon, Indonesia - Darwin, Australia"/>
    <x v="443"/>
    <s v="A65-83"/>
    <s v="16127/32875"/>
    <n v="25"/>
    <n v="21"/>
    <n v="4"/>
    <n v="25"/>
    <n v="21"/>
    <n v="4"/>
    <n v="0"/>
    <s v="Disappeared en route."/>
    <n v="0"/>
    <n v="1"/>
    <x v="1"/>
  </r>
  <r>
    <n v="815"/>
    <x v="757"/>
    <x v="34"/>
    <x v="0"/>
    <s v="Unknown"/>
    <s v="Near Chiringa, India"/>
    <s v="Military - Royal Air Force"/>
    <s v="Unknown"/>
    <s v="Unknown"/>
    <x v="443"/>
    <s v="KJ957"/>
    <s v="14804/26249"/>
    <n v="14"/>
    <n v="12"/>
    <n v="2"/>
    <n v="14"/>
    <n v="12"/>
    <n v="2"/>
    <n v="0"/>
    <s v="Penetrated a thunderstorm and broke-up."/>
    <n v="0"/>
    <n v="1"/>
    <x v="1"/>
  </r>
  <r>
    <n v="816"/>
    <x v="758"/>
    <x v="34"/>
    <x v="0"/>
    <s v="Unknown"/>
    <s v="Valetta, Malta"/>
    <s v="BOAC"/>
    <s v="Unknown"/>
    <s v="London - Valetta - Cairo"/>
    <x v="387"/>
    <s v="G-AGHR"/>
    <n v="10097"/>
    <n v="16"/>
    <n v="13"/>
    <n v="3"/>
    <n v="9"/>
    <n v="9"/>
    <n v="0"/>
    <n v="0"/>
    <s v="The engine failed on takeoff and the plane stalled and crashed."/>
    <n v="7"/>
    <n v="0.5625"/>
    <x v="0"/>
  </r>
  <r>
    <n v="817"/>
    <x v="758"/>
    <x v="34"/>
    <x v="0"/>
    <s v="Unknown"/>
    <s v="Tarapoto, Peru"/>
    <s v="Faucett"/>
    <s v="Unknown"/>
    <s v="Unknown"/>
    <x v="444"/>
    <s v="OB-PAG-139"/>
    <n v="24"/>
    <n v="5"/>
    <n v="4"/>
    <n v="1"/>
    <n v="5"/>
    <n v="4"/>
    <n v="1"/>
    <n v="0"/>
    <s v="Crashed on takeoff."/>
    <n v="0"/>
    <n v="1"/>
    <x v="1"/>
  </r>
  <r>
    <n v="818"/>
    <x v="759"/>
    <x v="34"/>
    <x v="0"/>
    <d v="1899-12-30T19:15:00"/>
    <s v="Chihchiang, China"/>
    <s v="Military - U.S. Army Air Forces"/>
    <s v="Unknown"/>
    <s v="Zhijiang - Shanghai"/>
    <x v="445"/>
    <s v="43-47228"/>
    <n v="299"/>
    <n v="50"/>
    <n v="46"/>
    <n v="4"/>
    <n v="45"/>
    <n v="44"/>
    <n v="1"/>
    <n v="0"/>
    <s v="Crashed and burned on takeoff striking a hill.  Possible engine failure or overloading."/>
    <n v="5"/>
    <n v="0.9"/>
    <x v="1"/>
  </r>
  <r>
    <n v="819"/>
    <x v="760"/>
    <x v="34"/>
    <x v="0"/>
    <d v="1899-12-30T15:30:00"/>
    <s v="Herrenalb, Germany"/>
    <s v="Military - U.S. Army Air Forces"/>
    <s v="Unknown"/>
    <s v="Bovingdon - Schleissheim"/>
    <x v="407"/>
    <s v="42-93041"/>
    <n v="12909"/>
    <n v="30"/>
    <n v="26"/>
    <n v="4"/>
    <n v="26"/>
    <n v="22"/>
    <n v="4"/>
    <n v="0"/>
    <s v="The crew descended through low overcast to obtain their position.  Followed an river and crashed into wooded mountainside.  Navigator error in not informing the pilot of high terrain."/>
    <n v="4"/>
    <n v="0.8666666666666667"/>
    <x v="1"/>
  </r>
  <r>
    <n v="820"/>
    <x v="761"/>
    <x v="34"/>
    <x v="0"/>
    <d v="1899-12-30T02:00:00"/>
    <s v="Near Chuka, India"/>
    <s v="Military - U.S. Army Air Forces"/>
    <s v="Unknown"/>
    <s v="Chabua - Karachi"/>
    <x v="446"/>
    <s v="45528A"/>
    <n v="35981"/>
    <n v="44"/>
    <n v="40"/>
    <n v="4"/>
    <n v="44"/>
    <n v="40"/>
    <n v="4"/>
    <n v="0"/>
    <s v="Crashed into the Himalaysas and burned while en route. Wreckage found a month later."/>
    <n v="0"/>
    <n v="1"/>
    <x v="1"/>
  </r>
  <r>
    <n v="821"/>
    <x v="762"/>
    <x v="34"/>
    <x v="0"/>
    <d v="1899-12-30T11:15:00"/>
    <s v="Near Grants, New Mexico"/>
    <s v="National Skyway Freight Co."/>
    <s v="Unknown"/>
    <s v="Alberquerque -"/>
    <x v="447"/>
    <s v="Unknown"/>
    <s v="Unknown"/>
    <n v="3"/>
    <n v="0"/>
    <n v="3"/>
    <n v="1"/>
    <n v="0"/>
    <n v="1"/>
    <n v="0"/>
    <s v="After refueling in Alberquerque, the plane, carrying magazins to the west coast, crashed and burned after encountering snow and strong winds. The flight engineer survived."/>
    <n v="2"/>
    <n v="0.33333333333333331"/>
    <x v="2"/>
  </r>
  <r>
    <n v="822"/>
    <x v="763"/>
    <x v="34"/>
    <x v="0"/>
    <d v="1899-12-30T20:00:00"/>
    <s v="Off Corpus Christi, Texas"/>
    <s v="Military - U.S. Navy / Military - U.S. Navy"/>
    <s v="Unknown"/>
    <s v="Unknown"/>
    <x v="448"/>
    <s v="01710 / 69113"/>
    <s v="Unknown"/>
    <n v="27"/>
    <s v="NULL"/>
    <s v="NULL"/>
    <n v="22"/>
    <s v="NULL"/>
    <s v="NULL"/>
    <n v="0"/>
    <s v="The aircraft expierence a midair collision over Corpus Christi Bay while on a training flight."/>
    <n v="5"/>
    <n v="0.81481481481481477"/>
    <x v="1"/>
  </r>
  <r>
    <n v="823"/>
    <x v="764"/>
    <x v="34"/>
    <x v="0"/>
    <d v="1899-12-30T20:00:00"/>
    <s v="Near Boccadi, Italy"/>
    <s v="Military - U.S. Army Air Forces"/>
    <s v="Unknown"/>
    <s v="Athens - Naples"/>
    <x v="386"/>
    <s v="42-24363"/>
    <n v="10225"/>
    <n v="24"/>
    <n v="20"/>
    <n v="4"/>
    <n v="24"/>
    <n v="20"/>
    <n v="4"/>
    <n v="0"/>
    <s v="The pilot radioed he was lost, shortly before impacting the ground while attempting to land in poor visibility."/>
    <n v="0"/>
    <n v="1"/>
    <x v="1"/>
  </r>
  <r>
    <n v="824"/>
    <x v="765"/>
    <x v="34"/>
    <x v="0"/>
    <d v="1899-12-30T23:45:00"/>
    <s v="Near Castel, Libya"/>
    <s v="Military -Royal Air Force"/>
    <s v="Unknown"/>
    <s v="Unknown"/>
    <x v="449"/>
    <s v="PJ950"/>
    <s v="Unknown"/>
    <n v="29"/>
    <n v="22"/>
    <n v="7"/>
    <n v="29"/>
    <n v="22"/>
    <n v="7"/>
    <n v="0"/>
    <s v="While taking off the aircraft experienced an engine fire, stalled and crashed and burned."/>
    <n v="0"/>
    <n v="1"/>
    <x v="1"/>
  </r>
  <r>
    <n v="825"/>
    <x v="765"/>
    <x v="34"/>
    <x v="0"/>
    <s v="Unknown"/>
    <s v="Himalayas"/>
    <s v="Military - U.S. Army"/>
    <s v="Unknown"/>
    <s v="Chabau, India - Karachi, Pakistan"/>
    <x v="450"/>
    <s v="Unknown"/>
    <s v="Unknown"/>
    <n v="44"/>
    <s v="NULL"/>
    <s v="NULL"/>
    <n v="44"/>
    <s v="NULL"/>
    <s v="NULL"/>
    <n v="0"/>
    <s v="Crashed into a mountain ridge 200 ft. short of the summit, bounced over the top and crashed down the other side while  en route."/>
    <n v="0"/>
    <n v="1"/>
    <x v="1"/>
  </r>
  <r>
    <n v="826"/>
    <x v="765"/>
    <x v="34"/>
    <x v="0"/>
    <d v="1899-12-30T12:00:00"/>
    <s v="Near Picinisco, Italy"/>
    <s v="Military - U.S. Army Air Forces"/>
    <s v="Unknown"/>
    <s v="France - Athens"/>
    <x v="451"/>
    <s v="43-9197"/>
    <n v="10175"/>
    <n v="20"/>
    <n v="16"/>
    <n v="4"/>
    <n v="20"/>
    <n v="16"/>
    <n v="4"/>
    <n v="0"/>
    <s v="The plane disappeared after the pilot radioed he was exeriencing heavy icing and asked to divert to Rome.  The plane was found 5 months later on Mt. Meta."/>
    <n v="0"/>
    <n v="1"/>
    <x v="1"/>
  </r>
  <r>
    <n v="827"/>
    <x v="766"/>
    <x v="34"/>
    <x v="0"/>
    <d v="1899-12-30T20:15:00"/>
    <s v="Near Tacloban, Philippines"/>
    <s v="Australian National Airways"/>
    <s v="Unknown"/>
    <s v="Unknown"/>
    <x v="452"/>
    <s v="VH-CDC"/>
    <s v="Unknown"/>
    <n v="17"/>
    <n v="14"/>
    <n v="3"/>
    <n v="16"/>
    <n v="13"/>
    <n v="3"/>
    <s v="NULL"/>
    <s v="Crashed into the sea afte an aborted landing at the island of Leyte. The plane touched down hard, pulled up, circled and crashed into the sea. Pilot error. Decision to land in unfavorable weather."/>
    <n v="1"/>
    <n v="0.94117647058823528"/>
    <x v="1"/>
  </r>
  <r>
    <n v="828"/>
    <x v="767"/>
    <x v="34"/>
    <x v="0"/>
    <d v="1899-12-30T09:14:00"/>
    <s v="Near Jacquinot Bay  New Guinea"/>
    <s v="Military - Royal Australian Air Force"/>
    <s v="Unknown"/>
    <s v="Lae - Finschhafen - Jacquinot Bay - Rabaul"/>
    <x v="453"/>
    <s v="A6554"/>
    <n v="26640"/>
    <n v="28"/>
    <n v="25"/>
    <n v="3"/>
    <n v="28"/>
    <n v="25"/>
    <n v="3"/>
    <n v="0"/>
    <s v="Crashed into a 7,598 ft. mountain in the region of Wide Bay, 150 feet below the ridge, shortly after taking off. There were Australian and Indian soldiers on board."/>
    <n v="0"/>
    <n v="1"/>
    <x v="1"/>
  </r>
  <r>
    <n v="829"/>
    <x v="768"/>
    <x v="34"/>
    <x v="0"/>
    <d v="1899-12-30T10:00:00"/>
    <s v="White's Farm, England"/>
    <s v="Military -Royal Air Force"/>
    <s v="Unknown"/>
    <s v="Merryfield - Bombay"/>
    <x v="348"/>
    <s v="KH126"/>
    <s v="Unknown"/>
    <n v="27"/>
    <n v="22"/>
    <n v="5"/>
    <n v="27"/>
    <n v="22"/>
    <n v="5"/>
    <n v="0"/>
    <s v="The aircraft crashed into a hill shortly after takeoff after and  making a turn, before reaching the prescribed altitude."/>
    <n v="0"/>
    <n v="1"/>
    <x v="1"/>
  </r>
  <r>
    <n v="830"/>
    <x v="769"/>
    <x v="34"/>
    <x v="0"/>
    <d v="1899-12-30T13:30:00"/>
    <s v="Near Rochefort , France"/>
    <s v="Military -Royal Air Force"/>
    <s v="Unknown"/>
    <s v="India - Cambridge, England"/>
    <x v="348"/>
    <s v="KH125"/>
    <s v="Unknown"/>
    <n v="28"/>
    <n v="23"/>
    <n v="5"/>
    <n v="28"/>
    <n v="23"/>
    <n v="5"/>
    <n v="0"/>
    <s v="Crashed in severe turbulence in thunderstorms after losing the right wing and breaking up."/>
    <n v="0"/>
    <n v="1"/>
    <x v="1"/>
  </r>
  <r>
    <n v="831"/>
    <x v="770"/>
    <x v="34"/>
    <x v="0"/>
    <d v="1899-12-30T20:00:00"/>
    <s v="Off the Florida coast"/>
    <s v="Military - U.S. Navy"/>
    <n v="19"/>
    <s v="Unknown"/>
    <x v="454"/>
    <s v="Unknown"/>
    <s v="Unknown"/>
    <n v="14"/>
    <n v="0"/>
    <n v="14"/>
    <n v="14"/>
    <n v="0"/>
    <n v="14"/>
    <n v="0"/>
    <s v="The five aircraft, (23307) (73209) (46325) (46094) (45714), flying out of the U.S. Naval Air Station at Fort Lauderdale, on a training mission,  became lost, ran out of fuel and crashed into the Atlantic Ocean.  No trace of the planes were ever found. This was the incident that began the &quot;Bermuda Triangle&quot; legend."/>
    <n v="0"/>
    <n v="1"/>
    <x v="1"/>
  </r>
  <r>
    <n v="832"/>
    <x v="771"/>
    <x v="34"/>
    <x v="0"/>
    <d v="1899-12-30T01:13:00"/>
    <s v="Near Billings, Montana"/>
    <s v="Military - U.S. Army"/>
    <s v="Unknown"/>
    <s v="Minneapolis - Fargo - Billings"/>
    <x v="368"/>
    <s v="45-0922"/>
    <s v="16925/34183"/>
    <n v="21"/>
    <n v="19"/>
    <n v="2"/>
    <n v="17"/>
    <n v="15"/>
    <n v="2"/>
    <n v="0"/>
    <s v="Crashed into a field after hitting trees while attempting to land in a snowstorm."/>
    <n v="4"/>
    <n v="0.80952380952380953"/>
    <x v="1"/>
  </r>
  <r>
    <n v="833"/>
    <x v="772"/>
    <x v="34"/>
    <x v="0"/>
    <d v="1899-12-30T10:10:00"/>
    <s v="Voksenkollen, Norway"/>
    <s v="Military - Royal Air Force"/>
    <s v="Unknown"/>
    <s v="Down Ampney - Copenhagen - Oslo"/>
    <x v="443"/>
    <s v="KN413"/>
    <s v="16090/32838"/>
    <n v="17"/>
    <n v="13"/>
    <n v="4"/>
    <n v="17"/>
    <n v="13"/>
    <n v="4"/>
    <n v="0"/>
    <s v="Flew into the side of a hill after icing caused loss of power while attempting to land."/>
    <n v="0"/>
    <n v="1"/>
    <x v="1"/>
  </r>
  <r>
    <n v="834"/>
    <x v="773"/>
    <x v="34"/>
    <x v="0"/>
    <d v="1899-12-30T19:30:00"/>
    <s v="Bangui, French Equatorial Africa"/>
    <s v="Air France"/>
    <s v="Unknown"/>
    <s v=" Paris - Nâ€™Djamena - Bangui - Antananarivo"/>
    <x v="345"/>
    <s v="F-BALV"/>
    <n v="2380"/>
    <n v="8"/>
    <n v="5"/>
    <n v="3"/>
    <n v="8"/>
    <n v="5"/>
    <n v="3"/>
    <n v="0"/>
    <s v="The aircraft went out of control and crashed in a wooded area located about 60 km west of Bangui Airport."/>
    <n v="0"/>
    <n v="1"/>
    <x v="1"/>
  </r>
  <r>
    <n v="835"/>
    <x v="773"/>
    <x v="34"/>
    <x v="0"/>
    <s v="Unknown"/>
    <s v="Near Dudinka, Russia"/>
    <s v="Polyarnya Aviatsiya"/>
    <s v="Unknown"/>
    <s v="Unknown"/>
    <x v="277"/>
    <s v="Unknown"/>
    <s v="Unknown"/>
    <n v="10"/>
    <n v="6"/>
    <n v="4"/>
    <n v="10"/>
    <n v="6"/>
    <n v="4"/>
    <n v="0"/>
    <s v="Crashed 50 miles northwest of Norilsk after catching fire in the air."/>
    <n v="0"/>
    <n v="1"/>
    <x v="1"/>
  </r>
  <r>
    <n v="836"/>
    <x v="774"/>
    <x v="34"/>
    <x v="0"/>
    <d v="1899-12-30T21:13:00"/>
    <s v="New York City, New York"/>
    <s v="Eastern Air Lines"/>
    <n v="14"/>
    <s v="Philadelphia - New York City"/>
    <x v="277"/>
    <s v="NC18l23"/>
    <n v="1999"/>
    <n v="12"/>
    <n v="9"/>
    <n v="3"/>
    <n v="1"/>
    <n v="1"/>
    <n v="0"/>
    <n v="0"/>
    <s v="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
    <n v="11"/>
    <n v="8.3333333333333329E-2"/>
    <x v="2"/>
  </r>
  <r>
    <n v="837"/>
    <x v="775"/>
    <x v="35"/>
    <x v="0"/>
    <d v="1899-12-30T03:59:00"/>
    <s v="Birmingham, Alabama"/>
    <s v="Pennsylvania Central Airlines"/>
    <n v="105"/>
    <s v="New York City - Birmingham, AL"/>
    <x v="277"/>
    <s v="N21786"/>
    <n v="4131"/>
    <n v="11"/>
    <n v="7"/>
    <n v="4"/>
    <n v="3"/>
    <n v="0"/>
    <n v="3"/>
    <n v="0"/>
    <s v="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
    <n v="8"/>
    <n v="0.27272727272727271"/>
    <x v="2"/>
  </r>
  <r>
    <n v="838"/>
    <x v="776"/>
    <x v="35"/>
    <x v="0"/>
    <s v="Unknown"/>
    <s v="Changchun, China"/>
    <s v="Military - Chinese Air Force"/>
    <s v="Unknown"/>
    <s v="Unknown"/>
    <x v="368"/>
    <s v="Unknown"/>
    <s v="Unknown"/>
    <n v="18"/>
    <s v="NULL"/>
    <s v="NULL"/>
    <n v="18"/>
    <s v="NULL"/>
    <s v="NULL"/>
    <n v="0"/>
    <s v="No data available"/>
    <n v="0"/>
    <n v="1"/>
    <x v="1"/>
  </r>
  <r>
    <n v="839"/>
    <x v="777"/>
    <x v="35"/>
    <x v="0"/>
    <s v="Unknown"/>
    <s v="Near Netrubezh, Russia"/>
    <s v="Aeroflot"/>
    <s v="Unknown"/>
    <s v="Kharkov, Ukraine - Moscow"/>
    <x v="420"/>
    <s v="SSSR-4150"/>
    <s v="Unknown"/>
    <n v="22"/>
    <n v="17"/>
    <n v="5"/>
    <n v="22"/>
    <n v="17"/>
    <n v="5"/>
    <n v="0"/>
    <s v="Experienced severe icing resulting in buffeting and structural failure."/>
    <n v="0"/>
    <n v="1"/>
    <x v="1"/>
  </r>
  <r>
    <n v="840"/>
    <x v="778"/>
    <x v="35"/>
    <x v="0"/>
    <d v="1899-12-30T18:25:00"/>
    <s v="Marseilles, France"/>
    <s v="Military -Royal Air Force"/>
    <s v="Unknown"/>
    <s v="Unknown"/>
    <x v="422"/>
    <s v="KN557"/>
    <n v="33171"/>
    <n v="25"/>
    <n v="21"/>
    <n v="4"/>
    <n v="23"/>
    <n v="19"/>
    <n v="4"/>
    <n v="0"/>
    <s v="Crashed into a mountainside in a snowstorm."/>
    <n v="2"/>
    <n v="0.92"/>
    <x v="1"/>
  </r>
  <r>
    <n v="841"/>
    <x v="779"/>
    <x v="35"/>
    <x v="0"/>
    <d v="1899-12-30T11:03:00"/>
    <s v="Cheshire, Connecticut"/>
    <s v="Eastern Air Lines"/>
    <s v="16B"/>
    <s v="New York - Boston"/>
    <x v="455"/>
    <s v="NC19970"/>
    <n v="3254"/>
    <n v="17"/>
    <n v="14"/>
    <n v="3"/>
    <n v="17"/>
    <n v="14"/>
    <n v="3"/>
    <n v="0"/>
    <s v="The aircraft lost control and spiraled into the ground after the No. 1 engine caught on fire and the left wing separated from the aircraft. The fire, caused by the failure of a fuel line or fuel line connection, led to failure of the left wing."/>
    <n v="0"/>
    <n v="1"/>
    <x v="1"/>
  </r>
  <r>
    <n v="842"/>
    <x v="780"/>
    <x v="35"/>
    <x v="0"/>
    <s v="Unknown"/>
    <s v="Crowsnest Pass, Alberta, Canada"/>
    <s v="Mililtary - Royal Canadian Air Force"/>
    <s v="Unknown"/>
    <s v="Comox, BC - Greenwood,NS"/>
    <x v="456"/>
    <s v="Unknown"/>
    <s v="Unknown"/>
    <n v="7"/>
    <n v="0"/>
    <n v="7"/>
    <n v="7"/>
    <n v="0"/>
    <n v="7"/>
    <n v="0"/>
    <s v="Collided with Mt. Ptolemy while en route."/>
    <n v="0"/>
    <n v="1"/>
    <x v="1"/>
  </r>
  <r>
    <n v="843"/>
    <x v="781"/>
    <x v="35"/>
    <x v="0"/>
    <s v="Unknown"/>
    <s v="Near Le Mans, France"/>
    <s v="Military - Royal Air Force"/>
    <s v="Unknown"/>
    <s v="Unknown"/>
    <x v="443"/>
    <s v="KN500"/>
    <s v="16277/33025"/>
    <n v="11"/>
    <s v="NULL"/>
    <s v="NULL"/>
    <n v="11"/>
    <s v="NULL"/>
    <s v="NULL"/>
    <n v="0"/>
    <s v="No data available"/>
    <n v="0"/>
    <n v="1"/>
    <x v="1"/>
  </r>
  <r>
    <n v="844"/>
    <x v="782"/>
    <x v="35"/>
    <x v="0"/>
    <d v="1899-12-30T02:47:00"/>
    <s v="Mt. Elk, Wyoming"/>
    <s v="United Air Lines"/>
    <n v="14"/>
    <s v="Boise - Denver"/>
    <x v="457"/>
    <s v="NC25675"/>
    <n v="2147"/>
    <n v="21"/>
    <n v="18"/>
    <n v="3"/>
    <n v="21"/>
    <n v="18"/>
    <n v="3"/>
    <n v="0"/>
    <s v="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
    <n v="0"/>
    <n v="1"/>
    <x v="1"/>
  </r>
  <r>
    <n v="845"/>
    <x v="783"/>
    <x v="35"/>
    <x v="0"/>
    <s v="Unknown"/>
    <s v="Negros, Philippines"/>
    <s v="Military - U.S. Army Air Forces"/>
    <s v="Unknown"/>
    <s v="Iloilo - Cebu"/>
    <x v="368"/>
    <s v="Unknown"/>
    <s v="Unknown"/>
    <n v="20"/>
    <n v="16"/>
    <n v="4"/>
    <n v="20"/>
    <n v="16"/>
    <n v="4"/>
    <n v="0"/>
    <s v="Crashed into mountainous terrain while en route."/>
    <n v="0"/>
    <n v="1"/>
    <x v="1"/>
  </r>
  <r>
    <n v="846"/>
    <x v="784"/>
    <x v="35"/>
    <x v="0"/>
    <s v="Unknown"/>
    <s v="Charlottetown, PE, Canada"/>
    <s v="British Overseas Airways"/>
    <s v="Unknown"/>
    <s v="Unknown"/>
    <x v="458"/>
    <s v="G-AGEM"/>
    <n v="26"/>
    <n v="14"/>
    <s v="NULL"/>
    <s v="NULL"/>
    <n v="1"/>
    <s v="NULL"/>
    <s v="NULL"/>
    <n v="0"/>
    <s v="Crashed while attempting to land. Icing."/>
    <n v="13"/>
    <n v="7.1428571428571425E-2"/>
    <x v="2"/>
  </r>
  <r>
    <n v="847"/>
    <x v="785"/>
    <x v="35"/>
    <x v="0"/>
    <d v="1899-12-30T08:12:00"/>
    <s v="Live Oak Springs, California"/>
    <s v="American Airlines"/>
    <s v="6-103"/>
    <s v="Dallas - Tucon - San Diego"/>
    <x v="459"/>
    <s v="NC21799"/>
    <n v="2203"/>
    <n v="27"/>
    <n v="24"/>
    <n v="3"/>
    <n v="27"/>
    <n v="24"/>
    <n v="3"/>
    <n v="0"/>
    <s v="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
    <n v="0"/>
    <n v="1"/>
    <x v="1"/>
  </r>
  <r>
    <n v="848"/>
    <x v="786"/>
    <x v="35"/>
    <x v="0"/>
    <d v="1899-12-30T17:00:00"/>
    <s v="Near Prague, Czechoslovakia"/>
    <s v="Ceskoslovenske Aerolinie"/>
    <s v="Unknown"/>
    <s v="Paris - Prauge"/>
    <x v="213"/>
    <s v="OK-ZDN"/>
    <s v="Unknown"/>
    <n v="15"/>
    <n v="11"/>
    <n v="4"/>
    <n v="12"/>
    <n v="10"/>
    <n v="2"/>
    <n v="0"/>
    <s v="Crashed and burned while approaching Ruzyne Aerodome to land after experiencing engine problems."/>
    <n v="3"/>
    <n v="0.8"/>
    <x v="1"/>
  </r>
  <r>
    <n v="849"/>
    <x v="787"/>
    <x v="35"/>
    <x v="0"/>
    <d v="1899-12-30T20:55:00"/>
    <s v="Off Hobart, Tasmania"/>
    <s v="Australian National Airways"/>
    <s v="Unknown"/>
    <s v="Hobart - Melbourne"/>
    <x v="460"/>
    <s v="VH-AET"/>
    <n v="6013"/>
    <n v="25"/>
    <n v="21"/>
    <n v="4"/>
    <n v="25"/>
    <n v="21"/>
    <n v="4"/>
    <n v="0"/>
    <s v="The aircraft crashed 10 mins after takeoff from Hobart. Inadvertent engagement of the autopilot instead of the fuel crossfeed."/>
    <n v="0"/>
    <n v="1"/>
    <x v="1"/>
  </r>
  <r>
    <n v="850"/>
    <x v="788"/>
    <x v="35"/>
    <x v="0"/>
    <s v="Unknown"/>
    <s v="Near Nanking, China"/>
    <s v="Military - Chinese Air Force"/>
    <s v="Unknown"/>
    <s v="Shanghai - Nanking"/>
    <x v="45"/>
    <s v="Unknown"/>
    <s v="Unknown"/>
    <n v="20"/>
    <s v="NULL"/>
    <s v="NULL"/>
    <n v="20"/>
    <s v="NULL"/>
    <s v="NULL"/>
    <n v="0"/>
    <s v="Crashed into mountainous terrain in low visibility while en route."/>
    <n v="0"/>
    <n v="1"/>
    <x v="1"/>
  </r>
  <r>
    <n v="851"/>
    <x v="789"/>
    <x v="35"/>
    <x v="0"/>
    <s v="Unknown"/>
    <s v="Between Chungking and Shanghai, China"/>
    <s v="China National Aviation Corporation"/>
    <s v="Unknown"/>
    <s v="Chunking - Shanghai"/>
    <x v="45"/>
    <n v="139"/>
    <s v="Unknown"/>
    <s v="NULL"/>
    <s v="NULL"/>
    <s v="NULL"/>
    <s v="NULL"/>
    <s v="NULL"/>
    <s v="NULL"/>
    <s v="NULL"/>
    <s v="Disappeared while en route. Plane never located."/>
    <s v="NULL"/>
    <n v="0"/>
    <x v="2"/>
  </r>
  <r>
    <n v="852"/>
    <x v="790"/>
    <x v="35"/>
    <x v="0"/>
    <d v="1899-12-30T11:45:00"/>
    <s v="Hobart Mills, California"/>
    <s v="Military - U.S. Army Air Forces"/>
    <s v="Unknown"/>
    <s v="Stockton, CA - Ogden, UT"/>
    <x v="443"/>
    <s v="45-1085"/>
    <s v="Unknown"/>
    <n v="26"/>
    <n v="23"/>
    <n v="3"/>
    <n v="26"/>
    <n v="23"/>
    <n v="3"/>
    <n v="0"/>
    <s v="The aircraft lost its right wing and disintegrated over Donner Summit for reasons unknown."/>
    <n v="0"/>
    <n v="1"/>
    <x v="1"/>
  </r>
  <r>
    <n v="853"/>
    <x v="791"/>
    <x v="35"/>
    <x v="0"/>
    <s v="Unknown"/>
    <s v="Off Ceylon, Cocos Islands, Indian Ocean"/>
    <s v="British Overseas Airways /Qantas"/>
    <s v="Unknown"/>
    <s v="Karachi - Australia"/>
    <x v="461"/>
    <s v="G-AGLX"/>
    <n v="1178"/>
    <n v="10"/>
    <n v="5"/>
    <n v="5"/>
    <n v="10"/>
    <n v="5"/>
    <n v="5"/>
    <n v="0"/>
    <s v="Disappeared between Ceylon and the Cocos Islands while en route. Aircraft owned by BOAC and operated by both airlines on Sydney-London services (BOAC crews operated London-Karachi and Qantas crews Karachi-Sydney)."/>
    <n v="0"/>
    <n v="1"/>
    <x v="1"/>
  </r>
  <r>
    <n v="854"/>
    <x v="792"/>
    <x v="35"/>
    <x v="0"/>
    <d v="1899-12-30T10:00:00"/>
    <s v="near Craigavad, Northern Ireland"/>
    <s v="Railway Air Services Ltd."/>
    <s v="Unknown"/>
    <s v="Liverpool - Belfast"/>
    <x v="462"/>
    <s v="G-AERZ"/>
    <s v="Unknown"/>
    <n v="6"/>
    <n v="4"/>
    <n v="2"/>
    <n v="6"/>
    <n v="4"/>
    <n v="2"/>
    <n v="0"/>
    <s v="Crashed 5 miles north northeast of belfast while attempting to land in advese weather. Pilot error. The pilot failed to maintain a course necessary to avoid higher terrain."/>
    <n v="0"/>
    <n v="1"/>
    <x v="1"/>
  </r>
  <r>
    <n v="855"/>
    <x v="793"/>
    <x v="35"/>
    <x v="0"/>
    <d v="1899-12-30T11:15:00"/>
    <s v="Rabat, Malta"/>
    <s v="Military - Royal British Navy"/>
    <s v="Unknown"/>
    <s v="Unknown"/>
    <x v="463"/>
    <s v="HE-274"/>
    <s v="Unknown"/>
    <n v="4"/>
    <n v="0"/>
    <n v="4"/>
    <n v="4"/>
    <n v="0"/>
    <n v="4"/>
    <n v="16"/>
    <s v="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
    <n v="0"/>
    <n v="1"/>
    <x v="1"/>
  </r>
  <r>
    <n v="856"/>
    <x v="794"/>
    <x v="35"/>
    <x v="0"/>
    <s v="Unknown"/>
    <s v="Near Shensi, China"/>
    <s v="Unknown"/>
    <s v="Unknown"/>
    <s v="Shensi - Yenan"/>
    <x v="45"/>
    <s v="Unknown"/>
    <s v="Unknown"/>
    <n v="14"/>
    <n v="11"/>
    <n v="3"/>
    <n v="14"/>
    <n v="11"/>
    <n v="3"/>
    <n v="0"/>
    <s v="No data available"/>
    <n v="0"/>
    <n v="1"/>
    <x v="1"/>
  </r>
  <r>
    <n v="857"/>
    <x v="795"/>
    <x v="35"/>
    <x v="0"/>
    <s v="Unknown"/>
    <s v="La Liberiad, Nicaragua"/>
    <s v="TACA"/>
    <s v="Unknown"/>
    <s v="La Liberiad - Managua"/>
    <x v="299"/>
    <s v="AN-ACC"/>
    <s v="Unknown"/>
    <n v="21"/>
    <n v="18"/>
    <n v="3"/>
    <n v="20"/>
    <n v="17"/>
    <n v="3"/>
    <n v="0"/>
    <s v="Crashed on takeoff."/>
    <n v="1"/>
    <n v="0.95238095238095233"/>
    <x v="1"/>
  </r>
  <r>
    <n v="858"/>
    <x v="796"/>
    <x v="35"/>
    <x v="0"/>
    <s v="Unknown"/>
    <s v="Pindi-Khut ,India"/>
    <s v="Military - Royal Air Force"/>
    <s v="Unknown"/>
    <s v="Unknown"/>
    <x v="402"/>
    <s v=" FZ559"/>
    <n v="12094"/>
    <n v="12"/>
    <s v="NULL"/>
    <s v="NULL"/>
    <n v="12"/>
    <s v="NULL"/>
    <s v="NULL"/>
    <n v="0"/>
    <s v="Broke up in midair and crashed."/>
    <n v="0"/>
    <n v="1"/>
    <x v="1"/>
  </r>
  <r>
    <n v="859"/>
    <x v="797"/>
    <x v="35"/>
    <x v="0"/>
    <s v="Unknown"/>
    <s v="Munson, Florida"/>
    <s v="Military U.S. Navy / Military - U.S. Navy"/>
    <s v="Unknown"/>
    <s v="Unknown"/>
    <x v="464"/>
    <s v="Unknown"/>
    <s v="Unknown"/>
    <n v="28"/>
    <s v="NULL"/>
    <s v="NULL"/>
    <n v="28"/>
    <s v="NULL"/>
    <s v="NULL"/>
    <n v="0"/>
    <s v="Collided in midair while a fighter made practice diving maneuvers on the formation."/>
    <n v="0"/>
    <n v="1"/>
    <x v="1"/>
  </r>
  <r>
    <n v="860"/>
    <x v="798"/>
    <x v="35"/>
    <x v="0"/>
    <d v="1899-12-30T01:00:00"/>
    <s v="Richmond, Virginia"/>
    <s v="Viking Air Transport"/>
    <s v="Unknown"/>
    <s v="Richmond - Atlanta"/>
    <x v="277"/>
    <s v="NC53218"/>
    <n v="19626"/>
    <n v="27"/>
    <n v="25"/>
    <n v="2"/>
    <n v="27"/>
    <n v="25"/>
    <n v="2"/>
    <n v="0"/>
    <s v="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
    <n v="0"/>
    <n v="1"/>
    <x v="1"/>
  </r>
  <r>
    <n v="861"/>
    <x v="799"/>
    <x v="35"/>
    <x v="0"/>
    <d v="1899-12-30T13:00:00"/>
    <s v="Oslo, Norway"/>
    <s v="DNL Norwegian Air Lines"/>
    <s v="Unknown"/>
    <s v="Oslo - Stockholm"/>
    <x v="213"/>
    <s v="LN-LAB"/>
    <n v="6048"/>
    <n v="14"/>
    <n v="11"/>
    <n v="3"/>
    <n v="13"/>
    <n v="10"/>
    <n v="3"/>
    <n v="0"/>
    <s v="Crashed into Oslo Fjord shortly after takeoff. Engine trouble forced the plane back but it stalled and crashed into trees and a house."/>
    <n v="1"/>
    <n v="0.9285714285714286"/>
    <x v="1"/>
  </r>
  <r>
    <n v="862"/>
    <x v="800"/>
    <x v="35"/>
    <x v="0"/>
    <d v="1899-12-30T07:40:00"/>
    <s v="Off Amalfi, Italy"/>
    <s v="Military - U.S. Army Air Forces"/>
    <s v="Unknown"/>
    <s v="Cairo - Rome"/>
    <x v="465"/>
    <s v="44-9078"/>
    <n v="27304"/>
    <n v="38"/>
    <n v="30"/>
    <n v="8"/>
    <n v="30"/>
    <n v="26"/>
    <n v="4"/>
    <n v="0"/>
    <s v="A fire of undetermined origin erupted in the cockpit. The crew  was unable to control the smoke and flames, lost control and the aircraft and crashed. Eight aboard parachuted to safety."/>
    <n v="8"/>
    <n v="0.78947368421052633"/>
    <x v="1"/>
  </r>
  <r>
    <n v="863"/>
    <x v="801"/>
    <x v="35"/>
    <x v="0"/>
    <d v="1899-12-30T10:30:00"/>
    <s v="Taboga Island, Panama"/>
    <s v="Military - U.S. Army Air Forces"/>
    <s v="Unknown"/>
    <s v="Unknown"/>
    <x v="466"/>
    <s v="43-17231"/>
    <n v="22181"/>
    <n v="23"/>
    <n v="17"/>
    <n v="6"/>
    <n v="23"/>
    <n v="17"/>
    <n v="6"/>
    <n v="0"/>
    <s v="Crashed into a summit after flying below the prescribed altitude."/>
    <n v="0"/>
    <n v="1"/>
    <x v="1"/>
  </r>
  <r>
    <n v="864"/>
    <x v="801"/>
    <x v="35"/>
    <x v="0"/>
    <d v="1899-12-30T13:15:00"/>
    <s v="Near Abeokuta, Nigeria"/>
    <s v="Military -Royal Air Force"/>
    <s v="Unknown"/>
    <s v="Kano - Ikeja"/>
    <x v="422"/>
    <s v="KG747"/>
    <n v="25291"/>
    <n v="18"/>
    <n v="12"/>
    <n v="6"/>
    <n v="18"/>
    <n v="12"/>
    <n v="6"/>
    <n v="0"/>
    <s v="Flying low to avoid poor weather, the aircraft crashed while en route from Kano to Ikeja."/>
    <n v="0"/>
    <n v="1"/>
    <x v="1"/>
  </r>
  <r>
    <n v="865"/>
    <x v="802"/>
    <x v="35"/>
    <x v="0"/>
    <s v="Unknown"/>
    <s v="Off Malaya"/>
    <s v="Military - Royal Air Force"/>
    <s v="Unknown"/>
    <s v="Unknown"/>
    <x v="443"/>
    <s v="KJ918"/>
    <s v="14641/26086"/>
    <n v="18"/>
    <s v="NULL"/>
    <s v="NULL"/>
    <n v="18"/>
    <s v="NULL"/>
    <s v="NULL"/>
    <n v="0"/>
    <s v="Disappeared."/>
    <n v="0"/>
    <n v="1"/>
    <x v="1"/>
  </r>
  <r>
    <n v="866"/>
    <x v="802"/>
    <x v="35"/>
    <x v="0"/>
    <s v="Unknown"/>
    <s v="Pau, France"/>
    <s v="Air France"/>
    <s v="Unknown"/>
    <s v="Unknown"/>
    <x v="213"/>
    <s v="F-BAJS"/>
    <s v="AAC020"/>
    <n v="3"/>
    <n v="0"/>
    <n v="3"/>
    <n v="2"/>
    <n v="0"/>
    <n v="2"/>
    <n v="0"/>
    <s v="The cargo  plane struck power lines and crashed while attempting to take off."/>
    <n v="1"/>
    <n v="0.66666666666666663"/>
    <x v="1"/>
  </r>
  <r>
    <n v="867"/>
    <x v="803"/>
    <x v="35"/>
    <x v="0"/>
    <d v="1899-12-30T20:10:00"/>
    <s v="Holyoke, Massachusetts"/>
    <s v="Military - U.S. Army Air Forces"/>
    <s v="Unknown"/>
    <s v="Unknown"/>
    <x v="467"/>
    <s v="43-39136"/>
    <s v="Unknown"/>
    <n v="25"/>
    <n v="21"/>
    <n v="4"/>
    <n v="25"/>
    <n v="21"/>
    <n v="4"/>
    <n v="0"/>
    <s v="Struck a slope on Mt. Tom during an approach to land at Westover Field."/>
    <n v="0"/>
    <n v="1"/>
    <x v="1"/>
  </r>
  <r>
    <n v="868"/>
    <x v="804"/>
    <x v="35"/>
    <x v="0"/>
    <s v="Unknown"/>
    <s v="Reading, Pennsylvania"/>
    <s v="Trans Continental and Western Air"/>
    <n v="513"/>
    <s v="Training flight"/>
    <x v="468"/>
    <s v="NC86513"/>
    <n v="2040"/>
    <n v="6"/>
    <n v="0"/>
    <n v="6"/>
    <n v="5"/>
    <n v="0"/>
    <n v="5"/>
    <n v="0"/>
    <s v="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
    <n v="1"/>
    <n v="0.83333333333333337"/>
    <x v="1"/>
  </r>
  <r>
    <n v="869"/>
    <x v="805"/>
    <x v="35"/>
    <x v="0"/>
    <s v="Unknown"/>
    <s v="Tsinan, China"/>
    <s v="Central Air Transport"/>
    <s v="Unknown"/>
    <s v="Unknown"/>
    <x v="469"/>
    <s v="Unknown"/>
    <s v="Unknown"/>
    <n v="49"/>
    <n v="47"/>
    <n v="2"/>
    <n v="13"/>
    <n v="11"/>
    <n v="2"/>
    <n v="0"/>
    <s v="The aircraft crashed 1 mile from the airfield shortly after takeoff due to engine failure."/>
    <n v="36"/>
    <n v="0.26530612244897961"/>
    <x v="2"/>
  </r>
  <r>
    <n v="870"/>
    <x v="806"/>
    <x v="35"/>
    <x v="0"/>
    <s v="Unknown"/>
    <s v="Cuenca, Ecuador"/>
    <s v="ANDESA"/>
    <s v="Unknown"/>
    <s v="Guayaquil - Cuenca"/>
    <x v="470"/>
    <s v="HC-SCA"/>
    <n v="32982"/>
    <n v="30"/>
    <n v="27"/>
    <n v="3"/>
    <n v="30"/>
    <n v="27"/>
    <n v="3"/>
    <n v="0"/>
    <s v="Overshot the runway. The pilot was unable to regain altitude and the plane crashed into a hill and burst into flames."/>
    <n v="0"/>
    <n v="1"/>
    <x v="1"/>
  </r>
  <r>
    <n v="871"/>
    <x v="807"/>
    <x v="35"/>
    <x v="0"/>
    <d v="1899-12-30T21:10:00"/>
    <s v="Goodland, Kansas"/>
    <s v="Military - U.S. Army Air Corps"/>
    <s v="Unknown"/>
    <s v="Topeka - Denver"/>
    <x v="368"/>
    <s v="Unknown"/>
    <s v="Unknown"/>
    <n v="13"/>
    <n v="10"/>
    <n v="3"/>
    <n v="13"/>
    <n v="10"/>
    <n v="3"/>
    <n v="0"/>
    <s v="Crashed into a field during a thunder and lightning storm."/>
    <n v="0"/>
    <n v="1"/>
    <x v="1"/>
  </r>
  <r>
    <n v="872"/>
    <x v="808"/>
    <x v="35"/>
    <x v="0"/>
    <d v="1899-12-30T12:15:00"/>
    <s v="Off the Panama coast"/>
    <s v="Military -  (2) U.S. Army Air Forces"/>
    <s v="Unknown"/>
    <s v="Unknown"/>
    <x v="471"/>
    <s v="4485624/4485626"/>
    <s v="Unknown"/>
    <n v="20"/>
    <s v="NULL"/>
    <s v="NULL"/>
    <n v="20"/>
    <s v="NULL"/>
    <s v="NULL"/>
    <n v="0"/>
    <s v="The two aircraft collided in midair, 20 miles north of the Panamanian island of Coiba while searching for a missing plane. Ten died aboard each aircraft."/>
    <n v="0"/>
    <n v="1"/>
    <x v="1"/>
  </r>
  <r>
    <n v="873"/>
    <x v="809"/>
    <x v="35"/>
    <x v="0"/>
    <s v="Unknown"/>
    <s v="Bassein, Burma"/>
    <s v="Military -Royal Air Force"/>
    <s v="Unknown"/>
    <s v="Unknown"/>
    <x v="422"/>
    <s v="KN585"/>
    <n v="33219"/>
    <n v="22"/>
    <n v="18"/>
    <n v="4"/>
    <n v="22"/>
    <n v="18"/>
    <n v="4"/>
    <n v="0"/>
    <s v="Crashed into a swamp soon after taking off after suffering structural failure of the left wing in adverse weather conditions."/>
    <n v="0"/>
    <n v="1"/>
    <x v="1"/>
  </r>
  <r>
    <n v="874"/>
    <x v="810"/>
    <x v="35"/>
    <x v="0"/>
    <d v="1899-12-30T08:30:00"/>
    <s v="Near Huatesco, Veracruz, Mexico"/>
    <s v="Communicaciones Aereos de veracruz"/>
    <s v="Unknown"/>
    <s v="Jalapa - Cordoba"/>
    <x v="158"/>
    <s v="XA-DEJ"/>
    <s v="Unknown"/>
    <n v="9"/>
    <s v="NULL"/>
    <s v="NULL"/>
    <n v="9"/>
    <s v="NULL"/>
    <s v="NULL"/>
    <n v="0"/>
    <s v="Returned to the airport after suffering engine failure, the plane crashed 40 miles southeast of Jalapa."/>
    <n v="0"/>
    <n v="1"/>
    <x v="1"/>
  </r>
  <r>
    <n v="875"/>
    <x v="811"/>
    <x v="35"/>
    <x v="0"/>
    <s v="Unknown"/>
    <s v="Oslo, Norway"/>
    <s v="British European Airways"/>
    <s v="Unknown"/>
    <s v="Northolt - Oslo"/>
    <x v="472"/>
    <s v="G-AHCS"/>
    <n v="12348"/>
    <n v="16"/>
    <n v="11"/>
    <n v="5"/>
    <n v="3"/>
    <n v="0"/>
    <n v="3"/>
    <n v="0"/>
    <s v="Flew into trees on Mistberget mountain at 2,000ft. while on approach to Oslo. Pilot error. Descended too early.  Inexperience in radio range flying and inadequate equipment."/>
    <n v="13"/>
    <n v="0.1875"/>
    <x v="2"/>
  </r>
  <r>
    <n v="876"/>
    <x v="812"/>
    <x v="35"/>
    <x v="0"/>
    <s v="Unknown"/>
    <s v="Lakehurst, New Jersey"/>
    <s v="Atlantic Central Airlines"/>
    <s v="Unknown"/>
    <s v="Atlantic City - Newark"/>
    <x v="398"/>
    <s v="Unknown"/>
    <s v="Unknown"/>
    <n v="6"/>
    <n v="4"/>
    <n v="2"/>
    <n v="4"/>
    <n v="2"/>
    <n v="2"/>
    <n v="0"/>
    <s v="Crashed and burned while attempting to glide in for an emergency landing at Lakhurst Field."/>
    <n v="2"/>
    <n v="0.66666666666666663"/>
    <x v="1"/>
  </r>
  <r>
    <n v="877"/>
    <x v="813"/>
    <x v="35"/>
    <x v="0"/>
    <s v="Unknown"/>
    <s v="Malta-Luqa, Malta"/>
    <s v="BOAC"/>
    <s v="Unknown"/>
    <s v="Unknown"/>
    <x v="402"/>
    <s v="G-AGHT"/>
    <n v="10103"/>
    <n v="5"/>
    <n v="0"/>
    <n v="5"/>
    <n v="1"/>
    <n v="0"/>
    <n v="1"/>
    <n v="0"/>
    <s v="The port engine and, later, the starboard engine failed as the result of fuel starvation. Circumstantial evidence suggests strongly that this was caused by the inadvertent selection of the auxiliary fuel tanks which at that time contained only a small amount of fuel."/>
    <n v="4"/>
    <n v="0.2"/>
    <x v="2"/>
  </r>
  <r>
    <n v="878"/>
    <x v="814"/>
    <x v="35"/>
    <x v="0"/>
    <d v="1899-12-30T06:15:00"/>
    <s v="Rouen, France"/>
    <s v="British Overseas Airways"/>
    <s v="Unknown"/>
    <s v="Palestine - London"/>
    <x v="461"/>
    <s v="G-AGMF"/>
    <n v="1186"/>
    <n v="9"/>
    <n v="0"/>
    <n v="9"/>
    <n v="8"/>
    <n v="0"/>
    <n v="8"/>
    <n v="0"/>
    <s v="Descended through clouds and crashed. Premature descent by the crew without establishing their position.  Training flight."/>
    <n v="1"/>
    <n v="0.88888888888888884"/>
    <x v="1"/>
  </r>
  <r>
    <n v="879"/>
    <x v="815"/>
    <x v="35"/>
    <x v="0"/>
    <d v="1899-12-30T04:19:00"/>
    <s v="Moline, Illinois"/>
    <s v="Trans Luxury Airlines"/>
    <n v="878"/>
    <s v="Teterboro - Chicago - San Francisco"/>
    <x v="383"/>
    <s v="N51878"/>
    <n v="4542"/>
    <n v="25"/>
    <n v="22"/>
    <n v="3"/>
    <n v="2"/>
    <n v="0"/>
    <n v="2"/>
    <n v="0"/>
    <s v="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
    <n v="23"/>
    <n v="0.08"/>
    <x v="2"/>
  </r>
  <r>
    <n v="880"/>
    <x v="816"/>
    <x v="35"/>
    <x v="0"/>
    <s v="Unknown"/>
    <s v="Cairo, Egypt"/>
    <s v="Misrair"/>
    <s v="Unknown"/>
    <s v="Unknown"/>
    <x v="473"/>
    <s v="SU-ADJ"/>
    <n v="1272"/>
    <n v="9"/>
    <s v="NULL"/>
    <s v="NULL"/>
    <n v="6"/>
    <s v="NULL"/>
    <s v="NULL"/>
    <n v="0"/>
    <s v="Crashed and caught fire."/>
    <n v="3"/>
    <n v="0.66666666666666663"/>
    <x v="1"/>
  </r>
  <r>
    <n v="881"/>
    <x v="817"/>
    <x v="35"/>
    <x v="0"/>
    <s v="Unknown"/>
    <s v="Near Prince Rupert, British Columbia, Canada"/>
    <s v="Queen Charlotte Airlines"/>
    <s v="Unknown"/>
    <s v="Stewart - Prince Rupert"/>
    <x v="474"/>
    <s v="CF-BYL"/>
    <s v="Unknown"/>
    <n v="7"/>
    <n v="3"/>
    <n v="4"/>
    <n v="7"/>
    <n v="3"/>
    <n v="4"/>
    <n v="0"/>
    <s v="Crashed in Chatham Sound while preparing to land in heavy fog."/>
    <n v="0"/>
    <n v="1"/>
    <x v="1"/>
  </r>
  <r>
    <n v="882"/>
    <x v="818"/>
    <x v="35"/>
    <x v="0"/>
    <d v="1899-12-30T17:00:00"/>
    <s v="Holtug, Denmark"/>
    <s v="Air France"/>
    <s v="Unknown"/>
    <s v="Copenhagen - Paris"/>
    <x v="475"/>
    <s v="F-BADB"/>
    <n v="11714"/>
    <n v="22"/>
    <n v="17"/>
    <n v="5"/>
    <n v="22"/>
    <n v="17"/>
    <n v="5"/>
    <n v="0"/>
    <s v="Shortly after takeoff, the aircraft crashed into a field 40 miles south of Copenhagen, exploding and bursting into flames. One of the engines had caught fire prior to the crash resulting from a fuel leak."/>
    <n v="0"/>
    <n v="1"/>
    <x v="1"/>
  </r>
  <r>
    <n v="883"/>
    <x v="819"/>
    <x v="35"/>
    <x v="0"/>
    <d v="1899-12-30T09:15:00"/>
    <s v="Le Bourget, France"/>
    <s v="Air France"/>
    <s v="Unknown"/>
    <s v="Paris - Croydon"/>
    <x v="277"/>
    <s v="F-BAXD"/>
    <n v="42975"/>
    <n v="26"/>
    <n v="21"/>
    <n v="5"/>
    <n v="20"/>
    <n v="18"/>
    <n v="2"/>
    <n v="1"/>
    <s v="Lost altitude after losing an engine on takeoff  and crashed into a factory yard."/>
    <n v="6"/>
    <n v="0.76923076923076927"/>
    <x v="1"/>
  </r>
  <r>
    <n v="884"/>
    <x v="820"/>
    <x v="35"/>
    <x v="0"/>
    <d v="1899-12-30T02:00:00"/>
    <s v="Elko, Nevada"/>
    <s v="Trans-Luxury Airlines"/>
    <n v="850"/>
    <s v="New York City - San Francisco"/>
    <x v="476"/>
    <s v="NC57850"/>
    <n v="9214"/>
    <n v="22"/>
    <n v="19"/>
    <n v="3"/>
    <n v="21"/>
    <n v="18"/>
    <n v="3"/>
    <n v="0"/>
    <s v="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
    <n v="1"/>
    <n v="0.95454545454545459"/>
    <x v="1"/>
  </r>
  <r>
    <n v="885"/>
    <x v="821"/>
    <x v="35"/>
    <x v="0"/>
    <s v="Unknown"/>
    <s v="Bathurst, Gambia"/>
    <s v="British South American Airways"/>
    <s v="Unknown"/>
    <s v="Bathrust, - Argentina"/>
    <x v="477"/>
    <s v="G-AHEW"/>
    <n v="1300"/>
    <n v="24"/>
    <n v="20"/>
    <n v="4"/>
    <n v="24"/>
    <n v="20"/>
    <n v="4"/>
    <n v="0"/>
    <s v="The aircraft crashed shortly after takeoff after a loss of control by  the captain.  Loss of control by the captain for unknown reasons with mishandling of the controls the most likely explanation. The aircraft was named &quot;Star Leader.&quot;"/>
    <n v="0"/>
    <n v="1"/>
    <x v="1"/>
  </r>
  <r>
    <n v="886"/>
    <x v="821"/>
    <x v="35"/>
    <x v="0"/>
    <s v="Unknown"/>
    <s v="Nome, Alaska"/>
    <s v="Mt. McKinley Airfreight"/>
    <s v="Unknown"/>
    <s v="Unknown"/>
    <x v="402"/>
    <s v="Unknown"/>
    <s v="Unknown"/>
    <n v="4"/>
    <n v="2"/>
    <n v="2"/>
    <n v="4"/>
    <n v="2"/>
    <n v="2"/>
    <n v="0"/>
    <s v="The cargo plane went off course and struck a fog covered mountain as it circled to land."/>
    <n v="0"/>
    <n v="1"/>
    <x v="1"/>
  </r>
  <r>
    <n v="887"/>
    <x v="822"/>
    <x v="35"/>
    <x v="0"/>
    <s v="Unknown"/>
    <s v="Estevan, Saskatchewan, Canada"/>
    <s v="Military - Royal Canadian Air Force"/>
    <s v="Unknown"/>
    <s v="Unknown"/>
    <x v="478"/>
    <n v="962"/>
    <n v="12544"/>
    <n v="21"/>
    <s v="NULL"/>
    <s v="NULL"/>
    <n v="21"/>
    <s v="NULL"/>
    <s v="NULL"/>
    <n v="0"/>
    <s v="The pilot lost control of the aircraft after attempting a go-around maneuver."/>
    <n v="0"/>
    <n v="1"/>
    <x v="1"/>
  </r>
  <r>
    <n v="888"/>
    <x v="823"/>
    <x v="35"/>
    <x v="0"/>
    <d v="1899-12-30T01:17:00"/>
    <s v="Brussels, Belgium"/>
    <s v="Sabena"/>
    <s v="Unknown"/>
    <s v="Brussels - Croydon"/>
    <x v="383"/>
    <s v="OO-AUR"/>
    <n v="4549"/>
    <n v="7"/>
    <n v="4"/>
    <n v="3"/>
    <n v="1"/>
    <n v="0"/>
    <n v="1"/>
    <n v="0"/>
    <s v="During its climb the plane rolled and crashed into hangers. Loss of airspeed for undetermined reasons."/>
    <n v="6"/>
    <n v="0.14285714285714285"/>
    <x v="2"/>
  </r>
  <r>
    <n v="889"/>
    <x v="824"/>
    <x v="35"/>
    <x v="0"/>
    <d v="1899-12-30T04:15:00"/>
    <s v="Near Gander, Newfoundland"/>
    <s v="Sabena"/>
    <s v="Unknown"/>
    <s v="Brussels - Shannon - Gander - New York City"/>
    <x v="479"/>
    <s v="OO-CBG"/>
    <n v="42986"/>
    <n v="44"/>
    <n v="37"/>
    <n v="7"/>
    <n v="27"/>
    <n v="21"/>
    <n v="6"/>
    <n v="0"/>
    <s v="The aircraft crashed 24 mi SW of the runway at Gander. Improper approach procedures by the pilot in poor weather."/>
    <n v="17"/>
    <n v="0.61363636363636365"/>
    <x v="0"/>
  </r>
  <r>
    <n v="890"/>
    <x v="825"/>
    <x v="35"/>
    <x v="0"/>
    <s v="Unknown"/>
    <s v="Near Tripoli, Libya"/>
    <s v="Military -Royal Air Force"/>
    <s v="Unknown"/>
    <s v="St. Mawan, England - Almaza, Egypt"/>
    <x v="429"/>
    <s v="NX690"/>
    <s v="Unknown"/>
    <n v="25"/>
    <n v="19"/>
    <n v="6"/>
    <n v="25"/>
    <n v="19"/>
    <n v="6"/>
    <n v="0"/>
    <s v="Crashed after possibly being hit by lightning."/>
    <n v="0"/>
    <n v="1"/>
    <x v="1"/>
  </r>
  <r>
    <n v="891"/>
    <x v="826"/>
    <x v="35"/>
    <x v="0"/>
    <s v="Unknown"/>
    <s v="Lochi Mountain, China"/>
    <s v="China National Aviation Corporation"/>
    <s v="Unknown"/>
    <s v="Sichang - Kunming, Yunnan"/>
    <x v="480"/>
    <s v="Unknown"/>
    <s v="Unknown"/>
    <n v="28"/>
    <n v="25"/>
    <n v="3"/>
    <n v="28"/>
    <n v="25"/>
    <n v="3"/>
    <n v="0"/>
    <s v="Crashed into a 15,000 ft. mountain shortly after taking off from Sichang."/>
    <n v="0"/>
    <n v="1"/>
    <x v="1"/>
  </r>
  <r>
    <n v="892"/>
    <x v="827"/>
    <x v="35"/>
    <x v="0"/>
    <d v="1899-12-30T09:31:00"/>
    <s v="Near Hong Kong International Airport"/>
    <s v="Military - Royal Air Force"/>
    <s v="Unknown"/>
    <s v="Hong Kong - Singapore"/>
    <x v="481"/>
    <s v="KN414"/>
    <s v="16091/32839"/>
    <n v="19"/>
    <n v="14"/>
    <n v="5"/>
    <n v="19"/>
    <n v="14"/>
    <n v="5"/>
    <n v="0"/>
    <s v="The aircraft departed Hong Kong, Runway 31, climbing to a height of 700-800 feet. At that point the airplane lost control and crashed. The Dakota possibly stalled after encountering turbulence from the foothills."/>
    <n v="0"/>
    <n v="1"/>
    <x v="1"/>
  </r>
  <r>
    <n v="893"/>
    <x v="828"/>
    <x v="35"/>
    <x v="0"/>
    <s v="Unknown"/>
    <s v="Near Milngavie, Stirlingshire, Scotland"/>
    <s v="Railway Air Service Ltd."/>
    <s v="Unknown"/>
    <s v="Islay - Glascow"/>
    <x v="482"/>
    <s v="G-AFFF"/>
    <s v="Unknown"/>
    <n v="7"/>
    <n v="5"/>
    <n v="2"/>
    <n v="7"/>
    <n v="5"/>
    <n v="2"/>
    <n v="0"/>
    <s v="Crashed into a hill in low overcast weather. Navigation error."/>
    <n v="0"/>
    <n v="1"/>
    <x v="1"/>
  </r>
  <r>
    <n v="894"/>
    <x v="828"/>
    <x v="35"/>
    <x v="0"/>
    <d v="1899-12-30T17:30:00"/>
    <s v="Rio Doce, Brazil"/>
    <s v="Panair do Brasil"/>
    <s v="Unknown"/>
    <s v="Belo Horizonte  - Rio de Janerio"/>
    <x v="483"/>
    <s v="PP-PCH"/>
    <n v="4087"/>
    <n v="25"/>
    <n v="22"/>
    <n v="3"/>
    <n v="25"/>
    <n v="22"/>
    <n v="3"/>
    <n v="0"/>
    <s v="Crashed into a mountainside north of Rio de Janerio after being possibly struck by lightning."/>
    <n v="0"/>
    <n v="1"/>
    <x v="1"/>
  </r>
  <r>
    <n v="895"/>
    <x v="829"/>
    <x v="35"/>
    <x v="0"/>
    <d v="1899-12-30T03:30:00"/>
    <s v="Stephenville, Newfoundland"/>
    <s v="American Overseas Airlines"/>
    <s v="Unknown"/>
    <s v="Gander - Shannon"/>
    <x v="484"/>
    <s v="NC90904"/>
    <n v="27290"/>
    <n v="39"/>
    <n v="31"/>
    <n v="8"/>
    <n v="39"/>
    <n v="31"/>
    <n v="8"/>
    <n v="0"/>
    <s v="Took off from Gander and flew in a straight line into a mountain ridge 71 miles from the airport. The aircraft was named &quot;Flagship New England.&quot;  It can be concluded that the captain was not alert to the procedure necessary for a safe climb from the runway. The action of the pilot in maintaining the direction of take-off toward higher terrain over which adequate clearance could not be gained."/>
    <n v="0"/>
    <n v="1"/>
    <x v="1"/>
  </r>
  <r>
    <n v="896"/>
    <x v="830"/>
    <x v="35"/>
    <x v="0"/>
    <d v="1899-12-30T07:30:00"/>
    <s v="Off Penang, Malaya"/>
    <s v="Military -Royal Air Force"/>
    <s v="Unknown"/>
    <s v="Unknown"/>
    <x v="485"/>
    <s v="MW125"/>
    <s v="Unknown"/>
    <n v="21"/>
    <n v="15"/>
    <n v="6"/>
    <n v="21"/>
    <n v="15"/>
    <n v="6"/>
    <n v="0"/>
    <s v="Crashed in the Strait of Malacca while en route."/>
    <n v="0"/>
    <n v="1"/>
    <x v="1"/>
  </r>
  <r>
    <n v="897"/>
    <x v="831"/>
    <x v="35"/>
    <x v="0"/>
    <d v="1899-12-30T11:20:00"/>
    <s v="Apeldoorn, The Netherlands"/>
    <s v="Military - Royal Netherlands Naval Air Service"/>
    <s v="Unknown"/>
    <s v="Unknown"/>
    <x v="486"/>
    <s v="PP526"/>
    <s v="Unknown"/>
    <n v="1"/>
    <n v="0"/>
    <n v="1"/>
    <n v="1"/>
    <n v="0"/>
    <n v="1"/>
    <n v="22"/>
    <s v="The pilot of the single engine fighter made an unauthorized flight to Apeldoorn and began flying low to attract attention. The aircraft lost altitude during a maneuver and crashed into a high school killing 22 on the ground."/>
    <n v="0"/>
    <n v="1"/>
    <x v="1"/>
  </r>
  <r>
    <n v="898"/>
    <x v="832"/>
    <x v="35"/>
    <x v="0"/>
    <d v="1899-12-30T04:33:00"/>
    <s v="Cheyenne, Wyoming"/>
    <s v="United Air Lines"/>
    <n v="28"/>
    <s v="San Francisco - Cheyenne - Chicago"/>
    <x v="487"/>
    <s v="N30051"/>
    <n v="10471"/>
    <n v="41"/>
    <n v="37"/>
    <n v="4"/>
    <n v="2"/>
    <n v="2"/>
    <n v="0"/>
    <n v="0"/>
    <s v="After two landing attempts, the pilot tried to land on a different runway.  The wing struck the ground and the plane skidded 800 ft.  A loss of altitude during a turn preparatory to a final approach while the pilot was manoeuvring in an attempt to land. The aircraft was named &quot;Mainliner Lake Michigan.&quot;"/>
    <n v="39"/>
    <n v="4.878048780487805E-2"/>
    <x v="2"/>
  </r>
  <r>
    <n v="899"/>
    <x v="833"/>
    <x v="35"/>
    <x v="0"/>
    <d v="1899-12-30T20:00:00"/>
    <s v="Near Sefrou, Morocco"/>
    <s v="Air Ocean"/>
    <s v="Unknown"/>
    <s v="Paris - Casablanca"/>
    <x v="213"/>
    <s v="F-BCAA"/>
    <s v="AAC281"/>
    <n v="16"/>
    <n v="11"/>
    <n v="5"/>
    <n v="16"/>
    <n v="11"/>
    <n v="5"/>
    <n v="0"/>
    <s v="Crashed into a mountain while en route. Navigation error."/>
    <n v="0"/>
    <n v="1"/>
    <x v="1"/>
  </r>
  <r>
    <n v="900"/>
    <x v="834"/>
    <x v="35"/>
    <x v="0"/>
    <d v="1899-12-30T00:57:00"/>
    <s v="Laramie, Wyoming"/>
    <s v="National Air Transport Services"/>
    <n v="942"/>
    <s v="Oakland - Chicago"/>
    <x v="277"/>
    <s v="NC38942"/>
    <n v="12971"/>
    <n v="13"/>
    <n v="10"/>
    <n v="3"/>
    <n v="13"/>
    <n v="10"/>
    <n v="3"/>
    <n v="0"/>
    <s v="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
    <n v="0"/>
    <n v="1"/>
    <x v="1"/>
  </r>
  <r>
    <n v="901"/>
    <x v="834"/>
    <x v="35"/>
    <x v="0"/>
    <s v="Unknown"/>
    <s v="Near Chitral, India"/>
    <s v="Military - Royal Air Force"/>
    <s v="Unknown"/>
    <s v="Unknown"/>
    <x v="443"/>
    <s v="KN236"/>
    <s v="15659/27104"/>
    <n v="11"/>
    <s v="NULL"/>
    <s v="NULL"/>
    <n v="11"/>
    <s v="NULL"/>
    <s v="NULL"/>
    <n v="0"/>
    <s v="Struck an 11,000 ft. mountain."/>
    <n v="0"/>
    <n v="1"/>
    <x v="1"/>
  </r>
  <r>
    <n v="902"/>
    <x v="835"/>
    <x v="35"/>
    <x v="0"/>
    <s v="Unknown"/>
    <s v="Gebel Kalamoun, Egypt"/>
    <s v="Socotra"/>
    <s v="Unknown"/>
    <s v="Paris - Cairo"/>
    <x v="213"/>
    <s v="F-BCHD"/>
    <s v="AAC311"/>
    <n v="24"/>
    <n v="22"/>
    <n v="2"/>
    <n v="1"/>
    <n v="1"/>
    <n v="0"/>
    <n v="0"/>
    <s v="The plane crashed into a hill after attempting to make a forced landing after running out of fuel."/>
    <n v="23"/>
    <n v="4.1666666666666664E-2"/>
    <x v="2"/>
  </r>
  <r>
    <n v="903"/>
    <x v="836"/>
    <x v="35"/>
    <x v="0"/>
    <s v="Unknown"/>
    <s v="St Leger-la-Montagne, France"/>
    <s v="CTA Languedoc Roussillon"/>
    <s v="Unknown"/>
    <s v="Paris - Toulouse - Casablanca"/>
    <x v="488"/>
    <s v="F-BCAD"/>
    <n v="284"/>
    <n v="27"/>
    <n v="24"/>
    <n v="3"/>
    <n v="23"/>
    <n v="20"/>
    <n v="3"/>
    <n v="0"/>
    <s v="Crashed into mountains while en route. The pilot descended to lower altitiude to rid the plane of ice."/>
    <n v="4"/>
    <n v="0.85185185185185186"/>
    <x v="1"/>
  </r>
  <r>
    <n v="904"/>
    <x v="837"/>
    <x v="35"/>
    <x v="0"/>
    <d v="1899-12-30T18:30:00"/>
    <s v="Near Moscow, Russia"/>
    <s v="Aeroflot"/>
    <s v="Unknown"/>
    <s v="Riga, Latvia - Moscow"/>
    <x v="368"/>
    <s v="SSSR-L946"/>
    <s v="Unknown"/>
    <n v="26"/>
    <s v="NULL"/>
    <s v="NULL"/>
    <n v="13"/>
    <s v="NULL"/>
    <s v="NULL"/>
    <s v="NULL"/>
    <s v="Stalled after a overshoot  in heavy fog. Crew error."/>
    <n v="13"/>
    <n v="0.5"/>
    <x v="0"/>
  </r>
  <r>
    <n v="905"/>
    <x v="838"/>
    <x v="35"/>
    <x v="0"/>
    <d v="1899-12-30T03:30:00"/>
    <s v="Cleveland, Ohio"/>
    <s v="United Air Lines"/>
    <n v="404"/>
    <s v="Chicago - Cleveland"/>
    <x v="475"/>
    <s v="N19947"/>
    <n v="4873"/>
    <n v="20"/>
    <n v="17"/>
    <n v="3"/>
    <n v="2"/>
    <n v="0"/>
    <n v="2"/>
    <n v="0"/>
    <s v="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
    <n v="18"/>
    <n v="0.1"/>
    <x v="2"/>
  </r>
  <r>
    <n v="906"/>
    <x v="839"/>
    <x v="35"/>
    <x v="0"/>
    <d v="1899-12-30T03:41:00"/>
    <s v="Lebec, California"/>
    <s v="Western Airlines"/>
    <n v="23"/>
    <s v="Palmdale - Burbank"/>
    <x v="489"/>
    <s v="NC18645"/>
    <n v="11662"/>
    <n v="11"/>
    <n v="8"/>
    <n v="3"/>
    <n v="11"/>
    <n v="8"/>
    <n v="3"/>
    <n v="0"/>
    <s v="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
    <n v="0"/>
    <n v="1"/>
    <x v="1"/>
  </r>
  <r>
    <n v="907"/>
    <x v="839"/>
    <x v="35"/>
    <x v="0"/>
    <d v="1899-12-30T08:18:00"/>
    <s v="Near Cofre de Perote, Mexico"/>
    <s v="Empressa Commun. AÃ©reas de Veracruz"/>
    <s v="Unknown"/>
    <s v="Mexico City - Veracruz"/>
    <x v="277"/>
    <s v="XA-FOZ"/>
    <s v="Unknown"/>
    <n v="15"/>
    <n v="12"/>
    <n v="3"/>
    <n v="15"/>
    <n v="12"/>
    <n v="3"/>
    <n v="0"/>
    <s v="Crashed into an 11,000 ft. mountain obscured by clouds."/>
    <n v="0"/>
    <n v="1"/>
    <x v="1"/>
  </r>
  <r>
    <n v="908"/>
    <x v="840"/>
    <x v="35"/>
    <x v="0"/>
    <d v="1899-12-30T20:15:00"/>
    <s v="Amsterdam, Netherlands"/>
    <s v="KLM Royal Dutch Airlines"/>
    <s v="Unknown"/>
    <s v="London - Amsterdam"/>
    <x v="490"/>
    <s v="PH-TBW"/>
    <n v="20122"/>
    <n v="26"/>
    <n v="21"/>
    <n v="5"/>
    <n v="26"/>
    <n v="21"/>
    <n v="5"/>
    <n v="0"/>
    <s v="The flight crashed during a third landing attempt in inclement weather. The pilot, not lined up with the runway, made a sharp left turn. The wing hit the ground and the aircraft exploded in flames."/>
    <n v="0"/>
    <n v="1"/>
    <x v="1"/>
  </r>
  <r>
    <n v="909"/>
    <x v="841"/>
    <x v="35"/>
    <x v="0"/>
    <d v="1899-12-30T23:30:00"/>
    <s v="North Pacific Ocean"/>
    <s v="Military - U.S. Army Air Forces"/>
    <s v="Unknown"/>
    <s v="Guam - Iwo Jima"/>
    <x v="368"/>
    <s v="Unknown"/>
    <s v="Unknown"/>
    <n v="23"/>
    <n v="15"/>
    <n v="8"/>
    <n v="23"/>
    <n v="15"/>
    <n v="8"/>
    <n v="0"/>
    <s v="Made a 360 degree turn and dove into the sea, 15 miles off Iwo Jima ."/>
    <n v="0"/>
    <n v="1"/>
    <x v="1"/>
  </r>
  <r>
    <n v="910"/>
    <x v="842"/>
    <x v="35"/>
    <x v="0"/>
    <d v="1899-12-30T10:30:00"/>
    <s v="San Jose, Costa Rica"/>
    <s v="Lineas AÃ©reas Costarricenses  LACSA"/>
    <s v="Unknown"/>
    <s v="Unknown"/>
    <x v="491"/>
    <s v="RX-76"/>
    <n v="20590"/>
    <n v="22"/>
    <n v="20"/>
    <n v="2"/>
    <n v="22"/>
    <n v="20"/>
    <n v="2"/>
    <n v="0"/>
    <s v="Struck Cedrel mountain while making an approach to San Jose."/>
    <n v="0"/>
    <n v="1"/>
    <x v="1"/>
  </r>
  <r>
    <n v="911"/>
    <x v="843"/>
    <x v="35"/>
    <x v="0"/>
    <s v="Unknown"/>
    <s v="El Palomar, Argentina"/>
    <s v="Fuerza AÃ©rea Argentina"/>
    <s v="Unknown"/>
    <s v="Unknown"/>
    <x v="492"/>
    <s v="T-1"/>
    <n v="113"/>
    <n v="18"/>
    <n v="15"/>
    <n v="3"/>
    <n v="5"/>
    <n v="2"/>
    <n v="3"/>
    <n v="0"/>
    <s v="Following engine failure, the captain lost control and crashed while trying to land."/>
    <n v="13"/>
    <n v="0.27777777777777779"/>
    <x v="2"/>
  </r>
  <r>
    <n v="912"/>
    <x v="844"/>
    <x v="35"/>
    <x v="0"/>
    <s v="Unknown"/>
    <s v="Meshed, Iran"/>
    <s v="Aeroflot"/>
    <s v="Unknown"/>
    <s v="Meshed - Teheran"/>
    <x v="420"/>
    <s v="Unknown"/>
    <s v="Unknown"/>
    <n v="24"/>
    <s v="NULL"/>
    <s v="NULL"/>
    <n v="24"/>
    <s v="NULL"/>
    <s v="NULL"/>
    <n v="0"/>
    <s v="Crashed shortly after takeoff from Meshed airport."/>
    <n v="0"/>
    <n v="1"/>
    <x v="1"/>
  </r>
  <r>
    <n v="913"/>
    <x v="845"/>
    <x v="35"/>
    <x v="0"/>
    <d v="1899-12-30T13:10:00"/>
    <s v="Near Osaka, Japan"/>
    <s v="Military - U.S. Army Air Forces"/>
    <s v="Unknown"/>
    <s v="Unknown"/>
    <x v="442"/>
    <s v="44-78604"/>
    <n v="22427"/>
    <n v="24"/>
    <n v="19"/>
    <n v="5"/>
    <n v="24"/>
    <n v="19"/>
    <n v="5"/>
    <n v="0"/>
    <s v="Crashed 3 miles southwest of Itami Air Base shortly after taking off.  Loss of engine power for reasons unknown."/>
    <n v="0"/>
    <n v="1"/>
    <x v="1"/>
  </r>
  <r>
    <n v="914"/>
    <x v="845"/>
    <x v="35"/>
    <x v="0"/>
    <s v="Unknown"/>
    <s v="Toledo, Washington"/>
    <s v="Military - U.S. Marine Corps"/>
    <s v="Unknown"/>
    <s v="Miramar NAS, California - Sand Point NB, Seattle"/>
    <x v="493"/>
    <n v="39528"/>
    <s v="Unknown"/>
    <n v="32"/>
    <n v="29"/>
    <n v="3"/>
    <n v="32"/>
    <n v="29"/>
    <n v="3"/>
    <n v="0"/>
    <s v="The crew reported picking up ice before disappearing without a trace while en route. The last reported positon was 30 miles south of Toledo, Washington. Found 11 months later at Mt. Rainer."/>
    <n v="0"/>
    <n v="1"/>
    <x v="1"/>
  </r>
  <r>
    <n v="915"/>
    <x v="846"/>
    <x v="35"/>
    <x v="0"/>
    <s v="Unknown"/>
    <s v="Mt. Banahaur, Philippines"/>
    <s v="Far Eastern Air Transport"/>
    <s v="Unknown"/>
    <s v="Grace Park AF - Lucena"/>
    <x v="494"/>
    <s v="PI-C-1"/>
    <s v="25436/13991"/>
    <n v="14"/>
    <n v="10"/>
    <n v="4"/>
    <n v="12"/>
    <n v="9"/>
    <n v="3"/>
    <n v="0"/>
    <s v="Crashed into tree tops on Mt. Banahaur. The pilot and 1 passenger survived."/>
    <n v="2"/>
    <n v="0.8571428571428571"/>
    <x v="1"/>
  </r>
  <r>
    <n v="916"/>
    <x v="847"/>
    <x v="35"/>
    <x v="0"/>
    <s v="Unknown"/>
    <s v="Caribbean, Atlantic Ocean"/>
    <s v="Winged Cargo Inc."/>
    <s v="Unknown"/>
    <s v="Kingston, Jamaca - San Jose"/>
    <x v="402"/>
    <s v="NC88876"/>
    <n v="9249"/>
    <n v="7"/>
    <n v="5"/>
    <n v="2"/>
    <n v="7"/>
    <n v="5"/>
    <n v="2"/>
    <n v="0"/>
    <s v="Disappeared en route. Never found."/>
    <n v="0"/>
    <n v="1"/>
    <x v="1"/>
  </r>
  <r>
    <n v="917"/>
    <x v="848"/>
    <x v="35"/>
    <x v="0"/>
    <d v="1899-12-30T14:30:00"/>
    <s v="Near Rio de Janeiro, Brazil"/>
    <s v="FAMA (Argentina)"/>
    <s v="Unknown"/>
    <s v="London - Buenos Aires."/>
    <x v="477"/>
    <s v="LV-XIG"/>
    <n v="1365"/>
    <n v="21"/>
    <n v="15"/>
    <n v="6"/>
    <n v="21"/>
    <n v="15"/>
    <n v="6"/>
    <n v="0"/>
    <s v="Poor weather at the destination airport forced the crew to divert to Rio de Janeiro. While approaching to land the aircraft flew into a mountain, 14 miles from the airport."/>
    <n v="0"/>
    <n v="1"/>
    <x v="1"/>
  </r>
  <r>
    <n v="918"/>
    <x v="849"/>
    <x v="35"/>
    <x v="0"/>
    <d v="1899-12-30T19:19:00"/>
    <s v="Near San Diego, California"/>
    <s v="Western Airlines"/>
    <n v="44"/>
    <s v="Holtville - San Diego"/>
    <x v="495"/>
    <s v="NC45395"/>
    <s v="42-68715"/>
    <n v="12"/>
    <n v="9"/>
    <n v="3"/>
    <n v="12"/>
    <n v="9"/>
    <n v="3"/>
    <n v="0"/>
    <s v="Crashed east slope of Cuyapaipe Mountain at 6,120 ft. in San Diego County in poor weather conditions. The conduct of the flight at an altitude which would not clear obstructions, due to an error by the pilot in determining his position with respect to Laguna Mountain."/>
    <n v="0"/>
    <n v="1"/>
    <x v="1"/>
  </r>
  <r>
    <n v="919"/>
    <x v="850"/>
    <x v="35"/>
    <x v="0"/>
    <d v="1899-12-30T17:00:00"/>
    <s v="Near Wusong, Jiangsu, China"/>
    <s v="CNAC"/>
    <n v="115"/>
    <s v="Chunking - Shanghi"/>
    <x v="496"/>
    <s v="Unknown"/>
    <s v="Unknown"/>
    <n v="34"/>
    <n v="31"/>
    <n v="3"/>
    <n v="13"/>
    <n v="10"/>
    <n v="3"/>
    <n v="3"/>
    <s v="Crashed after a failed landing attempt at Kiangwan Airport in rain fog and overcast. The plan overshot the runway and crashed into a residential area."/>
    <n v="21"/>
    <n v="0.38235294117647056"/>
    <x v="0"/>
  </r>
  <r>
    <n v="920"/>
    <x v="850"/>
    <x v="35"/>
    <x v="0"/>
    <d v="1899-12-30T17:00:00"/>
    <s v="Near Shanghai, China"/>
    <s v="CNAC"/>
    <n v="140"/>
    <s v="Chunking - Shanghi"/>
    <x v="277"/>
    <s v="Unknown"/>
    <s v="Unknown"/>
    <n v="30"/>
    <n v="27"/>
    <n v="3"/>
    <n v="20"/>
    <n v="17"/>
    <n v="3"/>
    <n v="0"/>
    <s v="While attempting to land in rain and fog, the aircraft ran out of fuel, stalled and crashed at Lunghwa field."/>
    <n v="10"/>
    <n v="0.66666666666666663"/>
    <x v="1"/>
  </r>
  <r>
    <n v="921"/>
    <x v="850"/>
    <x v="35"/>
    <x v="0"/>
    <d v="1899-12-30T17:45:00"/>
    <s v="Shanghai, China"/>
    <s v="CATA"/>
    <n v="48"/>
    <s v="Chunking - Shanghai"/>
    <x v="368"/>
    <s v="Unknown"/>
    <s v="Unknown"/>
    <n v="11"/>
    <n v="7"/>
    <n v="4"/>
    <n v="11"/>
    <n v="7"/>
    <n v="4"/>
    <n v="5"/>
    <s v="In heavy fog, the aircraft struck the roof of a nearby building and cartwheeled into a neighborhood 1 mile from Lunghwa Airport killing some on the ground."/>
    <n v="0"/>
    <n v="1"/>
    <x v="1"/>
  </r>
  <r>
    <n v="922"/>
    <x v="851"/>
    <x v="35"/>
    <x v="0"/>
    <s v="Unknown"/>
    <s v="Walshville, Illinois"/>
    <s v="Kansas City Southern Skyways"/>
    <s v="Unknown"/>
    <s v="Flint, MI - Washville, IL"/>
    <x v="402"/>
    <s v="NC58024"/>
    <n v="9378"/>
    <n v="2"/>
    <n v="0"/>
    <n v="2"/>
    <n v="2"/>
    <n v="0"/>
    <n v="2"/>
    <n v="0"/>
    <s v="The cargo plane crashed after both engines failed. Fuel exhaustion."/>
    <n v="0"/>
    <n v="1"/>
    <x v="1"/>
  </r>
  <r>
    <n v="923"/>
    <x v="851"/>
    <x v="35"/>
    <x v="0"/>
    <d v="1899-12-30T02:09:00"/>
    <s v="Near Shannon, Ireland"/>
    <s v="Trans Continental and Western Air"/>
    <n v="6963"/>
    <s v="Paris - Shannon"/>
    <x v="497"/>
    <s v="NC86505"/>
    <n v="2026"/>
    <n v="23"/>
    <n v="14"/>
    <n v="9"/>
    <n v="13"/>
    <n v="9"/>
    <n v="4"/>
    <n v="0"/>
    <s v="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
    <n v="10"/>
    <n v="0.56521739130434778"/>
    <x v="0"/>
  </r>
  <r>
    <n v="924"/>
    <x v="851"/>
    <x v="35"/>
    <x v="0"/>
    <d v="1899-12-30T09:19:00"/>
    <s v="Michigan City, Indiana"/>
    <s v="American Airlines"/>
    <n v="2207"/>
    <s v="Buffalo - Chicago"/>
    <x v="498"/>
    <s v="N15577"/>
    <n v="4805"/>
    <n v="21"/>
    <n v="18"/>
    <n v="3"/>
    <n v="2"/>
    <n v="0"/>
    <n v="2"/>
    <n v="0"/>
    <s v="Crashed after loosing power in both engines due to fuel starvation. The accumulation of carburetor ice following the loss of power in both engines as a result of fuel starvation. The reason for fuel starvation could not be determined."/>
    <n v="19"/>
    <n v="9.5238095238095233E-2"/>
    <x v="2"/>
  </r>
  <r>
    <n v="925"/>
    <x v="852"/>
    <x v="36"/>
    <x v="0"/>
    <s v="Unknown"/>
    <s v="Sao Paulo, Brazil"/>
    <s v="Panair do Brasil"/>
    <s v="Unknown"/>
    <s v="Unknown"/>
    <x v="499"/>
    <s v="PP-PBN"/>
    <n v="4315"/>
    <n v="14"/>
    <n v="11"/>
    <n v="3"/>
    <n v="11"/>
    <n v="8"/>
    <n v="3"/>
    <n v="0"/>
    <s v="Crashed into the Solimoes River, an extension of the Amazon river."/>
    <n v="3"/>
    <n v="0.7857142857142857"/>
    <x v="1"/>
  </r>
  <r>
    <n v="926"/>
    <x v="853"/>
    <x v="36"/>
    <x v="0"/>
    <s v="Unknown"/>
    <s v="Tsingtao, China"/>
    <s v="China National Aviation Corporation"/>
    <s v="Unknown"/>
    <s v="Shanghai - Tsingtao - Beijing"/>
    <x v="500"/>
    <s v="XT-T51"/>
    <s v="Unknown"/>
    <n v="43"/>
    <n v="38"/>
    <n v="5"/>
    <n v="43"/>
    <n v="38"/>
    <n v="5"/>
    <n v="0"/>
    <s v="Crashed into  a mountain while on approach in low overcast."/>
    <n v="0"/>
    <n v="1"/>
    <x v="1"/>
  </r>
  <r>
    <n v="927"/>
    <x v="853"/>
    <x v="36"/>
    <x v="0"/>
    <d v="1899-12-30T20:00:00"/>
    <s v="Carmel, New Jersey"/>
    <s v="Nationwide Air Transport"/>
    <s v="Unknown"/>
    <s v="Miami - Raleigh - Washington"/>
    <x v="277"/>
    <s v="N50046"/>
    <n v="34373"/>
    <n v="23"/>
    <n v="20"/>
    <n v="3"/>
    <n v="3"/>
    <n v="2"/>
    <n v="1"/>
    <n v="0"/>
    <s v="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
    <n v="20"/>
    <n v="0.13043478260869565"/>
    <x v="2"/>
  </r>
  <r>
    <n v="928"/>
    <x v="854"/>
    <x v="36"/>
    <x v="0"/>
    <d v="1899-12-30T17:30:00"/>
    <s v="Near Lympne, England"/>
    <s v="British Overseas Airways"/>
    <s v="Unknown"/>
    <s v=" London - Bordeaux  - Lagos"/>
    <x v="501"/>
    <s v="G-AGJX"/>
    <n v="12014"/>
    <n v="16"/>
    <n v="11"/>
    <n v="5"/>
    <n v="8"/>
    <n v="4"/>
    <n v="4"/>
    <n v="0"/>
    <s v="Ran out of fuel and crashed after not being able to land at Bordeaux or Paris and attempting to land at Lympne.  Poor planning and operation by the crew. Poor weather conditions encountered throughout the flight. Crew unfamilar with route."/>
    <n v="8"/>
    <n v="0.5"/>
    <x v="0"/>
  </r>
  <r>
    <n v="929"/>
    <x v="854"/>
    <x v="36"/>
    <x v="0"/>
    <s v="Unknown"/>
    <s v="Off Laoag, China"/>
    <s v="Far Eastern Air Transport"/>
    <s v="Unknown"/>
    <s v="Shanghai - Manila"/>
    <x v="502"/>
    <s v="PI-C100"/>
    <n v="3106"/>
    <n v="42"/>
    <n v="37"/>
    <n v="5"/>
    <n v="7"/>
    <n v="7"/>
    <n v="0"/>
    <n v="0"/>
    <s v="The plane ditched into the Pacific Ocean 80 miles west of Laoaq after a fire broke out in the No. 2 engine."/>
    <n v="35"/>
    <n v="0.16666666666666666"/>
    <x v="2"/>
  </r>
  <r>
    <n v="930"/>
    <x v="855"/>
    <x v="36"/>
    <x v="0"/>
    <d v="1899-12-30T01:38:00"/>
    <s v="Near Galax, Virginia"/>
    <s v="Eastern Air Lines"/>
    <n v="665"/>
    <s v="Akron, OH - Winston/Salem, NC"/>
    <x v="277"/>
    <s v="NC88872"/>
    <n v="3274"/>
    <n v="19"/>
    <n v="16"/>
    <n v="3"/>
    <n v="18"/>
    <n v="15"/>
    <n v="3"/>
    <n v="0"/>
    <s v="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
    <n v="1"/>
    <n v="0.94736842105263153"/>
    <x v="1"/>
  </r>
  <r>
    <n v="931"/>
    <x v="856"/>
    <x v="36"/>
    <x v="0"/>
    <d v="1899-12-30T09:00:00"/>
    <s v="Near Puebla, Mexico"/>
    <s v="Military - Mexican Air Force"/>
    <s v="Unknown"/>
    <s v="Puebla - Oaxaca"/>
    <x v="503"/>
    <s v="60-03"/>
    <n v="182607"/>
    <n v="21"/>
    <n v="17"/>
    <n v="4"/>
    <n v="21"/>
    <n v="17"/>
    <n v="4"/>
    <n v="0"/>
    <s v="Crashed and burned moments after takeoff. Failure of the right engine."/>
    <n v="0"/>
    <n v="1"/>
    <x v="1"/>
  </r>
  <r>
    <n v="932"/>
    <x v="857"/>
    <x v="36"/>
    <x v="0"/>
    <s v="Unknown"/>
    <s v="Puesto Araujo, Colombia"/>
    <s v="AVIANCA"/>
    <s v="Unknown"/>
    <s v="Bogota - Barrancabermeja"/>
    <x v="504"/>
    <s v="C-108"/>
    <n v="4829"/>
    <n v="17"/>
    <n v="13"/>
    <n v="4"/>
    <n v="17"/>
    <n v="13"/>
    <n v="4"/>
    <n v="0"/>
    <s v="Crashed in the jungles of the Magdalena river valley. Wreckage found a week later."/>
    <n v="0"/>
    <n v="1"/>
    <x v="1"/>
  </r>
  <r>
    <n v="933"/>
    <x v="858"/>
    <x v="36"/>
    <x v="0"/>
    <d v="1899-12-30T11:40:00"/>
    <s v="Croydon, Surrey, England"/>
    <s v="Spencer Airways / Ceskoslovenske Aerolinie"/>
    <s v="Unknown"/>
    <s v="Croydon - Rome - Salisbury"/>
    <x v="505"/>
    <s v="VP-YFD/OK-WDB"/>
    <s v="19979 / 9503"/>
    <n v="23"/>
    <n v="18"/>
    <n v="5"/>
    <n v="12"/>
    <n v="11"/>
    <n v="1"/>
    <n v="0"/>
    <s v="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
    <n v="11"/>
    <n v="0.52173913043478259"/>
    <x v="0"/>
  </r>
  <r>
    <n v="934"/>
    <x v="858"/>
    <x v="36"/>
    <x v="0"/>
    <d v="1899-12-30T14:00:00"/>
    <s v="Chongqing, China"/>
    <s v="China National Aviation Corporation"/>
    <s v="Unknown"/>
    <s v="Canton - Chungking - Hong Kong"/>
    <x v="277"/>
    <s v="Unknown"/>
    <s v="Unknown"/>
    <n v="19"/>
    <n v="16"/>
    <n v="3"/>
    <n v="19"/>
    <n v="16"/>
    <n v="3"/>
    <n v="0"/>
    <s v="Crashed into mountains 120 miles south of Chunking."/>
    <n v="0"/>
    <n v="1"/>
    <x v="1"/>
  </r>
  <r>
    <n v="935"/>
    <x v="858"/>
    <x v="36"/>
    <x v="0"/>
    <s v="Unknown"/>
    <s v="Hong Kong"/>
    <s v="Philippine Air Lines"/>
    <s v="Unknown"/>
    <s v="Unknown"/>
    <x v="402"/>
    <s v="PI-C12"/>
    <n v="13508"/>
    <n v="4"/>
    <n v="0"/>
    <n v="4"/>
    <n v="4"/>
    <n v="0"/>
    <n v="4"/>
    <n v="0"/>
    <s v="The cargo plane struck Mt. Parker on approach."/>
    <n v="0"/>
    <n v="1"/>
    <x v="1"/>
  </r>
  <r>
    <n v="936"/>
    <x v="859"/>
    <x v="36"/>
    <x v="0"/>
    <d v="1899-12-30T15:30:00"/>
    <s v="Copenhagen, Denmark"/>
    <s v="KLM Royal Dutch Airlines"/>
    <s v="Unknown"/>
    <s v="Kobenhavn - Stockholm"/>
    <x v="506"/>
    <s v="PH-TCR"/>
    <n v="25479"/>
    <n v="22"/>
    <n v="18"/>
    <n v="4"/>
    <n v="22"/>
    <n v="18"/>
    <n v="4"/>
    <n v="0"/>
    <s v="During takeoff from Kobenhavn-Kastrup Airport, ,the aircraft rose to a height of 150 feet and then crashed to the ground in a fireball. Failure to remove the elevator locking pins prior to takeoff. Singer Grace Moore, 48, and Swedish crown prince, Gustav Adolf, 41, among those killed."/>
    <n v="0"/>
    <n v="1"/>
    <x v="1"/>
  </r>
  <r>
    <n v="937"/>
    <x v="860"/>
    <x v="36"/>
    <x v="0"/>
    <d v="1899-12-30T12:00:00"/>
    <s v="Near Hankow, China"/>
    <s v="China National Aviation Corporation"/>
    <s v="Unknown"/>
    <s v="Shanghai - Hankow - Chungking"/>
    <x v="469"/>
    <s v="Unknown"/>
    <s v="Unknown"/>
    <n v="26"/>
    <n v="24"/>
    <n v="2"/>
    <n v="25"/>
    <n v="23"/>
    <n v="2"/>
    <n v="0"/>
    <s v="Crashed while en route about 30 minutes after takeoff. A four-year-old boy survived. Fire in the left wing leading to separation of the wing."/>
    <n v="1"/>
    <n v="0.96153846153846156"/>
    <x v="1"/>
  </r>
  <r>
    <n v="938"/>
    <x v="861"/>
    <x v="36"/>
    <x v="0"/>
    <d v="1899-12-30T18:45:00"/>
    <s v="Near Lisbon, Portugal"/>
    <s v="Air France"/>
    <s v="Unknown"/>
    <s v="Paris - Bordeaux - Lisbon"/>
    <x v="507"/>
    <s v="F-BAXQ"/>
    <s v="13806/25251"/>
    <n v="20"/>
    <n v="15"/>
    <n v="5"/>
    <n v="19"/>
    <n v="14"/>
    <n v="5"/>
    <n v="0"/>
    <s v="Crashed into Cintra mountain while on approach in poor weather condtions."/>
    <n v="1"/>
    <n v="0.95"/>
    <x v="1"/>
  </r>
  <r>
    <n v="939"/>
    <x v="862"/>
    <x v="36"/>
    <x v="0"/>
    <s v="Unknown"/>
    <s v="Harrington, Delaware"/>
    <s v="International Air Freight"/>
    <s v="Unknown"/>
    <s v="New York, NY - Raleigh, NC"/>
    <x v="277"/>
    <s v="NC54451"/>
    <s v="13873/25318"/>
    <n v="3"/>
    <n v="0"/>
    <n v="3"/>
    <n v="1"/>
    <n v="0"/>
    <n v="1"/>
    <n v="0"/>
    <s v="The cargo plane diverted to Harrington after a No. 2 engine rpm reduction. The plane approached downwind, overshot and struck some trees. Fuel contamination."/>
    <n v="2"/>
    <n v="0.33333333333333331"/>
    <x v="2"/>
  </r>
  <r>
    <n v="940"/>
    <x v="863"/>
    <x v="36"/>
    <x v="0"/>
    <d v="1899-12-30T17:00:00"/>
    <s v="Pedro Bernardo, Spain"/>
    <s v="Aerovias Cuba International"/>
    <s v="Unknown"/>
    <s v="Havana - Lisbon - Madrid"/>
    <x v="508"/>
    <s v="NC44567"/>
    <n v="18386"/>
    <n v="11"/>
    <n v="8"/>
    <n v="3"/>
    <n v="11"/>
    <n v="8"/>
    <n v="2"/>
    <n v="0"/>
    <s v="Crashed in Gredos mountain range about 100 miles west of Madrid while en route and in adverse weather conditions.  The plane was named &quot;Ruta de Colon.&quot;"/>
    <n v="0"/>
    <n v="1"/>
    <x v="1"/>
  </r>
  <r>
    <n v="941"/>
    <x v="864"/>
    <x v="36"/>
    <x v="0"/>
    <d v="1899-12-30T04:20:00"/>
    <s v="Denver, Colorado"/>
    <s v="Slick Airways"/>
    <s v="Unknown"/>
    <s v="Omaha, NE - Denver, CO"/>
    <x v="509"/>
    <s v="NC59486"/>
    <n v="2944"/>
    <n v="2"/>
    <n v="0"/>
    <n v="2"/>
    <n v="2"/>
    <n v="0"/>
    <n v="2"/>
    <n v="0"/>
    <s v="Cargo flight. The momentary loss of control or overcontrol by the pilot at a critically low altitude in the final stages of an ILS approach. A contributing factor was the failure of the safety pilot to remain alert to the altitude of the aircraft."/>
    <n v="0"/>
    <n v="1"/>
    <x v="1"/>
  </r>
  <r>
    <n v="942"/>
    <x v="865"/>
    <x v="36"/>
    <x v="0"/>
    <d v="1899-12-30T12:18:00"/>
    <s v="Near Bogota, Colombia"/>
    <s v="AVIANCA"/>
    <s v="Unknown"/>
    <s v="Barranquilla - Bogota"/>
    <x v="487"/>
    <s v="C-114"/>
    <n v="10439"/>
    <n v="53"/>
    <n v="49"/>
    <n v="4"/>
    <n v="53"/>
    <n v="49"/>
    <n v="4"/>
    <n v="0"/>
    <s v="The plane crashed into Mt. El Tabalazo at 10,500 feet in fog while en route. Pilot error. Conducting the flight below a safe altitude and off the designated airway."/>
    <n v="0"/>
    <n v="1"/>
    <x v="1"/>
  </r>
  <r>
    <n v="943"/>
    <x v="865"/>
    <x v="36"/>
    <x v="0"/>
    <d v="1899-12-30T09:30:00"/>
    <s v="Off Terracina, Italy"/>
    <s v="Military - Corrieri Aerei Militari"/>
    <s v="Unknown"/>
    <s v="Rome - Cairo"/>
    <x v="510"/>
    <s v="I-ABQH"/>
    <n v="41003"/>
    <n v="16"/>
    <n v="10"/>
    <n v="6"/>
    <n v="16"/>
    <n v="10"/>
    <n v="6"/>
    <n v="0"/>
    <s v="Disappeared and crashed into the ocean just off the coast of Terracina in clear weather. On board were an Egyptian Princess and her court. The cause remains unknown although sabotage is a possibility."/>
    <n v="0"/>
    <n v="1"/>
    <x v="1"/>
  </r>
  <r>
    <n v="944"/>
    <x v="866"/>
    <x v="36"/>
    <x v="0"/>
    <d v="1899-12-30T16:00:00"/>
    <s v="Chungking, China"/>
    <s v="Military - Chinese Air Force"/>
    <s v="Unknown"/>
    <s v="Sichang - Chungking"/>
    <x v="368"/>
    <s v="Unknown"/>
    <s v="Unknown"/>
    <n v="21"/>
    <n v="17"/>
    <n v="4"/>
    <n v="21"/>
    <n v="17"/>
    <s v="NULL"/>
    <n v="0"/>
    <s v="Crashed while attempting to land. Ran into heavy icing. One wing broke off."/>
    <n v="0"/>
    <n v="1"/>
    <x v="1"/>
  </r>
  <r>
    <n v="945"/>
    <x v="867"/>
    <x v="36"/>
    <x v="0"/>
    <s v="Unknown"/>
    <s v="China Sea, Pacific Ocean"/>
    <s v="Military - Royal Air Force"/>
    <s v="Unknown"/>
    <s v="Singapore - Siagon"/>
    <x v="443"/>
    <s v="KK120"/>
    <s v="15129/26574"/>
    <n v="12"/>
    <n v="9"/>
    <n v="3"/>
    <n v="12"/>
    <n v="9"/>
    <n v="3"/>
    <n v="0"/>
    <s v="Disappeared while en route. Never found."/>
    <n v="0"/>
    <n v="1"/>
    <x v="1"/>
  </r>
  <r>
    <n v="946"/>
    <x v="868"/>
    <x v="36"/>
    <x v="0"/>
    <d v="1899-12-30T09:53:00"/>
    <s v="Near Georgia, USSR"/>
    <s v="Aeroflot"/>
    <s v="Unknown"/>
    <s v="Tbilisi - Moscow - Vnoukovo"/>
    <x v="511"/>
    <s v="CCCP-L952"/>
    <s v="14874/26319"/>
    <n v="23"/>
    <n v="19"/>
    <n v="4"/>
    <n v="23"/>
    <n v="19"/>
    <n v="4"/>
    <n v="0"/>
    <s v="Crashed in the Cacasus mountains,Nizhnesvanetsky Range, while en route. Pilot error. Pilot in command changed the route of flight"/>
    <n v="0"/>
    <n v="1"/>
    <x v="1"/>
  </r>
  <r>
    <n v="947"/>
    <x v="869"/>
    <x v="36"/>
    <x v="0"/>
    <s v="Unknown"/>
    <s v="L'isola di Ischia, Italy"/>
    <s v="Military - Royal Air Force"/>
    <s v="Unknown"/>
    <s v="Hassani - Rome - Northolt"/>
    <x v="443"/>
    <s v="KK122"/>
    <s v="15131/26576"/>
    <n v="13"/>
    <n v="10"/>
    <n v="3"/>
    <n v="13"/>
    <n v="10"/>
    <n v="3"/>
    <n v="0"/>
    <s v="Due to low visibility, the crew did not realize they were off course when the aircraft hit the slope of Mt Epomeo on Ischia Island."/>
    <n v="0"/>
    <n v="1"/>
    <x v="1"/>
  </r>
  <r>
    <n v="948"/>
    <x v="869"/>
    <x v="36"/>
    <x v="0"/>
    <d v="1899-12-30T14:59:00"/>
    <s v="Cordillera, Colombia"/>
    <s v="VIARCO"/>
    <s v="Unknown"/>
    <s v="Villavicencio - Bogota"/>
    <x v="383"/>
    <s v="C-400"/>
    <n v="4792"/>
    <n v="9"/>
    <n v="5"/>
    <n v="4"/>
    <n v="9"/>
    <n v="5"/>
    <n v="4"/>
    <n v="0"/>
    <s v="Crashed in the Cordillera mountain range shortly after taking off and climbing."/>
    <n v="0"/>
    <n v="1"/>
    <x v="1"/>
  </r>
  <r>
    <n v="949"/>
    <x v="870"/>
    <x v="36"/>
    <x v="0"/>
    <d v="1899-12-30T15:30:00"/>
    <s v="Mt. Moucherolles, France"/>
    <s v="Air France"/>
    <s v="Unknown"/>
    <s v="Lyons - Nice - Paris"/>
    <x v="491"/>
    <s v="F-BAXO"/>
    <n v="20488"/>
    <n v="23"/>
    <n v="18"/>
    <n v="5"/>
    <n v="23"/>
    <n v="18"/>
    <n v="5"/>
    <n v="0"/>
    <s v="Flew into 4,000 foot Mt. Moucherolles, 25 miles south of Grenoble in poor weather. The crash started an avalanche which buried most of the wreckage. Naviation error."/>
    <n v="0"/>
    <n v="1"/>
    <x v="1"/>
  </r>
  <r>
    <n v="950"/>
    <x v="871"/>
    <x v="36"/>
    <x v="0"/>
    <d v="1899-12-30T08:05:00"/>
    <s v="Near Medellin, Colombia"/>
    <s v="TACA"/>
    <s v="Unknown"/>
    <s v="Medellin, Colombia - San Jose, Costa Rica"/>
    <x v="345"/>
    <s v="YS-28"/>
    <n v="2450"/>
    <n v="8"/>
    <n v="5"/>
    <n v="3"/>
    <n v="8"/>
    <n v="5"/>
    <n v="3"/>
    <n v="0"/>
    <s v="Crashed shortly after taking off. Hit the slope of Cerro del Padre Amaya located 12 km northwest of the airport."/>
    <n v="0"/>
    <n v="1"/>
    <x v="1"/>
  </r>
  <r>
    <n v="951"/>
    <x v="872"/>
    <x v="36"/>
    <x v="0"/>
    <s v="Unknown"/>
    <s v="Negombo, Sri Lanka"/>
    <s v="Military - Royal Air Force"/>
    <s v="Unknown"/>
    <s v="Negombo - Northolt"/>
    <x v="512"/>
    <s v="MW198"/>
    <s v="MW198"/>
    <n v="15"/>
    <n v="9"/>
    <n v="6"/>
    <n v="11"/>
    <n v="7"/>
    <n v="4"/>
    <n v="0"/>
    <s v="Failed engine on takeoff. Could not maintain altitude, lost control, struck trees and crashed."/>
    <n v="4"/>
    <n v="0.73333333333333328"/>
    <x v="1"/>
  </r>
  <r>
    <n v="952"/>
    <x v="873"/>
    <x v="36"/>
    <x v="0"/>
    <d v="1899-12-30T10:30:00"/>
    <s v="Near Caracas, Venezuela"/>
    <s v="Linea Aeropostal Venezolana"/>
    <s v="Unknown"/>
    <s v="Cumana - Caracas"/>
    <x v="402"/>
    <s v="YV-C-ALO"/>
    <s v="Unknown"/>
    <n v="27"/>
    <n v="24"/>
    <n v="3"/>
    <n v="27"/>
    <n v="24"/>
    <n v="3"/>
    <n v="0"/>
    <s v="Crashed 40 miles east of Caracas while en route."/>
    <n v="0"/>
    <n v="1"/>
    <x v="1"/>
  </r>
  <r>
    <n v="953"/>
    <x v="874"/>
    <x v="36"/>
    <x v="0"/>
    <d v="1899-12-30T02:40:00"/>
    <s v="Off Dakar, Senegal"/>
    <s v="British South American Airways"/>
    <s v="Unknown"/>
    <s v="Lisbon - Dakar"/>
    <x v="477"/>
    <s v="G-AHEZ"/>
    <n v="1303"/>
    <n v="15"/>
    <n v="9"/>
    <n v="6"/>
    <n v="6"/>
    <n v="6"/>
    <n v="0"/>
    <n v="0"/>
    <s v="The plane crashed while making a third landing attempt. Unwise decision to try a third landing attempt. No approach lights. No radio facilities."/>
    <n v="9"/>
    <n v="0.4"/>
    <x v="0"/>
  </r>
  <r>
    <n v="954"/>
    <x v="875"/>
    <x v="36"/>
    <x v="0"/>
    <d v="1899-12-30T10:40:00"/>
    <s v="Columbus, Georgia"/>
    <s v="Delta Air Lines"/>
    <s v="Unknown"/>
    <s v=" Macon - Columbus"/>
    <x v="513"/>
    <s v="N49657 / N55312"/>
    <n v="9066"/>
    <n v="10"/>
    <n v="8"/>
    <n v="2"/>
    <n v="10"/>
    <n v="8"/>
    <n v="2"/>
    <n v="0"/>
    <s v="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
    <n v="0"/>
    <n v="1"/>
    <x v="1"/>
  </r>
  <r>
    <n v="955"/>
    <x v="876"/>
    <x v="36"/>
    <x v="0"/>
    <d v="1899-12-30T23:13:00"/>
    <s v="Near Vancouver, British Columbia, Canada"/>
    <s v="Trans Canada Air Lines"/>
    <n v="3"/>
    <s v="Lethbridge - Vancouver"/>
    <x v="367"/>
    <s v="CF-TDF"/>
    <s v="18-2248"/>
    <n v="15"/>
    <n v="12"/>
    <n v="3"/>
    <n v="15"/>
    <n v="12"/>
    <n v="3"/>
    <n v="0"/>
    <s v="The aircraft disappeared while en route from Lethbridge, Alberta to Vancouver, British Columbia. The last known position was over Vancouver Airport. The wreckage was discovered and identified in September 1994 in a remote area, 10 miles north of Vancouver near Mt. Seymour."/>
    <n v="0"/>
    <n v="1"/>
    <x v="1"/>
  </r>
  <r>
    <n v="956"/>
    <x v="877"/>
    <x v="36"/>
    <x v="0"/>
    <s v="Unknown"/>
    <s v="Near Nicoya, Guanacaste, Costa Rica"/>
    <s v="TACA"/>
    <s v="Unknown"/>
    <s v="Nicoya - San Jose"/>
    <x v="367"/>
    <s v="TI-84"/>
    <s v="18-2374"/>
    <n v="11"/>
    <n v="9"/>
    <n v="2"/>
    <n v="11"/>
    <n v="9"/>
    <n v="2"/>
    <n v="0"/>
    <s v="Crashed 100 miles west of San Jose. Possible act of sabotage on one of the engines."/>
    <n v="0"/>
    <n v="1"/>
    <x v="1"/>
  </r>
  <r>
    <n v="957"/>
    <x v="878"/>
    <x v="36"/>
    <x v="0"/>
    <d v="1899-12-30T09:39:00"/>
    <s v="Delaware Bay, New Jersey"/>
    <s v="Trans Continental and Western Air"/>
    <s v="Unknown"/>
    <s v="Training"/>
    <x v="468"/>
    <s v="NC86508"/>
    <n v="2029"/>
    <n v="4"/>
    <n v="0"/>
    <n v="4"/>
    <n v="4"/>
    <n v="0"/>
    <n v="4"/>
    <n v="0"/>
    <s v="Went into a turn and lost control, spiraled into the ground. Loss of control of the aircraft for reasons undetermined."/>
    <n v="0"/>
    <n v="1"/>
    <x v="1"/>
  </r>
  <r>
    <n v="958"/>
    <x v="879"/>
    <x v="36"/>
    <x v="0"/>
    <d v="1899-12-30T16:25:00"/>
    <s v="Near Khabarovsk, Russia"/>
    <s v="Aeroflot"/>
    <s v="Unknown"/>
    <s v="Nikolayevsk-on-Amur - Khabarovsk"/>
    <x v="514"/>
    <s v="CCCP-L1048"/>
    <n v="11936"/>
    <n v="22"/>
    <n v="17"/>
    <n v="5"/>
    <n v="22"/>
    <n v="17"/>
    <n v="5"/>
    <n v="0"/>
    <s v="The plane was attempting to land in poor visibility, below weather minimumns the plane hit a broadcast radio mast, crashed and burned. Crew error, ATC error."/>
    <n v="0"/>
    <n v="1"/>
    <x v="1"/>
  </r>
  <r>
    <n v="959"/>
    <x v="880"/>
    <x v="36"/>
    <x v="0"/>
    <d v="1899-12-30T19:05:00"/>
    <s v="La Guardia Airport, Queens, New York"/>
    <s v="United Air Lines"/>
    <n v="521"/>
    <s v="New York City - Cleveland"/>
    <x v="515"/>
    <s v="NC30046"/>
    <n v="18324"/>
    <n v="48"/>
    <n v="44"/>
    <n v="4"/>
    <n v="43"/>
    <n v="41"/>
    <n v="2"/>
    <n v="0"/>
    <s v="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
    <n v="5"/>
    <n v="0.89583333333333337"/>
    <x v="1"/>
  </r>
  <r>
    <n v="960"/>
    <x v="880"/>
    <x v="36"/>
    <x v="0"/>
    <d v="1899-12-30T22:45:00"/>
    <s v="Atsugi, Japan"/>
    <s v="Military - U.S. Army Air Forces"/>
    <s v="Unknown"/>
    <s v="Seoul - Tachikawa"/>
    <x v="466"/>
    <s v="42-72553"/>
    <n v="10658"/>
    <n v="40"/>
    <n v="33"/>
    <n v="7"/>
    <n v="40"/>
    <n v="33"/>
    <n v="7"/>
    <n v="0"/>
    <s v="Turned the wrong way while attempting to land and slammed into a mountain, bursting into flames."/>
    <n v="0"/>
    <n v="1"/>
    <x v="1"/>
  </r>
  <r>
    <n v="961"/>
    <x v="880"/>
    <x v="36"/>
    <x v="0"/>
    <d v="1899-12-30T12:48:00"/>
    <s v="Hjedinsfjordur, Iceland"/>
    <s v="Flugefelag"/>
    <s v="Unknown"/>
    <s v="ReykjavÃ­k - Akureyri"/>
    <x v="277"/>
    <s v="TF-ISI"/>
    <n v="13389"/>
    <n v="25"/>
    <n v="21"/>
    <n v="4"/>
    <n v="25"/>
    <n v="21"/>
    <n v="4"/>
    <n v="0"/>
    <s v="Crashed on the north coast of Iceland in poor weather. the aircraft hit the slope of Mt Hestfjall located on the west coast of HÃ©Ã°insfjÃ¶rÃ°ur Bay."/>
    <n v="0"/>
    <n v="1"/>
    <x v="1"/>
  </r>
  <r>
    <n v="962"/>
    <x v="881"/>
    <x v="36"/>
    <x v="0"/>
    <d v="1899-12-30T17:41:00"/>
    <s v="Port Deposit, Maryland"/>
    <s v="Eastern Air Lines"/>
    <n v="605"/>
    <s v="Newark - Baltimore - Miami"/>
    <x v="508"/>
    <s v="NC88814"/>
    <n v="18380"/>
    <n v="53"/>
    <n v="49"/>
    <n v="4"/>
    <n v="53"/>
    <n v="49"/>
    <n v="4"/>
    <n v="0"/>
    <s v="While on approach to Baltimore at 4,000 ft., the plane suddenly went into a nose dive, inverted and crashed.  Possible problems with the elevator. The official cause was never determined."/>
    <n v="0"/>
    <n v="1"/>
    <x v="1"/>
  </r>
  <r>
    <n v="963"/>
    <x v="882"/>
    <x v="36"/>
    <x v="0"/>
    <d v="1899-12-30T23:00:00"/>
    <s v="Near Gemenos, France"/>
    <s v="Air France"/>
    <s v="Unknown"/>
    <s v="Marseille - Lyon"/>
    <x v="241"/>
    <s v="F-BANB"/>
    <s v="AAC136"/>
    <n v="2"/>
    <n v="0"/>
    <n v="2"/>
    <n v="2"/>
    <n v="0"/>
    <n v="2"/>
    <n v="0"/>
    <s v="The cargo plane struck high ground while en route."/>
    <n v="0"/>
    <n v="1"/>
    <x v="1"/>
  </r>
  <r>
    <n v="964"/>
    <x v="883"/>
    <x v="36"/>
    <x v="0"/>
    <d v="1899-12-30T23:07:00"/>
    <s v="Near Natal, Brazil"/>
    <s v="Flota AÃ©rea Mercante Argentina"/>
    <s v="Unknown"/>
    <s v="Buenos Aires - Natal - London"/>
    <x v="516"/>
    <s v="LV-ACS"/>
    <s v="Unknown"/>
    <n v="18"/>
    <n v="13"/>
    <n v="5"/>
    <n v="5"/>
    <n v="3"/>
    <n v="2"/>
    <n v="0"/>
    <s v="Veered off runway, struck a building while landing."/>
    <n v="13"/>
    <n v="0.27777777777777779"/>
    <x v="2"/>
  </r>
  <r>
    <n v="965"/>
    <x v="884"/>
    <x v="36"/>
    <x v="0"/>
    <d v="1899-12-30T18:16:00"/>
    <s v="Leesburg, Virginia"/>
    <s v="Pennsylvania Central Airlines"/>
    <n v="410"/>
    <s v="Pittsburgh - Washington D.C."/>
    <x v="517"/>
    <s v="NC88842"/>
    <n v="3112"/>
    <n v="50"/>
    <n v="47"/>
    <n v="3"/>
    <n v="50"/>
    <n v="47"/>
    <n v="3"/>
    <n v="0"/>
    <s v="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
    <n v="0"/>
    <n v="1"/>
    <x v="1"/>
  </r>
  <r>
    <n v="966"/>
    <x v="885"/>
    <x v="36"/>
    <x v="0"/>
    <d v="1899-12-30T23:40:00"/>
    <s v="Al Mayadin, Syria"/>
    <s v="Pan American World Airways"/>
    <n v="121"/>
    <s v="Karachi - Istanbul"/>
    <x v="518"/>
    <s v="NC88845"/>
    <n v="2045"/>
    <n v="36"/>
    <n v="27"/>
    <n v="9"/>
    <n v="14"/>
    <n v="7"/>
    <n v="7"/>
    <n v="0"/>
    <s v="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
    <n v="22"/>
    <n v="0.3888888888888889"/>
    <x v="0"/>
  </r>
  <r>
    <n v="967"/>
    <x v="886"/>
    <x v="36"/>
    <x v="0"/>
    <s v="Unknown"/>
    <s v="Black Sea, Gulf of Karkinitsky"/>
    <s v="Aeroflot"/>
    <s v="Unknown"/>
    <s v="Unknown"/>
    <x v="519"/>
    <s v="CCCP-L4138"/>
    <s v="Unknown"/>
    <n v="29"/>
    <n v="25"/>
    <n v="4"/>
    <n v="8"/>
    <n v="6"/>
    <n v="2"/>
    <n v="0"/>
    <s v=" The plane ditched in the Black Sea. Engine failure due to disconnection of traction altitude corrector."/>
    <n v="21"/>
    <n v="0.27586206896551724"/>
    <x v="2"/>
  </r>
  <r>
    <n v="968"/>
    <x v="887"/>
    <x v="36"/>
    <x v="0"/>
    <s v="Unknown"/>
    <s v="Near Eaeka, French Cameroons"/>
    <s v="Air France"/>
    <s v="Unknown"/>
    <s v="Bangu i- YaoundÃ© - Douala"/>
    <x v="213"/>
    <s v="F-BALF"/>
    <n v="91"/>
    <n v="13"/>
    <n v="10"/>
    <n v="3"/>
    <n v="13"/>
    <n v="10"/>
    <n v="3"/>
    <n v="0"/>
    <s v="Crashed into the slope of a mountain while en route in reduced visibility."/>
    <n v="0"/>
    <n v="1"/>
    <x v="1"/>
  </r>
  <r>
    <n v="969"/>
    <x v="888"/>
    <x v="36"/>
    <x v="0"/>
    <d v="1899-12-30T04:30:00"/>
    <s v="Melbourne, Florida"/>
    <s v="Burke Air Transport"/>
    <s v="Unknown"/>
    <s v="Newark - Miami"/>
    <x v="277"/>
    <s v="NC79024"/>
    <n v="9887"/>
    <n v="36"/>
    <n v="33"/>
    <n v="3"/>
    <n v="14"/>
    <n v="12"/>
    <n v="2"/>
    <n v="0"/>
    <s v="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
    <n v="22"/>
    <n v="0.3888888888888889"/>
    <x v="0"/>
  </r>
  <r>
    <n v="970"/>
    <x v="889"/>
    <x v="36"/>
    <x v="0"/>
    <s v="Unknown"/>
    <s v="Vichy ,France"/>
    <s v="Aero Cargo"/>
    <s v="Unknown"/>
    <s v="Paris - Vichy"/>
    <x v="213"/>
    <s v="F-BCHH"/>
    <s v="AAC323"/>
    <n v="19"/>
    <s v="NULL"/>
    <s v="NULL"/>
    <n v="1"/>
    <s v="NULL"/>
    <s v="NULL"/>
    <n v="0"/>
    <s v="Lost control while landing and crashed."/>
    <n v="18"/>
    <n v="5.2631578947368418E-2"/>
    <x v="2"/>
  </r>
  <r>
    <n v="971"/>
    <x v="890"/>
    <x v="36"/>
    <x v="0"/>
    <d v="1899-12-30T22:40:00"/>
    <s v="Az-Zubair, Iran"/>
    <s v="British Overseas Airways"/>
    <s v="Unknown"/>
    <s v="Cairo - Basrah"/>
    <x v="520"/>
    <s v="G-AGMR"/>
    <n v="1219"/>
    <n v="6"/>
    <n v="0"/>
    <n v="6"/>
    <n v="6"/>
    <n v="0"/>
    <n v="6"/>
    <n v="0"/>
    <s v="During a fourth landing attempt the plane touched down, power was applied but the plane crashed in a wooded area beyond the runway. An error on the part of the pilot in continuing the flight in unsuitable weather conditions coupled with lack of cooperation by the ATC."/>
    <n v="0"/>
    <n v="1"/>
    <x v="1"/>
  </r>
  <r>
    <n v="972"/>
    <x v="891"/>
    <x v="36"/>
    <x v="0"/>
    <s v="Unknown"/>
    <s v="Moron, Argentina"/>
    <s v="Flota AÃ©rea Mercante Argentina"/>
    <s v="Unknown"/>
    <s v="Test flight"/>
    <x v="477"/>
    <s v="LV-XIH"/>
    <n v="1366"/>
    <n v="6"/>
    <n v="0"/>
    <n v="6"/>
    <n v="2"/>
    <n v="0"/>
    <n v="2"/>
    <n v="2"/>
    <s v="Struck a truck while attempting to land."/>
    <n v="4"/>
    <n v="0.33333333333333331"/>
    <x v="2"/>
  </r>
  <r>
    <n v="973"/>
    <x v="892"/>
    <x v="36"/>
    <x v="0"/>
    <s v="Unknown"/>
    <s v="Near Yumen, China"/>
    <s v="Military - Chinese Air Force"/>
    <s v="Unknown"/>
    <s v="Tihua - Lanzhou"/>
    <x v="368"/>
    <s v="Unknown"/>
    <s v="Unknown"/>
    <n v="26"/>
    <n v="22"/>
    <n v="4"/>
    <n v="26"/>
    <n v="22"/>
    <n v="4"/>
    <n v="0"/>
    <s v="Crashed in a mountainous area."/>
    <n v="0"/>
    <n v="1"/>
    <x v="1"/>
  </r>
  <r>
    <n v="974"/>
    <x v="893"/>
    <x v="36"/>
    <x v="0"/>
    <d v="1899-12-30T17:40:00"/>
    <s v="Andes, Argentina"/>
    <s v="British South American Airways"/>
    <s v="Unknown"/>
    <s v="Buenos Aires - Santiago"/>
    <x v="521"/>
    <s v="G-AGWH"/>
    <n v="1280"/>
    <n v="11"/>
    <n v="6"/>
    <n v="5"/>
    <n v="11"/>
    <n v="6"/>
    <n v="5"/>
    <n v="0"/>
    <s v="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quot;Star Dust.&quot; The radio operator transmitted an enigmatic coded message (&quot;STENDEC&quot;) before the plane disappeared."/>
    <n v="0"/>
    <n v="1"/>
    <x v="1"/>
  </r>
  <r>
    <n v="975"/>
    <x v="894"/>
    <x v="36"/>
    <x v="0"/>
    <s v="Unknown"/>
    <s v="North Pacific Ocean"/>
    <s v="Military - U.S. Navy"/>
    <s v="Unknown"/>
    <s v="Kodiak - Dutch Harbor"/>
    <x v="522"/>
    <n v="34032"/>
    <s v="Unknown"/>
    <n v="20"/>
    <n v="15"/>
    <n v="5"/>
    <n v="20"/>
    <n v="15"/>
    <n v="5"/>
    <n v="0"/>
    <s v="Disappeared while en route. The last message from the aircraft was it was 150 miles from its destination and battling strong head winds."/>
    <n v="0"/>
    <n v="1"/>
    <x v="1"/>
  </r>
  <r>
    <n v="976"/>
    <x v="895"/>
    <x v="36"/>
    <x v="0"/>
    <d v="1899-12-30T18:49:00"/>
    <s v="New York, New York"/>
    <s v="American Airlines"/>
    <s v="Unknown"/>
    <s v="New York - Buffalo"/>
    <x v="507"/>
    <s v="NX88787"/>
    <n v="19639"/>
    <n v="5"/>
    <n v="3"/>
    <n v="2"/>
    <n v="3"/>
    <n v="1"/>
    <n v="2"/>
    <n v="0"/>
    <s v="Cargo flight. Lost an engine on takeoff and decided to return to the airport. Following an attempted landing, a miss approach procedure was attempted for a second landing without sufficient air speed for single engine operation."/>
    <n v="2"/>
    <n v="0.6"/>
    <x v="0"/>
  </r>
  <r>
    <n v="977"/>
    <x v="896"/>
    <x v="36"/>
    <x v="0"/>
    <s v="Unknown"/>
    <s v="Malmo, Sweden"/>
    <s v="AB Aerotransport"/>
    <s v="Unknown"/>
    <s v="Amsterdam - Malmo"/>
    <x v="523"/>
    <s v="SE-BAY"/>
    <n v="19559"/>
    <n v="5"/>
    <n v="0"/>
    <n v="5"/>
    <n v="1"/>
    <n v="0"/>
    <n v="1"/>
    <n v="0"/>
    <s v="The cargo plane overran the runway and crashed into high ground."/>
    <n v="4"/>
    <n v="0.2"/>
    <x v="2"/>
  </r>
  <r>
    <n v="978"/>
    <x v="897"/>
    <x v="36"/>
    <x v="0"/>
    <s v="Unknown"/>
    <s v="Bucharest, Romania"/>
    <s v="Transporturile Aeriene Romano-Sovietice"/>
    <s v="Unknown"/>
    <s v="Constanta - Bucharest"/>
    <x v="420"/>
    <s v="YR-TAV"/>
    <n v="18423801"/>
    <n v="8"/>
    <n v="5"/>
    <n v="3"/>
    <n v="3"/>
    <n v="3"/>
    <n v="0"/>
    <n v="0"/>
    <s v="No data available"/>
    <n v="5"/>
    <n v="0.375"/>
    <x v="0"/>
  </r>
  <r>
    <n v="979"/>
    <x v="898"/>
    <x v="36"/>
    <x v="0"/>
    <d v="1899-12-30T06:11:00"/>
    <s v="Hanksville, Utah"/>
    <s v="Slick Airways"/>
    <s v="Unknown"/>
    <s v="Unknown"/>
    <x v="509"/>
    <s v="NC59488"/>
    <n v="2935"/>
    <n v="3"/>
    <n v="1"/>
    <n v="2"/>
    <n v="3"/>
    <n v="1"/>
    <n v="2"/>
    <n v="0"/>
    <s v="The cargo plane entered a thunderstorm and struck Blue Bell Knoll Mountain. The continuation of the flight into instrument weather conditions over mountainous terrain at an altitude too low to clear the mountains en route."/>
    <n v="0"/>
    <n v="1"/>
    <x v="1"/>
  </r>
  <r>
    <n v="980"/>
    <x v="899"/>
    <x v="36"/>
    <x v="0"/>
    <d v="1899-12-30T04:00:00"/>
    <s v="Bahrain, Persian Gulf"/>
    <s v="British Overseas Airways"/>
    <s v="Unknown"/>
    <s v="Karachi - Bahrain"/>
    <x v="524"/>
    <s v="G-AHZB"/>
    <s v="SH-38C"/>
    <n v="26"/>
    <n v="18"/>
    <n v="8"/>
    <n v="10"/>
    <n v="7"/>
    <n v="3"/>
    <n v="0"/>
    <s v="Heavy water landing. The captain misjudged the approach and allowed the aircraft to touchdown heavily, short of the flarepath. He then failed to maintain control during the bounce and the aircraft struck the water in a nose-down attitude."/>
    <n v="16"/>
    <n v="0.38461538461538464"/>
    <x v="0"/>
  </r>
  <r>
    <n v="981"/>
    <x v="900"/>
    <x v="36"/>
    <x v="0"/>
    <d v="1899-12-30T09:00:00"/>
    <s v="Harsiad, Norway"/>
    <s v="Norwegian Airlines"/>
    <s v="Unknown"/>
    <s v="Tromso - Oslo"/>
    <x v="525"/>
    <s v="LN-IAV"/>
    <s v="SH-48C"/>
    <n v="35"/>
    <n v="27"/>
    <n v="8"/>
    <n v="35"/>
    <n v="27"/>
    <n v="8"/>
    <n v="0"/>
    <s v="Crashed into 13,000 foot mountain. Navigational error by the crew."/>
    <n v="0"/>
    <n v="1"/>
    <x v="1"/>
  </r>
  <r>
    <n v="982"/>
    <x v="901"/>
    <x v="36"/>
    <x v="0"/>
    <d v="1899-12-30T07:55:00"/>
    <s v="Near El Paso, Texas"/>
    <s v="American Airlines"/>
    <n v="311"/>
    <s v="New York City - Dallas - Los Angeles"/>
    <x v="487"/>
    <s v="NC90432"/>
    <s v="10314/DC45"/>
    <n v="54"/>
    <n v="49"/>
    <n v="5"/>
    <n v="0"/>
    <n v="0"/>
    <n v="0"/>
    <n v="0"/>
    <s v="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
    <n v="54"/>
    <n v="0"/>
    <x v="2"/>
  </r>
  <r>
    <n v="983"/>
    <x v="902"/>
    <x v="36"/>
    <x v="0"/>
    <d v="1899-12-30T10:04:00"/>
    <s v="Ocean, 800 miles east of Newfoundland"/>
    <s v="American International Airways"/>
    <s v="Unknown"/>
    <s v="Foynes, Ireland - Botwood, Newfoundland - New York"/>
    <x v="526"/>
    <s v=" NC18612"/>
    <n v="2086"/>
    <n v="69"/>
    <n v="62"/>
    <n v="7"/>
    <n v="0"/>
    <n v="0"/>
    <n v="0"/>
    <n v="0"/>
    <s v="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
    <n v="69"/>
    <n v="0"/>
    <x v="2"/>
  </r>
  <r>
    <n v="984"/>
    <x v="903"/>
    <x v="36"/>
    <x v="0"/>
    <d v="1899-12-30T14:50:00"/>
    <s v="Off Cartegena, Spain"/>
    <s v="Societe Aerienne du Littoral"/>
    <s v="Unknown"/>
    <s v="Marseille - Oran"/>
    <x v="527"/>
    <s v="F-BCJN"/>
    <n v="12788"/>
    <n v="43"/>
    <n v="39"/>
    <n v="4"/>
    <n v="41"/>
    <n v="38"/>
    <n v="4"/>
    <n v="0"/>
    <s v="Crashed into the sea following engine failure. The mechanic and a passenger survived."/>
    <n v="2"/>
    <n v="0.95348837209302328"/>
    <x v="1"/>
  </r>
  <r>
    <n v="985"/>
    <x v="903"/>
    <x v="36"/>
    <x v="0"/>
    <s v="Unknown"/>
    <s v="Sylva, North Carolina"/>
    <s v="Stratofreight"/>
    <s v="Unknown"/>
    <s v="Charlotte, NC - Gainsville, GA"/>
    <x v="277"/>
    <s v="Unknown"/>
    <s v="Unknown"/>
    <n v="3"/>
    <n v="1"/>
    <n v="2"/>
    <n v="3"/>
    <n v="1"/>
    <n v="2"/>
    <n v="0"/>
    <s v="The cargo plane struck a mountain en route."/>
    <n v="0"/>
    <n v="1"/>
    <x v="1"/>
  </r>
  <r>
    <n v="986"/>
    <x v="904"/>
    <x v="36"/>
    <x v="0"/>
    <d v="1899-12-30T12:29:00"/>
    <s v="Bryce Canyon, Utah"/>
    <s v="United Air Lines"/>
    <n v="608"/>
    <s v="Los Angeles - New York City"/>
    <x v="528"/>
    <s v="NC37510"/>
    <s v="42875/17"/>
    <n v="53"/>
    <n v="48"/>
    <n v="5"/>
    <n v="53"/>
    <n v="48"/>
    <n v="5"/>
    <n v="0"/>
    <s v="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
    <n v="0"/>
    <n v="1"/>
    <x v="1"/>
  </r>
  <r>
    <n v="987"/>
    <x v="905"/>
    <x v="36"/>
    <x v="0"/>
    <d v="1899-12-30T19:30:00"/>
    <s v="Near Mt. Hymettus, Greece"/>
    <s v="AB Aerotransport"/>
    <n v="1629"/>
    <s v="Istanbul-Athens-Rome-Geneve-Copenhagen-Stockholm"/>
    <x v="479"/>
    <s v="SE-BBG"/>
    <s v="42930/45"/>
    <n v="44"/>
    <n v="36"/>
    <n v="8"/>
    <n v="44"/>
    <n v="36"/>
    <n v="8"/>
    <n v="0"/>
    <s v="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quot;Sunnan.&quot;"/>
    <n v="0"/>
    <n v="1"/>
    <x v="1"/>
  </r>
  <r>
    <n v="988"/>
    <x v="905"/>
    <x v="36"/>
    <x v="0"/>
    <d v="1899-12-30T13:45:00"/>
    <s v="Annette Island, Alaska"/>
    <s v="Pan American World Airways"/>
    <n v="923"/>
    <s v="Seattle - Juneau"/>
    <x v="529"/>
    <s v="NC88920"/>
    <n v="10317"/>
    <n v="18"/>
    <n v="13"/>
    <n v="5"/>
    <n v="18"/>
    <n v="13"/>
    <n v="5"/>
    <n v="0"/>
    <s v="The aircraft crashed into Tamgas Mountain after abandoning an approach to Annette Island because of extreme turbulence and radioing its intentions to proceed to Juneau. Possible severe turbulence or icing. Official cause unknown. The aircraft was named Clipper Talisman II."/>
    <n v="0"/>
    <n v="1"/>
    <x v="1"/>
  </r>
  <r>
    <n v="989"/>
    <x v="906"/>
    <x v="36"/>
    <x v="0"/>
    <s v="Unknown"/>
    <s v="Near Srinagar, India"/>
    <s v="Military - Royal Indian Air Force"/>
    <s v="Unknown"/>
    <s v="Unknown"/>
    <x v="443"/>
    <s v="M965"/>
    <n v="12819"/>
    <n v="25"/>
    <n v="22"/>
    <n v="3"/>
    <n v="25"/>
    <n v="22"/>
    <n v="3"/>
    <n v="0"/>
    <s v="Took off and went missing. The wreckage was located in June 1980 in the Pir Panjal hills near Srinagar."/>
    <n v="0"/>
    <n v="1"/>
    <x v="1"/>
  </r>
  <r>
    <n v="990"/>
    <x v="907"/>
    <x v="36"/>
    <x v="0"/>
    <s v="Unknown"/>
    <s v="Off Barrio Rizal, Philippines"/>
    <s v="Philippine Air Express"/>
    <s v="Unknown"/>
    <s v="Unknown"/>
    <x v="277"/>
    <s v="Unknown"/>
    <s v="Unknown"/>
    <n v="5"/>
    <n v="3"/>
    <n v="2"/>
    <n v="5"/>
    <n v="3"/>
    <n v="2"/>
    <n v="0"/>
    <s v="The cargo plane crashed into the ocean."/>
    <n v="0"/>
    <n v="1"/>
    <x v="1"/>
  </r>
  <r>
    <n v="991"/>
    <x v="908"/>
    <x v="36"/>
    <x v="0"/>
    <s v="Unknown"/>
    <s v="Gallup, New Mexico"/>
    <s v="American Airlines"/>
    <n v="10"/>
    <s v="San Francisco - Chicago - New York"/>
    <x v="528"/>
    <s v="NC90741"/>
    <s v="43046/92"/>
    <n v="25"/>
    <n v="21"/>
    <n v="4"/>
    <n v="0"/>
    <s v="NULL"/>
    <s v="NULL"/>
    <n v="0"/>
    <s v="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
    <n v="25"/>
    <n v="0"/>
    <x v="2"/>
  </r>
  <r>
    <n v="992"/>
    <x v="909"/>
    <x v="36"/>
    <x v="0"/>
    <s v="Unknown"/>
    <s v="Near Bouchox, France"/>
    <s v="SociÃ©tÃ© Auxiliare de Navigation AÃ©rienne"/>
    <s v="Unknown"/>
    <s v="Unknown"/>
    <x v="213"/>
    <s v="F-BDYH"/>
    <s v="AAC401"/>
    <n v="2"/>
    <n v="0"/>
    <n v="2"/>
    <n v="2"/>
    <n v="0"/>
    <n v="2"/>
    <n v="0"/>
    <s v="The cargo plane struck a mountain en route."/>
    <n v="0"/>
    <n v="1"/>
    <x v="1"/>
  </r>
  <r>
    <n v="993"/>
    <x v="910"/>
    <x v="36"/>
    <x v="0"/>
    <d v="1899-12-30T13:00:00"/>
    <s v="Newcastle, Delaware"/>
    <s v="Trans Continental and Western Air"/>
    <s v="Unknown"/>
    <s v="Training"/>
    <x v="530"/>
    <s v="NC86507"/>
    <n v="2028"/>
    <n v="5"/>
    <n v="0"/>
    <n v="5"/>
    <n v="5"/>
    <n v="0"/>
    <n v="5"/>
    <n v="0"/>
    <s v="Crashed short of the runway and burst into flames. The inadvertent landing of the aircraft short of the runway. Inadequate air speed, improper use of power, and the adoption of an incorrect glide path."/>
    <n v="0"/>
    <n v="1"/>
    <x v="1"/>
  </r>
  <r>
    <n v="994"/>
    <x v="910"/>
    <x v="36"/>
    <x v="0"/>
    <d v="1899-12-30T15:00:00"/>
    <s v="Ravello, Italy"/>
    <s v="Trafik-Turist-Transportflyg"/>
    <s v="Unknown"/>
    <s v="Catania - Rome"/>
    <x v="531"/>
    <s v="SE-BNG"/>
    <n v="12792"/>
    <n v="25"/>
    <n v="21"/>
    <n v="4"/>
    <n v="20"/>
    <n v="16"/>
    <n v="4"/>
    <n v="0"/>
    <s v="Strayed off course, stuck tree tops and then crashed into Mt. Santa Maria del Monte. Pilot's failure to realize the plane strayed off course and was in mountainous territory."/>
    <n v="5"/>
    <n v="0.8"/>
    <x v="1"/>
  </r>
  <r>
    <n v="995"/>
    <x v="911"/>
    <x v="36"/>
    <x v="0"/>
    <d v="1899-12-30T18:00:00"/>
    <s v="Phouznicie, Romania"/>
    <s v="TARS"/>
    <s v="Unknown"/>
    <s v="Bucurest - Prague"/>
    <x v="420"/>
    <s v="YR-TAI"/>
    <n v="18423509"/>
    <n v="26"/>
    <n v="21"/>
    <n v="5"/>
    <n v="13"/>
    <n v="8"/>
    <n v="5"/>
    <n v="0"/>
    <s v="Crashed and burned on 2,000 ft. Tabor Peak in fog. The crew became lost after radio failure."/>
    <n v="13"/>
    <n v="0.5"/>
    <x v="0"/>
  </r>
  <r>
    <n v="996"/>
    <x v="912"/>
    <x v="36"/>
    <x v="0"/>
    <s v="Unknown"/>
    <m/>
    <s v="China National Aviation Corporation"/>
    <s v="Unknown"/>
    <s v="Unknown"/>
    <x v="277"/>
    <s v="Unknown"/>
    <s v="Unknown"/>
    <n v="3"/>
    <n v="0"/>
    <n v="3"/>
    <n v="2"/>
    <n v="0"/>
    <n v="2"/>
    <n v="0"/>
    <s v="The cargo plane was shot down by communist anti -aircraft fire."/>
    <n v="1"/>
    <n v="0.66666666666666663"/>
    <x v="1"/>
  </r>
  <r>
    <n v="997"/>
    <x v="912"/>
    <x v="36"/>
    <x v="0"/>
    <s v="Unknown"/>
    <s v="Yakutat, Alaska"/>
    <s v="Columbia Air Cargo"/>
    <s v="Unknown"/>
    <s v="Fairbanks - Yakutat"/>
    <x v="507"/>
    <s v="NC95486"/>
    <n v="6065"/>
    <n v="13"/>
    <n v="11"/>
    <n v="2"/>
    <n v="13"/>
    <n v="11"/>
    <n v="2"/>
    <n v="0"/>
    <s v="Crashed into trees while on approach to Yakutat. Failure to follow the approved instrument approach procedures while making an initial approach at an altitude insufficient to clear trees along the flight path."/>
    <n v="0"/>
    <n v="1"/>
    <x v="1"/>
  </r>
  <r>
    <n v="998"/>
    <x v="912"/>
    <x v="36"/>
    <x v="0"/>
    <d v="1899-12-30T04:20:00"/>
    <s v="Montenegrin Mountains, Yugoslavia"/>
    <s v="JAT Yugoslav Airlines"/>
    <s v="Unknown"/>
    <s v=" Zagreb - Titograd"/>
    <x v="420"/>
    <s v="YU-BAD"/>
    <s v="184 270 09"/>
    <n v="22"/>
    <n v="19"/>
    <n v="3"/>
    <n v="22"/>
    <n v="19"/>
    <n v="3"/>
    <n v="0"/>
    <s v="The aircraft crashed and burned 2 miles from Titograd airport while attempting to land in a snowstorm."/>
    <n v="0"/>
    <n v="1"/>
    <x v="1"/>
  </r>
  <r>
    <n v="999"/>
    <x v="913"/>
    <x v="36"/>
    <x v="0"/>
    <d v="1899-12-30T14:10:00"/>
    <s v="Near Trappa, Italy"/>
    <s v="Military - U.S. Air Force"/>
    <s v="Unknown"/>
    <s v="Unknown"/>
    <x v="443"/>
    <s v="43-48736"/>
    <s v="14552/25997"/>
    <n v="20"/>
    <n v="15"/>
    <n v="5"/>
    <n v="20"/>
    <n v="15"/>
    <n v="5"/>
    <n v="0"/>
    <s v="Drifting 30 miles off the prescribed course, the aircraft crashed into snow covered mountains. The wreckage was discovered 8 months later."/>
    <n v="0"/>
    <n v="1"/>
    <x v="1"/>
  </r>
  <r>
    <n v="1000"/>
    <x v="914"/>
    <x v="36"/>
    <x v="0"/>
    <d v="1899-12-30T14:25:00"/>
    <s v="Seattle, Washington"/>
    <s v="Alaska Airlines"/>
    <n v="9"/>
    <s v="Anchorage - Seattle"/>
    <x v="377"/>
    <s v="NC-91009"/>
    <n v="7453"/>
    <n v="28"/>
    <n v="25"/>
    <n v="3"/>
    <n v="8"/>
    <n v="7"/>
    <n v="1"/>
    <n v="1"/>
    <s v="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
    <n v="20"/>
    <n v="0.2857142857142857"/>
    <x v="2"/>
  </r>
  <r>
    <n v="1001"/>
    <x v="915"/>
    <x v="36"/>
    <x v="0"/>
    <d v="1899-12-30T00:20:00"/>
    <s v="Near Goose Bay, Labrador"/>
    <s v="Military - U.S. Air Force"/>
    <s v="Unknown"/>
    <s v="Goose Bay - Westover Field, MS"/>
    <x v="466"/>
    <s v="42-72572"/>
    <n v="10677"/>
    <n v="29"/>
    <n v="25"/>
    <n v="4"/>
    <n v="23"/>
    <n v="22"/>
    <n v="1"/>
    <n v="0"/>
    <s v="The aircraft crashed and burned in a wooded area shortly after taking off from Goose Bay. Snow falling at the time of the accident was a factor."/>
    <n v="6"/>
    <n v="0.7931034482758621"/>
    <x v="1"/>
  </r>
  <r>
    <n v="1002"/>
    <x v="916"/>
    <x v="36"/>
    <x v="0"/>
    <d v="1899-12-30T18:10:00"/>
    <s v="Near Memphis, Tennessee"/>
    <s v="Military - U.S. Air Force"/>
    <s v="Unknown"/>
    <s v="El Paso - Memphis"/>
    <x v="532"/>
    <s v="44-76366"/>
    <s v="15950/32698"/>
    <n v="20"/>
    <n v="16"/>
    <n v="4"/>
    <n v="20"/>
    <n v="16"/>
    <n v="4"/>
    <n v="0"/>
    <s v="After preparing to land, the aircraft went into a right-hand spiral and crashed  for reasons unknown."/>
    <n v="0"/>
    <n v="1"/>
    <x v="1"/>
  </r>
  <r>
    <n v="1003"/>
    <x v="917"/>
    <x v="36"/>
    <x v="0"/>
    <d v="1899-12-30T09:30:00"/>
    <s v="Krasnoyarsk, Russia"/>
    <s v="Aeroflot"/>
    <n v="6"/>
    <s v="Krasnoyarsk - Omsk"/>
    <x v="533"/>
    <s v="CCCP-L1343"/>
    <s v="30 049"/>
    <n v="25"/>
    <n v="20"/>
    <n v="5"/>
    <n v="9"/>
    <n v="3"/>
    <n v="4"/>
    <n v="0"/>
    <s v="Crash landed due to engine failure after an attempted go-around."/>
    <n v="16"/>
    <n v="0.36"/>
    <x v="0"/>
  </r>
  <r>
    <n v="1004"/>
    <x v="918"/>
    <x v="36"/>
    <x v="0"/>
    <s v="Unknown"/>
    <s v="Kunming, China"/>
    <s v="Air Transport"/>
    <s v="Unknown"/>
    <s v="Unknown"/>
    <x v="534"/>
    <s v="OO-XAC"/>
    <s v="Unknown"/>
    <n v="30"/>
    <s v="NULL"/>
    <s v="NULL"/>
    <n v="25"/>
    <s v="NULL"/>
    <s v="NULL"/>
    <n v="0"/>
    <s v="No data available"/>
    <n v="5"/>
    <n v="0.83333333333333337"/>
    <x v="1"/>
  </r>
  <r>
    <n v="1005"/>
    <x v="919"/>
    <x v="36"/>
    <x v="0"/>
    <s v="Unknown"/>
    <s v="Korangi Creek, India"/>
    <s v="Air India"/>
    <s v="Unknown"/>
    <s v="Karachi - Bombay"/>
    <x v="535"/>
    <s v="VT-AUG"/>
    <n v="4175"/>
    <n v="23"/>
    <n v="19"/>
    <n v="4"/>
    <n v="23"/>
    <n v="19"/>
    <n v="4"/>
    <n v="0"/>
    <s v="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
    <n v="0"/>
    <n v="1"/>
    <x v="1"/>
  </r>
  <r>
    <n v="1006"/>
    <x v="920"/>
    <x v="36"/>
    <x v="0"/>
    <s v="Unknown"/>
    <s v="Leon, Mexico"/>
    <s v="Servicio AÃ©reo Panini"/>
    <s v="Unknown"/>
    <s v="Dorango - Leon - Mexico City"/>
    <x v="536"/>
    <s v="XA-GEE"/>
    <n v="1408"/>
    <n v="10"/>
    <n v="7"/>
    <n v="3"/>
    <n v="5"/>
    <n v="3"/>
    <n v="2"/>
    <n v="3"/>
    <s v="Crashed near the Leon public square and destroyed 3 homes. Lost an engine while taking off. Attempting to return to the airport."/>
    <n v="5"/>
    <n v="0.5"/>
    <x v="0"/>
  </r>
  <r>
    <n v="1007"/>
    <x v="921"/>
    <x v="37"/>
    <x v="0"/>
    <d v="1899-12-30T19:30:00"/>
    <s v="Paris, France"/>
    <s v="Air France"/>
    <s v="Unknown"/>
    <s v="Brussels - Paris"/>
    <x v="537"/>
    <s v="F-BAXC"/>
    <n v="42972"/>
    <n v="16"/>
    <n v="11"/>
    <n v="5"/>
    <n v="16"/>
    <n v="11"/>
    <n v="5"/>
    <n v="0"/>
    <s v="Crashed into trees a few hundred yards away from the runway while attempting to land at Le Bourget Airport. Both weather and pilot error were considered as causative factors in the accident."/>
    <n v="0"/>
    <n v="1"/>
    <x v="1"/>
  </r>
  <r>
    <n v="1008"/>
    <x v="921"/>
    <x v="37"/>
    <x v="0"/>
    <s v="Unknown"/>
    <s v="Ruislip, England"/>
    <s v="British European Airways"/>
    <s v="Unknown"/>
    <s v="Renfrew - Northolt"/>
    <x v="538"/>
    <s v="G-AHPK"/>
    <n v="148"/>
    <n v="18"/>
    <n v="14"/>
    <n v="4"/>
    <n v="1"/>
    <n v="0"/>
    <n v="1"/>
    <n v="0"/>
    <s v="After two or three failed approaches, the plane struck trees and crashed into a field. Poor judgment on the part of the pilot attempting to land in VFR conditions in limited visibility and poor weather conditions and not diverting to another airport."/>
    <n v="17"/>
    <n v="5.5555555555555552E-2"/>
    <x v="2"/>
  </r>
  <r>
    <n v="1009"/>
    <x v="922"/>
    <x v="37"/>
    <x v="0"/>
    <d v="1899-12-30T07:45:00"/>
    <s v="Near Savannah, Georgia"/>
    <s v="Coastal Air Lines"/>
    <s v="Unknown"/>
    <s v="Charlston - Savannah"/>
    <x v="277"/>
    <s v="N60331"/>
    <n v="12968"/>
    <n v="27"/>
    <n v="25"/>
    <n v="2"/>
    <n v="18"/>
    <n v="17"/>
    <n v="1"/>
    <n v="0"/>
    <s v="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
    <n v="9"/>
    <n v="0.66666666666666663"/>
    <x v="1"/>
  </r>
  <r>
    <n v="1010"/>
    <x v="923"/>
    <x v="37"/>
    <x v="0"/>
    <s v="Unknown"/>
    <s v="Near Palestro, Algeria"/>
    <s v="Transport Comp. Algerienne de T.A."/>
    <s v="Unknown"/>
    <s v="Algiers - Biskra"/>
    <x v="277"/>
    <s v="F-BDLG"/>
    <n v="275"/>
    <n v="9"/>
    <n v="7"/>
    <n v="2"/>
    <n v="9"/>
    <n v="7"/>
    <n v="2"/>
    <n v="0"/>
    <s v="Crashed into a mountainside 50 miles south of Algiers after an engine failed."/>
    <n v="0"/>
    <n v="1"/>
    <x v="1"/>
  </r>
  <r>
    <n v="1011"/>
    <x v="924"/>
    <x v="37"/>
    <x v="0"/>
    <s v="Unknown"/>
    <s v="Ciudad Havajillo, Dominican Republic"/>
    <s v="Dominicana"/>
    <s v="Unknown"/>
    <s v="Santa Cruz de Barahona - Santiago de los Caballeros"/>
    <x v="277"/>
    <s v="HI-6"/>
    <n v="4735"/>
    <n v="32"/>
    <n v="29"/>
    <n v="3"/>
    <n v="32"/>
    <n v="29"/>
    <n v="3"/>
    <n v="0"/>
    <s v="Crashed in mountainous terrain about 15 miles north northwest of Santo Domingo. Unable to land in darkness and unlighted airport of its intended destination the plane turned back when it struck the mountain. Weather and navigational error were considered factors in the accident."/>
    <n v="0"/>
    <n v="1"/>
    <x v="1"/>
  </r>
  <r>
    <n v="1012"/>
    <x v="925"/>
    <x v="37"/>
    <x v="0"/>
    <d v="1899-12-30T04:36:00"/>
    <s v="Oxon Hill, Maryland"/>
    <s v="Eastern Air Lines"/>
    <n v="572"/>
    <s v="Atlanta - Washington D.C."/>
    <x v="539"/>
    <s v="NC28384"/>
    <n v="4092"/>
    <n v="9"/>
    <n v="6"/>
    <n v="3"/>
    <n v="5"/>
    <n v="3"/>
    <n v="2"/>
    <n v="0"/>
    <s v="The aircraft crashed during approach, 5.2 miles short of the runway, in poor weather conditions. Failure of the crew to follow prescribed  procedures and maintain a safe altitude during an ILS approach."/>
    <n v="4"/>
    <n v="0.55555555555555558"/>
    <x v="0"/>
  </r>
  <r>
    <n v="1013"/>
    <x v="926"/>
    <x v="37"/>
    <x v="0"/>
    <s v="Unknown"/>
    <s v="Near Mukden, China"/>
    <s v="China National Aviation Corporation"/>
    <s v="Unknown"/>
    <s v="Unknown"/>
    <x v="469"/>
    <s v="Unknown"/>
    <s v="Unknown"/>
    <n v="54"/>
    <n v="51"/>
    <n v="3"/>
    <n v="11"/>
    <n v="11"/>
    <n v="0"/>
    <n v="0"/>
    <s v="The heavily loaded plane rose 50 ft. into the air, nosed down and crashed in a snowstorm"/>
    <n v="43"/>
    <n v="0.20370370370370369"/>
    <x v="2"/>
  </r>
  <r>
    <n v="1014"/>
    <x v="927"/>
    <x v="37"/>
    <x v="0"/>
    <d v="1899-12-30T10:50:00"/>
    <s v="Diablo Mts., California"/>
    <s v="Airline Transport Carriers"/>
    <s v="Unknown"/>
    <s v="Burbank - Oakland"/>
    <x v="540"/>
    <s v="NC36480"/>
    <s v="16850/33598"/>
    <n v="32"/>
    <n v="29"/>
    <n v="3"/>
    <n v="32"/>
    <n v="29"/>
    <n v="3"/>
    <n v="0"/>
    <s v="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quot;Deportee.&quot;"/>
    <n v="0"/>
    <n v="1"/>
    <x v="1"/>
  </r>
  <r>
    <n v="1015"/>
    <x v="928"/>
    <x v="37"/>
    <x v="0"/>
    <d v="1899-12-30T03:00:00"/>
    <s v="Atlantic Ocean, NE of Bermuda"/>
    <s v="British South American Airways"/>
    <s v="Unknown"/>
    <s v="London - Havana"/>
    <x v="541"/>
    <s v="G-AHNP"/>
    <n v="1349"/>
    <n v="31"/>
    <n v="25"/>
    <n v="6"/>
    <n v="31"/>
    <n v="25"/>
    <n v="6"/>
    <n v="0"/>
    <s v="The aircraft ran out of fuel and crashed into the Atlantic Ocean, 340 miles from Bermuda, after running into strong headwinds and being blown off course while flying the leg from  the Azores to Bermuda. Official cause unknown. The aircraft was named &quot;Star Tiger.&quot;"/>
    <n v="0"/>
    <n v="1"/>
    <x v="1"/>
  </r>
  <r>
    <n v="1016"/>
    <x v="929"/>
    <x v="37"/>
    <x v="0"/>
    <d v="1899-12-30T13:27:00"/>
    <s v="Off Jacksonville, Florida"/>
    <s v="Eastern Air Lines"/>
    <n v="611"/>
    <s v="Unknown"/>
    <x v="542"/>
    <s v="NC112A"/>
    <n v="2533"/>
    <n v="69"/>
    <n v="63"/>
    <n v="6"/>
    <n v="1"/>
    <n v="0"/>
    <n v="1"/>
    <n v="0"/>
    <s v="The No. 3 propeller failed and penetrated the fuselage killing a purser.The failure of a propeller blade due to high stresses induced by accumulative engine malfunctioning."/>
    <n v="68"/>
    <n v="1.4492753623188406E-2"/>
    <x v="2"/>
  </r>
  <r>
    <n v="1017"/>
    <x v="930"/>
    <x v="37"/>
    <x v="0"/>
    <d v="1899-12-30T16:30:00"/>
    <s v="Near Padalarang, Indonesia"/>
    <s v="KLM Royal Dutch Airlines"/>
    <s v="Unknown"/>
    <s v="Bandung - Jakarta - Banjoemans - Semarang"/>
    <x v="277"/>
    <s v="PK-REA"/>
    <s v="16380/33128"/>
    <n v="19"/>
    <n v="15"/>
    <n v="4"/>
    <n v="19"/>
    <n v="15"/>
    <n v="4"/>
    <n v="0"/>
    <s v="Crashed and burned on the island of Java. The crew reported they lost an engine. While trying to return the plane crashed and exploded."/>
    <n v="0"/>
    <n v="1"/>
    <x v="1"/>
  </r>
  <r>
    <n v="1018"/>
    <x v="931"/>
    <x v="37"/>
    <x v="0"/>
    <d v="1899-12-30T13:25:00"/>
    <s v="Ubrichstein, Germany"/>
    <s v="Det Danske Luftfartselskab"/>
    <s v="Unknown"/>
    <s v="Giessen - Bad Homberg"/>
    <x v="277"/>
    <s v="OY-DCI"/>
    <n v="7330"/>
    <n v="21"/>
    <n v="17"/>
    <n v="4"/>
    <n v="12"/>
    <n v="8"/>
    <n v="4"/>
    <n v="0"/>
    <s v="In marginal weather conditions, the crew informed ground that an engine failed and was forced to make an emergency landing as they were unable to maintain a safe altitude. The aircraft crash landed in a field located in Ulrichstein, about 70 km northeast of Frankfurt Airport."/>
    <n v="9"/>
    <n v="0.5714285714285714"/>
    <x v="0"/>
  </r>
  <r>
    <n v="1019"/>
    <x v="932"/>
    <x v="37"/>
    <x v="0"/>
    <d v="1899-12-30T13:40:00"/>
    <s v="Collesalvetti,  Italy"/>
    <s v="SocietÃ  Aerea Teseo"/>
    <s v="Unknown"/>
    <s v="Florence - Pisa - Rome"/>
    <x v="383"/>
    <s v="I-REGI"/>
    <n v="4312"/>
    <n v="10"/>
    <n v="7"/>
    <n v="3"/>
    <n v="7"/>
    <n v="4"/>
    <n v="3"/>
    <n v="0"/>
    <s v="The pilot chose to fly the short distance between Florence and  Rome below the cloud base. The weather suddenly became worse and the plane entered clouds at low level, drifted off course and struck a hill."/>
    <n v="3"/>
    <n v="0.7"/>
    <x v="1"/>
  </r>
  <r>
    <n v="1020"/>
    <x v="933"/>
    <x v="37"/>
    <x v="0"/>
    <d v="1899-12-30T14:00:00"/>
    <s v="Off St. Marcouf, France"/>
    <s v="Latecoere Airlines"/>
    <s v="Unknown"/>
    <s v="Unknown"/>
    <x v="543"/>
    <s v="F-BDRD"/>
    <n v="7"/>
    <n v="14"/>
    <n v="7"/>
    <n v="7"/>
    <n v="14"/>
    <n v="7"/>
    <n v="7"/>
    <n v="0"/>
    <s v="The aircraft was seen at Ste. Mere l'Eglise where it passed very low in poor weather and snow showers before crashing into the English Channel, 50 miles west of La Harvre. It had turned back after encountering adverse weather conditions."/>
    <n v="0"/>
    <n v="1"/>
    <x v="1"/>
  </r>
  <r>
    <n v="1021"/>
    <x v="934"/>
    <x v="37"/>
    <x v="0"/>
    <s v="Unknown"/>
    <s v="Davao, Philippines"/>
    <s v="Commercial Airways"/>
    <s v="Unknown"/>
    <s v="Unknown"/>
    <x v="277"/>
    <s v="PI-C262"/>
    <s v="Unknown"/>
    <n v="12"/>
    <n v="9"/>
    <n v="3"/>
    <n v="12"/>
    <n v="9"/>
    <n v="3"/>
    <n v="0"/>
    <s v="Crashed  5 minutes after taking off from Mati."/>
    <n v="0"/>
    <n v="1"/>
    <x v="1"/>
  </r>
  <r>
    <n v="1022"/>
    <x v="935"/>
    <x v="37"/>
    <x v="0"/>
    <d v="1899-12-30T06:00:00"/>
    <s v="Columbus, Ohio"/>
    <s v="Bruning Aviation"/>
    <s v="Unknown"/>
    <s v="Pittsburgh, PA - Columbus, OH"/>
    <x v="402"/>
    <s v="NC36498"/>
    <n v="12527"/>
    <n v="2"/>
    <n v="0"/>
    <n v="2"/>
    <n v="2"/>
    <n v="0"/>
    <n v="2"/>
    <n v="0"/>
    <s v="The cargo plane struck trees while attempting to land.The continuation of an instrument approach below an altitude sufficient to clear the terrain en route."/>
    <n v="0"/>
    <n v="1"/>
    <x v="1"/>
  </r>
  <r>
    <n v="1023"/>
    <x v="936"/>
    <x v="37"/>
    <x v="0"/>
    <s v="Unknown"/>
    <s v="Near Belem, Brazil"/>
    <s v="Military - Brazilian Air Force"/>
    <s v="Unknown"/>
    <s v="Rio de Janeiro - Bele - Cayenne"/>
    <x v="368"/>
    <n v="2040"/>
    <n v="20048"/>
    <n v="26"/>
    <n v="20"/>
    <n v="6"/>
    <n v="23"/>
    <n v="17"/>
    <n v="6"/>
    <n v="0"/>
    <s v="The plane, carrying Brazilian service personnel and their dependents crashed and burned after stalling short of the runway while attempting to land."/>
    <n v="3"/>
    <n v="0.88461538461538458"/>
    <x v="1"/>
  </r>
  <r>
    <n v="1024"/>
    <x v="937"/>
    <x v="37"/>
    <x v="0"/>
    <s v="Unknown"/>
    <s v="Off Perpignan, France"/>
    <s v="SociÃ©tÃ© de Transports AÃ©riens"/>
    <s v="Unknown"/>
    <s v="Oran - Perpignan - Lyon"/>
    <x v="213"/>
    <s v="F-BBYC"/>
    <s v="AAC223"/>
    <n v="4"/>
    <n v="0"/>
    <n v="4"/>
    <n v="4"/>
    <n v="0"/>
    <n v="4"/>
    <n v="0"/>
    <s v="The cargo flight crashed into the Gulf of Lion"/>
    <n v="0"/>
    <n v="1"/>
    <x v="1"/>
  </r>
  <r>
    <n v="1025"/>
    <x v="937"/>
    <x v="37"/>
    <x v="0"/>
    <d v="1899-12-30T21:14:00"/>
    <s v="Heathrow Airport, London, England"/>
    <s v="Sabena"/>
    <s v="Unknown"/>
    <s v="Brussels - London"/>
    <x v="277"/>
    <s v="OO-AWH"/>
    <n v="43154"/>
    <n v="22"/>
    <n v="19"/>
    <n v="3"/>
    <n v="20"/>
    <n v="17"/>
    <n v="3"/>
    <n v="0"/>
    <s v="The plane crashed during a ground control approach in poor weather conditions. Misjudgement by the pilot when attempting to land at night in conditions of low visibility. Last DC-3 built."/>
    <n v="2"/>
    <n v="0.90909090909090906"/>
    <x v="1"/>
  </r>
  <r>
    <n v="1026"/>
    <x v="938"/>
    <x v="37"/>
    <x v="0"/>
    <s v="Unknown"/>
    <s v="Near Skalafell, Iceland"/>
    <s v="Loftleidir Icelandic Airlines"/>
    <s v="Unknown"/>
    <s v="Vestmannaeyjar - Reykjavik"/>
    <x v="473"/>
    <s v="TF-RVL"/>
    <n v="4185"/>
    <n v="4"/>
    <n v="2"/>
    <n v="2"/>
    <n v="4"/>
    <n v="2"/>
    <n v="2"/>
    <n v="0"/>
    <s v="Crashed into a slope of Mt Skalafell located near Hellisheioi in poor weather condtions."/>
    <n v="0"/>
    <n v="1"/>
    <x v="1"/>
  </r>
  <r>
    <n v="1027"/>
    <x v="939"/>
    <x v="37"/>
    <x v="0"/>
    <d v="1899-12-30T22:58:00"/>
    <s v="Chicago, Illinois"/>
    <s v="Delta Air Lines"/>
    <n v="700"/>
    <s v="Chicago - Miami"/>
    <x v="487"/>
    <s v="NC37478"/>
    <n v="18390"/>
    <n v="13"/>
    <n v="9"/>
    <n v="4"/>
    <n v="12"/>
    <n v="8"/>
    <n v="4"/>
    <n v="0"/>
    <s v="During takeoff, the aircraft went into a near vertical climb to an altitude of 500 - 800 feet, stalled and crashed.  Loss of longitudinal control of the airplane for reasons undetermined."/>
    <n v="1"/>
    <n v="0.92307692307692313"/>
    <x v="1"/>
  </r>
  <r>
    <n v="1028"/>
    <x v="940"/>
    <x v="37"/>
    <x v="0"/>
    <d v="1899-12-30T21:14:00"/>
    <s v="Mt. Sanford, Alaska"/>
    <s v="Northwest Orient Airlines"/>
    <n v="4422"/>
    <s v="Anchorage - New York City"/>
    <x v="544"/>
    <s v="NC95422"/>
    <s v="35966/DO360"/>
    <n v="30"/>
    <n v="24"/>
    <n v="6"/>
    <n v="30"/>
    <n v="24"/>
    <n v="6"/>
    <n v="0"/>
    <s v="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
    <n v="0"/>
    <n v="1"/>
    <x v="1"/>
  </r>
  <r>
    <n v="1029"/>
    <x v="941"/>
    <x v="37"/>
    <x v="0"/>
    <s v="Unknown"/>
    <s v="Sierra Cristais, Brazil"/>
    <s v="Cruzeiro"/>
    <s v="Unknown"/>
    <s v="Unknown"/>
    <x v="277"/>
    <s v="PP-CBX"/>
    <n v="11658"/>
    <n v="6"/>
    <n v="3"/>
    <n v="3"/>
    <n v="6"/>
    <n v="3"/>
    <n v="3"/>
    <n v="0"/>
    <s v="Struck a mountain peak in the Sierra Cristais."/>
    <n v="0"/>
    <n v="1"/>
    <x v="1"/>
  </r>
  <r>
    <n v="1030"/>
    <x v="942"/>
    <x v="37"/>
    <x v="0"/>
    <s v="Unknown"/>
    <s v="Villa Pinzon, Colombia"/>
    <s v="Agencia Interamericana de Aviada"/>
    <s v="Unknown"/>
    <s v="El Secreto - Bogota"/>
    <x v="545"/>
    <s v="C-1002"/>
    <n v="6252"/>
    <n v="14"/>
    <n v="10"/>
    <n v="4"/>
    <n v="14"/>
    <n v="10"/>
    <n v="4"/>
    <n v="0"/>
    <s v="Crashed into the slope of Alto El Arrastradero mountain located 50 miles from Bogota."/>
    <n v="0"/>
    <n v="1"/>
    <x v="1"/>
  </r>
  <r>
    <n v="1031"/>
    <x v="943"/>
    <x v="37"/>
    <x v="0"/>
    <d v="1899-12-30T07:30:00"/>
    <s v="Monte Cardo, Corsica, France"/>
    <s v="Indian National Airlines"/>
    <s v="Unknown"/>
    <s v="Delhi - Rome - London"/>
    <x v="546"/>
    <s v="VT-CEL"/>
    <n v="166"/>
    <n v="19"/>
    <n v="15"/>
    <n v="4"/>
    <n v="19"/>
    <n v="15"/>
    <n v="4"/>
    <n v="0"/>
    <s v="Crashed into a 7,800 ft. mountain obscured by clouds while en route."/>
    <n v="0"/>
    <n v="1"/>
    <x v="1"/>
  </r>
  <r>
    <n v="1032"/>
    <x v="944"/>
    <x v="37"/>
    <x v="0"/>
    <d v="1899-12-30T14:30:00"/>
    <s v="Near Berlin, Germany"/>
    <s v="British European Airways / Military - Soviet Air Force"/>
    <s v="Unknown"/>
    <s v="London - Berlin"/>
    <x v="547"/>
    <s v="G-AIVP"/>
    <n v="229"/>
    <n v="14"/>
    <n v="10"/>
    <n v="4"/>
    <n v="14"/>
    <n v="10"/>
    <n v="4"/>
    <n v="0"/>
    <s v="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
    <n v="0"/>
    <n v="1"/>
    <x v="1"/>
  </r>
  <r>
    <n v="1033"/>
    <x v="945"/>
    <x v="37"/>
    <x v="0"/>
    <d v="1899-12-30T02:35:00"/>
    <s v="Shannon, Ireland"/>
    <s v="Pan American World Airways"/>
    <d v="2022-10-01T00:00:00"/>
    <s v="Belgium - Shannon"/>
    <x v="548"/>
    <s v="NC-88858"/>
    <n v="2058"/>
    <n v="31"/>
    <n v="21"/>
    <n v="10"/>
    <n v="30"/>
    <n v="20"/>
    <n v="10"/>
    <n v="0"/>
    <s v="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quot;Clipper Empress of the Skies.&quot;"/>
    <n v="1"/>
    <n v="0.967741935483871"/>
    <x v="1"/>
  </r>
  <r>
    <n v="1034"/>
    <x v="946"/>
    <x v="37"/>
    <x v="0"/>
    <d v="1899-12-30T09:20:00"/>
    <s v="Territory of New Guinea"/>
    <s v="New Guinea Air Traders"/>
    <s v="Unknown"/>
    <s v=" Lae - Bulolo"/>
    <x v="549"/>
    <s v="VH-ALA"/>
    <n v="4146460"/>
    <n v="37"/>
    <n v="33"/>
    <n v="4"/>
    <n v="37"/>
    <n v="33"/>
    <n v="4"/>
    <n v="0"/>
    <s v="The aircraft climbed to 500 ft. when its left engine failed, whereupon the plane plunged nose first into the ground on an island on the Markham River. Poor technique by the pilot during an emergency situation."/>
    <n v="0"/>
    <n v="1"/>
    <x v="1"/>
  </r>
  <r>
    <n v="1035"/>
    <x v="947"/>
    <x v="37"/>
    <x v="0"/>
    <d v="1899-12-30T09:30:00"/>
    <s v="Near Irkutsk Russia"/>
    <s v="Aeroflot"/>
    <s v="Unknown"/>
    <s v="Kirensk - Badaybo"/>
    <x v="550"/>
    <s v="CCCP-L4460"/>
    <n v="3704"/>
    <n v="29"/>
    <n v="25"/>
    <n v="4"/>
    <n v="28"/>
    <n v="24"/>
    <n v="4"/>
    <n v="0"/>
    <s v="Crashed in an icy river, 20 miles from its destination. The flight crew who had been drinking the previous night, diverted from the correct route and had been flying at an altitude of about 300 ft. when they crashed."/>
    <n v="1"/>
    <n v="0.96551724137931039"/>
    <x v="1"/>
  </r>
  <r>
    <n v="1036"/>
    <x v="948"/>
    <x v="37"/>
    <x v="0"/>
    <d v="1899-12-30T17:30:00"/>
    <s v="Mount Coron, France"/>
    <s v="Skyways of London"/>
    <s v="Unknown"/>
    <s v="Croydon - Paris - Cannes"/>
    <x v="551"/>
    <s v="G-AJOU"/>
    <n v="4058"/>
    <n v="4"/>
    <n v="2"/>
    <n v="2"/>
    <n v="4"/>
    <n v="2"/>
    <n v="2"/>
    <n v="0"/>
    <s v="The aircraft crashed in a storm.  Kathleen Kennedy Cavendish, 28, sister of  President John F. Kennedy, killed."/>
    <n v="0"/>
    <n v="1"/>
    <x v="1"/>
  </r>
  <r>
    <n v="1037"/>
    <x v="948"/>
    <x v="37"/>
    <x v="0"/>
    <d v="1899-12-30T11:00:00"/>
    <s v="Near Magazini, Belgian Congo (Zaire)"/>
    <s v="Sabena"/>
    <s v="Unknown"/>
    <s v="Leopoldville - Libenga"/>
    <x v="479"/>
    <s v="OO-CBE"/>
    <n v="42932"/>
    <n v="32"/>
    <n v="25"/>
    <n v="7"/>
    <n v="31"/>
    <n v="24"/>
    <n v="7"/>
    <n v="0"/>
    <s v="While cruising, the aircraft penetrated a very turbulent line of clouds, lost height and crashed into a forest. The aircraft apparently flew into a tornado at low altitude."/>
    <n v="1"/>
    <n v="0.96875"/>
    <x v="1"/>
  </r>
  <r>
    <n v="1038"/>
    <x v="949"/>
    <x v="37"/>
    <x v="0"/>
    <d v="1899-12-30T07:20:00"/>
    <s v="Vrede, South Africa"/>
    <s v="Mercury Aviation"/>
    <s v="Unknown"/>
    <s v="Durban - Johannesburg - London"/>
    <x v="552"/>
    <s v="ZS-BWY"/>
    <n v="6341"/>
    <n v="13"/>
    <n v="8"/>
    <n v="5"/>
    <n v="13"/>
    <n v="8"/>
    <n v="5"/>
    <n v="0"/>
    <s v="Crashed into Spitzkop mountain after drifting off course in poor weather. The aircraft was named &quot;Miss France.&quot;"/>
    <n v="0"/>
    <n v="1"/>
    <x v="1"/>
  </r>
  <r>
    <n v="1039"/>
    <x v="950"/>
    <x v="37"/>
    <x v="0"/>
    <d v="1899-12-30T20:42:00"/>
    <s v="Columbus, Ohio"/>
    <s v="Slick Airways"/>
    <s v="Unknown"/>
    <s v="Newark, NJ - Chicago, IL"/>
    <x v="509"/>
    <s v="NC59489"/>
    <n v="2938"/>
    <n v="2"/>
    <n v="0"/>
    <n v="2"/>
    <n v="2"/>
    <n v="0"/>
    <n v="2"/>
    <n v="0"/>
    <s v="Cargo flight. The in-flight failure of the fuselage carry-in structure beneath the fin, due to extreme turbulence."/>
    <n v="0"/>
    <n v="1"/>
    <x v="1"/>
  </r>
  <r>
    <n v="1040"/>
    <x v="951"/>
    <x v="37"/>
    <x v="0"/>
    <d v="1899-12-30T23:30:00"/>
    <s v="Near Bovingdon, England"/>
    <s v="Air Transport Charter"/>
    <s v="Unknown"/>
    <s v="Valence - Bovingdon"/>
    <x v="402"/>
    <s v="G-AJBG"/>
    <s v="14003/25448"/>
    <n v="4"/>
    <n v="0"/>
    <n v="4"/>
    <n v="3"/>
    <n v="0"/>
    <n v="3"/>
    <n v="0"/>
    <s v="Cargo flight. While maneuvering at night under the base of low cloud prepatory to landing, the aircraft lost height and struck the ground. The cause of the accident was not determined."/>
    <n v="1"/>
    <n v="0.75"/>
    <x v="1"/>
  </r>
  <r>
    <n v="1041"/>
    <x v="952"/>
    <x v="37"/>
    <x v="0"/>
    <d v="1899-12-30T18:40:00"/>
    <s v="Khabarovsk, Russia"/>
    <s v="Aeroflot"/>
    <s v="Unknown"/>
    <s v="Petropavlovsk-Kamchatsky - Magadan"/>
    <x v="368"/>
    <s v=" CCCP-L1073"/>
    <s v="17054/34321"/>
    <n v="9"/>
    <n v="5"/>
    <n v="4"/>
    <n v="8"/>
    <n v="4"/>
    <n v="4"/>
    <n v="0"/>
    <s v="The aircraft collided with the western slope of  Marchekanskoy  hill, 70 m from the top. ATC error."/>
    <n v="1"/>
    <n v="0.88888888888888884"/>
    <x v="1"/>
  </r>
  <r>
    <n v="1042"/>
    <x v="953"/>
    <x v="37"/>
    <x v="0"/>
    <s v="Unknown"/>
    <s v="Albacete, Spain"/>
    <s v="Alpha Airways"/>
    <s v="Unknown"/>
    <s v="Albacete - Albacete"/>
    <x v="553"/>
    <s v="G-AKBA"/>
    <n v="1303"/>
    <n v="4"/>
    <n v="0"/>
    <n v="4"/>
    <n v="4"/>
    <n v="0"/>
    <n v="4"/>
    <n v="1"/>
    <s v="Crashed on takeoff during a training flight after hitting a private aircraft."/>
    <n v="0"/>
    <n v="1"/>
    <x v="1"/>
  </r>
  <r>
    <n v="1043"/>
    <x v="954"/>
    <x v="37"/>
    <x v="0"/>
    <d v="1899-12-30T20:00:00"/>
    <s v="Isle of Man"/>
    <s v="Hargreaves Airways"/>
    <s v="Unknown"/>
    <s v="Birmingham, England - Isle of Man"/>
    <x v="554"/>
    <s v="G-AIUI"/>
    <n v="6675"/>
    <n v="8"/>
    <n v="7"/>
    <n v="1"/>
    <n v="6"/>
    <n v="5"/>
    <n v="1"/>
    <n v="0"/>
    <s v="Crashed into a hill near Port Erin while attempting to land. The plane had failed to maintain both the proper course to the homing beacon and suffiecient altitude to clear the terrain."/>
    <n v="2"/>
    <n v="0.75"/>
    <x v="1"/>
  </r>
  <r>
    <n v="1044"/>
    <x v="955"/>
    <x v="37"/>
    <x v="0"/>
    <d v="1899-12-30T12:41:00"/>
    <s v="Mount Carmel, Pennsylvania"/>
    <s v="United Air Lines"/>
    <n v="624"/>
    <s v="Chicago - New York City"/>
    <x v="528"/>
    <s v="NC37506"/>
    <s v="42871/12"/>
    <n v="43"/>
    <n v="39"/>
    <n v="4"/>
    <n v="43"/>
    <n v="39"/>
    <n v="4"/>
    <n v="0"/>
    <s v="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
    <n v="0"/>
    <n v="1"/>
    <x v="1"/>
  </r>
  <r>
    <n v="1045"/>
    <x v="955"/>
    <x v="37"/>
    <x v="0"/>
    <s v="Unknown"/>
    <s v="Over the Pearl River, China"/>
    <s v="Cathy Pacific"/>
    <s v="Unknown"/>
    <s v="Macau - Hong Kong"/>
    <x v="555"/>
    <s v="Unknown"/>
    <s v="Unknown"/>
    <n v="26"/>
    <n v="23"/>
    <n v="3"/>
    <n v="25"/>
    <n v="22"/>
    <n v="3"/>
    <n v="0"/>
    <s v="A Catalina seaplane was hijacked by a group attempting to rob the passengers"/>
    <n v="1"/>
    <n v="0.96153846153846156"/>
    <x v="1"/>
  </r>
  <r>
    <n v="1046"/>
    <x v="956"/>
    <x v="37"/>
    <x v="0"/>
    <s v="Unknown"/>
    <s v="Maiquetia, Venezuela"/>
    <s v="Linea Aeropostal Venezolana"/>
    <s v="Unknown"/>
    <s v="Unknown"/>
    <x v="277"/>
    <s v="YV-C-AHI"/>
    <s v="16992/34254"/>
    <n v="17"/>
    <n v="14"/>
    <n v="3"/>
    <n v="1"/>
    <n v="0"/>
    <n v="1"/>
    <n v="0"/>
    <s v="Crashed during a landing attempt."/>
    <n v="16"/>
    <n v="5.8823529411764705E-2"/>
    <x v="2"/>
  </r>
  <r>
    <n v="1047"/>
    <x v="957"/>
    <x v="37"/>
    <x v="0"/>
    <d v="1899-12-30T12:00:00"/>
    <s v="Keerbergen, Belgium"/>
    <s v="Avio Linee Italiane"/>
    <s v="Unknown"/>
    <s v="Milano - Brussels"/>
    <x v="556"/>
    <s v="I-ELSA"/>
    <n v="4"/>
    <n v="12"/>
    <n v="7"/>
    <n v="5"/>
    <n v="8"/>
    <n v="4"/>
    <n v="4"/>
    <n v="0"/>
    <s v="Crashed after overrunning the runway in heavy rain."/>
    <n v="4"/>
    <n v="0.66666666666666663"/>
    <x v="1"/>
  </r>
  <r>
    <n v="1048"/>
    <x v="958"/>
    <x v="37"/>
    <x v="0"/>
    <d v="1899-12-30T16:00:00"/>
    <s v="Northolt, Middlesex, England"/>
    <s v="Scandinavian Airlines (SAS)"/>
    <s v="Unknown"/>
    <s v="Stockholm - Amsterdam - Northolt"/>
    <x v="557"/>
    <s v="SE-BDA/ MW248"/>
    <s v="43119/111"/>
    <n v="39"/>
    <n v="26"/>
    <n v="13"/>
    <n v="39"/>
    <n v="26"/>
    <n v="13"/>
    <n v="0"/>
    <s v="A midair collision occurred between a SAS DC-6 and a Royal Air Force Avro York MW248. Twenty-five passengers and 7 crew on the DC-6,  one passenger and six crew on the York. The accident was caused by human fallibility on the part of both ground and flilght personnel."/>
    <n v="0"/>
    <n v="1"/>
    <x v="1"/>
  </r>
  <r>
    <n v="1049"/>
    <x v="959"/>
    <x v="37"/>
    <x v="0"/>
    <d v="1899-12-30T09:50:00"/>
    <s v="Djiring, French Indo-China"/>
    <s v="Aigle Azur"/>
    <s v="Unknown"/>
    <s v="Saigon - Da Lat"/>
    <x v="277"/>
    <s v="F-BCYP"/>
    <n v="9158"/>
    <n v="16"/>
    <n v="13"/>
    <n v="3"/>
    <n v="16"/>
    <n v="13"/>
    <n v="3"/>
    <n v="0"/>
    <s v="Crashed into mountains 50 miles southwest of Da Lat in adverse meteriological conditions and absence of adequate ground facililities."/>
    <n v="0"/>
    <n v="1"/>
    <x v="1"/>
  </r>
  <r>
    <n v="1050"/>
    <x v="960"/>
    <x v="37"/>
    <x v="0"/>
    <s v="Unknown"/>
    <s v="Belem, Brazil"/>
    <s v="Aerovias Brasil"/>
    <s v="Unknown"/>
    <s v="Unknown"/>
    <x v="402"/>
    <s v="PP-AVO"/>
    <n v="19113"/>
    <n v="5"/>
    <n v="2"/>
    <n v="3"/>
    <n v="5"/>
    <n v="2"/>
    <n v="3"/>
    <n v="0"/>
    <s v="The cargo plane lost control and crashed shortly after leaving the runway. The pilot did not apply the procedure recommended by the airline and attempted to make a turn after takeoff below the specified altitude of 100 meters."/>
    <n v="0"/>
    <n v="1"/>
    <x v="1"/>
  </r>
  <r>
    <n v="1051"/>
    <x v="961"/>
    <x v="37"/>
    <x v="0"/>
    <d v="1899-12-30T18:00:00"/>
    <s v="Pacific Ocean between Hong Kong and Macao"/>
    <s v="Cathay Pacific Airways"/>
    <s v="Unknown"/>
    <s v="Macau - Hong Kong"/>
    <x v="558"/>
    <s v="VR-HDT"/>
    <s v="Unknown"/>
    <n v="26"/>
    <n v="23"/>
    <n v="3"/>
    <n v="25"/>
    <n v="22"/>
    <n v="3"/>
    <n v="0"/>
    <s v="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
    <n v="1"/>
    <n v="0.96153846153846156"/>
    <x v="1"/>
  </r>
  <r>
    <n v="1052"/>
    <x v="962"/>
    <x v="37"/>
    <x v="0"/>
    <d v="1899-12-30T17:30:00"/>
    <s v="Cap-des-Rosiers, Quebec, Canada"/>
    <s v="Rimouski Airlines"/>
    <s v="Unknown"/>
    <s v="Port Meunier - GaspÃ©"/>
    <x v="277"/>
    <s v="CF-FKY"/>
    <n v="6246"/>
    <n v="29"/>
    <n v="27"/>
    <n v="2"/>
    <n v="29"/>
    <n v="27"/>
    <n v="2"/>
    <n v="0"/>
    <s v="The aircraft hit a mountain top at Cap-des-Rosiers, 12 miles from its destination in fog and burned."/>
    <n v="0"/>
    <n v="1"/>
    <x v="1"/>
  </r>
  <r>
    <n v="1053"/>
    <x v="963"/>
    <x v="37"/>
    <x v="0"/>
    <s v="Unknown"/>
    <s v="Tsingtao, China"/>
    <s v="Civil Air Transport"/>
    <s v="Unknown"/>
    <s v="Qingdao - Jinan"/>
    <x v="559"/>
    <s v="XT-822"/>
    <n v="22355"/>
    <n v="19"/>
    <n v="16"/>
    <n v="3"/>
    <n v="19"/>
    <n v="16"/>
    <n v="3"/>
    <n v="0"/>
    <s v="Crashed while attempting to take off. Went into a spin after taking off and plunged into the ground from about 300 ft."/>
    <n v="0"/>
    <n v="1"/>
    <x v="1"/>
  </r>
  <r>
    <n v="1054"/>
    <x v="963"/>
    <x v="37"/>
    <x v="0"/>
    <d v="1899-12-30T09:15:00"/>
    <s v="Buenos Aires, Argentina"/>
    <s v="ALFA"/>
    <n v="343"/>
    <s v="Rosario - Bueno Aires"/>
    <x v="560"/>
    <s v="LV-AAP"/>
    <s v="SH-02C"/>
    <n v="24"/>
    <n v="18"/>
    <n v="6"/>
    <n v="18"/>
    <n v="16"/>
    <n v="2"/>
    <n v="0"/>
    <s v="Crashed and sank near the shore of the River Plate while attempting to land in fog. Pilot error. Attempting to land atop water in conditions of fog and poor visibility which were below the prescribed minima."/>
    <n v="6"/>
    <n v="0.75"/>
    <x v="1"/>
  </r>
  <r>
    <n v="1055"/>
    <x v="964"/>
    <x v="37"/>
    <x v="0"/>
    <d v="1899-12-30T09:40:00"/>
    <s v="Karachi, Pakistan"/>
    <s v="Onzeair"/>
    <s v="Unknown"/>
    <s v="Chaklala â€“ Mauripur"/>
    <x v="561"/>
    <s v="AP-ACM"/>
    <n v="37031"/>
    <n v="4"/>
    <n v="0"/>
    <n v="4"/>
    <n v="4"/>
    <n v="0"/>
    <n v="4"/>
    <n v="0"/>
    <s v="Cargo flight. An error in judgement on the part of the pilot in allowing the aircraft to stall while coming in to land. The contributory causes were probably overload, badly loaded with CG too far aft, movement of load due to it not being secured."/>
    <n v="0"/>
    <n v="1"/>
    <x v="1"/>
  </r>
  <r>
    <n v="1056"/>
    <x v="964"/>
    <x v="37"/>
    <x v="0"/>
    <d v="1899-12-30T23:55:00"/>
    <s v="1,200 miles off Dakar, Atlantic Ocean"/>
    <s v="Air France"/>
    <n v="72"/>
    <s v="Fort-de-France - Port-Etienne - Paris"/>
    <x v="543"/>
    <s v="F-BDRC"/>
    <n v="6"/>
    <n v="52"/>
    <n v="40"/>
    <n v="12"/>
    <n v="52"/>
    <n v="40"/>
    <n v="12"/>
    <n v="0"/>
    <s v="Disappeared in the Atlantic on a flight from Fort. de France, Martinique to Port Etienne, Mauritania. The United States Coast Guard cutter Campbell reported finding debris on August 4 with no survivors."/>
    <n v="0"/>
    <n v="1"/>
    <x v="1"/>
  </r>
  <r>
    <n v="1057"/>
    <x v="965"/>
    <x v="37"/>
    <x v="0"/>
    <d v="1899-12-30T08:45:00"/>
    <s v="Port Underwood, New Zealand"/>
    <s v="New Zealand National Airways"/>
    <s v="Unknown"/>
    <s v="Blenheim - Paraparaumu"/>
    <x v="443"/>
    <s v="ZK-AOE"/>
    <s v="16383/33131"/>
    <n v="2"/>
    <n v="0"/>
    <n v="2"/>
    <n v="2"/>
    <n v="0"/>
    <n v="2"/>
    <n v="0"/>
    <s v="The cargo fllight hit the slope of a mountain located in Rununder Point, near Port Underwood, 32 km northeast of Blenheim in poor weather."/>
    <n v="0"/>
    <n v="1"/>
    <x v="1"/>
  </r>
  <r>
    <n v="1058"/>
    <x v="966"/>
    <x v="37"/>
    <x v="0"/>
    <s v="Unknown"/>
    <s v="La Guaira, Venezuela"/>
    <s v="Avensa"/>
    <s v="Unknown"/>
    <s v="MaiquetÃ­a - Las Piedras - Maracaibo"/>
    <x v="402"/>
    <s v="YV-C-AVN"/>
    <n v="19985"/>
    <n v="3"/>
    <n v="0"/>
    <n v="3"/>
    <n v="3"/>
    <n v="0"/>
    <n v="3"/>
    <n v="0"/>
    <s v="The cargo plane disappeared en route  over the Caribbean Sea."/>
    <n v="0"/>
    <n v="1"/>
    <x v="1"/>
  </r>
  <r>
    <n v="1059"/>
    <x v="967"/>
    <x v="37"/>
    <x v="0"/>
    <d v="1899-12-30T17:05:00"/>
    <s v="Near Winona, Minnesota"/>
    <s v="Northwest Orient Airlines"/>
    <n v="421"/>
    <s v="Chicago - Minneapolis"/>
    <x v="562"/>
    <s v="NC93044"/>
    <n v="9165"/>
    <n v="37"/>
    <n v="33"/>
    <n v="4"/>
    <n v="37"/>
    <n v="33"/>
    <n v="4"/>
    <n v="0"/>
    <s v="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
    <n v="0"/>
    <n v="1"/>
    <x v="1"/>
  </r>
  <r>
    <n v="1060"/>
    <x v="968"/>
    <x v="37"/>
    <x v="0"/>
    <s v="Unknown"/>
    <s v="Near Elizabethville, Belgium Congo"/>
    <s v="Sabena"/>
    <s v="Unknown"/>
    <s v="Manono - Elizabethville"/>
    <x v="563"/>
    <s v="OO-CBL"/>
    <n v="12420"/>
    <n v="13"/>
    <n v="10"/>
    <n v="3"/>
    <n v="13"/>
    <n v="10"/>
    <n v="3"/>
    <n v="0"/>
    <s v="Crashed en route. Reasons undetermined."/>
    <n v="0"/>
    <n v="1"/>
    <x v="1"/>
  </r>
  <r>
    <n v="1061"/>
    <x v="969"/>
    <x v="37"/>
    <x v="0"/>
    <d v="1899-12-30T20:15:00"/>
    <s v="Near Quirindi, Australia"/>
    <s v="Australian National Airways"/>
    <n v="331"/>
    <s v="Brisbane - Sidney"/>
    <x v="277"/>
    <s v="VH-ANK"/>
    <n v="9999"/>
    <n v="13"/>
    <n v="10"/>
    <n v="3"/>
    <n v="13"/>
    <n v="10"/>
    <n v="3"/>
    <n v="0"/>
    <s v="Strayed off course and struck Square Peak Mountain at an altitude of 4,600 feet."/>
    <n v="0"/>
    <n v="1"/>
    <x v="1"/>
  </r>
  <r>
    <n v="1062"/>
    <x v="970"/>
    <x v="37"/>
    <x v="0"/>
    <d v="1899-12-30T12:50:00"/>
    <s v=" Balkhash, Kazakhstan"/>
    <s v="Aeroflot"/>
    <n v="60"/>
    <s v="Alma Ata - Balkhash - Karaganda - Moscow"/>
    <x v="420"/>
    <s v="CCCP-L4304"/>
    <n v="18423902"/>
    <n v="15"/>
    <n v="11"/>
    <n v="4"/>
    <n v="15"/>
    <n v="11"/>
    <n v="4"/>
    <n v="0"/>
    <s v="A few minutes after takeoff, while climbing, the aircraft flew into clouds and control was lost. The aircraft banked right and lost altitude crashing in an isolated area located about 39 km northwest of Balkhash"/>
    <n v="0"/>
    <n v="1"/>
    <x v="1"/>
  </r>
  <r>
    <n v="1063"/>
    <x v="971"/>
    <x v="37"/>
    <x v="0"/>
    <d v="1899-12-30T10:30:00"/>
    <s v="Near Trondheim, Norway"/>
    <s v="Norwegian Airlines"/>
    <s v="Unknown"/>
    <s v="Fornebu - Hommelvik"/>
    <x v="564"/>
    <s v="LN-IWA"/>
    <s v="SH-52C"/>
    <n v="45"/>
    <n v="38"/>
    <n v="7"/>
    <n v="19"/>
    <n v="16"/>
    <n v="3"/>
    <n v="0"/>
    <s v="Crashed in Hommelvika Bay  while attempting to land in crosswinds and high seas."/>
    <n v="26"/>
    <n v="0.42222222222222222"/>
    <x v="0"/>
  </r>
  <r>
    <n v="1064"/>
    <x v="972"/>
    <x v="37"/>
    <x v="0"/>
    <d v="1899-12-30T13:00:00"/>
    <s v="Near Yevlakh, Azerbaijan, USSR"/>
    <s v="Aeroflot"/>
    <s v="Unknown"/>
    <s v=" Tashkent - Baku - Tbilisi - Sochi"/>
    <x v="565"/>
    <s v="CCCP-L1450"/>
    <n v="8302517"/>
    <n v="10"/>
    <n v="4"/>
    <n v="6"/>
    <n v="10"/>
    <n v="4"/>
    <n v="6"/>
    <n v="0"/>
    <s v="Crashed after turning back towards its point of departure afer encounteing low clouds, rain and icing conditions as well as poor navigational difficulties due to poor reception of radio beacons."/>
    <n v="0"/>
    <n v="1"/>
    <x v="1"/>
  </r>
  <r>
    <n v="1065"/>
    <x v="973"/>
    <x v="37"/>
    <x v="0"/>
    <d v="1899-12-30T00:35:00"/>
    <s v="Prestwick Airport, Scotland"/>
    <s v="KLM Royal Dutch Airlines"/>
    <s v="Unknown"/>
    <s v="Amsterdam - Prestwick - New York City"/>
    <x v="566"/>
    <s v="PH-TEN"/>
    <n v="2083"/>
    <n v="40"/>
    <n v="30"/>
    <n v="10"/>
    <n v="40"/>
    <n v="30"/>
    <n v="10"/>
    <n v="0"/>
    <s v="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quot;Nijmegen&quot; after the old Dutch town close to the West German border."/>
    <n v="0"/>
    <n v="1"/>
    <x v="1"/>
  </r>
  <r>
    <n v="1066"/>
    <x v="974"/>
    <x v="37"/>
    <x v="0"/>
    <d v="1899-12-30T14:15:00"/>
    <s v="Mt. Ruapehu, New Zealand"/>
    <s v="New Zealand National Airways"/>
    <s v="Unknown"/>
    <s v="Palmerston - Hamilton"/>
    <x v="567"/>
    <s v="ZK-AGK"/>
    <n v="1128"/>
    <n v="13"/>
    <n v="10"/>
    <n v="3"/>
    <n v="13"/>
    <n v="10"/>
    <n v="3"/>
    <n v="0"/>
    <s v="Crashed 700 feet from the summit of a mountain while en route in low visibility. Lack of navigational aids in the area contributed to the accident cause."/>
    <n v="0"/>
    <n v="1"/>
    <x v="1"/>
  </r>
  <r>
    <n v="1067"/>
    <x v="975"/>
    <x v="37"/>
    <x v="0"/>
    <d v="1899-12-30T14:00:00"/>
    <s v="Georgian SSR, USSR"/>
    <s v="Aerflot"/>
    <s v="Unknown"/>
    <s v="Krasnodar - Karachayevsk - Sukhumi - Tbilisi"/>
    <x v="420"/>
    <s v="CCCP-L4500"/>
    <n v="1401"/>
    <n v="18"/>
    <n v="14"/>
    <n v="4"/>
    <n v="18"/>
    <n v="14"/>
    <n v="4"/>
    <n v="0"/>
    <s v="Crashed in the Caucasus Mountains in adverse weather while en route. The crew deviated from its prescribed course. Poor flight planning. Crew drank alcohol before the flight."/>
    <n v="0"/>
    <n v="1"/>
    <x v="1"/>
  </r>
  <r>
    <n v="1068"/>
    <x v="976"/>
    <x v="37"/>
    <x v="0"/>
    <d v="1899-12-30T16:50:00"/>
    <s v="Near Edmonton, Alberta, Canada"/>
    <s v="Northwest Orient Airlines"/>
    <n v="6427"/>
    <s v="Minneapolis - Edmonton - Anchorage - Tokyo"/>
    <x v="377"/>
    <s v="NC88785"/>
    <n v="10406"/>
    <n v="5"/>
    <n v="0"/>
    <n v="5"/>
    <n v="2"/>
    <n v="0"/>
    <n v="2"/>
    <n v="0"/>
    <s v="Cargo flight. The captain's action in undertaking simulated emergency procedures at a dangerously low altitude."/>
    <n v="3"/>
    <n v="0.4"/>
    <x v="0"/>
  </r>
  <r>
    <n v="1069"/>
    <x v="977"/>
    <x v="37"/>
    <x v="0"/>
    <d v="1899-12-30T10:50:00"/>
    <s v="Near Glossop, England"/>
    <s v="Military - U.S. Air Force"/>
    <s v="Unknown"/>
    <s v="RAF Scrampton - Burtonwood AFB"/>
    <x v="568"/>
    <s v="44-61999"/>
    <n v="11476"/>
    <n v="13"/>
    <n v="0"/>
    <n v="13"/>
    <n v="13"/>
    <n v="0"/>
    <n v="13"/>
    <n v="0"/>
    <s v="Twenty-five minutes into the flight, the pilot descended prematurely and collided with a cloud covered mountain."/>
    <n v="0"/>
    <n v="1"/>
    <x v="1"/>
  </r>
  <r>
    <n v="1070"/>
    <x v="978"/>
    <x v="37"/>
    <x v="0"/>
    <d v="1899-12-30T04:45:00"/>
    <s v="Cape Spencer, Alaska"/>
    <s v="Pacific Alaska Air Freight"/>
    <s v="Unknown"/>
    <s v="Anchorage - Homer - Yakutat - Annette Island - Seattle"/>
    <x v="277"/>
    <s v="N66637"/>
    <n v="11800"/>
    <n v="17"/>
    <n v="15"/>
    <n v="2"/>
    <n v="17"/>
    <n v="15"/>
    <n v="2"/>
    <n v="0"/>
    <s v="Lost contact with the aircraft after the crew reported passing Cape Spencer. The wreckage was never found.  Cause undetermined."/>
    <n v="0"/>
    <n v="1"/>
    <x v="1"/>
  </r>
  <r>
    <n v="1071"/>
    <x v="979"/>
    <x v="37"/>
    <x v="0"/>
    <d v="1899-12-30T07:40:00"/>
    <s v="Mt. Macedon, Australia"/>
    <s v="Australian National Airways"/>
    <s v="Unknown"/>
    <s v="Melbourne - Denilquin"/>
    <x v="277"/>
    <s v="VH-UZK"/>
    <n v="2003"/>
    <n v="23"/>
    <n v="19"/>
    <n v="4"/>
    <n v="3"/>
    <n v="0"/>
    <n v="3"/>
    <n v="0"/>
    <s v="Crashed into Mt. Macedon hidden in fog. The pilot deviated off course from his flight plan and failed to follow VFR flight rules."/>
    <n v="20"/>
    <n v="0.13043478260869565"/>
    <x v="2"/>
  </r>
  <r>
    <n v="1072"/>
    <x v="980"/>
    <x v="37"/>
    <x v="0"/>
    <d v="1899-12-30T18:15:00"/>
    <s v="Liverpool, England"/>
    <s v="Mannin Airways"/>
    <s v="Unknown"/>
    <s v="Isle of Man - Dublin, Ireland"/>
    <x v="554"/>
    <s v="G-AKOF"/>
    <n v="6538"/>
    <n v="8"/>
    <n v="6"/>
    <n v="2"/>
    <n v="7"/>
    <n v="5"/>
    <n v="2"/>
    <n v="0"/>
    <s v="Crashed after running out of fuel when diverted to Liverpool because of adverse weather."/>
    <n v="1"/>
    <n v="0.875"/>
    <x v="1"/>
  </r>
  <r>
    <n v="1073"/>
    <x v="981"/>
    <x v="37"/>
    <x v="0"/>
    <s v="Unknown"/>
    <s v="Near Ryzhovo, Russia"/>
    <s v="Aeroflot"/>
    <s v="Unknown"/>
    <s v="Zyryanka - Srednekymsk"/>
    <x v="420"/>
    <s v="CCCP L-4463"/>
    <s v="Unknown"/>
    <n v="26"/>
    <n v="21"/>
    <n v="5"/>
    <n v="23"/>
    <n v="18"/>
    <n v="5"/>
    <s v="NULL"/>
    <s v="After experiencing communication problems the crew attempted to land at a small airport, stalled and crashed into the ice-covered Kolyma River. Crew error."/>
    <n v="3"/>
    <n v="0.88461538461538458"/>
    <x v="1"/>
  </r>
  <r>
    <n v="1074"/>
    <x v="982"/>
    <x v="37"/>
    <x v="0"/>
    <d v="1899-12-30T11:15:00"/>
    <s v="Vehari, Pakistan"/>
    <s v="Pakistan Airways"/>
    <s v="Unknown"/>
    <s v="Karachi - Lohore"/>
    <x v="277"/>
    <s v="AP-ACE"/>
    <n v="12775"/>
    <n v="21"/>
    <n v="16"/>
    <n v="5"/>
    <n v="21"/>
    <n v="16"/>
    <n v="5"/>
    <n v="0"/>
    <s v="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
    <n v="0"/>
    <n v="1"/>
    <x v="1"/>
  </r>
  <r>
    <n v="1075"/>
    <x v="983"/>
    <x v="37"/>
    <x v="0"/>
    <s v="Unknown"/>
    <s v="Kiangwan, China"/>
    <s v="Central Air Transport"/>
    <s v="Unknown"/>
    <s v="Chengdu - Shanghai"/>
    <x v="469"/>
    <s v="XT-538"/>
    <s v="Unknown"/>
    <n v="40"/>
    <n v="37"/>
    <n v="3"/>
    <n v="9"/>
    <n v="7"/>
    <n v="2"/>
    <n v="0"/>
    <s v="Overshot runway, crashed and burned."/>
    <n v="31"/>
    <n v="0.22500000000000001"/>
    <x v="2"/>
  </r>
  <r>
    <n v="1076"/>
    <x v="984"/>
    <x v="37"/>
    <x v="0"/>
    <d v="1899-12-30T10:30:00"/>
    <s v="Milan, Italy"/>
    <s v="Avio Linee Italiane Avio Linee Italiane"/>
    <s v="Unknown"/>
    <s v="Milan - Brussels"/>
    <x v="368"/>
    <s v="I-ETNA"/>
    <n v="4396"/>
    <n v="7"/>
    <n v="6"/>
    <n v="1"/>
    <n v="7"/>
    <n v="6"/>
    <n v="1"/>
    <n v="0"/>
    <s v="The aircraft crashed during takeoff in fog."/>
    <n v="0"/>
    <n v="1"/>
    <x v="1"/>
  </r>
  <r>
    <n v="1077"/>
    <x v="985"/>
    <x v="37"/>
    <x v="0"/>
    <s v="Unknown"/>
    <s v="Taipei, Taiwan"/>
    <s v="China National Aviation Corporation"/>
    <s v="Unknown"/>
    <s v="Shanghai - Taipei"/>
    <x v="277"/>
    <s v="Unknown"/>
    <s v="Unknown"/>
    <n v="10"/>
    <n v="8"/>
    <n v="2"/>
    <n v="2"/>
    <n v="0"/>
    <n v="2"/>
    <n v="0"/>
    <s v="Crashed while attempting to land."/>
    <n v="8"/>
    <n v="0.2"/>
    <x v="2"/>
  </r>
  <r>
    <n v="1078"/>
    <x v="986"/>
    <x v="37"/>
    <x v="0"/>
    <d v="1899-12-30T06:00:00"/>
    <s v="Near Bogata, Colombia"/>
    <s v="LANSA"/>
    <s v="Unknown"/>
    <s v="Bogota - Barranquilla"/>
    <x v="368"/>
    <s v="C-310"/>
    <n v="13807"/>
    <n v="30"/>
    <n v="27"/>
    <n v="3"/>
    <n v="30"/>
    <n v="27"/>
    <n v="3"/>
    <n v="0"/>
    <s v="Crashed shortly after taking off from Bogota. Possible accidental detonation of fire works being carried aboard leading to the in-flight separation of the wing."/>
    <n v="0"/>
    <n v="1"/>
    <x v="1"/>
  </r>
  <r>
    <n v="1079"/>
    <x v="987"/>
    <x v="37"/>
    <x v="0"/>
    <d v="1899-12-30T14:00:00"/>
    <s v="Basalt Island, Hong Kong"/>
    <s v="China National Aviation Corporation"/>
    <s v="Unknown"/>
    <s v="Shanghai - Hong Konk"/>
    <x v="569"/>
    <s v="XT-104"/>
    <n v="18348"/>
    <n v="33"/>
    <n v="29"/>
    <n v="4"/>
    <n v="33"/>
    <n v="29"/>
    <n v="4"/>
    <n v="0"/>
    <s v="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
    <n v="0"/>
    <n v="1"/>
    <x v="1"/>
  </r>
  <r>
    <n v="1080"/>
    <x v="987"/>
    <x v="37"/>
    <x v="0"/>
    <d v="1899-12-30T16:37:00"/>
    <s v="Near Pilos, Greece"/>
    <s v="Ceskoslovenske Aerolinie"/>
    <s v="Unknown"/>
    <s v="Rome - Athens"/>
    <x v="277"/>
    <s v="OK-WDE"/>
    <n v="12894"/>
    <n v="24"/>
    <n v="19"/>
    <n v="5"/>
    <n v="24"/>
    <n v="19"/>
    <n v="5"/>
    <n v="0"/>
    <s v="Crashed in the Taigetos Mountains while en route after being shot down by Greek insurgents."/>
    <n v="0"/>
    <n v="1"/>
    <x v="1"/>
  </r>
  <r>
    <n v="1081"/>
    <x v="988"/>
    <x v="37"/>
    <x v="0"/>
    <d v="1899-12-30T09:30:00"/>
    <s v="Near Madrid, Spain"/>
    <s v="Iberia Airlines"/>
    <s v="Unknown"/>
    <s v="Madrid - Barcelona"/>
    <x v="570"/>
    <s v="EC-ABK"/>
    <n v="4256"/>
    <n v="27"/>
    <n v="24"/>
    <n v="3"/>
    <n v="27"/>
    <n v="24"/>
    <n v="3"/>
    <n v="0"/>
    <s v="Crashed into Pandols Mountain while en route in poor weather conditions."/>
    <n v="0"/>
    <n v="1"/>
    <x v="1"/>
  </r>
  <r>
    <n v="1082"/>
    <x v="989"/>
    <x v="37"/>
    <x v="0"/>
    <d v="1899-12-30T04:13:00"/>
    <s v="Off San Juan, Puerto Rico"/>
    <s v="Airborne Transport"/>
    <s v="Unknown"/>
    <s v="San Juan - Miami"/>
    <x v="571"/>
    <s v="N16002"/>
    <n v="1496"/>
    <n v="32"/>
    <n v="29"/>
    <n v="3"/>
    <n v="32"/>
    <n v="29"/>
    <n v="3"/>
    <n v="0"/>
    <s v="Radio contact was lost after the crew reported being 50 nm south of Miami. Departure from San Juan with known electrical problems and discharged batteries. Ditched in the Gulf of Mexico after it ran out of fuel. Offical cause unknown."/>
    <n v="0"/>
    <n v="1"/>
    <x v="1"/>
  </r>
  <r>
    <n v="1083"/>
    <x v="990"/>
    <x v="37"/>
    <x v="0"/>
    <d v="1899-12-30T17:52:00"/>
    <s v="Mt. Argentari, Italy"/>
    <s v="Pan African Air Charter"/>
    <s v="Unknown"/>
    <s v="Athens - Rome - Nice"/>
    <x v="277"/>
    <s v="ZS-BYX"/>
    <n v="12587"/>
    <n v="13"/>
    <n v="8"/>
    <n v="5"/>
    <n v="13"/>
    <n v="8"/>
    <n v="5"/>
    <n v="0"/>
    <s v="Crashed into Mt. Arbetello in poor visibility. Poor visibility and geographical features made recognition of terrain difficult and likely mislead the pilot into believing he was out at sea."/>
    <n v="0"/>
    <n v="1"/>
    <x v="1"/>
  </r>
  <r>
    <n v="1084"/>
    <x v="991"/>
    <x v="38"/>
    <x v="0"/>
    <d v="1899-12-30T22:05:00"/>
    <s v="Seattle, Washington"/>
    <s v="Seattle Air Charter"/>
    <s v="Unknown"/>
    <s v="Seattle - New Haven"/>
    <x v="572"/>
    <s v="NC79025"/>
    <n v="10181"/>
    <n v="30"/>
    <n v="27"/>
    <n v="3"/>
    <n v="14"/>
    <n v="11"/>
    <n v="3"/>
    <n v="0"/>
    <s v="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
    <n v="16"/>
    <n v="0.46666666666666667"/>
    <x v="0"/>
  </r>
  <r>
    <n v="1085"/>
    <x v="992"/>
    <x v="38"/>
    <x v="0"/>
    <s v="Unknown"/>
    <s v="Caravelas Bay, Brazil"/>
    <s v="British South American Airways"/>
    <s v="Unknown"/>
    <s v="Unknown"/>
    <x v="485"/>
    <s v="G-AHEX"/>
    <n v="1301"/>
    <n v="17"/>
    <n v="11"/>
    <n v="6"/>
    <n v="3"/>
    <n v="3"/>
    <n v="0"/>
    <n v="0"/>
    <s v="A blown tire during takeoff led to damage to the landing gear, engine and oil line. Lack of oil caused loss of the engine and the crew was not able to feather the prop. This led to overspeeding and an engine fire. The plane made a spiral descent and crashed to the ground."/>
    <n v="14"/>
    <n v="0.17647058823529413"/>
    <x v="2"/>
  </r>
  <r>
    <n v="1086"/>
    <x v="993"/>
    <x v="38"/>
    <x v="0"/>
    <d v="1899-12-30T07:20:00"/>
    <s v="Brandywine, Maryland"/>
    <s v="Coastal Cargo"/>
    <s v="Unknown"/>
    <s v="Raleigh, NC - Boston, MA"/>
    <x v="402"/>
    <s v="NC53210"/>
    <n v="13777"/>
    <n v="2"/>
    <n v="0"/>
    <n v="2"/>
    <n v="2"/>
    <n v="0"/>
    <n v="2"/>
    <n v="0"/>
    <s v="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
    <n v="0"/>
    <n v="1"/>
    <x v="1"/>
  </r>
  <r>
    <n v="1087"/>
    <x v="994"/>
    <x v="38"/>
    <x v="0"/>
    <s v="Unknown"/>
    <s v="Near Pelotas, Brazil"/>
    <s v="Viacao Aerea Gaucha S.A."/>
    <s v="Unknown"/>
    <s v="Porto Alegre - Sao Borja"/>
    <x v="345"/>
    <s v="PP-SAC"/>
    <s v="Unknown"/>
    <n v="12"/>
    <n v="8"/>
    <n v="4"/>
    <n v="12"/>
    <n v="8"/>
    <n v="4"/>
    <n v="0"/>
    <s v="The aircraft crashed shortly after taking off. Engine failure due to fuel contamination."/>
    <n v="0"/>
    <n v="1"/>
    <x v="1"/>
  </r>
  <r>
    <n v="1088"/>
    <x v="995"/>
    <x v="38"/>
    <x v="0"/>
    <s v="Unknown"/>
    <s v="Ras-el-Tin, Egypt"/>
    <s v="Pan African Air Charter"/>
    <s v="Unknown"/>
    <s v="Unknown"/>
    <x v="573"/>
    <s v="ZS-AYB"/>
    <n v="19584"/>
    <n v="30"/>
    <s v="NULL"/>
    <s v="NULL"/>
    <n v="30"/>
    <s v="NULL"/>
    <s v="NULL"/>
    <n v="0"/>
    <s v="Ditched in a lagoon."/>
    <n v="0"/>
    <n v="1"/>
    <x v="1"/>
  </r>
  <r>
    <n v="1089"/>
    <x v="996"/>
    <x v="38"/>
    <x v="0"/>
    <s v="Unknown"/>
    <s v="Near Srinagar, India"/>
    <s v="Dalmia Jain Airways"/>
    <s v="Unknown"/>
    <s v="Unknown"/>
    <x v="277"/>
    <s v="VT-CDZ"/>
    <s v="14145/25590"/>
    <n v="13"/>
    <n v="4"/>
    <n v="9"/>
    <n v="13"/>
    <n v="4"/>
    <n v="9"/>
    <n v="0"/>
    <s v="Crashed en route."/>
    <n v="0"/>
    <n v="1"/>
    <x v="1"/>
  </r>
  <r>
    <n v="1090"/>
    <x v="997"/>
    <x v="38"/>
    <x v="0"/>
    <d v="1899-12-30T13:40:00"/>
    <s v="Atlantic Ocean, off Bermuda"/>
    <s v="British South American Airways"/>
    <s v="Unknown"/>
    <s v="Bermuda - Kingston"/>
    <x v="574"/>
    <s v="G-AGRE"/>
    <n v="1253"/>
    <n v="20"/>
    <n v="13"/>
    <n v="7"/>
    <n v="20"/>
    <n v="13"/>
    <n v="7"/>
    <n v="0"/>
    <s v="Lost at sea on a flight from Bermuda to Kingston, Jamaica. The last radio message reported the plane was crossing 30 degrees N.  Nothing further was heard from the plane. No wreckage was ever found. The weather was good at the time. The plane was named &quot;Star Ariel.&quot; Cause undetermined."/>
    <n v="0"/>
    <n v="1"/>
    <x v="1"/>
  </r>
  <r>
    <n v="1091"/>
    <x v="997"/>
    <x v="38"/>
    <x v="0"/>
    <d v="1899-12-30T09:50:00"/>
    <s v="Near Succoth Glen, Lochgoilhead, Scotland"/>
    <s v="Military - U.S. Air Force"/>
    <s v="Unknown"/>
    <s v="RAF Scampton - Keflavik - Kansas"/>
    <x v="568"/>
    <s v="44-62276"/>
    <s v="Unknown"/>
    <n v="20"/>
    <n v="16"/>
    <n v="4"/>
    <n v="20"/>
    <n v="16"/>
    <n v="4"/>
    <n v="0"/>
    <s v="The aircraft, part of the 301st BG  15 AFW, cashed into mountains after encountering icing conditions.  The aircraft lost height, clipped the summit of Beinn Tharsuinn in Argyll, and crashed in flames in Succoth Glen below."/>
    <n v="0"/>
    <n v="1"/>
    <x v="1"/>
  </r>
  <r>
    <n v="1092"/>
    <x v="998"/>
    <x v="38"/>
    <x v="0"/>
    <d v="1899-12-30T20:05:00"/>
    <s v="Homer, Alaska"/>
    <s v="Alaska Airlines"/>
    <n v="8"/>
    <s v="Homer - Anchorage"/>
    <x v="507"/>
    <s v="N91006"/>
    <n v="20208"/>
    <n v="6"/>
    <n v="3"/>
    <n v="3"/>
    <n v="5"/>
    <n v="3"/>
    <n v="2"/>
    <n v="0"/>
    <s v="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
    <n v="1"/>
    <n v="0.83333333333333337"/>
    <x v="1"/>
  </r>
  <r>
    <n v="1093"/>
    <x v="999"/>
    <x v="38"/>
    <x v="0"/>
    <d v="1899-12-30T16:22:00"/>
    <s v="Port Washington, New York"/>
    <s v="Pan American World Airways"/>
    <n v="100"/>
    <s v="Unknown"/>
    <x v="575"/>
    <s v="NC86530/NC76981"/>
    <s v="2528 /?"/>
    <n v="35"/>
    <n v="23"/>
    <n v="12"/>
    <n v="2"/>
    <n v="1"/>
    <n v="1"/>
    <n v="0"/>
    <s v="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quot;Clipper Monarch of the Skies.&quot;"/>
    <n v="33"/>
    <n v="5.7142857142857141E-2"/>
    <x v="2"/>
  </r>
  <r>
    <n v="1094"/>
    <x v="1000"/>
    <x v="38"/>
    <x v="0"/>
    <d v="1899-12-30T16:00:00"/>
    <s v="Trinity Bay, Newfoundland"/>
    <s v="Saint Lawrence Airways"/>
    <s v="Unknown"/>
    <s v="Trinity - Rimouski"/>
    <x v="473"/>
    <s v="CF-FEO"/>
    <n v="3708"/>
    <n v="10"/>
    <s v="NULL"/>
    <s v="NULL"/>
    <n v="6"/>
    <s v="NULL"/>
    <s v="NULL"/>
    <n v="0"/>
    <s v="Crashed shortly after taking off."/>
    <n v="4"/>
    <n v="0.6"/>
    <x v="0"/>
  </r>
  <r>
    <n v="1095"/>
    <x v="1001"/>
    <x v="38"/>
    <x v="0"/>
    <s v="Unknown"/>
    <s v="Castel Benito, Libya"/>
    <s v="Skyways of London"/>
    <s v="Unknown"/>
    <s v="Khartoum - Castel Benito"/>
    <x v="576"/>
    <s v="G-AJPL"/>
    <n v="7464"/>
    <n v="53"/>
    <n v="44"/>
    <n v="9"/>
    <n v="1"/>
    <n v="0"/>
    <n v="1"/>
    <n v="0"/>
    <s v="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
    <n v="52"/>
    <n v="1.8867924528301886E-2"/>
    <x v="2"/>
  </r>
  <r>
    <n v="1096"/>
    <x v="1002"/>
    <x v="38"/>
    <x v="0"/>
    <s v="Unknown"/>
    <s v="Buenaventura Bay, Colombia"/>
    <s v="AVIANCA"/>
    <s v="Unknown"/>
    <s v="Unknown"/>
    <x v="522"/>
    <s v="HK-134"/>
    <s v="Unknown"/>
    <n v="14"/>
    <n v="10"/>
    <n v="4"/>
    <n v="3"/>
    <n v="1"/>
    <n v="2"/>
    <n v="0"/>
    <s v="Crashed while attempting to land."/>
    <n v="11"/>
    <n v="0.21428571428571427"/>
    <x v="2"/>
  </r>
  <r>
    <n v="1097"/>
    <x v="1003"/>
    <x v="38"/>
    <x v="0"/>
    <d v="1899-12-30T19:56:00"/>
    <s v="Off Copenhagen, Denmark"/>
    <s v="Scandinavian Airlines (SAS)"/>
    <s v="Unknown"/>
    <s v="Paris - Copenhagen"/>
    <x v="577"/>
    <s v="OY-DLU"/>
    <n v="199"/>
    <n v="27"/>
    <n v="23"/>
    <n v="4"/>
    <n v="27"/>
    <n v="23"/>
    <n v="4"/>
    <n v="0"/>
    <s v="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
    <n v="0"/>
    <n v="1"/>
    <x v="1"/>
  </r>
  <r>
    <n v="1098"/>
    <x v="1004"/>
    <x v="38"/>
    <x v="0"/>
    <s v="Unknown"/>
    <s v="Near Huanuco, Peru"/>
    <s v="Faucett"/>
    <s v="Unknown"/>
    <s v="Tingo Maria - Huanuco"/>
    <x v="277"/>
    <s v="OB-PAV-223"/>
    <s v="15374/26819"/>
    <n v="16"/>
    <n v="13"/>
    <n v="3"/>
    <n v="16"/>
    <n v="13"/>
    <n v="3"/>
    <n v="0"/>
    <s v="Struck a mountain as the plane approached Huanuco."/>
    <n v="0"/>
    <n v="1"/>
    <x v="1"/>
  </r>
  <r>
    <n v="1099"/>
    <x v="1005"/>
    <x v="38"/>
    <x v="0"/>
    <d v="1899-12-30T09:45:00"/>
    <s v="Near Coventry, Warks, England"/>
    <s v="British European Airways / Military - British"/>
    <s v="Unknown"/>
    <s v="London - Glasgow"/>
    <x v="578"/>
    <s v="G-AHCW/VV243"/>
    <n v="13308"/>
    <n v="14"/>
    <n v="6"/>
    <n v="8"/>
    <n v="14"/>
    <n v="6"/>
    <n v="8"/>
    <n v="0"/>
    <s v="Midair collision between a DC-3 and a RAF Avro Anson at 4,500 feet.  Both planes disintegrated and fell to the ground. Ten killed on the DC-3, four on the Avro Anson. Failure on the part of the pilot of each aircraft to ensure the maintenance of an effective lookout."/>
    <n v="0"/>
    <n v="1"/>
    <x v="1"/>
  </r>
  <r>
    <n v="1100"/>
    <x v="1006"/>
    <x v="38"/>
    <x v="0"/>
    <d v="1899-12-30T08:00:00"/>
    <s v="Near Cuzco, Peru"/>
    <s v="TAM (Peru)"/>
    <s v="Unknown"/>
    <s v="Cuzco - Lima"/>
    <x v="368"/>
    <s v="Unknown"/>
    <s v="Unknown"/>
    <n v="26"/>
    <n v="22"/>
    <n v="4"/>
    <n v="22"/>
    <n v="20"/>
    <n v="2"/>
    <n v="0"/>
    <s v="The aircraft lost control and crashed following a blown tire on takeoff."/>
    <n v="4"/>
    <n v="0.84615384615384615"/>
    <x v="1"/>
  </r>
  <r>
    <n v="1101"/>
    <x v="1006"/>
    <x v="38"/>
    <x v="0"/>
    <d v="1899-12-30T11:00:00"/>
    <s v="Braemar Resevoir, Hong Kong"/>
    <s v="Cathay Pacific Airways"/>
    <s v="Unknown"/>
    <s v="Manila, Philippines - Hong Kong"/>
    <x v="277"/>
    <s v="VR-HDG"/>
    <n v="20576"/>
    <n v="23"/>
    <n v="19"/>
    <n v="4"/>
    <n v="23"/>
    <n v="19"/>
    <n v="4"/>
    <n v="0"/>
    <s v="Crashed near Braemar Resevoir after a go-around in poor weather. The crash was attributed to pilot error."/>
    <n v="0"/>
    <n v="1"/>
    <x v="1"/>
  </r>
  <r>
    <n v="1102"/>
    <x v="1007"/>
    <x v="38"/>
    <x v="0"/>
    <d v="1899-12-30T09:50:00"/>
    <s v="Coolangatta, Australia"/>
    <s v="Queensland Airlines"/>
    <s v="Unknown"/>
    <s v="Coolangatta - Brisbane"/>
    <x v="345"/>
    <s v="VH-BAG"/>
    <n v="2194"/>
    <n v="22"/>
    <n v="19"/>
    <n v="3"/>
    <n v="22"/>
    <n v="19"/>
    <n v="3"/>
    <n v="0"/>
    <s v="Crashed on takeoff from Coolangatta.  After becoming airborne, the aircraft was seen to climb very steeply and stall when at a height of 300 ft., roll to the left and crash."/>
    <n v="0"/>
    <n v="1"/>
    <x v="1"/>
  </r>
  <r>
    <n v="1103"/>
    <x v="1008"/>
    <x v="38"/>
    <x v="0"/>
    <s v="Unknown"/>
    <s v="Berlin, Germany"/>
    <s v="Skyways"/>
    <s v="Unknown"/>
    <s v="Unknown"/>
    <x v="477"/>
    <s v="G-AHFI"/>
    <n v="1316"/>
    <n v="3"/>
    <n v="0"/>
    <n v="3"/>
    <n v="3"/>
    <n v="0"/>
    <n v="3"/>
    <n v="0"/>
    <s v="The cargo plane crashed while attempting to land."/>
    <n v="0"/>
    <n v="1"/>
    <x v="1"/>
  </r>
  <r>
    <n v="1104"/>
    <x v="1009"/>
    <x v="38"/>
    <x v="0"/>
    <d v="1899-12-30T09:40:00"/>
    <s v="Near Waikanae, New Zealand"/>
    <s v="New Zealand National Airways"/>
    <s v="Unknown"/>
    <s v="Auckland - Wellington"/>
    <x v="345"/>
    <s v="ZK-AKX"/>
    <n v="2382"/>
    <n v="15"/>
    <n v="13"/>
    <n v="2"/>
    <n v="15"/>
    <n v="13"/>
    <n v="2"/>
    <n v="0"/>
    <s v="Crashed into a hill while on approach in low overcast. A navigational error by the pilot-in-command.."/>
    <n v="0"/>
    <n v="1"/>
    <x v="1"/>
  </r>
  <r>
    <n v="1105"/>
    <x v="1010"/>
    <x v="38"/>
    <x v="0"/>
    <d v="1899-12-30T12:20:00"/>
    <s v="Near Mironovo, Russia"/>
    <s v="Aeroflot"/>
    <s v="Unknown"/>
    <s v="Yakutsk - Kirensk"/>
    <x v="420"/>
    <s v="SSSR-L4464"/>
    <s v="Unknown"/>
    <n v="24"/>
    <n v="18"/>
    <n v="6"/>
    <n v="14"/>
    <n v="11"/>
    <n v="3"/>
    <n v="0"/>
    <s v="The flight deviated 60 miles off the proper course, the crew initiated a descent without either establishing their position or making  visual contact with the ground. The plane crashed into a mountain."/>
    <n v="10"/>
    <n v="0.58333333333333337"/>
    <x v="0"/>
  </r>
  <r>
    <n v="1106"/>
    <x v="1011"/>
    <x v="38"/>
    <x v="0"/>
    <d v="1899-12-30T17:04:00"/>
    <s v="Superga, Italy"/>
    <s v="Avio Linee Italiane"/>
    <s v="Unknown"/>
    <s v="Barcelona - Torino"/>
    <x v="579"/>
    <s v="I-ELCE"/>
    <n v="5"/>
    <n v="31"/>
    <n v="27"/>
    <n v="4"/>
    <n v="31"/>
    <n v="27"/>
    <n v="4"/>
    <n v="0"/>
    <s v="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
    <n v="0"/>
    <n v="1"/>
    <x v="1"/>
  </r>
  <r>
    <n v="1107"/>
    <x v="1011"/>
    <x v="38"/>
    <x v="0"/>
    <d v="1899-12-30T12:10:00"/>
    <s v="Near Portland, Dorset, England"/>
    <s v="Bristop Aeroplane Company"/>
    <s v="Unknown"/>
    <s v="Test Flight"/>
    <x v="580"/>
    <s v="G-AIFF"/>
    <s v="Unknown"/>
    <n v="7"/>
    <n v="0"/>
    <n v="7"/>
    <n v="7"/>
    <n v="0"/>
    <n v="7"/>
    <n v="0"/>
    <s v="Crashed in the English Channel. Cause unknown."/>
    <n v="0"/>
    <n v="1"/>
    <x v="1"/>
  </r>
  <r>
    <n v="1108"/>
    <x v="1012"/>
    <x v="38"/>
    <x v="0"/>
    <d v="1899-12-30T16:00:00"/>
    <s v="Sibuyan Sea, off the Philippine island of Elalat"/>
    <s v="Philippine Air Lines"/>
    <s v="Unknown"/>
    <s v="Daet - Manila"/>
    <x v="277"/>
    <s v="PI-C-98"/>
    <s v="16743/33491"/>
    <n v="13"/>
    <n v="10"/>
    <n v="3"/>
    <n v="13"/>
    <n v="10"/>
    <n v="3"/>
    <n v="0"/>
    <s v="The plane was on a flight from Daet, Camarines to Manila when it crashed after experiencing a violent explosion in the tail of the aircraft. Two ex-convicts confessed to planting a time bomb aboard the flight in order to kill the husband of a woman involved with another man."/>
    <n v="0"/>
    <n v="1"/>
    <x v="1"/>
  </r>
  <r>
    <n v="1109"/>
    <x v="1013"/>
    <x v="38"/>
    <x v="0"/>
    <d v="1899-12-30T14:10:00"/>
    <s v="Near  Novosibirsk, Russia"/>
    <s v="Aeroflot"/>
    <s v="Unknown"/>
    <s v="Novosibirsk - Moscow"/>
    <x v="533"/>
    <s v="L1791"/>
    <n v="93013208"/>
    <n v="25"/>
    <n v="20"/>
    <n v="5"/>
    <n v="25"/>
    <n v="20"/>
    <n v="5"/>
    <n v="0"/>
    <s v="Crashed after penetrating a thunderstorm."/>
    <n v="0"/>
    <n v="1"/>
    <x v="1"/>
  </r>
  <r>
    <n v="1110"/>
    <x v="1014"/>
    <x v="38"/>
    <x v="0"/>
    <d v="1899-12-30T19:00:00"/>
    <s v="Malahasa Attica, Greece"/>
    <s v="Tech - Aeronautical Explotiation"/>
    <s v="Unknown"/>
    <s v="Kavallo - Athens"/>
    <x v="277"/>
    <s v="SX-BAI"/>
    <n v="12162"/>
    <n v="22"/>
    <n v="18"/>
    <n v="4"/>
    <n v="22"/>
    <n v="18"/>
    <n v="4"/>
    <n v="0"/>
    <s v="Crashed into a mountainside 30 miles northeast of Athens. Structural failure while flying through an area of thunderstorm activity."/>
    <n v="0"/>
    <n v="1"/>
    <x v="1"/>
  </r>
  <r>
    <n v="1111"/>
    <x v="1015"/>
    <x v="38"/>
    <x v="0"/>
    <d v="1899-12-30T14:00:00"/>
    <s v="Near Florianpolis, Brazil"/>
    <s v="Military - Brazilian Air Force"/>
    <s v="Unknown"/>
    <s v="Florianpolis - Porto Alegre"/>
    <x v="443"/>
    <s v="C-47-2023"/>
    <s v="Unknown"/>
    <n v="27"/>
    <n v="21"/>
    <n v="6"/>
    <n v="27"/>
    <n v="21"/>
    <n v="6"/>
    <n v="0"/>
    <s v="The aircraft crashed into a mountain shortly after taking off from Florianpolis."/>
    <n v="0"/>
    <n v="1"/>
    <x v="1"/>
  </r>
  <r>
    <n v="1112"/>
    <x v="1015"/>
    <x v="38"/>
    <x v="0"/>
    <d v="1899-12-30T00:25:00"/>
    <s v="San Juan, Puerto Rico"/>
    <s v="Strato Freight"/>
    <s v="Unknown"/>
    <s v="San Juan - Miami"/>
    <x v="581"/>
    <s v="N92857"/>
    <n v="30506"/>
    <n v="81"/>
    <n v="75"/>
    <n v="6"/>
    <n v="53"/>
    <n v="52"/>
    <n v="1"/>
    <n v="0"/>
    <s v="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
    <n v="28"/>
    <n v="0.65432098765432101"/>
    <x v="1"/>
  </r>
  <r>
    <n v="1113"/>
    <x v="1016"/>
    <x v="38"/>
    <x v="0"/>
    <d v="1899-12-30T10:55:00"/>
    <s v="Off Bari, Italy"/>
    <s v="KLM Royal Dutch Airlines"/>
    <s v="Unknown"/>
    <s v="Batavia - Amsterdam"/>
    <x v="582"/>
    <s v="PH-TER"/>
    <n v="2541"/>
    <n v="33"/>
    <n v="23"/>
    <n v="10"/>
    <n v="33"/>
    <n v="23"/>
    <n v="10"/>
    <n v="0"/>
    <s v="Crashed into Bari Harbor while en route from Cairo via Athens to Rome. Witnesses observed smoke from an engine followed by smoke from the other engines and fuselage prior to the crash. The plane broke-up in flight."/>
    <n v="0"/>
    <n v="1"/>
    <x v="1"/>
  </r>
  <r>
    <n v="1114"/>
    <x v="1017"/>
    <x v="38"/>
    <x v="0"/>
    <d v="1899-12-30T02:15:00"/>
    <s v="Near Guildford, Australia"/>
    <s v="Mac Roberston-Miller Airlines"/>
    <s v="Unknown"/>
    <s v="Guildford - Darwin"/>
    <x v="583"/>
    <s v="VH-MME"/>
    <n v="9350"/>
    <n v="18"/>
    <n v="14"/>
    <n v="4"/>
    <n v="18"/>
    <n v="14"/>
    <n v="4"/>
    <n v="0"/>
    <s v="The plane rose to 600 ft. then nosed down and crashed into a housing camp south of Guildford shortly after taking off. Caused by a stall attributed to improper loading of the DC-3 which resuled in its center of gravity being beyond the permissible limit."/>
    <n v="0"/>
    <n v="1"/>
    <x v="1"/>
  </r>
  <r>
    <n v="1115"/>
    <x v="1018"/>
    <x v="38"/>
    <x v="0"/>
    <d v="1899-12-30T07:43:00"/>
    <s v="Chatsworth, California"/>
    <s v="Standard Airlines"/>
    <s v="897R"/>
    <s v="Albuquerque - Burbank"/>
    <x v="584"/>
    <s v="N79978"/>
    <n v="2936"/>
    <n v="48"/>
    <n v="44"/>
    <n v="4"/>
    <n v="35"/>
    <n v="32"/>
    <n v="3"/>
    <n v="0"/>
    <s v="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
    <n v="13"/>
    <n v="0.72916666666666663"/>
    <x v="1"/>
  </r>
  <r>
    <n v="1116"/>
    <x v="1018"/>
    <x v="38"/>
    <x v="0"/>
    <d v="1899-12-30T03:50:00"/>
    <s v="Near Bombay, India"/>
    <s v="KLM Royal Dutch Airlines"/>
    <s v="Unknown"/>
    <s v="Delhi - Bombay"/>
    <x v="585"/>
    <s v="PH-TDF"/>
    <n v="2558"/>
    <n v="45"/>
    <n v="34"/>
    <n v="11"/>
    <n v="45"/>
    <n v="34"/>
    <n v="11"/>
    <n v="0"/>
    <s v="While circling in a blinding monsoon rainstorm, the aircraft crashed into 674 ft. high Ghatkopar hill, 3 miles ENE of the airport. Crew error. Pilots decision to land in weather below prescribed minimums in an area he was not familiar with."/>
    <n v="0"/>
    <n v="1"/>
    <x v="1"/>
  </r>
  <r>
    <n v="1117"/>
    <x v="1019"/>
    <x v="38"/>
    <x v="0"/>
    <s v="Unknown"/>
    <s v="Jamnagar, Gujarat state, India"/>
    <s v="Indian Air Force"/>
    <s v="Unknown"/>
    <s v="Training"/>
    <x v="586"/>
    <s v="Unknown"/>
    <s v="Unknown"/>
    <n v="0"/>
    <n v="1"/>
    <n v="1"/>
    <n v="0"/>
    <n v="1"/>
    <n v="1"/>
    <n v="14"/>
    <s v="Crashed into a garage near Jamnagar railway station while on a training flight. Apart from the pilot, at least 14 on the ground were killed and about 60 were injured."/>
    <n v="0"/>
    <n v="0"/>
    <x v="2"/>
  </r>
  <r>
    <n v="1118"/>
    <x v="1020"/>
    <x v="38"/>
    <x v="0"/>
    <d v="1899-12-30T21:01:00"/>
    <s v="Seattle, Washington"/>
    <s v="Air Transport Associates"/>
    <s v="Unknown"/>
    <s v="Seattle - Chicago"/>
    <x v="587"/>
    <s v="N5075N"/>
    <n v="22463"/>
    <n v="32"/>
    <n v="28"/>
    <n v="4"/>
    <n v="2"/>
    <n v="2"/>
    <n v="0"/>
    <n v="4"/>
    <s v="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
    <n v="30"/>
    <n v="6.25E-2"/>
    <x v="2"/>
  </r>
  <r>
    <n v="1119"/>
    <x v="1021"/>
    <x v="38"/>
    <x v="0"/>
    <d v="1899-12-30T11:35:00"/>
    <s v="Marga, Russia"/>
    <s v="Aeroflot"/>
    <n v="5"/>
    <s v="Krasnoyarsk - Irkutsk"/>
    <x v="533"/>
    <s v="L1714"/>
    <n v="83012811"/>
    <n v="14"/>
    <n v="8"/>
    <n v="6"/>
    <n v="13"/>
    <n v="8"/>
    <n v="5"/>
    <n v="0"/>
    <s v="The plane crashed after the left engine caught fire."/>
    <n v="1"/>
    <n v="0.9285714285714286"/>
    <x v="1"/>
  </r>
  <r>
    <n v="1120"/>
    <x v="1022"/>
    <x v="38"/>
    <x v="0"/>
    <d v="1899-12-30T10:45:00"/>
    <s v="Chesterfield, New Jersey"/>
    <s v="Eastern Air Lines / Military - USN"/>
    <n v="557"/>
    <s v="New York City - Wilmington"/>
    <x v="588"/>
    <s v="N19963/BU72887"/>
    <s v="2260 /"/>
    <n v="16"/>
    <n v="12"/>
    <n v="4"/>
    <n v="16"/>
    <n v="12"/>
    <n v="4"/>
    <n v="0"/>
    <s v="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
    <n v="0"/>
    <n v="1"/>
    <x v="1"/>
  </r>
  <r>
    <n v="1121"/>
    <x v="1023"/>
    <x v="38"/>
    <x v="0"/>
    <d v="1899-12-30T11:30:00"/>
    <s v="Jaquirana, Brazil"/>
    <s v="Varig"/>
    <s v="Unknown"/>
    <s v="Sao Paulo - Porto Alegre"/>
    <x v="470"/>
    <s v="PP-VBI"/>
    <n v="33100"/>
    <n v="36"/>
    <n v="30"/>
    <n v="6"/>
    <n v="5"/>
    <n v="4"/>
    <n v="1"/>
    <n v="0"/>
    <s v="Twenty minutes before arriving a Porto Alegre, a fire was discovered in cargo hold &quot;G.&quot;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quot;G&quot; was not determined."/>
    <n v="31"/>
    <n v="0.1388888888888889"/>
    <x v="2"/>
  </r>
  <r>
    <n v="1122"/>
    <x v="1024"/>
    <x v="38"/>
    <x v="0"/>
    <s v="Unknown"/>
    <s v="Sao Francisco Bay, Brazil"/>
    <s v="Lineas AÃ©reas Brasil"/>
    <s v="Unknown"/>
    <s v="Unknown"/>
    <x v="277"/>
    <s v="PP-AJB"/>
    <n v="9971"/>
    <n v="30"/>
    <s v="NULL"/>
    <s v="NULL"/>
    <n v="5"/>
    <s v="NULL"/>
    <s v="NULL"/>
    <n v="0"/>
    <s v="Both the No. 1 and No. 2 propellers detached in flight which led to the crew ditching the plane close to shore."/>
    <n v="25"/>
    <n v="0.16666666666666666"/>
    <x v="2"/>
  </r>
  <r>
    <n v="1123"/>
    <x v="1025"/>
    <x v="38"/>
    <x v="0"/>
    <s v="Unknown"/>
    <s v="Salasaca, Ecuador"/>
    <s v="Shell Co of Ecuador"/>
    <s v="Unknown"/>
    <s v="Mers Nueva - Ambato"/>
    <x v="589"/>
    <s v="HC-SBU"/>
    <n v="12739"/>
    <n v="34"/>
    <n v="31"/>
    <n v="3"/>
    <n v="34"/>
    <n v="31"/>
    <n v="3"/>
    <n v="0"/>
    <s v="The aircraft was part of relief efforts of the Ecuador earthquake."/>
    <n v="0"/>
    <n v="1"/>
    <x v="1"/>
  </r>
  <r>
    <n v="1124"/>
    <x v="1026"/>
    <x v="38"/>
    <x v="0"/>
    <s v="Unknown"/>
    <s v="Salalah, Oman"/>
    <s v="Military - Royal Air Force"/>
    <s v="Unknown"/>
    <s v="Unknown"/>
    <x v="443"/>
    <s v="KN336"/>
    <s v="15901/32649"/>
    <n v="12"/>
    <s v="NULL"/>
    <s v="NULL"/>
    <n v="12"/>
    <s v="NULL"/>
    <s v="NULL"/>
    <n v="0"/>
    <s v="Crashed short of the runway."/>
    <n v="0"/>
    <n v="1"/>
    <x v="1"/>
  </r>
  <r>
    <n v="1125"/>
    <x v="1027"/>
    <x v="38"/>
    <x v="0"/>
    <d v="1899-12-30T13:30:00"/>
    <s v="Near Bogota, Colombia"/>
    <s v="SAETA"/>
    <s v="Unknown"/>
    <s v="Bogota - Ibague"/>
    <x v="368"/>
    <s v="HK-1200"/>
    <s v="Unknown"/>
    <n v="32"/>
    <n v="29"/>
    <n v="3"/>
    <n v="32"/>
    <n v="29"/>
    <n v="3"/>
    <n v="0"/>
    <s v="Crashed in the Andes mountains while  en route."/>
    <n v="0"/>
    <n v="1"/>
    <x v="1"/>
  </r>
  <r>
    <n v="1126"/>
    <x v="1028"/>
    <x v="38"/>
    <x v="0"/>
    <d v="1899-12-30T03:40:00"/>
    <s v="Off Lurga Point, Ireland"/>
    <s v="Transocean Air Lines"/>
    <s v="Unknown"/>
    <s v="Rome - Shannon"/>
    <x v="590"/>
    <s v="N79989"/>
    <n v="3076"/>
    <n v="58"/>
    <n v="49"/>
    <n v="9"/>
    <n v="8"/>
    <n v="7"/>
    <n v="1"/>
    <n v="0"/>
    <s v="Fuel exhaustion forced the plane to ditch in the Atlantic Ocean, 15 km off the coast of Ireland. The plane stayed afloat for 15 minutes but 8 occupants died due to exposure or drowning. Failure of the captain to properly supervise the crew while en route."/>
    <n v="50"/>
    <n v="0.13793103448275862"/>
    <x v="2"/>
  </r>
  <r>
    <n v="1127"/>
    <x v="1029"/>
    <x v="38"/>
    <x v="0"/>
    <d v="1899-12-30T13:02:00"/>
    <s v="Near Oldham, England"/>
    <s v="British European Airways"/>
    <s v="Unknown"/>
    <s v="Belfast - Manchester"/>
    <x v="277"/>
    <s v="G-AHCY"/>
    <n v="12355"/>
    <n v="32"/>
    <n v="29"/>
    <n v="3"/>
    <n v="24"/>
    <n v="21"/>
    <n v="3"/>
    <n v="0"/>
    <s v="Crashed into Wimberry Rocks, Dovestones, Greenfield, near Oldham at 1,700 feet, 15 nm short of its destination.  Navigational error and improper approach procedure. Failure to check the position of the aircraft accurately before descent from a safe altitude."/>
    <n v="8"/>
    <n v="0.75"/>
    <x v="1"/>
  </r>
  <r>
    <n v="1128"/>
    <x v="1030"/>
    <x v="38"/>
    <x v="0"/>
    <d v="1899-12-30T23:30:00"/>
    <s v="Near Bigstone Lake, Manitoba"/>
    <s v="Military - Royal Canadian Air Force"/>
    <s v="Unknown"/>
    <s v="Churchhill - Winnipeg"/>
    <x v="591"/>
    <n v="11057"/>
    <s v="Unknown"/>
    <n v="21"/>
    <n v="14"/>
    <n v="7"/>
    <n v="21"/>
    <n v="14"/>
    <n v="7"/>
    <n v="0"/>
    <s v="Crashed and burned in a wooded area after entering an area of thunderstorms."/>
    <n v="0"/>
    <n v="1"/>
    <x v="1"/>
  </r>
  <r>
    <n v="1129"/>
    <x v="1031"/>
    <x v="38"/>
    <x v="0"/>
    <d v="1899-12-30T08:00:00"/>
    <s v="Leopoldville, Zaire"/>
    <s v="Sabena"/>
    <s v="Unknown"/>
    <s v="Leopoldville - Elizabethville"/>
    <x v="437"/>
    <s v="OO-CBK"/>
    <s v="14600/26045"/>
    <n v="20"/>
    <n v="17"/>
    <n v="3"/>
    <n v="5"/>
    <n v="3"/>
    <n v="2"/>
    <n v="0"/>
    <s v="The aircraft did not achieve a proper climb rate after taking off and crashed while making a low altitude right turn. Water in the fuel and excessive lead on the spark plugs."/>
    <n v="15"/>
    <n v="0.25"/>
    <x v="2"/>
  </r>
  <r>
    <n v="1130"/>
    <x v="1032"/>
    <x v="38"/>
    <x v="0"/>
    <d v="1899-12-30T10:45:00"/>
    <s v="Sault-aux-Cochons, PQ, Canada"/>
    <s v="Canadian Pacific Air Lines"/>
    <s v="Unknown"/>
    <s v="Montreal - Comeau Bay"/>
    <x v="277"/>
    <s v="CF-CUA"/>
    <n v="4518"/>
    <n v="23"/>
    <n v="19"/>
    <n v="4"/>
    <n v="23"/>
    <n v="19"/>
    <n v="4"/>
    <n v="0"/>
    <s v="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
    <n v="0"/>
    <n v="1"/>
    <x v="1"/>
  </r>
  <r>
    <n v="1131"/>
    <x v="1033"/>
    <x v="38"/>
    <x v="0"/>
    <d v="1899-12-30T13:30:00"/>
    <s v="Mt. Popocatepetl, Mexico"/>
    <s v="Mexicana"/>
    <s v="Unknown"/>
    <s v="Tapacula - Mexico City"/>
    <x v="277"/>
    <s v="XA-DUH"/>
    <n v="11725"/>
    <n v="24"/>
    <n v="21"/>
    <n v="3"/>
    <n v="24"/>
    <n v="21"/>
    <n v="3"/>
    <n v="0"/>
    <s v="Crashed into a 15,000 ft. snow covered volcano, Mt. Popocatepetl. Flying VFR in IFR conditions."/>
    <n v="0"/>
    <n v="1"/>
    <x v="1"/>
  </r>
  <r>
    <n v="1132"/>
    <x v="1034"/>
    <x v="38"/>
    <x v="0"/>
    <s v="Unknown"/>
    <s v="Near Castilla, Argentina"/>
    <s v="Flota AÃ©rea Mercante Argentina"/>
    <s v="Unknown"/>
    <s v="Unknown"/>
    <x v="592"/>
    <s v="LV-ABI"/>
    <n v="7445"/>
    <n v="27"/>
    <n v="20"/>
    <n v="7"/>
    <n v="5"/>
    <n v="2"/>
    <n v="3"/>
    <n v="0"/>
    <s v="Crashed after an in-flight fire. The plane tried to make a forced landing but crashed before reaching the air strip. Returning from a mercy mission in Ecuador for earthquake relief."/>
    <n v="22"/>
    <n v="0.18518518518518517"/>
    <x v="2"/>
  </r>
  <r>
    <n v="1133"/>
    <x v="1035"/>
    <x v="38"/>
    <x v="0"/>
    <s v="Unknown"/>
    <s v="Cheyenne, Wyoming"/>
    <s v="Slick Airways"/>
    <d v="2022-08-11T00:00:00"/>
    <s v="Las Vegas - Denver"/>
    <x v="584"/>
    <s v="N59485"/>
    <n v="2939"/>
    <n v="4"/>
    <n v="2"/>
    <n v="2"/>
    <n v="4"/>
    <n v="2"/>
    <n v="2"/>
    <n v="0"/>
    <s v="Diverted to Cheyenne, while on approach, the aircraft crashed 2.5 miles short of the runway after encountering severe turbulence and icing. Loss of control of the aircraft during an instrument approach to Cheyenne, under conditions of heavy icing and severe turbulence."/>
    <n v="0"/>
    <n v="1"/>
    <x v="1"/>
  </r>
  <r>
    <n v="1134"/>
    <x v="1036"/>
    <x v="38"/>
    <x v="0"/>
    <d v="1899-12-30T02:50:00"/>
    <s v="San Miguel Island, Azores"/>
    <s v="Air France"/>
    <s v="Unknown"/>
    <s v="Paris - Santa Maria - New York City"/>
    <x v="582"/>
    <s v="F-BAZN"/>
    <n v="2546"/>
    <n v="48"/>
    <n v="37"/>
    <n v="11"/>
    <n v="48"/>
    <n v="37"/>
    <n v="11"/>
    <n v="0"/>
    <s v="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
    <n v="0"/>
    <n v="1"/>
    <x v="1"/>
  </r>
  <r>
    <n v="1135"/>
    <x v="1037"/>
    <x v="38"/>
    <x v="0"/>
    <d v="1899-12-30T11:45:00"/>
    <s v="Arlington, Virginia"/>
    <s v="Eastern Air Lines / Military - Bolivian Air Force"/>
    <n v="537"/>
    <s v="Boston - Washington D.C. - New Orleans"/>
    <x v="593"/>
    <s v="N88727/NX26927"/>
    <s v="18365 /"/>
    <n v="55"/>
    <n v="51"/>
    <n v="4"/>
    <n v="55"/>
    <n v="51"/>
    <n v="4"/>
    <n v="0"/>
    <s v="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
    <n v="0"/>
    <n v="1"/>
    <x v="1"/>
  </r>
  <r>
    <n v="1136"/>
    <x v="1038"/>
    <x v="38"/>
    <x v="0"/>
    <d v="1899-12-30T21:34:00"/>
    <s v="Akron, Ohio"/>
    <s v="Harrington's Inc"/>
    <s v="Unknown"/>
    <s v="Philadelphia - Cleveland"/>
    <x v="277"/>
    <s v="NC29086"/>
    <n v="4304"/>
    <n v="3"/>
    <n v="0"/>
    <n v="3"/>
    <n v="3"/>
    <n v="0"/>
    <n v="3"/>
    <n v="0"/>
    <s v="The cargo plane collided with trees short of the runway while attempting to land. The improper execution of an instrument approach which resulted in the aircraft being flown to the right of the proper approach path at an altitude too low to clear the terrain."/>
    <n v="0"/>
    <n v="1"/>
    <x v="1"/>
  </r>
  <r>
    <n v="1137"/>
    <x v="1039"/>
    <x v="38"/>
    <x v="0"/>
    <s v="Unknown"/>
    <s v="Calcutta, India"/>
    <s v="Royal Indian Air Force"/>
    <s v="Unknown"/>
    <s v="Unknown"/>
    <x v="594"/>
    <s v="Unknown"/>
    <s v="Unknown"/>
    <n v="2"/>
    <n v="0"/>
    <n v="2"/>
    <n v="1"/>
    <n v="0"/>
    <n v="1"/>
    <n v="14"/>
    <s v="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
    <n v="1"/>
    <n v="0.5"/>
    <x v="0"/>
  </r>
  <r>
    <n v="1138"/>
    <x v="1040"/>
    <x v="38"/>
    <x v="0"/>
    <d v="1899-12-30T16:56:00"/>
    <s v="Near Oslo, Norway"/>
    <s v="Aero Holland"/>
    <s v="Unknown"/>
    <s v="Brussels - Oslo"/>
    <x v="402"/>
    <s v="PH-TFA"/>
    <n v="13462"/>
    <n v="35"/>
    <n v="31"/>
    <n v="4"/>
    <n v="34"/>
    <n v="30"/>
    <n v="4"/>
    <n v="0"/>
    <s v="Crashed into a hill during the approach. Pilot continued VFR in IFR condtions."/>
    <n v="1"/>
    <n v="0.97142857142857142"/>
    <x v="1"/>
  </r>
  <r>
    <n v="1139"/>
    <x v="1041"/>
    <x v="38"/>
    <x v="0"/>
    <d v="1899-12-30T12:00:00"/>
    <s v="Near Bucaramanga, Colombia"/>
    <s v="LANSA"/>
    <s v="Unknown"/>
    <s v="Bucaramanga - Cucuta"/>
    <x v="277"/>
    <s v="HK-305"/>
    <s v="Unknown"/>
    <n v="12"/>
    <n v="9"/>
    <n v="3"/>
    <n v="12"/>
    <n v="9"/>
    <n v="3"/>
    <n v="0"/>
    <s v="Struck a mountain shortly after taking off."/>
    <n v="0"/>
    <n v="1"/>
    <x v="1"/>
  </r>
  <r>
    <n v="1140"/>
    <x v="1042"/>
    <x v="38"/>
    <x v="0"/>
    <d v="1899-12-30T05:49:00"/>
    <s v="Dallas, Texas"/>
    <s v="American Airlines"/>
    <n v="157"/>
    <s v="New York City - Mexico City"/>
    <x v="528"/>
    <s v="N90728"/>
    <s v="42895/58"/>
    <n v="46"/>
    <n v="41"/>
    <n v="5"/>
    <n v="28"/>
    <n v="26"/>
    <n v="2"/>
    <n v="0"/>
    <s v="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
    <n v="18"/>
    <n v="0.60869565217391308"/>
    <x v="0"/>
  </r>
  <r>
    <n v="1141"/>
    <x v="1042"/>
    <x v="38"/>
    <x v="0"/>
    <d v="1899-12-30T16:45:00"/>
    <s v="Chaleyssin, France"/>
    <s v="Air France"/>
    <s v="Unknown"/>
    <s v="Paris - Lyons - Tunis"/>
    <x v="487"/>
    <s v="F-BELO"/>
    <n v="10391"/>
    <n v="38"/>
    <n v="33"/>
    <n v="5"/>
    <n v="5"/>
    <n v="1"/>
    <n v="4"/>
    <n v="0"/>
    <s v="Crashed while on approach to Lyons."/>
    <n v="33"/>
    <n v="0.13157894736842105"/>
    <x v="2"/>
  </r>
  <r>
    <n v="1142"/>
    <x v="1043"/>
    <x v="38"/>
    <x v="0"/>
    <d v="1899-12-30T19:00:00"/>
    <s v="Taquaracucu, Brazil"/>
    <s v="REAL"/>
    <s v="Unknown"/>
    <s v="Sao Palo, Brazil - Jacarezinho, Panama"/>
    <x v="570"/>
    <s v="PP-YPM"/>
    <n v="4241"/>
    <n v="22"/>
    <n v="18"/>
    <n v="4"/>
    <n v="20"/>
    <n v="16"/>
    <n v="4"/>
    <n v="0"/>
    <s v="Crashed into a mountainside while circling to land. Crew error. Lack of flight discipline.  Poor decision by Chief of Operations in allowing the aircraft to continue flight in poor weather conditions."/>
    <n v="2"/>
    <n v="0.90909090909090906"/>
    <x v="1"/>
  </r>
  <r>
    <n v="1143"/>
    <x v="1044"/>
    <x v="38"/>
    <x v="0"/>
    <d v="1899-12-30T17:15:00"/>
    <s v="Vallejo, California"/>
    <s v="Arrow Airlines"/>
    <s v="Unknown"/>
    <s v="Burbank - Oakland - Sacramento"/>
    <x v="277"/>
    <s v="NC60256"/>
    <n v="9201"/>
    <n v="9"/>
    <n v="6"/>
    <n v="3"/>
    <n v="9"/>
    <n v="6"/>
    <n v="3"/>
    <n v="0"/>
    <s v="Struck a 1,200 ft. hill obscured by clouds, during a rainstorm, 6 miles east of Vallejo, California. The pilot failed to fly at the assigned altitude of 4,000 feet on his flight plan."/>
    <n v="0"/>
    <n v="1"/>
    <x v="1"/>
  </r>
  <r>
    <n v="1144"/>
    <x v="1045"/>
    <x v="38"/>
    <x v="0"/>
    <s v="Unknown"/>
    <s v="Near Lanchow, China"/>
    <s v="Civil Air Transport"/>
    <s v="Unknown"/>
    <s v="Unknown"/>
    <x v="595"/>
    <s v="XT-820"/>
    <n v="22354"/>
    <n v="38"/>
    <n v="36"/>
    <n v="2"/>
    <n v="38"/>
    <n v="36"/>
    <n v="2"/>
    <n v="0"/>
    <s v="Crashed while en route."/>
    <n v="0"/>
    <n v="1"/>
    <x v="1"/>
  </r>
  <r>
    <n v="1145"/>
    <x v="1046"/>
    <x v="38"/>
    <x v="0"/>
    <s v="Unknown"/>
    <s v="Near Hoikow, China"/>
    <s v="Civil Air Transport"/>
    <s v="Unknown"/>
    <s v="Chengdu - Hoikow"/>
    <x v="595"/>
    <s v="XT-814"/>
    <n v="22347"/>
    <n v="40"/>
    <s v="NULL"/>
    <s v="NULL"/>
    <n v="17"/>
    <s v="NULL"/>
    <s v="NULL"/>
    <n v="0"/>
    <s v="Crashed on the outskirts of Hoikow, Hainan Island."/>
    <n v="23"/>
    <n v="0.42499999999999999"/>
    <x v="0"/>
  </r>
  <r>
    <n v="1146"/>
    <x v="1047"/>
    <x v="38"/>
    <x v="0"/>
    <d v="1899-12-30T20:45:00"/>
    <s v="Washington, D.C."/>
    <s v="Capital Airlines"/>
    <n v="500"/>
    <s v="New Port News - Washington D.C."/>
    <x v="596"/>
    <s v="NC-25691"/>
    <n v="2556"/>
    <n v="23"/>
    <n v="20"/>
    <n v="3"/>
    <n v="6"/>
    <n v="4"/>
    <n v="2"/>
    <n v="0"/>
    <s v="The aircraft crashed 1,875 feet, short of the runway threshold, into the Potomac River while approaching Washington National Airport. Immediately before the accident and during the execution of an instrument approach, the aircraft was stalled at too low an altitude to effect recovery."/>
    <n v="17"/>
    <n v="0.2608695652173913"/>
    <x v="2"/>
  </r>
  <r>
    <n v="1147"/>
    <x v="1047"/>
    <x v="38"/>
    <x v="0"/>
    <d v="1899-12-30T21:51:00"/>
    <s v="Jungshahi, Pakistan"/>
    <s v="Pakair"/>
    <s v="Unknown"/>
    <s v="Unknown"/>
    <x v="277"/>
    <s v="AP-ADI"/>
    <n v="4841"/>
    <n v="26"/>
    <n v="22"/>
    <n v="4"/>
    <n v="26"/>
    <n v="22"/>
    <n v="4"/>
    <n v="0"/>
    <s v="Hit a mountain and burned 30 miles north of  Karachi airport. Navigational error."/>
    <n v="0"/>
    <n v="1"/>
    <x v="1"/>
  </r>
  <r>
    <n v="1148"/>
    <x v="1048"/>
    <x v="38"/>
    <x v="0"/>
    <d v="1899-12-30T06:00:00"/>
    <s v="Orizaba, Mexico"/>
    <s v="Mexicana"/>
    <s v="Unknown"/>
    <s v="Mexico City - Merida"/>
    <x v="277"/>
    <s v="XA-DUK"/>
    <n v="11721"/>
    <n v="17"/>
    <n v="13"/>
    <n v="4"/>
    <n v="17"/>
    <n v="13"/>
    <n v="4"/>
    <n v="0"/>
    <s v="Crashed into a mountain while en route."/>
    <n v="0"/>
    <n v="1"/>
    <x v="1"/>
  </r>
  <r>
    <n v="1149"/>
    <x v="1049"/>
    <x v="38"/>
    <x v="0"/>
    <d v="1899-12-30T20:30:00"/>
    <s v="Aulnay-sous-Bois, France"/>
    <s v="Sabena"/>
    <s v="Unknown"/>
    <s v="Unknown"/>
    <x v="399"/>
    <s v="OO-AUQ"/>
    <n v="10241"/>
    <n v="8"/>
    <n v="4"/>
    <n v="4"/>
    <n v="8"/>
    <n v="4"/>
    <n v="4"/>
    <n v="0"/>
    <s v="Crashed after the wing failed during takeoff."/>
    <n v="0"/>
    <n v="1"/>
    <x v="1"/>
  </r>
  <r>
    <n v="1150"/>
    <x v="1050"/>
    <x v="38"/>
    <x v="0"/>
    <s v="Unknown"/>
    <s v="Comilla, Pakistan"/>
    <s v="Bharat Airways"/>
    <s v="Unknown"/>
    <s v="Agartala - Calcutta"/>
    <x v="597"/>
    <s v="VT-CYK"/>
    <n v="3089"/>
    <n v="7"/>
    <n v="6"/>
    <n v="1"/>
    <n v="7"/>
    <n v="6"/>
    <n v="1"/>
    <n v="0"/>
    <s v="Crashed and burned after attempting an emergency landing."/>
    <n v="0"/>
    <n v="1"/>
    <x v="1"/>
  </r>
  <r>
    <n v="1151"/>
    <x v="1051"/>
    <x v="39"/>
    <x v="0"/>
    <s v="Unknown"/>
    <s v="Sverdlovsk, Russia"/>
    <s v="Military - Soviet Air Force"/>
    <s v="Unknown"/>
    <s v="Unknown"/>
    <x v="420"/>
    <s v="Unknown"/>
    <s v="Unknown"/>
    <n v="19"/>
    <s v="NULL"/>
    <s v="NULL"/>
    <n v="19"/>
    <s v="NULL"/>
    <s v="NULL"/>
    <n v="0"/>
    <s v="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
    <n v="0"/>
    <n v="1"/>
    <x v="1"/>
  </r>
  <r>
    <n v="1152"/>
    <x v="1052"/>
    <x v="39"/>
    <x v="0"/>
    <s v="Unknown"/>
    <s v="Albacete, Spain"/>
    <s v="Ejercito del Aire"/>
    <s v="Unknown"/>
    <s v="Unknown"/>
    <x v="213"/>
    <s v="Unknown"/>
    <s v="Unknown"/>
    <n v="16"/>
    <s v="NULL"/>
    <s v="NULL"/>
    <n v="16"/>
    <s v="NULL"/>
    <s v="NULL"/>
    <n v="0"/>
    <s v="The military plane crashed on the southeast coast of Spain."/>
    <n v="0"/>
    <n v="1"/>
    <x v="1"/>
  </r>
  <r>
    <n v="1153"/>
    <x v="1053"/>
    <x v="39"/>
    <x v="0"/>
    <d v="1899-12-30T12:00:00"/>
    <s v="Near Vacas, Bolivia"/>
    <s v="Military - Bolivian Air Force"/>
    <s v="Unknown"/>
    <s v="Valle grande - Cochabamba"/>
    <x v="368"/>
    <s v="TAM-10"/>
    <s v="Unknown"/>
    <n v="32"/>
    <n v="28"/>
    <n v="4"/>
    <n v="32"/>
    <n v="28"/>
    <n v="4"/>
    <n v="0"/>
    <s v="Crashed while en route in the Andes mountains after encountering a thunderstorm."/>
    <n v="0"/>
    <n v="1"/>
    <x v="1"/>
  </r>
  <r>
    <n v="1154"/>
    <x v="1054"/>
    <x v="39"/>
    <x v="0"/>
    <s v="Unknown"/>
    <s v="Near Tamatave, Madagascar"/>
    <s v="Societe Transatlantique Aerienne"/>
    <s v="Unknown"/>
    <s v="Antananarivo - Tamatave"/>
    <x v="598"/>
    <s v="F-BFGD"/>
    <n v="10046"/>
    <n v="14"/>
    <n v="11"/>
    <n v="3"/>
    <n v="14"/>
    <n v="11"/>
    <n v="3"/>
    <n v="0"/>
    <s v="Crashed into a mountain 30 miles west of Tamatave."/>
    <n v="0"/>
    <n v="1"/>
    <x v="1"/>
  </r>
  <r>
    <n v="1155"/>
    <x v="1054"/>
    <x v="39"/>
    <x v="0"/>
    <s v="Unknown"/>
    <s v="Iloilo,Philippines"/>
    <s v="Philippine Air Lines"/>
    <s v="Unknown"/>
    <s v="Iloilo - Manila"/>
    <x v="277"/>
    <s v="PI-C22"/>
    <s v="Unknown"/>
    <n v="4"/>
    <n v="1"/>
    <n v="3"/>
    <n v="4"/>
    <n v="1"/>
    <n v="3"/>
    <n v="0"/>
    <s v="Cargo plane."/>
    <n v="0"/>
    <n v="1"/>
    <x v="1"/>
  </r>
  <r>
    <n v="1156"/>
    <x v="1055"/>
    <x v="39"/>
    <x v="0"/>
    <s v="Unknown"/>
    <s v="Near Snag, Yukon Territory"/>
    <s v="Military - U.S. Air Force"/>
    <s v="Unknown"/>
    <s v="Elmendorf - Great Falls, MT"/>
    <x v="466"/>
    <s v="42-72469"/>
    <n v="10574"/>
    <n v="44"/>
    <n v="36"/>
    <n v="8"/>
    <n v="44"/>
    <n v="36"/>
    <n v="8"/>
    <n v="0"/>
    <s v="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
    <n v="0"/>
    <n v="1"/>
    <x v="1"/>
  </r>
  <r>
    <n v="1157"/>
    <x v="1056"/>
    <x v="39"/>
    <x v="0"/>
    <d v="1899-12-30T04:45:00"/>
    <s v="North Sea"/>
    <s v="KLM Royal Dutch Airlines"/>
    <s v="Unknown"/>
    <s v="Amsterdam - London"/>
    <x v="277"/>
    <s v="PH-TEU"/>
    <n v="13396"/>
    <n v="7"/>
    <n v="0"/>
    <n v="7"/>
    <n v="7"/>
    <n v="0"/>
    <n v="7"/>
    <n v="0"/>
    <s v="Crash into the North Sea during a night mail flight shortly after takeoff, 40 miles off the Dutch coast."/>
    <n v="0"/>
    <n v="1"/>
    <x v="1"/>
  </r>
  <r>
    <n v="1158"/>
    <x v="1057"/>
    <x v="39"/>
    <x v="0"/>
    <s v="Unknown"/>
    <s v="Near Prague, Czechoslovakia"/>
    <s v="Ceskoslovenske Aerolinie"/>
    <s v="Unknown"/>
    <s v="Ostrava - Prague"/>
    <x v="599"/>
    <s v="OK-WDY"/>
    <n v="12725"/>
    <n v="5"/>
    <n v="3"/>
    <n v="2"/>
    <n v="5"/>
    <n v="3"/>
    <n v="2"/>
    <n v="0"/>
    <s v="The aircraft crashed into a mountain while en route."/>
    <n v="0"/>
    <n v="1"/>
    <x v="1"/>
  </r>
  <r>
    <n v="1159"/>
    <x v="1058"/>
    <x v="39"/>
    <x v="0"/>
    <d v="1899-12-30T20:59:00"/>
    <s v="Minneapolis, Minnesota"/>
    <s v="Northwest Orient Airlines"/>
    <n v="307"/>
    <s v="Rochester Minn. - Minneapolis"/>
    <x v="562"/>
    <s v="N93050"/>
    <n v="9134"/>
    <n v="13"/>
    <n v="10"/>
    <n v="3"/>
    <n v="13"/>
    <n v="10"/>
    <n v="3"/>
    <n v="2"/>
    <s v="Crashed into a flag pole, well marked by red neon obstruction lights, on approach in blowing snow.  Pilot's attempt to land visual rather than ILS after visual reference to the ground was lost."/>
    <n v="0"/>
    <n v="1"/>
    <x v="1"/>
  </r>
  <r>
    <n v="1160"/>
    <x v="1059"/>
    <x v="39"/>
    <x v="0"/>
    <s v="Unknown"/>
    <s v="Saigon, Vietnam"/>
    <s v="Societe Indochinoise de Transport Aeriens"/>
    <s v="Unknown"/>
    <s v="Hue - Tourane"/>
    <x v="589"/>
    <s v="F-BECR"/>
    <n v="12782"/>
    <n v="4"/>
    <n v="1"/>
    <n v="3"/>
    <n v="4"/>
    <n v="1"/>
    <n v="3"/>
    <n v="0"/>
    <s v="Cargo plane."/>
    <n v="0"/>
    <n v="1"/>
    <x v="1"/>
  </r>
  <r>
    <n v="1161"/>
    <x v="1060"/>
    <x v="39"/>
    <x v="0"/>
    <d v="1899-12-30T14:50:00"/>
    <s v="Llandow Airport, Cardiff, Wales"/>
    <s v="Fairflight Ltd."/>
    <s v="Unknown"/>
    <s v="Llandow - Dublin"/>
    <x v="600"/>
    <s v="G-AKBY"/>
    <n v="1417"/>
    <n v="83"/>
    <n v="78"/>
    <n v="5"/>
    <n v="80"/>
    <n v="75"/>
    <n v="5"/>
    <n v="0"/>
    <s v="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
    <n v="3"/>
    <n v="0.96385542168674698"/>
    <x v="1"/>
  </r>
  <r>
    <n v="1162"/>
    <x v="1061"/>
    <x v="39"/>
    <x v="0"/>
    <s v="Unknown"/>
    <s v="Ankara, Turkey"/>
    <s v="Devlet Hava Yollairi"/>
    <s v="Unknown"/>
    <s v="Unknown"/>
    <x v="277"/>
    <s v="TC-BAL"/>
    <n v="19423"/>
    <n v="15"/>
    <n v="11"/>
    <n v="4"/>
    <n v="15"/>
    <n v="11"/>
    <n v="4"/>
    <n v="0"/>
    <s v="Crashed and caught fire during landing at Etimeagut airport."/>
    <n v="0"/>
    <n v="1"/>
    <x v="1"/>
  </r>
  <r>
    <n v="1163"/>
    <x v="1062"/>
    <x v="39"/>
    <x v="0"/>
    <s v="Unknown"/>
    <s v="Off Cap-Ferret, France"/>
    <s v="SEMAF"/>
    <s v="Unknown"/>
    <s v="Unknown"/>
    <x v="601"/>
    <s v="F-WANU"/>
    <n v="3"/>
    <n v="12"/>
    <n v="0"/>
    <n v="12"/>
    <n v="12"/>
    <n v="0"/>
    <n v="12"/>
    <n v="0"/>
    <s v="Loss of control after mechanical failure and crashed into the sea. Failure of the aileron control couplings resulting from severe vibration."/>
    <n v="0"/>
    <n v="1"/>
    <x v="1"/>
  </r>
  <r>
    <n v="1164"/>
    <x v="1063"/>
    <x v="39"/>
    <x v="0"/>
    <s v="Unknown"/>
    <s v="Hatiara, India"/>
    <s v="Deccan Airways"/>
    <s v="Unknown"/>
    <s v="Unknown"/>
    <x v="402"/>
    <s v="VT-CJD"/>
    <n v="12826"/>
    <n v="3"/>
    <n v="0"/>
    <n v="3"/>
    <n v="3"/>
    <n v="0"/>
    <n v="3"/>
    <n v="0"/>
    <s v="The cargo plane lost an engine on takeoff and attempted an emergency return but crashed. Overloaded."/>
    <n v="0"/>
    <n v="1"/>
    <x v="1"/>
  </r>
  <r>
    <n v="1165"/>
    <x v="1064"/>
    <x v="39"/>
    <x v="0"/>
    <s v="Unknown"/>
    <s v="Near Hastings, England"/>
    <s v="British European Airways"/>
    <s v="Unknown"/>
    <s v="London - Paris"/>
    <x v="538"/>
    <s v="G-AIVL"/>
    <n v="225"/>
    <n v="32"/>
    <n v="28"/>
    <n v="4"/>
    <n v="0"/>
    <n v="0"/>
    <n v="0"/>
    <n v="0"/>
    <s v="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quot;Vigalant,.&quot;"/>
    <n v="32"/>
    <n v="0"/>
    <x v="2"/>
  </r>
  <r>
    <n v="1166"/>
    <x v="1065"/>
    <x v="39"/>
    <x v="0"/>
    <s v="Unknown"/>
    <s v="Santa Ana, Colombia"/>
    <s v="Lineas AÃ©reas Nacionales"/>
    <s v="Unknown"/>
    <s v="Unknown"/>
    <x v="602"/>
    <s v="HK-309"/>
    <s v="Unknown"/>
    <n v="25"/>
    <n v="23"/>
    <n v="2"/>
    <n v="25"/>
    <n v="23"/>
    <n v="2"/>
    <n v="0"/>
    <s v="No data available"/>
    <n v="0"/>
    <n v="1"/>
    <x v="1"/>
  </r>
  <r>
    <n v="1167"/>
    <x v="1066"/>
    <x v="39"/>
    <x v="0"/>
    <d v="1899-12-30T23:25:00"/>
    <s v="Near Atsugi, Japan"/>
    <s v="Military - U.S. Air Force"/>
    <s v="Unknown"/>
    <s v="Philippines - Japan"/>
    <x v="603"/>
    <s v="42-72704"/>
    <s v="Unknown"/>
    <n v="35"/>
    <n v="27"/>
    <n v="8"/>
    <n v="35"/>
    <n v="27"/>
    <n v="8"/>
    <n v="0"/>
    <s v="Flew off its prescribed course and crashed into Mt. Tanzawa in a rainstorm."/>
    <n v="0"/>
    <n v="1"/>
    <x v="1"/>
  </r>
  <r>
    <n v="1168"/>
    <x v="1067"/>
    <x v="39"/>
    <x v="0"/>
    <s v="Unknown"/>
    <s v="Chimborazo, Ecuador"/>
    <s v="AVIANCA"/>
    <s v="Unknown"/>
    <s v="Quito - Guayaquil"/>
    <x v="604"/>
    <s v="HK-120"/>
    <n v="4314"/>
    <n v="15"/>
    <n v="12"/>
    <n v="3"/>
    <n v="15"/>
    <n v="12"/>
    <n v="3"/>
    <n v="0"/>
    <s v="Flew into a mountain."/>
    <n v="0"/>
    <n v="1"/>
    <x v="1"/>
  </r>
  <r>
    <n v="1169"/>
    <x v="1068"/>
    <x v="39"/>
    <x v="0"/>
    <d v="1899-12-30T20:59:00"/>
    <s v="Lagens Air Force Base, Azores"/>
    <s v="Military - U.S. Air Force"/>
    <s v="Unknown"/>
    <s v="Bermuda - England"/>
    <x v="605"/>
    <s v="Unknown"/>
    <s v="Unknown"/>
    <n v="16"/>
    <n v="5"/>
    <n v="11"/>
    <n v="16"/>
    <n v="5"/>
    <n v="11"/>
    <n v="0"/>
    <s v="Crashed while attempting to land after being diverted to Lagens due to engine trouble."/>
    <n v="0"/>
    <n v="1"/>
    <x v="1"/>
  </r>
  <r>
    <n v="1170"/>
    <x v="1069"/>
    <x v="39"/>
    <x v="0"/>
    <d v="1899-12-30T10:20:00"/>
    <s v="Myrtle Beach, South Carolina"/>
    <s v="Military - U.S. Air Force"/>
    <s v="Unknown"/>
    <s v="Unknown"/>
    <x v="438"/>
    <s v="44-77577"/>
    <n v="32973"/>
    <n v="39"/>
    <n v="35"/>
    <n v="4"/>
    <n v="39"/>
    <n v="35"/>
    <n v="4"/>
    <n v="0"/>
    <s v="Lost the left aileron after taking off, lost control and crashed."/>
    <n v="0"/>
    <n v="1"/>
    <x v="1"/>
  </r>
  <r>
    <n v="1171"/>
    <x v="1070"/>
    <x v="39"/>
    <x v="0"/>
    <s v="Unknown"/>
    <s v="Near Pasto, Colombia"/>
    <s v="LANSA"/>
    <s v="Unknown"/>
    <s v="Popayan - Ipiales"/>
    <x v="368"/>
    <s v="HK-307"/>
    <n v="10194"/>
    <n v="26"/>
    <n v="23"/>
    <n v="3"/>
    <n v="25"/>
    <n v="22"/>
    <n v="3"/>
    <n v="0"/>
    <s v="Struck the side of Galeras Volcano."/>
    <n v="1"/>
    <n v="0.96153846153846156"/>
    <x v="1"/>
  </r>
  <r>
    <n v="1172"/>
    <x v="1071"/>
    <x v="39"/>
    <x v="0"/>
    <d v="1899-12-30T17:30:00"/>
    <s v="Teterboro, New Jersey"/>
    <s v="Regina Cargo Airlines"/>
    <s v="Unknown"/>
    <s v="Unknown"/>
    <x v="587"/>
    <s v="N9406H"/>
    <n v="22582"/>
    <n v="2"/>
    <n v="0"/>
    <n v="2"/>
    <n v="1"/>
    <n v="0"/>
    <n v="1"/>
    <n v="0"/>
    <s v="The cargo plane lost an engine on takeoff and crashed. Overloading of the aircraft due to faulty loading and dispatch procedures coupled with engine malfunctioning due to inadequate maintenance."/>
    <n v="1"/>
    <n v="0.5"/>
    <x v="0"/>
  </r>
  <r>
    <n v="1173"/>
    <x v="1072"/>
    <x v="39"/>
    <x v="0"/>
    <s v="Unknown"/>
    <s v="Near Ilheus, Brazil"/>
    <s v="Aerovias Brasil"/>
    <s v="Unknown"/>
    <s v="Victoria - Salvador"/>
    <x v="277"/>
    <s v="PP-AVZ"/>
    <n v="9156"/>
    <n v="15"/>
    <n v="11"/>
    <n v="4"/>
    <n v="13"/>
    <n v="9"/>
    <n v="4"/>
    <n v="0"/>
    <s v="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
    <n v="2"/>
    <n v="0.8666666666666667"/>
    <x v="1"/>
  </r>
  <r>
    <n v="1174"/>
    <x v="1073"/>
    <x v="39"/>
    <x v="0"/>
    <d v="1899-12-30T22:03:00"/>
    <s v="Atlantic Ocean off Florida"/>
    <s v="Westair Transport"/>
    <s v="Unknown"/>
    <s v="San Juan - Wilmington NC"/>
    <x v="606"/>
    <s v="N1248N"/>
    <n v="22496"/>
    <n v="65"/>
    <n v="62"/>
    <n v="3"/>
    <n v="28"/>
    <n v="28"/>
    <n v="0"/>
    <n v="0"/>
    <s v="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
    <n v="37"/>
    <n v="0.43076923076923079"/>
    <x v="0"/>
  </r>
  <r>
    <n v="1175"/>
    <x v="1074"/>
    <x v="39"/>
    <x v="0"/>
    <d v="1899-12-30T19:00:00"/>
    <s v="Near Fonseca, Colombia"/>
    <s v="New Tribes Mission"/>
    <s v="Unknown"/>
    <s v="Kingston, Jamacia - Maracaibo, Venezuela"/>
    <x v="607"/>
    <s v="N16030"/>
    <n v="1546"/>
    <n v="15"/>
    <n v="12"/>
    <n v="3"/>
    <n v="15"/>
    <n v="12"/>
    <n v="3"/>
    <n v="0"/>
    <s v="Crashed and burned 19 miles east northeast of Fonseca well off course. Cause unknown."/>
    <n v="0"/>
    <n v="1"/>
    <x v="1"/>
  </r>
  <r>
    <n v="1176"/>
    <x v="1075"/>
    <x v="39"/>
    <x v="0"/>
    <d v="1899-12-30T21:52:00"/>
    <s v="Off Bahrain"/>
    <s v="Air France"/>
    <s v="Unknown"/>
    <s v="Saigon - Paris"/>
    <x v="479"/>
    <s v="F-BBDE"/>
    <n v="42937"/>
    <n v="52"/>
    <n v="44"/>
    <n v="8"/>
    <n v="46"/>
    <n v="40"/>
    <n v="6"/>
    <n v="0"/>
    <s v="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
    <n v="6"/>
    <n v="0.88461538461538458"/>
    <x v="1"/>
  </r>
  <r>
    <n v="1177"/>
    <x v="1076"/>
    <x v="39"/>
    <x v="0"/>
    <d v="1899-12-30T21:55:00"/>
    <s v="Off Bahrain"/>
    <s v="Air France"/>
    <s v="Unknown"/>
    <s v="Saigon - Paris"/>
    <x v="479"/>
    <s v="F-BBDM"/>
    <n v="42990"/>
    <n v="53"/>
    <n v="45"/>
    <n v="8"/>
    <n v="40"/>
    <n v="37"/>
    <n v="3"/>
    <n v="0"/>
    <s v="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
    <n v="13"/>
    <n v="0.75471698113207553"/>
    <x v="1"/>
  </r>
  <r>
    <n v="1178"/>
    <x v="1077"/>
    <x v="39"/>
    <x v="0"/>
    <d v="1899-12-30T23:25:00"/>
    <s v="Lake Michigan, 18 NNW of Benton Harbor, Michigan"/>
    <s v="Northwest Orient Airlines"/>
    <n v="2501"/>
    <s v="New York City - Minneapolis-St. Paul"/>
    <x v="487"/>
    <s v="N95425"/>
    <n v="10270"/>
    <n v="58"/>
    <n v="55"/>
    <n v="3"/>
    <n v="58"/>
    <n v="55"/>
    <n v="3"/>
    <n v="0"/>
    <s v="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
    <n v="0"/>
    <n v="1"/>
    <x v="1"/>
  </r>
  <r>
    <n v="1179"/>
    <x v="1078"/>
    <x v="39"/>
    <x v="0"/>
    <d v="1899-12-30T23:00:00"/>
    <s v="York, Australia"/>
    <s v="Ansett ANA"/>
    <s v="Unknown"/>
    <s v="Guildford - Melbourne"/>
    <x v="479"/>
    <s v="VH-ANA"/>
    <n v="42910"/>
    <n v="29"/>
    <n v="24"/>
    <n v="5"/>
    <n v="29"/>
    <n v="24"/>
    <n v="5"/>
    <n v="0"/>
    <s v="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quot;Amana.&quot;"/>
    <n v="0"/>
    <n v="1"/>
    <x v="1"/>
  </r>
  <r>
    <n v="1180"/>
    <x v="1079"/>
    <x v="39"/>
    <x v="0"/>
    <s v="Unknown"/>
    <s v="Busan, South Korea"/>
    <s v="Military - U.S. Air Force"/>
    <s v="Unknown"/>
    <s v="Unknown"/>
    <x v="446"/>
    <s v="45-0518"/>
    <n v="35971"/>
    <n v="23"/>
    <s v="NULL"/>
    <s v="NULL"/>
    <n v="23"/>
    <s v="NULL"/>
    <s v="NULL"/>
    <n v="0"/>
    <s v="Struck a mountain."/>
    <n v="0"/>
    <n v="1"/>
    <x v="1"/>
  </r>
  <r>
    <n v="1181"/>
    <x v="1080"/>
    <x v="39"/>
    <x v="0"/>
    <s v="Unknown"/>
    <s v="Casablanca, Morocco"/>
    <s v="Aigle Azur"/>
    <s v="Unknown"/>
    <s v="Paris - Dakar"/>
    <x v="277"/>
    <s v="F-BFGL"/>
    <n v="13824"/>
    <n v="29"/>
    <n v="25"/>
    <n v="4"/>
    <n v="22"/>
    <n v="18"/>
    <n v="4"/>
    <n v="0"/>
    <s v="Crashed on climb-out."/>
    <n v="7"/>
    <n v="0.75862068965517238"/>
    <x v="1"/>
  </r>
  <r>
    <n v="1182"/>
    <x v="1081"/>
    <x v="39"/>
    <x v="0"/>
    <s v="Unknown"/>
    <s v="Near Pathankot, India"/>
    <s v="Indian National Airlines"/>
    <s v="Unknown"/>
    <s v="Delhi - Sringagar"/>
    <x v="277"/>
    <s v="VT-ATS"/>
    <n v="20359"/>
    <n v="22"/>
    <n v="18"/>
    <n v="4"/>
    <n v="22"/>
    <n v="18"/>
    <n v="4"/>
    <n v="0"/>
    <s v="The left wing separated from the plane in extreme turbulence from a thunderstorm."/>
    <n v="0"/>
    <n v="1"/>
    <x v="1"/>
  </r>
  <r>
    <n v="1183"/>
    <x v="1082"/>
    <x v="39"/>
    <x v="0"/>
    <s v="Unknown"/>
    <s v="Near Bocoio, Angola"/>
    <s v="DTA Angola Airlines"/>
    <s v="Unknown"/>
    <s v="Nova Lisboa - Lobito"/>
    <x v="277"/>
    <s v="CR-LBK"/>
    <n v="13769"/>
    <n v="9"/>
    <n v="6"/>
    <n v="3"/>
    <n v="9"/>
    <n v="6"/>
    <n v="3"/>
    <n v="0"/>
    <s v="No data available"/>
    <n v="0"/>
    <n v="1"/>
    <x v="1"/>
  </r>
  <r>
    <n v="1184"/>
    <x v="1083"/>
    <x v="39"/>
    <x v="0"/>
    <d v="1899-12-30T04:30:00"/>
    <s v="Off O-shima Island, Japan"/>
    <s v="Military - U.S. Air Force"/>
    <s v="Unknown"/>
    <s v="Unknown"/>
    <x v="608"/>
    <s v="44-76439A"/>
    <s v="Unknown"/>
    <n v="26"/>
    <n v="23"/>
    <n v="3"/>
    <n v="25"/>
    <n v="22"/>
    <n v="3"/>
    <n v="0"/>
    <s v="The aircraft took off from O-shima and reached an altitude of 3,500 feet after which a sudden unexplained descent was made until it crashed into the sea. The surviving witness stated the aircraft hit two moderate bumps followed by dimming of the lights before the descent."/>
    <n v="1"/>
    <n v="0.96153846153846156"/>
    <x v="1"/>
  </r>
  <r>
    <n v="1185"/>
    <x v="1084"/>
    <x v="39"/>
    <x v="0"/>
    <s v="Unknown"/>
    <s v="Porte Alegre, Brazil"/>
    <s v="Panair do Brasil"/>
    <s v="Unknown"/>
    <s v="Rio de Janeiro - Porte Algegre"/>
    <x v="609"/>
    <s v="PP-PCG"/>
    <n v="2962"/>
    <n v="50"/>
    <n v="43"/>
    <n v="7"/>
    <n v="50"/>
    <n v="43"/>
    <n v="7"/>
    <n v="0"/>
    <s v="The aircraft flew into power lines during a landing attempt after running out of fuel while in a holding pattern."/>
    <n v="0"/>
    <n v="1"/>
    <x v="1"/>
  </r>
  <r>
    <n v="1186"/>
    <x v="1085"/>
    <x v="39"/>
    <x v="0"/>
    <s v="Unknown"/>
    <s v="Tunbukta, Algeria"/>
    <s v="Cie Air Transport"/>
    <s v="Unknown"/>
    <s v="Algiers - Gao"/>
    <x v="589"/>
    <s v="F-BENF"/>
    <n v="12738"/>
    <n v="26"/>
    <n v="22"/>
    <n v="4"/>
    <n v="26"/>
    <n v="22"/>
    <n v="4"/>
    <n v="0"/>
    <s v="An explosion in the left wing fuel tank tore off the upper wing surface leading to loss of control of the aircraft."/>
    <n v="0"/>
    <n v="1"/>
    <x v="1"/>
  </r>
  <r>
    <n v="1187"/>
    <x v="1086"/>
    <x v="39"/>
    <x v="0"/>
    <s v="Unknown"/>
    <s v="Algrete, Brazil"/>
    <s v="SAVG (S.A. Viacao Gaucha, ) SAVG"/>
    <s v="Unknown"/>
    <s v="Unknown"/>
    <x v="45"/>
    <s v="Unknown"/>
    <s v="Unknown"/>
    <s v="NULL"/>
    <s v="NULL"/>
    <s v="NULL"/>
    <n v="10"/>
    <s v="NULL"/>
    <s v="NULL"/>
    <s v="NULL"/>
    <s v="No data available"/>
    <s v="NULL"/>
    <n v="0"/>
    <x v="2"/>
  </r>
  <r>
    <n v="1188"/>
    <x v="1086"/>
    <x v="39"/>
    <x v="0"/>
    <d v="1899-12-30T05:44:00"/>
    <s v="Karaganda, Russia"/>
    <s v="Aeroflot"/>
    <s v="Unknown"/>
    <s v="Unknown"/>
    <x v="533"/>
    <s v="L-1803"/>
    <n v="93013302"/>
    <n v="25"/>
    <n v="19"/>
    <n v="6"/>
    <n v="25"/>
    <n v="19"/>
    <n v="6"/>
    <n v="0"/>
    <s v="The plane crashed shortly after taking off when the left engine failed."/>
    <n v="0"/>
    <n v="1"/>
    <x v="1"/>
  </r>
  <r>
    <n v="1189"/>
    <x v="1087"/>
    <x v="39"/>
    <x v="0"/>
    <d v="1899-12-30T22:00:00"/>
    <s v="Near Fairfield, California"/>
    <s v="Military - U.S. Air Force"/>
    <s v="Unknown"/>
    <s v="Unknown"/>
    <x v="610"/>
    <s v="46-87651"/>
    <s v="Unknown"/>
    <n v="20"/>
    <s v="NULL"/>
    <s v="NULL"/>
    <n v="12"/>
    <s v="NULL"/>
    <s v="NULL"/>
    <n v="7"/>
    <s v="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
    <n v="8"/>
    <n v="0.6"/>
    <x v="0"/>
  </r>
  <r>
    <n v="1190"/>
    <x v="1088"/>
    <x v="39"/>
    <x v="0"/>
    <d v="1899-12-30T02:37:00"/>
    <s v="Near Eagle, Colorado"/>
    <s v="American Airlines"/>
    <n v="14"/>
    <s v="Los Angeles - Chicago"/>
    <x v="528"/>
    <s v="N90705"/>
    <s v="42858/9"/>
    <n v="59"/>
    <n v="54"/>
    <n v="5"/>
    <n v="1"/>
    <n v="1"/>
    <n v="0"/>
    <n v="0"/>
    <s v="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quot;"/>
    <n v="58"/>
    <n v="1.6949152542372881E-2"/>
    <x v="2"/>
  </r>
  <r>
    <n v="1191"/>
    <x v="1089"/>
    <x v="39"/>
    <x v="0"/>
    <s v="Unknown"/>
    <s v="Kampong Jenera, Malaysia"/>
    <s v="Military - Royal Air Force"/>
    <s v="Unknown"/>
    <s v="Changi, Singapore - Kota Baru"/>
    <x v="443"/>
    <s v="KN630"/>
    <s v="16538/33286"/>
    <n v="12"/>
    <s v="NULL"/>
    <n v="12"/>
    <n v="12"/>
    <s v="NULL"/>
    <n v="12"/>
    <n v="0"/>
    <s v="The plane crashed in the steep forested foothills in the Gua Musang district."/>
    <n v="0"/>
    <n v="1"/>
    <x v="1"/>
  </r>
  <r>
    <n v="1192"/>
    <x v="1090"/>
    <x v="39"/>
    <x v="0"/>
    <d v="1899-12-30T00:03:00"/>
    <s v="Near Wadi Natrun, Egypt"/>
    <s v="Trans World Airlines"/>
    <n v="903"/>
    <s v="Cairo - Rome"/>
    <x v="611"/>
    <s v="N6004C"/>
    <n v="2636"/>
    <n v="55"/>
    <n v="48"/>
    <n v="7"/>
    <n v="55"/>
    <n v="48"/>
    <n v="7"/>
    <n v="0"/>
    <s v="While en route from Cairo to Rome, witnesses observed the aircraft on fire. After turning back toward Cairo, it crashed and burned. Failure of the rear master rod bearing in the No. 3 engine that led to an uncontrollable fire. The aircraft was named &quot;Star of Maryland.&quot;"/>
    <n v="0"/>
    <n v="1"/>
    <x v="1"/>
  </r>
  <r>
    <n v="1193"/>
    <x v="1091"/>
    <x v="39"/>
    <x v="0"/>
    <d v="1899-12-30T14:10:00"/>
    <s v="Utica, New York"/>
    <s v="Robinson Airlines"/>
    <n v="32"/>
    <s v="Utica, NY - Newark, NJ"/>
    <x v="277"/>
    <s v="N18936"/>
    <n v="2011"/>
    <n v="23"/>
    <n v="20"/>
    <n v="3"/>
    <n v="16"/>
    <n v="13"/>
    <n v="3"/>
    <n v="0"/>
    <s v="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
    <n v="7"/>
    <n v="0.69565217391304346"/>
    <x v="1"/>
  </r>
  <r>
    <n v="1194"/>
    <x v="1092"/>
    <x v="39"/>
    <x v="0"/>
    <s v="Unknown"/>
    <s v="Tehran, Iran"/>
    <s v="Iran Air"/>
    <s v="Unknown"/>
    <s v="Unknown"/>
    <x v="277"/>
    <s v="EP-AAG"/>
    <n v="9813"/>
    <n v="8"/>
    <n v="5"/>
    <n v="3"/>
    <n v="8"/>
    <n v="5"/>
    <n v="3"/>
    <n v="0"/>
    <s v="Crashed during takeoff."/>
    <n v="0"/>
    <n v="1"/>
    <x v="1"/>
  </r>
  <r>
    <n v="1195"/>
    <x v="1093"/>
    <x v="39"/>
    <x v="0"/>
    <d v="1899-12-30T05:20:00"/>
    <s v="Kwajalein, Marshall Islands"/>
    <s v="Military - U.S. Navy"/>
    <s v="Unknown"/>
    <s v="Kwajzalein - Tokyo"/>
    <x v="612"/>
    <n v="56496"/>
    <n v="10624"/>
    <n v="26"/>
    <n v="19"/>
    <n v="7"/>
    <n v="26"/>
    <n v="19"/>
    <n v="7"/>
    <n v="0"/>
    <s v="Crashed into the sea and exploded 3 minutes after taking off from Kwajalein. Possible vertigo experienced by the pilot or malfunction of the instruments."/>
    <n v="0"/>
    <n v="1"/>
    <x v="1"/>
  </r>
  <r>
    <n v="1196"/>
    <x v="1094"/>
    <x v="39"/>
    <x v="0"/>
    <s v="Unknown"/>
    <s v="Near Zagreb, Yugoslavia"/>
    <s v="JAT Yugoslav Airlines"/>
    <s v="Unknown"/>
    <s v="Belgrad - Paula"/>
    <x v="277"/>
    <s v="YU-ABD"/>
    <n v="13311"/>
    <n v="11"/>
    <n v="7"/>
    <n v="4"/>
    <n v="10"/>
    <n v="6"/>
    <n v="4"/>
    <n v="0"/>
    <s v="Crashed during landing."/>
    <n v="1"/>
    <n v="0.90909090909090906"/>
    <x v="1"/>
  </r>
  <r>
    <n v="1197"/>
    <x v="1095"/>
    <x v="39"/>
    <x v="0"/>
    <s v="Unknown"/>
    <s v="Karlstad, Sweden"/>
    <s v="Svenska Aero"/>
    <s v="Unknown"/>
    <s v="Karlstad - Stockholm"/>
    <x v="613"/>
    <s v="SE-BRS"/>
    <n v="1321"/>
    <n v="10"/>
    <n v="9"/>
    <n v="1"/>
    <n v="10"/>
    <n v="9"/>
    <n v="1"/>
    <n v="0"/>
    <s v="Reached an altitude of 200 feet, stalled and crashed to the ground."/>
    <n v="0"/>
    <n v="1"/>
    <x v="1"/>
  </r>
  <r>
    <n v="1198"/>
    <x v="1096"/>
    <x v="39"/>
    <x v="0"/>
    <d v="1899-12-30T01:00:00"/>
    <s v="Near Kyushu Island, Japan"/>
    <s v="Military - U.S. Air Force"/>
    <s v="Unknown"/>
    <s v="Ashiya AB - Kimpo AB"/>
    <x v="466"/>
    <s v="42-72457"/>
    <n v="10562"/>
    <n v="51"/>
    <n v="43"/>
    <n v="8"/>
    <n v="23"/>
    <n v="18"/>
    <n v="5"/>
    <n v="0"/>
    <s v="Crashed in the Korea strait 1mile from the end of the runway after taking off from Ashiya Air Base."/>
    <n v="28"/>
    <n v="0.45098039215686275"/>
    <x v="0"/>
  </r>
  <r>
    <n v="1199"/>
    <x v="1097"/>
    <x v="39"/>
    <x v="0"/>
    <s v="Unknown"/>
    <s v="Almelund, Minnisota"/>
    <s v="Northwest Orient Airlines"/>
    <s v="Unknown"/>
    <s v="Training"/>
    <x v="562"/>
    <s v="NC93037"/>
    <n v="9158"/>
    <n v="6"/>
    <n v="3"/>
    <n v="3"/>
    <n v="6"/>
    <n v="3"/>
    <n v="3"/>
    <n v="0"/>
    <s v="Crashed after making a steep right turn. The unwanted reversal of the right propeller during flight, as a result of which the crew was unable to maintain control of the aircraft."/>
    <n v="0"/>
    <n v="1"/>
    <x v="1"/>
  </r>
  <r>
    <n v="1200"/>
    <x v="1097"/>
    <x v="39"/>
    <x v="0"/>
    <s v="Unknown"/>
    <s v="Casablanca, Morocco"/>
    <s v="Air Atlas"/>
    <s v="Unknown"/>
    <s v="Casablanca -  Algiers"/>
    <x v="277"/>
    <s v="F-BAXM"/>
    <n v="20245"/>
    <n v="7"/>
    <n v="4"/>
    <n v="3"/>
    <n v="4"/>
    <n v="1"/>
    <n v="3"/>
    <n v="0"/>
    <s v="No data available"/>
    <n v="3"/>
    <n v="0.5714285714285714"/>
    <x v="0"/>
  </r>
  <r>
    <n v="1201"/>
    <x v="1098"/>
    <x v="39"/>
    <x v="0"/>
    <s v="Unknown"/>
    <s v="London, England"/>
    <s v="British European Airways"/>
    <s v="Unknown"/>
    <s v="London - Glasgow"/>
    <x v="402"/>
    <s v="G-AGIW"/>
    <n v="12186"/>
    <n v="29"/>
    <n v="24"/>
    <n v="5"/>
    <n v="28"/>
    <n v="24"/>
    <n v="4"/>
    <n v="0"/>
    <s v="Crashed into trees on Mill Hill after engine failure during takeoff. Everyone except one flight attendant was killed."/>
    <n v="1"/>
    <n v="0.96551724137931039"/>
    <x v="1"/>
  </r>
  <r>
    <n v="1202"/>
    <x v="1099"/>
    <x v="39"/>
    <x v="0"/>
    <d v="1899-12-30T19:54:00"/>
    <s v="London Heathrow, England"/>
    <s v="British European Airways"/>
    <s v="Unknown"/>
    <s v="Paris - London"/>
    <x v="614"/>
    <s v="G-AHPN"/>
    <n v="155"/>
    <n v="30"/>
    <n v="26"/>
    <n v="4"/>
    <n v="28"/>
    <n v="24"/>
    <n v="4"/>
    <n v="0"/>
    <s v="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
    <n v="2"/>
    <n v="0.93333333333333335"/>
    <x v="1"/>
  </r>
  <r>
    <n v="1203"/>
    <x v="1100"/>
    <x v="39"/>
    <x v="0"/>
    <d v="1899-12-30T09:43:00"/>
    <s v="Mont Blanc, France"/>
    <s v="Air India"/>
    <n v="245"/>
    <s v="Bombay - Cairo - Geneva - London"/>
    <x v="615"/>
    <s v="VT-CQP"/>
    <n v="2506"/>
    <n v="48"/>
    <n v="40"/>
    <n v="8"/>
    <n v="48"/>
    <n v="40"/>
    <n v="8"/>
    <n v="0"/>
    <s v="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quot;Malabar Princess.&quot;"/>
    <n v="0"/>
    <n v="1"/>
    <x v="1"/>
  </r>
  <r>
    <n v="1204"/>
    <x v="1101"/>
    <x v="39"/>
    <x v="0"/>
    <d v="1899-12-30T08:15:00"/>
    <s v="Near Butte, Montana"/>
    <s v="Northwest Orient Airlines"/>
    <n v="115"/>
    <s v="Helena - Butte"/>
    <x v="562"/>
    <s v="N93040"/>
    <n v="9161"/>
    <n v="21"/>
    <n v="17"/>
    <n v="4"/>
    <n v="21"/>
    <n v="17"/>
    <n v="4"/>
    <n v="0"/>
    <s v="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
    <n v="0"/>
    <n v="1"/>
    <x v="1"/>
  </r>
  <r>
    <n v="1205"/>
    <x v="1102"/>
    <x v="39"/>
    <x v="0"/>
    <d v="1899-12-30T18:00:00"/>
    <s v="Mt.  Tete de L'Obiou, France"/>
    <s v="Curtiss-Reid Flying Services Ltd. (Canada)"/>
    <s v="Unknown"/>
    <s v="Rome - Paris"/>
    <x v="616"/>
    <s v="CF-EDN"/>
    <n v="10518"/>
    <n v="52"/>
    <n v="45"/>
    <n v="7"/>
    <n v="52"/>
    <n v="45"/>
    <n v="7"/>
    <n v="0"/>
    <s v="The aircraft drifted 50 miles off the prescribed route and struck Mt. Tete de l'Obiou at 6,740 feet. The pilot probably realized the deviation and tried to take corrective action but did not see the mountain in time."/>
    <n v="0"/>
    <n v="1"/>
    <x v="1"/>
  </r>
  <r>
    <n v="1206"/>
    <x v="1103"/>
    <x v="39"/>
    <x v="0"/>
    <s v="Unknown"/>
    <s v="Surabaya, Indonesia"/>
    <s v="Garuda Indonesia Airlines"/>
    <s v="Unknown"/>
    <s v="Unknown"/>
    <x v="277"/>
    <s v="PK-DPB"/>
    <n v="19005"/>
    <n v="23"/>
    <n v="20"/>
    <n v="3"/>
    <n v="2"/>
    <n v="0"/>
    <n v="2"/>
    <n v="0"/>
    <s v="Veered off the runway and crashed into a ditch.."/>
    <n v="21"/>
    <n v="8.6956521739130432E-2"/>
    <x v="2"/>
  </r>
  <r>
    <n v="1207"/>
    <x v="1104"/>
    <x v="39"/>
    <x v="0"/>
    <s v="Unknown"/>
    <s v="Near Moran Junction, Wyoming"/>
    <s v="New Tribes Mission"/>
    <s v="Unknown"/>
    <s v="Chico, CA - Billings, WY"/>
    <x v="277"/>
    <s v="N74586"/>
    <n v="19711"/>
    <n v="21"/>
    <n v="18"/>
    <n v="3"/>
    <n v="21"/>
    <n v="18"/>
    <n v="3"/>
    <n v="0"/>
    <s v="The aircraft  crashed into Mt. Moran at 11,200 ft., in a snowstorm while flying in IMC conditions. The accident was attributed to flight into IMC conditions with probable electrical failure due to a malfunctioning voltage regulator."/>
    <n v="0"/>
    <n v="1"/>
    <x v="1"/>
  </r>
  <r>
    <n v="1208"/>
    <x v="1105"/>
    <x v="39"/>
    <x v="0"/>
    <s v="Unknown"/>
    <s v="Cuzco, Peru"/>
    <s v="Faucett"/>
    <s v="Unknown"/>
    <s v="Maldorado - Quincemil"/>
    <x v="277"/>
    <s v="OB-PAU-201"/>
    <s v="15992/32740"/>
    <n v="9"/>
    <n v="5"/>
    <n v="4"/>
    <n v="9"/>
    <n v="5"/>
    <n v="4"/>
    <n v="0"/>
    <s v="Crashed into a hill in poor weather conditions while en route."/>
    <n v="0"/>
    <n v="1"/>
    <x v="1"/>
  </r>
  <r>
    <n v="1209"/>
    <x v="1106"/>
    <x v="39"/>
    <x v="0"/>
    <s v="Unknown"/>
    <s v="Khitka, Bhutan"/>
    <s v="Indamer"/>
    <s v="Unknown"/>
    <s v="Unknown"/>
    <x v="402"/>
    <s v="VT-COI"/>
    <s v="14037/25482"/>
    <n v="3"/>
    <n v="0"/>
    <n v="3"/>
    <n v="3"/>
    <n v="0"/>
    <n v="3"/>
    <n v="0"/>
    <s v="Failure of the pilots to remain alert and maintain a proper look out resulting in the aircraft flying into the side of a hill."/>
    <n v="0"/>
    <n v="1"/>
    <x v="1"/>
  </r>
  <r>
    <n v="1210"/>
    <x v="1107"/>
    <x v="39"/>
    <x v="0"/>
    <s v="Unknown"/>
    <s v="Near Chamaran, Iran"/>
    <s v="Iran Air"/>
    <s v="Unknown"/>
    <s v="Unknown"/>
    <x v="277"/>
    <s v="EP-AAJ"/>
    <n v="13572"/>
    <n v="8"/>
    <n v="7"/>
    <n v="1"/>
    <n v="8"/>
    <n v="7"/>
    <n v="1"/>
    <n v="0"/>
    <s v="Flew into a mountain."/>
    <n v="0"/>
    <n v="1"/>
    <x v="1"/>
  </r>
  <r>
    <n v="1211"/>
    <x v="1108"/>
    <x v="39"/>
    <x v="0"/>
    <s v="Unknown"/>
    <s v="Ruig Piner, France"/>
    <s v="Air Atlas"/>
    <s v="Unknown"/>
    <s v="Casablanca - Perpignan"/>
    <x v="277"/>
    <s v="F-BAXY"/>
    <s v="16100/32848"/>
    <n v="7"/>
    <n v="4"/>
    <n v="3"/>
    <n v="5"/>
    <n v="2"/>
    <n v="3"/>
    <n v="0"/>
    <s v="Flew into a mountain in the Pyrenees."/>
    <n v="2"/>
    <n v="0.7142857142857143"/>
    <x v="1"/>
  </r>
  <r>
    <n v="1212"/>
    <x v="1108"/>
    <x v="39"/>
    <x v="0"/>
    <s v="Unknown"/>
    <s v="Bangui, French Equatorial Africa"/>
    <s v="T.A. Intercontinentaux"/>
    <s v="Unknown"/>
    <s v="Unknown"/>
    <x v="377"/>
    <s v="F-BELB"/>
    <n v="3084"/>
    <n v="56"/>
    <n v="50"/>
    <n v="6"/>
    <n v="46"/>
    <n v="43"/>
    <n v="3"/>
    <n v="0"/>
    <s v="Crashed into a mountain in the Pyrenees 5 minutes after takeoff. Crew error. Excessive low rate of climb at night in an unknown region and premature change of heading."/>
    <n v="10"/>
    <n v="0.8214285714285714"/>
    <x v="1"/>
  </r>
  <r>
    <n v="1213"/>
    <x v="1109"/>
    <x v="39"/>
    <x v="0"/>
    <s v="Unknown"/>
    <s v="Katagiri, India"/>
    <s v="Air India"/>
    <s v="Unknown"/>
    <s v="Unknown"/>
    <x v="277"/>
    <s v="VT-CFK"/>
    <s v="14604/2604"/>
    <n v="21"/>
    <n v="17"/>
    <n v="4"/>
    <n v="21"/>
    <n v="17"/>
    <n v="4"/>
    <n v="0"/>
    <s v="Flew into a mountain due to a navigational error."/>
    <n v="0"/>
    <n v="1"/>
    <x v="1"/>
  </r>
  <r>
    <n v="1214"/>
    <x v="1109"/>
    <x v="39"/>
    <x v="0"/>
    <s v="Unknown"/>
    <s v="Londrina, Brazil"/>
    <s v="VASP"/>
    <s v="Unknown"/>
    <s v="Unknown"/>
    <x v="277"/>
    <s v="PP-SPT"/>
    <n v="20543"/>
    <n v="9"/>
    <s v="NULL"/>
    <s v="NULL"/>
    <n v="9"/>
    <s v="NULL"/>
    <s v="NULL"/>
    <n v="3"/>
    <s v="The aircraft crashed after losing its No. 1 engine on takeoff. Engine failure during takeoff. Pilot error. Short takeoff procedure used on an airfield where such a maneuver was not necessary."/>
    <n v="0"/>
    <n v="1"/>
    <x v="1"/>
  </r>
  <r>
    <n v="1215"/>
    <x v="1110"/>
    <x v="39"/>
    <x v="0"/>
    <s v="Unknown"/>
    <s v="Ribeirao, Brazil"/>
    <s v="VASP"/>
    <s v="Unknown"/>
    <s v="Unknown"/>
    <x v="277"/>
    <s v="Unknown"/>
    <s v="Unknown"/>
    <n v="1"/>
    <n v="0"/>
    <n v="1"/>
    <n v="1"/>
    <n v="0"/>
    <n v="1"/>
    <n v="3"/>
    <s v="Crashed into a house while attempting to take off."/>
    <n v="0"/>
    <n v="1"/>
    <x v="1"/>
  </r>
  <r>
    <n v="1216"/>
    <x v="1111"/>
    <x v="39"/>
    <x v="0"/>
    <d v="1899-12-30T13:30:00"/>
    <s v="Valera, Venezuela"/>
    <s v="Avensa"/>
    <s v="Unknown"/>
    <s v="Merida - Caracas"/>
    <x v="383"/>
    <s v="YC-C-AVU"/>
    <n v="4432"/>
    <n v="31"/>
    <n v="28"/>
    <n v="3"/>
    <n v="31"/>
    <n v="28"/>
    <n v="3"/>
    <n v="0"/>
    <s v="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
    <n v="0"/>
    <n v="1"/>
    <x v="1"/>
  </r>
  <r>
    <n v="1217"/>
    <x v="1112"/>
    <x v="39"/>
    <x v="0"/>
    <d v="1899-12-30T07:30:00"/>
    <s v="Near Baguio, Philippines"/>
    <s v="Military - U.S. Air Force"/>
    <s v="Unknown"/>
    <s v="Naha AB - Clark AB"/>
    <x v="617"/>
    <s v="44-9096"/>
    <n v="27322"/>
    <n v="38"/>
    <n v="31"/>
    <n v="7"/>
    <n v="38"/>
    <n v="31"/>
    <n v="7"/>
    <n v="0"/>
    <s v="Proceeding on instruments, the aircraft crashed into Mt. Tabayoc while en route.  Navigation error."/>
    <n v="0"/>
    <n v="1"/>
    <x v="1"/>
  </r>
  <r>
    <n v="1218"/>
    <x v="1113"/>
    <x v="39"/>
    <x v="0"/>
    <d v="1899-12-30T13:53:00"/>
    <s v="Penticton, British Columbia, Canada"/>
    <s v="Canadian Pacific Air Lines"/>
    <n v="4"/>
    <s v="Vancouver - Penticton"/>
    <x v="277"/>
    <s v="CF-CUF"/>
    <n v="12855"/>
    <n v="18"/>
    <n v="15"/>
    <n v="3"/>
    <n v="2"/>
    <n v="0"/>
    <n v="2"/>
    <n v="0"/>
    <s v="Struck trees on  Mt. Okanagan while making an approach to Penticton. Drifted below the minimum altitude permissible."/>
    <n v="16"/>
    <n v="0.1111111111111111"/>
    <x v="2"/>
  </r>
  <r>
    <n v="1219"/>
    <x v="1114"/>
    <x v="39"/>
    <x v="0"/>
    <s v="Unknown"/>
    <s v="Santiago del Estado, Argentina"/>
    <s v="Aerolineas Argentinas"/>
    <s v="Unknown"/>
    <s v="Mar del Plata - Buenos"/>
    <x v="277"/>
    <s v="LV-ACH"/>
    <n v="13027"/>
    <n v="18"/>
    <n v="13"/>
    <n v="5"/>
    <n v="17"/>
    <n v="12"/>
    <n v="5"/>
    <n v="0"/>
    <s v="Crashed 60 miles north of the airport after taking off from Mar del Plata."/>
    <n v="1"/>
    <n v="0.94444444444444442"/>
    <x v="1"/>
  </r>
  <r>
    <n v="1220"/>
    <x v="1115"/>
    <x v="40"/>
    <x v="0"/>
    <d v="1899-12-30T14:50:00"/>
    <s v="Ixopo, South Africa"/>
    <s v="United Airways"/>
    <s v="Unknown"/>
    <s v="Margate - Ladysmith - Johannesburg"/>
    <x v="551"/>
    <s v="ZS-DDW"/>
    <n v="4017"/>
    <n v="12"/>
    <n v="10"/>
    <n v="2"/>
    <n v="12"/>
    <n v="10"/>
    <n v="2"/>
    <n v="0"/>
    <s v="Broke up in turbulence."/>
    <n v="0"/>
    <n v="1"/>
    <x v="1"/>
  </r>
  <r>
    <n v="1221"/>
    <x v="1116"/>
    <x v="40"/>
    <x v="0"/>
    <s v="Unknown"/>
    <s v="Mt. Bukit, Besar,Thailand"/>
    <s v="Air Carriers"/>
    <s v="Unknown"/>
    <s v="Butterworth - Kota Bharu"/>
    <x v="277"/>
    <s v="VR-HEP"/>
    <s v="15782/32530"/>
    <n v="10"/>
    <n v="7"/>
    <n v="3"/>
    <n v="10"/>
    <n v="7"/>
    <n v="3"/>
    <n v="0"/>
    <s v="Crashed into Bukit Besar Mountain while en route."/>
    <n v="0"/>
    <n v="1"/>
    <x v="1"/>
  </r>
  <r>
    <n v="1222"/>
    <x v="1117"/>
    <x v="40"/>
    <x v="0"/>
    <d v="1899-12-30T14:13:00"/>
    <s v="Philadelphia, Pennsylvania"/>
    <s v="National Airlines"/>
    <n v="83"/>
    <s v="Newark - Philadelphia"/>
    <x v="479"/>
    <s v="N74685"/>
    <n v="43102"/>
    <n v="28"/>
    <n v="25"/>
    <n v="3"/>
    <n v="7"/>
    <n v="6"/>
    <n v="1"/>
    <n v="0"/>
    <s v="The plane overshot the landing, ran into a ditch and caught fire. Pilot error in electing to land long, on a wet and snow covered runway instead of executing a missed approach."/>
    <n v="21"/>
    <n v="0.25"/>
    <x v="2"/>
  </r>
  <r>
    <n v="1223"/>
    <x v="1118"/>
    <x v="40"/>
    <x v="0"/>
    <d v="1899-12-30T12:14:00"/>
    <s v="Near Reardan, Washington"/>
    <s v="Northwest Orient Airlines"/>
    <n v="115"/>
    <s v="Minneapolis - Seattle"/>
    <x v="562"/>
    <s v="N93054"/>
    <n v="9144"/>
    <n v="10"/>
    <n v="7"/>
    <n v="3"/>
    <n v="10"/>
    <n v="7"/>
    <n v="3"/>
    <n v="0"/>
    <s v="While cruising at 6,000 ft.,  the aircraft when out of control and into a dive, hitting the ground at 340 mph.  Officially the cause was never determined.  Possible in-flight fire, explosion, structural failure or conrol system failure."/>
    <n v="0"/>
    <n v="1"/>
    <x v="1"/>
  </r>
  <r>
    <n v="1224"/>
    <x v="1119"/>
    <x v="40"/>
    <x v="0"/>
    <d v="1899-12-30T14:36:00"/>
    <s v="Near Civitavecchia, Italy"/>
    <s v="Alitalia"/>
    <s v="Unknown"/>
    <s v="Paris - Rome"/>
    <x v="618"/>
    <s v="I-DALO"/>
    <n v="10"/>
    <n v="17"/>
    <n v="12"/>
    <n v="5"/>
    <n v="14"/>
    <n v="10"/>
    <n v="4"/>
    <n v="0"/>
    <s v="The aircraft plunged to the ground from 6,500 feet after being struck by lightning. Lightning ignited a mixture of air and fuel fumes in the fuel tank."/>
    <n v="3"/>
    <n v="0.82352941176470584"/>
    <x v="1"/>
  </r>
  <r>
    <n v="1225"/>
    <x v="1120"/>
    <x v="40"/>
    <x v="0"/>
    <s v="Unknown"/>
    <s v="Huilyo, Peru"/>
    <s v="Military - TAM"/>
    <s v="Unknown"/>
    <s v="Unknown"/>
    <x v="277"/>
    <s v="Unknown"/>
    <s v="Unknown"/>
    <s v="NULL"/>
    <s v="NULL"/>
    <s v="NULL"/>
    <n v="16"/>
    <s v="NULL"/>
    <s v="NULL"/>
    <s v="NULL"/>
    <s v="No data available"/>
    <s v="NULL"/>
    <n v="0"/>
    <x v="2"/>
  </r>
  <r>
    <n v="1226"/>
    <x v="1121"/>
    <x v="40"/>
    <x v="0"/>
    <d v="1899-12-30T08:40:00"/>
    <s v="Near An tung, Taiwan"/>
    <s v="Military -Royal Air Force"/>
    <s v="Unknown"/>
    <s v="Hong Kong - Iwakuni"/>
    <x v="619"/>
    <s v="PP107"/>
    <s v="Unknown"/>
    <n v="14"/>
    <n v="7"/>
    <n v="7"/>
    <n v="14"/>
    <n v="7"/>
    <n v="7"/>
    <n v="0"/>
    <s v="Crashed into mountainous terrain while en route. Most likely weather related."/>
    <n v="0"/>
    <n v="1"/>
    <x v="1"/>
  </r>
  <r>
    <n v="1227"/>
    <x v="1122"/>
    <x v="40"/>
    <x v="0"/>
    <d v="1899-12-30T16:45:00"/>
    <s v="Off Hafnarfjorour, Iceland"/>
    <s v="Icelandair"/>
    <s v="Unknown"/>
    <s v="Vestmannaeyar Island - ReykjavÃ­k"/>
    <x v="277"/>
    <s v="TF-ISG"/>
    <n v="12482"/>
    <n v="20"/>
    <n v="17"/>
    <n v="3"/>
    <n v="20"/>
    <n v="17"/>
    <n v="3"/>
    <n v="0"/>
    <s v="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
    <n v="0"/>
    <n v="1"/>
    <x v="1"/>
  </r>
  <r>
    <n v="1228"/>
    <x v="1123"/>
    <x v="40"/>
    <x v="0"/>
    <s v="Unknown"/>
    <s v="Off Terceira, Portugal"/>
    <s v="Military - Portuguese Air Force"/>
    <s v="Unknown"/>
    <s v="Unknown"/>
    <x v="450"/>
    <n v="282"/>
    <s v="Unknown"/>
    <n v="14"/>
    <s v="NULL"/>
    <s v="NULL"/>
    <n v="14"/>
    <s v="NULL"/>
    <s v="NULL"/>
    <n v="0"/>
    <s v="Ditched in the ocean while on approach."/>
    <n v="0"/>
    <n v="1"/>
    <x v="1"/>
  </r>
  <r>
    <n v="1229"/>
    <x v="1124"/>
    <x v="40"/>
    <x v="0"/>
    <d v="1899-12-30T14:30:00"/>
    <s v="Near Mt. Cameroun, Buea, Nigeria"/>
    <s v="Air France"/>
    <s v="Unknown"/>
    <s v="Douala - Niamey"/>
    <x v="487"/>
    <s v="F-BBDO"/>
    <n v="42992"/>
    <n v="29"/>
    <n v="23"/>
    <n v="6"/>
    <n v="29"/>
    <n v="23"/>
    <n v="6"/>
    <n v="0"/>
    <s v="Crashed into a mountain at 8,500 feet. Navigation error. Incorrect procedures followed by crew. The crew followed a different and inaccurate course."/>
    <n v="0"/>
    <n v="1"/>
    <x v="1"/>
  </r>
  <r>
    <n v="1230"/>
    <x v="1125"/>
    <x v="40"/>
    <x v="0"/>
    <s v="Unknown"/>
    <s v="Yali, Colombia"/>
    <s v="Lineas AÃ©reas Nacionales"/>
    <s v="Unknown"/>
    <s v="MedellÃ­n - Barranquilla"/>
    <x v="425"/>
    <s v="HK-333"/>
    <n v="49"/>
    <n v="2"/>
    <n v="0"/>
    <n v="2"/>
    <n v="2"/>
    <n v="0"/>
    <n v="2"/>
    <n v="0"/>
    <s v="En route, the cargo plane hit the slope of a mountain located 12 km from YalÃ­."/>
    <n v="0"/>
    <n v="1"/>
    <x v="1"/>
  </r>
  <r>
    <n v="1231"/>
    <x v="1126"/>
    <x v="40"/>
    <x v="0"/>
    <d v="1899-12-30T09:12:00"/>
    <s v="Sioux City, Iowa"/>
    <s v="Mid Continent Airlines"/>
    <n v="16"/>
    <s v="Kansas City, MO - Omaha, NB - Sioux City, Iowa"/>
    <x v="277"/>
    <s v="N19928"/>
    <n v="7400"/>
    <n v="25"/>
    <n v="21"/>
    <n v="4"/>
    <n v="16"/>
    <n v="13"/>
    <n v="3"/>
    <n v="0"/>
    <s v="After a missed ILS approach , the pilot stalled the plane and crashed in poor weather conditions. A stall during a left turn too close to the ground to effect a recovery. Pilot error."/>
    <n v="9"/>
    <n v="0.64"/>
    <x v="0"/>
  </r>
  <r>
    <n v="1232"/>
    <x v="1127"/>
    <x v="40"/>
    <x v="0"/>
    <s v="Unknown"/>
    <s v="Mt. Butler, Hong Kong"/>
    <s v="Pacific Overseas Airways"/>
    <s v="Unknown"/>
    <s v="Hong Kong - Bangkok"/>
    <x v="487"/>
    <s v="HS-POS"/>
    <n v="10396"/>
    <n v="24"/>
    <n v="20"/>
    <n v="4"/>
    <n v="24"/>
    <n v="20"/>
    <n v="4"/>
    <n v="0"/>
    <s v="Crashed into hills shortly after takeoff. Crew error. The pilot taking off under VFR, lost visual contact with the ground and attempted to return to IFR procedure too late to avoid the hills. The aircraft was named &quot;City of Ayudhya.&quot;"/>
    <n v="0"/>
    <n v="1"/>
    <x v="1"/>
  </r>
  <r>
    <n v="1233"/>
    <x v="1128"/>
    <x v="40"/>
    <x v="0"/>
    <d v="1899-12-30T17:20:00"/>
    <s v="Corozal, Colombia"/>
    <s v="LANSA"/>
    <s v="Unknown"/>
    <s v="San Marcos - Cartagena"/>
    <x v="368"/>
    <s v="HK-315"/>
    <n v="9073"/>
    <n v="29"/>
    <n v="26"/>
    <n v="3"/>
    <n v="29"/>
    <n v="26"/>
    <n v="3"/>
    <n v="0"/>
    <s v="aircraft later crashed in an uninhabited area located near Hato Nuevo after encountering thunderstorms."/>
    <n v="0"/>
    <n v="1"/>
    <x v="1"/>
  </r>
  <r>
    <n v="1234"/>
    <x v="1129"/>
    <x v="40"/>
    <x v="0"/>
    <d v="1899-12-30T17:30:00"/>
    <s v="Off Florianopolis, Brazil"/>
    <s v="Cruzeiro"/>
    <s v="Unknown"/>
    <s v=" Rio de Janeiro - SÃ£o Paulo - Curitiba - FlorianÃ³polis"/>
    <x v="277"/>
    <s v="PP-CCX"/>
    <n v="7341"/>
    <n v="14"/>
    <n v="10"/>
    <n v="4"/>
    <n v="3"/>
    <n v="3"/>
    <n v="0"/>
    <n v="0"/>
    <s v="The No. 2 engine failed on a go-around in reduced visibility and rain and the aircraft crashed into the ocean."/>
    <n v="11"/>
    <n v="0.21428571428571427"/>
    <x v="2"/>
  </r>
  <r>
    <n v="1235"/>
    <x v="1130"/>
    <x v="40"/>
    <x v="0"/>
    <d v="1899-12-30T00:50:00"/>
    <s v="Over the North Atlantic"/>
    <s v="Military - U.S. Air Force"/>
    <s v="Unknown"/>
    <s v="Loring AFB - Lakeheath AFB"/>
    <x v="620"/>
    <s v="49-0244"/>
    <n v="43173"/>
    <n v="53"/>
    <n v="48"/>
    <n v="5"/>
    <n v="53"/>
    <n v="48"/>
    <n v="5"/>
    <n v="0"/>
    <s v="The aircraft may have suffered an catastrophic explosion and crashed into the sea approximately 450 miles west of Limerick, Ireland. Early report of life rafts and survivors turned out to be incorrect. Cause unknown."/>
    <n v="0"/>
    <n v="1"/>
    <x v="1"/>
  </r>
  <r>
    <n v="1236"/>
    <x v="1131"/>
    <x v="40"/>
    <x v="0"/>
    <d v="1899-12-30T04:42:00"/>
    <s v=" Irkutsk, Russia"/>
    <s v="Aeroflot"/>
    <s v="Unknown"/>
    <s v="Irkutsk - Chita - Yakutsk"/>
    <x v="420"/>
    <s v="CCCP-L4790"/>
    <s v="184 341 04"/>
    <n v="13"/>
    <n v="9"/>
    <n v="4"/>
    <n v="12"/>
    <n v="8"/>
    <n v="4"/>
    <n v="0"/>
    <s v="The third cylinder of the right engine failed in flight, causing the engine to catch fire. With one engine inoperative and flying in icing conditions and turbulence, the aircraft was unable to maintain height, hit trees and crashed."/>
    <n v="1"/>
    <n v="0.92307692307692313"/>
    <x v="1"/>
  </r>
  <r>
    <n v="1237"/>
    <x v="1132"/>
    <x v="40"/>
    <x v="0"/>
    <s v="Unknown"/>
    <s v="Rio Grande, Argentina"/>
    <s v="Aerolineas Argentinas"/>
    <s v="Unknown"/>
    <s v="Ushuaia - RÃ­o Grande - Buenos Aires"/>
    <x v="277"/>
    <s v="LV-ACY"/>
    <n v="12291"/>
    <n v="24"/>
    <n v="20"/>
    <n v="4"/>
    <n v="11"/>
    <n v="8"/>
    <n v="3"/>
    <n v="2"/>
    <s v="On final approach to RÃ­o Grande Airport, the aircraft stalled and crashed in a fieldlshort of runway."/>
    <n v="13"/>
    <n v="0.45833333333333331"/>
    <x v="0"/>
  </r>
  <r>
    <n v="1238"/>
    <x v="1133"/>
    <x v="40"/>
    <x v="0"/>
    <s v="Unknown"/>
    <s v="Manchester, England"/>
    <s v="Air Transport Charter"/>
    <s v="Unknown"/>
    <s v="Manchester - Belfast"/>
    <x v="621"/>
    <s v="G-AJVZ"/>
    <n v="19361"/>
    <n v="3"/>
    <n v="0"/>
    <n v="3"/>
    <n v="2"/>
    <n v="0"/>
    <n v="2"/>
    <n v="0"/>
    <s v="The inability of the aircraft to gain height shortly after becoming airborne, due to loss of engine power caused by ice formation in the carburetor intakes attributable to the captain's failure to make use of the heat controls."/>
    <n v="1"/>
    <n v="0.66666666666666663"/>
    <x v="1"/>
  </r>
  <r>
    <n v="1239"/>
    <x v="1134"/>
    <x v="40"/>
    <x v="0"/>
    <s v="Unknown"/>
    <s v="Bogota, Colombia"/>
    <s v="AVIANCA"/>
    <s v="Unknown"/>
    <s v="Unknown"/>
    <x v="277"/>
    <s v="HK-142"/>
    <n v="1957"/>
    <n v="26"/>
    <n v="24"/>
    <n v="2"/>
    <n v="26"/>
    <n v="24"/>
    <n v="2"/>
    <n v="0"/>
    <s v="On final approach to Techo Airport, the aircraft went out of control and crashed in an explosion short of runway."/>
    <n v="0"/>
    <n v="1"/>
    <x v="1"/>
  </r>
  <r>
    <n v="1240"/>
    <x v="1135"/>
    <x v="40"/>
    <x v="0"/>
    <d v="1899-12-30T20:30:00"/>
    <s v="Refugio Pass, near Santa Barbara, California"/>
    <s v="Southwest Airways"/>
    <n v="7"/>
    <s v="Santa Maria - Santa Barbara - Oxnard - Los Angeles"/>
    <x v="277"/>
    <s v="N63439"/>
    <n v="20229"/>
    <n v="22"/>
    <n v="19"/>
    <n v="3"/>
    <n v="22"/>
    <n v="19"/>
    <n v="3"/>
    <n v="0"/>
    <s v="The plane crashed into the north slope of Santa Ynez peak, 23 miles northwest of Santa Barbara, in poor weather. Failure of the crew to maintain minimum altitude for the route being flown for reasons unknown."/>
    <n v="0"/>
    <n v="1"/>
    <x v="1"/>
  </r>
  <r>
    <n v="1241"/>
    <x v="1136"/>
    <x v="40"/>
    <x v="0"/>
    <d v="1899-12-30T11:35:00"/>
    <s v="Near Charleston, West Virginia"/>
    <s v="Military - U.S. Air Force"/>
    <s v="Unknown"/>
    <s v="Godman AFB - Charleston, WV"/>
    <x v="430"/>
    <s v="43-48298"/>
    <n v="25559"/>
    <n v="21"/>
    <n v="18"/>
    <n v="3"/>
    <n v="21"/>
    <n v="18"/>
    <n v="3"/>
    <n v="0"/>
    <s v="The aircraft crashed into a wooded area, 8 miles NE of Charlston, after making a final turn to land at Kanawha County Airport. Both wings were sheared off and the aircraft burst into flames."/>
    <n v="0"/>
    <n v="1"/>
    <x v="1"/>
  </r>
  <r>
    <n v="1242"/>
    <x v="1137"/>
    <x v="40"/>
    <x v="0"/>
    <s v="Unknown"/>
    <s v="Cape d'Arguilar, Hong Kong"/>
    <s v="Siamese Airways"/>
    <s v="Unknown"/>
    <s v="Bangkok - Hong Kong"/>
    <x v="277"/>
    <s v="HS-SAE"/>
    <s v="Unknown"/>
    <n v="16"/>
    <n v="11"/>
    <n v="5"/>
    <n v="16"/>
    <n v="11"/>
    <n v="5"/>
    <n v="0"/>
    <s v="The pilot lost control of the aircraft while attempting too steep a turn and too  low a speed while making an approach at night in dense fog and rain and struck the ground."/>
    <n v="0"/>
    <n v="1"/>
    <x v="1"/>
  </r>
  <r>
    <n v="1243"/>
    <x v="1138"/>
    <x v="40"/>
    <x v="0"/>
    <d v="1899-12-30T11:49:00"/>
    <s v="Key West, Florida"/>
    <s v="Cubana de Aviacion / Military -  US Navy"/>
    <n v="493"/>
    <s v="Miami - Havana"/>
    <x v="622"/>
    <s v="CU-T188/39939"/>
    <n v="10368"/>
    <n v="43"/>
    <n v="34"/>
    <n v="9"/>
    <n v="43"/>
    <n v="34"/>
    <n v="9"/>
    <n v="0"/>
    <s v="The plane, on a flight from Miami to Cuba, collided with a US Navy Beechcraft at 4,000 feet. Thirty-nine killed on the DC-4, four killed on the Beechcraft.  Failure of both crews to maintain sufficient vigilance under VFR conditions to prevent a collision."/>
    <n v="0"/>
    <n v="1"/>
    <x v="1"/>
  </r>
  <r>
    <n v="1244"/>
    <x v="1139"/>
    <x v="40"/>
    <x v="0"/>
    <d v="1899-12-30T19:32:00"/>
    <s v="Fort Wayne, Indiana"/>
    <s v="United Air Lines"/>
    <n v="129"/>
    <s v="Cleveland - Fort Wayne - South Bend - Chicago"/>
    <x v="277"/>
    <s v="N16088"/>
    <n v="1927"/>
    <n v="11"/>
    <n v="8"/>
    <n v="3"/>
    <n v="11"/>
    <n v="8"/>
    <n v="3"/>
    <n v="0"/>
    <s v="The aircraft crashed after being caught in a squall line with 65-85 mph winds and heavy rain. Windshear. The severe downdraft encountered which caused the aircraft to strike the ground in a near level attitude."/>
    <n v="0"/>
    <n v="1"/>
    <x v="1"/>
  </r>
  <r>
    <n v="1245"/>
    <x v="1140"/>
    <x v="40"/>
    <x v="0"/>
    <d v="1899-12-30T12:30:00"/>
    <s v="Near Albuquerque, New Mexico"/>
    <s v="Military - U.S. Air Force"/>
    <s v="Unknown"/>
    <s v="Carswell - Kirtland"/>
    <x v="623"/>
    <s v="49-2660"/>
    <n v="117"/>
    <n v="25"/>
    <n v="0"/>
    <n v="25"/>
    <n v="23"/>
    <n v="0"/>
    <n v="23"/>
    <n v="0"/>
    <s v="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
    <n v="2"/>
    <n v="0.92"/>
    <x v="1"/>
  </r>
  <r>
    <n v="1246"/>
    <x v="1141"/>
    <x v="40"/>
    <x v="0"/>
    <d v="1899-12-30T14:12:00"/>
    <s v="Bordeaux, France"/>
    <s v="Hunting Air Travel"/>
    <s v="Unknown"/>
    <s v="Gibraltar - Bordeaux - Bovingdon"/>
    <x v="624"/>
    <s v="G-AHPD"/>
    <n v="134"/>
    <n v="32"/>
    <n v="27"/>
    <n v="5"/>
    <n v="2"/>
    <n v="0"/>
    <n v="2"/>
    <n v="0"/>
    <s v="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
    <n v="30"/>
    <n v="6.25E-2"/>
    <x v="2"/>
  </r>
  <r>
    <n v="1247"/>
    <x v="1142"/>
    <x v="40"/>
    <x v="0"/>
    <d v="1899-12-30T19:10:00"/>
    <s v="Rancharia,  Brazil"/>
    <s v="VASP"/>
    <s v="Unknown"/>
    <s v="Santa Cruz de Rio Prado - Presidente Prudent"/>
    <x v="277"/>
    <s v="PP-SPL"/>
    <s v="17011/34274"/>
    <n v="7"/>
    <n v="4"/>
    <n v="3"/>
    <n v="7"/>
    <n v="4"/>
    <n v="3"/>
    <n v="0"/>
    <s v="Hit a mountain in fog about 8 km from Rancheria.. Pilot's decision to fly VFR in unfavorable weather conditions."/>
    <n v="0"/>
    <n v="1"/>
    <x v="1"/>
  </r>
  <r>
    <n v="1248"/>
    <x v="1143"/>
    <x v="40"/>
    <x v="0"/>
    <d v="1899-12-30T13:45:00"/>
    <s v="New Boston, Texas"/>
    <s v="Military - U.S. Air Force"/>
    <s v="Unknown"/>
    <s v="Fort Campbell - Lawton"/>
    <x v="625"/>
    <s v="45-57761"/>
    <n v="10131"/>
    <n v="10"/>
    <n v="0"/>
    <n v="10"/>
    <n v="10"/>
    <n v="0"/>
    <n v="10"/>
    <n v="0"/>
    <s v="Struck by lightning and crashed."/>
    <n v="0"/>
    <n v="1"/>
    <x v="1"/>
  </r>
  <r>
    <n v="1249"/>
    <x v="1144"/>
    <x v="40"/>
    <x v="0"/>
    <d v="1899-12-30T17:40:00"/>
    <s v="Rio de Janeiro, Brazil"/>
    <s v="Lineas AÃ©reas Trans. Brasileira"/>
    <s v="Unknown"/>
    <s v="Vitoria - Rio de Janeiro"/>
    <x v="537"/>
    <s v="PP-NAL"/>
    <n v="42979"/>
    <n v="19"/>
    <n v="16"/>
    <n v="3"/>
    <n v="2"/>
    <n v="1"/>
    <n v="1"/>
    <n v="0"/>
    <s v="Crashed into high ground while on a VFR apporach in IFR conditions. The pilot attempted a descent over an area where the minimum safe altitude was 1,200 ft."/>
    <n v="17"/>
    <n v="0.10526315789473684"/>
    <x v="2"/>
  </r>
  <r>
    <n v="1250"/>
    <x v="1145"/>
    <x v="40"/>
    <x v="0"/>
    <d v="1899-12-30T06:00:00"/>
    <s v="Medellin, Colombia"/>
    <s v="Sociedad Aeronautica Medellin"/>
    <s v="Unknown"/>
    <s v="MedellÃ­n - Cartagena"/>
    <x v="402"/>
    <s v="HK-504"/>
    <n v="10062"/>
    <n v="3"/>
    <n v="0"/>
    <n v="3"/>
    <n v="3"/>
    <n v="0"/>
    <n v="3"/>
    <n v="0"/>
    <s v=" While approaching the airfield for an emergency landing, the airplane hit the chimney of the TejÃ­condor factory located in the suburb of BelÃ©n, stalled and crashed in a huge explosion."/>
    <n v="0"/>
    <n v="1"/>
    <x v="1"/>
  </r>
  <r>
    <n v="1251"/>
    <x v="1146"/>
    <x v="40"/>
    <x v="0"/>
    <d v="1899-12-30T03:25:00"/>
    <s v="Near Sanoyea, Liberia"/>
    <s v="Pan American World Airways"/>
    <n v="151"/>
    <s v="Johannesburg - Accra - Monrovia - New York"/>
    <x v="609"/>
    <s v="N88846"/>
    <n v="2046"/>
    <n v="40"/>
    <n v="31"/>
    <n v="9"/>
    <n v="40"/>
    <n v="31"/>
    <n v="9"/>
    <n v="0"/>
    <s v="The plane crashed into a hill at 1000 ft. in a level descending attitude, 54 miles from the airport. The pilot descended below en route minimum altitude without knowing the aircraft's position. The aircraft was named Clipper Great Republic."/>
    <n v="0"/>
    <n v="1"/>
    <x v="1"/>
  </r>
  <r>
    <n v="1252"/>
    <x v="1147"/>
    <x v="40"/>
    <x v="0"/>
    <s v="Unknown"/>
    <s v="Near Rijeka, Yugoslavia"/>
    <s v="JAT Yugoslav Airlines"/>
    <s v="Unknown"/>
    <s v="Rejeka - Zagreb"/>
    <x v="424"/>
    <s v="YU-ACE"/>
    <n v="316"/>
    <n v="14"/>
    <n v="11"/>
    <n v="3"/>
    <n v="14"/>
    <n v="11"/>
    <n v="3"/>
    <n v="0"/>
    <s v="The plane encountered poor weather conditions with thunderstorm activity and turbulence leading to loss of control and crash."/>
    <n v="0"/>
    <n v="1"/>
    <x v="1"/>
  </r>
  <r>
    <n v="1253"/>
    <x v="1148"/>
    <x v="40"/>
    <x v="0"/>
    <d v="1899-12-30T02:00:00"/>
    <s v="Rocky Mountain Nat. Park, near Ft. Collins, Colorado"/>
    <s v="United Air Lines"/>
    <n v="610"/>
    <s v="Salt Lake City - Denver"/>
    <x v="626"/>
    <s v="N37543"/>
    <s v="43144/155"/>
    <n v="50"/>
    <n v="45"/>
    <n v="5"/>
    <n v="50"/>
    <n v="45"/>
    <n v="5"/>
    <n v="0"/>
    <s v="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
    <n v="0"/>
    <n v="1"/>
    <x v="1"/>
  </r>
  <r>
    <n v="1254"/>
    <x v="1149"/>
    <x v="40"/>
    <x v="0"/>
    <d v="1899-12-30T22:45:00"/>
    <s v="Lyneham AFB, England"/>
    <s v="Military - Royal Air Force"/>
    <s v="Unknown"/>
    <s v="Luqa - Lyneham - Dishforth"/>
    <x v="627"/>
    <s v="VW194"/>
    <n v="350"/>
    <n v="10"/>
    <n v="0"/>
    <n v="10"/>
    <n v="10"/>
    <n v="0"/>
    <n v="10"/>
    <n v="0"/>
    <s v="One engine caught fire. The propellers of the working engine were feathered in error. The plane crashed."/>
    <n v="0"/>
    <n v="1"/>
    <x v="1"/>
  </r>
  <r>
    <n v="1255"/>
    <x v="1149"/>
    <x v="40"/>
    <x v="0"/>
    <s v="Unknown"/>
    <s v="Near Tezpur, India"/>
    <s v="Indamer"/>
    <s v="Unknown"/>
    <s v="Calcutta - Tezpur"/>
    <x v="443"/>
    <s v="VT-CHT"/>
    <n v="20662"/>
    <n v="3"/>
    <n v="0"/>
    <n v="3"/>
    <n v="3"/>
    <n v="0"/>
    <n v="3"/>
    <n v="0"/>
    <s v="The cargo plane hit the slope of a mountain."/>
    <n v="0"/>
    <n v="1"/>
    <x v="1"/>
  </r>
  <r>
    <n v="1256"/>
    <x v="1149"/>
    <x v="40"/>
    <x v="0"/>
    <s v="Unknown"/>
    <s v="Aracaju, Brazil"/>
    <s v="Loide Aereo Nacional"/>
    <s v="Unknown"/>
    <s v="Natal - Recife - MaceiÃ³ - Aracaju"/>
    <x v="277"/>
    <s v="PP-LPG"/>
    <s v="14822/26267"/>
    <n v="33"/>
    <n v="28"/>
    <n v="5"/>
    <n v="33"/>
    <n v="28"/>
    <n v="5"/>
    <n v="0"/>
    <s v="Crashed during a landing attempt in adverse weather conditions under VFR and hit high ground. The pilot attempted a visual approach and made a turn at low altitude in adverse weather conditions."/>
    <n v="0"/>
    <n v="1"/>
    <x v="1"/>
  </r>
  <r>
    <n v="1257"/>
    <x v="1150"/>
    <x v="40"/>
    <x v="0"/>
    <d v="1899-12-30T09:07:00"/>
    <s v="Off Lae, New Guinea"/>
    <s v="Qantas"/>
    <s v="Unknown"/>
    <s v="Wau - Bulolo - Lae"/>
    <x v="628"/>
    <s v="VH-EBQ"/>
    <n v="5003"/>
    <n v="7"/>
    <n v="5"/>
    <n v="2"/>
    <n v="7"/>
    <n v="5"/>
    <n v="2"/>
    <n v="0"/>
    <s v="Crashed into the Huon Gulf after the center propeller failed."/>
    <n v="0"/>
    <n v="1"/>
    <x v="1"/>
  </r>
  <r>
    <n v="1258"/>
    <x v="1151"/>
    <x v="40"/>
    <x v="0"/>
    <s v="Unknown"/>
    <s v="Thudamot, China"/>
    <s v="Air Outre-Mer"/>
    <s v="Unknown"/>
    <s v="Pakse - Saigon"/>
    <x v="402"/>
    <s v="F-OABX"/>
    <n v="19634"/>
    <n v="3"/>
    <n v="0"/>
    <n v="3"/>
    <n v="3"/>
    <n v="0"/>
    <n v="3"/>
    <n v="0"/>
    <s v="The cargo plane crashed in a field while attempting to land.."/>
    <n v="0"/>
    <n v="1"/>
    <x v="1"/>
  </r>
  <r>
    <n v="1259"/>
    <x v="1152"/>
    <x v="40"/>
    <x v="0"/>
    <d v="1899-12-30T22:55:00"/>
    <s v="Near Sitka, Alaska"/>
    <s v="Canadian Pacific Air Lines"/>
    <s v="Unknown"/>
    <s v="Vancouver - Tokyo"/>
    <x v="377"/>
    <s v="CF-CPC"/>
    <n v="10327"/>
    <n v="37"/>
    <n v="31"/>
    <n v="6"/>
    <n v="37"/>
    <n v="31"/>
    <n v="6"/>
    <n v="0"/>
    <s v="Disappeared with no trace over the Pacific Ocean while flying from Vancouver to Tokyo. The last message was received while the aircraft was near Yakutat, Alaska with no reports of probems. Cause undetermined."/>
    <n v="0"/>
    <n v="1"/>
    <x v="1"/>
  </r>
  <r>
    <n v="1260"/>
    <x v="1153"/>
    <x v="40"/>
    <x v="0"/>
    <d v="1899-12-30T05:45:00"/>
    <s v="Gao, Mali"/>
    <s v="Sabena"/>
    <s v="Unknown"/>
    <s v="Brussels - Gao - LÃ©opoldville"/>
    <x v="277"/>
    <s v="OO-CBA"/>
    <n v="6327"/>
    <n v="3"/>
    <n v="0"/>
    <n v="3"/>
    <n v="3"/>
    <n v="0"/>
    <n v="3"/>
    <n v="0"/>
    <s v="The failure of the right engine during takeoff. A rupture of the hydraulic circuit with oil projection in the cockpit would have increased maneuver difficulties by restricting visibility in the cockpit"/>
    <n v="0"/>
    <n v="1"/>
    <x v="1"/>
  </r>
  <r>
    <n v="1261"/>
    <x v="1154"/>
    <x v="40"/>
    <x v="0"/>
    <s v="Unknown"/>
    <s v="Cochabamba, Bolivia"/>
    <s v="Loide AÃ©reo Nacional"/>
    <s v="Unknown"/>
    <s v="Cochabamba - Rio de Janeiro"/>
    <x v="425"/>
    <s v="CB-39"/>
    <n v="26488"/>
    <n v="7"/>
    <n v="4"/>
    <n v="3"/>
    <n v="7"/>
    <n v="4"/>
    <n v="3"/>
    <n v="0"/>
    <s v="Hit a tree while taking off and crashed."/>
    <n v="0"/>
    <n v="1"/>
    <x v="1"/>
  </r>
  <r>
    <n v="1262"/>
    <x v="1155"/>
    <x v="40"/>
    <x v="0"/>
    <d v="1899-12-30T21:00:00"/>
    <s v="Barilla Bay, Australia"/>
    <s v="Trans Australia Airlines"/>
    <s v="Unknown"/>
    <s v="Hobart Melbourne"/>
    <x v="45"/>
    <s v="VH-TAT"/>
    <n v="13083"/>
    <n v="2"/>
    <n v="0"/>
    <n v="2"/>
    <n v="2"/>
    <n v="0"/>
    <n v="2"/>
    <n v="0"/>
    <s v="Cargo plane. Loss of lateral control during a turn at low altitude soon after takeoff. The probable cause of the loss of lateral control was the presence of ice on the aircraft surface."/>
    <n v="0"/>
    <n v="1"/>
    <x v="1"/>
  </r>
  <r>
    <n v="1263"/>
    <x v="1156"/>
    <x v="40"/>
    <x v="0"/>
    <d v="1899-12-30T09:25:00"/>
    <s v="Moisville, France"/>
    <s v="Air France"/>
    <s v="Unknown"/>
    <s v="Training"/>
    <x v="537"/>
    <s v="F-BAXB"/>
    <n v="42971"/>
    <n v="5"/>
    <n v="0"/>
    <n v="5"/>
    <n v="5"/>
    <n v="0"/>
    <n v="5"/>
    <n v="0"/>
    <s v="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
    <n v="0"/>
    <n v="1"/>
    <x v="1"/>
  </r>
  <r>
    <n v="1264"/>
    <x v="1157"/>
    <x v="40"/>
    <x v="0"/>
    <s v="Unknown"/>
    <s v="Ubatuba, Brazil"/>
    <s v="REAL"/>
    <s v="Unknown"/>
    <s v="Unknown"/>
    <x v="277"/>
    <s v="PP-YPX"/>
    <n v="9154"/>
    <n v="10"/>
    <s v="NULL"/>
    <s v="NULL"/>
    <n v="10"/>
    <s v="NULL"/>
    <s v="NULL"/>
    <n v="0"/>
    <s v="No data available"/>
    <n v="0"/>
    <n v="1"/>
    <x v="1"/>
  </r>
  <r>
    <n v="1265"/>
    <x v="1158"/>
    <x v="40"/>
    <x v="0"/>
    <d v="1899-12-30T04:28:00"/>
    <s v="Decoto, California"/>
    <s v="United Air Lines"/>
    <n v="615"/>
    <s v="Boston - Hartford - Cleveland - Chicago - Oakland"/>
    <x v="626"/>
    <s v="N37550"/>
    <s v="43260/180"/>
    <n v="50"/>
    <n v="44"/>
    <n v="6"/>
    <n v="50"/>
    <n v="44"/>
    <n v="6"/>
    <n v="0"/>
    <s v="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
    <n v="0"/>
    <n v="1"/>
    <x v="1"/>
  </r>
  <r>
    <n v="1266"/>
    <x v="1159"/>
    <x v="40"/>
    <x v="0"/>
    <d v="1899-12-30T19:00:00"/>
    <s v="Sao Paulo, Brazil"/>
    <s v="VASP"/>
    <s v="Unknown"/>
    <s v="Sao Paulo - Rio de Janeiro"/>
    <x v="277"/>
    <s v="PP-SPQ"/>
    <s v="1559/27036"/>
    <n v="13"/>
    <n v="9"/>
    <n v="4"/>
    <n v="13"/>
    <n v="9"/>
    <n v="4"/>
    <n v="3"/>
    <s v="Crashed into a houses shortly after taking off from Congonhas Airport. Failure of several instruments."/>
    <n v="0"/>
    <n v="1"/>
    <x v="1"/>
  </r>
  <r>
    <n v="1267"/>
    <x v="1160"/>
    <x v="40"/>
    <x v="0"/>
    <d v="1899-12-30T12:30:00"/>
    <s v="Off Ialas Baeares, Spain"/>
    <s v="Societe Alpes Provence"/>
    <s v="Unknown"/>
    <s v="Perpignan - Oran"/>
    <x v="277"/>
    <s v="F-BEIZ"/>
    <s v="15985/32733"/>
    <n v="39"/>
    <n v="36"/>
    <n v="3"/>
    <n v="39"/>
    <n v="36"/>
    <n v="3"/>
    <n v="0"/>
    <s v="Crashed into the Mediterranean due to structural failure following loss of control in severe weather."/>
    <n v="0"/>
    <n v="1"/>
    <x v="1"/>
  </r>
  <r>
    <n v="1268"/>
    <x v="1160"/>
    <x v="40"/>
    <x v="0"/>
    <d v="1899-12-30T11:46:00"/>
    <s v="Off Redwood City, California"/>
    <s v="United Air Lines"/>
    <s v="Unknown"/>
    <s v="San Francisco - Oakland - San Francisco"/>
    <x v="629"/>
    <s v="N31230"/>
    <n v="15970"/>
    <n v="3"/>
    <n v="0"/>
    <n v="3"/>
    <n v="3"/>
    <n v="0"/>
    <n v="3"/>
    <n v="0"/>
    <s v="The aircraft, with the No. 4 propeller feathered, stalled and dived into San Francisco Bay. An inadvertent stall at a low altitude from which recovery was not effected."/>
    <n v="0"/>
    <n v="1"/>
    <x v="1"/>
  </r>
  <r>
    <n v="1269"/>
    <x v="1161"/>
    <x v="40"/>
    <x v="0"/>
    <s v="Unknown"/>
    <s v="Bangalore, India"/>
    <s v="Air India"/>
    <s v="Unknown"/>
    <s v="Bangalore - Trivandrum"/>
    <x v="630"/>
    <s v="VT-CCA"/>
    <s v="13853/25298"/>
    <n v="28"/>
    <n v="24"/>
    <n v="4"/>
    <n v="22"/>
    <n v="21"/>
    <n v="1"/>
    <n v="0"/>
    <s v="Lost control and crashed when attempting to take off. Attempted to take off  with the autopilot engaged."/>
    <n v="6"/>
    <n v="0.7857142857142857"/>
    <x v="1"/>
  </r>
  <r>
    <n v="1270"/>
    <x v="1162"/>
    <x v="40"/>
    <x v="0"/>
    <s v="Unknown"/>
    <s v="Near Tachikawa Air Base"/>
    <s v="Military - US Air Force"/>
    <s v="Unknown"/>
    <s v="Ashiya - Tachikawa AB"/>
    <x v="631"/>
    <s v="_x0009_49-169"/>
    <s v="_x0009_10406"/>
    <n v="14"/>
    <n v="0"/>
    <n v="14"/>
    <n v="14"/>
    <n v="0"/>
    <n v="14"/>
    <n v="0"/>
    <s v="Crashed into the slope of Mt Tanazawa, 28 km northwest of the airbase while operating with the 314th Troop Carrier Wing."/>
    <n v="0"/>
    <n v="1"/>
    <x v="1"/>
  </r>
  <r>
    <n v="1271"/>
    <x v="1163"/>
    <x v="40"/>
    <x v="0"/>
    <s v="Unknown"/>
    <s v="La Paz, Bolivia"/>
    <s v="Frigorifico Cooperativo Los Andes"/>
    <s v="Unknown"/>
    <s v="Unknown"/>
    <x v="632"/>
    <s v="CB-43"/>
    <n v="33346"/>
    <n v="27"/>
    <n v="24"/>
    <n v="3"/>
    <n v="27"/>
    <n v="24"/>
    <n v="3"/>
    <n v="0"/>
    <s v="Crashed shortly after takeoff from La Paz-El Alto Airport."/>
    <n v="0"/>
    <n v="1"/>
    <x v="1"/>
  </r>
  <r>
    <n v="1272"/>
    <x v="1164"/>
    <x v="40"/>
    <x v="0"/>
    <s v="Unknown"/>
    <s v="Cerro Blanco, Mexico"/>
    <s v="Aero Transportes"/>
    <s v="Unknown"/>
    <s v="Mexico City - MinatitlÃ¡n - Villahermosa"/>
    <x v="277"/>
    <s v="XA-GOR"/>
    <s v="14007/25452"/>
    <n v="8"/>
    <n v="5"/>
    <n v="3"/>
    <n v="8"/>
    <n v="5"/>
    <n v="3"/>
    <n v="0"/>
    <s v="While en route, the aircraft hit the slope of the Cerro Blanco."/>
    <n v="0"/>
    <n v="1"/>
    <x v="1"/>
  </r>
  <r>
    <n v="1273"/>
    <x v="1165"/>
    <x v="40"/>
    <x v="0"/>
    <s v="Unknown"/>
    <s v="North Atlantic"/>
    <s v="Military - U.S. Air Force"/>
    <s v="Unknown"/>
    <s v="Azores - Westover AFB"/>
    <x v="633"/>
    <s v="49-2602"/>
    <n v="16224"/>
    <n v="12"/>
    <n v="9"/>
    <n v="3"/>
    <n v="12"/>
    <n v="9"/>
    <n v="3"/>
    <n v="0"/>
    <s v="Went missing en route. No trace of the aircraft was ever found."/>
    <n v="0"/>
    <n v="1"/>
    <x v="1"/>
  </r>
  <r>
    <n v="1274"/>
    <x v="1165"/>
    <x v="40"/>
    <x v="0"/>
    <s v="Unknown"/>
    <s v="East Griqualand, South Africa"/>
    <s v="South African Airways"/>
    <s v="Unknown"/>
    <s v="Port Elizabeth - Durbin"/>
    <x v="277"/>
    <s v="ZS-AVJ"/>
    <n v="6891"/>
    <n v="17"/>
    <n v="13"/>
    <n v="4"/>
    <n v="17"/>
    <n v="13"/>
    <n v="4"/>
    <n v="0"/>
    <s v="While en route in clouds, the airplane crashed on Mt Ingeli  about 17 km southeast of Kokstad."/>
    <n v="0"/>
    <n v="1"/>
    <x v="1"/>
  </r>
  <r>
    <n v="1275"/>
    <x v="1166"/>
    <x v="40"/>
    <x v="0"/>
    <d v="1899-12-30T18:55:00"/>
    <s v="Mt. Benson, BC, Canada"/>
    <s v="Queen Charlotte Airlines"/>
    <s v="Unknown"/>
    <s v="Kildala - Vancouver"/>
    <x v="522"/>
    <s v="CF-FOQ"/>
    <n v="400"/>
    <n v="23"/>
    <n v="20"/>
    <n v="3"/>
    <n v="23"/>
    <n v="20"/>
    <n v="3"/>
    <n v="0"/>
    <s v="While flying VFR in adverse weather conditions, the pilot mistook Nanaimo for Vancouver.  The plane crashed into Mt. Benson, 20 miles west of Vancouver."/>
    <n v="0"/>
    <n v="1"/>
    <x v="1"/>
  </r>
  <r>
    <n v="1276"/>
    <x v="1167"/>
    <x v="40"/>
    <x v="0"/>
    <s v="Unknown"/>
    <s v="Skopje, Yugoslavia"/>
    <s v="JAT Yugoslav Airlines"/>
    <s v="Unknown"/>
    <s v="Belgrad - Skopje"/>
    <x v="277"/>
    <s v="YU-ACC"/>
    <n v="13014"/>
    <n v="12"/>
    <n v="9"/>
    <n v="3"/>
    <n v="12"/>
    <n v="9"/>
    <n v="3"/>
    <n v="0"/>
    <s v="Crashed while en route."/>
    <n v="0"/>
    <n v="1"/>
    <x v="1"/>
  </r>
  <r>
    <n v="1277"/>
    <x v="1168"/>
    <x v="40"/>
    <x v="0"/>
    <d v="1899-12-30T19:00:00"/>
    <s v="Near Flores, Guatemala"/>
    <s v="Military - Guatemalan Air Force"/>
    <s v="Unknown"/>
    <s v="Flores - Guatemala City"/>
    <x v="368"/>
    <s v="FAGO961"/>
    <s v="Unknown"/>
    <n v="29"/>
    <n v="25"/>
    <n v="4"/>
    <n v="27"/>
    <n v="23"/>
    <n v="4"/>
    <n v="0"/>
    <s v="Crashed and burned in jungle 170 miles north northeast of Guatemala City.  It is theorized a passenger may have started a fire in the aircraft's cabin with a cigarette."/>
    <n v="2"/>
    <n v="0.93103448275862066"/>
    <x v="1"/>
  </r>
  <r>
    <n v="1278"/>
    <x v="1169"/>
    <x v="40"/>
    <x v="0"/>
    <d v="1899-12-30T09:29:00"/>
    <s v="Near Tucumcari, New Mexico"/>
    <s v="Transocean Air Lines"/>
    <s v="CAM5763"/>
    <s v="Oakland - Albuquerque"/>
    <x v="562"/>
    <s v="N93039"/>
    <n v="9160"/>
    <n v="29"/>
    <n v="26"/>
    <n v="3"/>
    <n v="1"/>
    <n v="1"/>
    <n v="0"/>
    <n v="0"/>
    <s v="Crashed while attempting to land at Albuquerque in marginal weather conditions. The captain's attempt to land during less than minimum visibility, rather than proceed to his alternate.  A military contract flight."/>
    <n v="28"/>
    <n v="3.4482758620689655E-2"/>
    <x v="2"/>
  </r>
  <r>
    <n v="1279"/>
    <x v="1170"/>
    <x v="40"/>
    <x v="0"/>
    <d v="1899-12-30T13:00:00"/>
    <s v="Puy-de-DÃ´me, France"/>
    <s v="Military - U. S. Air Force"/>
    <s v="Unknown"/>
    <s v="Frankfort - Bordeaux"/>
    <x v="634"/>
    <s v="45-57801A"/>
    <n v="10171"/>
    <n v="36"/>
    <n v="32"/>
    <n v="4"/>
    <n v="36"/>
    <n v="32"/>
    <n v="4"/>
    <n v="0"/>
    <s v="While cruising in marginal weather conditions, the aircraft hit the slope of Mt. Dore, about 32 km southwest of Clermont-Ferrand.Flew into Mt. Dore."/>
    <n v="0"/>
    <n v="1"/>
    <x v="1"/>
  </r>
  <r>
    <n v="1280"/>
    <x v="1171"/>
    <x v="40"/>
    <x v="0"/>
    <d v="1899-12-30T09:00:00"/>
    <s v="Near Lodz, Poland"/>
    <s v="LOT Polish Airlines"/>
    <s v="Unknown"/>
    <s v="Lodz - Krakow"/>
    <x v="635"/>
    <s v="SP-KLA"/>
    <s v="_x0009_18438505"/>
    <n v="18"/>
    <n v="14"/>
    <n v="4"/>
    <n v="18"/>
    <n v="14"/>
    <n v="4"/>
    <n v="0"/>
    <s v="Shortly after taking off the aircraft flew into high voltage cable and crashed."/>
    <n v="0"/>
    <n v="1"/>
    <x v="1"/>
  </r>
  <r>
    <n v="1281"/>
    <x v="1172"/>
    <x v="40"/>
    <x v="0"/>
    <d v="1899-12-30T16:23:00"/>
    <s v="Near  Novosibirsk, Russia"/>
    <s v="Aeroflot"/>
    <s v="Unknown"/>
    <s v="Novosibirsk - Moscow"/>
    <x v="533"/>
    <s v="CCCP-L1775"/>
    <n v="93013112"/>
    <n v="23"/>
    <n v="19"/>
    <n v="4"/>
    <n v="23"/>
    <n v="19"/>
    <n v="4"/>
    <n v="0"/>
    <s v="The plane crashed shortly after taking off due to icing."/>
    <n v="0"/>
    <n v="1"/>
    <x v="1"/>
  </r>
  <r>
    <n v="1282"/>
    <x v="1173"/>
    <x v="40"/>
    <x v="0"/>
    <s v="Unknown"/>
    <s v="Cairo, Egypt"/>
    <s v="Devlet Hava Yollari"/>
    <s v="Unknown"/>
    <s v="Ankara - Cairo"/>
    <x v="277"/>
    <s v="TC-ACA"/>
    <n v="7352"/>
    <n v="5"/>
    <n v="4"/>
    <n v="1"/>
    <n v="5"/>
    <n v="4"/>
    <n v="1"/>
    <n v="0"/>
    <s v="Crashed into a sand dune while attempting to land in poor weather condtions."/>
    <n v="0"/>
    <n v="1"/>
    <x v="1"/>
  </r>
  <r>
    <n v="1283"/>
    <x v="1174"/>
    <x v="40"/>
    <x v="0"/>
    <d v="1899-12-30T07:45:00"/>
    <s v="Calcutta, India"/>
    <s v="Deccan Airways"/>
    <s v="Unknown"/>
    <s v="Nagpur - Calcutta"/>
    <x v="277"/>
    <s v="VT-AUO"/>
    <n v="13265"/>
    <n v="17"/>
    <n v="13"/>
    <n v="4"/>
    <n v="16"/>
    <n v="12"/>
    <n v="4"/>
    <n v="0"/>
    <s v="The aircraft struck trees in fog during a missed approach 3 miles north of Dum Dum airport as the crew descended too low in poor visibility."/>
    <n v="1"/>
    <n v="0.94117647058823528"/>
    <x v="1"/>
  </r>
  <r>
    <n v="1284"/>
    <x v="1175"/>
    <x v="40"/>
    <x v="0"/>
    <d v="1899-12-30T06:00:00"/>
    <s v="Zurich, Switzerland"/>
    <s v="El Al"/>
    <s v="Unknown"/>
    <s v="Tel Aviv - Rome - Zurich - Amsterdam"/>
    <x v="487"/>
    <s v="4X-AND"/>
    <n v="10512"/>
    <n v="7"/>
    <n v="0"/>
    <n v="7"/>
    <n v="6"/>
    <n v="0"/>
    <n v="6"/>
    <n v="0"/>
    <s v="The cargo plane crashed on approach when flying too low in poor visibility"/>
    <n v="1"/>
    <n v="0.8571428571428571"/>
    <x v="1"/>
  </r>
  <r>
    <n v="1285"/>
    <x v="1176"/>
    <x v="40"/>
    <x v="0"/>
    <s v="Unknown"/>
    <s v="San Luis Acatlan, Mexico"/>
    <s v="Lineas Aereas Unidas"/>
    <s v="Unknown"/>
    <s v="San Luis AcatlÃ¡n - Acapulco"/>
    <x v="636"/>
    <s v="XA-DOQ"/>
    <n v="2077"/>
    <n v="21"/>
    <n v="18"/>
    <n v="3"/>
    <n v="13"/>
    <n v="11"/>
    <n v="2"/>
    <n v="0"/>
    <s v="Shortly after taking and while in an initial climb, the plane hit an obstacle and crashed."/>
    <n v="8"/>
    <n v="0.61904761904761907"/>
    <x v="0"/>
  </r>
  <r>
    <n v="1286"/>
    <x v="1177"/>
    <x v="40"/>
    <x v="0"/>
    <d v="1899-12-30T07:25:00"/>
    <s v="Denver, Colorado"/>
    <s v="United Air Lines"/>
    <s v="Unknown"/>
    <s v="Training"/>
    <x v="268"/>
    <s v="N17109"/>
    <n v="4999"/>
    <n v="3"/>
    <n v="0"/>
    <n v="3"/>
    <n v="3"/>
    <n v="0"/>
    <n v="3"/>
    <n v="0"/>
    <s v="Stalled, entered a spin and crashed. An inadvertent spin at an altitude too low for recovery."/>
    <n v="0"/>
    <n v="1"/>
    <x v="1"/>
  </r>
  <r>
    <n v="1287"/>
    <x v="1178"/>
    <x v="40"/>
    <x v="0"/>
    <s v="Unknown"/>
    <s v="Yaramunda, Papua, New Guinea"/>
    <s v="Qantas"/>
    <s v="Unknown"/>
    <s v="Mount Hagen - Madang"/>
    <x v="227"/>
    <s v="VH-UR"/>
    <s v="Unknown"/>
    <n v="3"/>
    <n v="2"/>
    <n v="1"/>
    <n v="3"/>
    <n v="2"/>
    <n v="1"/>
    <n v="0"/>
    <s v="While flying in a narrow valley, the pilot elected to gain height when the aircraft hit trees and crashed in flames. Pilot error."/>
    <n v="0"/>
    <n v="1"/>
    <x v="1"/>
  </r>
  <r>
    <n v="1288"/>
    <x v="1179"/>
    <x v="40"/>
    <x v="0"/>
    <d v="1899-12-30T15:09:00"/>
    <s v="Elizabeth, New Jersey"/>
    <s v="Miami Airlines"/>
    <s v="Unknown"/>
    <s v="Fort Smith - Newark - Tampa"/>
    <x v="637"/>
    <s v="N1678M"/>
    <n v="22572"/>
    <n v="56"/>
    <n v="52"/>
    <n v="4"/>
    <n v="56"/>
    <n v="52"/>
    <n v="4"/>
    <n v="1"/>
    <s v="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
    <n v="0"/>
    <n v="1"/>
    <x v="1"/>
  </r>
  <r>
    <n v="1289"/>
    <x v="1180"/>
    <x v="40"/>
    <x v="0"/>
    <s v="Unknown"/>
    <s v="Tehran, Iran"/>
    <s v="Misrair"/>
    <s v="Unknown"/>
    <s v="Cairo - Baghdad - Tehran"/>
    <x v="638"/>
    <s v="SU-AHH"/>
    <n v="41"/>
    <n v="22"/>
    <n v="18"/>
    <n v="4"/>
    <n v="22"/>
    <n v="18"/>
    <n v="4"/>
    <n v="0"/>
    <s v="Crashed at Mehrabad airport during a third landing attempt. The pilot attempted to land despite warnings of poor visibility and snow."/>
    <n v="0"/>
    <n v="1"/>
    <x v="1"/>
  </r>
  <r>
    <n v="1290"/>
    <x v="1181"/>
    <x v="40"/>
    <x v="0"/>
    <d v="1899-12-30T04:26:00"/>
    <s v="Near Namtso, Russia"/>
    <s v="Aeroflot"/>
    <s v="Unknown"/>
    <s v="Yakutsk - Vilyuisk"/>
    <x v="420"/>
    <s v="L4228"/>
    <n v="18421601"/>
    <n v="20"/>
    <n v="14"/>
    <n v="6"/>
    <n v="20"/>
    <n v="14"/>
    <n v="6"/>
    <n v="0"/>
    <s v="Crashed after running out of fuel. Fuel starvaion. Crew switched to the wrong fuel tank."/>
    <n v="0"/>
    <n v="1"/>
    <x v="1"/>
  </r>
  <r>
    <n v="1292"/>
    <x v="1182"/>
    <x v="40"/>
    <x v="0"/>
    <d v="1899-12-30T22:07:00"/>
    <s v="Near Fairbanks, Alaska"/>
    <s v="Transocean Air Lines"/>
    <n v="501"/>
    <s v="Point Barrow - Umiat - Fairbanks"/>
    <x v="639"/>
    <s v="N68963"/>
    <n v="22485"/>
    <n v="4"/>
    <n v="2"/>
    <n v="2"/>
    <n v="4"/>
    <n v="2"/>
    <n v="2"/>
    <n v="0"/>
    <s v="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
    <n v="0"/>
    <n v="1"/>
    <x v="1"/>
  </r>
  <r>
    <n v="1293"/>
    <x v="1182"/>
    <x v="40"/>
    <x v="0"/>
    <d v="1899-12-30T15:40:00"/>
    <s v="Near Phoenix, Arizona"/>
    <s v="Military - U.S. Air Force"/>
    <s v="Unknown"/>
    <s v="New York - Williams AFB"/>
    <x v="608"/>
    <s v="47-76266"/>
    <s v="15850/32598"/>
    <n v="28"/>
    <n v="24"/>
    <n v="4"/>
    <n v="28"/>
    <n v="24"/>
    <n v="4"/>
    <n v="0"/>
    <s v="Crashed into a mountainside at an altitude of 7,000 ft., 66 miles northeast of Williams AFB."/>
    <n v="0"/>
    <n v="1"/>
    <x v="1"/>
  </r>
  <r>
    <n v="1294"/>
    <x v="1183"/>
    <x v="40"/>
    <x v="0"/>
    <s v="Unknown"/>
    <s v="Calcutta, India"/>
    <s v="Kalinga Airlines"/>
    <s v="Unknown"/>
    <s v="Unknown"/>
    <x v="402"/>
    <s v="VT-COA"/>
    <s v="13859/25304"/>
    <n v="3"/>
    <n v="0"/>
    <n v="3"/>
    <n v="3"/>
    <n v="0"/>
    <n v="3"/>
    <n v="0"/>
    <s v="The cargo plane crashed on takeoff after hitting trees."/>
    <n v="0"/>
    <n v="1"/>
    <x v="1"/>
  </r>
  <r>
    <n v="1295"/>
    <x v="1184"/>
    <x v="41"/>
    <x v="0"/>
    <s v="Unknown"/>
    <s v="Andapa, Madagascar"/>
    <s v="Air France"/>
    <s v="Unknown"/>
    <s v="Unknown"/>
    <x v="213"/>
    <s v="F-BAMQ"/>
    <n v="106"/>
    <n v="11"/>
    <n v="8"/>
    <n v="3"/>
    <n v="6"/>
    <s v="NULL"/>
    <s v="NULL"/>
    <n v="0"/>
    <s v="No data available"/>
    <n v="5"/>
    <n v="0.54545454545454541"/>
    <x v="0"/>
  </r>
  <r>
    <n v="1296"/>
    <x v="1185"/>
    <x v="41"/>
    <x v="0"/>
    <d v="1899-12-30T19:15:00"/>
    <s v="Com Edno, Ireland"/>
    <s v="Aer Lingus"/>
    <s v="Unknown"/>
    <s v="Northolt - Dublin"/>
    <x v="277"/>
    <s v="EI-AFL"/>
    <s v="16699/33447"/>
    <n v="23"/>
    <n v="20"/>
    <n v="3"/>
    <n v="23"/>
    <n v="20"/>
    <n v="3"/>
    <n v="0"/>
    <s v="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
    <n v="0"/>
    <n v="1"/>
    <x v="1"/>
  </r>
  <r>
    <n v="1297"/>
    <x v="1186"/>
    <x v="41"/>
    <x v="0"/>
    <d v="1899-12-30T01:38:00"/>
    <s v="Off Sandspit, BC, Canada"/>
    <s v="Northwest Orient Airlines"/>
    <n v="324"/>
    <s v="Tokyo - Elmendorf AFB"/>
    <x v="487"/>
    <s v="N45342"/>
    <n v="27279"/>
    <n v="43"/>
    <n v="40"/>
    <n v="3"/>
    <n v="36"/>
    <n v="33"/>
    <n v="3"/>
    <n v="0"/>
    <s v="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
    <n v="7"/>
    <n v="0.83720930232558144"/>
    <x v="1"/>
  </r>
  <r>
    <n v="1298"/>
    <x v="1187"/>
    <x v="41"/>
    <x v="0"/>
    <d v="1899-12-30T15:43:00"/>
    <s v="Elizabeth, New Jersey"/>
    <s v="American Airlines"/>
    <n v="6780"/>
    <s v="Buffalo - Newark"/>
    <x v="640"/>
    <s v="N94229"/>
    <n v="54"/>
    <n v="23"/>
    <n v="20"/>
    <n v="3"/>
    <n v="23"/>
    <n v="20"/>
    <n v="3"/>
    <n v="7"/>
    <s v="The aircraft crashed into an apartment house during its approach, 3 miles short and right of the runway.  The plane crashed while level laterally but in a steep descending attitude.  Most likely cause was carburetor icing. Official cause unknown."/>
    <n v="0"/>
    <n v="1"/>
    <x v="1"/>
  </r>
  <r>
    <n v="1299"/>
    <x v="1188"/>
    <x v="41"/>
    <x v="0"/>
    <s v="Unknown"/>
    <s v="Kikwit, Belgian Congo"/>
    <s v="Sabena"/>
    <s v="Unknown"/>
    <s v="Costermansville - Leopoldville"/>
    <x v="277"/>
    <s v="OO-CBN"/>
    <n v="13450"/>
    <n v="15"/>
    <n v="11"/>
    <n v="4"/>
    <n v="15"/>
    <n v="11"/>
    <n v="4"/>
    <n v="0"/>
    <s v="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
    <n v="0"/>
    <n v="1"/>
    <x v="1"/>
  </r>
  <r>
    <n v="1300"/>
    <x v="1189"/>
    <x v="41"/>
    <x v="0"/>
    <s v="Unknown"/>
    <s v="Kaneko, Japan"/>
    <s v="Military - U.S. Air Force"/>
    <s v="Unknown"/>
    <s v="Unknown"/>
    <x v="605"/>
    <s v="Unknown"/>
    <s v="Unknown"/>
    <n v="13"/>
    <s v="NULL"/>
    <n v="13"/>
    <n v="13"/>
    <s v="NULL"/>
    <n v="13"/>
    <n v="5"/>
    <s v="The military plane crashed into several houses in a snowstorm after taking from Yokota AFB and hitting  power lines."/>
    <n v="0"/>
    <n v="1"/>
    <x v="1"/>
  </r>
  <r>
    <n v="1301"/>
    <x v="1190"/>
    <x v="41"/>
    <x v="0"/>
    <d v="1899-12-30T00:20:00"/>
    <s v="Elizabeth, New Jersey"/>
    <s v="National Airlines"/>
    <n v="101"/>
    <s v="Newark, NJ - Miami, FL"/>
    <x v="528"/>
    <s v="N90891"/>
    <s v="43055/37"/>
    <n v="63"/>
    <n v="59"/>
    <n v="4"/>
    <n v="29"/>
    <n v="26"/>
    <n v="3"/>
    <n v="4"/>
    <s v="The aircraft crashed into an apartment complex shortly after taking off. The last message from the pilot was &quot;I've lost an engine and am returning to field.&quot;   Reversal in flight of No. 3 propeller and subsequent feathering of No. 4 propeller at too low an altitude to effect a recovery."/>
    <n v="34"/>
    <n v="0.46031746031746029"/>
    <x v="0"/>
  </r>
  <r>
    <n v="1302"/>
    <x v="1191"/>
    <x v="41"/>
    <x v="0"/>
    <d v="1899-12-30T17:34:00"/>
    <s v="Near Burgio, Italy"/>
    <s v="Hunting Air Travel"/>
    <s v="Unknown"/>
    <s v="Nice - Malta"/>
    <x v="641"/>
    <s v="G-AHPI"/>
    <n v="142"/>
    <n v="31"/>
    <n v="26"/>
    <n v="5"/>
    <n v="31"/>
    <n v="26"/>
    <n v="5"/>
    <n v="0"/>
    <s v="Hit the north slope of La Cinta mountain range while en route.  Pilot did not maintain a safe altitude. The pilots ignorance of wind conditions which allowed the aircraft to drift 3 degrees off course."/>
    <n v="0"/>
    <n v="1"/>
    <x v="1"/>
  </r>
  <r>
    <n v="1303"/>
    <x v="1192"/>
    <x v="41"/>
    <x v="0"/>
    <d v="1899-12-30T02:23:00"/>
    <s v="Nagpur, India"/>
    <s v="Deccan Airways"/>
    <s v="Unknown"/>
    <s v="Madras - Nagpur - Delhi"/>
    <x v="277"/>
    <s v="VT-AXE"/>
    <n v="19160"/>
    <n v="16"/>
    <n v="12"/>
    <n v="4"/>
    <n v="3"/>
    <n v="1"/>
    <n v="2"/>
    <n v="0"/>
    <s v="Banked left and struck trees 2,000 ft. short of the runway. Pilot error. The pilot misjudged the approach, undershot and hit the tops trees. A contributing factor was the setting of the pilot's altimeter to QNH, rather than the customary QFE during the final approach."/>
    <n v="13"/>
    <n v="0.1875"/>
    <x v="2"/>
  </r>
  <r>
    <n v="1304"/>
    <x v="1192"/>
    <x v="41"/>
    <x v="0"/>
    <s v="Unknown"/>
    <s v="Near Yaounde, Cameroon"/>
    <s v="STAAP"/>
    <s v="Unknown"/>
    <s v="Unknown"/>
    <x v="642"/>
    <s v="F-BEFX"/>
    <n v="12"/>
    <n v="9"/>
    <n v="5"/>
    <n v="4"/>
    <n v="9"/>
    <n v="5"/>
    <n v="4"/>
    <n v="0"/>
    <s v="No data available"/>
    <n v="0"/>
    <n v="1"/>
    <x v="1"/>
  </r>
  <r>
    <n v="1305"/>
    <x v="1193"/>
    <x v="41"/>
    <x v="0"/>
    <s v="Unknown"/>
    <s v="Uberlandia,  Brazil"/>
    <s v="Panair do Brasil"/>
    <s v="Unknown"/>
    <s v="Rio de Janeiro - Guiana"/>
    <x v="268"/>
    <s v="PP-PCN"/>
    <n v="3284"/>
    <n v="8"/>
    <n v="6"/>
    <n v="2"/>
    <n v="8"/>
    <n v="6"/>
    <n v="2"/>
    <n v="0"/>
    <s v="The right wing struck trees after attempting a go-around. Pilot error."/>
    <n v="0"/>
    <n v="1"/>
    <x v="1"/>
  </r>
  <r>
    <n v="1306"/>
    <x v="1194"/>
    <x v="41"/>
    <x v="0"/>
    <d v="1899-12-30T08:10:00"/>
    <s v="Nice, France"/>
    <s v="Air France"/>
    <s v="Unknown"/>
    <s v="Nice - Paris"/>
    <x v="638"/>
    <s v="F-BCUM"/>
    <n v="43"/>
    <n v="38"/>
    <n v="34"/>
    <n v="4"/>
    <n v="38"/>
    <n v="34"/>
    <n v="4"/>
    <n v="0"/>
    <s v="After taking off, the plane was observed turning to the left until it turned on its back and crashed. Malfunction of ailerons. The gear chain of the co-pilot's control column slipped off the sprocket and jammed the aileron controls."/>
    <n v="0"/>
    <n v="1"/>
    <x v="1"/>
  </r>
  <r>
    <n v="1307"/>
    <x v="1195"/>
    <x v="41"/>
    <x v="0"/>
    <s v="Unknown"/>
    <s v="Cebu, Philippines"/>
    <s v="Philippine Air Lines"/>
    <s v="Unknown"/>
    <s v="Cebu - Hoilo"/>
    <x v="643"/>
    <s v="PI-C5"/>
    <n v="9754"/>
    <n v="3"/>
    <n v="0"/>
    <n v="3"/>
    <n v="3"/>
    <n v="0"/>
    <n v="3"/>
    <n v="0"/>
    <s v="While taking off, the cargo plane, carrying a light load of freight, lost altitude and crashed into a house."/>
    <n v="0"/>
    <n v="1"/>
    <x v="1"/>
  </r>
  <r>
    <n v="1308"/>
    <x v="1196"/>
    <x v="41"/>
    <x v="0"/>
    <s v="Unknown"/>
    <s v="Near Sequin, Texas"/>
    <s v="Military - U.S. Air Force / U.S. Air Force"/>
    <s v="Unknown"/>
    <s v="Training"/>
    <x v="644"/>
    <s v="Unknown"/>
    <s v="Unknown"/>
    <n v="15"/>
    <n v="0"/>
    <n v="15"/>
    <n v="15"/>
    <n v="0"/>
    <n v="15"/>
    <s v="NULL"/>
    <s v="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
    <n v="0"/>
    <n v="1"/>
    <x v="1"/>
  </r>
  <r>
    <n v="1309"/>
    <x v="1197"/>
    <x v="41"/>
    <x v="0"/>
    <d v="1899-12-30T14:00:00"/>
    <s v="Near Gaspe, Quebec, Canada"/>
    <s v="Maritime Central Airways"/>
    <s v="Unknown"/>
    <s v="St. Johns - Goose Bay"/>
    <x v="383"/>
    <s v="CF-BXZ"/>
    <n v="4695"/>
    <n v="4"/>
    <n v="3"/>
    <n v="1"/>
    <n v="4"/>
    <n v="3"/>
    <n v="1"/>
    <n v="0"/>
    <s v="The cargo plane disappeared en route. Found on August 27, 1953."/>
    <n v="0"/>
    <n v="1"/>
    <x v="1"/>
  </r>
  <r>
    <n v="1310"/>
    <x v="1197"/>
    <x v="41"/>
    <x v="0"/>
    <d v="1899-12-30T10:45:00"/>
    <s v="Frankfurt, Germany"/>
    <s v="KLM Royal Dutch Airlines"/>
    <s v="Unknown"/>
    <s v="Rome - Frankfort"/>
    <x v="528"/>
    <s v="PH-TPJ"/>
    <s v="43111/102"/>
    <n v="47"/>
    <n v="37"/>
    <n v="10"/>
    <n v="45"/>
    <n v="36"/>
    <n v="9"/>
    <n v="0"/>
    <s v="Crashed and burst into flames two miles short of the runway in rain and fog during the approach. Cause unknown. The aircraft was named &quot;Koningin Juliana.&quot;"/>
    <n v="2"/>
    <n v="0.95744680851063835"/>
    <x v="1"/>
  </r>
  <r>
    <n v="1311"/>
    <x v="1198"/>
    <x v="41"/>
    <x v="0"/>
    <d v="1899-12-30T03:10:00"/>
    <s v="Near Gao, French West Africa"/>
    <s v="SociÃ©tÃ© AÃ©rienne de Tr. Tropicaux"/>
    <s v="Unknown"/>
    <s v="Gao, FWA - Nice, France"/>
    <x v="345"/>
    <s v="F-ARTE"/>
    <n v="2005"/>
    <n v="21"/>
    <n v="18"/>
    <n v="3"/>
    <n v="17"/>
    <n v="14"/>
    <n v="3"/>
    <n v="0"/>
    <s v="Crashed after taking off. Pilot failed to maintain altitude after taking off for reasons unknown. May have been pilot fatigue."/>
    <n v="4"/>
    <n v="0.80952380952380953"/>
    <x v="1"/>
  </r>
  <r>
    <n v="1312"/>
    <x v="1199"/>
    <x v="41"/>
    <x v="0"/>
    <s v="Unknown"/>
    <s v="Moscow, Russia"/>
    <s v="Aeroflot"/>
    <s v="Unknown"/>
    <s v="Unknown"/>
    <x v="45"/>
    <s v="Unknown"/>
    <s v="Unknown"/>
    <n v="70"/>
    <s v="NULL"/>
    <s v="NULL"/>
    <n v="70"/>
    <s v="NULL"/>
    <s v="NULL"/>
    <n v="0"/>
    <s v="The plane overshot the runway and collided with a military aircraft killing at least 70 people."/>
    <n v="0"/>
    <n v="1"/>
    <x v="1"/>
  </r>
  <r>
    <n v="1313"/>
    <x v="1200"/>
    <x v="41"/>
    <x v="0"/>
    <s v="Unknown"/>
    <s v="Near San Felipe, Venezuela"/>
    <s v="TACA"/>
    <s v="Unknown"/>
    <s v="Maiquetia - San Felipe"/>
    <x v="277"/>
    <s v="YV-C-AZU"/>
    <s v="Unknown"/>
    <n v="12"/>
    <n v="9"/>
    <n v="3"/>
    <n v="12"/>
    <n v="9"/>
    <n v="3"/>
    <n v="0"/>
    <s v="Crashed into the summit on Cerro Grande Mountain."/>
    <n v="0"/>
    <n v="1"/>
    <x v="1"/>
  </r>
  <r>
    <n v="1314"/>
    <x v="1201"/>
    <x v="41"/>
    <x v="0"/>
    <s v="Unknown"/>
    <s v="Baguio, Philippines"/>
    <s v="Philippine Air Lines"/>
    <s v="Unknown"/>
    <s v="Unknown"/>
    <x v="277"/>
    <s v="PI-C270"/>
    <n v="13808"/>
    <n v="29"/>
    <n v="26"/>
    <n v="3"/>
    <n v="10"/>
    <n v="8"/>
    <n v="2"/>
    <n v="0"/>
    <s v="Crashed during takeoff. The plane hit an unidentified obstruction on the runway and the wheels collapsed."/>
    <n v="19"/>
    <n v="0.34482758620689657"/>
    <x v="2"/>
  </r>
  <r>
    <n v="1315"/>
    <x v="1202"/>
    <x v="41"/>
    <x v="0"/>
    <d v="1899-12-30T08:25:00"/>
    <s v="New York, New York"/>
    <s v="US Airlines"/>
    <d v="2022-02-04T00:00:00"/>
    <s v="Raliegh, NC - New York, NY"/>
    <x v="587"/>
    <s v="N1911M"/>
    <n v="22464"/>
    <n v="2"/>
    <n v="0"/>
    <n v="2"/>
    <n v="2"/>
    <n v="0"/>
    <n v="2"/>
    <n v="3"/>
    <s v="Violent engine surges and turbulence during a missed ILS approach caused the crew to loose control of the aircraft and crash at 171st St. and 89th Ave. in Queens. The no.1 engine fuel feed valve diaphragm  failed due to deterioration."/>
    <n v="0"/>
    <n v="1"/>
    <x v="1"/>
  </r>
  <r>
    <n v="1316"/>
    <x v="1203"/>
    <x v="41"/>
    <x v="0"/>
    <d v="1899-12-30T08:07:00"/>
    <s v="Mihara Volcano, Japan"/>
    <s v="Japan Air Lines"/>
    <s v="Unknown"/>
    <s v="Tokyo - Osaka"/>
    <x v="562"/>
    <s v="N93043"/>
    <n v="9164"/>
    <n v="37"/>
    <n v="33"/>
    <n v="4"/>
    <n v="37"/>
    <n v="33"/>
    <n v="4"/>
    <n v="0"/>
    <s v="On an early morning flight, under instrument conditions, the crew flew the route segment from Tokyo to Oshima Island 1,000 ft. below the minimum instrument altitude.  At Oshima Island the aircraft crashed into the side of Mihara volcano."/>
    <n v="0"/>
    <n v="1"/>
    <x v="1"/>
  </r>
  <r>
    <n v="1317"/>
    <x v="1204"/>
    <x v="41"/>
    <x v="0"/>
    <s v="Unknown"/>
    <s v="Agartala, India"/>
    <s v="Kalinga Airlines"/>
    <s v="Unknown"/>
    <s v="Unknown"/>
    <x v="402"/>
    <s v="VT-DFN"/>
    <n v="13628"/>
    <n v="4"/>
    <n v="0"/>
    <n v="4"/>
    <n v="4"/>
    <n v="0"/>
    <n v="4"/>
    <n v="0"/>
    <s v="The cargo plane, carrying a load of tea,  crashed while taking off after losing an engine and attempting an emergency landing."/>
    <n v="0"/>
    <n v="1"/>
    <x v="1"/>
  </r>
  <r>
    <n v="1318"/>
    <x v="1205"/>
    <x v="41"/>
    <x v="0"/>
    <d v="1899-12-30T12:20:00"/>
    <s v="North of San Juan, Puerto Rico"/>
    <s v="Pan American World Airways"/>
    <s v="526A"/>
    <s v="San Juan - New York City"/>
    <x v="487"/>
    <s v="N88899"/>
    <n v="10503"/>
    <n v="69"/>
    <n v="64"/>
    <n v="5"/>
    <n v="52"/>
    <n v="52"/>
    <n v="0"/>
    <n v="0"/>
    <s v="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
    <n v="17"/>
    <n v="0.75362318840579712"/>
    <x v="1"/>
  </r>
  <r>
    <n v="1319"/>
    <x v="1206"/>
    <x v="41"/>
    <x v="0"/>
    <d v="1899-12-30T03:34:00"/>
    <s v="Near Whittier, California"/>
    <s v="North Continental Airlines (Robin Airlines)"/>
    <s v="416W"/>
    <s v="Kansas City, MO - Phoenix - Burbank"/>
    <x v="645"/>
    <s v="N8404C"/>
    <n v="22466"/>
    <n v="29"/>
    <n v="26"/>
    <n v="3"/>
    <n v="29"/>
    <n v="26"/>
    <n v="3"/>
    <n v="0"/>
    <s v="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
    <n v="0"/>
    <n v="1"/>
    <x v="1"/>
  </r>
  <r>
    <n v="1320"/>
    <x v="1207"/>
    <x v="41"/>
    <x v="0"/>
    <d v="1899-12-30T04:40:00"/>
    <s v="Near Carolina, Brazil"/>
    <s v="Pan American World Airways"/>
    <n v="202"/>
    <s v="Rio de Janeiro - New York City"/>
    <x v="646"/>
    <s v="N1039V"/>
    <s v="15939/12"/>
    <n v="50"/>
    <n v="41"/>
    <n v="9"/>
    <n v="50"/>
    <n v="41"/>
    <n v="9"/>
    <n v="0"/>
    <s v="The flight crashed into the jungle about 887 nm NNW of Rio de Janerio. Separation of the propeller blade leading to separation of the No. 2 engine due to highly unbalance forces, leading to the distintegration of the aircraft. The aircraft was named &quot;Clipper Good Hope.&quot;"/>
    <n v="0"/>
    <n v="1"/>
    <x v="1"/>
  </r>
  <r>
    <n v="1321"/>
    <x v="1208"/>
    <x v="41"/>
    <x v="0"/>
    <s v="Unknown"/>
    <s v="Delhi,  India"/>
    <s v="Deccan Airways"/>
    <s v="Unknown"/>
    <s v="Madras - Delhi"/>
    <x v="277"/>
    <s v="VT-AUN"/>
    <n v="13405"/>
    <n v="9"/>
    <n v="5"/>
    <n v="4"/>
    <n v="9"/>
    <n v="5"/>
    <n v="4"/>
    <n v="0"/>
    <s v="Lost an engine while on approach and crashed. Fuel starvation caused when the plane banked to make a turn and the tank being used had very little fuel in it."/>
    <n v="0"/>
    <n v="1"/>
    <x v="1"/>
  </r>
  <r>
    <n v="1322"/>
    <x v="1209"/>
    <x v="41"/>
    <x v="0"/>
    <s v="Unknown"/>
    <s v="Near Skien, Norway"/>
    <s v="Fred Olsen Flyveselskap"/>
    <s v="Unknown"/>
    <s v="Amsterdam, Netherlands - Jarsberg, Norway"/>
    <x v="402"/>
    <s v="LN-NAD"/>
    <n v="12148"/>
    <n v="29"/>
    <n v="26"/>
    <n v="3"/>
    <n v="11"/>
    <n v="8"/>
    <n v="3"/>
    <n v="0"/>
    <s v="Crashed on a mountain slope while en route. There were mainly whaling crews aboard, returning from the antarctic. Crew navigational error."/>
    <n v="18"/>
    <n v="0.37931034482758619"/>
    <x v="0"/>
  </r>
  <r>
    <n v="1323"/>
    <x v="1210"/>
    <x v="41"/>
    <x v="0"/>
    <s v="Unknown"/>
    <s v="Ipoh, Malaysia"/>
    <s v="Garuda Indonesia Airlines"/>
    <s v="Unknown"/>
    <s v="Unknown"/>
    <x v="277"/>
    <s v="PK-DPA"/>
    <n v="42954"/>
    <n v="17"/>
    <s v="NULL"/>
    <s v="NULL"/>
    <n v="17"/>
    <s v="NULL"/>
    <s v="NULL"/>
    <n v="0"/>
    <s v="Crashed shortly after taking off."/>
    <n v="0"/>
    <n v="1"/>
    <x v="1"/>
  </r>
  <r>
    <n v="1324"/>
    <x v="1211"/>
    <x v="41"/>
    <x v="0"/>
    <s v="Unknown"/>
    <s v="Sao Paulo, Brazil"/>
    <s v="VASP"/>
    <s v="Unknown"/>
    <s v="Sao Paulo - Bauru"/>
    <x v="277"/>
    <s v="PP-SPM"/>
    <s v="16894/34151"/>
    <n v="22"/>
    <n v="19"/>
    <n v="3"/>
    <n v="5"/>
    <n v="3"/>
    <n v="2"/>
    <n v="0"/>
    <s v="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
    <n v="17"/>
    <n v="0.22727272727272727"/>
    <x v="2"/>
  </r>
  <r>
    <n v="1325"/>
    <x v="1212"/>
    <x v="41"/>
    <x v="0"/>
    <s v="Unknown"/>
    <s v="Near Manaus, Brazil"/>
    <s v="Loide AÃ©reo Nacional"/>
    <s v="Unknown"/>
    <s v="Unknown"/>
    <x v="425"/>
    <s v="PP-LDE"/>
    <n v="446"/>
    <n v="6"/>
    <n v="0"/>
    <n v="6"/>
    <n v="6"/>
    <n v="0"/>
    <n v="6"/>
    <n v="0"/>
    <s v="The cargo plane lost an engine while taking off, stalled and crashed. Failure of maintenance staff to remove the flying control locks.  Failure of one engine for reason undetermined."/>
    <n v="0"/>
    <n v="1"/>
    <x v="1"/>
  </r>
  <r>
    <n v="1326"/>
    <x v="1213"/>
    <x v="41"/>
    <x v="0"/>
    <d v="1899-12-30T08:45:00"/>
    <s v="Near Atar, Mauritania"/>
    <s v="British Overseas Airways"/>
    <n v="251"/>
    <s v="Tripoli - Kano"/>
    <x v="647"/>
    <s v="G-ALDN"/>
    <s v="HP-81/15"/>
    <n v="18"/>
    <n v="10"/>
    <n v="8"/>
    <n v="1"/>
    <n v="0"/>
    <n v="1"/>
    <n v="0"/>
    <s v="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quot;Horus.&quot;"/>
    <n v="17"/>
    <n v="5.5555555555555552E-2"/>
    <x v="2"/>
  </r>
  <r>
    <n v="1327"/>
    <x v="1214"/>
    <x v="41"/>
    <x v="0"/>
    <d v="1899-12-30T11:29:00"/>
    <s v="Baltic Sea"/>
    <s v="Swedish Air Force"/>
    <s v="Unknown"/>
    <s v="Radio surveillance mission"/>
    <x v="277"/>
    <n v="79001"/>
    <n v="9001"/>
    <n v="8"/>
    <n v="5"/>
    <n v="3"/>
    <n v="8"/>
    <n v="5"/>
    <n v="3"/>
    <n v="0"/>
    <s v="Shot down by  a Mig-15 Russian Air Force fighter over the Baltic Sea in international waters while on a radio surveillance mission. Wreckage found 06/17/2003, recovered 03/19/2004."/>
    <n v="0"/>
    <n v="1"/>
    <x v="1"/>
  </r>
  <r>
    <n v="1328"/>
    <x v="1215"/>
    <x v="41"/>
    <x v="0"/>
    <d v="1899-12-30T09:49:00"/>
    <s v="Near Brighton, East Sussex, England"/>
    <s v="Morton Air Services"/>
    <s v="Unknown"/>
    <s v="Croydon - Le Mans"/>
    <x v="648"/>
    <s v="G-AHFT"/>
    <n v="2593"/>
    <n v="8"/>
    <n v="7"/>
    <n v="1"/>
    <n v="6"/>
    <n v="5"/>
    <n v="1"/>
    <s v="NULL"/>
    <s v="Ditched into the English Channel after losing the starboard engine possible due to carborateur icing."/>
    <n v="2"/>
    <n v="0.75"/>
    <x v="1"/>
  </r>
  <r>
    <n v="1329"/>
    <x v="1216"/>
    <x v="41"/>
    <x v="0"/>
    <s v="Unknown"/>
    <s v="Lakenheath AFB, England"/>
    <s v="Military - U.S. Air Force"/>
    <s v="Unknown"/>
    <s v="Unknown"/>
    <x v="649"/>
    <s v="Unknown"/>
    <s v="Unknown"/>
    <n v="11"/>
    <s v="NULL"/>
    <s v="NULL"/>
    <n v="11"/>
    <s v="NULL"/>
    <s v="NULL"/>
    <n v="0"/>
    <s v="After taking off from Larkenhealth AFB, the plane dropped out of a fortress of 10 aircraft and crashed and burned in the countryside between two farms."/>
    <n v="0"/>
    <n v="1"/>
    <x v="1"/>
  </r>
  <r>
    <n v="1330"/>
    <x v="1217"/>
    <x v="41"/>
    <x v="0"/>
    <s v="Unknown"/>
    <s v="Off Northumberland, North Sea"/>
    <s v="Military - Royal Air Force"/>
    <s v="Unknown"/>
    <s v="Scrampton RAF Station, England"/>
    <x v="650"/>
    <s v="VP261"/>
    <s v="Unknown"/>
    <n v="13"/>
    <n v="11"/>
    <n v="2"/>
    <n v="11"/>
    <n v="9"/>
    <n v="2"/>
    <n v="0"/>
    <s v="Crashed into the North Sea near Holy Island while participating in North Atlantic Treaty maneuvers."/>
    <n v="2"/>
    <n v="0.84615384615384615"/>
    <x v="1"/>
  </r>
  <r>
    <n v="1331"/>
    <x v="1218"/>
    <x v="41"/>
    <x v="0"/>
    <d v="1899-12-30T00:00:00"/>
    <s v="Whiting Field, near Milton, Florida"/>
    <s v="Military - Navy"/>
    <s v="Unknown"/>
    <s v="Corpus Christi - Norfork"/>
    <x v="651"/>
    <s v="Unknown"/>
    <s v="Unknown"/>
    <n v="46"/>
    <n v="40"/>
    <n v="6"/>
    <n v="41"/>
    <n v="37"/>
    <n v="4"/>
    <n v="0"/>
    <s v="The Marine cargo plane, carrying ROTC students taking part in summer training crashed while taking off after a refueling stop."/>
    <n v="5"/>
    <n v="0.89130434782608692"/>
    <x v="1"/>
  </r>
  <r>
    <n v="1332"/>
    <x v="1219"/>
    <x v="41"/>
    <x v="0"/>
    <d v="1899-12-30T11:46:00"/>
    <s v="Off Rio de Janeiro, Brazil"/>
    <s v="Pan American World Airways"/>
    <n v="201"/>
    <s v="Rio de Janeiro - Buenos Aires"/>
    <x v="652"/>
    <s v="N1030V"/>
    <n v="15939"/>
    <n v="27"/>
    <n v="19"/>
    <n v="8"/>
    <n v="1"/>
    <n v="1"/>
    <n v="0"/>
    <n v="0"/>
    <s v="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
    <n v="26"/>
    <n v="3.7037037037037035E-2"/>
    <x v="2"/>
  </r>
  <r>
    <n v="1333"/>
    <x v="1220"/>
    <x v="41"/>
    <x v="0"/>
    <s v="Unknown"/>
    <s v="Palmeira de Goias, Brazil"/>
    <s v="Transportes Areos Nacionales"/>
    <s v="Unknown"/>
    <s v="Rio Verde - Goiania"/>
    <x v="277"/>
    <s v="PP-ANH"/>
    <n v="20187"/>
    <n v="24"/>
    <n v="20"/>
    <n v="4"/>
    <n v="24"/>
    <n v="20"/>
    <n v="4"/>
    <n v="0"/>
    <s v="Exploded in midair. A bomb exploded aboard."/>
    <n v="0"/>
    <n v="1"/>
    <x v="1"/>
  </r>
  <r>
    <n v="1334"/>
    <x v="1221"/>
    <x v="41"/>
    <x v="0"/>
    <d v="1899-12-30T01:00:00"/>
    <s v="Off Trapani, Italy"/>
    <s v="Airwork"/>
    <s v="Unknown"/>
    <s v="Blackbushe - Malta - Khartoum"/>
    <x v="653"/>
    <s v="G-ALDF"/>
    <s v="HP-81/7"/>
    <n v="57"/>
    <n v="51"/>
    <n v="6"/>
    <n v="7"/>
    <n v="1"/>
    <n v="6"/>
    <n v="0"/>
    <s v="After failure of all four engines the plane ditched into the Mediterranean Sea. The initial failure of the No. 1 and 2 engines for reasons unknown."/>
    <n v="50"/>
    <n v="0.12280701754385964"/>
    <x v="2"/>
  </r>
  <r>
    <n v="1335"/>
    <x v="1222"/>
    <x v="41"/>
    <x v="0"/>
    <d v="1899-12-30T07:00:00"/>
    <s v="Near Khewra, West Pakistan"/>
    <s v="Military - Pakistan Air Force"/>
    <s v="Unknown"/>
    <s v="Khewra - Peshawar"/>
    <x v="654"/>
    <s v="G783"/>
    <s v="Unknown"/>
    <n v="18"/>
    <s v="NULL"/>
    <s v="NULL"/>
    <n v="18"/>
    <s v="NULL"/>
    <s v="NULL"/>
    <n v="0"/>
    <s v="Crashed shortly after taking off from Khewra. Possible engine failure."/>
    <n v="0"/>
    <n v="1"/>
    <x v="1"/>
  </r>
  <r>
    <n v="1336"/>
    <x v="1223"/>
    <x v="41"/>
    <x v="0"/>
    <d v="1899-12-30T21:05:00"/>
    <s v="Kosti, Sudan"/>
    <s v="Phoenix Airlines"/>
    <s v="Unknown"/>
    <s v="Juba - Wadi Halfa"/>
    <x v="316"/>
    <s v="ZS-DFW"/>
    <n v="1322"/>
    <n v="4"/>
    <n v="0"/>
    <n v="4"/>
    <n v="2"/>
    <n v="0"/>
    <n v="2"/>
    <n v="0"/>
    <s v="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
    <n v="2"/>
    <n v="0.5"/>
    <x v="0"/>
  </r>
  <r>
    <n v="1337"/>
    <x v="1224"/>
    <x v="41"/>
    <x v="0"/>
    <d v="1899-12-30T15:40:00"/>
    <s v="Near Farnsborough, England"/>
    <s v="Private - de Havilland Aircraft"/>
    <s v="Unknown"/>
    <s v="Unknown"/>
    <x v="655"/>
    <s v="WG235"/>
    <s v="Unknown"/>
    <n v="1"/>
    <n v="0"/>
    <n v="1"/>
    <n v="1"/>
    <n v="0"/>
    <n v="1"/>
    <n v="29"/>
    <s v="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
    <n v="0"/>
    <n v="1"/>
    <x v="1"/>
  </r>
  <r>
    <n v="1338"/>
    <x v="1225"/>
    <x v="41"/>
    <x v="0"/>
    <s v="Unknown"/>
    <s v="San Blas, Panama"/>
    <s v="SAM Colombia"/>
    <s v="Unknown"/>
    <s v="Unknown"/>
    <x v="469"/>
    <s v="Unknown"/>
    <s v="Unknown"/>
    <n v="46"/>
    <s v="NULL"/>
    <s v="NULL"/>
    <n v="46"/>
    <s v="NULL"/>
    <s v="NULL"/>
    <n v="0"/>
    <s v="No data available"/>
    <n v="0"/>
    <n v="1"/>
    <x v="1"/>
  </r>
  <r>
    <n v="1339"/>
    <x v="1226"/>
    <x v="41"/>
    <x v="0"/>
    <s v="Unknown"/>
    <s v="Wadi Halfa, Sudan"/>
    <s v="Kalinga Airlines"/>
    <s v="Unknown"/>
    <s v="Unknown"/>
    <x v="402"/>
    <s v="VT-CGB"/>
    <n v="9945"/>
    <n v="3"/>
    <n v="0"/>
    <n v="3"/>
    <n v="3"/>
    <n v="0"/>
    <n v="3"/>
    <n v="0"/>
    <s v="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
    <n v="0"/>
    <n v="1"/>
    <x v="1"/>
  </r>
  <r>
    <n v="1340"/>
    <x v="1227"/>
    <x v="41"/>
    <x v="0"/>
    <d v="1899-12-30T16:02:00"/>
    <s v="Skvoritsy, Russia"/>
    <s v="Aeroflot"/>
    <n v="376"/>
    <s v="Minsk - Leningrad"/>
    <x v="533"/>
    <s v="L1328"/>
    <n v="30054"/>
    <n v="21"/>
    <n v="19"/>
    <n v="5"/>
    <n v="21"/>
    <n v="19"/>
    <n v="5"/>
    <n v="0"/>
    <s v="Midair collision with a TC-62 aircraft. ATC error."/>
    <n v="0"/>
    <n v="1"/>
    <x v="1"/>
  </r>
  <r>
    <n v="1341"/>
    <x v="1228"/>
    <x v="41"/>
    <x v="0"/>
    <s v="Unknown"/>
    <s v="Off Tarbat Ness, Scotland"/>
    <s v="Military - Royal Air Force"/>
    <s v="Unknown"/>
    <s v="Unknown"/>
    <x v="650"/>
    <s v="VP286"/>
    <s v="Unknown"/>
    <n v="14"/>
    <n v="2"/>
    <n v="12"/>
    <n v="14"/>
    <n v="2"/>
    <n v="12"/>
    <n v="0"/>
    <s v="Was on air-sea practice when it crashed near Tarbat Ness."/>
    <n v="0"/>
    <n v="1"/>
    <x v="1"/>
  </r>
  <r>
    <n v="1342"/>
    <x v="1229"/>
    <x v="41"/>
    <x v="0"/>
    <s v="Unknown"/>
    <s v="San Fransisco do Paula, Brazil"/>
    <s v="Aero Brasil"/>
    <s v="Unknown"/>
    <s v="Sao Paulo - Porto Alegre"/>
    <x v="277"/>
    <s v="PP-AXJ"/>
    <n v="6177"/>
    <n v="28"/>
    <s v="NULL"/>
    <s v="NULL"/>
    <n v="14"/>
    <s v="NULL"/>
    <s v="NULL"/>
    <n v="0"/>
    <s v="After being cleared to land the aircraft struck high ground and burst int flames. Navigational error in not knowing where the aircraft was located. Poor weather."/>
    <n v="14"/>
    <n v="0.5"/>
    <x v="0"/>
  </r>
  <r>
    <n v="1343"/>
    <x v="1230"/>
    <x v="41"/>
    <x v="0"/>
    <s v="Unknown"/>
    <s v="Off Kangnung, South Korea"/>
    <s v="Military - U.S. Air Force"/>
    <s v="Unknown"/>
    <s v="Unknown"/>
    <x v="428"/>
    <s v="44-77538"/>
    <n v="32934"/>
    <n v="25"/>
    <n v="21"/>
    <n v="4"/>
    <n v="25"/>
    <n v="21"/>
    <n v="4"/>
    <n v="0"/>
    <s v="The aircraft crashed into the Sea of Japan while en route. No signs of the wreckage were ever found and only two bodies were recovered when they washed ashore."/>
    <n v="0"/>
    <n v="1"/>
    <x v="1"/>
  </r>
  <r>
    <n v="1344"/>
    <x v="1231"/>
    <x v="41"/>
    <x v="0"/>
    <d v="1899-12-30T08:30:00"/>
    <s v="Near Flagstaff, Arizona"/>
    <s v="Military - U.S. Air Force"/>
    <s v="Unknown"/>
    <s v="Unknown"/>
    <x v="656"/>
    <s v="52-2711"/>
    <n v="16733"/>
    <n v="16"/>
    <s v="NULL"/>
    <s v="NULL"/>
    <n v="16"/>
    <s v="NULL"/>
    <s v="NULL"/>
    <n v="0"/>
    <s v="Struck Gray Mountain in poor visibility while en route."/>
    <n v="0"/>
    <n v="1"/>
    <x v="1"/>
  </r>
  <r>
    <n v="1345"/>
    <x v="1232"/>
    <x v="41"/>
    <x v="0"/>
    <s v="Unknown"/>
    <s v="Lake Chad, Chad"/>
    <s v="Union Aeromaritime de Transport"/>
    <s v="Unknown"/>
    <s v="Fort Lamy - Beirut"/>
    <x v="616"/>
    <s v="F-BFVO"/>
    <n v="10498"/>
    <n v="6"/>
    <n v="1"/>
    <n v="5"/>
    <n v="5"/>
    <n v="1"/>
    <n v="4"/>
    <n v="0"/>
    <s v="No data available"/>
    <n v="1"/>
    <n v="0.83333333333333337"/>
    <x v="1"/>
  </r>
  <r>
    <n v="1346"/>
    <x v="1233"/>
    <x v="41"/>
    <x v="0"/>
    <d v="1899-12-30T03:00:00"/>
    <s v="Near Summit, Alaska"/>
    <s v="Military - U.S. Air Force"/>
    <s v="Unknown"/>
    <s v="Elmendorf AFB - Big Delta"/>
    <x v="657"/>
    <s v="51-2560A"/>
    <n v="10518"/>
    <n v="19"/>
    <n v="14"/>
    <n v="5"/>
    <n v="19"/>
    <n v="14"/>
    <n v="5"/>
    <n v="0"/>
    <s v="A course deviation led to the aircraft crashing into Mt. McKinley at an elevation of 12,000 ft."/>
    <n v="0"/>
    <n v="1"/>
    <x v="1"/>
  </r>
  <r>
    <n v="1347"/>
    <x v="1234"/>
    <x v="41"/>
    <x v="0"/>
    <d v="1899-12-30T14:45:00"/>
    <s v="Near Seoul, South Korea"/>
    <s v="Military - U.S. Air Force"/>
    <s v="Unknown"/>
    <s v="Unknown"/>
    <x v="657"/>
    <s v="51-2551A"/>
    <s v="Unknown"/>
    <n v="44"/>
    <n v="37"/>
    <n v="7"/>
    <n v="44"/>
    <n v="37"/>
    <n v="7"/>
    <n v="0"/>
    <s v="Struck a mountain at an elevation of 2,000 ft. as it prepared to land at U.S. military base K-16. The mountains were obscured by low clouds."/>
    <n v="0"/>
    <n v="1"/>
    <x v="1"/>
  </r>
  <r>
    <n v="1348"/>
    <x v="1235"/>
    <x v="41"/>
    <x v="0"/>
    <s v="Unknown"/>
    <s v="Near Anchorage, Alaska"/>
    <s v="Military - U.S. Air Force"/>
    <s v="Unknown"/>
    <s v="Elemndorf AFB - Kodiak NAS"/>
    <x v="657"/>
    <s v="51-2570"/>
    <n v="10528"/>
    <n v="20"/>
    <n v="15"/>
    <n v="5"/>
    <n v="20"/>
    <n v="15"/>
    <n v="5"/>
    <n v="0"/>
    <s v="Disappeared while en route. No trace of the aircraft was ever found."/>
    <n v="0"/>
    <n v="1"/>
    <x v="1"/>
  </r>
  <r>
    <n v="1349"/>
    <x v="1236"/>
    <x v="41"/>
    <x v="0"/>
    <s v="Unknown"/>
    <s v="Shepard, Montana"/>
    <s v="Military - U.S. Air Force"/>
    <s v="Unknown"/>
    <s v="Great Falls - Denver, Colorado"/>
    <x v="658"/>
    <s v="Unknown"/>
    <s v="Unknown"/>
    <n v="16"/>
    <s v="NULL"/>
    <s v="NULL"/>
    <n v="9"/>
    <s v="NULL"/>
    <s v="NULL"/>
    <n v="0"/>
    <s v="While en route, a propeller failed and punctured the fuselage after which vibrations caused the No. 1 engine to fall off. The pilot attempted to make an emergency landing. The plane crashed and came to rest in a muddy field."/>
    <n v="7"/>
    <n v="0.5625"/>
    <x v="0"/>
  </r>
  <r>
    <n v="1350"/>
    <x v="1237"/>
    <x v="41"/>
    <x v="0"/>
    <d v="1899-12-30T20:15:00"/>
    <s v="Mount Gannett, Alaska"/>
    <s v="Military - U.S. Air Force"/>
    <s v="Unknown"/>
    <s v="Unknown"/>
    <x v="620"/>
    <s v="51-107A"/>
    <n v="464096"/>
    <n v="52"/>
    <n v="41"/>
    <n v="11"/>
    <n v="52"/>
    <n v="41"/>
    <n v="11"/>
    <n v="0"/>
    <s v="Bound for Elmendorf Air Force Base, the aircraft struck the south slope of Mount Gannett. The plane drifted off course due to high winds. Wreckage found in 06/26/2012"/>
    <n v="0"/>
    <n v="1"/>
    <x v="1"/>
  </r>
  <r>
    <n v="1351"/>
    <x v="1238"/>
    <x v="41"/>
    <x v="0"/>
    <d v="1899-12-30T00:50:00"/>
    <s v="Near Tacoma, Washington"/>
    <s v="Military - U.S. Air Force"/>
    <s v="Unknown"/>
    <s v="Unknown"/>
    <x v="659"/>
    <s v="Unknown"/>
    <s v="Unknown"/>
    <n v="38"/>
    <n v="31"/>
    <n v="7"/>
    <n v="37"/>
    <n v="30"/>
    <n v="7"/>
    <n v="0"/>
    <s v="Crashed in poor visibility and fog after diverting to Great Falls. The No. 3 engine failed and the plane crashed into trees approximately 1 mile southwest of the airport. An 8-year old boy was the only survivor."/>
    <n v="1"/>
    <n v="0.97368421052631582"/>
    <x v="1"/>
  </r>
  <r>
    <n v="1352"/>
    <x v="1239"/>
    <x v="41"/>
    <x v="0"/>
    <s v="Unknown"/>
    <s v="Near Sofia, Bugaria"/>
    <s v="TABSO"/>
    <s v="Unknown"/>
    <s v="Sofia - Varna"/>
    <x v="420"/>
    <s v="Unknown"/>
    <s v="Unknown"/>
    <n v="18"/>
    <s v="NULL"/>
    <s v="NULL"/>
    <n v="18"/>
    <s v="NULL"/>
    <s v="NULL"/>
    <n v="0"/>
    <s v="Crashed en route."/>
    <n v="0"/>
    <n v="1"/>
    <x v="1"/>
  </r>
  <r>
    <n v="1353"/>
    <x v="1239"/>
    <x v="41"/>
    <x v="0"/>
    <d v="1899-12-30T04:40:00"/>
    <s v="Off Bermuda-Kindley Field, Bermuda"/>
    <s v="Cubana de Aviacion"/>
    <s v="Unknown"/>
    <s v="Madrid - Azores - Bermuda - Havana"/>
    <x v="487"/>
    <s v="CU-T397"/>
    <n v="10319"/>
    <n v="41"/>
    <n v="33"/>
    <n v="8"/>
    <n v="37"/>
    <n v="30"/>
    <n v="7"/>
    <n v="0"/>
    <s v="Crashed dived into the sea approximately 5 miles from the airport shortly after taking off. Cause unknown. The plane was called &quot;The Star of the East.&quot;"/>
    <n v="4"/>
    <n v="0.90243902439024393"/>
    <x v="1"/>
  </r>
  <r>
    <n v="1354"/>
    <x v="1240"/>
    <x v="41"/>
    <x v="0"/>
    <d v="1899-12-30T06:30:00"/>
    <s v="Moses Lake, Washington"/>
    <s v="Military - U.S. Air Force"/>
    <s v="Unknown"/>
    <s v="Unknown"/>
    <x v="620"/>
    <s v="50-100"/>
    <n v="43238"/>
    <n v="115"/>
    <n v="105"/>
    <n v="10"/>
    <n v="87"/>
    <n v="82"/>
    <n v="5"/>
    <n v="0"/>
    <s v="Within two minutes after takeoff the aircraft began to lose altitude. It crashed and burned into a snow laden field at the end of the airstrip. Failure of the pilot to remove the rudder and elevator locking pin prior to taking off."/>
    <n v="28"/>
    <n v="0.75652173913043474"/>
    <x v="1"/>
  </r>
  <r>
    <n v="1355"/>
    <x v="1241"/>
    <x v="41"/>
    <x v="0"/>
    <s v="Unknown"/>
    <s v="Off Miami, Florida"/>
    <s v="Rutas AÃ©reas Nacionales SA"/>
    <s v="Unknown"/>
    <s v="Unknown"/>
    <x v="438"/>
    <s v="YV-C-ARC"/>
    <n v="33486"/>
    <n v="3"/>
    <n v="0"/>
    <n v="3"/>
    <n v="3"/>
    <n v="0"/>
    <n v="3"/>
    <n v="0"/>
    <s v="Disappeared over the Atlantic. Never found."/>
    <n v="0"/>
    <n v="1"/>
    <x v="1"/>
  </r>
  <r>
    <n v="1356"/>
    <x v="1242"/>
    <x v="41"/>
    <x v="0"/>
    <s v="Unknown"/>
    <s v="Damascus, Syria"/>
    <s v="Syrian Air"/>
    <s v="Unknown"/>
    <s v="Unknown"/>
    <x v="277"/>
    <s v="Unknown"/>
    <s v="Unknown"/>
    <s v="NULL"/>
    <s v="NULL"/>
    <s v="NULL"/>
    <n v="9"/>
    <s v="NULL"/>
    <s v="NULL"/>
    <s v="NULL"/>
    <s v="No data available"/>
    <s v="NULL"/>
    <n v="0"/>
    <x v="2"/>
  </r>
  <r>
    <n v="1357"/>
    <x v="1243"/>
    <x v="41"/>
    <x v="0"/>
    <s v="Unknown"/>
    <s v="Off Caracas, Venezuela"/>
    <s v="Avensa"/>
    <s v="Unknown"/>
    <s v="Unknown"/>
    <x v="277"/>
    <s v="YV-C-AVX"/>
    <n v="7391"/>
    <n v="5"/>
    <s v="NULL"/>
    <s v="NULL"/>
    <n v="3"/>
    <s v="NULL"/>
    <s v="NULL"/>
    <n v="0"/>
    <s v="Lost altitude and ditched near shore after taking off."/>
    <n v="2"/>
    <n v="0.6"/>
    <x v="0"/>
  </r>
  <r>
    <n v="1358"/>
    <x v="1243"/>
    <x v="41"/>
    <x v="0"/>
    <s v="Unknown"/>
    <s v="Tehran, Iran"/>
    <s v="Iran Air"/>
    <s v="Unknown"/>
    <s v="Abadan - Tehran"/>
    <x v="277"/>
    <s v="EP-ACJ"/>
    <n v="9692"/>
    <n v="29"/>
    <n v="25"/>
    <n v="4"/>
    <n v="27"/>
    <n v="23"/>
    <n v="4"/>
    <n v="0"/>
    <s v="Crashed while landing."/>
    <n v="2"/>
    <n v="0.93103448275862066"/>
    <x v="1"/>
  </r>
  <r>
    <n v="1359"/>
    <x v="1244"/>
    <x v="41"/>
    <x v="0"/>
    <s v="Unknown"/>
    <s v="Chinmen Island, Taiwan"/>
    <s v="Philippine Air Lines"/>
    <s v="Unknown"/>
    <s v="Unknown"/>
    <x v="277"/>
    <s v="PI-C38"/>
    <s v="Unknown"/>
    <n v="10"/>
    <n v="7"/>
    <n v="3"/>
    <n v="2"/>
    <n v="0"/>
    <n v="2"/>
    <n v="0"/>
    <s v="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
    <n v="8"/>
    <n v="0.2"/>
    <x v="2"/>
  </r>
  <r>
    <n v="1360"/>
    <x v="1245"/>
    <x v="42"/>
    <x v="0"/>
    <d v="1899-12-30T21:39:00"/>
    <s v="Belfast, Northern Ireland"/>
    <s v="British European Airways"/>
    <s v="Unknown"/>
    <s v="Northolt - Belfast"/>
    <x v="660"/>
    <s v="G-AJDL"/>
    <n v="262"/>
    <n v="35"/>
    <n v="31"/>
    <n v="4"/>
    <n v="27"/>
    <n v="24"/>
    <n v="3"/>
    <n v="0"/>
    <s v="Crashed into approach lights while attempting to land.  Error of judgement on the part of the pilot."/>
    <n v="8"/>
    <n v="0.77142857142857146"/>
    <x v="1"/>
  </r>
  <r>
    <n v="1361"/>
    <x v="1246"/>
    <x v="42"/>
    <x v="0"/>
    <d v="1899-12-30T20:55:00"/>
    <s v="Issaquah, Washington"/>
    <s v="Flying Tiger Line"/>
    <n v="841"/>
    <s v="Seattle - Cheyenne - Fort Jackson"/>
    <x v="661"/>
    <s v="N86574"/>
    <n v="18350"/>
    <n v="7"/>
    <n v="3"/>
    <n v="4"/>
    <n v="7"/>
    <n v="3"/>
    <n v="4"/>
    <n v="0"/>
    <s v="The plane struck a tree on a mountain ridge at an elevation of 1,620 feet. Following impact with the tree the aircraft continued flying and finally struck the ground in a canyon 1,500 feet below and caught fire. The flight's deviation from the established approach procedure."/>
    <n v="0"/>
    <n v="1"/>
    <x v="1"/>
  </r>
  <r>
    <n v="1362"/>
    <x v="1246"/>
    <x v="42"/>
    <x v="0"/>
    <d v="1899-12-30T04:12:00"/>
    <s v="Fish Haven, Idaho"/>
    <s v="Associated Air Transport"/>
    <s v="1-6-6A"/>
    <s v="Boeing Field - Cheyenne"/>
    <x v="469"/>
    <s v="N1648M"/>
    <n v="22395"/>
    <n v="40"/>
    <n v="37"/>
    <n v="3"/>
    <n v="40"/>
    <n v="37"/>
    <n v="3"/>
    <n v="0"/>
    <s v="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
    <n v="0"/>
    <n v="1"/>
    <x v="1"/>
  </r>
  <r>
    <n v="1363"/>
    <x v="1247"/>
    <x v="42"/>
    <x v="0"/>
    <d v="1899-12-30T04:48:00"/>
    <s v="25 nm off Agrigento, Italy"/>
    <s v="Military -Royal Air Force"/>
    <s v="-"/>
    <s v="Unknown"/>
    <x v="662"/>
    <s v="VX562 / TX270"/>
    <s v="Unknown"/>
    <n v="26"/>
    <n v="16"/>
    <n v="10"/>
    <n v="26"/>
    <n v="16"/>
    <n v="10"/>
    <n v="0"/>
    <s v="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
    <n v="0"/>
    <n v="1"/>
    <x v="1"/>
  </r>
  <r>
    <n v="1364"/>
    <x v="1248"/>
    <x v="42"/>
    <x v="0"/>
    <d v="1899-12-30T11:44:00"/>
    <s v="Sinnai, Sardinia, Italy"/>
    <s v="Linee Aeree Italiane"/>
    <s v="Unknown"/>
    <s v="Cagliari - Rome"/>
    <x v="277"/>
    <s v="I-LAIL"/>
    <n v="4308"/>
    <n v="19"/>
    <n v="15"/>
    <n v="4"/>
    <n v="19"/>
    <n v="15"/>
    <n v="4"/>
    <n v="0"/>
    <s v="Crashed 10 miles east of Cagliari in the Sinnai mountains after a wing failed due to overstressing."/>
    <n v="0"/>
    <n v="1"/>
    <x v="1"/>
  </r>
  <r>
    <n v="1365"/>
    <x v="1249"/>
    <x v="42"/>
    <x v="0"/>
    <d v="1899-12-30T05:30:00"/>
    <s v="Off Newfoundland, Canada"/>
    <s v="Lancashire Aircraft Corporation (Skyways)"/>
    <s v="Unknown"/>
    <s v="Lajes, Azores - Gander"/>
    <x v="485"/>
    <s v="G-AHFA"/>
    <n v="1304"/>
    <n v="39"/>
    <n v="33"/>
    <n v="6"/>
    <n v="39"/>
    <n v="33"/>
    <n v="6"/>
    <n v="0"/>
    <s v="Last know coordinates 46' 15&quot; N, 46'31&quot;W, over the North Atlantic. A distress message was received. No trace of the aircraft or its occupants were ever found."/>
    <n v="0"/>
    <n v="1"/>
    <x v="1"/>
  </r>
  <r>
    <n v="1366"/>
    <x v="1250"/>
    <x v="42"/>
    <x v="0"/>
    <s v="Unknown"/>
    <s v="Lai Chau, Vietnam"/>
    <s v="Air Outremer"/>
    <s v="Unknown"/>
    <s v="Unknown"/>
    <x v="663"/>
    <s v="F-OAFR"/>
    <s v="15283/26728"/>
    <n v="18"/>
    <n v="15"/>
    <n v="3"/>
    <n v="18"/>
    <n v="15"/>
    <n v="3"/>
    <n v="0"/>
    <s v="Destroyed by detonation of a bomb."/>
    <n v="0"/>
    <n v="1"/>
    <x v="1"/>
  </r>
  <r>
    <n v="1367"/>
    <x v="1251"/>
    <x v="42"/>
    <x v="0"/>
    <d v="1899-12-30T10:28:00"/>
    <s v="Bordeaux, France"/>
    <s v="UTA"/>
    <s v="Unknown"/>
    <s v="Abidjan - Bordeaux"/>
    <x v="664"/>
    <s v="F-BFGR"/>
    <n v="10290"/>
    <n v="19"/>
    <n v="13"/>
    <n v="6"/>
    <n v="9"/>
    <n v="3"/>
    <n v="6"/>
    <n v="0"/>
    <s v="Crashed into a grove of small trees and burst into flames while trying to land in heavy fog. Misjudgement by the pilot. Wrong altimeter setting."/>
    <n v="10"/>
    <n v="0.47368421052631576"/>
    <x v="0"/>
  </r>
  <r>
    <n v="1368"/>
    <x v="1252"/>
    <x v="42"/>
    <x v="0"/>
    <d v="1899-12-30T19:00:00"/>
    <s v="Cairo, Egypt"/>
    <s v="Military - Egyptian Air Force"/>
    <s v="Unknown"/>
    <s v="Al Arish - Cairo"/>
    <x v="665"/>
    <n v="1001"/>
    <s v="Unknown"/>
    <n v="40"/>
    <n v="35"/>
    <n v="5"/>
    <n v="29"/>
    <n v="24"/>
    <n v="5"/>
    <n v="0"/>
    <s v="Crashed into a hill during a sandstorm 50 km northeast of Cairo."/>
    <n v="11"/>
    <n v="0.72499999999999998"/>
    <x v="1"/>
  </r>
  <r>
    <n v="1369"/>
    <x v="1253"/>
    <x v="42"/>
    <x v="0"/>
    <d v="1899-12-30T17:10:00"/>
    <s v="Off Mobile, Alabama"/>
    <s v="National Airlines"/>
    <n v="470"/>
    <s v="Miami - Orlando - New Orleans"/>
    <x v="528"/>
    <s v="N90893"/>
    <s v="43057/73"/>
    <n v="46"/>
    <n v="41"/>
    <n v="5"/>
    <n v="46"/>
    <n v="41"/>
    <n v="5"/>
    <n v="0"/>
    <s v="The aircraft crashed into the Gulf of Mexico off Mobile, Alabama. The aircraft broke up in the turbulence of a &quot;frontal wave&quot;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
    <n v="0"/>
    <n v="1"/>
    <x v="1"/>
  </r>
  <r>
    <n v="1370"/>
    <x v="1254"/>
    <x v="42"/>
    <x v="0"/>
    <d v="1899-12-30T03:35:00"/>
    <s v="Karachi, Pakistan"/>
    <s v="Canadian Pacific Air Lines"/>
    <s v="Unknown"/>
    <s v="Karachi - Rangoon"/>
    <x v="666"/>
    <s v="CF-CUN"/>
    <n v="6014"/>
    <n v="11"/>
    <n v="6"/>
    <n v="5"/>
    <n v="11"/>
    <n v="6"/>
    <n v="5"/>
    <n v="0"/>
    <s v="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
    <n v="0"/>
    <n v="1"/>
    <x v="1"/>
  </r>
  <r>
    <n v="1371"/>
    <x v="1255"/>
    <x v="42"/>
    <x v="0"/>
    <d v="1899-12-30T01:50:00"/>
    <s v="Windsor Locks, Connecticut"/>
    <s v="Slick Airways"/>
    <n v="162"/>
    <s v="New York, NY - Winsor Locks, CT"/>
    <x v="667"/>
    <s v="N4717N"/>
    <n v="22400"/>
    <n v="2"/>
    <n v="0"/>
    <n v="2"/>
    <n v="2"/>
    <n v="0"/>
    <n v="2"/>
    <n v="0"/>
    <s v="After missing his first approach to the airport, the pilot displayed poor judgement in attempting a circle under the overcast in rain and at night, rather than execute a standard instrument approach."/>
    <n v="0"/>
    <n v="1"/>
    <x v="1"/>
  </r>
  <r>
    <n v="1372"/>
    <x v="1256"/>
    <x v="42"/>
    <x v="0"/>
    <s v="Unknown"/>
    <s v="Kalasahar, India"/>
    <s v="Orient Airways"/>
    <s v="Unknown"/>
    <s v="Delhi - Dacca"/>
    <x v="668"/>
    <s v="AP-AEG"/>
    <n v="82"/>
    <n v="16"/>
    <n v="11"/>
    <n v="5"/>
    <n v="16"/>
    <n v="11"/>
    <n v="5"/>
    <n v="0"/>
    <s v="Crashed into a mountain while en route in severe weather. The pilot descended in poor visibility in order to find his position."/>
    <n v="0"/>
    <n v="1"/>
    <x v="1"/>
  </r>
  <r>
    <n v="1373"/>
    <x v="1257"/>
    <x v="42"/>
    <x v="0"/>
    <s v="Unknown"/>
    <s v="Off Da Nang, Vietnam"/>
    <s v="Aigle Azur"/>
    <s v="Unknown"/>
    <s v="Hue - Da Nang"/>
    <x v="277"/>
    <s v="F-BEFG"/>
    <n v="19105"/>
    <n v="8"/>
    <s v="NULL"/>
    <s v="NULL"/>
    <n v="8"/>
    <s v="NULL"/>
    <s v="NULL"/>
    <n v="0"/>
    <s v="Crashed into the sea in poor weather conditions."/>
    <n v="0"/>
    <n v="1"/>
    <x v="1"/>
  </r>
  <r>
    <n v="1374"/>
    <x v="1258"/>
    <x v="42"/>
    <x v="0"/>
    <d v="1899-12-30T04:10:00"/>
    <s v="Random Island, Newfoundland"/>
    <s v="Military - U.S. Air Force"/>
    <s v="Unknown"/>
    <s v="Lajes - Saint Johnâ€™s - Rapid City"/>
    <x v="669"/>
    <s v="51-13721A"/>
    <s v="Unknown"/>
    <n v="23"/>
    <n v="18"/>
    <n v="5"/>
    <n v="23"/>
    <n v="18"/>
    <n v="5"/>
    <n v="0"/>
    <s v="The aircraft, flying low over the Atlantic Ocean, was to have flown higher when it reached the coast. Tail-winds caused the aircraft to arrive earlier and the plane hit a hill in low cloud cover."/>
    <n v="0"/>
    <n v="1"/>
    <x v="1"/>
  </r>
  <r>
    <n v="1375"/>
    <x v="1259"/>
    <x v="42"/>
    <x v="0"/>
    <d v="1899-12-30T18:38:00"/>
    <s v="Alvarado, California"/>
    <s v="Transocean Air Lines"/>
    <n v="942"/>
    <s v="Roswell - Oakland - Guam"/>
    <x v="670"/>
    <s v="N88942"/>
    <n v="36076"/>
    <n v="35"/>
    <n v="30"/>
    <n v="5"/>
    <n v="35"/>
    <n v="30"/>
    <n v="5"/>
    <n v="0"/>
    <s v="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
    <n v="0"/>
    <n v="1"/>
    <x v="1"/>
  </r>
  <r>
    <n v="1376"/>
    <x v="1260"/>
    <x v="42"/>
    <x v="0"/>
    <s v="Unknown"/>
    <s v="Itapebi, Brazil"/>
    <s v="Transportes AÃ©reos Salvador"/>
    <s v="Unknown"/>
    <s v="Unknown"/>
    <x v="671"/>
    <s v="PP-SLG"/>
    <n v="14004"/>
    <n v="14"/>
    <n v="12"/>
    <n v="2"/>
    <n v="14"/>
    <n v="12"/>
    <n v="2"/>
    <n v="0"/>
    <s v="The pilot aborted the takeoff after loosing the No. 2 engine and was unable to stop on the remaining runway. Error of judgment on the part of the pilot in not continuing the takeoff with three engines still operating"/>
    <n v="0"/>
    <n v="1"/>
    <x v="1"/>
  </r>
  <r>
    <n v="1377"/>
    <x v="1261"/>
    <x v="42"/>
    <x v="0"/>
    <s v="Unknown"/>
    <s v="Mtara, Tanganyika"/>
    <s v="Central African Airways"/>
    <s v="Unknown"/>
    <s v="Nairobi - Dar-es-Salaam"/>
    <x v="672"/>
    <s v="VP-YEY"/>
    <n v="168"/>
    <n v="13"/>
    <n v="8"/>
    <n v="5"/>
    <n v="13"/>
    <n v="8"/>
    <n v="5"/>
    <n v="0"/>
    <s v="Crashed after a wing failed due to metal fatigue cracks after the aircraft encountered strong winds. A wrong type of grease used when fitting press fit bolts to the booms caused corrosion, thus weakening the lower starboard boom at the outboard bolt hole."/>
    <n v="0"/>
    <n v="1"/>
    <x v="1"/>
  </r>
  <r>
    <n v="1378"/>
    <x v="1262"/>
    <x v="42"/>
    <x v="0"/>
    <s v="Unknown"/>
    <s v="Near Anchieta Island, Brazil"/>
    <s v="REAL"/>
    <s v="Unknown"/>
    <s v="Unknown"/>
    <x v="673"/>
    <s v="Unknown"/>
    <s v="Unknown"/>
    <s v="NULL"/>
    <s v="NULL"/>
    <s v="NULL"/>
    <n v="26"/>
    <s v="NULL"/>
    <s v="NULL"/>
    <s v="NULL"/>
    <s v="No data available"/>
    <s v="NULL"/>
    <n v="0"/>
    <x v="2"/>
  </r>
  <r>
    <n v="1379"/>
    <x v="1262"/>
    <x v="42"/>
    <x v="0"/>
    <s v="Unknown"/>
    <s v="Off Kingston, Jamaica"/>
    <s v="Caribbean International Airways"/>
    <s v="Unknown"/>
    <s v="Kingston - George Town"/>
    <x v="398"/>
    <s v="VP-JBC"/>
    <n v="2568"/>
    <n v="13"/>
    <n v="10"/>
    <n v="3"/>
    <n v="13"/>
    <n v="10"/>
    <n v="3"/>
    <n v="0"/>
    <s v="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
    <n v="0"/>
    <n v="1"/>
    <x v="1"/>
  </r>
  <r>
    <n v="1380"/>
    <x v="1262"/>
    <x v="42"/>
    <x v="0"/>
    <s v="Unknown"/>
    <s v="Miandivazo, Madagascar"/>
    <s v="Air France"/>
    <s v="Unknown"/>
    <s v="Miandrivazo - Antananarivo"/>
    <x v="674"/>
    <s v="F-BALE"/>
    <n v="90"/>
    <n v="15"/>
    <n v="12"/>
    <n v="3"/>
    <n v="4"/>
    <n v="1"/>
    <n v="3"/>
    <n v="0"/>
    <s v="The cargo plane crashed on take off after experiencing duel engine failure."/>
    <n v="11"/>
    <n v="0.26666666666666666"/>
    <x v="2"/>
  </r>
  <r>
    <n v="1381"/>
    <x v="1263"/>
    <x v="42"/>
    <x v="0"/>
    <d v="1899-12-30T02:22:00"/>
    <s v="Selleck, Washington"/>
    <s v="Miami Airlines"/>
    <s v="Unknown"/>
    <s v="Spokane - Ellenburgh"/>
    <x v="570"/>
    <s v="N65743"/>
    <n v="20432"/>
    <n v="25"/>
    <n v="22"/>
    <n v="3"/>
    <n v="7"/>
    <n v="5"/>
    <n v="2"/>
    <n v="0"/>
    <s v="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
    <n v="18"/>
    <n v="0.28000000000000003"/>
    <x v="2"/>
  </r>
  <r>
    <n v="1382"/>
    <x v="1263"/>
    <x v="42"/>
    <x v="0"/>
    <s v="Unknown"/>
    <s v="Near Guwahati, India"/>
    <s v="Airways"/>
    <s v="Unknown"/>
    <s v="Guwahati - Calcutta"/>
    <x v="402"/>
    <s v="VT-AUJ"/>
    <n v="19149"/>
    <n v="3"/>
    <n v="0"/>
    <n v="3"/>
    <n v="3"/>
    <n v="0"/>
    <n v="3"/>
    <n v="0"/>
    <s v="The cargo plane broke apart in midair and crashed in the Khasi hills. The port wing failed in the air due to an upload as a result of being subjected to loads greater than those for which it was designed."/>
    <n v="0"/>
    <n v="1"/>
    <x v="1"/>
  </r>
  <r>
    <n v="1383"/>
    <x v="1264"/>
    <x v="42"/>
    <x v="0"/>
    <s v="Unknown"/>
    <s v="NW of Hanoi, Vietnam"/>
    <s v="Aigle Azur"/>
    <s v="Unknown"/>
    <s v="Hanoi - Na San"/>
    <x v="277"/>
    <s v="F-BESS"/>
    <n v="19498"/>
    <n v="30"/>
    <n v="27"/>
    <n v="3"/>
    <n v="30"/>
    <n v="27"/>
    <n v="3"/>
    <n v="0"/>
    <s v="Crashed after takeoff due to wing failure."/>
    <n v="0"/>
    <n v="1"/>
    <x v="1"/>
  </r>
  <r>
    <n v="1384"/>
    <x v="1265"/>
    <x v="42"/>
    <x v="0"/>
    <d v="1899-12-30T23:08:00"/>
    <s v="San Francisco Bay, California"/>
    <s v="Western Airlines"/>
    <n v="636"/>
    <s v="Los Angeles - San Francisco - Oakland"/>
    <x v="626"/>
    <s v="N91303"/>
    <n v="43823"/>
    <n v="10"/>
    <n v="5"/>
    <n v="5"/>
    <n v="8"/>
    <n v="4"/>
    <n v="4"/>
    <n v="0"/>
    <s v="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
    <n v="2"/>
    <n v="0.8"/>
    <x v="1"/>
  </r>
  <r>
    <n v="1385"/>
    <x v="1266"/>
    <x v="42"/>
    <x v="0"/>
    <d v="1899-12-30T16:35:00"/>
    <s v="Near Jalalogori, West Bengal, India"/>
    <s v="British Overseas Airways"/>
    <s v="783/057"/>
    <s v="Calcutta - Delhi"/>
    <x v="675"/>
    <s v="G-ALYV"/>
    <n v="6008"/>
    <n v="43"/>
    <n v="37"/>
    <n v="6"/>
    <n v="43"/>
    <n v="37"/>
    <n v="6"/>
    <n v="0"/>
    <s v="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quot;York Victor.&quot;"/>
    <n v="0"/>
    <n v="1"/>
    <x v="1"/>
  </r>
  <r>
    <n v="1386"/>
    <x v="1267"/>
    <x v="42"/>
    <x v="0"/>
    <s v="Unknown"/>
    <s v="Off Hartland Point, England"/>
    <s v="Military - Royal Air Force"/>
    <s v="Unknown"/>
    <s v="Training"/>
    <x v="676"/>
    <s v="WG258"/>
    <n v="506"/>
    <n v="10"/>
    <n v="0"/>
    <n v="10"/>
    <n v="10"/>
    <n v="0"/>
    <n v="10"/>
    <n v="0"/>
    <s v="Crashed into the sea. Unknown cause."/>
    <n v="0"/>
    <n v="1"/>
    <x v="1"/>
  </r>
  <r>
    <n v="1387"/>
    <x v="1268"/>
    <x v="42"/>
    <x v="0"/>
    <d v="1899-12-30T01:28:00"/>
    <s v="New Delhi, India"/>
    <s v="Air India"/>
    <s v="Unknown"/>
    <s v="Delh - Ahmedabad - Bombay"/>
    <x v="277"/>
    <s v="VT-AUD"/>
    <n v="13716"/>
    <n v="18"/>
    <n v="13"/>
    <n v="5"/>
    <n v="18"/>
    <n v="13"/>
    <n v="5"/>
    <n v="0"/>
    <s v="Stalled following takeoff. An error of judgement by the pilot, who executed a steep starboard turn. He could not come out of the overbanked turn in time because of the low altitude. Inexperience of the pilot with the type of the aircraft which he was flying."/>
    <n v="0"/>
    <n v="1"/>
    <x v="1"/>
  </r>
  <r>
    <n v="1388"/>
    <x v="1269"/>
    <x v="42"/>
    <x v="0"/>
    <s v="Unknown"/>
    <s v="Prince Rupert, BC, Canada"/>
    <s v="Canadian Pacific Air Lines"/>
    <s v="Unknown"/>
    <s v="Sandpit - Prince Rupert"/>
    <x v="522"/>
    <s v="CF-CRV"/>
    <n v="21984"/>
    <n v="19"/>
    <n v="16"/>
    <n v="3"/>
    <n v="2"/>
    <n v="1"/>
    <n v="1"/>
    <n v="0"/>
    <s v="Crashed while attempting to land.  Misuse of controls after the aircraft touched down on the water. The aircraft  bounced several times with the final bounce being so severe the nose section was torn off."/>
    <n v="17"/>
    <n v="0.10526315789473684"/>
    <x v="2"/>
  </r>
  <r>
    <n v="1389"/>
    <x v="1270"/>
    <x v="42"/>
    <x v="0"/>
    <d v="1899-12-30T14:15:00"/>
    <s v="Near Marshall, Texas"/>
    <s v="Delta Air Lines"/>
    <n v="318"/>
    <s v="Dallas - Shreveport"/>
    <x v="277"/>
    <s v="N28345"/>
    <n v="2224"/>
    <n v="20"/>
    <n v="17"/>
    <n v="3"/>
    <n v="19"/>
    <n v="16"/>
    <n v="3"/>
    <n v="0"/>
    <s v="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
    <n v="1"/>
    <n v="0.95"/>
    <x v="1"/>
  </r>
  <r>
    <n v="1390"/>
    <x v="1271"/>
    <x v="42"/>
    <x v="0"/>
    <d v="1899-12-30T04:18:00"/>
    <s v="St. Louis, Missouri"/>
    <s v="Meteor Air"/>
    <s v="Unknown"/>
    <s v="Teterboro - Saint Louis"/>
    <x v="277"/>
    <s v="N53596"/>
    <n v="20433"/>
    <n v="7"/>
    <n v="2"/>
    <n v="5"/>
    <n v="6"/>
    <n v="1"/>
    <n v="5"/>
    <s v="NULL"/>
    <s v="Mismanagement of fuel resulting in loss of power and control while circling the field preparatory to an approach for landing."/>
    <n v="1"/>
    <n v="0.8571428571428571"/>
    <x v="1"/>
  </r>
  <r>
    <n v="1391"/>
    <x v="1272"/>
    <x v="42"/>
    <x v="0"/>
    <d v="1899-12-30T15:30:00"/>
    <s v="Amsterdam, Netherlands"/>
    <s v="KLM Royal Dutch Airlines"/>
    <s v="Unknown"/>
    <s v="Amsterdam - Paris"/>
    <x v="677"/>
    <s v="PH-TEI"/>
    <n v="125"/>
    <n v="34"/>
    <n v="28"/>
    <n v="6"/>
    <n v="0"/>
    <n v="0"/>
    <n v="0"/>
    <n v="2"/>
    <s v="While taking off the plane reached a height of about  50 ft. after which flaps were retracted. The plane began to lose height and crash landed into a meadow. While no one on the plane died, two girls on a bicycle path were killed."/>
    <n v="34"/>
    <n v="0"/>
    <x v="2"/>
  </r>
  <r>
    <n v="1392"/>
    <x v="1273"/>
    <x v="42"/>
    <x v="0"/>
    <d v="1899-12-30T03:50:00"/>
    <s v="Goose Wade, Russia"/>
    <s v="Aeroflot"/>
    <n v="18"/>
    <s v="Krasnoyarsk - Novosibirsk"/>
    <x v="678"/>
    <s v="CCCP-L4534"/>
    <n v="18429005"/>
    <n v="20"/>
    <n v="16"/>
    <n v="11"/>
    <n v="20"/>
    <n v="16"/>
    <n v="11"/>
    <n v="0"/>
    <s v="Midair collision. Crew did not follow the prescribed route. Inadequate preparation for flight. Tweny killed on the Li-2 and seven crew on the Li-2T"/>
    <n v="0"/>
    <n v="1"/>
    <x v="1"/>
  </r>
  <r>
    <n v="1393"/>
    <x v="1274"/>
    <x v="42"/>
    <x v="0"/>
    <d v="1899-12-30T16:35:00"/>
    <s v="Near  Zugdidi, Georgia"/>
    <s v="Aeroflot"/>
    <n v="229"/>
    <s v="Krasnodar - Tbilisi"/>
    <x v="679"/>
    <s v="CCCP-L1375"/>
    <n v="30103"/>
    <n v="18"/>
    <n v="12"/>
    <n v="6"/>
    <n v="18"/>
    <n v="12"/>
    <n v="6"/>
    <n v="0"/>
    <s v="Crashed after being struck by lightning. Poor planning by the crew in entering an area of deteriorating weather conditions."/>
    <n v="0"/>
    <n v="1"/>
    <x v="1"/>
  </r>
  <r>
    <n v="1394"/>
    <x v="1275"/>
    <x v="42"/>
    <x v="0"/>
    <s v="Unknown"/>
    <s v="Near Reo Copiapo, Chile"/>
    <s v="LAN Chile"/>
    <s v="Unknown"/>
    <s v="CopiapÃ³ - Santiago"/>
    <x v="367"/>
    <s v="CC-CLD-0100"/>
    <n v="2617"/>
    <n v="7"/>
    <n v="5"/>
    <n v="2"/>
    <n v="7"/>
    <n v="5"/>
    <n v="2"/>
    <n v="0"/>
    <s v="Crashed after taking off. Engine fire."/>
    <n v="0"/>
    <n v="1"/>
    <x v="1"/>
  </r>
  <r>
    <n v="1395"/>
    <x v="1275"/>
    <x v="42"/>
    <x v="0"/>
    <s v="Unknown"/>
    <s v="San Ramon Mtns., Costa Rica"/>
    <s v="LACSA"/>
    <s v="Unknown"/>
    <s v="Palmar Sur - San Isidoro"/>
    <x v="277"/>
    <s v="TI-1002"/>
    <s v="14633/26078"/>
    <n v="17"/>
    <n v="14"/>
    <n v="3"/>
    <n v="9"/>
    <n v="6"/>
    <n v="3"/>
    <n v="0"/>
    <s v="Crashed into the San Ramone mountains while attempting to land in poor weather."/>
    <n v="8"/>
    <n v="0.52941176470588236"/>
    <x v="0"/>
  </r>
  <r>
    <n v="1396"/>
    <x v="1276"/>
    <x v="42"/>
    <x v="0"/>
    <s v="Unknown"/>
    <s v="Mount Phou-Lassy, French Indo-China"/>
    <s v="Aigle Azur"/>
    <s v="Unknown"/>
    <s v="Vientiane - Saigon"/>
    <x v="277"/>
    <s v="F-BEST"/>
    <n v="19100"/>
    <n v="34"/>
    <n v="31"/>
    <n v="3"/>
    <n v="34"/>
    <n v="31"/>
    <n v="3"/>
    <n v="0"/>
    <s v="Crashed after on-board fire.  Possibly shot down."/>
    <n v="0"/>
    <n v="1"/>
    <x v="1"/>
  </r>
  <r>
    <n v="1397"/>
    <x v="1277"/>
    <x v="42"/>
    <x v="0"/>
    <d v="1899-12-30T22:00:00"/>
    <s v="Sao Paulo, Brazil"/>
    <s v="Panair do Brasil"/>
    <s v="Unknown"/>
    <s v="London - Bueno Aires"/>
    <x v="518"/>
    <s v="PP-PDA"/>
    <n v="2066"/>
    <n v="17"/>
    <n v="10"/>
    <n v="7"/>
    <n v="17"/>
    <n v="10"/>
    <n v="7"/>
    <n v="0"/>
    <s v="Crashed while on final approach to Sao Paulo. Error of judgement by the crew during poor visibility at night."/>
    <n v="0"/>
    <n v="1"/>
    <x v="1"/>
  </r>
  <r>
    <n v="1398"/>
    <x v="1278"/>
    <x v="42"/>
    <x v="0"/>
    <d v="1899-12-30T16:34:00"/>
    <s v="Tachikawa AFB, Tokyo, Japan"/>
    <s v="Military - U.S. Air Force"/>
    <s v="Unknown"/>
    <s v="Tachikawa AB - Kimpo AB"/>
    <x v="680"/>
    <s v="51-137A"/>
    <n v="43471"/>
    <n v="129"/>
    <n v="122"/>
    <n v="7"/>
    <n v="129"/>
    <n v="122"/>
    <n v="7"/>
    <n v="0"/>
    <s v="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
    <n v="0"/>
    <n v="1"/>
    <x v="1"/>
  </r>
  <r>
    <n v="1399"/>
    <x v="1279"/>
    <x v="42"/>
    <x v="0"/>
    <d v="1899-12-30T08:41:00"/>
    <s v="Pacific Ocean, 325 miles east of Wake Island"/>
    <s v="Transocean Air Lines"/>
    <n v="512"/>
    <s v="Wake Island - Honolulu - Oakland"/>
    <x v="681"/>
    <s v="N90806"/>
    <s v="42901/153"/>
    <n v="58"/>
    <n v="50"/>
    <n v="8"/>
    <n v="58"/>
    <n v="50"/>
    <n v="8"/>
    <n v="0"/>
    <s v="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quot;falling in&quot; written on it. There is some speculation that a bomb caused the accident. The aircraft was named &quot;The Royal Hawaiian.&quot;"/>
    <n v="0"/>
    <n v="1"/>
    <x v="1"/>
  </r>
  <r>
    <n v="1400"/>
    <x v="1280"/>
    <x v="42"/>
    <x v="0"/>
    <d v="1899-12-30T23:15:00"/>
    <s v="Near Milton, Florida"/>
    <s v="Military - U.S. Navy"/>
    <s v="Unknown"/>
    <s v="Whitting NAS - Norfolk NB"/>
    <x v="682"/>
    <n v="131663"/>
    <n v="10830"/>
    <n v="46"/>
    <n v="40"/>
    <n v="6"/>
    <n v="44"/>
    <n v="39"/>
    <n v="5"/>
    <n v="0"/>
    <s v="The co-pilot failed to maintain a sufficient rate of climb after becoming airborne, struck obstacles and crashed into a wooded area. The pilot suffered from spatial disorientation immediately after liftoff."/>
    <n v="2"/>
    <n v="0.95652173913043481"/>
    <x v="1"/>
  </r>
  <r>
    <n v="1401"/>
    <x v="1281"/>
    <x v="42"/>
    <x v="0"/>
    <d v="1899-12-30T12:30:00"/>
    <s v="Near Kanggye, North Korea"/>
    <s v="Aeroflot"/>
    <s v="Unknown"/>
    <s v="Unknown"/>
    <x v="533"/>
    <s v="Unknown"/>
    <s v="Unknown"/>
    <n v="21"/>
    <n v="15"/>
    <n v="6"/>
    <n v="21"/>
    <n v="15"/>
    <n v="6"/>
    <n v="0"/>
    <s v="Shot down by a U.S. Air Force F-86 jet fighter towards the end of the Korean War. The Russian government claimed the plane was over Chinese air space."/>
    <n v="0"/>
    <n v="1"/>
    <x v="1"/>
  </r>
  <r>
    <n v="1402"/>
    <x v="1282"/>
    <x v="42"/>
    <x v="0"/>
    <d v="1899-12-30T02:28:00"/>
    <s v="Off Fethiye Point, Turkey"/>
    <s v="Air France"/>
    <s v="Unknown"/>
    <s v="Rome - Beirut"/>
    <x v="683"/>
    <s v="F-BAZS"/>
    <n v="2628"/>
    <n v="42"/>
    <n v="34"/>
    <n v="8"/>
    <n v="4"/>
    <n v="4"/>
    <n v="0"/>
    <n v="0"/>
    <s v="The No. 3 engine broke away from the aircraft following severe vibrations causing loss of control of the No. 4 engine and necessitating a ditching 1.5 miles from the coast. Failure in flight of a propeller blade. Four passengers drowned."/>
    <n v="38"/>
    <n v="9.5238095238095233E-2"/>
    <x v="2"/>
  </r>
  <r>
    <n v="1403"/>
    <x v="1282"/>
    <x v="42"/>
    <x v="0"/>
    <d v="1899-12-30T22:37:00"/>
    <s v="Sharjah, United Arab Emirates"/>
    <s v="Orient Airways"/>
    <s v="Unknown"/>
    <s v="Karachi - Jeddah"/>
    <x v="277"/>
    <s v="AP-AAD"/>
    <n v="9143"/>
    <n v="25"/>
    <n v="21"/>
    <n v="4"/>
    <n v="1"/>
    <n v="1"/>
    <n v="0"/>
    <n v="0"/>
    <s v="Shortly after taking off, the aircraft entered a turn and crashed to the ground. The failure of the captain to supervise the first officer in flying the plane who was not able to fly on instruments in the dark."/>
    <n v="24"/>
    <n v="0.04"/>
    <x v="2"/>
  </r>
  <r>
    <n v="1404"/>
    <x v="1283"/>
    <x v="42"/>
    <x v="0"/>
    <s v="Unknown"/>
    <s v="Off Irish coast"/>
    <s v="Military - U.S. Air Force"/>
    <s v="Unknown"/>
    <s v=" Travis - Lakenheath"/>
    <x v="684"/>
    <s v="52-1369"/>
    <n v="303"/>
    <n v="23"/>
    <n v="0"/>
    <n v="23"/>
    <n v="19"/>
    <n v="0"/>
    <n v="19"/>
    <n v="0"/>
    <s v="Crashed into the Atlantic Ocean after two of itâ€™s engines caught fire, 500 miles off the Irish coast."/>
    <n v="4"/>
    <n v="0.82608695652173914"/>
    <x v="1"/>
  </r>
  <r>
    <n v="1405"/>
    <x v="1284"/>
    <x v="42"/>
    <x v="0"/>
    <s v="Unknown"/>
    <s v="Near San Diego, California"/>
    <s v="Aerovias Contreras"/>
    <s v="Unknown"/>
    <s v="Unknown"/>
    <x v="425"/>
    <s v="XA-GOT"/>
    <n v="26403"/>
    <n v="2"/>
    <n v="0"/>
    <n v="2"/>
    <n v="2"/>
    <n v="0"/>
    <n v="2"/>
    <n v="0"/>
    <s v="The cargo plane flew into a mountain east of San Diego."/>
    <n v="0"/>
    <n v="1"/>
    <x v="1"/>
  </r>
  <r>
    <n v="1406"/>
    <x v="1285"/>
    <x v="42"/>
    <x v="0"/>
    <d v="1899-12-30T23:30:00"/>
    <s v="Near Barcelonnette, France"/>
    <s v="Air France"/>
    <s v="Unknown"/>
    <s v="Paris - Nice - Beirut - Baghdad - Karachi - Calcutta"/>
    <x v="611"/>
    <s v="F-BAZZ"/>
    <n v="2674"/>
    <n v="42"/>
    <n v="33"/>
    <n v="9"/>
    <n v="42"/>
    <n v="33"/>
    <n v="9"/>
    <n v="0"/>
    <s v="While on approach to land at Nice-Cote d' Azur Airport the aircraft crashed into Mt. Cemet in the French Alps. French violinist Jacques Tribaud, 72, among those killed. Navigational error. Pilot deviated from the prescribled route for reasons unknown."/>
    <n v="0"/>
    <n v="1"/>
    <x v="1"/>
  </r>
  <r>
    <n v="1407"/>
    <x v="1285"/>
    <x v="42"/>
    <x v="0"/>
    <d v="1899-12-30T18:42:00"/>
    <s v="Vail, Washington"/>
    <s v="Regina Cargo Airlines"/>
    <s v="Unknown"/>
    <s v="Fort Ord - McChord"/>
    <x v="277"/>
    <s v="N19941"/>
    <n v="6333"/>
    <n v="21"/>
    <n v="19"/>
    <n v="2"/>
    <n v="21"/>
    <n v="19"/>
    <n v="2"/>
    <n v="0"/>
    <s v="Crashed on the fringe of the Cascade mountains, 26 nm short of McChord AFB. The pilot's attempt to continue flight under the provisions of VFR during IFR conditions."/>
    <n v="0"/>
    <n v="1"/>
    <x v="1"/>
  </r>
  <r>
    <n v="1408"/>
    <x v="1286"/>
    <x v="42"/>
    <x v="0"/>
    <d v="1899-12-30T13:16:00"/>
    <s v="San Andres, Honduras"/>
    <s v="TACA"/>
    <s v="Unknown"/>
    <s v="San Pedro - San Andres"/>
    <x v="402"/>
    <s v="XH-TAR"/>
    <s v="13817/25262"/>
    <n v="3"/>
    <n v="0"/>
    <n v="3"/>
    <n v="3"/>
    <n v="0"/>
    <n v="3"/>
    <n v="0"/>
    <s v="After a missed approach the No. 2 engine of the cargo plane failed. Failure of the right engine when the pilot wished to obtain maximum power from both engines after a missed landing."/>
    <n v="0"/>
    <n v="1"/>
    <x v="1"/>
  </r>
  <r>
    <n v="1409"/>
    <x v="1287"/>
    <x v="42"/>
    <x v="0"/>
    <s v="Unknown"/>
    <s v="Chablekal, Mexico"/>
    <s v="Transportes AÃ©reos Mexicanos"/>
    <s v="Unknown"/>
    <s v="Campeche - MÃ©rida"/>
    <x v="402"/>
    <s v="XA-GIC"/>
    <n v="13113"/>
    <n v="2"/>
    <n v="0"/>
    <n v="2"/>
    <n v="1"/>
    <n v="0"/>
    <n v="1"/>
    <n v="0"/>
    <s v="The cargo plane struck a tower in fog while attempting to land. Too low approach."/>
    <n v="1"/>
    <n v="0.5"/>
    <x v="0"/>
  </r>
  <r>
    <n v="1410"/>
    <x v="1288"/>
    <x v="42"/>
    <x v="0"/>
    <d v="1899-12-30T08:34:00"/>
    <s v="Albany, New York"/>
    <s v="American Airlines"/>
    <n v="723"/>
    <s v="Boston - Hartford - Albany - Chicago"/>
    <x v="640"/>
    <s v="N94255"/>
    <n v="116"/>
    <n v="28"/>
    <n v="25"/>
    <n v="3"/>
    <n v="28"/>
    <n v="25"/>
    <n v="3"/>
    <n v="0"/>
    <s v="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
    <n v="0"/>
    <n v="1"/>
    <x v="1"/>
  </r>
  <r>
    <n v="1411"/>
    <x v="1289"/>
    <x v="42"/>
    <x v="0"/>
    <d v="1899-12-30T10:10:00"/>
    <s v="Ankara, Turkey"/>
    <s v="Devlet Hava Yollari"/>
    <s v="Unknown"/>
    <s v="Ankara - Van"/>
    <x v="277"/>
    <s v="TC-EGE"/>
    <n v="9694"/>
    <n v="21"/>
    <n v="16"/>
    <n v="5"/>
    <n v="5"/>
    <n v="1"/>
    <n v="4"/>
    <n v="0"/>
    <s v="Crashed to the ground after an engine fire during takeoff. As the plane returned, it stalled and crashed."/>
    <n v="16"/>
    <n v="0.23809523809523808"/>
    <x v="2"/>
  </r>
  <r>
    <n v="1412"/>
    <x v="1290"/>
    <x v="42"/>
    <x v="0"/>
    <d v="1899-12-30T16:18:00"/>
    <s v="Louisville, Kentucky"/>
    <s v="Resort Airlines"/>
    <s v="Unknown"/>
    <s v="Philadelphia - Louisville"/>
    <x v="587"/>
    <s v="N66534"/>
    <n v="22384"/>
    <n v="41"/>
    <n v="38"/>
    <n v="3"/>
    <n v="25"/>
    <n v="22"/>
    <n v="3"/>
    <n v="0"/>
    <s v="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
    <n v="16"/>
    <n v="0.6097560975609756"/>
    <x v="0"/>
  </r>
  <r>
    <n v="1413"/>
    <x v="1291"/>
    <x v="42"/>
    <x v="0"/>
    <d v="1899-12-30T14:54:00"/>
    <s v="Frankfurt, Germany"/>
    <s v="Sabena"/>
    <s v="Unknown"/>
    <s v="Salzburg - Frankfurt - Brussels"/>
    <x v="685"/>
    <s v="OO-AWQ"/>
    <n v="154"/>
    <n v="44"/>
    <n v="40"/>
    <n v="4"/>
    <n v="44"/>
    <n v="40"/>
    <n v="4"/>
    <n v="0"/>
    <s v="Crashed while attempting to take off. Loss of engine power on takeoff. The loss of power may possibly be attributed to the heavy deposit of lead on the spark plugs."/>
    <n v="0"/>
    <n v="1"/>
    <x v="1"/>
  </r>
  <r>
    <n v="1414"/>
    <x v="1292"/>
    <x v="42"/>
    <x v="0"/>
    <s v="Unknown"/>
    <s v="Lai Chau, Vietnam"/>
    <s v="Compagnie Sila"/>
    <s v="Unknown"/>
    <s v="Unknown"/>
    <x v="443"/>
    <s v="F-VNAE"/>
    <n v="25591"/>
    <n v="7"/>
    <n v="0"/>
    <n v="7"/>
    <n v="2"/>
    <n v="0"/>
    <n v="2"/>
    <n v="0"/>
    <s v="The cargo plane crashed under unknown circumstances."/>
    <n v="5"/>
    <n v="0.2857142857142857"/>
    <x v="2"/>
  </r>
  <r>
    <n v="1415"/>
    <x v="1293"/>
    <x v="42"/>
    <x v="0"/>
    <d v="1899-12-30T00:56:00"/>
    <s v="New York City, New York"/>
    <s v="Eastern Air Lines"/>
    <n v="627"/>
    <s v="New York City - San Juan"/>
    <x v="611"/>
    <s v="N119A"/>
    <n v="2616"/>
    <n v="27"/>
    <n v="22"/>
    <n v="5"/>
    <n v="2"/>
    <n v="2"/>
    <n v="0"/>
    <n v="0"/>
    <s v="The aircraft crashed a few seconds after becoming airborne. The captain's loss of visual reference and orientation when he encountered drifting fog shortly after becoming airborne on take-off and the resultant inadvertent assumption of a descending flight path."/>
    <n v="25"/>
    <n v="7.407407407407407E-2"/>
    <x v="2"/>
  </r>
  <r>
    <n v="1416"/>
    <x v="1293"/>
    <x v="42"/>
    <x v="0"/>
    <d v="1899-12-30T07:10:00"/>
    <s v="Near Monterrey, Mexico"/>
    <s v="Aerovias Contreras"/>
    <s v="Unknown"/>
    <s v="Monterrey - Falcon Dam"/>
    <x v="686"/>
    <s v="XA-GOT"/>
    <n v="26403"/>
    <n v="21"/>
    <n v="18"/>
    <n v="3"/>
    <n v="21"/>
    <n v="18"/>
    <n v="3"/>
    <n v="0"/>
    <s v="Crashed into a ravine while carring reporters and officials to the inauguration of Falcon Dam."/>
    <n v="0"/>
    <n v="1"/>
    <x v="1"/>
  </r>
  <r>
    <n v="1417"/>
    <x v="1294"/>
    <x v="42"/>
    <x v="0"/>
    <d v="1899-12-30T11:18:00"/>
    <s v="Near Magadan, Russia"/>
    <s v="Aeroflot"/>
    <n v="783"/>
    <s v="Magadan - Okhotsk - Nikolayevsk-on-Amur - Khabarovsk"/>
    <x v="533"/>
    <s v="L1765"/>
    <n v="93013102"/>
    <n v="32"/>
    <n v="27"/>
    <n v="5"/>
    <n v="22"/>
    <n v="17"/>
    <n v="5"/>
    <s v="NULL"/>
    <s v="Stalled and crashed 6 km from the airport. Overloaded. Snow not removed from the wings. Icing."/>
    <n v="10"/>
    <n v="0.6875"/>
    <x v="1"/>
  </r>
  <r>
    <n v="1418"/>
    <x v="1295"/>
    <x v="42"/>
    <x v="0"/>
    <d v="1899-12-30T08:44:00"/>
    <s v="Near Half Moon Bay, California"/>
    <s v="British Commonwealth Pacific Airlines"/>
    <s v="304/44"/>
    <s v="Sydney - Honolulu - San Francisco"/>
    <x v="528"/>
    <s v="VH-BPE"/>
    <s v="43125/131"/>
    <n v="19"/>
    <n v="11"/>
    <n v="8"/>
    <n v="19"/>
    <n v="11"/>
    <n v="8"/>
    <n v="0"/>
    <s v="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
    <n v="0"/>
    <n v="1"/>
    <x v="1"/>
  </r>
  <r>
    <n v="1419"/>
    <x v="1296"/>
    <x v="42"/>
    <x v="0"/>
    <d v="1899-12-30T00:30:00"/>
    <s v="Kharkov. Ukraine, Russia"/>
    <s v="Aeroflot"/>
    <n v="270"/>
    <s v="Rostov-on-Don - Kharkiv - Moscow"/>
    <x v="519"/>
    <s v="L4732"/>
    <n v="18432509"/>
    <n v="16"/>
    <n v="11"/>
    <n v="5"/>
    <n v="15"/>
    <n v="10"/>
    <n v="5"/>
    <n v="0"/>
    <s v="The plane stalled while landing due to improperly set controls. Poor approach techniques on part of the flying crew and against the published procedures according to the weather conditions."/>
    <n v="1"/>
    <n v="0.9375"/>
    <x v="1"/>
  </r>
  <r>
    <n v="1420"/>
    <x v="1297"/>
    <x v="42"/>
    <x v="0"/>
    <s v="Unknown"/>
    <s v="Tarabuco, Bolivia"/>
    <s v="Lloyd Aereo Boliviano"/>
    <s v="Unknown"/>
    <s v="Camiri - Sucre"/>
    <x v="277"/>
    <s v="CP-600"/>
    <n v="2181"/>
    <n v="28"/>
    <n v="25"/>
    <n v="3"/>
    <n v="28"/>
    <n v="25"/>
    <n v="3"/>
    <n v="0"/>
    <s v="Crashed into the Rodeo Pampa mountains during an approach to Sucre, 18 miles from its destination."/>
    <n v="0"/>
    <n v="1"/>
    <x v="1"/>
  </r>
  <r>
    <n v="1421"/>
    <x v="1298"/>
    <x v="42"/>
    <x v="0"/>
    <d v="1899-12-30T17:30:00"/>
    <s v="Off Argyll, Scotland"/>
    <s v="Military - Royal Air Force"/>
    <s v="Unknown"/>
    <s v="Training"/>
    <x v="687"/>
    <s v="WL746"/>
    <s v="Unknown"/>
    <n v="10"/>
    <n v="0"/>
    <n v="10"/>
    <n v="10"/>
    <n v="0"/>
    <n v="10"/>
    <n v="0"/>
    <s v="Crashed in the Atlantic during a training exercise."/>
    <n v="0"/>
    <n v="1"/>
    <x v="1"/>
  </r>
  <r>
    <n v="1422"/>
    <x v="1299"/>
    <x v="42"/>
    <x v="0"/>
    <d v="1899-12-30T17:00:00"/>
    <s v="Near Guaderrama, Spain"/>
    <s v="Aviaco"/>
    <s v="Unknown"/>
    <s v="Bilbao - Madrid"/>
    <x v="589"/>
    <s v="EC-AEG"/>
    <n v="12797"/>
    <n v="33"/>
    <n v="28"/>
    <n v="5"/>
    <n v="23"/>
    <n v="22"/>
    <n v="1"/>
    <n v="0"/>
    <s v="Crashed into Mt. Somosierra in poor weather conditions. It is believed the aircraft suffered downdraft and lost altitude before colliding with a mountain."/>
    <n v="10"/>
    <n v="0.69696969696969702"/>
    <x v="1"/>
  </r>
  <r>
    <n v="1423"/>
    <x v="1300"/>
    <x v="42"/>
    <x v="0"/>
    <d v="1899-12-30T03:25:00"/>
    <s v="Nagpur, India"/>
    <s v="Indian Airlines"/>
    <s v="Unknown"/>
    <s v="New Delhi - Nagpur - Madras"/>
    <x v="277"/>
    <s v="VT-CHF"/>
    <n v="11810"/>
    <n v="14"/>
    <n v="10"/>
    <n v="4"/>
    <n v="13"/>
    <n v="10"/>
    <n v="3"/>
    <n v="0"/>
    <s v="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
    <n v="1"/>
    <n v="0.9285714285714286"/>
    <x v="1"/>
  </r>
  <r>
    <n v="1424"/>
    <x v="1301"/>
    <x v="42"/>
    <x v="0"/>
    <s v="Unknown"/>
    <s v="_x0009_Tecpan Mt., Guatemala"/>
    <s v="Aviateca"/>
    <s v="Unknown"/>
    <s v="Brownsville - Guatemala City"/>
    <x v="438"/>
    <s v="TG-AQA"/>
    <n v="33589"/>
    <n v="2"/>
    <n v="0"/>
    <n v="2"/>
    <n v="2"/>
    <n v="0"/>
    <n v="2"/>
    <n v="0"/>
    <s v="The cargo plane with a load of citrus fruit flew into a 8,000 ft. mountain."/>
    <n v="0"/>
    <n v="1"/>
    <x v="1"/>
  </r>
  <r>
    <n v="1425"/>
    <x v="1301"/>
    <x v="42"/>
    <x v="0"/>
    <s v="Unknown"/>
    <s v="Near Cairo, Egypt"/>
    <s v="Misair"/>
    <s v="Unknown"/>
    <s v="Cairo - Luxor"/>
    <x v="688"/>
    <s v="SU-AFK"/>
    <n v="213"/>
    <n v="6"/>
    <n v="5"/>
    <n v="1"/>
    <n v="6"/>
    <n v="5"/>
    <n v="1"/>
    <s v="NULL"/>
    <s v="Crashed on takeoff from Cairo-Almaza Airport."/>
    <n v="0"/>
    <n v="1"/>
    <x v="1"/>
  </r>
  <r>
    <n v="1426"/>
    <x v="1302"/>
    <x v="42"/>
    <x v="0"/>
    <d v="1899-12-30T06:50:00"/>
    <s v="Guam, Mariana Islands"/>
    <s v="Military - U.S. Air Force"/>
    <s v="Unknown"/>
    <s v="Unknown"/>
    <x v="605"/>
    <s v="44-87741"/>
    <s v="Unknown"/>
    <n v="16"/>
    <n v="6"/>
    <n v="10"/>
    <n v="11"/>
    <n v="5"/>
    <n v="6"/>
    <n v="8"/>
    <s v="The aircraft crashed into an officer's housing area after attemping to make an emergency landing with an engine out,at Anderson Air Force Base on Guam."/>
    <n v="5"/>
    <n v="0.6875"/>
    <x v="1"/>
  </r>
  <r>
    <n v="1427"/>
    <x v="1303"/>
    <x v="42"/>
    <x v="0"/>
    <d v="1899-12-30T18:55:00"/>
    <s v="Zurich, Switzerland"/>
    <s v="Sabena"/>
    <s v="Unknown"/>
    <s v="Brussels - Zurich"/>
    <x v="689"/>
    <s v="OO-AWO"/>
    <n v="128"/>
    <n v="44"/>
    <n v="41"/>
    <n v="3"/>
    <n v="1"/>
    <n v="1"/>
    <n v="0"/>
    <n v="0"/>
    <s v="Descended below the glide path in poor weather and darkness and crashed 1.5 miles short of the runway. Poor approach procedures performed by the pilot."/>
    <n v="43"/>
    <n v="2.2727272727272728E-2"/>
    <x v="2"/>
  </r>
  <r>
    <n v="1428"/>
    <x v="1304"/>
    <x v="42"/>
    <x v="0"/>
    <s v="Unknown"/>
    <s v="Dah-el-Kadeeb, Syria"/>
    <s v="Syrian Airways"/>
    <s v="Unknown"/>
    <s v="Unknown"/>
    <x v="277"/>
    <s v="YK-AAF"/>
    <s v="TDB"/>
    <n v="15"/>
    <s v="NULL"/>
    <s v="NULL"/>
    <n v="9"/>
    <s v="NULL"/>
    <s v="NULL"/>
    <n v="0"/>
    <s v="No data available"/>
    <n v="6"/>
    <n v="0.6"/>
    <x v="0"/>
  </r>
  <r>
    <n v="1429"/>
    <x v="1305"/>
    <x v="43"/>
    <x v="0"/>
    <s v="Unknown"/>
    <s v="Herat, Afghanistan"/>
    <s v="Ariana Afghan Airlines"/>
    <s v="Unknown"/>
    <s v="Unknown"/>
    <x v="277"/>
    <s v="Unknown"/>
    <s v="Unknown"/>
    <n v="21"/>
    <s v="NULL"/>
    <s v="NULL"/>
    <n v="21"/>
    <s v="NULL"/>
    <s v="NULL"/>
    <n v="0"/>
    <s v="Two Russian trade delegates were killed when the plane crashed near Herat in a showstorm."/>
    <n v="0"/>
    <n v="1"/>
    <x v="1"/>
  </r>
  <r>
    <n v="1430"/>
    <x v="1306"/>
    <x v="43"/>
    <x v="0"/>
    <s v="Unknown"/>
    <s v="Lapseki, Turkey"/>
    <s v="Devlet Hava Yollari"/>
    <s v="Unknown"/>
    <s v="Istanbull - Bandirma - Canakkal7"/>
    <x v="277"/>
    <s v="TC-BAG"/>
    <n v="19616"/>
    <n v="10"/>
    <n v="5"/>
    <n v="5"/>
    <n v="4"/>
    <n v="2"/>
    <n v="2"/>
    <n v="0"/>
    <s v="Flew into a mountain near Lapseki."/>
    <n v="6"/>
    <n v="0.4"/>
    <x v="0"/>
  </r>
  <r>
    <n v="1431"/>
    <x v="1307"/>
    <x v="43"/>
    <x v="0"/>
    <d v="1899-12-30T17:20:00"/>
    <s v="Near Aldbury, England"/>
    <s v="Military -Royal Air Force"/>
    <s v="Unknown"/>
    <s v="Bovingdon AF - Thorney Island"/>
    <x v="690"/>
    <s v="WJ474"/>
    <n v="599"/>
    <n v="17"/>
    <n v="13"/>
    <n v="4"/>
    <n v="16"/>
    <n v="12"/>
    <n v="4"/>
    <n v="0"/>
    <s v="The aircraft crashed 4 minutes after taking off in a snow shower. The aircraft lost altitude and crashed to the ground for reasons unknown."/>
    <n v="1"/>
    <n v="0.94117647058823528"/>
    <x v="1"/>
  </r>
  <r>
    <n v="1432"/>
    <x v="1308"/>
    <x v="43"/>
    <x v="0"/>
    <d v="1899-12-30T11:05:00"/>
    <s v="Off Elba, Italy"/>
    <s v="British Overseas Airways"/>
    <n v="781"/>
    <s v="Rome - London"/>
    <x v="675"/>
    <s v="G-ALYP"/>
    <n v="6003"/>
    <n v="35"/>
    <n v="29"/>
    <n v="6"/>
    <n v="35"/>
    <n v="29"/>
    <n v="6"/>
    <n v="0"/>
    <s v="The aircraft broke up in-flight while en route from Rome to London. Metal fatigue due to a design flaw caused a breakup of the aircraft. One of two accidents with the same cause. The aircraft was nicknamed &quot;Yoke Peter.&quot;"/>
    <n v="0"/>
    <n v="1"/>
    <x v="1"/>
  </r>
  <r>
    <n v="1433"/>
    <x v="1309"/>
    <x v="43"/>
    <x v="0"/>
    <d v="1899-12-30T06:15:00"/>
    <s v="Manizales, Colombia"/>
    <s v="AVIANCA"/>
    <s v="Unknown"/>
    <s v="Medellin  - Armenia"/>
    <x v="277"/>
    <s v="HK-160"/>
    <n v="19540"/>
    <n v="21"/>
    <n v="18"/>
    <n v="3"/>
    <n v="21"/>
    <n v="18"/>
    <n v="3"/>
    <n v="0"/>
    <s v="While descending to Manizales by night and poor weather conditions, the aircraft collided with a mountain shrouded by clouds and disintegrated on impact."/>
    <n v="0"/>
    <n v="1"/>
    <x v="1"/>
  </r>
  <r>
    <n v="1434"/>
    <x v="1310"/>
    <x v="43"/>
    <x v="0"/>
    <d v="1899-12-30T13:55:00"/>
    <s v="Prague, Czech Republic"/>
    <s v="Czech Airlines"/>
    <s v="Unknown"/>
    <s v="Prague - Ostrava"/>
    <x v="387"/>
    <s v="OK-WDS"/>
    <n v="11854"/>
    <n v="18"/>
    <n v="14"/>
    <n v="4"/>
    <n v="13"/>
    <n v="9"/>
    <n v="4"/>
    <n v="0"/>
    <s v="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
    <n v="5"/>
    <n v="0.72222222222222221"/>
    <x v="1"/>
  </r>
  <r>
    <n v="1435"/>
    <x v="1311"/>
    <x v="43"/>
    <x v="0"/>
    <s v="Unknown"/>
    <s v="Signal Hill, California"/>
    <s v="Military - U.S. Air Force"/>
    <s v="Unknown"/>
    <s v="Williams AFB  - Long Beach"/>
    <x v="691"/>
    <s v="Unknown"/>
    <s v="Unknown"/>
    <n v="1"/>
    <n v="0"/>
    <n v="1"/>
    <n v="1"/>
    <n v="0"/>
    <n v="1"/>
    <n v="6"/>
    <s v="The jet fighter crashed into homes killing 6 people and destroying 3 homes while attempting to land at Long Beach Airport.."/>
    <n v="0"/>
    <n v="1"/>
    <x v="1"/>
  </r>
  <r>
    <n v="1436"/>
    <x v="1312"/>
    <x v="43"/>
    <x v="0"/>
    <d v="1899-12-30T11:50:00"/>
    <s v="Rome, Italy"/>
    <s v="Philippine Air Lines"/>
    <s v="Unknown"/>
    <s v="Beirut, Lebanon - Rome, Italy"/>
    <x v="528"/>
    <s v="PI-C294"/>
    <s v="42903/150"/>
    <n v="16"/>
    <n v="9"/>
    <n v="7"/>
    <n v="16"/>
    <n v="9"/>
    <n v="7"/>
    <n v="0"/>
    <s v="While descending to make an IFR landing the aircraft went into a steep dive and crashed. There was a possibility of both right engines being on fire. There was turbulence in the area.. The aircraft possibly  lost a wing during a pull out from the steep dive."/>
    <n v="0"/>
    <n v="1"/>
    <x v="1"/>
  </r>
  <r>
    <n v="1437"/>
    <x v="1313"/>
    <x v="43"/>
    <x v="0"/>
    <d v="1899-12-30T07:08:00"/>
    <s v="Kansas City, Missouri"/>
    <s v="Zantop Air Transport"/>
    <s v="Unknown"/>
    <s v="Jackson  - Kansas City"/>
    <x v="268"/>
    <s v="N49551"/>
    <n v="4940"/>
    <n v="3"/>
    <n v="0"/>
    <n v="3"/>
    <n v="3"/>
    <n v="0"/>
    <n v="3"/>
    <n v="0"/>
    <s v="The cargo plane crashed while on approach. The loss of control of the aircraft at an altitude too low to effect recovery. The loss of control resulted from an accumulation of ice and the use of de-icer boots at low air speeds."/>
    <n v="0"/>
    <n v="1"/>
    <x v="1"/>
  </r>
  <r>
    <n v="1438"/>
    <x v="1314"/>
    <x v="43"/>
    <x v="0"/>
    <d v="1899-12-30T13:50:00"/>
    <s v="Off Hokkaido, Japan"/>
    <s v="Military - U.S. Air Force"/>
    <s v="Unknown"/>
    <s v="Misawa - Chitose"/>
    <x v="692"/>
    <s v="44-78027A"/>
    <n v="33423"/>
    <n v="35"/>
    <n v="30"/>
    <n v="5"/>
    <n v="35"/>
    <n v="30"/>
    <n v="5"/>
    <n v="0"/>
    <s v="After reporting a fire in the cargo hold and that a ditching was imminent,  the last message from the aircraft was &quot;I've lost control of the aircraft we're going in.&quot; The plane crashed 30 km south of Tomakomai."/>
    <n v="0"/>
    <n v="1"/>
    <x v="1"/>
  </r>
  <r>
    <n v="1439"/>
    <x v="1315"/>
    <x v="43"/>
    <x v="0"/>
    <s v="Unknown"/>
    <s v="Susitna Valley, Alaska"/>
    <s v="Military - U.S. Air Force"/>
    <s v="Unknown"/>
    <s v="Ladd AFB - Elemndorf AFB"/>
    <x v="368"/>
    <n v="5895"/>
    <s v="Unknown"/>
    <n v="16"/>
    <n v="0"/>
    <n v="16"/>
    <n v="10"/>
    <n v="0"/>
    <n v="10"/>
    <n v="0"/>
    <s v="The plane broke apart over the Susitna Valley of South Central Alaska and the scattered parts fell onto Kesugi Ridge, which is now within Denali State Park. Six servicemen wearing parachutes escaped by being thrown from the disintegrating aircraft."/>
    <n v="6"/>
    <n v="0.625"/>
    <x v="0"/>
  </r>
  <r>
    <n v="1440"/>
    <x v="1316"/>
    <x v="43"/>
    <x v="0"/>
    <s v="Unknown"/>
    <s v="Off Gozo, Malta"/>
    <s v="Military - Royal Air Force"/>
    <s v="Unknown"/>
    <s v="Military exercise"/>
    <x v="687"/>
    <s v="WL794"/>
    <s v="Unknown"/>
    <n v="10"/>
    <n v="0"/>
    <n v="10"/>
    <n v="10"/>
    <n v="0"/>
    <n v="10"/>
    <n v="0"/>
    <s v="Crashed at sea while on manuvers."/>
    <n v="0"/>
    <n v="1"/>
    <x v="1"/>
  </r>
  <r>
    <n v="1441"/>
    <x v="1317"/>
    <x v="43"/>
    <x v="0"/>
    <d v="1899-12-30T11:00:00"/>
    <s v="New Delhi, India"/>
    <s v="Indian Airlines"/>
    <s v="Unknown"/>
    <s v="Test flight"/>
    <x v="277"/>
    <s v="VT-ATU"/>
    <n v="20358"/>
    <n v="3"/>
    <n v="0"/>
    <n v="3"/>
    <n v="3"/>
    <n v="0"/>
    <n v="3"/>
    <n v="0"/>
    <s v="The test flight crashed after attempting to determine the cause of a crash at Nagpur on 12/12/1953."/>
    <n v="0"/>
    <n v="1"/>
    <x v="1"/>
  </r>
  <r>
    <n v="1442"/>
    <x v="1318"/>
    <x v="43"/>
    <x v="0"/>
    <d v="1899-12-30T10:32:00"/>
    <s v="Wright, Wyoming"/>
    <s v="Western Airlines"/>
    <n v="314"/>
    <s v="Salt Lake City - Cedar City - Rapid City"/>
    <x v="689"/>
    <s v="N8407H"/>
    <n v="37"/>
    <n v="9"/>
    <n v="6"/>
    <n v="3"/>
    <n v="9"/>
    <n v="6"/>
    <n v="3"/>
    <n v="0"/>
    <s v="After entering an area of severe turbulence and icing, the plane made a rapid descent and struck the ground at high speed. A sudden emergency of undetermined origin under adverse weather conditions resulting in rapid descent and impact with the ground at high speed."/>
    <n v="0"/>
    <n v="1"/>
    <x v="1"/>
  </r>
  <r>
    <n v="1443"/>
    <x v="1319"/>
    <x v="43"/>
    <x v="0"/>
    <d v="1899-12-30T14:30:00"/>
    <s v="Near St. Etienne de Tinee, France"/>
    <s v="Military - U.S. Air Force"/>
    <s v="Unknown"/>
    <s v="Tripoli, Libya - Hahn, W Germany"/>
    <x v="386"/>
    <s v="42-24096A"/>
    <n v="9958"/>
    <n v="20"/>
    <n v="18"/>
    <n v="2"/>
    <n v="20"/>
    <n v="18"/>
    <n v="2"/>
    <n v="0"/>
    <s v="The aircraft struck a mountain and disintegrated at an altitude of 8,000 ft. while en route. The accident occurred in snow and low overcast conditions. The plane had drifted off the prescribed course and no wind drift correction had been made."/>
    <n v="0"/>
    <n v="1"/>
    <x v="1"/>
  </r>
  <r>
    <n v="1444"/>
    <x v="1320"/>
    <x v="43"/>
    <x v="0"/>
    <s v="Unknown"/>
    <s v="Dien Bien Phu, South Vietnam"/>
    <s v="Aigle Azur"/>
    <s v="Unknown"/>
    <s v="Unknown"/>
    <x v="693"/>
    <s v="Unknown"/>
    <s v="Unknown"/>
    <s v="NULL"/>
    <s v="NULL"/>
    <s v="NULL"/>
    <s v="NULL"/>
    <s v="NULL"/>
    <s v="NULL"/>
    <s v="NULL"/>
    <s v="Shot down."/>
    <s v="NULL"/>
    <n v="0"/>
    <x v="2"/>
  </r>
  <r>
    <n v="1445"/>
    <x v="1320"/>
    <x v="43"/>
    <x v="0"/>
    <d v="1899-12-30T14:34:00"/>
    <s v="Kallang Airport, Singapore"/>
    <s v="British Overseas Airways"/>
    <s v="Unknown"/>
    <s v="Australia - London"/>
    <x v="694"/>
    <s v="G-ALAM"/>
    <n v="2554"/>
    <n v="40"/>
    <n v="31"/>
    <n v="9"/>
    <n v="33"/>
    <n v="31"/>
    <n v="2"/>
    <n v="0"/>
    <s v="Crashed short of the runway, hit a wall, overturned and caught fire. Improper procedures used in landing.  Pilot fatigue."/>
    <n v="7"/>
    <n v="0.82499999999999996"/>
    <x v="1"/>
  </r>
  <r>
    <n v="1446"/>
    <x v="1321"/>
    <x v="43"/>
    <x v="0"/>
    <d v="1899-12-30T04:20:00"/>
    <s v="Off Mackay, Australia"/>
    <s v="Queensland Airlines"/>
    <s v="Unknown"/>
    <s v="Mackay - Rockhampton"/>
    <x v="402"/>
    <s v="VH-BBV"/>
    <n v="12360"/>
    <n v="2"/>
    <n v="0"/>
    <n v="2"/>
    <n v="2"/>
    <n v="0"/>
    <n v="2"/>
    <n v="0"/>
    <s v="One minute after taking off, the cargo plane crashed into the sea off Mackay."/>
    <n v="0"/>
    <n v="1"/>
    <x v="1"/>
  </r>
  <r>
    <n v="1447"/>
    <x v="1322"/>
    <x v="43"/>
    <x v="0"/>
    <d v="1899-12-30T22:30:00"/>
    <s v="Near Lothian, Maryland"/>
    <s v="Military - U.S. Air Force"/>
    <s v="Unknown"/>
    <s v="Oklahoma - Long Island, NY"/>
    <x v="695"/>
    <s v="51-7993"/>
    <n v="10732"/>
    <n v="18"/>
    <n v="12"/>
    <n v="6"/>
    <n v="18"/>
    <n v="12"/>
    <n v="6"/>
    <n v="0"/>
    <s v="Crashed to the ground about 20 minutes after leaving Bolling Air Force Base. The aircraft was circling a radio beacon under VFR waiting for IFR clearance. An attempt to maintain VFR flight at night and in poor visibility.  Possible crew fatigue."/>
    <n v="0"/>
    <n v="1"/>
    <x v="1"/>
  </r>
  <r>
    <n v="1448"/>
    <x v="1323"/>
    <x v="43"/>
    <x v="0"/>
    <s v="Unknown"/>
    <s v="Monterrey, Mexico"/>
    <s v="Aeronaves de Mexico"/>
    <s v="Unknown"/>
    <s v="Mazatlan - Monterey"/>
    <x v="277"/>
    <s v="XA-GUN"/>
    <n v="7358"/>
    <n v="18"/>
    <n v="15"/>
    <n v="3"/>
    <n v="18"/>
    <n v="15"/>
    <n v="3"/>
    <n v="0"/>
    <s v="Crashed and burned on Friar's Peak in the Salinas mountains after being waved off for landing due to a dust storm."/>
    <n v="0"/>
    <n v="1"/>
    <x v="1"/>
  </r>
  <r>
    <n v="1449"/>
    <x v="1324"/>
    <x v="43"/>
    <x v="0"/>
    <d v="1899-12-30T13:40:00"/>
    <s v="Kabassaak, Turkey"/>
    <s v="Devlet Hava Yollari"/>
    <s v="Unknown"/>
    <s v="Adana - Istanbul"/>
    <x v="277"/>
    <s v="TC-ARK"/>
    <n v="19509"/>
    <n v="25"/>
    <n v="20"/>
    <n v="5"/>
    <n v="25"/>
    <n v="20"/>
    <n v="5"/>
    <n v="0"/>
    <s v="Exploded in midair about 25 miles from Adana, 15 minutes after takeoff from Adana."/>
    <n v="0"/>
    <n v="1"/>
    <x v="1"/>
  </r>
  <r>
    <n v="1450"/>
    <x v="1325"/>
    <x v="43"/>
    <x v="0"/>
    <s v="Unknown"/>
    <s v="Hanoi, Vietnam"/>
    <s v="Autrex"/>
    <s v="Unknown"/>
    <s v="Unknown"/>
    <x v="377"/>
    <s v="F-BFGQ"/>
    <n v="10341"/>
    <n v="4"/>
    <n v="0"/>
    <n v="4"/>
    <n v="4"/>
    <n v="0"/>
    <n v="4"/>
    <n v="0"/>
    <s v="The cargo plane crashed into the Red River while on final approach."/>
    <n v="0"/>
    <n v="1"/>
    <x v="1"/>
  </r>
  <r>
    <n v="1451"/>
    <x v="1326"/>
    <x v="43"/>
    <x v="0"/>
    <d v="1899-12-30T20:04:00"/>
    <s v="Off Stromboli, Italy"/>
    <s v="South African Airways, leased from British Overseas Airways"/>
    <n v="201"/>
    <s v="Rome - Cairo"/>
    <x v="675"/>
    <s v="G-ALYY"/>
    <n v="6011"/>
    <n v="21"/>
    <n v="14"/>
    <n v="7"/>
    <n v="21"/>
    <n v="14"/>
    <n v="7"/>
    <n v="0"/>
    <s v="The aircraft broke up in-flight and crashed into the sea en route from Rome to Cairo. Metal fatigue due to a design flaw led to the breakup of the aircraft.  This is the second accident with the same cause. The aircraft was nicknamed &quot;Yoke Yoke.&quot;"/>
    <n v="0"/>
    <n v="1"/>
    <x v="1"/>
  </r>
  <r>
    <n v="1452"/>
    <x v="1326"/>
    <x v="43"/>
    <x v="0"/>
    <d v="1899-12-30T10:03:00"/>
    <s v="Moose Jaw, SK, Canada"/>
    <s v="Trans Canada Air Lines / RCAF"/>
    <s v="Unknown"/>
    <s v="Montreal - Vancouver"/>
    <x v="696"/>
    <s v="CF-TFW/RCAF3309"/>
    <n v="150"/>
    <n v="36"/>
    <n v="31"/>
    <n v="5"/>
    <n v="36"/>
    <n v="31"/>
    <n v="5"/>
    <n v="1"/>
    <s v="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
    <n v="0"/>
    <n v="1"/>
    <x v="1"/>
  </r>
  <r>
    <n v="1453"/>
    <x v="1327"/>
    <x v="43"/>
    <x v="0"/>
    <s v="Unknown"/>
    <s v="Xieng Kouang, Laos"/>
    <s v="Societe Indochinoise de Raviteillement"/>
    <s v="Unknown"/>
    <s v="Unknown"/>
    <x v="345"/>
    <s v="F-OALK"/>
    <n v="2603"/>
    <n v="23"/>
    <n v="20"/>
    <n v="3"/>
    <n v="16"/>
    <n v="13"/>
    <n v="3"/>
    <n v="0"/>
    <s v="Stalled and crashed and burned during takeoff."/>
    <n v="7"/>
    <n v="0.69565217391304346"/>
    <x v="1"/>
  </r>
  <r>
    <n v="1454"/>
    <x v="1327"/>
    <x v="43"/>
    <x v="0"/>
    <d v="1899-12-30T13:10:00"/>
    <s v="Batuco, Chile"/>
    <s v="LAN"/>
    <s v="Unknown"/>
    <s v="Santiago - Iquique"/>
    <x v="277"/>
    <n v="956"/>
    <n v="4470"/>
    <n v="14"/>
    <n v="9"/>
    <n v="5"/>
    <n v="14"/>
    <n v="9"/>
    <n v="5"/>
    <n v="0"/>
    <s v="Shortly after taking off and climbing the plane crashed near Lake Batuco."/>
    <n v="0"/>
    <n v="1"/>
    <x v="1"/>
  </r>
  <r>
    <n v="1455"/>
    <x v="1328"/>
    <x v="43"/>
    <x v="0"/>
    <d v="1899-12-30T21:25:00"/>
    <s v="Sierra del Vilgo, Argentina"/>
    <s v="Aerolineas Argentinas"/>
    <s v="Unknown"/>
    <s v="Mendoza - Cordoba"/>
    <x v="277"/>
    <s v="LV-ACX"/>
    <n v="12387"/>
    <n v="25"/>
    <n v="21"/>
    <n v="4"/>
    <n v="25"/>
    <n v="21"/>
    <n v="4"/>
    <n v="0"/>
    <s v="Crashed into a mountain during an approach. Deviation from prescribed course for unknown reasons. Crew fatigue may have played a part. The captain acted contrary to company policy regarding a required IFR approach."/>
    <n v="0"/>
    <n v="1"/>
    <x v="1"/>
  </r>
  <r>
    <n v="1456"/>
    <x v="1329"/>
    <x v="43"/>
    <x v="0"/>
    <d v="1899-12-30T09:18:00"/>
    <s v="Near Calcutta, India"/>
    <s v="Darbhanga Aviation"/>
    <s v="Unknown"/>
    <s v="Unknown"/>
    <x v="697"/>
    <s v="VT-DEM"/>
    <n v="13792"/>
    <n v="11"/>
    <n v="8"/>
    <n v="3"/>
    <n v="5"/>
    <n v="3"/>
    <n v="2"/>
    <n v="0"/>
    <s v="The aircraft tried to return to the airport after the No. 1 engine failed on takeoff but was unable to maintain airspeed, stalled and crashed into a tree. Delay in feathering the No. 1 engine after failure. Improper emergency procedural errors by the pilot."/>
    <n v="6"/>
    <n v="0.45454545454545453"/>
    <x v="0"/>
  </r>
  <r>
    <n v="1457"/>
    <x v="1330"/>
    <x v="43"/>
    <x v="0"/>
    <d v="1899-12-30T09:23:00"/>
    <s v="Paraparaumu, New Zealand"/>
    <s v="New Zealand National Airways"/>
    <s v="Unknown"/>
    <s v="Churchchrist - Paraparaumu"/>
    <x v="277"/>
    <s v="ZK-AQT"/>
    <s v="15948/32696"/>
    <n v="28"/>
    <n v="26"/>
    <n v="2"/>
    <n v="3"/>
    <n v="3"/>
    <n v="0"/>
    <n v="0"/>
    <s v="Crashed onto a roadway from a height of 500 ft. and into a clump of trees.The crew used the wrong fuel selection configueration and the engines failed due to fuel starvation."/>
    <n v="25"/>
    <n v="0.10714285714285714"/>
    <x v="2"/>
  </r>
  <r>
    <n v="1458"/>
    <x v="1331"/>
    <x v="43"/>
    <x v="0"/>
    <s v="Unknown"/>
    <s v="Cipo Mountain, Brazil"/>
    <s v="Transportes Aereos Nacionales"/>
    <s v="Unknown"/>
    <s v="Governador Valadares - Belo Horizonte"/>
    <x v="277"/>
    <s v="PP-ANO"/>
    <n v="19830"/>
    <n v="19"/>
    <n v="16"/>
    <n v="3"/>
    <n v="19"/>
    <n v="16"/>
    <n v="3"/>
    <n v="0"/>
    <s v="The aircraft deviated from its normal course by 30 miles and struck the slope of Mt CipÃ³a. Navigational error. The minimum safety height for the route was not complied with."/>
    <n v="0"/>
    <n v="1"/>
    <x v="1"/>
  </r>
  <r>
    <n v="1459"/>
    <x v="1332"/>
    <x v="43"/>
    <x v="0"/>
    <s v="Unknown"/>
    <s v="Near Maribor, Slovenia"/>
    <s v="Sabena"/>
    <s v="Unknown"/>
    <s v="Blackbushe, UK - Beogard, Serbia"/>
    <x v="402"/>
    <s v="OO-CBY"/>
    <n v="11982"/>
    <n v="4"/>
    <n v="0"/>
    <n v="4"/>
    <n v="1"/>
    <n v="0"/>
    <n v="1"/>
    <n v="0"/>
    <s v="The cargo plane ran off the end of the runway and crashed after being attacked by a fighter jet."/>
    <n v="3"/>
    <n v="0.25"/>
    <x v="2"/>
  </r>
  <r>
    <n v="1460"/>
    <x v="1333"/>
    <x v="43"/>
    <x v="0"/>
    <d v="1899-12-30T11:00:00"/>
    <s v="Sao Paulo, Brazil"/>
    <s v="Varig"/>
    <s v="Unknown"/>
    <s v="Sao Paulo - Porto Alegre"/>
    <x v="425"/>
    <s v="PP-VBZ"/>
    <n v="30400"/>
    <n v="3"/>
    <n v="0"/>
    <n v="3"/>
    <n v="3"/>
    <n v="0"/>
    <n v="3"/>
    <n v="0"/>
    <s v="The cargo plane crashed on takeoff. Elevator lock was not removed prior to takeoff."/>
    <n v="0"/>
    <n v="1"/>
    <x v="1"/>
  </r>
  <r>
    <n v="1461"/>
    <x v="1334"/>
    <x v="43"/>
    <x v="0"/>
    <s v="Unknown"/>
    <s v="Da Nang, Vietnam"/>
    <s v="Soc. de Tr. AÃ©riens d'ExtrÃªme Orient"/>
    <s v="Unknown"/>
    <s v="Tourane - Saigon"/>
    <x v="383"/>
    <s v="F-BCCL"/>
    <n v="4464"/>
    <n v="4"/>
    <n v="2"/>
    <n v="2"/>
    <n v="4"/>
    <n v="2"/>
    <n v="2"/>
    <n v="0"/>
    <s v="Crashed en route under unknown circumstances.."/>
    <n v="0"/>
    <n v="1"/>
    <x v="1"/>
  </r>
  <r>
    <n v="1462"/>
    <x v="1335"/>
    <x v="43"/>
    <x v="0"/>
    <d v="1899-12-30T23:00:00"/>
    <s v="Off Folkestone, England"/>
    <s v="Swissair"/>
    <s v="Unknown"/>
    <s v="Geneva - London"/>
    <x v="677"/>
    <s v="HB-IRW"/>
    <n v="61"/>
    <n v="9"/>
    <n v="5"/>
    <n v="4"/>
    <n v="3"/>
    <n v="3"/>
    <n v="0"/>
    <n v="0"/>
    <s v="The plane ditched into the Atlantic Ocean after running out of fuel. Three non-swimming passengers drowned due to lack of lifesaving equipment aboard. Negligence of the crew in not monitoring the fuel situation as the flight progressed."/>
    <n v="6"/>
    <n v="0.33333333333333331"/>
    <x v="2"/>
  </r>
  <r>
    <n v="1463"/>
    <x v="1336"/>
    <x v="43"/>
    <x v="0"/>
    <d v="1899-12-30T12:00:00"/>
    <s v="Near Salvador, Brazil"/>
    <s v="Military - Brazilian Air Force"/>
    <s v="Unknown"/>
    <s v="Unknown"/>
    <x v="698"/>
    <s v="C-28-2901"/>
    <s v="Unknown"/>
    <n v="24"/>
    <n v="20"/>
    <n v="4"/>
    <n v="24"/>
    <n v="20"/>
    <n v="4"/>
    <n v="0"/>
    <s v="The aircraft crashed while attempting to take off. Engine failure at a critical stage in takeoff."/>
    <n v="0"/>
    <n v="1"/>
    <x v="1"/>
  </r>
  <r>
    <n v="1464"/>
    <x v="1337"/>
    <x v="43"/>
    <x v="0"/>
    <d v="1899-12-30T08:45:00"/>
    <s v="Off Hainan Island, China"/>
    <s v="Cathay Pacific Airways"/>
    <s v="Unknown"/>
    <s v="Singapore - Hong Kong - Bangkok"/>
    <x v="487"/>
    <s v="VR-HEU"/>
    <n v="10310"/>
    <n v="18"/>
    <n v="12"/>
    <n v="6"/>
    <n v="10"/>
    <n v="8"/>
    <n v="2"/>
    <n v="0"/>
    <s v="Ditched into the sea after being shot down by Chinese Lachovlin  La-7 military fighter aircraft. The survivors were rescued by the U.S. Air Force."/>
    <n v="8"/>
    <n v="0.55555555555555558"/>
    <x v="0"/>
  </r>
  <r>
    <n v="1465"/>
    <x v="1338"/>
    <x v="43"/>
    <x v="0"/>
    <d v="1899-12-30T15:40:00"/>
    <s v="Near McGrath, Alaska"/>
    <s v="Alaska Airlines"/>
    <s v="Unknown"/>
    <s v="McGrath - Colorado Creek"/>
    <x v="226"/>
    <s v="N91008"/>
    <s v="13977/25422"/>
    <n v="2"/>
    <n v="0"/>
    <n v="2"/>
    <n v="2"/>
    <n v="0"/>
    <n v="2"/>
    <n v="0"/>
    <s v="The cargo plane flew into a mountain, 35 miles northeast of McGrath."/>
    <n v="0"/>
    <n v="1"/>
    <x v="1"/>
  </r>
  <r>
    <n v="1466"/>
    <x v="1339"/>
    <x v="43"/>
    <x v="0"/>
    <d v="1899-12-30T02:40:00"/>
    <s v="Terceira Island, Azores, Portugal"/>
    <s v="AVIANCA"/>
    <s v="Unknown"/>
    <s v="Lajes, Azores - Bermuda"/>
    <x v="699"/>
    <s v="HK-163"/>
    <n v="2664"/>
    <n v="30"/>
    <n v="21"/>
    <n v="9"/>
    <n v="30"/>
    <n v="21"/>
    <n v="9"/>
    <n v="0"/>
    <s v="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
    <n v="0"/>
    <n v="1"/>
    <x v="1"/>
  </r>
  <r>
    <n v="1467"/>
    <x v="1340"/>
    <x v="43"/>
    <x v="0"/>
    <s v="Unknown"/>
    <s v="Vietnam"/>
    <s v="Autrex"/>
    <s v="Unknown"/>
    <s v="Saigon - Hanoi"/>
    <x v="277"/>
    <s v="F-BSGS"/>
    <s v="Unknown"/>
    <n v="3"/>
    <n v="0"/>
    <n v="3"/>
    <n v="3"/>
    <n v="0"/>
    <n v="3"/>
    <n v="0"/>
    <s v="The cargo plane crashed en route."/>
    <n v="0"/>
    <n v="1"/>
    <x v="1"/>
  </r>
  <r>
    <n v="1468"/>
    <x v="1341"/>
    <x v="43"/>
    <x v="0"/>
    <s v="Unknown"/>
    <s v="Near Pakse, Laos"/>
    <s v="Air Vietnam (South Vietnam)"/>
    <s v="Unknown"/>
    <s v="Red River delta - Saigon"/>
    <x v="700"/>
    <s v="F-VNAI"/>
    <n v="12809"/>
    <n v="55"/>
    <n v="51"/>
    <n v="4"/>
    <n v="47"/>
    <n v="46"/>
    <n v="1"/>
    <n v="0"/>
    <s v="Crashed into the Mekong River while making an emergency landing after encountering engine failure. The aircraft was being used to evacuate families."/>
    <n v="8"/>
    <n v="0.8545454545454545"/>
    <x v="1"/>
  </r>
  <r>
    <n v="1469"/>
    <x v="1342"/>
    <x v="43"/>
    <x v="0"/>
    <d v="1899-12-30T17:03:00"/>
    <s v="Near Mason City, Iowa"/>
    <s v="Braniff Airlines"/>
    <n v="152"/>
    <s v="Memphis - Minneapolis"/>
    <x v="277"/>
    <s v="N61451"/>
    <n v="4630"/>
    <n v="19"/>
    <n v="16"/>
    <n v="3"/>
    <n v="12"/>
    <n v="10"/>
    <n v="2"/>
    <n v="0"/>
    <s v="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
    <n v="7"/>
    <n v="0.63157894736842102"/>
    <x v="0"/>
  </r>
  <r>
    <n v="1470"/>
    <x v="1343"/>
    <x v="43"/>
    <x v="0"/>
    <d v="1899-12-30T11:35:00"/>
    <s v="Off IJuuiden, North Sea"/>
    <s v="KLM Royal Dutch Airlines"/>
    <s v="Unknown"/>
    <s v="Shannon - Amsterdam"/>
    <x v="626"/>
    <s v="PH-DFO"/>
    <s v="43556/257"/>
    <n v="21"/>
    <n v="12"/>
    <n v="9"/>
    <n v="21"/>
    <n v="12"/>
    <n v="9"/>
    <n v="0"/>
    <s v="Crashed into the North Sea in rain showers and heavy seas. Cause not determined."/>
    <n v="0"/>
    <n v="1"/>
    <x v="1"/>
  </r>
  <r>
    <n v="1471"/>
    <x v="1344"/>
    <x v="43"/>
    <x v="0"/>
    <d v="1899-12-30T10:50:00"/>
    <s v="Sakhalin Oblast, Russia"/>
    <s v="Aeroflot"/>
    <n v="971"/>
    <s v="Khabarovsk - Yuzhno-Sakhalinsk"/>
    <x v="420"/>
    <s v="CCCP-L4679"/>
    <n v="6803"/>
    <n v="27"/>
    <n v="22"/>
    <n v="5"/>
    <n v="26"/>
    <n v="21"/>
    <n v="5"/>
    <n v="1"/>
    <s v="The plane crashed in the mountains. Crew did not properly use the navigation equipment."/>
    <n v="1"/>
    <n v="0.96296296296296291"/>
    <x v="1"/>
  </r>
  <r>
    <n v="1472"/>
    <x v="1345"/>
    <x v="43"/>
    <x v="0"/>
    <d v="1899-12-30T22:11:00"/>
    <s v="Near Rapid City, South Dekota"/>
    <s v="Military - U.S. Air Force"/>
    <s v="Unknown"/>
    <s v="Training"/>
    <x v="669"/>
    <s v="51-13722"/>
    <s v="Unknown"/>
    <n v="27"/>
    <n v="23"/>
    <n v="4"/>
    <n v="26"/>
    <n v="23"/>
    <n v="3"/>
    <n v="0"/>
    <s v="Crashed while making practice approaches to Ellsworth Air Force Base during its sixth attempt. The plane slammed into to ground with landing gear retracted and flaps set at 20 degrees."/>
    <n v="1"/>
    <n v="0.96296296296296291"/>
    <x v="1"/>
  </r>
  <r>
    <n v="1473"/>
    <x v="1346"/>
    <x v="43"/>
    <x v="0"/>
    <d v="1899-12-30T02:39:00"/>
    <s v="Foynes, Ireland"/>
    <s v="KLM Royal Dutch Airlines"/>
    <n v="633"/>
    <s v="Amsterdam - Shannon - New York"/>
    <x v="701"/>
    <s v="PH-LKY"/>
    <n v="4509"/>
    <n v="56"/>
    <n v="46"/>
    <n v="10"/>
    <n v="28"/>
    <n v="25"/>
    <n v="3"/>
    <n v="0"/>
    <s v="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
    <n v="28"/>
    <n v="0.5"/>
    <x v="0"/>
  </r>
  <r>
    <n v="1474"/>
    <x v="1347"/>
    <x v="43"/>
    <x v="0"/>
    <d v="1899-12-30T20:08:00"/>
    <s v="Off Rio de Janeiro, Brazil"/>
    <s v="Cruzeiro"/>
    <s v="Unknown"/>
    <s v="Sao Paulo - Rio de Janeiro"/>
    <x v="277"/>
    <s v="PP-CDJ"/>
    <n v="19278"/>
    <n v="26"/>
    <n v="22"/>
    <n v="4"/>
    <n v="6"/>
    <n v="6"/>
    <n v="0"/>
    <n v="0"/>
    <s v="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
    <n v="20"/>
    <n v="0.23076923076923078"/>
    <x v="2"/>
  </r>
  <r>
    <n v="1475"/>
    <x v="1348"/>
    <x v="43"/>
    <x v="0"/>
    <s v="Unknown"/>
    <s v="Cairo, Egypt"/>
    <s v="Misrair"/>
    <s v="Unknown"/>
    <s v="Test"/>
    <x v="702"/>
    <s v="SU-AFO"/>
    <n v="212"/>
    <n v="4"/>
    <n v="0"/>
    <n v="4"/>
    <n v="3"/>
    <n v="0"/>
    <n v="3"/>
    <n v="0"/>
    <s v="Stalled and crashed during a test flight."/>
    <n v="1"/>
    <n v="0.75"/>
    <x v="1"/>
  </r>
  <r>
    <n v="1476"/>
    <x v="1349"/>
    <x v="43"/>
    <x v="0"/>
    <d v="1899-12-30T00:57:00"/>
    <s v=" Novosibirsk, Russia"/>
    <s v="Aeroflot"/>
    <n v="10"/>
    <s v="Krasnoyarsk - Novosibirsk"/>
    <x v="533"/>
    <s v="CCCP-L1365"/>
    <s v=" 30 086"/>
    <n v="29"/>
    <n v="24"/>
    <n v="5"/>
    <n v="29"/>
    <n v="24"/>
    <n v="5"/>
    <n v="0"/>
    <s v="Crashed in fog while attempting to land. Crew error, landing in conditions below minimums."/>
    <n v="0"/>
    <n v="1"/>
    <x v="1"/>
  </r>
  <r>
    <n v="1477"/>
    <x v="1350"/>
    <x v="43"/>
    <x v="0"/>
    <d v="1899-12-30T17:50:00"/>
    <s v="Near Nice, Italy"/>
    <s v="Military - U.S. Air Force"/>
    <s v="Unknown"/>
    <s v="Rome - Lyons"/>
    <x v="386"/>
    <s v="43-16044"/>
    <n v="20510"/>
    <n v="21"/>
    <n v="18"/>
    <n v="3"/>
    <n v="21"/>
    <n v="18"/>
    <n v="3"/>
    <n v="0"/>
    <s v="Crashed in the Alps, 25 miles northeast of Nice, on the French/Italian border while en route. The instrument flight plan the pilot filed indicated a cruising height that was lower than the authorized minimum altitude required to clear the mountains."/>
    <n v="0"/>
    <n v="1"/>
    <x v="1"/>
  </r>
  <r>
    <n v="1478"/>
    <x v="1351"/>
    <x v="43"/>
    <x v="0"/>
    <d v="1899-12-30T00:10:00"/>
    <s v=" Krasnoyarsk Territory, Russia"/>
    <s v="Aeroflot"/>
    <n v="136"/>
    <s v="Krasnoyarsk - Irkutsk"/>
    <x v="703"/>
    <s v=" CCCP-L1789"/>
    <n v="93013206"/>
    <n v="16"/>
    <n v="13"/>
    <n v="3"/>
    <n v="16"/>
    <n v="13"/>
    <n v="3"/>
    <n v="0"/>
    <s v="Hit the east slope of Mt Sivukha  located 30 km from the Mana River in strong winds while en route. Crew error."/>
    <n v="0"/>
    <n v="1"/>
    <x v="1"/>
  </r>
  <r>
    <n v="1479"/>
    <x v="1352"/>
    <x v="43"/>
    <x v="0"/>
    <d v="1899-12-30T01:00:00"/>
    <s v="Off Ocean City, Maryland"/>
    <s v="Military - U.S. Navy"/>
    <n v="57"/>
    <s v="Patuxent River NAS - Kenitra, Morocco"/>
    <x v="704"/>
    <n v="128441"/>
    <n v="4108"/>
    <n v="42"/>
    <n v="21"/>
    <n v="21"/>
    <n v="42"/>
    <n v="21"/>
    <n v="21"/>
    <n v="0"/>
    <s v="The aircraft disappeared approximately 300 miles east of Ocean City, Maryland and no trace of the wreckage or bodies was ever found."/>
    <n v="0"/>
    <n v="1"/>
    <x v="1"/>
  </r>
  <r>
    <n v="1480"/>
    <x v="1353"/>
    <x v="43"/>
    <x v="0"/>
    <d v="1899-12-30T15:10:00"/>
    <s v="Mangalore, Australia"/>
    <s v="TAA"/>
    <s v="Unknown"/>
    <s v="Training"/>
    <x v="705"/>
    <s v="VH-TVA"/>
    <n v="44"/>
    <n v="8"/>
    <n v="0"/>
    <n v="8"/>
    <n v="3"/>
    <n v="0"/>
    <n v="3"/>
    <n v="0"/>
    <s v="Crashed during takeoff. An error of judgement on the part of the pilot-in-command in that he took the aircraft into the air at a speed below the minimum control speed, following loss of directional control during the ground run."/>
    <n v="5"/>
    <n v="0.375"/>
    <x v="0"/>
  </r>
  <r>
    <n v="1481"/>
    <x v="1354"/>
    <x v="43"/>
    <x v="0"/>
    <s v="Unknown"/>
    <s v="Jirishanga,Cerro de Pasco, Peru"/>
    <s v="TAM (Brazil)"/>
    <s v="Unknown"/>
    <s v="Pucallpa - Lima"/>
    <x v="277"/>
    <s v="FAP-403"/>
    <s v="Unknown"/>
    <n v="24"/>
    <n v="21"/>
    <n v="3"/>
    <n v="24"/>
    <n v="21"/>
    <n v="3"/>
    <n v="0"/>
    <s v="Disappeared over the Andes while en route. Wreckage found 12/04/1954."/>
    <n v="0"/>
    <n v="1"/>
    <x v="1"/>
  </r>
  <r>
    <n v="1482"/>
    <x v="1355"/>
    <x v="43"/>
    <x v="0"/>
    <d v="1899-12-30T11:15:00"/>
    <s v="Berlin, New Hampshire"/>
    <s v="Northeast Airlines"/>
    <n v="792"/>
    <s v="Boston - Concord - Laconia - Berlin, NH"/>
    <x v="277"/>
    <s v="N17891"/>
    <n v="11745"/>
    <n v="7"/>
    <n v="3"/>
    <n v="4"/>
    <n v="2"/>
    <n v="0"/>
    <n v="2"/>
    <n v="0"/>
    <s v="The aircraft crashed during an ILS approach to Berlin. Premature and unauthorized instrument descent to an altitude that did not permit terrain clearance."/>
    <n v="5"/>
    <n v="0.2857142857142857"/>
    <x v="2"/>
  </r>
  <r>
    <n v="1483"/>
    <x v="1356"/>
    <x v="43"/>
    <x v="0"/>
    <s v="Unknown"/>
    <s v="Near Luang Pragang, Laos"/>
    <s v="Air Laos"/>
    <s v="Unknown"/>
    <s v="Luang Prabang - Nam Tha"/>
    <x v="277"/>
    <s v="F-BEIA"/>
    <n v="19211"/>
    <n v="29"/>
    <n v="25"/>
    <n v="4"/>
    <n v="29"/>
    <n v="25"/>
    <n v="4"/>
    <n v="0"/>
    <s v="Crashed in the jungle about 30 km north of Luang Prabang on the company's first commercial flight."/>
    <n v="0"/>
    <n v="1"/>
    <x v="1"/>
  </r>
  <r>
    <n v="1484"/>
    <x v="1357"/>
    <x v="43"/>
    <x v="0"/>
    <d v="1899-12-30T23:04:00"/>
    <s v="Bratislava, Slovakia"/>
    <s v="CeskoslovenskÃ© Aerolinie"/>
    <s v="Unknown"/>
    <s v="Prague - Brno - Bratislava"/>
    <x v="402"/>
    <s v="OK-WDK"/>
    <n v="12549"/>
    <n v="4"/>
    <n v="0"/>
    <n v="4"/>
    <n v="4"/>
    <n v="0"/>
    <n v="4"/>
    <n v="0"/>
    <s v="Hit the ground while making an approach to land. It is believed that the Pitot tubes heater system was OFF at the time of the accident, which cause several instruments to display wrong parameters, such the altimeters and the speed indicators."/>
    <n v="0"/>
    <n v="1"/>
    <x v="1"/>
  </r>
  <r>
    <n v="1485"/>
    <x v="1358"/>
    <x v="43"/>
    <x v="0"/>
    <d v="1899-12-30T14:00:00"/>
    <s v="New York, New York"/>
    <s v="Linee Aeree Italiane"/>
    <n v="451"/>
    <s v="Rome - New York City"/>
    <x v="626"/>
    <s v="I-LINE"/>
    <s v="44418/487"/>
    <n v="32"/>
    <n v="22"/>
    <n v="10"/>
    <n v="26"/>
    <n v="16"/>
    <n v="10"/>
    <n v="0"/>
    <s v="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
    <n v="6"/>
    <n v="0.8125"/>
    <x v="1"/>
  </r>
  <r>
    <n v="1486"/>
    <x v="1358"/>
    <x v="43"/>
    <x v="0"/>
    <s v="Unknown"/>
    <s v="Near Bolivar, Venezuela"/>
    <s v="Linea Aeropostal Venezolana"/>
    <s v="Unknown"/>
    <s v="Bolivar - Tumeremo"/>
    <x v="402"/>
    <s v="YV-C-AMP"/>
    <n v="19292"/>
    <n v="2"/>
    <n v="0"/>
    <n v="2"/>
    <n v="2"/>
    <n v="0"/>
    <n v="2"/>
    <n v="0"/>
    <s v="The cargo plane crashed into a mountain while en route."/>
    <n v="0"/>
    <n v="1"/>
    <x v="1"/>
  </r>
  <r>
    <n v="1487"/>
    <x v="1359"/>
    <x v="43"/>
    <x v="0"/>
    <d v="1899-12-30T23:00:00"/>
    <s v="Pittsburgh, Pennsylvania"/>
    <s v="Johnson Flying Service"/>
    <s v="4844-C"/>
    <s v="Newark - Pittsburgh - Colorado Springs"/>
    <x v="277"/>
    <s v="N24320"/>
    <n v="20197"/>
    <n v="28"/>
    <n v="23"/>
    <n v="5"/>
    <n v="10"/>
    <n v="9"/>
    <n v="1"/>
    <n v="0"/>
    <s v="Ditched into the Monongahela River after running out of fuel. Inadequate flight planning. Contributing factors were inadequate crew supervision and training."/>
    <n v="18"/>
    <n v="0.35714285714285715"/>
    <x v="0"/>
  </r>
  <r>
    <n v="1488"/>
    <x v="1360"/>
    <x v="43"/>
    <x v="0"/>
    <s v="Unknown"/>
    <s v="Prestwick, Ayrshire, Scotland"/>
    <s v="British Overseas Airways"/>
    <s v="Unknown"/>
    <s v="London - Prestwick - Shannon - Gander - New York"/>
    <x v="706"/>
    <s v="G-ALSA"/>
    <n v="15943"/>
    <n v="36"/>
    <n v="25"/>
    <n v="11"/>
    <n v="28"/>
    <n v="24"/>
    <n v="4"/>
    <n v="0"/>
    <s v="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
    <n v="8"/>
    <n v="0.77777777777777779"/>
    <x v="1"/>
  </r>
  <r>
    <n v="1489"/>
    <x v="1361"/>
    <x v="43"/>
    <x v="0"/>
    <s v="Unknown"/>
    <s v="Irkutsk, Russia"/>
    <s v="Aeroflot"/>
    <s v="Unknown"/>
    <s v="Beijing- Irkutsk - Tashkent - Nicosia"/>
    <x v="707"/>
    <s v="Unknown"/>
    <s v="Unknown"/>
    <n v="17"/>
    <n v="14"/>
    <n v="3"/>
    <n v="17"/>
    <n v="14"/>
    <n v="3"/>
    <n v="0"/>
    <s v="Crashed shortly after takeoff from Irkutsk-Magan Airport."/>
    <n v="0"/>
    <n v="1"/>
    <x v="1"/>
  </r>
  <r>
    <n v="1490"/>
    <x v="1362"/>
    <x v="44"/>
    <x v="0"/>
    <s v="Unknown"/>
    <s v="Near Anchorage, Alaska"/>
    <s v="Military - US Air Force"/>
    <s v="Unknown"/>
    <s v="Anchorage - Nome"/>
    <x v="708"/>
    <s v="Unknown"/>
    <s v="Unknown"/>
    <n v="12"/>
    <s v="NULL"/>
    <s v="NULL"/>
    <n v="12"/>
    <s v="NULL"/>
    <s v="NULL"/>
    <n v="0"/>
    <s v="The pilot turned back to make an emergency landing at Skwentna Airport but hit a ridge a mile short of the runway."/>
    <n v="0"/>
    <n v="1"/>
    <x v="1"/>
  </r>
  <r>
    <n v="1491"/>
    <x v="1363"/>
    <x v="44"/>
    <x v="0"/>
    <d v="1899-12-30T21:00:00"/>
    <s v="Off Skellings, Ireland"/>
    <s v="Military -Royal Air Force"/>
    <s v="Unknown"/>
    <s v="Unknown"/>
    <x v="709"/>
    <s v="WG531 / Wl743"/>
    <s v="Unknown"/>
    <n v="18"/>
    <s v="NULL"/>
    <s v="NULL"/>
    <n v="18"/>
    <s v="NULL"/>
    <s v="NULL"/>
    <n v="0"/>
    <s v="Disappeared while on a training mission. Two planes collided in midair."/>
    <n v="0"/>
    <n v="1"/>
    <x v="1"/>
  </r>
  <r>
    <n v="1492"/>
    <x v="1364"/>
    <x v="44"/>
    <x v="0"/>
    <d v="1899-12-30T09:05:00"/>
    <s v="Greater Cincinnati Airport, Covington, Kentucky"/>
    <s v="Trans World Airlines / Castleton Inc."/>
    <s v="Unknown"/>
    <s v="Cincinnati - Cleveland"/>
    <x v="710"/>
    <s v="N93211/N999B"/>
    <s v="14081 / 4255"/>
    <n v="15"/>
    <n v="10"/>
    <n v="5"/>
    <n v="15"/>
    <n v="10"/>
    <n v="5"/>
    <n v="0"/>
    <s v="Midair collision at 700-900 feet. The DC-3 entered the airport's control space without clearance or communication with the tower. Thirteen killed on the Martin, two crew on the DC-3."/>
    <n v="0"/>
    <n v="1"/>
    <x v="1"/>
  </r>
  <r>
    <n v="1493"/>
    <x v="1365"/>
    <x v="44"/>
    <x v="0"/>
    <d v="1899-12-30T00:05:00"/>
    <s v="London, Ontario, Canada"/>
    <s v="Ontario Hydro"/>
    <s v="Unknown"/>
    <s v="Windsor - Toronto"/>
    <x v="711"/>
    <s v="CF-GEU"/>
    <s v="Unknown"/>
    <n v="5"/>
    <n v="3"/>
    <n v="2"/>
    <n v="1"/>
    <n v="1"/>
    <n v="0"/>
    <n v="0"/>
    <s v="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
    <n v="4"/>
    <n v="0.2"/>
    <x v="2"/>
  </r>
  <r>
    <n v="1494"/>
    <x v="1366"/>
    <x v="44"/>
    <x v="0"/>
    <d v="1899-12-30T16:25:00"/>
    <s v="Des Moines, Iowa"/>
    <s v="United Air Lines"/>
    <n v="329"/>
    <s v="Newark - Des Moines - Lincoln"/>
    <x v="712"/>
    <s v="N73154"/>
    <n v="180"/>
    <n v="39"/>
    <n v="36"/>
    <n v="3"/>
    <n v="0"/>
    <n v="0"/>
    <n v="0"/>
    <n v="0"/>
    <s v="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
    <n v="39"/>
    <n v="0"/>
    <x v="2"/>
  </r>
  <r>
    <n v="1495"/>
    <x v="1367"/>
    <x v="44"/>
    <x v="0"/>
    <s v="Unknown"/>
    <s v="Lapadrera, Colombia"/>
    <s v="Interamericana de Aviacion"/>
    <s v="Unknown"/>
    <s v="Bogota - Villavicencio - Mitu - La Pedrera"/>
    <x v="713"/>
    <s v="HK-1000E"/>
    <s v="Unknown"/>
    <n v="5"/>
    <n v="4"/>
    <n v="1"/>
    <n v="5"/>
    <n v="4"/>
    <n v="1"/>
    <n v="0"/>
    <s v="The cargo plane crashed into the Caqueta river while attempting to land."/>
    <n v="0"/>
    <n v="1"/>
    <x v="1"/>
  </r>
  <r>
    <n v="1496"/>
    <x v="1368"/>
    <x v="44"/>
    <x v="0"/>
    <d v="1899-12-30T03:50:00"/>
    <s v="Nagpur, India"/>
    <s v="Indian Airlines"/>
    <s v="Unknown"/>
    <s v="Nagpur - Delhi"/>
    <x v="277"/>
    <s v="VT-CVB"/>
    <n v="13037"/>
    <n v="10"/>
    <n v="6"/>
    <n v="4"/>
    <n v="10"/>
    <n v="6"/>
    <n v="4"/>
    <n v="0"/>
    <s v="Crashed into a field shortly after takeoff. The aircraft crashed as a result of slipping into the ground in the course of a poorly executed steep turn to port, carried out at night at a low altitude."/>
    <n v="0"/>
    <n v="1"/>
    <x v="1"/>
  </r>
  <r>
    <n v="1497"/>
    <x v="1369"/>
    <x v="44"/>
    <x v="0"/>
    <d v="1899-12-30T10:04:00"/>
    <s v="Near Calabar, Nigeria"/>
    <s v="West African Airways"/>
    <s v="Unknown"/>
    <s v="Enugu - Calabar"/>
    <x v="700"/>
    <s v="VR-NAD"/>
    <n v="12779"/>
    <n v="13"/>
    <n v="9"/>
    <n v="4"/>
    <n v="13"/>
    <n v="9"/>
    <n v="4"/>
    <n v="0"/>
    <s v="Crashed shortly after taking off after a wing failed. A design flaw in the wing led to fatigue cracks and wing failure."/>
    <n v="0"/>
    <n v="1"/>
    <x v="1"/>
  </r>
  <r>
    <n v="1498"/>
    <x v="1370"/>
    <x v="44"/>
    <x v="0"/>
    <d v="1899-12-30T19:53:00"/>
    <s v="Abruzzio Mountains, Italy"/>
    <s v="Sabena"/>
    <s v="Unknown"/>
    <s v="Brussels - Rome"/>
    <x v="528"/>
    <s v="OO-SDB"/>
    <s v="43063/60"/>
    <n v="29"/>
    <n v="21"/>
    <n v="8"/>
    <n v="29"/>
    <n v="21"/>
    <n v="8"/>
    <n v="0"/>
    <s v="Crashed into a mountain while on approach. Navigational error due to failure to use radio equipment."/>
    <n v="0"/>
    <n v="1"/>
    <x v="1"/>
  </r>
  <r>
    <n v="1499"/>
    <x v="1371"/>
    <x v="44"/>
    <x v="0"/>
    <d v="1899-12-30T07:31:00"/>
    <s v="Albuquerque, New Mexico"/>
    <s v="Trans World Airlines"/>
    <n v="260"/>
    <s v="Albuquerque - Sante Fe"/>
    <x v="714"/>
    <s v="N40416"/>
    <n v="14120"/>
    <n v="16"/>
    <n v="13"/>
    <n v="3"/>
    <n v="16"/>
    <n v="13"/>
    <n v="3"/>
    <n v="0"/>
    <s v="After taking off from Albuquerque, the aircraft flew a path directly towards Sandia Mountain and crashed into it.  While initially blaming the pilots of intentionally flying the plane into the mountain, five years later, the CAB changed the probable cause to &quot;deviation from course for reasons unknown&quot; and admitted there may have been a problem with the flux gauge compass."/>
    <n v="0"/>
    <n v="1"/>
    <x v="1"/>
  </r>
  <r>
    <n v="1500"/>
    <x v="1372"/>
    <x v="44"/>
    <x v="0"/>
    <d v="1899-12-30T09:20:00"/>
    <s v="Salisbury,  Zimbabwe"/>
    <s v="Central African Airways"/>
    <n v="626"/>
    <s v="Salisbury - Lusaka"/>
    <x v="277"/>
    <s v="VP-YKO"/>
    <s v="15109/26554"/>
    <n v="26"/>
    <n v="21"/>
    <n v="5"/>
    <n v="1"/>
    <n v="0"/>
    <n v="1"/>
    <n v="0"/>
    <s v="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
    <n v="25"/>
    <n v="3.8461538461538464E-2"/>
    <x v="2"/>
  </r>
  <r>
    <n v="1501"/>
    <x v="1373"/>
    <x v="44"/>
    <x v="0"/>
    <d v="1899-12-30T15:50:00"/>
    <s v="Formosa, Argentina"/>
    <s v="de Havilland Dove"/>
    <s v="Unknown"/>
    <s v="Unknown"/>
    <x v="715"/>
    <s v=" LQ-XWW"/>
    <n v="4094"/>
    <n v="7"/>
    <n v="4"/>
    <n v="3"/>
    <n v="6"/>
    <n v="4"/>
    <n v="2"/>
    <s v="NULL"/>
    <s v="The aircraft was not able to get airborne and hit the end marker of the runway then hit the airport fence. Use of spark plugs inappropriate to the engine type. Overloaded."/>
    <n v="1"/>
    <n v="0.8571428571428571"/>
    <x v="1"/>
  </r>
  <r>
    <n v="1502"/>
    <x v="1374"/>
    <x v="44"/>
    <x v="0"/>
    <s v="Unknown"/>
    <s v="Vitoria da Conquista, Brazil"/>
    <s v="REAL"/>
    <s v="Unknown"/>
    <s v="Unknown"/>
    <x v="277"/>
    <s v="PP-YPZ"/>
    <n v="11699"/>
    <n v="21"/>
    <n v="18"/>
    <n v="3"/>
    <n v="5"/>
    <n v="4"/>
    <n v="1"/>
    <n v="0"/>
    <s v="After an aborted landing attempt due to a unlocked landing gear, the plane made a left turn, hit a pole, crashed and burned. Pilot error. Improper use of the throttles by the crew following the go-around. Failure of the landing gear locking mechanism."/>
    <n v="16"/>
    <n v="0.23809523809523808"/>
    <x v="2"/>
  </r>
  <r>
    <n v="1503"/>
    <x v="1375"/>
    <x v="44"/>
    <x v="0"/>
    <s v="Unknown"/>
    <s v="Near Cuidad de Valles, Mexic"/>
    <s v="Private"/>
    <s v="Unknown"/>
    <s v="Tampico - Mexico City"/>
    <x v="345"/>
    <s v="XB-ZEH"/>
    <s v="Unknown"/>
    <n v="6"/>
    <n v="4"/>
    <n v="2"/>
    <n v="6"/>
    <n v="4"/>
    <n v="2"/>
    <s v="NULL"/>
    <s v="While cruising by night, the twin engine aircraft hit the slope of the Cerro El Sabino located near Ciudad Valles."/>
    <n v="0"/>
    <n v="1"/>
    <x v="1"/>
  </r>
  <r>
    <n v="1504"/>
    <x v="1376"/>
    <x v="44"/>
    <x v="0"/>
    <d v="1899-12-30T13:40:00"/>
    <s v="Mascota, Mexico"/>
    <s v="Mexicana"/>
    <n v="591"/>
    <s v="Puerto Vallarta - Talpa de Allende - Mascota - Guadalajara"/>
    <x v="277"/>
    <s v="XA-DIK"/>
    <n v="3992"/>
    <n v="26"/>
    <n v="23"/>
    <n v="3"/>
    <n v="26"/>
    <n v="23"/>
    <n v="3"/>
    <n v="0"/>
    <s v="the airplane hit the slope of the Cerro del Cabre located about 20 km northwest of the airport."/>
    <n v="0"/>
    <n v="1"/>
    <x v="1"/>
  </r>
  <r>
    <n v="1505"/>
    <x v="1377"/>
    <x v="44"/>
    <x v="0"/>
    <d v="1899-12-30T15:15:00"/>
    <s v="Trujillo, Colombia"/>
    <s v="AVIANCA"/>
    <s v="Unknown"/>
    <s v="Condoto - Cali"/>
    <x v="402"/>
    <s v="HK-328"/>
    <n v="20224"/>
    <n v="8"/>
    <n v="5"/>
    <n v="3"/>
    <n v="8"/>
    <n v="5"/>
    <n v="3"/>
    <n v="0"/>
    <s v="The cargo plane crashed with a gold and platinum shipment aboard. Wreckage found one month later."/>
    <n v="0"/>
    <n v="1"/>
    <x v="1"/>
  </r>
  <r>
    <n v="1506"/>
    <x v="1378"/>
    <x v="44"/>
    <x v="0"/>
    <d v="1899-12-30T22:36:00"/>
    <s v="Springfield, Missouri"/>
    <s v="American Airlines"/>
    <n v="711"/>
    <s v="Newark - Chicago - St. Louis - Springfield - Tulsa"/>
    <x v="640"/>
    <s v="N94234"/>
    <n v="66"/>
    <n v="35"/>
    <n v="32"/>
    <n v="3"/>
    <n v="13"/>
    <n v="11"/>
    <n v="2"/>
    <n v="0"/>
    <s v="The plane crashed 1.25 miles short of the runway while attempting to land. Crew's inattention to flight instruments during approach. Pilot sensory illusion which gave a  false impression of the aircraft's altitude."/>
    <n v="22"/>
    <n v="0.37142857142857144"/>
    <x v="0"/>
  </r>
  <r>
    <n v="1507"/>
    <x v="1379"/>
    <x v="44"/>
    <x v="0"/>
    <d v="1899-12-30T02:03:00"/>
    <s v="Oahu, Hawaii"/>
    <s v="Military - U.S. Navy"/>
    <s v="Unknown"/>
    <s v="Tokyo - Hickam - Travis"/>
    <x v="716"/>
    <n v="131612"/>
    <n v="43715"/>
    <n v="66"/>
    <n v="57"/>
    <n v="9"/>
    <n v="66"/>
    <n v="57"/>
    <n v="9"/>
    <n v="0"/>
    <s v="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
    <n v="0"/>
    <n v="1"/>
    <x v="1"/>
  </r>
  <r>
    <n v="1508"/>
    <x v="1380"/>
    <x v="44"/>
    <x v="0"/>
    <d v="1899-12-30T11:12:00"/>
    <s v="Off the Oregon coast"/>
    <s v="Pan American World Airways"/>
    <s v="845/26"/>
    <s v="Portland - Honolulu"/>
    <x v="717"/>
    <s v="N1032V"/>
    <n v="15932"/>
    <n v="23"/>
    <n v="15"/>
    <n v="8"/>
    <n v="4"/>
    <n v="2"/>
    <n v="2"/>
    <n v="0"/>
    <s v="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quot;Clipper United States.&quot;"/>
    <n v="19"/>
    <n v="0.17391304347826086"/>
    <x v="2"/>
  </r>
  <r>
    <n v="1509"/>
    <x v="1381"/>
    <x v="44"/>
    <x v="0"/>
    <s v="Unknown"/>
    <s v="Off Pensacola, Florida"/>
    <s v="Aaxico Airlines"/>
    <s v="Unknown"/>
    <s v="Mobile, AL - Macon, GA"/>
    <x v="425"/>
    <s v="N51424"/>
    <n v="30430"/>
    <n v="2"/>
    <n v="0"/>
    <n v="2"/>
    <n v="2"/>
    <n v="0"/>
    <n v="2"/>
    <n v="0"/>
    <s v="The cargo plane flew into a thunderstorm and crashed into the sea  in the Gulf of Mexico while en route."/>
    <n v="0"/>
    <n v="1"/>
    <x v="1"/>
  </r>
  <r>
    <n v="1510"/>
    <x v="1382"/>
    <x v="44"/>
    <x v="0"/>
    <d v="1899-12-30T15:55:00"/>
    <s v="Islip, New York"/>
    <s v="United Air Lines"/>
    <s v="Unknown"/>
    <s v="Training"/>
    <x v="528"/>
    <s v="N37512"/>
    <s v="43001/32"/>
    <n v="3"/>
    <n v="0"/>
    <n v="3"/>
    <n v="3"/>
    <n v="0"/>
    <n v="3"/>
    <n v="0"/>
    <s v="Suddenly dove into the ground. Unintentional movement of no.4 throttle into the reverse range just before breaking ground, with the other three engines operating at high power output, which resulted in the aircraft very quickly becoming uncontrollable once airborne."/>
    <n v="0"/>
    <n v="1"/>
    <x v="1"/>
  </r>
  <r>
    <n v="1511"/>
    <x v="1383"/>
    <x v="44"/>
    <x v="0"/>
    <d v="1899-12-30T17:30:00"/>
    <s v="Off Great Natuna Island, Sarawak"/>
    <s v="Air India"/>
    <s v="Unknown"/>
    <s v="Hong Kong - Jakarta"/>
    <x v="611"/>
    <s v="VT-DEP"/>
    <n v="2666"/>
    <n v="19"/>
    <n v="11"/>
    <n v="8"/>
    <n v="19"/>
    <n v="11"/>
    <n v="8"/>
    <n v="0"/>
    <s v="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quot;Kashmir Princess.&quot;"/>
    <n v="0"/>
    <n v="1"/>
    <x v="1"/>
  </r>
  <r>
    <n v="1512"/>
    <x v="1384"/>
    <x v="44"/>
    <x v="0"/>
    <s v="Unknown"/>
    <s v="Kupe Mountains, Cameroons"/>
    <s v="Union des Transportes Aeriens"/>
    <s v="Unknown"/>
    <s v="Yaounde - Douala"/>
    <x v="671"/>
    <s v="F-BGOI"/>
    <n v="14010"/>
    <n v="14"/>
    <n v="10"/>
    <n v="4"/>
    <n v="12"/>
    <n v="9"/>
    <n v="3"/>
    <n v="0"/>
    <s v="The aircraft hit the slope of Mt KoupÃ© located about 80 km north of Douala. Wreckage found after 10 months."/>
    <n v="2"/>
    <n v="0.8571428571428571"/>
    <x v="1"/>
  </r>
  <r>
    <n v="1513"/>
    <x v="1385"/>
    <x v="44"/>
    <x v="0"/>
    <d v="1899-12-30T11:56:00"/>
    <s v="Mt. Kilimanjaro, Kenya"/>
    <s v="East African Airways"/>
    <s v="Unknown"/>
    <s v="Dar-es-Salaam - Nairobi"/>
    <x v="277"/>
    <s v="VP-KKH"/>
    <s v="16820/33568"/>
    <n v="20"/>
    <n v="16"/>
    <n v="4"/>
    <n v="20"/>
    <n v="16"/>
    <n v="4"/>
    <n v="0"/>
    <s v="Crashed after reporting being over Jipe Lake on the slopes of Mt. Kilimanjaro. Failure to follow prescribed route and procedures."/>
    <n v="0"/>
    <n v="1"/>
    <x v="1"/>
  </r>
  <r>
    <n v="1514"/>
    <x v="1386"/>
    <x v="44"/>
    <x v="0"/>
    <s v="Unknown"/>
    <s v="Off Barcelona, Venezuela"/>
    <s v="Linea Aeropostal Venezolana"/>
    <s v="Unknown"/>
    <s v="Caracas - Barcelona"/>
    <x v="383"/>
    <s v="YV-C-ALU"/>
    <n v="4791"/>
    <n v="16"/>
    <n v="13"/>
    <n v="3"/>
    <n v="4"/>
    <n v="4"/>
    <n v="0"/>
    <n v="0"/>
    <s v="Ditched into the sea a few km from shore."/>
    <n v="12"/>
    <n v="0.25"/>
    <x v="2"/>
  </r>
  <r>
    <n v="1515"/>
    <x v="1387"/>
    <x v="44"/>
    <x v="0"/>
    <d v="1899-12-30T14:27:00"/>
    <s v="Edmonton, Alberta, Canada"/>
    <s v="Associated Airways"/>
    <s v="Unknown"/>
    <s v="Unknown"/>
    <x v="718"/>
    <s v="CF-HMY"/>
    <s v="MW237"/>
    <n v="2"/>
    <n v="0"/>
    <n v="2"/>
    <n v="2"/>
    <n v="0"/>
    <n v="2"/>
    <n v="0"/>
    <s v="The attempt of the pilot to takeoff under the prevailing unfavorable conditions. As a result, the aircraft hit an instrument landing building and crashed into a rail yard."/>
    <n v="0"/>
    <n v="1"/>
    <x v="1"/>
  </r>
  <r>
    <n v="1516"/>
    <x v="1388"/>
    <x v="44"/>
    <x v="0"/>
    <s v="Unknown"/>
    <s v="Fort Lamy, Cameroon"/>
    <s v="Union AÃ©romaritime de Transport"/>
    <s v="Unknown"/>
    <s v="Douala - Fort Lamy"/>
    <x v="377"/>
    <s v="F-BFVT"/>
    <n v="10292"/>
    <n v="3"/>
    <n v="0"/>
    <n v="3"/>
    <n v="3"/>
    <n v="0"/>
    <n v="3"/>
    <n v="0"/>
    <s v="The cargo plane crashed while attempting to land."/>
    <n v="0"/>
    <n v="1"/>
    <x v="1"/>
  </r>
  <r>
    <n v="1517"/>
    <x v="1389"/>
    <x v="44"/>
    <x v="0"/>
    <d v="1899-12-30T01:15:00"/>
    <s v="Near Asuncion, Paraguay"/>
    <s v="Panair do Brasil"/>
    <s v="Unknown"/>
    <s v="Sao Paulo - Asuncion"/>
    <x v="518"/>
    <s v="PP-PDJ"/>
    <n v="2032"/>
    <n v="24"/>
    <n v="14"/>
    <n v="10"/>
    <n v="16"/>
    <n v="9"/>
    <n v="7"/>
    <n v="0"/>
    <s v="Crashed on final approach. Pilot fatigue. The pilot did not follow the recommended procedure for instrument final approach and he descended below the height prescribed in the final approach chart."/>
    <n v="8"/>
    <n v="0.66666666666666663"/>
    <x v="1"/>
  </r>
  <r>
    <n v="1518"/>
    <x v="1390"/>
    <x v="44"/>
    <x v="0"/>
    <s v="Unknown"/>
    <s v="Leon, Mexico"/>
    <s v="Tigres Voladores"/>
    <s v="Unknown"/>
    <s v="Leon - Mexico City"/>
    <x v="469"/>
    <s v="XA-LID"/>
    <s v="Unknown"/>
    <n v="39"/>
    <n v="36"/>
    <n v="3"/>
    <n v="18"/>
    <n v="18"/>
    <n v="0"/>
    <n v="0"/>
    <s v="Lost an engine on takeoff and crashed into trees and caught fire."/>
    <n v="21"/>
    <n v="0.46153846153846156"/>
    <x v="0"/>
  </r>
  <r>
    <n v="1519"/>
    <x v="1391"/>
    <x v="44"/>
    <x v="0"/>
    <d v="1899-12-30T15:45:00"/>
    <s v="Oaxaca, Mexico"/>
    <s v="Lineas Areas Unidas"/>
    <s v="Unknown"/>
    <s v="Acapulco - Oaxaca"/>
    <x v="436"/>
    <s v="XA-DOB"/>
    <n v="2088"/>
    <n v="22"/>
    <n v="19"/>
    <n v="3"/>
    <n v="22"/>
    <n v="19"/>
    <n v="3"/>
    <n v="0"/>
    <s v="Crashed in a mountainous area located 39 km from the airport in the Zimathan district while en route."/>
    <n v="0"/>
    <n v="1"/>
    <x v="1"/>
  </r>
  <r>
    <n v="1520"/>
    <x v="1392"/>
    <x v="44"/>
    <x v="0"/>
    <d v="1899-12-30T06:24:00"/>
    <s v="Chicago, Illinois"/>
    <s v="Braniff Airlines"/>
    <n v="560"/>
    <s v="Kansas City, MO - Chicago"/>
    <x v="719"/>
    <s v="N3422"/>
    <n v="71"/>
    <n v="43"/>
    <n v="40"/>
    <n v="3"/>
    <n v="22"/>
    <n v="20"/>
    <n v="2"/>
    <n v="0"/>
    <s v="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
    <n v="21"/>
    <n v="0.51162790697674421"/>
    <x v="0"/>
  </r>
  <r>
    <n v="1521"/>
    <x v="1393"/>
    <x v="44"/>
    <x v="0"/>
    <d v="1899-12-30T07:38:00"/>
    <s v="Near Petrich, Bulgaria"/>
    <s v="El Al"/>
    <s v="402/46"/>
    <s v="London - Paris - Vienna - Tel Aviv"/>
    <x v="609"/>
    <s v="4X-AKC"/>
    <n v="1968"/>
    <n v="58"/>
    <n v="51"/>
    <n v="7"/>
    <n v="58"/>
    <n v="51"/>
    <n v="7"/>
    <n v="0"/>
    <s v="On a flight from London, England to Tel Aviv, the aircraft drifted over Bulgarian airspace and was shot down by Bulgarian jet fighters. A navigational error that probably originated with an incorrect radio compass indication due to the effects of thunderstorm activity in the area."/>
    <n v="0"/>
    <n v="1"/>
    <x v="1"/>
  </r>
  <r>
    <n v="1522"/>
    <x v="1394"/>
    <x v="44"/>
    <x v="0"/>
    <d v="1899-12-30T12:23:00"/>
    <s v="Fort Leonard Wood, Missouri"/>
    <s v="American Airlines"/>
    <n v="476"/>
    <s v="Springfield, IL - St. Louis, MO"/>
    <x v="640"/>
    <s v="N94221"/>
    <n v="40"/>
    <n v="30"/>
    <n v="27"/>
    <n v="3"/>
    <n v="30"/>
    <n v="27"/>
    <n v="3"/>
    <n v="0"/>
    <s v="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
    <n v="0"/>
    <n v="1"/>
    <x v="1"/>
  </r>
  <r>
    <n v="1523"/>
    <x v="1395"/>
    <x v="44"/>
    <x v="0"/>
    <d v="1899-12-30T15:18:00"/>
    <s v="Near Voronezh, Russia"/>
    <s v="Aeroflot"/>
    <n v="214"/>
    <s v="Starllingrad - Moscow."/>
    <x v="720"/>
    <s v="L5057"/>
    <n v="4340408"/>
    <n v="25"/>
    <n v="20"/>
    <n v="5"/>
    <n v="25"/>
    <n v="20"/>
    <n v="5"/>
    <n v="0"/>
    <s v="The right engine caught on fire due to a fuel leak leading to distruction of the plane in the air."/>
    <n v="0"/>
    <n v="1"/>
    <x v="1"/>
  </r>
  <r>
    <n v="1524"/>
    <x v="1396"/>
    <x v="44"/>
    <x v="0"/>
    <d v="1899-12-30T14:20:00"/>
    <s v="Near Edelweiler, West Germany"/>
    <s v="Military - U.S. Air Force / Military - U.S. Air Force"/>
    <s v="Unknown"/>
    <s v="Dreux - Stuttgart"/>
    <x v="721"/>
    <s v="53-3222/53-7841"/>
    <n v="11258"/>
    <n v="67"/>
    <n v="57"/>
    <n v="10"/>
    <n v="67"/>
    <n v="57"/>
    <n v="10"/>
    <n v="0"/>
    <s v="Participating in a U.S. military exercise, the two planes collided in midair while in formation after one of the planes pulled out of formation because of engine trouble. The accident occurred at an altitude of 4,000 feet.  Forty-six aboard 7841 and 20 aboard 3222 were killed."/>
    <n v="0"/>
    <n v="1"/>
    <x v="1"/>
  </r>
  <r>
    <n v="1525"/>
    <x v="1397"/>
    <x v="44"/>
    <x v="0"/>
    <d v="1899-12-30T08:00:00"/>
    <s v="Caparao Mountain, Brazil"/>
    <s v="Cruzeiro"/>
    <s v="Unknown"/>
    <s v="Rio de Janeiro - Caravelas"/>
    <x v="277"/>
    <s v="PP-CBY"/>
    <n v="11692"/>
    <n v="13"/>
    <n v="9"/>
    <n v="4"/>
    <n v="13"/>
    <n v="9"/>
    <n v="4"/>
    <n v="0"/>
    <s v="Hit Caparao Mountain while en route, 1 hour after taking off.  Failure to follow flight plan."/>
    <n v="0"/>
    <n v="1"/>
    <x v="1"/>
  </r>
  <r>
    <n v="1526"/>
    <x v="1398"/>
    <x v="44"/>
    <x v="0"/>
    <s v="Unknown"/>
    <s v="Simra, Nepal"/>
    <s v="Kalinga Airlines"/>
    <s v="Unknown"/>
    <s v="Unknown"/>
    <x v="402"/>
    <s v="VT-AZX"/>
    <n v="13285"/>
    <n v="3"/>
    <n v="0"/>
    <n v="3"/>
    <n v="2"/>
    <n v="0"/>
    <n v="2"/>
    <n v="0"/>
    <s v="The cargo plane lifted off too early, stalled and crashed. The pilot tried to avoid a person on the runway."/>
    <n v="1"/>
    <n v="0.66666666666666663"/>
    <x v="1"/>
  </r>
  <r>
    <n v="1527"/>
    <x v="1399"/>
    <x v="44"/>
    <x v="0"/>
    <s v="Unknown"/>
    <s v="Lanywa, Burma (Myanmar)"/>
    <s v="Union of Burma Airways"/>
    <s v="Unknown"/>
    <s v="Meiktila - Lanywa"/>
    <x v="277"/>
    <s v="XY-ACQ"/>
    <n v="12579"/>
    <n v="12"/>
    <n v="9"/>
    <n v="3"/>
    <n v="12"/>
    <n v="9"/>
    <n v="3"/>
    <n v="0"/>
    <s v="Flew into Mount Popa located about 45 km east of Lanywa."/>
    <n v="0"/>
    <n v="1"/>
    <x v="1"/>
  </r>
  <r>
    <n v="1528"/>
    <x v="1400"/>
    <x v="44"/>
    <x v="0"/>
    <d v="1899-12-30T07:57:00"/>
    <s v="Burbank, California"/>
    <s v="Currey Air Transport"/>
    <n v="24"/>
    <s v="Burbank - Oakland"/>
    <x v="277"/>
    <s v="N74663"/>
    <n v="6257"/>
    <n v="33"/>
    <n v="30"/>
    <n v="3"/>
    <n v="2"/>
    <n v="0"/>
    <n v="2"/>
    <n v="1"/>
    <s v="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
    <n v="31"/>
    <n v="6.0606060606060608E-2"/>
    <x v="2"/>
  </r>
  <r>
    <n v="1529"/>
    <x v="1401"/>
    <x v="44"/>
    <x v="0"/>
    <s v="Unknown"/>
    <s v="Near Banyo, Cameroon"/>
    <s v="Societe France Hydro"/>
    <s v="Unknown"/>
    <s v="Lac LÃ©rÃ¨ - Douala"/>
    <x v="543"/>
    <s v="F-BDRE"/>
    <n v="8"/>
    <n v="16"/>
    <n v="8"/>
    <n v="8"/>
    <n v="16"/>
    <n v="8"/>
    <n v="8"/>
    <n v="0"/>
    <s v="Crashed into the Cameroon mountains after the wing separated due to severe turbulence."/>
    <n v="0"/>
    <n v="1"/>
    <x v="1"/>
  </r>
  <r>
    <n v="1530"/>
    <x v="1402"/>
    <x v="44"/>
    <x v="0"/>
    <d v="1899-12-30T00:50:00"/>
    <s v="Near Thorhild, Alberta, Canada"/>
    <s v="Pacific Western Airlines"/>
    <s v="Unknown"/>
    <s v="Edmonton - Yellowknife"/>
    <x v="722"/>
    <s v="CF-GBT"/>
    <n v="12831"/>
    <n v="6"/>
    <n v="4"/>
    <n v="2"/>
    <n v="2"/>
    <n v="1"/>
    <n v="1"/>
    <n v="0"/>
    <s v="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
    <n v="4"/>
    <n v="0.33333333333333331"/>
    <x v="2"/>
  </r>
  <r>
    <n v="1531"/>
    <x v="1403"/>
    <x v="44"/>
    <x v="0"/>
    <d v="1899-12-30T00:23:00"/>
    <s v="Idris, Libya"/>
    <s v="British Overseas Airways"/>
    <s v="Unknown"/>
    <s v="Rome - Tripoli"/>
    <x v="723"/>
    <s v="G-ALHL"/>
    <n v="158"/>
    <n v="47"/>
    <n v="40"/>
    <n v="7"/>
    <n v="15"/>
    <n v="13"/>
    <n v="2"/>
    <n v="0"/>
    <s v="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
    <n v="32"/>
    <n v="0.31914893617021278"/>
    <x v="2"/>
  </r>
  <r>
    <n v="1532"/>
    <x v="1404"/>
    <x v="44"/>
    <x v="0"/>
    <d v="1899-12-30T20:48:00"/>
    <s v="Pacific Ocean (1,000 miles west of Honolulu, HI)"/>
    <s v="Flying Tiger Line"/>
    <s v="Unknown"/>
    <s v="Wake Island - Honolulu"/>
    <x v="377"/>
    <s v="N90433"/>
    <n v="10410"/>
    <n v="5"/>
    <n v="0"/>
    <n v="5"/>
    <n v="3"/>
    <n v="0"/>
    <n v="3"/>
    <n v="0"/>
    <s v="The cargo plane lost 3 engines and ditched into the Pacific Ocean. The loss of power in three engines due to incorrect fuel system management and faulty restarting methods which resulted in the ditching of the aircraft."/>
    <n v="2"/>
    <n v="0.6"/>
    <x v="0"/>
  </r>
  <r>
    <n v="1533"/>
    <x v="1405"/>
    <x v="44"/>
    <x v="0"/>
    <d v="1899-12-30T13:10:00"/>
    <s v="Yellowknife, Northwest Territory, Canada"/>
    <s v="Associated Airways"/>
    <s v="Unknown"/>
    <s v="Shepard Bay -Yellowknife"/>
    <x v="718"/>
    <s v="CF-HMV"/>
    <s v="Unknown"/>
    <n v="2"/>
    <n v="0"/>
    <n v="2"/>
    <n v="1"/>
    <n v="0"/>
    <n v="1"/>
    <n v="0"/>
    <s v="The cargo plane ditched into the Thoa river. The pilot radioed he was going down and was ditching into a lake. Fuel exhaustion."/>
    <n v="1"/>
    <n v="0.5"/>
    <x v="0"/>
  </r>
  <r>
    <n v="1534"/>
    <x v="1406"/>
    <x v="44"/>
    <x v="0"/>
    <s v="Unknown"/>
    <s v="Pico Oiriruma-Vinac, Peru"/>
    <s v="Faucett"/>
    <s v="Unknown"/>
    <s v="Lima - Cuzco"/>
    <x v="724"/>
    <s v="OB-PAZ-228"/>
    <n v="10277"/>
    <n v="35"/>
    <n v="31"/>
    <n v="4"/>
    <n v="19"/>
    <n v="15"/>
    <n v="4"/>
    <n v="0"/>
    <s v="Crashed in adjacent mountains while attempting an emergency landing following an engine fire."/>
    <n v="16"/>
    <n v="0.54285714285714282"/>
    <x v="0"/>
  </r>
  <r>
    <n v="1535"/>
    <x v="1407"/>
    <x v="44"/>
    <x v="0"/>
    <d v="1899-12-30T07:26:00"/>
    <s v="Near Centennial, Wyoming"/>
    <s v="United Air Lines"/>
    <n v="409"/>
    <s v="Denver - Salt Lake City - San Francisco"/>
    <x v="487"/>
    <s v="N30062"/>
    <n v="18389"/>
    <n v="66"/>
    <n v="63"/>
    <n v="3"/>
    <n v="66"/>
    <n v="63"/>
    <n v="3"/>
    <n v="0"/>
    <s v="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
    <n v="0"/>
    <n v="1"/>
    <x v="1"/>
  </r>
  <r>
    <n v="1536"/>
    <x v="1408"/>
    <x v="44"/>
    <x v="0"/>
    <d v="1899-12-30T15:40:00"/>
    <s v=" Near Vienna, Austria"/>
    <s v="JAT Yugoslav Airlines"/>
    <s v="Unknown"/>
    <s v="Beograd - Wien"/>
    <x v="725"/>
    <s v="YU-ADC"/>
    <n v="178"/>
    <n v="29"/>
    <n v="25"/>
    <n v="4"/>
    <n v="7"/>
    <n v="6"/>
    <n v="1"/>
    <n v="0"/>
    <s v="Crashed into Kahlenberg Hill while on approach to Wien.  The aircraft flew for a longer time on the outbound track and descended below the prescribed minimum altitutde. Pilot error."/>
    <n v="22"/>
    <n v="0.2413793103448276"/>
    <x v="2"/>
  </r>
  <r>
    <n v="1537"/>
    <x v="1409"/>
    <x v="44"/>
    <x v="0"/>
    <d v="1899-12-30T19:03:00"/>
    <s v="Longmont, Colorado"/>
    <s v="United Air Lines"/>
    <n v="629"/>
    <s v="Denver - Portland"/>
    <x v="626"/>
    <s v="N37559"/>
    <n v="43538"/>
    <n v="44"/>
    <n v="39"/>
    <n v="5"/>
    <n v="44"/>
    <n v="39"/>
    <n v="5"/>
    <n v="0"/>
    <s v="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
    <n v="0"/>
    <n v="1"/>
    <x v="1"/>
  </r>
  <r>
    <n v="1538"/>
    <x v="1410"/>
    <x v="44"/>
    <x v="0"/>
    <s v="Unknown"/>
    <s v="Near Las Vegas, Nevada"/>
    <s v="Military - U.S. Air Force"/>
    <s v="Unknown"/>
    <s v="Burbank - Groom Dry Lake"/>
    <x v="726"/>
    <s v="44-9068"/>
    <n v="27294"/>
    <n v="14"/>
    <n v="10"/>
    <n v="4"/>
    <n v="14"/>
    <n v="10"/>
    <n v="4"/>
    <n v="0"/>
    <s v="Crashed into the  peak of Mount Charleston 30 miles WNW of Las Vegas during a storm."/>
    <n v="0"/>
    <n v="1"/>
    <x v="1"/>
  </r>
  <r>
    <n v="1539"/>
    <x v="1410"/>
    <x v="44"/>
    <x v="0"/>
    <d v="1899-12-30T23:59:00"/>
    <s v="Seattle, Washingon"/>
    <s v="Peninsular"/>
    <s v="17K"/>
    <s v="Seattle - Newark"/>
    <x v="450"/>
    <s v="N88852"/>
    <n v="3123"/>
    <n v="74"/>
    <n v="70"/>
    <n v="4"/>
    <n v="28"/>
    <n v="27"/>
    <n v="1"/>
    <n v="0"/>
    <s v="Crashed on takeoff. In-flight prop failure.  Maintenance error.  The excessively high drag resulting from the improperly indexed propeller blades and inability to feather."/>
    <n v="46"/>
    <n v="0.3783783783783784"/>
    <x v="0"/>
  </r>
  <r>
    <n v="1540"/>
    <x v="1411"/>
    <x v="44"/>
    <x v="0"/>
    <d v="1899-12-30T18:59:00"/>
    <s v="Iwo Jima, Japan"/>
    <s v="Military - US Air Force"/>
    <s v="Unknown"/>
    <s v="Iwo Jima AFB - Tachikawa AFB"/>
    <x v="727"/>
    <s v="51-0149"/>
    <n v="43483"/>
    <n v="11"/>
    <n v="2"/>
    <n v="9"/>
    <n v="10"/>
    <n v="2"/>
    <n v="8"/>
    <n v="0"/>
    <s v="The military transport crashed seconds after taking off from Central Airport in Iwo Jima. Malfunction of the number one engine propeller that went into reverse after an electrical short-circuit occurred."/>
    <n v="1"/>
    <n v="0.90909090909090906"/>
    <x v="1"/>
  </r>
  <r>
    <n v="1541"/>
    <x v="1412"/>
    <x v="44"/>
    <x v="0"/>
    <d v="1899-12-30T22:00:00"/>
    <s v="Near Ballico, California"/>
    <s v="Military - U.S. Air Force"/>
    <s v="Unknown"/>
    <s v="Unknown"/>
    <x v="728"/>
    <s v="52-8716"/>
    <s v="Unknown"/>
    <n v="10"/>
    <n v="0"/>
    <n v="10"/>
    <n v="10"/>
    <n v="0"/>
    <n v="10"/>
    <n v="0"/>
    <s v="The aircraft crashed into a wooded area in 5 degree nose-down attitude.  Abnormal nose-down trim condition which could not be corrected due to an unknown malfunction."/>
    <n v="0"/>
    <n v="1"/>
    <x v="1"/>
  </r>
  <r>
    <n v="1542"/>
    <x v="1413"/>
    <x v="44"/>
    <x v="0"/>
    <d v="1899-12-30T06:57:00"/>
    <s v="Belem, Brazil"/>
    <s v="Cruzeiro"/>
    <s v="Unknown"/>
    <s v="Belem - Barreiras"/>
    <x v="277"/>
    <s v="PP-CCC"/>
    <s v="15845/32593"/>
    <n v="6"/>
    <n v="4"/>
    <n v="2"/>
    <n v="6"/>
    <n v="4"/>
    <n v="2"/>
    <n v="0"/>
    <s v="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
    <n v="0"/>
    <n v="1"/>
    <x v="1"/>
  </r>
  <r>
    <n v="1543"/>
    <x v="1414"/>
    <x v="44"/>
    <x v="0"/>
    <d v="1899-12-30T12:07:00"/>
    <s v="Khabarovsk Territory, Russia"/>
    <s v="Aeroflot"/>
    <n v="976"/>
    <s v="Yuzhno-Sakhalinsk - Khabarovsk"/>
    <x v="519"/>
    <s v="CCCP-L4993"/>
    <n v="23443306"/>
    <n v="21"/>
    <n v="16"/>
    <n v="5"/>
    <n v="21"/>
    <n v="16"/>
    <n v="5"/>
    <n v="0"/>
    <s v="Flew into a mountain wave in the Sikhote-Alin Mountain Range while en route."/>
    <n v="0"/>
    <n v="1"/>
    <x v="1"/>
  </r>
  <r>
    <n v="1544"/>
    <x v="1415"/>
    <x v="44"/>
    <x v="0"/>
    <d v="1899-12-30T20:40:00"/>
    <s v="Hollywood, South Carolina"/>
    <s v="Riddle Airlines"/>
    <s v="Unknown"/>
    <s v="New York - Miami"/>
    <x v="425"/>
    <s v="N9904F"/>
    <n v="30262"/>
    <n v="2"/>
    <n v="0"/>
    <n v="2"/>
    <n v="2"/>
    <n v="0"/>
    <n v="2"/>
    <n v="0"/>
    <s v="The cargo plane was carrying mail . An in-flight structural failure resulting from a violent pitch-down induced by the erratic action of nonconforming elevator tab controls."/>
    <n v="0"/>
    <n v="1"/>
    <x v="1"/>
  </r>
  <r>
    <n v="1545"/>
    <x v="1416"/>
    <x v="44"/>
    <x v="0"/>
    <s v="Unknown"/>
    <s v="Sao Paulo, Brazil"/>
    <s v="Cruzeiro Do Sud"/>
    <s v="Unknown"/>
    <s v="Sao Paulo - Belem"/>
    <x v="277"/>
    <s v="Unknown"/>
    <s v="Unknown"/>
    <n v="26"/>
    <s v="NULL"/>
    <s v="NULL"/>
    <n v="26"/>
    <s v="NULL"/>
    <s v="NULL"/>
    <n v="0"/>
    <s v="Crashed on takeoff."/>
    <n v="0"/>
    <n v="1"/>
    <x v="1"/>
  </r>
  <r>
    <n v="1546"/>
    <x v="1417"/>
    <x v="44"/>
    <x v="0"/>
    <d v="1899-12-30T03:43:00"/>
    <s v="Jacksonville, Florida"/>
    <s v="Eastern Air Lines"/>
    <n v="642"/>
    <s v="Miami - Jacksonville - Boston"/>
    <x v="729"/>
    <s v="N112A"/>
    <n v="2533"/>
    <n v="17"/>
    <n v="12"/>
    <n v="5"/>
    <n v="17"/>
    <n v="12"/>
    <n v="5"/>
    <n v="0"/>
    <s v="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
    <n v="0"/>
    <n v="1"/>
    <x v="1"/>
  </r>
  <r>
    <n v="1547"/>
    <x v="1418"/>
    <x v="45"/>
    <x v="0"/>
    <d v="1899-12-30T03:40:00"/>
    <s v="Frederick Henry Bay,  Australia"/>
    <s v="Ansett ANA"/>
    <s v="Unknown"/>
    <s v="Melbourne - Hobart"/>
    <x v="368"/>
    <s v="VH-BZA"/>
    <n v="4651"/>
    <n v="2"/>
    <n v="0"/>
    <n v="2"/>
    <n v="1"/>
    <n v="0"/>
    <n v="1"/>
    <n v="0"/>
    <s v="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
    <n v="1"/>
    <n v="0.5"/>
    <x v="0"/>
  </r>
  <r>
    <n v="1548"/>
    <x v="1419"/>
    <x v="45"/>
    <x v="0"/>
    <d v="1899-12-30T00:52:00"/>
    <s v="Oreway, Newfoundland, Canada"/>
    <s v="Quebecair"/>
    <s v="Unknown"/>
    <s v="Knob Lake - Oreway"/>
    <x v="277"/>
    <s v="CF-GVZ"/>
    <s v="15552/26997"/>
    <n v="18"/>
    <n v="15"/>
    <n v="3"/>
    <n v="4"/>
    <n v="1"/>
    <n v="3"/>
    <n v="0"/>
    <s v="Loss of the No. 2 engine necessitated a forced crash landing near a railway station.  Failure to maintain height at night due to the loss of the starboard engine in icing conditions.  The aircraft was also overloaded."/>
    <n v="14"/>
    <n v="0.22222222222222221"/>
    <x v="2"/>
  </r>
  <r>
    <n v="1549"/>
    <x v="1420"/>
    <x v="45"/>
    <x v="0"/>
    <d v="1899-12-30T14:49:00"/>
    <s v="Torysa, Czechoslovakia"/>
    <s v="Ceskoslovenske Aerolinie"/>
    <s v="Unknown"/>
    <s v="Bratislava - Kosice"/>
    <x v="277"/>
    <s v="OK-WDZ"/>
    <n v="9385"/>
    <n v="26"/>
    <n v="23"/>
    <n v="3"/>
    <n v="22"/>
    <n v="19"/>
    <n v="3"/>
    <n v="0"/>
    <s v="After being diverted, while cruising in bad weather conditions, the aircraft hit trees and crashed in a snow covered and wooded area located in the Tatra Mountain Range."/>
    <n v="4"/>
    <n v="0.84615384615384615"/>
    <x v="1"/>
  </r>
  <r>
    <n v="1550"/>
    <x v="1421"/>
    <x v="45"/>
    <x v="0"/>
    <d v="1899-12-30T00:17:00"/>
    <s v="Lyon, France"/>
    <s v="Air France"/>
    <s v="Unknown"/>
    <s v="Nice - Marseille - Lyon - Paris"/>
    <x v="368"/>
    <s v="F-BCYK"/>
    <n v="4509"/>
    <n v="3"/>
    <n v="0"/>
    <n v="3"/>
    <n v="3"/>
    <n v="0"/>
    <n v="3"/>
    <n v="0"/>
    <s v="While in heavy fog and on final approach, the airplane was too low and hit telephone lines before crashing in a field  about 2 km short of the runway."/>
    <n v="0"/>
    <n v="1"/>
    <x v="1"/>
  </r>
  <r>
    <n v="1551"/>
    <x v="1422"/>
    <x v="45"/>
    <x v="0"/>
    <s v="Unknown"/>
    <s v="Frobisher Bay, Canada"/>
    <s v="Maritime Central Airways"/>
    <s v="Unknown"/>
    <s v="Frobisher Bay, Baffin Island - Fort Chimo, Quebec"/>
    <x v="722"/>
    <s v="CF-FZU"/>
    <s v="Unknown"/>
    <n v="2"/>
    <n v="0"/>
    <n v="2"/>
    <n v="2"/>
    <n v="0"/>
    <n v="2"/>
    <n v="0"/>
    <s v="Loss of control due to improperly secured heavy cargo breaking loose and sliding to the rear of the aircraft during takeoff."/>
    <n v="0"/>
    <n v="1"/>
    <x v="1"/>
  </r>
  <r>
    <n v="1552"/>
    <x v="1423"/>
    <x v="45"/>
    <x v="0"/>
    <s v="Unknown"/>
    <s v="Near Fort Chimo, Quebec, Canada"/>
    <s v="Spartan Air Services"/>
    <s v="Unknown"/>
    <s v="Frobisher Bay, Baffin Island - Fort Chimo, Quebec"/>
    <x v="383"/>
    <s v="CF-BZH"/>
    <n v="6079"/>
    <n v="3"/>
    <n v="0"/>
    <n v="3"/>
    <n v="2"/>
    <n v="0"/>
    <n v="2"/>
    <n v="0"/>
    <s v="Crashed on a ferrying flight. Soldier-of-fortune Harold (Whitey) Dahl killed."/>
    <n v="1"/>
    <n v="0.66666666666666663"/>
    <x v="1"/>
  </r>
  <r>
    <n v="1553"/>
    <x v="1424"/>
    <x v="45"/>
    <x v="0"/>
    <d v="1899-12-30T13:42:00"/>
    <s v="Near Niles, California"/>
    <s v="Military - U.S. Marine Corps"/>
    <s v="Unknown"/>
    <s v="El Toro MAS - Alameda NAS"/>
    <x v="730"/>
    <n v="39116"/>
    <n v="18331"/>
    <n v="40"/>
    <n v="35"/>
    <n v="5"/>
    <n v="40"/>
    <n v="35"/>
    <n v="5"/>
    <n v="0"/>
    <s v="Crashed into Sunol Ridge after circling for half-an-hour while attempting to land at Alameda Naval Air Station.  Non adherence of the crew to the holding pattern and departure from the radio beacon and descent in a unprescribed manner."/>
    <n v="0"/>
    <n v="1"/>
    <x v="1"/>
  </r>
  <r>
    <n v="1554"/>
    <x v="1425"/>
    <x v="45"/>
    <x v="0"/>
    <d v="1899-12-30T13:23:00"/>
    <s v="Near Zurrieg, Malta"/>
    <s v="Scottish Airlines"/>
    <s v="Unknown"/>
    <s v=" Luqa -Stansted"/>
    <x v="718"/>
    <s v="G-ANSY"/>
    <s v="MW193"/>
    <n v="50"/>
    <n v="45"/>
    <n v="5"/>
    <n v="50"/>
    <n v="45"/>
    <n v="5"/>
    <n v="0"/>
    <s v="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
    <n v="0"/>
    <n v="1"/>
    <x v="1"/>
  </r>
  <r>
    <n v="1555"/>
    <x v="1426"/>
    <x v="45"/>
    <x v="0"/>
    <d v="1899-12-30T03:45:00"/>
    <s v="Near Cairo, Egypt"/>
    <s v="Transport Aerien Intercontinentaux (France)"/>
    <s v="Unknown"/>
    <s v="Karachi - Bahrain - Cairo - Paris"/>
    <x v="626"/>
    <s v="F-BGOD"/>
    <s v="43835/380"/>
    <n v="64"/>
    <n v="55"/>
    <n v="9"/>
    <n v="52"/>
    <n v="49"/>
    <n v="3"/>
    <n v="0"/>
    <s v="The flight crashed while on approach 18 miles SE of Cairo.  Pilot's inexperience in ILS approaches.  Improper approach.  Crew error. Crew fatigue."/>
    <n v="12"/>
    <n v="0.8125"/>
    <x v="1"/>
  </r>
  <r>
    <n v="1556"/>
    <x v="1427"/>
    <x v="45"/>
    <x v="0"/>
    <s v="Unknown"/>
    <s v="Near Aleppo, Syria"/>
    <s v="Syrian Airways"/>
    <s v="Unknown"/>
    <s v="Aleppo - Damascus"/>
    <x v="277"/>
    <s v="YK-AAE"/>
    <s v="14918/2636"/>
    <n v="19"/>
    <n v="16"/>
    <n v="3"/>
    <n v="19"/>
    <n v="16"/>
    <n v="3"/>
    <n v="0"/>
    <s v="Crashed shortly after taking off 15 miles from Aleppo.  Double engine failure during a thunderstorm."/>
    <n v="0"/>
    <n v="1"/>
    <x v="1"/>
  </r>
  <r>
    <n v="1557"/>
    <x v="1428"/>
    <x v="45"/>
    <x v="0"/>
    <d v="1899-12-30T14:55:00"/>
    <s v="Jalkot, Pakistan"/>
    <s v="Pakistan International Airlines"/>
    <s v="Unknown"/>
    <s v="Gilgit  - Islamabad"/>
    <x v="443"/>
    <s v="AP-ACZ"/>
    <s v="16813/33561"/>
    <n v="3"/>
    <n v="0"/>
    <n v="3"/>
    <n v="3"/>
    <n v="0"/>
    <n v="3"/>
    <n v="0"/>
    <s v="Struck  Lash Golath Mountain while en route. Pilot error while he was attempting a flight beyond his ability or experience."/>
    <n v="0"/>
    <n v="1"/>
    <x v="1"/>
  </r>
  <r>
    <n v="1558"/>
    <x v="1429"/>
    <x v="45"/>
    <x v="0"/>
    <s v="Unknown"/>
    <s v="Tezpur, India"/>
    <s v="Indian Airlines"/>
    <s v="Unknown"/>
    <s v="Gaughail - Tezpur"/>
    <x v="277"/>
    <s v="VT-CGN"/>
    <n v="12989"/>
    <n v="21"/>
    <n v="18"/>
    <n v="3"/>
    <n v="2"/>
    <n v="2"/>
    <n v="0"/>
    <n v="0"/>
    <s v="An improper flare on landing caused the aircraft to bounce causing the right wing to strike the runway after which the plane veered off the runway."/>
    <n v="19"/>
    <n v="9.5238095238095233E-2"/>
    <x v="2"/>
  </r>
  <r>
    <n v="1559"/>
    <x v="1430"/>
    <x v="45"/>
    <x v="0"/>
    <s v="Unknown"/>
    <s v="Largs, England"/>
    <s v="Starways"/>
    <s v="Unknown"/>
    <s v="Liverpool - Glasgow"/>
    <x v="443"/>
    <s v="G-AMRB"/>
    <s v="16670/33418"/>
    <n v="3"/>
    <n v="0"/>
    <n v="3"/>
    <n v="1"/>
    <n v="0"/>
    <n v="1"/>
    <n v="0"/>
    <s v="During an instrument approach at night the pilot of the cargo plane permitted the aircraft to descend below the approved safety height and this resulted in the aircraft striking the ground."/>
    <n v="2"/>
    <n v="0.33333333333333331"/>
    <x v="2"/>
  </r>
  <r>
    <n v="1560"/>
    <x v="1431"/>
    <x v="45"/>
    <x v="0"/>
    <d v="1899-12-30T05:20:00"/>
    <s v="Indapur, India"/>
    <s v="National Air Operators"/>
    <s v="Unknown"/>
    <s v="Asansol - Bagdogra"/>
    <x v="402"/>
    <s v="VT-DCM"/>
    <n v="10230"/>
    <n v="3"/>
    <n v="0"/>
    <n v="3"/>
    <n v="3"/>
    <n v="0"/>
    <n v="3"/>
    <n v="0"/>
    <s v="The cargo plane crashed en route. A downdraft which forced down the fully loaded aircraft to the ground when it was flying under exceptionally severe weather conditions below 1000 ft. and possibly at a few hundred feet above the terrain."/>
    <n v="0"/>
    <n v="1"/>
    <x v="1"/>
  </r>
  <r>
    <n v="1561"/>
    <x v="1431"/>
    <x v="45"/>
    <x v="0"/>
    <s v="Unknown"/>
    <s v="Korat ,Thailand"/>
    <s v="Military - Royal Thai Air Force"/>
    <s v="Unknown"/>
    <s v="Korat AFB - Bangkok"/>
    <x v="402"/>
    <s v="L2-14/96"/>
    <n v="12667"/>
    <n v="19"/>
    <n v="17"/>
    <n v="2"/>
    <n v="19"/>
    <n v="17"/>
    <n v="2"/>
    <n v="0"/>
    <s v="Crashed shortly after taking off."/>
    <n v="0"/>
    <n v="1"/>
    <x v="1"/>
  </r>
  <r>
    <n v="1562"/>
    <x v="1432"/>
    <x v="45"/>
    <x v="0"/>
    <d v="1899-12-30T19:20:00"/>
    <s v="Pittsburgh, Pennsylvania"/>
    <s v="Trans World Airlines"/>
    <n v="400"/>
    <s v="Pittsburgh - Newark"/>
    <x v="714"/>
    <s v="N40403"/>
    <n v="14103"/>
    <n v="36"/>
    <n v="33"/>
    <n v="3"/>
    <n v="22"/>
    <n v="21"/>
    <n v="1"/>
    <n v="0"/>
    <s v="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
    <n v="14"/>
    <n v="0.61111111111111116"/>
    <x v="0"/>
  </r>
  <r>
    <n v="1563"/>
    <x v="1433"/>
    <x v="45"/>
    <x v="0"/>
    <d v="1899-12-30T08:10:00"/>
    <s v="Seattle, Washington"/>
    <s v="Northwest Orient Airlines"/>
    <n v="2"/>
    <s v="Seattle - Portland"/>
    <x v="731"/>
    <s v="N74608"/>
    <n v="15954"/>
    <n v="38"/>
    <n v="32"/>
    <n v="6"/>
    <n v="5"/>
    <n v="4"/>
    <n v="1"/>
    <n v="0"/>
    <s v="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n v="33"/>
    <n v="0.13157894736842105"/>
    <x v="2"/>
  </r>
  <r>
    <n v="1564"/>
    <x v="1434"/>
    <x v="45"/>
    <x v="0"/>
    <d v="1899-12-30T09:51:00"/>
    <s v="Skilak Lake, Alaska"/>
    <s v="Cordova Airlines"/>
    <n v="6"/>
    <s v="Anchorage - Seward"/>
    <x v="732"/>
    <s v="B5386N"/>
    <s v="520-7"/>
    <n v="6"/>
    <n v="5"/>
    <n v="1"/>
    <n v="6"/>
    <n v="5"/>
    <n v="1"/>
    <n v="0"/>
    <s v="Crashed en route from Anchorage to Seward. The pilot's action in continuing flight during instrument weather conditions on a planned VFR flight through a mountain pass and striking a mountainside while attempting to climb out."/>
    <n v="0"/>
    <n v="1"/>
    <x v="1"/>
  </r>
  <r>
    <n v="1565"/>
    <x v="1435"/>
    <x v="45"/>
    <x v="0"/>
    <s v="Unknown"/>
    <s v="Parintins, Brazil"/>
    <s v="Panair do Brasil"/>
    <s v="Unknown"/>
    <s v="Belem - Parintins"/>
    <x v="522"/>
    <s v="PP-PDB"/>
    <n v="22021"/>
    <n v="12"/>
    <n v="7"/>
    <n v="5"/>
    <n v="3"/>
    <n v="1"/>
    <n v="2"/>
    <n v="0"/>
    <s v="The plane struck an object in the water while landing and broke up."/>
    <n v="9"/>
    <n v="0.25"/>
    <x v="2"/>
  </r>
  <r>
    <n v="1566"/>
    <x v="1436"/>
    <x v="45"/>
    <x v="0"/>
    <d v="1899-12-30T09:30:00"/>
    <s v="London, England"/>
    <s v="Scottish Airlines"/>
    <s v="Unknown"/>
    <s v="Stansted - Luqa - Habbaniya"/>
    <x v="718"/>
    <s v="G-AMUL"/>
    <s v="MW308"/>
    <n v="54"/>
    <n v="49"/>
    <n v="5"/>
    <n v="2"/>
    <n v="2"/>
    <n v="0"/>
    <n v="0"/>
    <s v="The aircraft made a sudden turn to the right while talking off from Stansted. Overcorrection by the pilot in command which caused the aircraft to veer to the right."/>
    <n v="52"/>
    <n v="3.7037037037037035E-2"/>
    <x v="2"/>
  </r>
  <r>
    <n v="1567"/>
    <x v="1437"/>
    <x v="45"/>
    <x v="0"/>
    <s v="Unknown"/>
    <s v="Kathmandu, Nepal"/>
    <s v="Indian Airlines"/>
    <s v="Unknown"/>
    <s v="Shimla - Kathmandu"/>
    <x v="277"/>
    <s v="VT-DBA"/>
    <n v="13165"/>
    <n v="31"/>
    <n v="28"/>
    <n v="3"/>
    <n v="14"/>
    <n v="14"/>
    <n v="0"/>
    <n v="1"/>
    <s v="The aircraft touched down at an excessive speed, bounced and stalled. Go-around power was applied, but the remaining runway length was insufficient and the plane overran the end of the runway and went down a steep slope and crashed."/>
    <n v="17"/>
    <n v="0.45161290322580644"/>
    <x v="0"/>
  </r>
  <r>
    <n v="1568"/>
    <x v="1437"/>
    <x v="45"/>
    <x v="0"/>
    <d v="1899-12-30T22:17:00"/>
    <s v="Orleans, Ontario, Canada"/>
    <s v="Military - Royal Canadian Air Force"/>
    <s v="Unknown"/>
    <s v="Ottawa - Ottawa"/>
    <x v="733"/>
    <n v="18367"/>
    <s v="C-100/4/267"/>
    <n v="2"/>
    <n v="0"/>
    <n v="2"/>
    <n v="2"/>
    <n v="0"/>
    <n v="2"/>
    <n v="13"/>
    <s v="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
    <n v="0"/>
    <n v="1"/>
    <x v="1"/>
  </r>
  <r>
    <n v="1569"/>
    <x v="1438"/>
    <x v="45"/>
    <x v="0"/>
    <d v="1899-12-30T10:20:00"/>
    <s v="Guatemala City, Guatemala"/>
    <s v="Aviateca"/>
    <s v="Unknown"/>
    <s v="Guatemala City - La Tinta"/>
    <x v="734"/>
    <s v="TG-AHA"/>
    <n v="6052"/>
    <n v="31"/>
    <n v="28"/>
    <n v="3"/>
    <n v="30"/>
    <n v="27"/>
    <n v="3"/>
    <n v="0"/>
    <s v="The plane struck trees on a mountainside and crashed at an altitude of 8,500 ft. The sole survivor, Roberto Obando, was found and rescued on May 30."/>
    <n v="1"/>
    <n v="0.967741935483871"/>
    <x v="1"/>
  </r>
  <r>
    <n v="1570"/>
    <x v="1439"/>
    <x v="45"/>
    <x v="0"/>
    <s v="Unknown"/>
    <s v="Over North Carolina"/>
    <s v="Piedmont"/>
    <s v="Unknown"/>
    <s v="Unknown"/>
    <x v="277"/>
    <s v="Unknown"/>
    <s v="Unknown"/>
    <s v="NULL"/>
    <s v="NULL"/>
    <s v="NULL"/>
    <n v="1"/>
    <n v="1"/>
    <s v="NULL"/>
    <n v="0"/>
    <s v="A passenger fell to his death after the door of the plane opened."/>
    <s v="NULL"/>
    <n v="0"/>
    <x v="2"/>
  </r>
  <r>
    <n v="1571"/>
    <x v="1440"/>
    <x v="45"/>
    <x v="0"/>
    <d v="1899-12-30T01:32:00"/>
    <s v="Asbury Park, New Jersey"/>
    <s v="Linea Aeropostal Venezolana"/>
    <n v="253"/>
    <s v="New York City - Caracas"/>
    <x v="735"/>
    <s v="YV-C-AMS"/>
    <n v="4561"/>
    <n v="74"/>
    <n v="64"/>
    <n v="10"/>
    <n v="74"/>
    <n v="64"/>
    <n v="10"/>
    <n v="0"/>
    <s v="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
    <n v="0"/>
    <n v="1"/>
    <x v="1"/>
  </r>
  <r>
    <n v="1572"/>
    <x v="1441"/>
    <x v="45"/>
    <x v="0"/>
    <d v="1899-12-30T17:25:00"/>
    <s v="Kano, Nigeria"/>
    <s v="British Overseas Airways"/>
    <s v="Unknown"/>
    <s v="Lagos - Kano - Tripoli - London"/>
    <x v="723"/>
    <s v="G-ALHE"/>
    <n v="151"/>
    <n v="45"/>
    <n v="38"/>
    <n v="7"/>
    <n v="32"/>
    <n v="29"/>
    <n v="3"/>
    <n v="0"/>
    <s v="Loss of height and airspeed caused by the aircraft encountering an unpredictable thunderstorm cell which gave rise to a sudden reversal of wind direction, heavy rain, and possible downdraft conditions."/>
    <n v="13"/>
    <n v="0.71111111111111114"/>
    <x v="1"/>
  </r>
  <r>
    <n v="1573"/>
    <x v="1442"/>
    <x v="45"/>
    <x v="0"/>
    <d v="1899-12-30T10:32:00"/>
    <s v="Grand Canyon, Arizona"/>
    <s v="United Air Lines / Trans World Airlines"/>
    <s v="718 / 2"/>
    <s v="Los Angeles - Chicago / Los Angeles - Kansas City"/>
    <x v="736"/>
    <s v="N6902C/N6324C"/>
    <s v="44288 / 4016"/>
    <n v="128"/>
    <n v="117"/>
    <n v="11"/>
    <n v="128"/>
    <n v="117"/>
    <n v="11"/>
    <n v="0"/>
    <s v="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
    <n v="0"/>
    <n v="1"/>
    <x v="1"/>
  </r>
  <r>
    <n v="1574"/>
    <x v="1443"/>
    <x v="45"/>
    <x v="0"/>
    <d v="1899-12-30T13:53:00"/>
    <s v="Near Flat Rock, Michigan"/>
    <s v="Trans Canada Air Lines"/>
    <n v="304"/>
    <s v="Chicago - Montreal"/>
    <x v="737"/>
    <s v="CF-TGR"/>
    <n v="55"/>
    <n v="35"/>
    <n v="31"/>
    <n v="4"/>
    <n v="1"/>
    <n v="1"/>
    <n v="0"/>
    <n v="0"/>
    <s v="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
    <n v="34"/>
    <n v="2.8571428571428571E-2"/>
    <x v="2"/>
  </r>
  <r>
    <n v="1575"/>
    <x v="1444"/>
    <x v="45"/>
    <x v="0"/>
    <d v="1899-12-30T15:35:00"/>
    <s v="Near Brows Mills, New Jersey"/>
    <s v="Military - U.S. Air Force"/>
    <s v="Unknown"/>
    <s v="McGuire AFB - Harmon AFB"/>
    <x v="738"/>
    <s v="53-3301A"/>
    <n v="44672"/>
    <n v="66"/>
    <n v="56"/>
    <n v="10"/>
    <n v="46"/>
    <n v="38"/>
    <n v="8"/>
    <n v="0"/>
    <s v="Crashed into a wooded area 2 minutes after taking off from McGuire Air Force Base. There was thunderstorm activity at the time. Microburst windshear."/>
    <n v="20"/>
    <n v="0.69696969696969702"/>
    <x v="1"/>
  </r>
  <r>
    <n v="1576"/>
    <x v="1445"/>
    <x v="45"/>
    <x v="0"/>
    <d v="1899-12-30T01:35:00"/>
    <s v="Shannon, Ireland"/>
    <s v="Swissair"/>
    <s v="Unknown"/>
    <s v="Gander - Shannon"/>
    <x v="739"/>
    <s v="HB-IMD"/>
    <n v="335"/>
    <n v="4"/>
    <n v="0"/>
    <n v="4"/>
    <n v="4"/>
    <n v="0"/>
    <n v="4"/>
    <n v="0"/>
    <s v="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
    <n v="0"/>
    <n v="1"/>
    <x v="1"/>
  </r>
  <r>
    <n v="1577"/>
    <x v="1446"/>
    <x v="45"/>
    <x v="0"/>
    <d v="1899-12-30T07:15:00"/>
    <s v="Rio Cuarto, Argentina"/>
    <s v="Aerolineas Argentinas"/>
    <s v="Unknown"/>
    <s v="Buenos Aires - Rio Cuarto"/>
    <x v="277"/>
    <s v="LV-ACD"/>
    <n v="13328"/>
    <n v="18"/>
    <n v="14"/>
    <n v="4"/>
    <n v="18"/>
    <n v="14"/>
    <n v="4"/>
    <n v="0"/>
    <s v="Crashed while making an approach to Rio Cuarto. The decision of the pilot to descend en route, without justifiable reason, below the minimum altitude prescribed for a night flight and in weather conditions which made it his duty to follow IFR procedure."/>
    <n v="0"/>
    <n v="1"/>
    <x v="1"/>
  </r>
  <r>
    <n v="1578"/>
    <x v="1447"/>
    <x v="45"/>
    <x v="0"/>
    <s v="Unknown"/>
    <s v="Thazi, Burma"/>
    <s v="Union of Burma Airways"/>
    <s v="Unknown"/>
    <s v="Rangoon - Mandalay"/>
    <x v="277"/>
    <s v="XY-ADC"/>
    <s v="14348/2579"/>
    <n v="22"/>
    <n v="18"/>
    <n v="4"/>
    <n v="12"/>
    <n v="9"/>
    <n v="3"/>
    <n v="0"/>
    <s v="Struck Mt Pindaya near Thazi ."/>
    <n v="10"/>
    <n v="0.54545454545454541"/>
    <x v="0"/>
  </r>
  <r>
    <n v="1579"/>
    <x v="1448"/>
    <x v="45"/>
    <x v="0"/>
    <d v="1899-12-30T20:45:00"/>
    <s v="Cold Bay, Alaska"/>
    <s v="Canadian Pacific Air Lines"/>
    <n v="307"/>
    <s v="Vancouver - Cold Bay - Tokyo - Hong Kong"/>
    <x v="626"/>
    <s v="CF-CUP"/>
    <s v="43843/324"/>
    <n v="22"/>
    <n v="14"/>
    <n v="8"/>
    <n v="15"/>
    <n v="11"/>
    <n v="4"/>
    <n v="0"/>
    <s v="The aircraft crashed after a missed approach. The crew executing full retraction of flaps without increasing power or changing attitude resulting in loss of lift after the missed approach."/>
    <n v="7"/>
    <n v="0.68181818181818177"/>
    <x v="1"/>
  </r>
  <r>
    <n v="1580"/>
    <x v="1449"/>
    <x v="45"/>
    <x v="0"/>
    <d v="1899-12-30T14:32:00"/>
    <s v="Bartlesville, Oklahoma"/>
    <s v="Continental Airlines"/>
    <n v="190"/>
    <s v="Tulsa - Bartlesville"/>
    <x v="740"/>
    <s v="N33315 / N8143A"/>
    <s v="4978 / 20995"/>
    <n v="18"/>
    <n v="14"/>
    <n v="4"/>
    <n v="0"/>
    <n v="0"/>
    <n v="0"/>
    <n v="0"/>
    <s v="Midair collision. Both planes landed safely. Failure of both aircraft to observe and avoid the other aircraft."/>
    <n v="18"/>
    <n v="0"/>
    <x v="2"/>
  </r>
  <r>
    <n v="1581"/>
    <x v="1449"/>
    <x v="45"/>
    <x v="0"/>
    <s v="Unknown"/>
    <s v="Amman, Jordan"/>
    <s v="Jordan International Airlines"/>
    <s v="Unknown"/>
    <s v="Amman - Kuwait"/>
    <x v="741"/>
    <s v="JY-ABV"/>
    <n v="27069"/>
    <n v="57"/>
    <n v="53"/>
    <n v="4"/>
    <n v="1"/>
    <n v="1"/>
    <n v="0"/>
    <n v="0"/>
    <s v="The aircraft had to return to Amman for an emergency landing. The landing took place with the gear retracted. The plane bounced, went up a hill and down the other side and burst into flames."/>
    <n v="56"/>
    <n v="1.7543859649122806E-2"/>
    <x v="2"/>
  </r>
  <r>
    <n v="1582"/>
    <x v="1450"/>
    <x v="45"/>
    <x v="0"/>
    <d v="1899-12-30T18:25:00"/>
    <s v="Near Nome, Alaska"/>
    <s v="Alaska Airlines"/>
    <n v="701"/>
    <s v="Unalakleet and Nome"/>
    <x v="742"/>
    <s v="N 79069"/>
    <s v="FK-975"/>
    <n v="5"/>
    <n v="4"/>
    <n v="1"/>
    <n v="5"/>
    <n v="4"/>
    <n v="1"/>
    <n v="0"/>
    <s v="Crashed while en route. The action of the pilot in flying into conditions of darkness and adverse weather in which he could not maintain adequate control of the aircraft."/>
    <n v="0"/>
    <n v="1"/>
    <x v="1"/>
  </r>
  <r>
    <n v="1583"/>
    <x v="1451"/>
    <x v="45"/>
    <x v="0"/>
    <d v="1899-12-30T22:10:00"/>
    <s v="Off Land's End, England"/>
    <s v="Military - U.S. Navy"/>
    <s v="Unknown"/>
    <s v="RAF Lakenheath - McGuire AFB"/>
    <x v="743"/>
    <n v="1311588"/>
    <s v="43691/321"/>
    <n v="59"/>
    <n v="50"/>
    <n v="9"/>
    <n v="59"/>
    <n v="50"/>
    <n v="9"/>
    <n v="0"/>
    <s v="The plane disappeared over the Atlantic while on a flight from Royal Air Force Base in England to McGuire Air Force Base in New Jersey. Cause unknown."/>
    <n v="0"/>
    <n v="1"/>
    <x v="1"/>
  </r>
  <r>
    <n v="1584"/>
    <x v="1452"/>
    <x v="45"/>
    <x v="0"/>
    <d v="1899-12-30T06:15:00"/>
    <s v="Over the Pacific Ocean"/>
    <s v="Pan American World Airways"/>
    <n v="943"/>
    <s v="Honolulu - San Francisco"/>
    <x v="652"/>
    <s v="N90943"/>
    <n v="15959"/>
    <n v="31"/>
    <n v="24"/>
    <n v="7"/>
    <n v="0"/>
    <n v="0"/>
    <n v="0"/>
    <n v="0"/>
    <s v="The aircraft ditched into the Pacific Ocean while on a flight from San Francisco to Honolulu after losing the No. 1 and then the No. 4 engine. The aircraft circled around the U.S. Coast Guard cutter &quot;Pontchartrain&quot;,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quot;Clipper Sovereign of the Sky.&quot;"/>
    <n v="31"/>
    <n v="0"/>
    <x v="2"/>
  </r>
  <r>
    <n v="1585"/>
    <x v="1453"/>
    <x v="45"/>
    <x v="0"/>
    <s v="Unknown"/>
    <s v="Agartala, India"/>
    <s v="Indian Airlines"/>
    <s v="Unknown"/>
    <s v="Unknown"/>
    <x v="277"/>
    <s v="VT-DGK"/>
    <s v="KAL-2"/>
    <n v="3"/>
    <n v="0"/>
    <n v="3"/>
    <n v="3"/>
    <n v="0"/>
    <n v="3"/>
    <n v="0"/>
    <s v="The cargo plane crashed after an attempted go-around. On final, as the pilot-in-command was unable to locate the runway, he decided to make a new go around when the aircraft struck trees and crashed in flames few km short of runway."/>
    <n v="0"/>
    <n v="1"/>
    <x v="1"/>
  </r>
  <r>
    <n v="1586"/>
    <x v="1454"/>
    <x v="45"/>
    <x v="0"/>
    <d v="1899-12-30T22:00:00"/>
    <s v="Over the Mediterranean Sea"/>
    <s v="Military - Egyptian Air Force"/>
    <s v="Unknown"/>
    <s v="Damascus- Cairo"/>
    <x v="469"/>
    <s v="SU-AAB"/>
    <s v="Unknown"/>
    <n v="16"/>
    <n v="12"/>
    <n v="4"/>
    <n v="16"/>
    <n v="12"/>
    <n v="4"/>
    <n v="0"/>
    <s v="Shot down by the Israeli Air Force."/>
    <n v="0"/>
    <n v="1"/>
    <x v="1"/>
  </r>
  <r>
    <n v="1587"/>
    <x v="1455"/>
    <x v="45"/>
    <x v="0"/>
    <d v="1899-12-30T23:52:00"/>
    <s v="Blackbushe, England"/>
    <s v="Britavia"/>
    <s v="Unknown"/>
    <s v="Tripoli - Blackbushe"/>
    <x v="744"/>
    <s v="G-ALDJ"/>
    <s v="HP-81/11"/>
    <n v="80"/>
    <n v="74"/>
    <n v="6"/>
    <n v="7"/>
    <n v="5"/>
    <n v="2"/>
    <n v="0"/>
    <s v="While attempting to land the aircraft descended below the ILS glideslope and hit a tree. Using the lights of the airport the captain misjudged the height he was flying."/>
    <n v="73"/>
    <n v="8.7499999999999994E-2"/>
    <x v="2"/>
  </r>
  <r>
    <n v="1588"/>
    <x v="1456"/>
    <x v="45"/>
    <x v="0"/>
    <d v="1899-12-30T09:50:00"/>
    <s v="Hommelfjell, Norway"/>
    <s v="Braathens"/>
    <s v="Unknown"/>
    <s v="Trondheim - Oslo"/>
    <x v="745"/>
    <s v="LN-SUR"/>
    <n v="14093"/>
    <n v="12"/>
    <n v="10"/>
    <n v="2"/>
    <n v="2"/>
    <n v="1"/>
    <n v="1"/>
    <n v="0"/>
    <s v="The aircraft took off, experienced icing, lost altitude and crashed into Hommelfjell Mountain. Unusually heavy icing which the aircraft encountered. Severe downdraft immediately prior to the crash may have been a contributing factor."/>
    <n v="10"/>
    <n v="0.16666666666666666"/>
    <x v="2"/>
  </r>
  <r>
    <n v="1589"/>
    <x v="1457"/>
    <x v="45"/>
    <x v="0"/>
    <d v="1899-12-30T14:53:00"/>
    <s v="Puerto Somoza, Nicaragua"/>
    <s v="Aerovias Guest"/>
    <s v="Unknown"/>
    <s v="Tocumen - Guatemala City"/>
    <x v="746"/>
    <s v="XA-HEG"/>
    <n v="10324"/>
    <n v="25"/>
    <n v="20"/>
    <n v="5"/>
    <n v="25"/>
    <n v="20"/>
    <n v="5"/>
    <n v="0"/>
    <s v="An unsuccessful belly landing was attempted on flat terrain following a fire in the fuel system."/>
    <n v="0"/>
    <n v="1"/>
    <x v="1"/>
  </r>
  <r>
    <n v="1590"/>
    <x v="1458"/>
    <x v="45"/>
    <x v="0"/>
    <d v="1899-12-30T16:45:00"/>
    <s v="El Rucio Mountain, Colombia"/>
    <s v="Empresa Aviacion del Pacifico"/>
    <s v="Unknown"/>
    <s v="Buenaventura - Cali"/>
    <x v="277"/>
    <s v="HK-385"/>
    <n v="1971"/>
    <n v="36"/>
    <n v="33"/>
    <n v="3"/>
    <n v="36"/>
    <n v="33"/>
    <n v="3"/>
    <n v="0"/>
    <s v="Hit El Rucio Mountain at 6,200 ft. which was obscured by clouds. Lack of cockpit discipline. Flight on instruments at an excessively low altitude for the route."/>
    <n v="0"/>
    <n v="1"/>
    <x v="1"/>
  </r>
  <r>
    <n v="1591"/>
    <x v="1459"/>
    <x v="45"/>
    <x v="0"/>
    <d v="1899-12-30T00:18:00"/>
    <s v="Paris, France"/>
    <s v="Linee Aeree Italiane"/>
    <s v="Unknown"/>
    <s v="Rome - Paris -  Shannon - New York City"/>
    <x v="626"/>
    <s v="I-LEAD"/>
    <n v="45075"/>
    <n v="35"/>
    <n v="25"/>
    <n v="10"/>
    <n v="34"/>
    <n v="24"/>
    <n v="10"/>
    <n v="8"/>
    <s v="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
    <n v="1"/>
    <n v="0.97142857142857142"/>
    <x v="1"/>
  </r>
  <r>
    <n v="1592"/>
    <x v="1459"/>
    <x v="45"/>
    <x v="0"/>
    <d v="1899-12-30T18:20:00"/>
    <s v="Near Eglisau, Switzerland"/>
    <s v="Ceskoslovenske Aerolinie"/>
    <s v="Unknown"/>
    <s v="Eglisau - Prague"/>
    <x v="747"/>
    <s v="OK-DBP"/>
    <n v="93013517"/>
    <n v="23"/>
    <n v="18"/>
    <n v="5"/>
    <n v="23"/>
    <n v="18"/>
    <n v="5"/>
    <n v="0"/>
    <s v="Crashed into a field shortly after taking off about 12 km north of the airport."/>
    <n v="0"/>
    <n v="1"/>
    <x v="1"/>
  </r>
  <r>
    <n v="1593"/>
    <x v="1460"/>
    <x v="45"/>
    <x v="0"/>
    <d v="1899-12-30T08:15:00"/>
    <s v="Caracas, Venezuela"/>
    <s v="Linea Aeropostal Venezolana"/>
    <n v="253"/>
    <s v="New York - Caracas"/>
    <x v="748"/>
    <s v="YV-C-AMA"/>
    <n v="2560"/>
    <n v="25"/>
    <n v="18"/>
    <n v="7"/>
    <n v="25"/>
    <n v="18"/>
    <n v="7"/>
    <n v="0"/>
    <s v="Struck Silla de Caracas Mountain at 6,700 feet while approaching to land at Maiquetia. Navigation error. The pilot did not follow prescribed approach procedures. St. Louis Cardinal outfielder, Charlie Peete, 27, killed."/>
    <n v="0"/>
    <n v="1"/>
    <x v="1"/>
  </r>
  <r>
    <n v="1594"/>
    <x v="1461"/>
    <x v="45"/>
    <x v="0"/>
    <d v="1899-12-30T07:05:00"/>
    <s v="Caqueta, Colombia"/>
    <s v="AIDA"/>
    <s v="Unknown"/>
    <s v="Bogota - Medellin - Quibdo"/>
    <x v="522"/>
    <s v="HK-133"/>
    <s v="Unknown"/>
    <n v="16"/>
    <n v="11"/>
    <n v="5"/>
    <n v="14"/>
    <n v="10"/>
    <n v="4"/>
    <n v="0"/>
    <s v="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
    <n v="2"/>
    <n v="0.875"/>
    <x v="1"/>
  </r>
  <r>
    <n v="1595"/>
    <x v="1462"/>
    <x v="45"/>
    <x v="0"/>
    <d v="1899-12-30T19:10:00"/>
    <s v="Near Chilliwack, British Columbia, Canada"/>
    <s v="Trans Canada Air Lines"/>
    <s v="810-9"/>
    <s v="Vancouver - Calgary - Toronto - Montreal"/>
    <x v="749"/>
    <s v="CF-TFD"/>
    <n v="128"/>
    <n v="62"/>
    <n v="59"/>
    <n v="3"/>
    <n v="62"/>
    <n v="59"/>
    <n v="3"/>
    <n v="0"/>
    <s v="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
    <n v="0"/>
    <n v="1"/>
    <x v="1"/>
  </r>
  <r>
    <n v="1596"/>
    <x v="1463"/>
    <x v="45"/>
    <x v="0"/>
    <d v="1899-12-30T09:00:00"/>
    <s v="Dannemois, France"/>
    <s v="Air France"/>
    <s v="Unknown"/>
    <s v="Training"/>
    <x v="750"/>
    <s v="F-BGNK"/>
    <n v="8"/>
    <n v="5"/>
    <n v="0"/>
    <n v="5"/>
    <n v="5"/>
    <n v="0"/>
    <n v="5"/>
    <n v="0"/>
    <s v="Crashed in a steep angle of attack."/>
    <n v="0"/>
    <n v="1"/>
    <x v="1"/>
  </r>
  <r>
    <n v="1597"/>
    <x v="1464"/>
    <x v="45"/>
    <x v="0"/>
    <d v="1899-12-30T21:03:00"/>
    <s v="Grub, Germany"/>
    <s v="JAT Yugoslav Airlines"/>
    <s v="Unknown"/>
    <s v="Wien - Munchen"/>
    <x v="725"/>
    <s v="YU-ADA"/>
    <n v="162"/>
    <n v="30"/>
    <n v="27"/>
    <n v="3"/>
    <n v="3"/>
    <n v="1"/>
    <n v="2"/>
    <n v="0"/>
    <s v="The co-pilot acting as pilot-in-command and under the instruction of the captain began a descent to land until the aircraft hit the ground, left wing first. Both wings detached and the fuselage slid 1,200 feet."/>
    <n v="27"/>
    <n v="0.1"/>
    <x v="2"/>
  </r>
  <r>
    <n v="1598"/>
    <x v="1464"/>
    <x v="45"/>
    <x v="0"/>
    <d v="1899-12-30T18:20:00"/>
    <s v="Mt. Giner, Italy"/>
    <s v="Linee Aeree Italiane"/>
    <s v="Unknown"/>
    <s v="Rome - Milan"/>
    <x v="277"/>
    <s v="I-LINC"/>
    <n v="9101"/>
    <n v="21"/>
    <n v="17"/>
    <n v="4"/>
    <n v="21"/>
    <n v="17"/>
    <n v="4"/>
    <n v="0"/>
    <s v="The aircraft strayed off the assigned airway and hit a mountain. The pilot did not follow the airways assigned in the flight plan. He did not check his direction and position along the new route. Pilot error."/>
    <n v="0"/>
    <n v="1"/>
    <x v="1"/>
  </r>
  <r>
    <n v="1599"/>
    <x v="1465"/>
    <x v="45"/>
    <x v="0"/>
    <d v="1899-12-30T00:04:00"/>
    <s v="Dhahran, Saudi Arabia"/>
    <s v="Military - U.S. Air Force"/>
    <s v="Unknown"/>
    <s v="Charleston - Hamilton - Horta - Lisbon - Tripoli - Dhahran"/>
    <x v="751"/>
    <s v="54-0165"/>
    <n v="4184"/>
    <n v="38"/>
    <n v="31"/>
    <n v="7"/>
    <n v="12"/>
    <n v="12"/>
    <n v="0"/>
    <n v="0"/>
    <s v="Crashed and burned while attempting to land in heavy fog at night."/>
    <n v="26"/>
    <n v="0.31578947368421051"/>
    <x v="2"/>
  </r>
  <r>
    <n v="1600"/>
    <x v="1466"/>
    <x v="46"/>
    <x v="0"/>
    <d v="1899-12-30T00:01:00"/>
    <s v="Owasso, Oklahoma"/>
    <s v="American Airlines"/>
    <n v="327"/>
    <s v="Joplin - Owasso"/>
    <x v="640"/>
    <s v="N94247"/>
    <n v="104"/>
    <n v="10"/>
    <n v="7"/>
    <n v="3"/>
    <n v="1"/>
    <n v="1"/>
    <n v="0"/>
    <n v="0"/>
    <s v="Struck trees, hit the ground, and slid 500 ft. after landing short of the runway in rapidly deteriorating condtions.  The captain's lack of alertness in allowing the first officer to continue an instrument descent to an altitude too low to permit terrain clearance."/>
    <n v="9"/>
    <n v="0.1"/>
    <x v="2"/>
  </r>
  <r>
    <n v="1601"/>
    <x v="1467"/>
    <x v="46"/>
    <x v="0"/>
    <d v="1899-12-30T09:00:00"/>
    <s v="Near Buenos Aires, Argentina"/>
    <s v="Lineas Aereas del Estado"/>
    <s v="Unknown"/>
    <s v="Buenos Aires - Mar Del Plata - Mendoza"/>
    <x v="752"/>
    <s v="T-11"/>
    <n v="188"/>
    <n v="33"/>
    <n v="29"/>
    <n v="4"/>
    <n v="17"/>
    <n v="15"/>
    <n v="2"/>
    <n v="1"/>
    <s v="The domestic flight crashed and burned immediately after takeoff from Buenos Aires after overrunning the runway. Too short a runway and excessive cross-winds for the type of aircraft."/>
    <n v="16"/>
    <n v="0.51515151515151514"/>
    <x v="0"/>
  </r>
  <r>
    <n v="1602"/>
    <x v="1468"/>
    <x v="46"/>
    <x v="0"/>
    <d v="1899-12-30T11:18:00"/>
    <s v="Ometepe Island, Nicaragua"/>
    <s v="Lanica"/>
    <s v="Unknown"/>
    <s v="San Carlos - Managua"/>
    <x v="277"/>
    <s v="AN-AEC"/>
    <n v="12312"/>
    <n v="16"/>
    <n v="13"/>
    <n v="3"/>
    <n v="16"/>
    <n v="13"/>
    <n v="3"/>
    <n v="0"/>
    <s v="The aircraft hit Concepcion volcano while en route. The aircraft made a left turn towards the volcano, banked sharply in descent, enered a rapid climb and then crashed. Unexplained loss of control."/>
    <n v="0"/>
    <n v="1"/>
    <x v="1"/>
  </r>
  <r>
    <n v="1603"/>
    <x v="1469"/>
    <x v="46"/>
    <x v="0"/>
    <d v="1899-12-30T19:24:00"/>
    <s v="Paris, France"/>
    <s v="Air France"/>
    <s v="Unknown"/>
    <s v="Tunis - Paris"/>
    <x v="753"/>
    <s v="F-BAVG"/>
    <n v="6"/>
    <n v="70"/>
    <n v="60"/>
    <n v="10"/>
    <n v="2"/>
    <n v="1"/>
    <n v="1"/>
    <n v="0"/>
    <s v="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
    <n v="68"/>
    <n v="2.8571428571428571E-2"/>
    <x v="2"/>
  </r>
  <r>
    <n v="1604"/>
    <x v="1470"/>
    <x v="46"/>
    <x v="0"/>
    <d v="1899-12-30T11:18:00"/>
    <s v="Near Sunland, California"/>
    <s v="Douglas Aircraft"/>
    <s v="Unknown"/>
    <s v="Santa Monica - Santa Monica"/>
    <x v="754"/>
    <s v="N8210H/52-187OA"/>
    <s v="45192 / 4447"/>
    <n v="6"/>
    <n v="0"/>
    <n v="6"/>
    <n v="5"/>
    <n v="0"/>
    <n v="5"/>
    <n v="3"/>
    <s v="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
    <n v="1"/>
    <n v="0.83333333333333337"/>
    <x v="1"/>
  </r>
  <r>
    <n v="1605"/>
    <x v="1471"/>
    <x v="46"/>
    <x v="0"/>
    <d v="1899-12-30T18:02:00"/>
    <s v="New York, New York"/>
    <s v="Northeast Airlines"/>
    <n v="823"/>
    <s v="New York City - Miami"/>
    <x v="681"/>
    <s v="N34954"/>
    <s v="44678/543"/>
    <n v="101"/>
    <n v="95"/>
    <n v="6"/>
    <n v="21"/>
    <n v="21"/>
    <n v="0"/>
    <n v="0"/>
    <s v="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
    <n v="80"/>
    <n v="0.20792079207920791"/>
    <x v="2"/>
  </r>
  <r>
    <n v="1606"/>
    <x v="1472"/>
    <x v="46"/>
    <x v="0"/>
    <d v="1899-12-30T20:00:00"/>
    <s v="Kimpo Air Base, South Korea"/>
    <s v="Military - U.S. Air Force"/>
    <s v="Unknown"/>
    <s v="Kimpo AB - Tokyo, Japan"/>
    <x v="755"/>
    <s v="51-141A"/>
    <n v="43475"/>
    <n v="159"/>
    <n v="149"/>
    <n v="10"/>
    <n v="22"/>
    <n v="19"/>
    <n v="3"/>
    <n v="0"/>
    <s v="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
    <n v="137"/>
    <n v="0.13836477987421383"/>
    <x v="2"/>
  </r>
  <r>
    <n v="1607"/>
    <x v="1473"/>
    <x v="46"/>
    <x v="0"/>
    <d v="1899-12-30T17:19:00"/>
    <s v="Blyn, Washington"/>
    <s v="Alaska Airlines"/>
    <n v="100"/>
    <s v="Fairbanks - Seattle"/>
    <x v="515"/>
    <s v="N90449"/>
    <n v="27239"/>
    <n v="5"/>
    <n v="2"/>
    <n v="3"/>
    <n v="5"/>
    <n v="2"/>
    <n v="3"/>
    <n v="0"/>
    <s v="Crashed into a densly wooded mountain, 3 miles east of Blyn, while en route to Seattle. Navigation error and poor judgement by the pilot in entering an overcast mountainous area at too low an altitude."/>
    <n v="0"/>
    <n v="1"/>
    <x v="1"/>
  </r>
  <r>
    <n v="1608"/>
    <x v="1474"/>
    <x v="46"/>
    <x v="0"/>
    <s v="Unknown"/>
    <s v="Near Miho AB, Japan"/>
    <s v="Japanese Air Force"/>
    <s v="Unknown"/>
    <s v="Unknown"/>
    <x v="756"/>
    <s v="51-1110"/>
    <n v="33737"/>
    <n v="17"/>
    <n v="15"/>
    <n v="2"/>
    <n v="17"/>
    <n v="15"/>
    <n v="2"/>
    <n v="0"/>
    <s v="While attempting to land, the plane lost air speed and crashed into the sea, 400 yards offshore."/>
    <n v="0"/>
    <n v="1"/>
    <x v="1"/>
  </r>
  <r>
    <n v="1609"/>
    <x v="1475"/>
    <x v="46"/>
    <x v="0"/>
    <d v="1899-12-30T11:00:00"/>
    <s v="Drayton, England"/>
    <s v="Military -Royal Air Force"/>
    <s v="Unknown"/>
    <s v="Drayton - Multa"/>
    <x v="757"/>
    <s v="XH117"/>
    <n v="1023"/>
    <n v="22"/>
    <n v="17"/>
    <n v="5"/>
    <n v="18"/>
    <n v="15"/>
    <n v="3"/>
    <n v="2"/>
    <s v="The aircraft crashed into trees and farm buildings about a half-an-hour after taking off from Abingdon airfield.  Fuel starvation due to an valve being installed backwards."/>
    <n v="4"/>
    <n v="0.81818181818181823"/>
    <x v="1"/>
  </r>
  <r>
    <n v="1610"/>
    <x v="1476"/>
    <x v="46"/>
    <x v="0"/>
    <d v="1899-12-30T10:00:00"/>
    <s v="El Soldado, Colombia"/>
    <s v="AVIANCA"/>
    <s v="Unknown"/>
    <s v="Condoto - Buenaventura - Cali"/>
    <x v="277"/>
    <s v="HK-155"/>
    <n v="4338"/>
    <n v="15"/>
    <n v="12"/>
    <n v="3"/>
    <n v="15"/>
    <n v="12"/>
    <n v="3"/>
    <n v="0"/>
    <s v="Crashed into mountains  located 32 km west of TuluÃ¡ while en route. Pilot did not follow prescribed route nor follow prescribed IFR procedures."/>
    <n v="0"/>
    <n v="1"/>
    <x v="1"/>
  </r>
  <r>
    <n v="1611"/>
    <x v="1477"/>
    <x v="46"/>
    <x v="0"/>
    <d v="1899-12-30T13:46:00"/>
    <s v="Manchester, England"/>
    <s v="British European Airways"/>
    <n v="411"/>
    <s v="Amsterdam - Manchester"/>
    <x v="758"/>
    <s v="G-ALWE"/>
    <n v="4"/>
    <n v="20"/>
    <n v="15"/>
    <n v="5"/>
    <n v="20"/>
    <n v="15"/>
    <n v="5"/>
    <n v="2"/>
    <s v="The plane suddenly veered and banked to the right while making an approach to land. The plane crashed into houses. Fracture of a 9/16&quot; bolt on the starboard flap due to fatigue led to loss of control of the aircraft."/>
    <n v="0"/>
    <n v="1"/>
    <x v="1"/>
  </r>
  <r>
    <n v="1612"/>
    <x v="1478"/>
    <x v="46"/>
    <x v="0"/>
    <d v="1899-12-30T01:40:00"/>
    <s v="Near Cebu, Philippines"/>
    <s v="Military - Philippine Air Force"/>
    <s v="Unknown"/>
    <s v="Cebu - Manila"/>
    <x v="759"/>
    <n v="2100925"/>
    <n v="19388"/>
    <n v="25"/>
    <n v="22"/>
    <n v="3"/>
    <n v="24"/>
    <n v="21"/>
    <n v="3"/>
    <n v="0"/>
    <s v="The plane had just taken off from Cebu bound  for Manila when it crashed 20 miles NW of the city. President Ramon Magsaysay, 50, of the Philippines died along with twenty-three others when the plane struck Mt. Manunggal. Magsaysay was on a campaigning trip for reelection. Metal fatigue."/>
    <n v="1"/>
    <n v="0.96"/>
    <x v="1"/>
  </r>
  <r>
    <n v="1613"/>
    <x v="1479"/>
    <x v="46"/>
    <x v="0"/>
    <s v="Unknown"/>
    <s v="Near Sayari, Bolivia"/>
    <s v="Lloyd Aereo Boliviano"/>
    <s v="Unknown"/>
    <s v="Cochabamba - Oruro"/>
    <x v="277"/>
    <s v="CP-535"/>
    <n v="4867"/>
    <n v="19"/>
    <n v="16"/>
    <n v="3"/>
    <n v="19"/>
    <n v="16"/>
    <n v="3"/>
    <n v="0"/>
    <s v="Crashed into Andies peak while en route. Wreckage found 100 miles northeast of Cochabamba."/>
    <n v="0"/>
    <n v="1"/>
    <x v="1"/>
  </r>
  <r>
    <n v="1614"/>
    <x v="1480"/>
    <x v="46"/>
    <x v="0"/>
    <d v="1899-12-30T00:37:00"/>
    <s v="Over the North Pacific Ocean"/>
    <s v="Military - U.S. Air Force"/>
    <s v="Unknown"/>
    <s v="Travis AFB - Tokyo"/>
    <x v="760"/>
    <s v="50-702A"/>
    <n v="16246"/>
    <n v="67"/>
    <n v="57"/>
    <n v="10"/>
    <n v="67"/>
    <n v="57"/>
    <n v="10"/>
    <n v="0"/>
    <s v="Disappeared in  a storm 200 miles southeast of Tokyo, Japan while on a flight from Travis Air Force Base to Tokyo.  Cause unknown."/>
    <n v="0"/>
    <n v="1"/>
    <x v="1"/>
  </r>
  <r>
    <n v="1615"/>
    <x v="1481"/>
    <x v="46"/>
    <x v="0"/>
    <s v="Unknown"/>
    <s v="Bage, Brazil"/>
    <s v="Varig"/>
    <s v="Unknown"/>
    <s v="Bage - Porto Alegra"/>
    <x v="741"/>
    <s v="PP-VCF"/>
    <n v="30283"/>
    <n v="40"/>
    <n v="35"/>
    <n v="5"/>
    <n v="40"/>
    <n v="35"/>
    <n v="5"/>
    <n v="0"/>
    <s v="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
    <n v="0"/>
    <n v="1"/>
    <x v="1"/>
  </r>
  <r>
    <n v="1616"/>
    <x v="1482"/>
    <x v="46"/>
    <x v="0"/>
    <s v="Unknown"/>
    <s v="Algiers, Algeria"/>
    <s v="Air France"/>
    <s v="Unknown"/>
    <s v="El Oued - Biskra - Alger - Marseille - Paris"/>
    <x v="277"/>
    <s v="F-BEIK"/>
    <s v="14411/25856"/>
    <n v="34"/>
    <n v="30"/>
    <n v="4"/>
    <n v="34"/>
    <n v="30"/>
    <n v="4"/>
    <n v="0"/>
    <s v="Crashed just after takeoff, one mile from the airfield. Left engine failure."/>
    <n v="0"/>
    <n v="1"/>
    <x v="1"/>
  </r>
  <r>
    <n v="1617"/>
    <x v="1483"/>
    <x v="46"/>
    <x v="0"/>
    <d v="1899-12-30T15:20:00"/>
    <s v="Anchieta Island, Brazil"/>
    <s v="REAL"/>
    <n v="1800"/>
    <s v="Rio de Janerio - Sao Paulo"/>
    <x v="277"/>
    <s v="PP-ANX"/>
    <n v="13048"/>
    <n v="30"/>
    <n v="26"/>
    <n v="4"/>
    <n v="26"/>
    <n v="23"/>
    <n v="3"/>
    <n v="0"/>
    <s v="While en route, fire broke out in the starboard engine. As the plane lost altitude and because of reduced visibility, the pilot did not see the peak of a mountain. When he tried to pull up the plane stalled and crashed. Engine failure."/>
    <n v="4"/>
    <n v="0.8666666666666667"/>
    <x v="1"/>
  </r>
  <r>
    <n v="1618"/>
    <x v="1484"/>
    <x v="46"/>
    <x v="0"/>
    <d v="1899-12-30T07:53:00"/>
    <s v="Merida, Mexico"/>
    <s v="Transportes AÃ©reos Mexicanos"/>
    <s v="Unknown"/>
    <s v="Medrida - Mexico City"/>
    <x v="761"/>
    <s v="XA-KUN"/>
    <s v="Unknown"/>
    <n v="3"/>
    <n v="0"/>
    <n v="3"/>
    <n v="3"/>
    <n v="0"/>
    <n v="3"/>
    <n v="1"/>
    <s v="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
    <n v="0"/>
    <n v="1"/>
    <x v="1"/>
  </r>
  <r>
    <n v="1619"/>
    <x v="1485"/>
    <x v="46"/>
    <x v="0"/>
    <d v="1899-12-30T08:30:00"/>
    <s v="Near El Quweira, Jordan"/>
    <s v="Military -Royal Air Force"/>
    <s v="Unknown"/>
    <s v="Aqaba AFB - Habbaniya, Iraq"/>
    <x v="762"/>
    <s v="VW832"/>
    <n v="393"/>
    <n v="24"/>
    <n v="21"/>
    <n v="3"/>
    <n v="24"/>
    <n v="21"/>
    <n v="3"/>
    <n v="0"/>
    <s v="Crashed and burned 5 minutes after taking off from Aqaba. The aircraft lost it's left wing after encountering clear air turbulence."/>
    <n v="0"/>
    <n v="1"/>
    <x v="1"/>
  </r>
  <r>
    <n v="1620"/>
    <x v="1486"/>
    <x v="46"/>
    <x v="0"/>
    <s v="Unknown"/>
    <s v="Jirkouk, Iraq"/>
    <s v="Air France"/>
    <s v="Unknown"/>
    <s v="Tehran, Iran - Istanbul, Turkey"/>
    <x v="763"/>
    <s v="F-BGNE"/>
    <n v="4514"/>
    <s v="NULL"/>
    <s v="NULL"/>
    <s v="NULL"/>
    <n v="1"/>
    <n v="1"/>
    <n v="0"/>
    <n v="0"/>
    <s v="Explosive decompression. A passenger was sucked out of a window at 18,000 feet when the window he was sitting next to shattered. The body was never recovered."/>
    <s v="NULL"/>
    <n v="0"/>
    <x v="2"/>
  </r>
  <r>
    <n v="1621"/>
    <x v="1487"/>
    <x v="46"/>
    <x v="0"/>
    <d v="1899-12-30T21:20:00"/>
    <s v="Blackbushe, Hants, England"/>
    <s v="Eagle Aviation"/>
    <s v="Unknown"/>
    <s v="Blackbushe - Tripoli"/>
    <x v="764"/>
    <s v="G-AJBO"/>
    <n v="241"/>
    <n v="35"/>
    <n v="30"/>
    <n v="5"/>
    <n v="34"/>
    <n v="29"/>
    <n v="5"/>
    <n v="0"/>
    <s v="Crashed while attemting an emergency return to the airport shortly after taking off. Engine failure. The failure of the captain to maintain height and a safe flying speed when approaching to land on one engine after the failure of the left engine for reasons unknown."/>
    <n v="1"/>
    <n v="0.97142857142857142"/>
    <x v="1"/>
  </r>
  <r>
    <n v="1622"/>
    <x v="1488"/>
    <x v="46"/>
    <x v="0"/>
    <s v="Unknown"/>
    <s v="Santoshpur, India"/>
    <s v="Indian Airlines"/>
    <s v="Unknown"/>
    <s v="Silhcar - Calcutta"/>
    <x v="402"/>
    <s v="VT-AUV"/>
    <n v="20318"/>
    <n v="3"/>
    <n v="0"/>
    <n v="3"/>
    <n v="1"/>
    <n v="0"/>
    <n v="1"/>
    <n v="0"/>
    <s v="The accident is attributed to the insufficient altitude at which the aircraft was flown during an attempt to fly through a thunderstorm. Downdrafts and divergent winds encountered, forced the aircraft to the ground."/>
    <n v="2"/>
    <n v="0.33333333333333331"/>
    <x v="2"/>
  </r>
  <r>
    <n v="1623"/>
    <x v="1489"/>
    <x v="46"/>
    <x v="0"/>
    <d v="1899-12-30T19:04:00"/>
    <s v="Barajas, Madrid, Spain"/>
    <s v="Aviaco"/>
    <n v="111"/>
    <s v="Santiago de Compostella - Madrid"/>
    <x v="654"/>
    <s v="EC-ADI"/>
    <n v="12757"/>
    <n v="37"/>
    <n v="32"/>
    <n v="5"/>
    <n v="37"/>
    <n v="32"/>
    <n v="5"/>
    <n v="0"/>
    <s v="Crashed while attemping to land. The aircraft hit the ground with the front part of the fuselage, the right wing and the right engine propeller and caught fire. Procedural errors by the pilot."/>
    <n v="0"/>
    <n v="1"/>
    <x v="1"/>
  </r>
  <r>
    <n v="1624"/>
    <x v="1490"/>
    <x v="46"/>
    <x v="0"/>
    <d v="1899-12-30T03:35:00"/>
    <s v="Narsarressuak, Greenland"/>
    <s v="U.S. Overseas Airways"/>
    <s v="Unknown"/>
    <s v="Broughton Island - Narsarsuaq"/>
    <x v="487"/>
    <s v="N68736"/>
    <n v="7449"/>
    <n v="3"/>
    <n v="0"/>
    <n v="3"/>
    <n v="2"/>
    <n v="0"/>
    <n v="2"/>
    <n v="0"/>
    <s v="Crashed into an ice cap. White-out conditions. Incorrect indication on navigation charts."/>
    <n v="1"/>
    <n v="0.66666666666666663"/>
    <x v="1"/>
  </r>
  <r>
    <n v="1625"/>
    <x v="1490"/>
    <x v="46"/>
    <x v="0"/>
    <s v="Unknown"/>
    <s v="Near San Carlos de Bariloche, Argentina"/>
    <s v="Lineas Aereas del Estado"/>
    <s v="Unknown"/>
    <s v="San - Carlos"/>
    <x v="752"/>
    <s v="T-3"/>
    <n v="151"/>
    <n v="16"/>
    <n v="11"/>
    <n v="5"/>
    <n v="16"/>
    <n v="11"/>
    <n v="5"/>
    <n v="0"/>
    <s v="The pilot lost in rain and fog searched for a landing area until the plane ran out of fuel and crashed into a 4,500 foot mountain."/>
    <n v="0"/>
    <n v="1"/>
    <x v="1"/>
  </r>
  <r>
    <n v="1626"/>
    <x v="1490"/>
    <x v="46"/>
    <x v="0"/>
    <s v="Unknown"/>
    <s v="New Delhi, India"/>
    <s v="Indian Airlines"/>
    <s v="Unknown"/>
    <s v="Training"/>
    <x v="277"/>
    <s v="VT-CFB"/>
    <n v="13626"/>
    <n v="2"/>
    <n v="0"/>
    <n v="2"/>
    <n v="2"/>
    <n v="0"/>
    <n v="2"/>
    <n v="3"/>
    <s v="During a training exercise the aircraft approached a stall entered a spin, partially recovered but crashed."/>
    <n v="0"/>
    <n v="1"/>
    <x v="1"/>
  </r>
  <r>
    <n v="1627"/>
    <x v="1491"/>
    <x v="46"/>
    <x v="0"/>
    <d v="1899-12-30T23:10:00"/>
    <s v="Near Moscow, Russia"/>
    <s v="LOT Polish Airlines"/>
    <n v="232"/>
    <s v="Warsaw - Moscow"/>
    <x v="765"/>
    <s v="SP-LNF"/>
    <n v="6341407"/>
    <n v="13"/>
    <n v="8"/>
    <n v="5"/>
    <n v="9"/>
    <n v="5"/>
    <n v="4"/>
    <n v="0"/>
    <s v="The aircraft descended below safe altitude and struck the ground in rain and poor visibility. The crew's application of an approach procedure other than that prescribed by the airport authority."/>
    <n v="4"/>
    <n v="0.69230769230769229"/>
    <x v="1"/>
  </r>
  <r>
    <n v="1628"/>
    <x v="1492"/>
    <x v="46"/>
    <x v="0"/>
    <d v="1899-12-30T10:20:00"/>
    <s v="Bodensee, Switzerland"/>
    <s v="Swissair"/>
    <s v="Unknown"/>
    <s v="Training"/>
    <x v="443"/>
    <s v="HB-IRK"/>
    <n v="20737"/>
    <n v="9"/>
    <n v="0"/>
    <n v="9"/>
    <n v="9"/>
    <n v="0"/>
    <n v="9"/>
    <n v="0"/>
    <s v="The stalling of the aircraft following a loss of airspeed, whereupon it unintentionally went into a spin and crashed into the water. In view of insufficient altitude, it was not possible to level off the aircraft."/>
    <n v="0"/>
    <n v="1"/>
    <x v="1"/>
  </r>
  <r>
    <n v="1629"/>
    <x v="1493"/>
    <x v="46"/>
    <x v="0"/>
    <d v="1899-12-30T07:50:00"/>
    <s v="Near Clarksburg, Maryland"/>
    <s v="Capital Airlines"/>
    <s v="Unknown"/>
    <s v="Training"/>
    <x v="402"/>
    <s v="N88835"/>
    <n v="19448"/>
    <n v="3"/>
    <n v="0"/>
    <n v="3"/>
    <n v="3"/>
    <n v="0"/>
    <n v="3"/>
    <n v="0"/>
    <s v="Loss of airspeed while executing maneuvers during a training flight, resulting in a stall followed immediately by a spin from an altitude too low to effect recovery."/>
    <n v="0"/>
    <n v="1"/>
    <x v="1"/>
  </r>
  <r>
    <n v="1630"/>
    <x v="1494"/>
    <x v="46"/>
    <x v="0"/>
    <d v="1899-12-30T14:20:00"/>
    <s v="Port Hardy, BC, Canada"/>
    <s v="Pacific Western"/>
    <s v="Unknown"/>
    <s v="Port Hardy - Vancouver"/>
    <x v="277"/>
    <s v="CF-EPI"/>
    <n v="7408"/>
    <n v="18"/>
    <n v="15"/>
    <n v="3"/>
    <n v="14"/>
    <n v="12"/>
    <n v="2"/>
    <n v="0"/>
    <s v="Crashed while attempting an emergency landing after taking off with control difficulties. Jammed elevator. Crew forgot to remove the ground locks."/>
    <n v="4"/>
    <n v="0.77777777777777779"/>
    <x v="1"/>
  </r>
  <r>
    <n v="1631"/>
    <x v="1495"/>
    <x v="46"/>
    <x v="0"/>
    <s v="Unknown"/>
    <s v="Horn Island, Queensland, Australia"/>
    <s v="Adastra Airways"/>
    <s v="Unknown"/>
    <s v="Unknown"/>
    <x v="766"/>
    <s v="Unknown"/>
    <s v="Unknown"/>
    <s v="NULL"/>
    <s v="NULL"/>
    <s v="NULL"/>
    <n v="6"/>
    <s v="NULL"/>
    <s v="NULL"/>
    <s v="NULL"/>
    <s v="Crashed on approach."/>
    <s v="NULL"/>
    <n v="0"/>
    <x v="2"/>
  </r>
  <r>
    <n v="1632"/>
    <x v="1496"/>
    <x v="46"/>
    <x v="0"/>
    <s v="Unknown"/>
    <s v="Bay of Bengal, Pakistan"/>
    <s v="Pakistan International Airlines"/>
    <s v="Unknown"/>
    <s v="Chittagong - Dhaka"/>
    <x v="277"/>
    <s v="AP-AJS"/>
    <n v="12501"/>
    <n v="24"/>
    <n v="20"/>
    <n v="4"/>
    <n v="24"/>
    <n v="20"/>
    <n v="4"/>
    <n v="0"/>
    <s v="Went into a spin and cashed onto tidal flats off Charlakhi Island during a storm."/>
    <n v="0"/>
    <n v="1"/>
    <x v="1"/>
  </r>
  <r>
    <n v="1633"/>
    <x v="1497"/>
    <x v="46"/>
    <x v="0"/>
    <s v="Unknown"/>
    <s v="Near Fort Rupert, Quebec, Canada"/>
    <s v="Kenting Air"/>
    <s v="Unknown"/>
    <s v="Great Whale River â€“ Val-dâ€™Or"/>
    <x v="767"/>
    <s v="CF-CRL"/>
    <s v="414-7546"/>
    <n v="4"/>
    <n v="2"/>
    <n v="2"/>
    <n v="4"/>
    <n v="2"/>
    <n v="2"/>
    <s v="NULL"/>
    <s v="Crashed on takeoff. The pilot took off in weather conditions below permissible limits, in an area sparsely served with aids to navigation, in an aircraft not equipped with de- icing equipment."/>
    <n v="0"/>
    <n v="1"/>
    <x v="1"/>
  </r>
  <r>
    <n v="1634"/>
    <x v="1498"/>
    <x v="46"/>
    <x v="0"/>
    <d v="1899-12-30T21:20:00"/>
    <s v="Near Hsinchu, Taiwan (Formosa)"/>
    <s v="Military - United States Air Force"/>
    <s v="Unknown"/>
    <s v="Clark Field, Philippines - Taipei, Taiwan"/>
    <x v="768"/>
    <s v="43-15867"/>
    <n v="20333"/>
    <n v="16"/>
    <n v="9"/>
    <n v="7"/>
    <n v="16"/>
    <n v="9"/>
    <n v="7"/>
    <n v="0"/>
    <s v="The Air Foce transport was en route when it crashed at Mount Chaiopeng between, Hisinchu and Taipei."/>
    <n v="0"/>
    <n v="1"/>
    <x v="1"/>
  </r>
  <r>
    <n v="1635"/>
    <x v="1498"/>
    <x v="46"/>
    <x v="0"/>
    <d v="1899-12-30T03:36:00"/>
    <s v="Near Biak, Indonesia"/>
    <s v="KLM Royal Dutch Airlines"/>
    <n v="844"/>
    <s v="Mokmer - Manila"/>
    <x v="769"/>
    <s v="PH-LKT"/>
    <n v="4504"/>
    <n v="68"/>
    <n v="59"/>
    <n v="9"/>
    <n v="58"/>
    <n v="49"/>
    <n v="9"/>
    <n v="0"/>
    <s v="The pilot asked for clearance to make a low pass over Mokmer to give the passengers a final glimpse of the island. The plane gradually descended over the sea, crashed, burst into flames, broke apart and sank. Crew did not properly monitor their altitude."/>
    <n v="10"/>
    <n v="0.8529411764705882"/>
    <x v="1"/>
  </r>
  <r>
    <n v="1636"/>
    <x v="1499"/>
    <x v="46"/>
    <x v="0"/>
    <d v="1899-12-30T03:37:00"/>
    <s v="Daggett, California"/>
    <s v="Western Airlines"/>
    <n v="39"/>
    <s v="Minneapolis -- Salt Lake - Cedar City - Las Vegas- LA"/>
    <x v="689"/>
    <s v="N8405H"/>
    <n v="22"/>
    <n v="16"/>
    <n v="13"/>
    <n v="3"/>
    <n v="1"/>
    <n v="1"/>
    <n v="0"/>
    <n v="0"/>
    <s v="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
    <n v="15"/>
    <n v="6.25E-2"/>
    <x v="2"/>
  </r>
  <r>
    <n v="1637"/>
    <x v="1500"/>
    <x v="46"/>
    <x v="0"/>
    <d v="1899-12-30T14:15:00"/>
    <s v="Near Issoudun, Quebec, Canada"/>
    <s v="Maritime Central Airways"/>
    <s v="Unknown"/>
    <s v="ReykjavÃ­k - Montreal"/>
    <x v="487"/>
    <s v="CF-MCF"/>
    <n v="18374"/>
    <n v="79"/>
    <n v="73"/>
    <n v="6"/>
    <n v="79"/>
    <n v="73"/>
    <n v="6"/>
    <n v="0"/>
    <s v="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
    <n v="0"/>
    <n v="1"/>
    <x v="1"/>
  </r>
  <r>
    <n v="1638"/>
    <x v="1501"/>
    <x v="46"/>
    <x v="0"/>
    <d v="1899-12-30T06:30:00"/>
    <s v="Copenhagen, Denmark"/>
    <s v="Aeroflot"/>
    <n v="103"/>
    <s v="Riga - Copenhagen"/>
    <x v="770"/>
    <s v="CCCP-L1874"/>
    <n v="146000607"/>
    <n v="23"/>
    <n v="18"/>
    <n v="5"/>
    <n v="23"/>
    <n v="18"/>
    <n v="5"/>
    <n v="0"/>
    <s v="Crashed into the harbor after hitting the chimney of a factory. Crew error. ATC error."/>
    <n v="0"/>
    <n v="1"/>
    <x v="1"/>
  </r>
  <r>
    <n v="1639"/>
    <x v="1502"/>
    <x v="46"/>
    <x v="0"/>
    <s v="Unknown"/>
    <s v="Assam, India"/>
    <s v="Indamer"/>
    <s v="Unknown"/>
    <s v="Supply mission"/>
    <x v="277"/>
    <s v="VT-ARH"/>
    <n v="4851"/>
    <n v="8"/>
    <n v="0"/>
    <n v="8"/>
    <n v="8"/>
    <n v="0"/>
    <n v="8"/>
    <n v="0"/>
    <s v="While making a sharp turn the cargo plane stalled and crashed."/>
    <n v="0"/>
    <n v="1"/>
    <x v="1"/>
  </r>
  <r>
    <n v="1640"/>
    <x v="1503"/>
    <x v="46"/>
    <x v="0"/>
    <s v="Unknown"/>
    <s v="Near Juticalpa, Honduras"/>
    <s v="Sahsa Airlines"/>
    <s v="Unknown"/>
    <s v="Catacamas - Juticalpa - Tegucigalpa"/>
    <x v="277"/>
    <s v="XH-SAF"/>
    <s v="17139/3440"/>
    <n v="12"/>
    <n v="9"/>
    <n v="3"/>
    <n v="12"/>
    <n v="9"/>
    <n v="3"/>
    <n v="0"/>
    <s v="Blew up and burned in flight after taking off."/>
    <n v="0"/>
    <n v="1"/>
    <x v="1"/>
  </r>
  <r>
    <n v="1641"/>
    <x v="1504"/>
    <x v="46"/>
    <x v="0"/>
    <s v="Unknown"/>
    <s v="Niquitao, Venezuela"/>
    <s v="Avensa"/>
    <s v="Unknown"/>
    <s v="Maiquetia - Barinas"/>
    <x v="277"/>
    <s v="YV-C-AVG"/>
    <n v="4754"/>
    <n v="8"/>
    <n v="5"/>
    <n v="3"/>
    <n v="8"/>
    <n v="5"/>
    <n v="3"/>
    <n v="0"/>
    <s v="Strayed off course and collided with a mountain in the Penas Blancas hills. Pilot error.  Weather's influence on radio communications. Leaving the prescribed route and flying at too low an altitude."/>
    <n v="0"/>
    <n v="1"/>
    <x v="1"/>
  </r>
  <r>
    <n v="1642"/>
    <x v="1505"/>
    <x v="46"/>
    <x v="0"/>
    <d v="1899-12-30T20:46:00"/>
    <s v="New Bedford, Massachusetts"/>
    <s v="Northeast Airlines"/>
    <n v="285"/>
    <s v="Martha's Vineyard - New Bedford"/>
    <x v="277"/>
    <s v="N33417"/>
    <n v="7337"/>
    <n v="24"/>
    <n v="21"/>
    <n v="3"/>
    <n v="12"/>
    <n v="10"/>
    <n v="2"/>
    <n v="0"/>
    <s v="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
    <n v="12"/>
    <n v="0.5"/>
    <x v="0"/>
  </r>
  <r>
    <n v="1643"/>
    <x v="1506"/>
    <x v="46"/>
    <x v="0"/>
    <d v="1899-12-30T21:20:00"/>
    <s v="Montevideo,  Uruguay"/>
    <s v="REAL"/>
    <s v="Unknown"/>
    <s v="San Pablo - Porto Alegre - Montevideo"/>
    <x v="771"/>
    <s v="PP-AQE"/>
    <n v="456"/>
    <n v="35"/>
    <n v="30"/>
    <n v="5"/>
    <n v="1"/>
    <n v="0"/>
    <n v="1"/>
    <n v="0"/>
    <s v="Flying VFR, the aircraft encountered fog during the approach, undershot the runway and crashed. Pilot error."/>
    <n v="34"/>
    <n v="2.8571428571428571E-2"/>
    <x v="2"/>
  </r>
  <r>
    <n v="1644"/>
    <x v="1507"/>
    <x v="46"/>
    <x v="0"/>
    <d v="1899-12-30T11:30:00"/>
    <s v="Bhiwandi, Maharashtra, India"/>
    <s v="Ã¨koda (India) Ltd"/>
    <s v="Unknown"/>
    <s v="Bombay - Indore"/>
    <x v="772"/>
    <s v="VT-DHO"/>
    <n v="51198"/>
    <n v="3"/>
    <n v="0"/>
    <n v="3"/>
    <n v="3"/>
    <n v="0"/>
    <n v="3"/>
    <n v="0"/>
    <s v="While in it's initial climb, the ferry /positioning  flight crashed soon after."/>
    <n v="0"/>
    <n v="1"/>
    <x v="1"/>
  </r>
  <r>
    <n v="1645"/>
    <x v="1508"/>
    <x v="46"/>
    <x v="0"/>
    <s v="Unknown"/>
    <s v="Islay-Glenegedale Airport, Scotland"/>
    <s v="British European Airways"/>
    <s v="Unknown"/>
    <n v="14099"/>
    <x v="773"/>
    <s v="G-AOFY"/>
    <n v="14099"/>
    <n v="3"/>
    <n v="0"/>
    <n v="3"/>
    <n v="3"/>
    <n v="0"/>
    <n v="3"/>
    <n v="0"/>
    <s v="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
    <n v="0"/>
    <n v="1"/>
    <x v="1"/>
  </r>
  <r>
    <n v="1646"/>
    <x v="1509"/>
    <x v="46"/>
    <x v="0"/>
    <d v="1899-12-30T18:55:00"/>
    <s v="Akshi, Russia"/>
    <s v="Aeroflot"/>
    <n v="11"/>
    <s v="Irkutsk - Chita"/>
    <x v="533"/>
    <s v=" CCCP-L1389"/>
    <s v=" 30 123"/>
    <n v="27"/>
    <n v="22"/>
    <n v="5"/>
    <n v="27"/>
    <n v="22"/>
    <n v="5"/>
    <n v="0"/>
    <s v="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
    <n v="0"/>
    <n v="1"/>
    <x v="1"/>
  </r>
  <r>
    <n v="1647"/>
    <x v="1510"/>
    <x v="46"/>
    <x v="0"/>
    <d v="1899-12-30T01:55:00"/>
    <s v="Beirut, Lebanon"/>
    <s v="Lebanese International Airways"/>
    <s v="Unknown"/>
    <s v="Beirut - Kuwait City"/>
    <x v="741"/>
    <s v="OD-ACK"/>
    <n v="30249"/>
    <n v="27"/>
    <n v="23"/>
    <n v="4"/>
    <n v="27"/>
    <n v="23"/>
    <n v="4"/>
    <n v="0"/>
    <s v="A few minutes after takeoff the crew informed ATC about a fire on board and elected to return. More than thirty minutes later, while at altitude of 2,000 meters, the aircraft lost height and crashed into the sea some 18 km off Beirut."/>
    <n v="0"/>
    <n v="1"/>
    <x v="1"/>
  </r>
  <r>
    <n v="1648"/>
    <x v="1511"/>
    <x v="46"/>
    <x v="0"/>
    <s v="Unknown"/>
    <s v="Porto Alegre, Brazil"/>
    <s v="Varig"/>
    <s v="Unknown"/>
    <s v="Porto Alegre - Sao Paulo"/>
    <x v="402"/>
    <s v="PP-VCS"/>
    <n v="19757"/>
    <n v="2"/>
    <n v="0"/>
    <n v="2"/>
    <n v="2"/>
    <n v="0"/>
    <n v="2"/>
    <n v="0"/>
    <s v="During the takeoff roll, the airplane started to skid and deviated from the centerline to the right. Incorrect use of flying controls during the takeoff roll.  Possible failure of left engine. Turbulent conditions close to ground."/>
    <n v="0"/>
    <n v="1"/>
    <x v="1"/>
  </r>
  <r>
    <n v="1649"/>
    <x v="1512"/>
    <x v="46"/>
    <x v="0"/>
    <d v="1899-12-30T16:51:00"/>
    <s v="Belfast, Ireland"/>
    <s v="British European Airways"/>
    <s v="Unknown"/>
    <s v="London - Belfast"/>
    <x v="774"/>
    <s v="G-AOJA"/>
    <n v="150"/>
    <n v="7"/>
    <n v="5"/>
    <n v="2"/>
    <n v="7"/>
    <n v="5"/>
    <n v="2"/>
    <n v="0"/>
    <s v="While attempting to land at Belfast, in poor weather, the plane drifted to the right of the runway, overshot the runway and crashed. Cause unknown."/>
    <n v="0"/>
    <n v="1"/>
    <x v="1"/>
  </r>
  <r>
    <n v="1650"/>
    <x v="1513"/>
    <x v="46"/>
    <x v="0"/>
    <d v="1899-12-30T18:05:00"/>
    <s v="Madrid, Spain"/>
    <s v="Iberia Airlines"/>
    <s v="Unknown"/>
    <s v="Tanger - Madrid"/>
    <x v="277"/>
    <s v="EC-ACH"/>
    <n v="19332"/>
    <n v="21"/>
    <n v="17"/>
    <n v="4"/>
    <n v="21"/>
    <n v="17"/>
    <n v="4"/>
    <n v="0"/>
    <s v="Intense fire in the No.1 engine while en route, caused by foreign objects entering from the nacelle."/>
    <n v="0"/>
    <n v="1"/>
    <x v="1"/>
  </r>
  <r>
    <n v="1651"/>
    <x v="1514"/>
    <x v="46"/>
    <x v="0"/>
    <s v="Unknown"/>
    <s v="Near Campeche, Mexico"/>
    <s v="Transportes Aereos Mexicanos"/>
    <s v="Unknown"/>
    <s v="test flight"/>
    <x v="775"/>
    <s v="XA-LIW"/>
    <s v="Unknown"/>
    <n v="3"/>
    <n v="0"/>
    <n v="3"/>
    <n v="3"/>
    <n v="0"/>
    <n v="3"/>
    <n v="0"/>
    <s v="The cargo plane crashed en route."/>
    <n v="0"/>
    <n v="1"/>
    <x v="1"/>
  </r>
  <r>
    <n v="1652"/>
    <x v="1515"/>
    <x v="46"/>
    <x v="0"/>
    <d v="1899-12-30T07:03:00"/>
    <s v="Dusseldorf, West Germany"/>
    <s v="Herfurtner Company"/>
    <s v="Unknown"/>
    <s v="DÃ¼sseldorf - Reykjavik - New York"/>
    <x v="487"/>
    <s v="D-ALAF"/>
    <n v="459"/>
    <n v="10"/>
    <n v="3"/>
    <n v="7"/>
    <n v="7"/>
    <n v="0"/>
    <n v="6"/>
    <n v="1"/>
    <s v="Crashed shortly after taking off. The aircraft plunged into the suburb of Derendorf, setting afire an office building and crushing a small house. The lone occupant of the the house, an elderly woman, was killed"/>
    <n v="3"/>
    <n v="0.7"/>
    <x v="1"/>
  </r>
  <r>
    <n v="1653"/>
    <x v="1516"/>
    <x v="46"/>
    <x v="0"/>
    <d v="1899-12-30T17:58:00"/>
    <s v="Moscow, Russia"/>
    <s v="TAROM"/>
    <s v="Unknown"/>
    <s v="Bucharest - Kiev - Moscow"/>
    <x v="776"/>
    <s v="YR-PCC"/>
    <s v="1460 010 10"/>
    <n v="16"/>
    <n v="10"/>
    <n v="6"/>
    <n v="4"/>
    <n v="1"/>
    <n v="3"/>
    <n v="0"/>
    <s v="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
    <n v="12"/>
    <n v="0.25"/>
    <x v="2"/>
  </r>
  <r>
    <n v="1654"/>
    <x v="1517"/>
    <x v="46"/>
    <x v="0"/>
    <s v="Unknown"/>
    <s v="Bristol, England"/>
    <s v="Bristol Aeroplane Co."/>
    <s v="Unknown"/>
    <s v="Test flight"/>
    <x v="777"/>
    <s v="G-ANCA"/>
    <n v="12917"/>
    <n v="15"/>
    <n v="0"/>
    <n v="15"/>
    <n v="15"/>
    <n v="0"/>
    <n v="15"/>
    <n v="0"/>
    <s v="Crashed on a training flight. The right wing suddenly dropped and the aircraft went into a very steeply banked right hand turn and crashed. Instrument failure leading to loss of control. Undetermined cause. Possible failure of the auto-pilot."/>
    <n v="0"/>
    <n v="1"/>
    <x v="1"/>
  </r>
  <r>
    <n v="1655"/>
    <x v="1518"/>
    <x v="46"/>
    <x v="0"/>
    <d v="1899-12-30T01:27:00"/>
    <s v="900 miles E of Honolulu, Hawaii, Pacific Ocean"/>
    <s v="Pan American World Airways"/>
    <n v="7"/>
    <s v="San Fransisco - Honolulu"/>
    <x v="778"/>
    <s v="N90944"/>
    <s v="15960/40"/>
    <n v="44"/>
    <n v="36"/>
    <n v="8"/>
    <n v="44"/>
    <n v="36"/>
    <n v="8"/>
    <n v="0"/>
    <s v="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quot;Clipper Romance of the Skies.&quot;"/>
    <n v="0"/>
    <n v="1"/>
    <x v="1"/>
  </r>
  <r>
    <n v="1656"/>
    <x v="1519"/>
    <x v="46"/>
    <x v="0"/>
    <d v="1899-12-30T20:08:00"/>
    <s v="Near Palma de Mallorca, Spain"/>
    <s v="Aviaco"/>
    <s v="Unknown"/>
    <s v="Barcelona - Palma de Mallorca"/>
    <x v="779"/>
    <s v="EC-ANZ"/>
    <n v="14117"/>
    <n v="4"/>
    <n v="2"/>
    <n v="2"/>
    <n v="4"/>
    <n v="2"/>
    <n v="2"/>
    <n v="0"/>
    <s v="The aircraft hit a mountain at 1,500 feet while on approach after the pilot turned the wrong way. Weather was rain and turbulence. Pilot error."/>
    <n v="0"/>
    <n v="1"/>
    <x v="1"/>
  </r>
  <r>
    <n v="1657"/>
    <x v="1519"/>
    <x v="46"/>
    <x v="0"/>
    <d v="1899-12-30T22:54:00"/>
    <s v="Chessell Down, England"/>
    <s v="Aquilla Airways"/>
    <s v="Unknown"/>
    <s v="thampton - Lisbon - Funchal"/>
    <x v="780"/>
    <s v="G-AKNU"/>
    <s v="S-1299"/>
    <n v="58"/>
    <n v="50"/>
    <n v="8"/>
    <n v="43"/>
    <n v="35"/>
    <n v="8"/>
    <n v="0"/>
    <s v="The plane crashed into the face of a quarry between Chessel and Brook on the Isle of Wight. The last message transmitted from the aircraft was &quot;No. 4 engine feathered. Coming back in a hurry.&quot;  Electrical failure or accidental cut-off of the fuel actuator circuit of the No. 3 and No. 4 engines."/>
    <n v="15"/>
    <n v="0.74137931034482762"/>
    <x v="1"/>
  </r>
  <r>
    <n v="1658"/>
    <x v="1520"/>
    <x v="46"/>
    <x v="0"/>
    <d v="1899-12-30T11:33:00"/>
    <s v="Christchurch, New Zealand"/>
    <s v="Straits Air Freight Express"/>
    <s v="Unknown"/>
    <s v="Paraparaumu - Timaru"/>
    <x v="722"/>
    <s v="ZK-AYH"/>
    <n v="12828"/>
    <n v="4"/>
    <n v="2"/>
    <n v="2"/>
    <n v="4"/>
    <n v="2"/>
    <n v="2"/>
    <n v="0"/>
    <s v="The cargo plane lost a wing in flight and crashed into farmlands. In-flight structural fatigue failure of the starboard front lower spar boom."/>
    <n v="0"/>
    <n v="1"/>
    <x v="1"/>
  </r>
  <r>
    <n v="1659"/>
    <x v="1521"/>
    <x v="46"/>
    <x v="0"/>
    <d v="1899-12-30T16:45:00"/>
    <s v="Bolivar, Argentina"/>
    <s v="Aerolineas Argentinas"/>
    <s v="Unknown"/>
    <s v="Buenos Aires - San Carlos"/>
    <x v="487"/>
    <s v="LV-AHZ"/>
    <n v="27227"/>
    <n v="61"/>
    <n v="55"/>
    <n v="6"/>
    <n v="61"/>
    <n v="55"/>
    <n v="6"/>
    <n v="0"/>
    <s v="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
    <n v="0"/>
    <n v="1"/>
    <x v="1"/>
  </r>
  <r>
    <n v="1660"/>
    <x v="1522"/>
    <x v="46"/>
    <x v="0"/>
    <s v="Unknown"/>
    <s v="Jeannine Lake, Quebec, Canada"/>
    <s v="Northern Wings"/>
    <s v="Unknown"/>
    <s v="Seven Islands - Jeannine Lake"/>
    <x v="402"/>
    <s v="CF-GKV"/>
    <s v="13837/25282"/>
    <n v="10"/>
    <n v="7"/>
    <n v="3"/>
    <n v="3"/>
    <n v="3"/>
    <n v="0"/>
    <n v="0"/>
    <s v="Crashed during a landing attempt."/>
    <n v="7"/>
    <n v="0.3"/>
    <x v="2"/>
  </r>
  <r>
    <n v="1661"/>
    <x v="1523"/>
    <x v="46"/>
    <x v="0"/>
    <d v="1899-12-30T13:12:00"/>
    <s v="Ozamis City, Philippines"/>
    <s v="Philippine Air Lines"/>
    <s v="Unknown"/>
    <s v="Ozamis City - Pagadian"/>
    <x v="781"/>
    <s v="PI-C55"/>
    <n v="168"/>
    <n v="12"/>
    <n v="11"/>
    <n v="1"/>
    <n v="2"/>
    <n v="1"/>
    <n v="1"/>
    <n v="0"/>
    <s v="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
    <n v="10"/>
    <n v="0.16666666666666666"/>
    <x v="2"/>
  </r>
  <r>
    <n v="1662"/>
    <x v="1524"/>
    <x v="46"/>
    <x v="0"/>
    <d v="1899-12-30T12:35:00"/>
    <s v="Near Birobidzhan, Russia"/>
    <s v="Aeroflot"/>
    <n v="10"/>
    <s v="Khabarovsk - Magdagachi - Irkutsk - Moscow"/>
    <x v="533"/>
    <s v="CCCP-L1309"/>
    <s v=" 30 015"/>
    <n v="27"/>
    <n v="22"/>
    <n v="5"/>
    <n v="27"/>
    <n v="22"/>
    <n v="5"/>
    <n v="0"/>
    <s v=" In June 1958 the aircraft was found on the northwest slope of Mount Poktoy 30 km west of Birobidzhan completely destroyed and burned. Crews, ATC error."/>
    <n v="0"/>
    <n v="1"/>
    <x v="1"/>
  </r>
  <r>
    <n v="1663"/>
    <x v="1525"/>
    <x v="46"/>
    <x v="0"/>
    <d v="1899-12-30T16:00:00"/>
    <s v="Off Oahu, Hawaii"/>
    <s v="Military - U.S. Navy"/>
    <s v="Unknown"/>
    <s v="Unknown"/>
    <x v="782"/>
    <n v="143197"/>
    <n v="4471"/>
    <n v="23"/>
    <n v="19"/>
    <n v="4"/>
    <n v="19"/>
    <n v="16"/>
    <n v="3"/>
    <n v="0"/>
    <s v="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
    <n v="4"/>
    <n v="0.82608695652173914"/>
    <x v="1"/>
  </r>
  <r>
    <n v="1664"/>
    <x v="1525"/>
    <x v="46"/>
    <x v="0"/>
    <s v="Unknown"/>
    <s v="Stansted, England"/>
    <s v="Scottish Airlines"/>
    <s v="Unknown"/>
    <s v="Malta - London"/>
    <x v="718"/>
    <s v="G-AMUN"/>
    <s v="MW321"/>
    <n v="4"/>
    <n v="0"/>
    <n v="4"/>
    <n v="4"/>
    <n v="0"/>
    <n v="4"/>
    <n v="0"/>
    <s v="The cargo plane crash landed short of the runway on the third landing attempt. The accident was due to an error on the part of the captain in that while making an attempt to land he continued the approach below the critical height without sufficient visual reference to the ground."/>
    <n v="0"/>
    <n v="1"/>
    <x v="1"/>
  </r>
  <r>
    <n v="1665"/>
    <x v="1526"/>
    <x v="46"/>
    <x v="0"/>
    <d v="1899-12-30T12:57:00"/>
    <s v="Buenos Aires, Argentina"/>
    <s v="Aerolineas Argentinas"/>
    <s v="Unknown"/>
    <s v="Buenos Aires - Rosario - Corrientes"/>
    <x v="364"/>
    <s v="LV-AAR"/>
    <n v="3"/>
    <n v="50"/>
    <n v="44"/>
    <n v="6"/>
    <n v="9"/>
    <n v="1"/>
    <n v="8"/>
    <n v="0"/>
    <s v="The flying boat sank in Buenos Aires harbor while trying to make an emergency landing after losing an engine."/>
    <n v="41"/>
    <n v="0.18"/>
    <x v="2"/>
  </r>
  <r>
    <n v="1666"/>
    <x v="1527"/>
    <x v="47"/>
    <x v="0"/>
    <s v="Unknown"/>
    <s v="Belem, Brazil"/>
    <s v="Cruzeiro"/>
    <s v="Unknown"/>
    <s v="Unknown"/>
    <x v="775"/>
    <s v="PP-CEF"/>
    <n v="10200"/>
    <n v="3"/>
    <n v="0"/>
    <n v="3"/>
    <n v="3"/>
    <n v="0"/>
    <n v="3"/>
    <n v="0"/>
    <s v="The cargo plane lost the No. 1 engine on takeoff, dove into the ground and crashed and burned."/>
    <n v="0"/>
    <n v="1"/>
    <x v="1"/>
  </r>
  <r>
    <n v="1667"/>
    <x v="1528"/>
    <x v="47"/>
    <x v="0"/>
    <s v="Unknown"/>
    <s v="Near La Paz, Bolivia"/>
    <s v="TAM (Bolivia)"/>
    <s v="Unknown"/>
    <s v="Tipuani - La Paz"/>
    <x v="277"/>
    <s v="TAM-04"/>
    <s v="Unknown"/>
    <n v="11"/>
    <n v="8"/>
    <n v="3"/>
    <n v="11"/>
    <n v="8"/>
    <n v="3"/>
    <n v="0"/>
    <s v="Crashed in mountainous terrain while en route."/>
    <n v="0"/>
    <n v="1"/>
    <x v="1"/>
  </r>
  <r>
    <n v="1668"/>
    <x v="1529"/>
    <x v="47"/>
    <x v="0"/>
    <s v="Unknown"/>
    <s v="Rio de Janeiro, Brazil"/>
    <s v="Loide AÃ©reo Nacional"/>
    <s v="Unknown"/>
    <s v="Rio de Janerio - Fortaleza"/>
    <x v="487"/>
    <s v="PP-LEM"/>
    <n v="18336"/>
    <n v="73"/>
    <n v="68"/>
    <n v="5"/>
    <n v="5"/>
    <n v="3"/>
    <n v="2"/>
    <n v="0"/>
    <s v="The plane abandoned the takeoff after an engine failed. The plane was unable to stop and slid off the runway striking rocks and catching fire. Failure of No. 4 engine. Malfunctioning of the starboard brakes."/>
    <n v="68"/>
    <n v="6.8493150684931503E-2"/>
    <x v="2"/>
  </r>
  <r>
    <n v="1669"/>
    <x v="1529"/>
    <x v="47"/>
    <x v="0"/>
    <d v="1899-12-30T19:15:00"/>
    <s v="Norwalk, California"/>
    <s v="Military - U.S.  Air Force / Military - U.S. Navy"/>
    <s v="Unknown"/>
    <s v="Long Beach - McGuire AFB"/>
    <x v="783"/>
    <s v="53-3277A/127723"/>
    <s v="44622/"/>
    <n v="41"/>
    <n v="35"/>
    <n v="6"/>
    <n v="41"/>
    <n v="35"/>
    <n v="6"/>
    <n v="1"/>
    <s v="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
    <n v="0"/>
    <n v="1"/>
    <x v="1"/>
  </r>
  <r>
    <n v="1670"/>
    <x v="1530"/>
    <x v="47"/>
    <x v="0"/>
    <d v="1899-12-30T16:03:00"/>
    <s v="Munich, Germany"/>
    <s v="British European Airways"/>
    <n v="609"/>
    <s v="Belgrade - Munich - Manchester"/>
    <x v="784"/>
    <s v="G-ALZU"/>
    <n v="5217"/>
    <n v="44"/>
    <n v="38"/>
    <n v="6"/>
    <n v="23"/>
    <n v="21"/>
    <n v="2"/>
    <n v="0"/>
    <s v="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quot;Lord Burghley.&quot;"/>
    <n v="21"/>
    <n v="0.52272727272727271"/>
    <x v="0"/>
  </r>
  <r>
    <n v="1671"/>
    <x v="1531"/>
    <x v="47"/>
    <x v="0"/>
    <d v="1899-12-30T22:24:00"/>
    <s v="Mount Vesuvius, Italy"/>
    <s v="Military - US Air Force"/>
    <s v="Unknown"/>
    <s v="Ramstein - Naples - Turkey"/>
    <x v="785"/>
    <s v="42-93817"/>
    <n v="13771"/>
    <n v="16"/>
    <n v="14"/>
    <n v="2"/>
    <n v="16"/>
    <n v="14"/>
    <n v="2"/>
    <n v="0"/>
    <s v="Radio contact was lost with the military aircraft  thirty minutes after taking off from Naples after the crew reported en route at 6,500 feet and switching to the Rome ATC. The plane crashed on the northern slopes of Mt. Vesuvius."/>
    <n v="0"/>
    <n v="1"/>
    <x v="1"/>
  </r>
  <r>
    <n v="1672"/>
    <x v="1532"/>
    <x v="47"/>
    <x v="0"/>
    <s v="Unknown"/>
    <s v="Raiatea, French Polynesia"/>
    <s v="RÃ©seau AÃ©rien Interinsulaire"/>
    <s v="Unknown"/>
    <s v="Papeete, French Polynesia - Raiatea"/>
    <x v="522"/>
    <s v="F-AOVV"/>
    <n v="296"/>
    <n v="15"/>
    <n v="12"/>
    <n v="3"/>
    <n v="15"/>
    <n v="12"/>
    <n v="3"/>
    <n v="0"/>
    <s v="Struck the water and sank after the right wing tip float contacted the water during a shallow turn for final approach."/>
    <n v="0"/>
    <n v="1"/>
    <x v="1"/>
  </r>
  <r>
    <n v="1673"/>
    <x v="1532"/>
    <x v="47"/>
    <x v="0"/>
    <d v="1899-12-30T01:14:00"/>
    <s v="Cairo, Egypt"/>
    <s v="KLM Royal Dutch Airlines"/>
    <n v="543"/>
    <s v="Unknown"/>
    <x v="626"/>
    <s v="PH-DFK"/>
    <n v="43552"/>
    <n v="21"/>
    <n v="13"/>
    <n v="8"/>
    <n v="1"/>
    <n v="0"/>
    <n v="1"/>
    <n v="0"/>
    <s v="During the approach the aircraft hit a hill in front of R34 and crash landed with a damaged landing gear onto  the runway. An off duty  pilot opened an emergency exit before aircraft stopped and was thrown out into a still turning propeller and killed."/>
    <n v="20"/>
    <n v="4.7619047619047616E-2"/>
    <x v="2"/>
  </r>
  <r>
    <n v="1674"/>
    <x v="1533"/>
    <x v="47"/>
    <x v="0"/>
    <d v="1899-12-30T05:35:00"/>
    <s v="Off Corvo Island, Azores"/>
    <s v="Military - U.S. Navy"/>
    <s v="Unknown"/>
    <s v="Argentina - Azores"/>
    <x v="782"/>
    <s v="BU-141310"/>
    <n v="4434"/>
    <n v="22"/>
    <n v="0"/>
    <n v="22"/>
    <n v="22"/>
    <n v="0"/>
    <n v="22"/>
    <n v="0"/>
    <s v="Disappeared while on patrol about 100 miles from the Azores. No trace of the aircraft was ever found."/>
    <n v="0"/>
    <n v="1"/>
    <x v="1"/>
  </r>
  <r>
    <n v="1675"/>
    <x v="1534"/>
    <x v="47"/>
    <x v="0"/>
    <d v="1899-12-30T09:45:00"/>
    <s v="Horwich, Lancs, England"/>
    <s v="Silver City Airways"/>
    <s v="Unknown"/>
    <s v="Isle of Man - Manchester"/>
    <x v="589"/>
    <s v="G-AICS"/>
    <n v="12762"/>
    <n v="42"/>
    <n v="39"/>
    <n v="3"/>
    <n v="35"/>
    <n v="35"/>
    <n v="0"/>
    <n v="0"/>
    <s v="Crashed into a mountain near Winter Hill during an approach. The First Officer used the wrong radio beacon (Oldham Becaon instead of on Wigan Beacon)."/>
    <n v="7"/>
    <n v="0.83333333333333337"/>
    <x v="1"/>
  </r>
  <r>
    <n v="1676"/>
    <x v="1535"/>
    <x v="47"/>
    <x v="0"/>
    <s v="Unknown"/>
    <s v="Menzalah Lake, Egypt"/>
    <s v="Misrair"/>
    <s v="Unknown"/>
    <s v="Athens - Cairo"/>
    <x v="577"/>
    <s v="SU-AGN"/>
    <n v="196"/>
    <n v="26"/>
    <n v="22"/>
    <n v="4"/>
    <n v="8"/>
    <n v="4"/>
    <n v="4"/>
    <n v="0"/>
    <s v="While approaching Cairo, the aircraft was diverted to Port Said where it ditched into Menzalah Lake."/>
    <n v="18"/>
    <n v="0.30769230769230771"/>
    <x v="2"/>
  </r>
  <r>
    <n v="1677"/>
    <x v="1535"/>
    <x v="47"/>
    <x v="0"/>
    <d v="1899-12-30T19:45:00"/>
    <s v="Off Ryukyu Islands, Okinawa"/>
    <s v="Military - U.S. Marine Corps/Military - U.S. Marine Corps"/>
    <s v="Unknown"/>
    <s v="Subic Bay - Naha"/>
    <x v="786"/>
    <s v="129741/135350"/>
    <n v="10570"/>
    <n v="26"/>
    <n v="19"/>
    <n v="7"/>
    <n v="26"/>
    <n v="19"/>
    <n v="7"/>
    <n v="0"/>
    <s v="The aircraft collided after descending from a holding pattern while  attempting to land at Naha Air Base.  Failure of the AD-6 pilot to maintain his position. One killed aboard the AD-6. Poor judgement on the part of the R4Q Plane Commander."/>
    <n v="0"/>
    <n v="1"/>
    <x v="1"/>
  </r>
  <r>
    <n v="1678"/>
    <x v="1536"/>
    <x v="47"/>
    <x v="0"/>
    <d v="1899-12-30T02:05:00"/>
    <s v="Grants, New Mexico"/>
    <s v="Private"/>
    <s v="Unknown"/>
    <s v="Los Angeles - New York"/>
    <x v="345"/>
    <s v="N300E"/>
    <n v="2312"/>
    <n v="4"/>
    <n v="2"/>
    <n v="2"/>
    <n v="4"/>
    <n v="2"/>
    <n v="2"/>
    <n v="0"/>
    <s v="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quot;The Lucky Liz.&quot; Icing."/>
    <n v="0"/>
    <n v="1"/>
    <x v="1"/>
  </r>
  <r>
    <n v="1679"/>
    <x v="1537"/>
    <x v="47"/>
    <x v="0"/>
    <s v="Unknown"/>
    <s v="Near Kathmandu, Nepal"/>
    <s v="Indian Airlines"/>
    <s v="Unknown"/>
    <s v="Simrla - Kathmandu"/>
    <x v="277"/>
    <s v="VT-CYN"/>
    <n v="19988"/>
    <n v="20"/>
    <n v="16"/>
    <n v="4"/>
    <n v="20"/>
    <n v="16"/>
    <n v="4"/>
    <n v="0"/>
    <s v="Due to a navigational error the aircraft flew the wrong route into a valley. While maneuvering to make a turn, the aircraft stalled and crashed. Wreckage was found 16 miles from Kathmandu."/>
    <n v="0"/>
    <n v="1"/>
    <x v="1"/>
  </r>
  <r>
    <n v="1680"/>
    <x v="1538"/>
    <x v="47"/>
    <x v="0"/>
    <d v="1899-12-30T00:06:00"/>
    <s v="Miami, Florida"/>
    <s v="Braniff Airlines"/>
    <n v="971"/>
    <s v="Dallas - Miami - Panama City - Rio de Janeiro"/>
    <x v="787"/>
    <s v="N5904"/>
    <s v="45072/793"/>
    <n v="24"/>
    <n v="19"/>
    <n v="5"/>
    <n v="9"/>
    <n v="9"/>
    <n v="0"/>
    <n v="0"/>
    <s v="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
    <n v="15"/>
    <n v="0.375"/>
    <x v="0"/>
  </r>
  <r>
    <n v="1681"/>
    <x v="1539"/>
    <x v="47"/>
    <x v="0"/>
    <d v="1899-12-30T16:15:00"/>
    <s v="Bridgeport, Texas"/>
    <s v="Military - U.S. Air Force/Military - U.S. Air Force"/>
    <s v="Unknown"/>
    <s v="San Antionio - OK City / Wichita Falls - Forth Worth"/>
    <x v="788"/>
    <s v="52-981A/49-195A"/>
    <s v=" 43890 /10432"/>
    <n v="18"/>
    <n v="13"/>
    <n v="5"/>
    <n v="18"/>
    <n v="13"/>
    <n v="5"/>
    <n v="0"/>
    <s v="Collided in midair while cruising at 6,000 ft. Both aircraft crashed into farmlands killing all aboard. The pilot of the 49-195A was flying at the wrong altitude."/>
    <n v="0"/>
    <n v="1"/>
    <x v="1"/>
  </r>
  <r>
    <n v="1682"/>
    <x v="1540"/>
    <x v="47"/>
    <x v="0"/>
    <s v="Unknown"/>
    <s v="Quito, Ecuador"/>
    <s v="Transportes Aereos Orientales"/>
    <s v="Unknown"/>
    <s v="Quito - Esmeraldas"/>
    <x v="213"/>
    <s v="HC-SND"/>
    <s v="J5109"/>
    <n v="14"/>
    <n v="12"/>
    <n v="2"/>
    <n v="3"/>
    <n v="3"/>
    <n v="0"/>
    <n v="0"/>
    <s v="Crashed after experiencing engine trouble."/>
    <n v="11"/>
    <n v="0.21428571428571427"/>
    <x v="2"/>
  </r>
  <r>
    <n v="1683"/>
    <x v="1541"/>
    <x v="47"/>
    <x v="0"/>
    <d v="1899-12-30T23:19:00"/>
    <s v="Freeland, Michigan"/>
    <s v="Capital Airlines"/>
    <n v="67"/>
    <s v="New York - Detroit - Saginaw - Chicago"/>
    <x v="789"/>
    <s v="N7437"/>
    <n v="135"/>
    <n v="47"/>
    <n v="44"/>
    <n v="3"/>
    <n v="47"/>
    <n v="44"/>
    <n v="3"/>
    <n v="0"/>
    <s v="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
    <n v="0"/>
    <n v="1"/>
    <x v="1"/>
  </r>
  <r>
    <n v="1684"/>
    <x v="1542"/>
    <x v="47"/>
    <x v="0"/>
    <d v="1899-12-30T09:00:00"/>
    <s v="Mt. Illiniza, Ecuador"/>
    <s v="AREA"/>
    <n v="222"/>
    <s v="Guayaquil - Quito"/>
    <x v="277"/>
    <s v="HC-ACL"/>
    <n v="19779"/>
    <n v="32"/>
    <n v="29"/>
    <n v="3"/>
    <n v="32"/>
    <n v="29"/>
    <n v="3"/>
    <n v="0"/>
    <s v="Flew into a mountain 15 minutes after leaving Guayaquil. Procedural error. The pilot did not maintain IFR until clear of the cloud cover."/>
    <n v="0"/>
    <n v="1"/>
    <x v="1"/>
  </r>
  <r>
    <n v="1685"/>
    <x v="1543"/>
    <x v="47"/>
    <x v="0"/>
    <d v="1899-12-30T21:07:00"/>
    <s v="Off Castell de Fels, Spain"/>
    <s v="Aviaco"/>
    <s v="Unknown"/>
    <s v="Zaragoza - Barcelona"/>
    <x v="779"/>
    <s v="EC-ANJ"/>
    <n v="14113"/>
    <n v="16"/>
    <n v="14"/>
    <n v="2"/>
    <n v="16"/>
    <n v="14"/>
    <n v="2"/>
    <n v="0"/>
    <s v="Crashed into the ocean after a sudden avoidance manuver. ATC error. Another aircraft was permitted to takeoff without the exact position of the plane being known."/>
    <n v="0"/>
    <n v="1"/>
    <x v="1"/>
  </r>
  <r>
    <n v="1686"/>
    <x v="1544"/>
    <x v="47"/>
    <x v="0"/>
    <d v="1899-12-30T08:30:00"/>
    <s v="Near Sloan, 10 miles SW of Las Vegas, Nevada"/>
    <s v="United Air Lines / Military - U.S. Air Force"/>
    <n v="736"/>
    <s v="Los Angeles - New York City"/>
    <x v="790"/>
    <s v="N6328C/56-3755"/>
    <s v="45142 /243-31"/>
    <n v="49"/>
    <n v="42"/>
    <n v="7"/>
    <n v="49"/>
    <n v="42"/>
    <n v="7"/>
    <n v="0"/>
    <s v="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
    <n v="0"/>
    <n v="1"/>
    <x v="1"/>
  </r>
  <r>
    <n v="1687"/>
    <x v="1545"/>
    <x v="47"/>
    <x v="0"/>
    <d v="1899-12-30T20:18:00"/>
    <s v="New Delhi, India"/>
    <s v="Pakistan International Airlines"/>
    <n v="205"/>
    <s v="Dehli - Karachi"/>
    <x v="668"/>
    <s v="AP-AEH"/>
    <n v="52"/>
    <n v="38"/>
    <n v="32"/>
    <n v="6"/>
    <n v="21"/>
    <n v="17"/>
    <n v="4"/>
    <n v="2"/>
    <s v="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
    <n v="17"/>
    <n v="0.55263157894736847"/>
    <x v="0"/>
  </r>
  <r>
    <n v="1688"/>
    <x v="1546"/>
    <x v="47"/>
    <x v="0"/>
    <s v="Unknown"/>
    <s v="Chatenoy, France"/>
    <s v="British European Airways"/>
    <s v="Unknown"/>
    <s v="Unknown"/>
    <x v="402"/>
    <s v="G-AGHP"/>
    <n v="9408"/>
    <n v="3"/>
    <n v="0"/>
    <n v="3"/>
    <n v="3"/>
    <n v="0"/>
    <n v="3"/>
    <n v="0"/>
    <s v="The cargo plane broke up in midair while flying through a thunderstorm."/>
    <n v="0"/>
    <n v="1"/>
    <x v="1"/>
  </r>
  <r>
    <n v="1689"/>
    <x v="1547"/>
    <x v="47"/>
    <x v="0"/>
    <d v="1899-12-30T04:25:00"/>
    <s v="Near Casablanca, Morocco"/>
    <s v="Sabena"/>
    <s v="Unknown"/>
    <s v="Brussels - Lisbon - LÃ©opoldville"/>
    <x v="791"/>
    <s v="OO-SFA"/>
    <s v="45157/737"/>
    <n v="69"/>
    <n v="60"/>
    <n v="9"/>
    <n v="65"/>
    <n v="56"/>
    <n v="9"/>
    <n v="0"/>
    <s v="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
    <n v="4"/>
    <n v="0.94202898550724634"/>
    <x v="1"/>
  </r>
  <r>
    <n v="1690"/>
    <x v="1548"/>
    <x v="47"/>
    <x v="0"/>
    <d v="1899-12-30T11:29:00"/>
    <s v="Brunswick, Maryland"/>
    <s v="Capital Airlines / Military - Air National Guard"/>
    <n v="300"/>
    <s v="Pittsburgh - Baltimore"/>
    <x v="792"/>
    <s v="N7410/53-5966"/>
    <n v="108"/>
    <n v="13"/>
    <n v="7"/>
    <n v="6"/>
    <n v="12"/>
    <n v="7"/>
    <n v="5"/>
    <n v="0"/>
    <s v="Midair collision at 8,000 ft., four miles ENE of Brunswick. Failure of the T-33A pilot to exercise a proper see and avoid procedure to avoid other traffic. One of two aboard the T-33 ejected safely, all aboard the Viscount were killed."/>
    <n v="1"/>
    <n v="0.92307692307692313"/>
    <x v="1"/>
  </r>
  <r>
    <n v="1691"/>
    <x v="1549"/>
    <x v="47"/>
    <x v="0"/>
    <s v="Unknown"/>
    <s v="Gurgaon, India"/>
    <s v="Dan-Air Services"/>
    <s v="Unknown"/>
    <s v="Karachi - Dehli"/>
    <x v="718"/>
    <s v="G-AMUV"/>
    <s v="MW226"/>
    <n v="5"/>
    <n v="0"/>
    <n v="5"/>
    <n v="4"/>
    <n v="0"/>
    <n v="4"/>
    <n v="0"/>
    <s v="A fire in fligth caused by a failure of the No. 1 engine. During the ensuing forced landing on rough terrain the aircraft broke up and was consumed by fire."/>
    <n v="1"/>
    <n v="0.8"/>
    <x v="1"/>
  </r>
  <r>
    <n v="1692"/>
    <x v="1550"/>
    <x v="47"/>
    <x v="0"/>
    <s v="Unknown"/>
    <s v="Rio de Janeiro, Brazil"/>
    <s v="Paraense Transportes AÃ©reos"/>
    <s v="Unknown"/>
    <s v="Rio de Janeiro - BelÃ©m"/>
    <x v="438"/>
    <s v="PP-BTB"/>
    <n v="33304"/>
    <n v="4"/>
    <n v="0"/>
    <n v="4"/>
    <n v="4"/>
    <n v="0"/>
    <n v="4"/>
    <n v="0"/>
    <s v="The cargo plane plunged into the water when, a front wheel glanced off a freighter when it was taking off."/>
    <n v="0"/>
    <n v="1"/>
    <x v="1"/>
  </r>
  <r>
    <n v="1693"/>
    <x v="1550"/>
    <x v="47"/>
    <x v="0"/>
    <s v="Unknown"/>
    <s v="SW of Algiers, Algeria"/>
    <s v="Air France"/>
    <s v="Unknown"/>
    <s v="Algier - Colomb-Bechar - Tindouf"/>
    <x v="277"/>
    <s v="F-BHKV"/>
    <n v="20001"/>
    <n v="15"/>
    <n v="12"/>
    <n v="3"/>
    <n v="15"/>
    <n v="12"/>
    <n v="3"/>
    <n v="0"/>
    <s v="Crashed into mountains 100 miles southwest of Algiers."/>
    <n v="0"/>
    <n v="1"/>
    <x v="1"/>
  </r>
  <r>
    <n v="1694"/>
    <x v="1551"/>
    <x v="47"/>
    <x v="0"/>
    <d v="1899-12-30T05:23:00"/>
    <s v="Manila, Philippines"/>
    <s v="Pan American World Airways"/>
    <s v="Unknown"/>
    <s v="San Francisco - Singapore"/>
    <x v="717"/>
    <s v="N1023V"/>
    <n v="15923"/>
    <n v="57"/>
    <n v="49"/>
    <n v="8"/>
    <n v="1"/>
    <n v="1"/>
    <n v="0"/>
    <n v="0"/>
    <s v="A hard landing in heavy rain and gusty winds at Manila caused the collapse of the right main landing gear. A prop broke off the No. 3 engine, penetrated the cabin and killed one passenger. The aircraft was named &quot;Clipper Golden Gate.&quot;"/>
    <n v="56"/>
    <n v="1.7543859649122806E-2"/>
    <x v="2"/>
  </r>
  <r>
    <n v="1695"/>
    <x v="1551"/>
    <x v="47"/>
    <x v="0"/>
    <d v="1899-12-30T22:06:00"/>
    <s v="Near Guadalajara, Mexico"/>
    <s v="Aeronaves de Mexico"/>
    <s v="Unknown"/>
    <s v="Guadalajara - Mexico City"/>
    <x v="611"/>
    <s v="XA-MEV"/>
    <n v="2665"/>
    <n v="45"/>
    <n v="38"/>
    <n v="7"/>
    <n v="45"/>
    <n v="38"/>
    <n v="7"/>
    <n v="0"/>
    <s v="The plane crashed into La Latilla mountain 13 km west of Guadalajara. The aircraft did not climb out in accordance with approved procedures."/>
    <n v="0"/>
    <n v="1"/>
    <x v="1"/>
  </r>
  <r>
    <n v="1696"/>
    <x v="1552"/>
    <x v="47"/>
    <x v="0"/>
    <d v="1899-12-30T13:58:00"/>
    <s v="Martinsburg, West Virginia"/>
    <s v="Capital Airlines"/>
    <s v="Unknown"/>
    <s v="Training"/>
    <x v="277"/>
    <s v="N49553"/>
    <n v="4820"/>
    <n v="3"/>
    <n v="0"/>
    <n v="3"/>
    <n v="1"/>
    <n v="0"/>
    <n v="1"/>
    <n v="0"/>
    <s v="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
    <n v="2"/>
    <n v="0.33333333333333331"/>
    <x v="2"/>
  </r>
  <r>
    <n v="1697"/>
    <x v="1553"/>
    <x v="47"/>
    <x v="0"/>
    <d v="1899-12-30T11:50:00"/>
    <s v="Magadan Oblast, Russia"/>
    <s v="Aeroflot"/>
    <n v="105"/>
    <s v="Okhotsk - Magadan"/>
    <x v="533"/>
    <s v="CCCP-L1364"/>
    <s v=" 30 082"/>
    <n v="24"/>
    <n v="20"/>
    <n v="4"/>
    <n v="24"/>
    <n v="20"/>
    <n v="4"/>
    <n v="0"/>
    <s v="Crashed into the tops of trees while attempting to land. Crew error in attempting to land in weather conditiions below the minimum."/>
    <n v="0"/>
    <n v="1"/>
    <x v="1"/>
  </r>
  <r>
    <n v="1698"/>
    <x v="1554"/>
    <x v="47"/>
    <x v="0"/>
    <d v="1899-12-30T17:45:00"/>
    <s v="Curitiba, Brazil"/>
    <s v="Cruzeiro"/>
    <s v="Unknown"/>
    <s v="Florianopolis - Curitiba"/>
    <x v="793"/>
    <s v="PP-CEP"/>
    <n v="493"/>
    <n v="26"/>
    <n v="21"/>
    <n v="5"/>
    <n v="21"/>
    <n v="16"/>
    <n v="5"/>
    <n v="0"/>
    <s v="Crashed during approach after encountering a downdraft. Missed the runway and collided with a tree. Windshear."/>
    <n v="5"/>
    <n v="0.80769230769230771"/>
    <x v="1"/>
  </r>
  <r>
    <n v="1699"/>
    <x v="1555"/>
    <x v="47"/>
    <x v="0"/>
    <d v="1899-12-30T11:00:00"/>
    <s v="Mohanbari, India"/>
    <s v="Indian Airlines"/>
    <s v="Unknown"/>
    <s v="Mohanbari - Damroh"/>
    <x v="402"/>
    <s v="VT-COJ"/>
    <n v="10051"/>
    <n v="7"/>
    <n v="4"/>
    <n v="3"/>
    <n v="5"/>
    <n v="3"/>
    <n v="2"/>
    <n v="0"/>
    <s v="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
    <n v="2"/>
    <n v="0.7142857142857143"/>
    <x v="1"/>
  </r>
  <r>
    <n v="1700"/>
    <x v="1556"/>
    <x v="47"/>
    <x v="0"/>
    <d v="1899-12-30T00:30:00"/>
    <s v="Near Chicopee Falls, Massachusetts"/>
    <s v="Military - U.S. Air Force"/>
    <s v="Unknown"/>
    <s v="Westover AFB - London"/>
    <x v="794"/>
    <s v="56-3599A"/>
    <n v="17348"/>
    <n v="15"/>
    <n v="8"/>
    <n v="7"/>
    <n v="15"/>
    <n v="8"/>
    <n v="7"/>
    <n v="0"/>
    <s v="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
    <n v="0"/>
    <n v="1"/>
    <x v="1"/>
  </r>
  <r>
    <n v="1701"/>
    <x v="1557"/>
    <x v="47"/>
    <x v="0"/>
    <d v="1899-12-30T14:05:00"/>
    <s v="Dhaka, Baangladesh"/>
    <s v="Indian Airlines"/>
    <s v="Unknown"/>
    <s v="Agartala - Dhaka"/>
    <x v="402"/>
    <s v="VT-CYM"/>
    <n v="19317"/>
    <n v="3"/>
    <n v="0"/>
    <n v="3"/>
    <n v="3"/>
    <n v="0"/>
    <n v="3"/>
    <n v="0"/>
    <s v="The cargo plane suffered structural failure in thunderstorm activity."/>
    <n v="0"/>
    <n v="1"/>
    <x v="1"/>
  </r>
  <r>
    <n v="1702"/>
    <x v="1558"/>
    <x v="47"/>
    <x v="0"/>
    <d v="1899-12-30T01:14:00"/>
    <s v="Benghazi, Libya"/>
    <s v="Central African Airways"/>
    <s v="Unknown"/>
    <s v="Wadi Halfa - Benina"/>
    <x v="795"/>
    <s v="VP-YNE"/>
    <n v="102"/>
    <n v="54"/>
    <n v="47"/>
    <n v="7"/>
    <n v="36"/>
    <n v="32"/>
    <n v="4"/>
    <n v="0"/>
    <s v="Crashed into high ground during approach. Misinterpreted or misread altimeter reading. Possible fatigue."/>
    <n v="18"/>
    <n v="0.66666666666666663"/>
    <x v="1"/>
  </r>
  <r>
    <n v="1703"/>
    <x v="1559"/>
    <x v="47"/>
    <x v="0"/>
    <d v="1899-12-30T19:00:00"/>
    <s v="Near Belem, Brazil"/>
    <s v="_x0009_Loide AÃ©reo Nacional"/>
    <s v="Unknown"/>
    <s v="Manaus - Belem"/>
    <x v="487"/>
    <s v="PP-LEQ"/>
    <n v="10544"/>
    <n v="11"/>
    <n v="5"/>
    <n v="6"/>
    <n v="10"/>
    <n v="4"/>
    <n v="6"/>
    <n v="0"/>
    <s v="Crashed on approach 10 minutes from the airport. Cause unknown."/>
    <n v="1"/>
    <n v="0.90909090909090906"/>
    <x v="1"/>
  </r>
  <r>
    <n v="1704"/>
    <x v="1560"/>
    <x v="47"/>
    <x v="0"/>
    <s v="Unknown"/>
    <s v="Sakiya Saugye, Japan"/>
    <s v="All Nippon Airways"/>
    <s v="Unknown"/>
    <s v="Tokyo - Nagoya"/>
    <x v="277"/>
    <s v="JA5045"/>
    <n v="7336"/>
    <n v="33"/>
    <n v="30"/>
    <n v="3"/>
    <n v="33"/>
    <n v="30"/>
    <n v="3"/>
    <n v="0"/>
    <s v="Ditched into the sea near Izu Island appoximately 1 hour after taking off after experiencing engine trouble."/>
    <n v="0"/>
    <n v="1"/>
    <x v="1"/>
  </r>
  <r>
    <n v="1705"/>
    <x v="1561"/>
    <x v="47"/>
    <x v="0"/>
    <d v="1899-12-30T03:45:00"/>
    <s v="North Atlantic Ocean, 100 miles W of Galway Bay, Ireland"/>
    <s v="KLM Royal Dutch Airlines"/>
    <s v="607E"/>
    <s v="Amsterdam - Shannon - Gander - New York"/>
    <x v="796"/>
    <s v="PH-LKM"/>
    <n v="4841"/>
    <n v="99"/>
    <n v="91"/>
    <n v="8"/>
    <n v="99"/>
    <n v="91"/>
    <n v="8"/>
    <n v="0"/>
    <s v="The aircraft crashed into the sea while en route from Shannon to Gander, Newfoundland. Possible overspeeding of outer propeller."/>
    <n v="0"/>
    <n v="1"/>
    <x v="1"/>
  </r>
  <r>
    <n v="1706"/>
    <x v="1562"/>
    <x v="47"/>
    <x v="0"/>
    <d v="1899-12-30T23:34:00"/>
    <s v="Nantucket, Massachusetts"/>
    <s v="Northeast Airlines"/>
    <n v="258"/>
    <s v="New York City - Nantucket"/>
    <x v="797"/>
    <s v="N90670"/>
    <n v="90"/>
    <n v="34"/>
    <n v="31"/>
    <n v="3"/>
    <n v="25"/>
    <n v="22"/>
    <n v="3"/>
    <n v="0"/>
    <s v="The aircraft crashed 1,450 feet short of the runway while on approach in heavy fog. Poor judgement and technique by the pilot during approach in poor weather conditions. Nantucket Airport was not equipped with technology to permit insturment landings in such foggy conditions."/>
    <n v="9"/>
    <n v="0.73529411764705888"/>
    <x v="1"/>
  </r>
  <r>
    <n v="1707"/>
    <x v="1562"/>
    <x v="47"/>
    <x v="0"/>
    <d v="1899-12-30T22:20:00"/>
    <s v="Near Chita, Russia"/>
    <s v="Aeroflot"/>
    <s v="Unknown"/>
    <s v="Khabarovsk - Irkutsk"/>
    <x v="798"/>
    <s v="CCCP-L5442"/>
    <n v="7350303"/>
    <n v="64"/>
    <n v="54"/>
    <n v="10"/>
    <n v="64"/>
    <n v="54"/>
    <n v="10"/>
    <n v="0"/>
    <s v="The aircraft stalled after flying over a thunderstorm. The aircraft climbed in excess of its operational ceiling considering its weight."/>
    <n v="0"/>
    <n v="1"/>
    <x v="1"/>
  </r>
  <r>
    <n v="1708"/>
    <x v="1563"/>
    <x v="47"/>
    <x v="0"/>
    <d v="1899-12-30T14:00:00"/>
    <s v="Sasnashen, Russia"/>
    <s v="Military - U.S. Air Force"/>
    <s v="Unknown"/>
    <s v="Survey flight"/>
    <x v="799"/>
    <s v="56-0528"/>
    <n v="3136"/>
    <n v="17"/>
    <n v="0"/>
    <n v="17"/>
    <n v="17"/>
    <n v="0"/>
    <n v="17"/>
    <n v="0"/>
    <s v="Shot down by Soviet Mig fighters."/>
    <n v="0"/>
    <n v="1"/>
    <x v="1"/>
  </r>
  <r>
    <n v="1709"/>
    <x v="1563"/>
    <x v="47"/>
    <x v="0"/>
    <d v="1899-12-30T06:10:00"/>
    <s v="Off Guam"/>
    <s v="Military - U.S. Air Force"/>
    <s v="Unknown"/>
    <s v="Guam - Clark AB"/>
    <x v="800"/>
    <s v="52-1081A"/>
    <n v="43990"/>
    <n v="19"/>
    <n v="12"/>
    <n v="7"/>
    <n v="19"/>
    <n v="12"/>
    <n v="7"/>
    <n v="0"/>
    <s v="The aircraft crashed 35 miles west of Agana Naval Air Station. In-flight fire of unknown origin."/>
    <n v="0"/>
    <n v="1"/>
    <x v="1"/>
  </r>
  <r>
    <n v="1710"/>
    <x v="1563"/>
    <x v="47"/>
    <x v="0"/>
    <d v="1899-12-30T06:32:00"/>
    <s v="London, England"/>
    <s v="Independent Air Travel"/>
    <s v="Unknown"/>
    <s v="London, England - Nice, France"/>
    <x v="801"/>
    <s v="G-AIJE"/>
    <n v="127"/>
    <n v="3"/>
    <n v="0"/>
    <n v="3"/>
    <n v="3"/>
    <n v="0"/>
    <n v="3"/>
    <n v="4"/>
    <s v="The cargo plane lost an engine on the initial climb and was not able to maintain altitude and crashed."/>
    <n v="0"/>
    <n v="1"/>
    <x v="1"/>
  </r>
  <r>
    <n v="1711"/>
    <x v="1564"/>
    <x v="47"/>
    <x v="0"/>
    <d v="1899-12-30T17:30:00"/>
    <s v="Campina Grande, Brazil"/>
    <s v="Loide Aereo Nacional"/>
    <s v="Unknown"/>
    <s v="Paraiba - Rio de Janerio"/>
    <x v="802"/>
    <s v="PP-LDX"/>
    <n v="30288"/>
    <n v="18"/>
    <n v="14"/>
    <n v="4"/>
    <n v="14"/>
    <n v="12"/>
    <n v="2"/>
    <n v="0"/>
    <s v="The aircraft crashed after a second landing attempt. Improper approach procedure. Pilot error. A contributing cause was incorrect forcast provided to the crew."/>
    <n v="4"/>
    <n v="0.77777777777777779"/>
    <x v="1"/>
  </r>
  <r>
    <n v="1712"/>
    <x v="1565"/>
    <x v="47"/>
    <x v="0"/>
    <d v="1899-12-30T03:18:00"/>
    <s v="  Kazakh, Russia"/>
    <s v="Aeroflot"/>
    <n v="164"/>
    <s v="Frunze - Aktyubinsk - Uralsk - Moscow"/>
    <x v="720"/>
    <s v="CCCP-L1692"/>
    <n v="7342304"/>
    <n v="27"/>
    <n v="22"/>
    <n v="5"/>
    <n v="27"/>
    <n v="22"/>
    <n v="5"/>
    <n v="0"/>
    <s v="The aircraft crashed shortly after being struck by lightning in a thunderstorm."/>
    <n v="0"/>
    <n v="1"/>
    <x v="1"/>
  </r>
  <r>
    <n v="1713"/>
    <x v="1566"/>
    <x v="47"/>
    <x v="0"/>
    <d v="1899-12-30T19:20:00"/>
    <s v="Near Fairchild AFB, Washington DC"/>
    <s v="Military - U.S. Air Force / U.S. Air Force"/>
    <s v="Unknown"/>
    <s v="Training"/>
    <x v="803"/>
    <s v="56-661 / 56-681"/>
    <s v="464033 / 464052"/>
    <n v="16"/>
    <n v="0"/>
    <n v="16"/>
    <n v="13"/>
    <n v="0"/>
    <n v="13"/>
    <n v="0"/>
    <s v="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
    <n v="3"/>
    <n v="0.8125"/>
    <x v="1"/>
  </r>
  <r>
    <n v="1714"/>
    <x v="1567"/>
    <x v="47"/>
    <x v="0"/>
    <s v="Unknown"/>
    <s v="Mount Oyama, Japan"/>
    <s v="Flying Tiger Line"/>
    <s v="Unknown"/>
    <s v=" Travis - Hickam - Wake Island - Tachikawa"/>
    <x v="804"/>
    <s v="N6920C"/>
    <n v="4822"/>
    <n v="8"/>
    <n v="2"/>
    <n v="6"/>
    <n v="8"/>
    <n v="2"/>
    <n v="6"/>
    <n v="0"/>
    <s v="Crashed into Mount Oyama 15 miles southwest of Tokyo. The crew continued the approach below the minimum safe altitude, maybe following a wrong altimeter setting."/>
    <n v="0"/>
    <n v="1"/>
    <x v="1"/>
  </r>
  <r>
    <n v="1715"/>
    <x v="1568"/>
    <x v="47"/>
    <x v="0"/>
    <s v="Unknown"/>
    <s v="Triel, France"/>
    <s v="Military - U.S. Air Force"/>
    <s v="Unknown"/>
    <s v="Evreux - Spangdahlem"/>
    <x v="805"/>
    <s v="56-0526"/>
    <n v="3134"/>
    <n v="15"/>
    <n v="0"/>
    <n v="15"/>
    <n v="15"/>
    <n v="0"/>
    <n v="15"/>
    <n v="0"/>
    <s v="Collided with a French Air Force Dassault MystÃ¨re IV. Both aircraft dove into the ground and crashed in a field located in Triel-sur-Seine, west of Paris."/>
    <n v="0"/>
    <n v="1"/>
    <x v="1"/>
  </r>
  <r>
    <n v="1716"/>
    <x v="1568"/>
    <x v="47"/>
    <x v="0"/>
    <d v="1899-12-30T16:15:00"/>
    <s v="Near Lazo, Russia"/>
    <s v="Aeroflot"/>
    <s v="Unknown"/>
    <s v="Magadan - Okhotsk - Khabarovsk"/>
    <x v="533"/>
    <s v="CCCP-L3904"/>
    <s v="30 073"/>
    <n v="28"/>
    <n v="24"/>
    <n v="4"/>
    <n v="28"/>
    <n v="24"/>
    <n v="4"/>
    <n v="0"/>
    <s v="Crashed in a mountainous area.  The loss of orientation during the flight at night."/>
    <n v="0"/>
    <n v="1"/>
    <x v="1"/>
  </r>
  <r>
    <n v="1717"/>
    <x v="1569"/>
    <x v="47"/>
    <x v="0"/>
    <s v="Unknown"/>
    <s v="Over the Mediterranean Sea"/>
    <s v="Middle East Airlines"/>
    <s v="Unknown"/>
    <s v="Beirut - Rome - London"/>
    <x v="477"/>
    <s v="OD-ADB"/>
    <n v="1307"/>
    <n v="5"/>
    <n v="0"/>
    <n v="5"/>
    <n v="5"/>
    <n v="0"/>
    <n v="5"/>
    <n v="0"/>
    <s v="The cargo plane disappeared over the Mediterranean Sea and was never found."/>
    <n v="0"/>
    <n v="1"/>
    <x v="1"/>
  </r>
  <r>
    <n v="1718"/>
    <x v="1570"/>
    <x v="47"/>
    <x v="0"/>
    <d v="1899-12-30T18:25:00"/>
    <s v="Payette, Idaho"/>
    <s v="Military - U.S. Air Force"/>
    <s v="Unknown"/>
    <s v="Ogden Hill AFB - McChord AFB"/>
    <x v="806"/>
    <s v="55-4521A"/>
    <n v="20182"/>
    <n v="19"/>
    <n v="14"/>
    <n v="5"/>
    <n v="19"/>
    <n v="14"/>
    <n v="5"/>
    <n v="0"/>
    <s v="Crashed and exploded on flat terrain east of Payette. A loss of control or the incapacitation of one of the pilots may have factored in the accident."/>
    <n v="0"/>
    <n v="1"/>
    <x v="1"/>
  </r>
  <r>
    <n v="1719"/>
    <x v="1571"/>
    <x v="47"/>
    <x v="0"/>
    <d v="1899-12-30T00:22:00"/>
    <s v="Mt. Alto del Cedro, Venezuela"/>
    <s v="Linea Aeropostal Venezolana"/>
    <s v="Unknown"/>
    <s v="Panama City - Maracaibo"/>
    <x v="807"/>
    <s v="YV-C-ANC"/>
    <n v="4575"/>
    <n v="23"/>
    <n v="17"/>
    <n v="6"/>
    <n v="23"/>
    <n v="17"/>
    <n v="6"/>
    <n v="0"/>
    <s v="Crashed into the Alto del Cedro mountain. Premature descent. Navigation error. Lack of navigation facilities in the area."/>
    <n v="0"/>
    <n v="1"/>
    <x v="1"/>
  </r>
  <r>
    <n v="1720"/>
    <x v="1572"/>
    <x v="47"/>
    <x v="0"/>
    <d v="1899-12-30T17:30:00"/>
    <s v="Villa Montes, Bolivia"/>
    <s v="Military - TAM (Bolivia)"/>
    <s v="Unknown"/>
    <s v="Fortin Campero - Tarija"/>
    <x v="402"/>
    <s v="TAM-03"/>
    <n v="13839"/>
    <n v="20"/>
    <n v="17"/>
    <n v="3"/>
    <n v="20"/>
    <n v="17"/>
    <n v="3"/>
    <n v="0"/>
    <s v="Crashed into mountain while en route."/>
    <n v="0"/>
    <n v="1"/>
    <x v="1"/>
  </r>
  <r>
    <n v="1721"/>
    <x v="1573"/>
    <x v="47"/>
    <x v="0"/>
    <d v="1899-12-30T21:30:00"/>
    <s v="Near Kanash, Russia"/>
    <s v="Aeroflot"/>
    <s v="Unknown"/>
    <s v="Peking - Moscow"/>
    <x v="808"/>
    <s v="CCCP-42362"/>
    <n v="86601002"/>
    <n v="80"/>
    <n v="71"/>
    <n v="9"/>
    <n v="80"/>
    <n v="71"/>
    <n v="9"/>
    <n v="0"/>
    <s v="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
    <n v="0"/>
    <n v="1"/>
    <x v="1"/>
  </r>
  <r>
    <n v="1722"/>
    <x v="1574"/>
    <x v="47"/>
    <x v="0"/>
    <s v="Unknown"/>
    <s v="NAS Argentia, Placentia Bay,  Newfoundland,  Canada"/>
    <s v="Military - U.S. Navy"/>
    <s v="Unknown"/>
    <s v="Patuxent River, NAS - Argentia,NAS"/>
    <x v="809"/>
    <n v="141294"/>
    <n v="4418"/>
    <n v="29"/>
    <s v="NULL"/>
    <s v="NULL"/>
    <n v="11"/>
    <s v="NULL"/>
    <s v="NULL"/>
    <n v="0"/>
    <s v="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quot;Approaching GCA minimums.&quot; The aircraft immediately commenced dropping below glide path. An emergency pullup was given, but the aircraft collided with the water and came to rest 2,050 feet east of the approach end of the runway. It sank in 26 feet of water"/>
    <n v="18"/>
    <n v="0.37931034482758619"/>
    <x v="0"/>
  </r>
  <r>
    <n v="1723"/>
    <x v="1575"/>
    <x v="47"/>
    <x v="0"/>
    <d v="1899-12-30T11:50:00"/>
    <s v="Anzio, Italy"/>
    <s v="British European Airways"/>
    <n v="142"/>
    <s v="London - Napoli"/>
    <x v="810"/>
    <s v="G-ANHC"/>
    <n v="63"/>
    <n v="31"/>
    <n v="26"/>
    <n v="5"/>
    <n v="31"/>
    <n v="26"/>
    <n v="5"/>
    <n v="0"/>
    <s v="Midair collision with an Italian Air Force F-86. The airliner drifted off course. Neither pilot saw each other before they collided."/>
    <n v="0"/>
    <n v="1"/>
    <x v="1"/>
  </r>
  <r>
    <n v="1724"/>
    <x v="1576"/>
    <x v="47"/>
    <x v="0"/>
    <d v="1899-12-30T02:01:00"/>
    <s v="Nipe Bay, Cuba"/>
    <s v="Cubana de Aviacion"/>
    <n v="495"/>
    <s v="Miami - Varadero"/>
    <x v="811"/>
    <s v="CU-T603"/>
    <n v="91"/>
    <n v="20"/>
    <n v="16"/>
    <n v="4"/>
    <n v="17"/>
    <n v="13"/>
    <n v="4"/>
    <n v="0"/>
    <s v="Hijacked by 4 Cuban rebels, the plane crashed after running out of fuel while attempting to land at Preston Airport."/>
    <n v="3"/>
    <n v="0.85"/>
    <x v="1"/>
  </r>
  <r>
    <n v="1725"/>
    <x v="1577"/>
    <x v="47"/>
    <x v="0"/>
    <d v="1899-12-30T20:00:00"/>
    <s v="Near Roccatamburo di Poggiodomo, Italy"/>
    <s v="Yemen Airlines"/>
    <s v="Unknown"/>
    <s v="Rome - Belgrade"/>
    <x v="383"/>
    <s v="YE-AAB"/>
    <n v="4345"/>
    <n v="8"/>
    <n v="4"/>
    <n v="4"/>
    <n v="8"/>
    <n v="4"/>
    <n v="4"/>
    <n v="0"/>
    <s v="The DC-3 was to fly the Yemenite Under Secretary of Foreign Affairs from Rome to Belgrade. The aircraft The aircraft crashed on the western slopes of Mount Porretta at an elevation of 2,690 feet due to a navagation error. Pilot error."/>
    <n v="0"/>
    <n v="1"/>
    <x v="1"/>
  </r>
  <r>
    <n v="1726"/>
    <x v="1578"/>
    <x v="47"/>
    <x v="0"/>
    <s v="Unknown"/>
    <s v="La Paz, Bolivia"/>
    <s v="TAM (Bolivia)"/>
    <s v="Unknown"/>
    <s v="San Borja - La Paz"/>
    <x v="277"/>
    <s v="TAM-05"/>
    <s v="Unknown"/>
    <n v="3"/>
    <n v="0"/>
    <n v="3"/>
    <n v="3"/>
    <n v="0"/>
    <n v="3"/>
    <n v="0"/>
    <s v="The cargo plane disappeared en route."/>
    <n v="0"/>
    <n v="1"/>
    <x v="1"/>
  </r>
  <r>
    <n v="1727"/>
    <x v="1579"/>
    <x v="47"/>
    <x v="0"/>
    <d v="1899-12-30T13:21:00"/>
    <s v="North Atlantic Ocean"/>
    <s v="ARTOP Aerotopografica LDA"/>
    <s v="Unknown"/>
    <s v="Cabo Ruivo - Funchal"/>
    <x v="812"/>
    <s v="CS-THB"/>
    <n v="59144"/>
    <n v="36"/>
    <n v="30"/>
    <n v="6"/>
    <n v="36"/>
    <n v="30"/>
    <n v="6"/>
    <n v="0"/>
    <s v="The aircraft was missing on a flight from Cabo Ruivo to Funchal over the North Atlantic after transmitting an emergency message positioning the aircraft at  36 degrees 40 minutes N 12 degrees W."/>
    <n v="0"/>
    <n v="1"/>
    <x v="1"/>
  </r>
  <r>
    <n v="1728"/>
    <x v="1580"/>
    <x v="47"/>
    <x v="0"/>
    <s v="Unknown"/>
    <s v="Fort Collins, Colorado"/>
    <s v="Capitol Airways"/>
    <s v="Unknown"/>
    <s v="Denver - Ogden Hill AFB, Utah"/>
    <x v="667"/>
    <s v="N1301N"/>
    <n v="22480"/>
    <n v="2"/>
    <n v="0"/>
    <n v="2"/>
    <n v="2"/>
    <n v="0"/>
    <n v="2"/>
    <n v="0"/>
    <s v="The cargo plane lost an engine while enroute and crashed. Icing, turbulence."/>
    <n v="0"/>
    <n v="1"/>
    <x v="1"/>
  </r>
  <r>
    <n v="1729"/>
    <x v="1581"/>
    <x v="47"/>
    <x v="0"/>
    <d v="1899-12-30T17:15:00"/>
    <s v="Guadarrama Mountains, Spain"/>
    <s v="Aviaco"/>
    <s v="Unknown"/>
    <s v="Vigo - Madrid"/>
    <x v="638"/>
    <s v="EC-ANR"/>
    <n v="28"/>
    <n v="21"/>
    <n v="16"/>
    <n v="5"/>
    <n v="21"/>
    <n v="16"/>
    <n v="5"/>
    <n v="0"/>
    <s v="Crashed into La Rodilla de la Mujer Muerta while on approach to Madrid. Loss of control due to icing and turbulence."/>
    <n v="0"/>
    <n v="1"/>
    <x v="1"/>
  </r>
  <r>
    <n v="1730"/>
    <x v="1582"/>
    <x v="47"/>
    <x v="0"/>
    <d v="1899-12-30T03:10:00"/>
    <s v=" Tashkent, Uzbekstan"/>
    <s v="Aeroflot"/>
    <n v="466"/>
    <s v="Ashgabat - Tashkent"/>
    <x v="813"/>
    <s v="CCCP-61663"/>
    <n v="6342007"/>
    <n v="21"/>
    <n v="15"/>
    <n v="6"/>
    <n v="21"/>
    <n v="15"/>
    <n v="6"/>
    <n v="0"/>
    <s v="Missed the approach and crashed in a snowy field. Landing below weather minimums."/>
    <n v="0"/>
    <n v="1"/>
    <x v="1"/>
  </r>
  <r>
    <n v="1731"/>
    <x v="1583"/>
    <x v="47"/>
    <x v="0"/>
    <d v="1899-12-30T11:58:00"/>
    <s v="Winkton, England"/>
    <s v="BOAC"/>
    <s v="Unknown"/>
    <s v="Test"/>
    <x v="814"/>
    <s v="G-AOVD"/>
    <n v="13235"/>
    <n v="12"/>
    <n v="9"/>
    <n v="3"/>
    <n v="9"/>
    <n v="7"/>
    <n v="2"/>
    <n v="0"/>
    <s v="While descending the aircraft struck the ground in heavy fog."/>
    <n v="3"/>
    <n v="0.75"/>
    <x v="1"/>
  </r>
  <r>
    <n v="1732"/>
    <x v="1584"/>
    <x v="47"/>
    <x v="0"/>
    <d v="1899-12-30T12:52:00"/>
    <s v="Salisbury, Zimbabwe (Harare, Zimbabwe)"/>
    <s v="Union Aeromaritime de Transport"/>
    <n v="736"/>
    <s v="Johannesberg - Salisbury - Brazzaville - Nice - Paris"/>
    <x v="626"/>
    <s v="F-BGTZ"/>
    <s v="43827/337"/>
    <n v="70"/>
    <n v="63"/>
    <n v="7"/>
    <n v="3"/>
    <n v="3"/>
    <n v="0"/>
    <n v="0"/>
    <s v="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
    <n v="67"/>
    <n v="4.2857142857142858E-2"/>
    <x v="2"/>
  </r>
  <r>
    <n v="1733"/>
    <x v="1585"/>
    <x v="47"/>
    <x v="0"/>
    <d v="1899-12-30T12:09:00"/>
    <s v="Rio de Janeiro, Brazil"/>
    <s v="VASP"/>
    <s v="Unknown"/>
    <s v="Rio de Janeiro - Sao Paulo"/>
    <x v="815"/>
    <s v="PP-SQE"/>
    <n v="103"/>
    <n v="37"/>
    <n v="33"/>
    <n v="4"/>
    <n v="21"/>
    <n v="17"/>
    <n v="4"/>
    <n v="0"/>
    <s v="Crashed on takeoff after the No.1 engine failed. Pilot error. Pilot's incorrect handling of controls in flight."/>
    <n v="16"/>
    <n v="0.56756756756756754"/>
    <x v="0"/>
  </r>
  <r>
    <n v="1734"/>
    <x v="1586"/>
    <x v="48"/>
    <x v="0"/>
    <d v="1899-12-30T11:20:00"/>
    <s v="Mt. Pena Blanca, Guatemala"/>
    <s v="Sahsa Airlines"/>
    <s v="Unknown"/>
    <s v="Copan - Nuovo Octopeque"/>
    <x v="277"/>
    <s v="XH-SAA"/>
    <n v="19667"/>
    <n v="5"/>
    <n v="2"/>
    <n v="3"/>
    <n v="5"/>
    <n v="2"/>
    <n v="3"/>
    <n v="0"/>
    <s v="Crashed into Mt. Pena Blanca while en route. The pilot's attempt to fly over mountainous terrain by visual reference to the ground under weather conditions restricting visibility which forced him to descend to a dangerously low altitude."/>
    <n v="0"/>
    <n v="1"/>
    <x v="1"/>
  </r>
  <r>
    <n v="1735"/>
    <x v="1587"/>
    <x v="48"/>
    <x v="0"/>
    <d v="1899-12-30T20:32:00"/>
    <s v="Mt. Holston, Tennessee"/>
    <s v="Southeast Airlines"/>
    <n v="308"/>
    <s v="Nashville - Knoxville - Tri-City Aport"/>
    <x v="277"/>
    <s v="N18941"/>
    <n v="2007"/>
    <n v="10"/>
    <n v="7"/>
    <n v="3"/>
    <n v="10"/>
    <n v="7"/>
    <n v="3"/>
    <n v="0"/>
    <s v="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
    <n v="0"/>
    <n v="1"/>
    <x v="1"/>
  </r>
  <r>
    <n v="1736"/>
    <x v="1588"/>
    <x v="48"/>
    <x v="0"/>
    <d v="1899-12-30T11:17:00"/>
    <s v="Rio de Janerio, Brazil"/>
    <s v="Lufthansa"/>
    <n v="502"/>
    <s v="Hamburg-Frankfurt-Paris-Lisbon-Dakar-Senegal-Rio Janerio"/>
    <x v="816"/>
    <s v="D-ALAK"/>
    <n v="4602"/>
    <n v="39"/>
    <n v="29"/>
    <n v="10"/>
    <n v="36"/>
    <n v="29"/>
    <n v="7"/>
    <n v="0"/>
    <s v="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
    <n v="3"/>
    <n v="0.92307692307692313"/>
    <x v="1"/>
  </r>
  <r>
    <n v="1737"/>
    <x v="1589"/>
    <x v="48"/>
    <x v="0"/>
    <s v="Unknown"/>
    <s v="Panther Peak, California"/>
    <s v="California Air Freight"/>
    <s v="Unknown"/>
    <s v="Burbank - Seattle"/>
    <x v="667"/>
    <s v="N1240N"/>
    <n v="22404"/>
    <n v="2"/>
    <n v="0"/>
    <n v="2"/>
    <n v="2"/>
    <n v="0"/>
    <n v="2"/>
    <n v="0"/>
    <s v="The cargo plane crashed into Panther Peak at 8,500 ft. while en route."/>
    <n v="0"/>
    <n v="1"/>
    <x v="1"/>
  </r>
  <r>
    <n v="1738"/>
    <x v="1590"/>
    <x v="48"/>
    <x v="0"/>
    <d v="1899-12-30T21:40:00"/>
    <s v="Off Mar del Plata, Argentina"/>
    <s v="Austral Lineas Aeras (Argentina)"/>
    <n v="205"/>
    <s v="Buenos Aires - Mar del Plata"/>
    <x v="817"/>
    <s v="LV-GED"/>
    <n v="30514"/>
    <n v="52"/>
    <n v="47"/>
    <n v="5"/>
    <n v="51"/>
    <n v="46"/>
    <n v="5"/>
    <n v="0"/>
    <s v="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
    <n v="1"/>
    <n v="0.98076923076923073"/>
    <x v="1"/>
  </r>
  <r>
    <n v="1739"/>
    <x v="1591"/>
    <x v="48"/>
    <x v="0"/>
    <d v="1899-12-30T03:33:00"/>
    <s v="Stalingrad, Russia"/>
    <s v="Aeroflot"/>
    <n v="205"/>
    <s v="Voronezh - Stalingrad"/>
    <x v="770"/>
    <s v="CCCP-41863"/>
    <n v="146000701"/>
    <n v="25"/>
    <n v="20"/>
    <n v="5"/>
    <n v="25"/>
    <n v="20"/>
    <n v="5"/>
    <n v="0"/>
    <s v="Crashed in a snow covered field while attempting to land. Cause undetermined. Possibly hit by machine gun fire."/>
    <n v="0"/>
    <n v="1"/>
    <x v="1"/>
  </r>
  <r>
    <n v="1740"/>
    <x v="1592"/>
    <x v="48"/>
    <x v="0"/>
    <d v="1899-12-30T15:30:00"/>
    <s v="Near Merida, Venezuela"/>
    <s v="Linea Expresa Bolivar"/>
    <s v="Unknown"/>
    <s v="MÃ©rida - Lagunillas - Maracaibo"/>
    <x v="632"/>
    <s v="YV-C-LBI"/>
    <n v="33411"/>
    <n v="4"/>
    <n v="2"/>
    <n v="2"/>
    <n v="4"/>
    <n v="2"/>
    <n v="2"/>
    <n v="0"/>
    <s v="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
    <n v="0"/>
    <n v="1"/>
    <x v="1"/>
  </r>
  <r>
    <n v="1741"/>
    <x v="1593"/>
    <x v="48"/>
    <x v="0"/>
    <d v="1899-12-30T17:00:00"/>
    <s v="Dabouk, Jordan"/>
    <s v="Air Jordan"/>
    <n v="601"/>
    <s v="Jerusalem - Amman"/>
    <x v="797"/>
    <s v="JY-ACB"/>
    <n v="55"/>
    <n v="15"/>
    <n v="11"/>
    <n v="4"/>
    <n v="10"/>
    <n v="6"/>
    <n v="4"/>
    <n v="0"/>
    <s v="Struck trees during approach and crashed 2.8 miles northwest of Wadi-Es-Sir. Adverse weather conditions."/>
    <n v="5"/>
    <n v="0.66666666666666663"/>
    <x v="1"/>
  </r>
  <r>
    <n v="1742"/>
    <x v="1594"/>
    <x v="48"/>
    <x v="0"/>
    <d v="1899-12-30T06:09:00"/>
    <s v="Brindisi, Italy"/>
    <s v="Air Charter"/>
    <s v="Unknown"/>
    <s v="England to Australia"/>
    <x v="818"/>
    <s v="G-AGRG"/>
    <n v="1255"/>
    <n v="6"/>
    <n v="0"/>
    <n v="6"/>
    <n v="2"/>
    <n v="0"/>
    <n v="2"/>
    <n v="0"/>
    <s v="The cargo plane overran the runway while taking off, cashed and burst into flames. Windshear."/>
    <n v="4"/>
    <n v="0.33333333333333331"/>
    <x v="2"/>
  </r>
  <r>
    <n v="1743"/>
    <x v="1595"/>
    <x v="48"/>
    <x v="0"/>
    <d v="1899-12-30T23:50:00"/>
    <s v="Kerrville, Texas"/>
    <s v="General Airways"/>
    <s v="Unknown"/>
    <s v="Pueblo, CO - San Antoonio, TX"/>
    <x v="277"/>
    <s v="N17314"/>
    <n v="1924"/>
    <n v="28"/>
    <n v="30"/>
    <n v="2"/>
    <n v="3"/>
    <n v="1"/>
    <n v="2"/>
    <n v="0"/>
    <s v="The aircraft crashed into a hill while attempting an emergency landing after experiencing icing. The captain's poor judgment in continuing into known and dangerous icing conditions."/>
    <n v="25"/>
    <n v="0.10714285714285714"/>
    <x v="2"/>
  </r>
  <r>
    <n v="1744"/>
    <x v="1596"/>
    <x v="48"/>
    <x v="0"/>
    <d v="1899-12-30T01:00:00"/>
    <s v="Mason City, Iowa"/>
    <s v="Dwyer Flying Service - Private Charter"/>
    <s v="Unknown"/>
    <s v="Mason City - Fargo"/>
    <x v="819"/>
    <s v="N3794N"/>
    <s v="D- 1019"/>
    <n v="4"/>
    <n v="3"/>
    <n v="1"/>
    <n v="4"/>
    <n v="3"/>
    <n v="1"/>
    <n v="0"/>
    <s v="Buddy Holly chartered the plane to fly to Fargo after appearing as part of the Winter Dance Party tour at Clearlake, Iowa.  J.P. &quot;The Big Bopper&quot; Richardson, who was suffering from the flu, talked Waylon Jennings into giving up his seat. Ritchie Valens won a coin-toss and went in place of Tommy Allsup. He commented &quot;I never won anything in my life&quot;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quot;The Big Bopper&quot;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
    <n v="0"/>
    <n v="1"/>
    <x v="1"/>
  </r>
  <r>
    <n v="1745"/>
    <x v="1596"/>
    <x v="48"/>
    <x v="0"/>
    <d v="1899-12-30T23:56:00"/>
    <s v="La Guardia Airport, New York, NY"/>
    <s v="American Airlines"/>
    <n v="320"/>
    <s v="Chicago - New York City"/>
    <x v="820"/>
    <s v="N6101A"/>
    <n v="1015"/>
    <n v="73"/>
    <n v="68"/>
    <n v="5"/>
    <n v="65"/>
    <n v="63"/>
    <n v="2"/>
    <n v="0"/>
    <s v="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
    <n v="8"/>
    <n v="0.8904109589041096"/>
    <x v="1"/>
  </r>
  <r>
    <n v="1746"/>
    <x v="1597"/>
    <x v="48"/>
    <x v="0"/>
    <d v="1899-12-30T16:47:00"/>
    <s v="Gatwick, Surrey, England"/>
    <s v="Turkish Airlines (THY)"/>
    <s v="Unknown"/>
    <s v="Ankara - Rome -  London"/>
    <x v="821"/>
    <s v="TC-SEV"/>
    <n v="429"/>
    <n v="24"/>
    <n v="16"/>
    <n v="8"/>
    <n v="14"/>
    <n v="9"/>
    <n v="5"/>
    <n v="0"/>
    <s v="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
    <n v="10"/>
    <n v="0.58333333333333337"/>
    <x v="0"/>
  </r>
  <r>
    <n v="1747"/>
    <x v="1598"/>
    <x v="48"/>
    <x v="0"/>
    <s v="Unknown"/>
    <s v="Belen, Chile"/>
    <s v="Southern Cross Airways"/>
    <s v="Unknown"/>
    <s v="Arica - Puerto Suarez"/>
    <x v="425"/>
    <s v="N68823"/>
    <n v="26818"/>
    <n v="5"/>
    <n v="0"/>
    <n v="5"/>
    <n v="5"/>
    <n v="0"/>
    <n v="5"/>
    <n v="0"/>
    <s v="The cargo plane was overloaded and could not maintain altitude after losing an engine. Crashed while attempting an emergency landing."/>
    <n v="0"/>
    <n v="1"/>
    <x v="1"/>
  </r>
  <r>
    <n v="1748"/>
    <x v="1599"/>
    <x v="48"/>
    <x v="0"/>
    <d v="1899-12-30T13:35:00"/>
    <s v="Managua, Nicaragua"/>
    <s v="TACA"/>
    <s v="Unknown"/>
    <s v="Las Mercedes - Tegucigalpa"/>
    <x v="822"/>
    <s v="YS-09C"/>
    <n v="82"/>
    <n v="19"/>
    <n v="15"/>
    <n v="4"/>
    <n v="15"/>
    <n v="13"/>
    <n v="2"/>
    <n v="0"/>
    <s v="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
    <n v="4"/>
    <n v="0.78947368421052633"/>
    <x v="1"/>
  </r>
  <r>
    <n v="1749"/>
    <x v="1600"/>
    <x v="48"/>
    <x v="0"/>
    <d v="1899-12-30T14:10:00"/>
    <s v="Tobu, India"/>
    <s v="Indian Airlines"/>
    <s v="Unknown"/>
    <s v="Jorhat - Noklok - Jorhat"/>
    <x v="402"/>
    <s v="VT-CYH"/>
    <n v="12493"/>
    <n v="7"/>
    <n v="4"/>
    <n v="3"/>
    <n v="5"/>
    <n v="2"/>
    <n v="3"/>
    <n v="0"/>
    <s v="The cargo plane crashed during an attempt by the pilot to clear high terrain under poor visibility conditions. He had previously descended to a low altitude in order to determine his position."/>
    <n v="2"/>
    <n v="0.7142857142857143"/>
    <x v="1"/>
  </r>
  <r>
    <n v="1750"/>
    <x v="1601"/>
    <x v="48"/>
    <x v="0"/>
    <d v="1899-12-30T09:02:00"/>
    <s v="Mahon, Spain"/>
    <s v="Aviaco"/>
    <s v="Unknown"/>
    <s v="Palma de Mallorca - Mahon"/>
    <x v="700"/>
    <s v="EC-ADH"/>
    <n v="12776"/>
    <n v="18"/>
    <n v="15"/>
    <n v="3"/>
    <n v="1"/>
    <n v="1"/>
    <n v="0"/>
    <n v="0"/>
    <s v="The plane banked to the right soon after leaving the ground and crashed to the ground. Strong gust of wind which tilted the aircraft to the right during final approach to land, causing it to crash to the ground"/>
    <n v="17"/>
    <n v="5.5555555555555552E-2"/>
    <x v="2"/>
  </r>
  <r>
    <n v="1751"/>
    <x v="1602"/>
    <x v="48"/>
    <x v="0"/>
    <s v="Unknown"/>
    <s v="Near Bangui, Central African Republic"/>
    <s v="Union Aeromaritime de Transport"/>
    <s v="Unknown"/>
    <s v="BerbÃ©rati - Bangui - Bambari"/>
    <x v="823"/>
    <s v="F-BGZB"/>
    <n v="2"/>
    <n v="9"/>
    <n v="5"/>
    <n v="4"/>
    <n v="9"/>
    <n v="5"/>
    <n v="4"/>
    <n v="0"/>
    <s v="Crashed while en route in the jungle. The right wing detached in flight due to a structural failure caused by severe vibrations due to additional engines that were installed on this special model."/>
    <n v="0"/>
    <n v="1"/>
    <x v="1"/>
  </r>
  <r>
    <n v="1752"/>
    <x v="1602"/>
    <x v="48"/>
    <x v="0"/>
    <d v="1899-12-30T10:45:00"/>
    <s v="Near Silchar, India"/>
    <s v="Indian Airlines"/>
    <s v="Unknown"/>
    <s v="Calcutta - Agartala - Silchar - Imphal"/>
    <x v="277"/>
    <s v="VT-CGI"/>
    <n v="20176"/>
    <n v="24"/>
    <n v="20"/>
    <n v="4"/>
    <n v="24"/>
    <n v="20"/>
    <n v="4"/>
    <n v="0"/>
    <s v="Sustained structural failure while flying through a thunderstorm."/>
    <n v="0"/>
    <n v="1"/>
    <x v="1"/>
  </r>
  <r>
    <n v="1753"/>
    <x v="1603"/>
    <x v="48"/>
    <x v="0"/>
    <d v="1899-12-30T23:46:00"/>
    <s v="Alma, Georgia"/>
    <s v="Riddle Airlines"/>
    <n v="402"/>
    <s v="Orlando, FL - Atlanta, GA"/>
    <x v="425"/>
    <s v="N7840B"/>
    <n v="30242"/>
    <n v="2"/>
    <n v="0"/>
    <n v="2"/>
    <n v="2"/>
    <n v="0"/>
    <n v="2"/>
    <n v="0"/>
    <s v="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
    <n v="0"/>
    <n v="1"/>
    <x v="1"/>
  </r>
  <r>
    <n v="1754"/>
    <x v="1604"/>
    <x v="48"/>
    <x v="0"/>
    <d v="1899-12-30T06:39:00"/>
    <s v="Puerto Kino, Mexico"/>
    <s v="Tigres Voladores"/>
    <s v="Unknown"/>
    <s v="Mexicale - Guaymas"/>
    <x v="587"/>
    <s v="XA-MIS"/>
    <n v="22586"/>
    <n v="26"/>
    <n v="21"/>
    <n v="5"/>
    <n v="26"/>
    <n v="21"/>
    <n v="5"/>
    <n v="0"/>
    <s v="Exlpoded and caught fire near Bahia de Kino.  A bomb is believed to have exploded onboard."/>
    <n v="0"/>
    <n v="1"/>
    <x v="1"/>
  </r>
  <r>
    <n v="1755"/>
    <x v="1605"/>
    <x v="48"/>
    <x v="0"/>
    <d v="1899-12-30T09:46:00"/>
    <s v="Van, Turkey"/>
    <s v="Air Charter"/>
    <s v="Unknown"/>
    <s v="London - Ankara - Bahrain"/>
    <x v="824"/>
    <s v="G-AGRH"/>
    <n v="1256"/>
    <n v="12"/>
    <n v="0"/>
    <n v="12"/>
    <n v="12"/>
    <n v="0"/>
    <n v="12"/>
    <n v="0"/>
    <s v="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
    <n v="0"/>
    <n v="1"/>
    <x v="1"/>
  </r>
  <r>
    <n v="1756"/>
    <x v="1606"/>
    <x v="48"/>
    <x v="0"/>
    <d v="1899-12-30T17:00:00"/>
    <s v="Valdemeca, Spain"/>
    <s v="Iberia Airlines"/>
    <s v="Unknown"/>
    <s v="Barcelona - Madrid"/>
    <x v="277"/>
    <s v="EC-ABC"/>
    <n v="19334"/>
    <n v="28"/>
    <n v="25"/>
    <n v="3"/>
    <n v="28"/>
    <n v="25"/>
    <n v="3"/>
    <n v="0"/>
    <s v="Crashed into the east slopes of Sierra de Valdemeca after being diverted due to poor weather. Joaquin Blume, Spain's European gymnastics champion, killed. Unfavorable weather made it necessary to deviate from the planned route."/>
    <n v="0"/>
    <n v="1"/>
    <x v="1"/>
  </r>
  <r>
    <n v="1757"/>
    <x v="1607"/>
    <x v="48"/>
    <x v="0"/>
    <d v="1899-12-30T22:12:00"/>
    <s v="Mallorca, Spain"/>
    <s v="Austria-Flugdienst"/>
    <s v="Unknown"/>
    <s v="Palma de Mallorca - Wien"/>
    <x v="277"/>
    <s v="OE-FDA"/>
    <n v="12210"/>
    <n v="5"/>
    <n v="2"/>
    <n v="3"/>
    <n v="5"/>
    <n v="2"/>
    <n v="3"/>
    <n v="0"/>
    <s v="Two minutes after reporting at 3,000feet the aircraft struck Alfabia peak at 3,300 feet. Insufficient altitude while flying at normal climb power."/>
    <n v="0"/>
    <n v="1"/>
    <x v="1"/>
  </r>
  <r>
    <n v="1758"/>
    <x v="1608"/>
    <x v="48"/>
    <x v="0"/>
    <d v="1899-12-30T16:13:00"/>
    <s v="Chase, Maryland"/>
    <s v="Capital Airlines"/>
    <n v="75"/>
    <s v="New York City - Atlanta"/>
    <x v="789"/>
    <s v="N7463"/>
    <n v="287"/>
    <n v="31"/>
    <n v="27"/>
    <n v="4"/>
    <n v="31"/>
    <n v="27"/>
    <n v="4"/>
    <n v="0"/>
    <s v="Disintegrated in-flight due to severe turbulence after penetrating a thunderstorm. Icing. A farmhand observed a large chuck of ice fall from the plane seconds before the crash. A second plane crash involving Capital Airlines occurred at Charleston, WV on this same day."/>
    <n v="0"/>
    <n v="1"/>
    <x v="1"/>
  </r>
  <r>
    <n v="1759"/>
    <x v="1608"/>
    <x v="48"/>
    <x v="0"/>
    <d v="1899-12-30T15:29:00"/>
    <s v="Charleston, West Virginia"/>
    <s v="Capital Airlines"/>
    <n v="983"/>
    <s v="Pittsburg - Charleston"/>
    <x v="825"/>
    <s v="N2735A"/>
    <n v="1978"/>
    <n v="44"/>
    <n v="38"/>
    <n v="6"/>
    <n v="2"/>
    <n v="1"/>
    <n v="1"/>
    <n v="0"/>
    <s v="The pilot intentionally ground looped the aircraft, which slid down a steep embankment caught fire and burned. Landing too fast on a wet runway under conditions conductive to aquaplaning."/>
    <n v="42"/>
    <n v="4.5454545454545456E-2"/>
    <x v="2"/>
  </r>
  <r>
    <n v="1760"/>
    <x v="1609"/>
    <x v="48"/>
    <x v="0"/>
    <s v="Unknown"/>
    <s v="Near Toumavista, Peru"/>
    <s v="Transportes Aereos Peruanos"/>
    <s v="Unknown"/>
    <s v="Lima - Pucallpa"/>
    <x v="425"/>
    <s v="OB-WBP-507"/>
    <n v="26829"/>
    <n v="12"/>
    <n v="10"/>
    <n v="2"/>
    <n v="12"/>
    <n v="10"/>
    <n v="2"/>
    <n v="0"/>
    <s v="Crashed into the slope of a mountain while en route."/>
    <n v="0"/>
    <n v="1"/>
    <x v="1"/>
  </r>
  <r>
    <n v="1761"/>
    <x v="1610"/>
    <x v="48"/>
    <x v="0"/>
    <d v="1899-12-30T20:42:00"/>
    <s v="Off Mar del Plata, Aregntina"/>
    <s v="Aerolineas Argentinas"/>
    <s v="Unknown"/>
    <s v="Mar del Plata - Bahia Blanca"/>
    <x v="277"/>
    <s v="LV-AFW"/>
    <n v="19790"/>
    <n v="10"/>
    <n v="6"/>
    <n v="4"/>
    <n v="10"/>
    <n v="6"/>
    <n v="4"/>
    <n v="0"/>
    <s v="Crashed into the sea during a steep turn following a takeoff at night. Undetermined cause."/>
    <n v="0"/>
    <n v="1"/>
    <x v="1"/>
  </r>
  <r>
    <n v="1762"/>
    <x v="1611"/>
    <x v="48"/>
    <x v="0"/>
    <s v="Unknown"/>
    <s v="Moro, Peru"/>
    <s v="Lineas AÃ©reas Interpolar"/>
    <s v="Unknown"/>
    <s v="Miami - Panama City - Talara - Arica"/>
    <x v="817"/>
    <s v="CC-CIA-497"/>
    <n v="30482"/>
    <n v="8"/>
    <n v="4"/>
    <n v="4"/>
    <n v="8"/>
    <n v="4"/>
    <n v="4"/>
    <n v="0"/>
    <s v="Crashed into a  mountain while en route.."/>
    <n v="0"/>
    <n v="1"/>
    <x v="1"/>
  </r>
  <r>
    <n v="1763"/>
    <x v="1612"/>
    <x v="48"/>
    <x v="0"/>
    <s v="Unknown"/>
    <s v="Nicaragua"/>
    <s v="Aerolineas Nacionales"/>
    <s v="Unknown"/>
    <s v="Unknown"/>
    <x v="469"/>
    <s v="TI-1020"/>
    <s v="Unknown"/>
    <n v="60"/>
    <n v="55"/>
    <n v="5"/>
    <n v="60"/>
    <n v="55"/>
    <n v="5"/>
    <n v="0"/>
    <s v="The plane, carrying Nicaraguan rebels was shot down by a Nicaraguan Air Force fighter."/>
    <n v="0"/>
    <n v="1"/>
    <x v="1"/>
  </r>
  <r>
    <n v="1764"/>
    <x v="1613"/>
    <x v="48"/>
    <x v="0"/>
    <s v="Unknown"/>
    <s v="Near Sheyma, Alaska"/>
    <s v="Militiary - US Air Force"/>
    <s v="Unknown"/>
    <s v="Reconnaissance"/>
    <x v="826"/>
    <s v="Unknown"/>
    <s v="Unknown"/>
    <n v="19"/>
    <s v="NULL"/>
    <s v="NULL"/>
    <n v="19"/>
    <s v="NULL"/>
    <s v="NULL"/>
    <n v="0"/>
    <s v="Thirty minutes after taking off from Sheyma, &quot;Rivit Amber&quot; radioed &quot;experiencing  vibration in flilght. Not certain of emergency. This was the last radio contact with the plane. The aircraft crashed at sea."/>
    <n v="0"/>
    <n v="1"/>
    <x v="1"/>
  </r>
  <r>
    <n v="1765"/>
    <x v="1614"/>
    <x v="48"/>
    <x v="0"/>
    <s v="Unknown"/>
    <s v="Sandy Lake, Ontario"/>
    <s v="Tranair"/>
    <s v="Unknown"/>
    <s v="Unknown"/>
    <x v="827"/>
    <s v="CF-BHX"/>
    <s v="N29-12"/>
    <n v="8"/>
    <n v="7"/>
    <n v="1"/>
    <n v="8"/>
    <n v="7"/>
    <n v="1"/>
    <n v="0"/>
    <s v="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
    <n v="0"/>
    <n v="1"/>
    <x v="1"/>
  </r>
  <r>
    <n v="1766"/>
    <x v="1615"/>
    <x v="48"/>
    <x v="0"/>
    <d v="1899-12-30T19:30:00"/>
    <s v="Cerros Baco, Peru"/>
    <s v="AVIANCA"/>
    <s v="Unknown"/>
    <s v="Bogota - Lima"/>
    <x v="487"/>
    <s v="HK-135"/>
    <n v="10418"/>
    <n v="14"/>
    <n v="10"/>
    <n v="4"/>
    <n v="14"/>
    <n v="10"/>
    <n v="4"/>
    <n v="0"/>
    <s v="Crashed  into the slope of Cerro Baco located about 12 km northwest of Huaricanga."/>
    <n v="0"/>
    <n v="1"/>
    <x v="1"/>
  </r>
  <r>
    <n v="1767"/>
    <x v="1616"/>
    <x v="48"/>
    <x v="0"/>
    <d v="1899-12-30T17:35:00"/>
    <s v="Near Varese, Lombardia, 20 miles NW of Milan, Italy"/>
    <s v="Trans World Airlines"/>
    <n v="891"/>
    <s v="Milan - Paris"/>
    <x v="828"/>
    <s v="N7313C"/>
    <n v="1015"/>
    <n v="68"/>
    <n v="59"/>
    <n v="9"/>
    <n v="68"/>
    <n v="59"/>
    <n v="9"/>
    <n v="0"/>
    <s v="While flying from Athens to Chicago, the No. 6 and 7 fuel tanks in the right wing exploded during a storm.  Ignition of gasoline vapors emanating from fuel tank vent pipes by static discharge after the airliner was hit by lightning."/>
    <n v="0"/>
    <n v="1"/>
    <x v="1"/>
  </r>
  <r>
    <n v="1768"/>
    <x v="1617"/>
    <x v="48"/>
    <x v="0"/>
    <d v="1899-12-30T10:35:00"/>
    <s v="Ishikawa City, Ryukyu Island, Okinawa"/>
    <s v="Military - U.S. Air Force"/>
    <s v="Unknown"/>
    <s v="Unknown"/>
    <x v="829"/>
    <s v="55-3633A"/>
    <s v="Unknown"/>
    <n v="1"/>
    <n v="0"/>
    <n v="1"/>
    <n v="0"/>
    <n v="0"/>
    <n v="0"/>
    <n v="17"/>
    <s v="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
    <n v="1"/>
    <n v="0"/>
    <x v="2"/>
  </r>
  <r>
    <n v="1769"/>
    <x v="1618"/>
    <x v="48"/>
    <x v="0"/>
    <s v="Unknown"/>
    <s v="Kuwait City, Kuwait"/>
    <s v="PAS"/>
    <s v="Unknown"/>
    <s v="Kuwait City - Tehran"/>
    <x v="520"/>
    <s v="EP-ADE"/>
    <s v="MW295"/>
    <n v="32"/>
    <n v="27"/>
    <n v="5"/>
    <n v="32"/>
    <n v="27"/>
    <n v="5"/>
    <s v="NULL"/>
    <s v="Shortly after takeoff from Kuwait City Airport and while climbing, the aircraft stalled and crashed in the desert  6 km from the airfield."/>
    <n v="0"/>
    <n v="1"/>
    <x v="1"/>
  </r>
  <r>
    <n v="1770"/>
    <x v="1619"/>
    <x v="48"/>
    <x v="0"/>
    <d v="1899-12-30T10:30:00"/>
    <s v="Sagone, India"/>
    <s v="Kalinga Airlines"/>
    <s v="Unknown"/>
    <s v="Mohanbari - Along"/>
    <x v="277"/>
    <s v="VT-DGP"/>
    <n v="9549"/>
    <n v="6"/>
    <n v="3"/>
    <n v="3"/>
    <n v="6"/>
    <n v="3"/>
    <n v="3"/>
    <n v="0"/>
    <s v="The cargo plane crashed while en route. Navigational error. The pilot entered a wrong valley and stalled the fully loaded aircraft while attempting to turn back."/>
    <n v="0"/>
    <n v="1"/>
    <x v="1"/>
  </r>
  <r>
    <n v="1771"/>
    <x v="1620"/>
    <x v="48"/>
    <x v="0"/>
    <d v="1899-12-30T22:14:00"/>
    <s v="Karachi, Pakistan"/>
    <s v="Pakistan International Airlines"/>
    <s v="Unknown"/>
    <s v="Training"/>
    <x v="830"/>
    <s v="AP-AJE"/>
    <n v="337"/>
    <n v="3"/>
    <n v="0"/>
    <n v="3"/>
    <n v="2"/>
    <n v="0"/>
    <n v="2"/>
    <n v="0"/>
    <s v="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
    <n v="1"/>
    <n v="0.66666666666666663"/>
    <x v="1"/>
  </r>
  <r>
    <n v="1772"/>
    <x v="1621"/>
    <x v="48"/>
    <x v="0"/>
    <d v="1899-12-30T16:42:00"/>
    <s v="Calverton, New York"/>
    <s v="American Airlines"/>
    <n v="514"/>
    <s v="Training"/>
    <x v="831"/>
    <s v="N7514A"/>
    <s v="17641/36"/>
    <n v="5"/>
    <n v="0"/>
    <n v="5"/>
    <n v="5"/>
    <n v="0"/>
    <n v="5"/>
    <n v="0"/>
    <s v="The crew failed to recognize and correct the development of excessive yaw which caused an unintentional rolling maneuver at an altitude too low to permit complete recovery."/>
    <n v="0"/>
    <n v="1"/>
    <x v="1"/>
  </r>
  <r>
    <n v="1773"/>
    <x v="1622"/>
    <x v="48"/>
    <x v="0"/>
    <d v="1899-12-30T17:10:00"/>
    <s v="Near Barcelona, Spain"/>
    <s v="Transair"/>
    <s v="Unknown"/>
    <s v="Barcelona - London"/>
    <x v="277"/>
    <s v="G-AMZD"/>
    <s v="16112/3286"/>
    <n v="32"/>
    <n v="29"/>
    <n v="3"/>
    <n v="32"/>
    <n v="29"/>
    <n v="3"/>
    <n v="0"/>
    <s v="Nineteen minutes after taking off and while climbing, the aircraft entered a cloud and struck Mt. Monseny. Pilot did not follow prescribed regulations."/>
    <n v="0"/>
    <n v="1"/>
    <x v="1"/>
  </r>
  <r>
    <n v="1774"/>
    <x v="1623"/>
    <x v="48"/>
    <x v="0"/>
    <s v="Unknown"/>
    <s v="Near Asuncion, Paraguay"/>
    <s v="Aerolineas Argentinas"/>
    <s v="Unknown"/>
    <s v="Buenos Aires - AsunciÃ³n"/>
    <x v="832"/>
    <s v="LV-AHP"/>
    <n v="6411"/>
    <n v="50"/>
    <n v="44"/>
    <n v="6"/>
    <n v="2"/>
    <n v="1"/>
    <n v="1"/>
    <n v="0"/>
    <s v="The aircraft descended below MDA and crashed 5 miles short of the runway while on approach to Asuncion. The crew led the aircraft pass below the glide in marginal weather conditions and continued the approach at an insufficient altitude, against published procedures."/>
    <n v="48"/>
    <n v="0.04"/>
    <x v="2"/>
  </r>
  <r>
    <n v="1775"/>
    <x v="1624"/>
    <x v="48"/>
    <x v="0"/>
    <d v="1899-12-30T17:16:00"/>
    <s v="Abilene, Texas"/>
    <s v="Aaxico Airlines"/>
    <s v="Unknown"/>
    <s v="Abilene, TX - Forth Worth, TX"/>
    <x v="425"/>
    <s v="N5140B"/>
    <n v="26809"/>
    <n v="2"/>
    <n v="0"/>
    <n v="2"/>
    <n v="2"/>
    <n v="0"/>
    <n v="2"/>
    <n v="0"/>
    <s v="The cargo plane took off, rose to 200 ft., stalled and crashed. Elevator control lost. The aft link assembly became disconnected from the clevis in the elevator control horn assembly when an improperly secured bolt backed out."/>
    <n v="0"/>
    <n v="1"/>
    <x v="1"/>
  </r>
  <r>
    <n v="1776"/>
    <x v="1625"/>
    <x v="48"/>
    <x v="0"/>
    <s v="Unknown"/>
    <s v="Poza Rica, Mexico"/>
    <s v="Mexicana"/>
    <s v="Unknown"/>
    <s v="Mexico City - Merida"/>
    <x v="277"/>
    <s v="Unknown"/>
    <s v="Unknown"/>
    <n v="16"/>
    <n v="13"/>
    <n v="3"/>
    <n v="1"/>
    <n v="1"/>
    <n v="0"/>
    <n v="0"/>
    <s v="An in-flight explosion occurred in the passenger cabin. A male passenger, who was believed to have been carrying a bomb, fell from the airplane from an altitude of 11,000ft.  A forced landing was made at Poza Rica after a fire broke out in the cabin."/>
    <n v="15"/>
    <n v="6.25E-2"/>
    <x v="2"/>
  </r>
  <r>
    <n v="1777"/>
    <x v="1626"/>
    <x v="48"/>
    <x v="0"/>
    <d v="1899-12-30T04:15:00"/>
    <s v="Near Tegucigalpa, Honduras"/>
    <s v="Pan American World Airways"/>
    <s v="Unknown"/>
    <s v="San Salvador - Miami"/>
    <x v="487"/>
    <s v="N88900"/>
    <n v="10504"/>
    <n v="3"/>
    <n v="0"/>
    <n v="3"/>
    <n v="3"/>
    <n v="0"/>
    <n v="3"/>
    <n v="0"/>
    <s v="Shortly after taking off, the cargo plane deviated from it's intended course and struck a mountain, for reasons unknown."/>
    <n v="0"/>
    <n v="1"/>
    <x v="1"/>
  </r>
  <r>
    <n v="1778"/>
    <x v="1627"/>
    <x v="48"/>
    <x v="0"/>
    <d v="1899-12-30T18:40:00"/>
    <s v="Sao Paulo, Brazil"/>
    <s v="VASP"/>
    <s v="Unknown"/>
    <s v="Sao Paulo - Rio de Janeiro"/>
    <x v="833"/>
    <s v="PP-SQV"/>
    <n v="106"/>
    <n v="20"/>
    <n v="16"/>
    <n v="4"/>
    <n v="20"/>
    <n v="16"/>
    <n v="4"/>
    <n v="0"/>
    <s v="Crashed a few minutes after taking off from Sao Paulo Airport. Cause undetermined."/>
    <n v="0"/>
    <n v="1"/>
    <x v="1"/>
  </r>
  <r>
    <n v="1779"/>
    <x v="1628"/>
    <x v="48"/>
    <x v="0"/>
    <d v="1899-12-30T17:20:00"/>
    <s v="Great Sitkin Island, Alaska"/>
    <s v="Reeve Aleutian Airlines"/>
    <n v="3"/>
    <s v="Shemya - Cold Bay - Adak - Anchorage"/>
    <x v="515"/>
    <s v="N63396"/>
    <n v="10486"/>
    <n v="16"/>
    <n v="11"/>
    <n v="5"/>
    <n v="16"/>
    <n v="11"/>
    <n v="5"/>
    <n v="0"/>
    <s v="Crashed into a mountain while on approach to Adak. Improper approach. Crew error. Pilot did not fly in accordance with visual flight rules over hazardous terrain."/>
    <n v="0"/>
    <n v="1"/>
    <x v="1"/>
  </r>
  <r>
    <n v="1780"/>
    <x v="1628"/>
    <x v="48"/>
    <x v="0"/>
    <d v="1899-12-30T23:24:00"/>
    <s v="Bordeaux, France"/>
    <s v="T.A. Intercontinentaux (France)"/>
    <s v="Unknown"/>
    <s v="Paris - Bordeaux - Bamako - Abidjan"/>
    <x v="791"/>
    <s v="F-BIAP"/>
    <s v="45366/892"/>
    <n v="65"/>
    <n v="56"/>
    <n v="9"/>
    <n v="54"/>
    <n v="45"/>
    <n v="9"/>
    <n v="0"/>
    <s v="Crashed shortly after takeoff, not gaining altitude and colliding with trees. Loss of an engine. Crew did not properly monitor altimeter."/>
    <n v="11"/>
    <n v="0.83076923076923082"/>
    <x v="1"/>
  </r>
  <r>
    <n v="1781"/>
    <x v="1629"/>
    <x v="48"/>
    <x v="0"/>
    <d v="1899-12-30T23:09:00"/>
    <s v="Buffalo, Texas"/>
    <s v="Braniff Airlines"/>
    <n v="542"/>
    <s v="Houston - Dallas"/>
    <x v="820"/>
    <s v="N9705C"/>
    <n v="1090"/>
    <n v="34"/>
    <n v="28"/>
    <n v="6"/>
    <n v="34"/>
    <n v="28"/>
    <n v="6"/>
    <n v="0"/>
    <s v="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
    <n v="0"/>
    <n v="1"/>
    <x v="1"/>
  </r>
  <r>
    <n v="1782"/>
    <x v="1630"/>
    <x v="48"/>
    <x v="0"/>
    <s v="Unknown"/>
    <s v="Paloemeu, Suriname"/>
    <s v="Kappel-Van Eyck Airways"/>
    <s v="Unknown"/>
    <s v="Paramaribo, Suriname - Paloemeu, Suriname"/>
    <x v="834"/>
    <s v="Unknown"/>
    <s v="Unknown"/>
    <n v="2"/>
    <n v="0"/>
    <n v="2"/>
    <n v="2"/>
    <n v="0"/>
    <n v="2"/>
    <n v="0"/>
    <s v="The aircraft was on a government mission to supply contractors near Paloemeu with food and equipment.  While searching for a drop point in the jungle, in heavy fog,  the plane crashed into a hill."/>
    <n v="0"/>
    <n v="1"/>
    <x v="1"/>
  </r>
  <r>
    <n v="1783"/>
    <x v="1631"/>
    <x v="48"/>
    <x v="0"/>
    <d v="1899-12-30T22:10:00"/>
    <s v="Near Moscow, Russia"/>
    <s v="Aeroflot"/>
    <n v="200"/>
    <s v="Baku - Moscow"/>
    <x v="770"/>
    <s v="CCCP-41806"/>
    <n v="6341709"/>
    <n v="28"/>
    <n v="23"/>
    <n v="5"/>
    <n v="28"/>
    <n v="23"/>
    <n v="5"/>
    <n v="0"/>
    <s v="Crashed on approach. Crew's handling of the plane led to a premature loss of altitude and collision with obstacles. Crew fatigue,"/>
    <n v="0"/>
    <n v="1"/>
    <x v="1"/>
  </r>
  <r>
    <n v="1784"/>
    <x v="1632"/>
    <x v="48"/>
    <x v="0"/>
    <d v="1899-12-30T20:18:00"/>
    <s v="Santa Maria, California"/>
    <s v="Pacific Air Lines"/>
    <n v="308"/>
    <s v="Los Angeles - Oxnard - Santa Maria - Paso Robles"/>
    <x v="386"/>
    <s v="N67589"/>
    <n v="19656"/>
    <n v="19"/>
    <n v="17"/>
    <n v="2"/>
    <n v="1"/>
    <n v="0"/>
    <n v="1"/>
    <n v="1"/>
    <s v="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
    <n v="18"/>
    <n v="5.2631578947368418E-2"/>
    <x v="2"/>
  </r>
  <r>
    <n v="1785"/>
    <x v="1633"/>
    <x v="48"/>
    <x v="0"/>
    <d v="1899-12-30T20:40:00"/>
    <s v="Waynesborough, Virginia"/>
    <s v="Piedmont Airlines"/>
    <n v="1349"/>
    <s v="Washington DC - Charlottsville, VA"/>
    <x v="277"/>
    <s v="N55V"/>
    <n v="20447"/>
    <n v="27"/>
    <n v="24"/>
    <n v="3"/>
    <n v="26"/>
    <n v="23"/>
    <n v="3"/>
    <n v="0"/>
    <s v="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
    <n v="1"/>
    <n v="0.96296296296296291"/>
    <x v="1"/>
  </r>
  <r>
    <n v="1786"/>
    <x v="1633"/>
    <x v="48"/>
    <x v="0"/>
    <d v="1899-12-30T15:25:00"/>
    <s v="Athens, Greece"/>
    <s v="Olympic Airways"/>
    <n v="214"/>
    <s v="Athens - Thessaloniki"/>
    <x v="277"/>
    <s v="SX-BAD"/>
    <n v="9491"/>
    <n v="18"/>
    <n v="15"/>
    <n v="3"/>
    <n v="18"/>
    <n v="15"/>
    <n v="3"/>
    <n v="0"/>
    <s v="Engine failure on takeoff. The plane crashed 5 minutes later. Failure of the gudgeon pin bearing of the No.6 piston of the left engine."/>
    <n v="0"/>
    <n v="1"/>
    <x v="1"/>
  </r>
  <r>
    <n v="1787"/>
    <x v="1634"/>
    <x v="48"/>
    <x v="0"/>
    <d v="1899-12-30T23:07:00"/>
    <s v="St. Cleophas, Quebec, Canada"/>
    <s v="Wheeler Airlines"/>
    <n v="1658"/>
    <s v="Montreal - Hall Lake"/>
    <x v="377"/>
    <s v="CF-ILI"/>
    <n v="10360"/>
    <n v="5"/>
    <n v="0"/>
    <n v="5"/>
    <n v="5"/>
    <n v="0"/>
    <n v="5"/>
    <n v="0"/>
    <s v="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
    <n v="0"/>
    <n v="1"/>
    <x v="1"/>
  </r>
  <r>
    <n v="1788"/>
    <x v="1635"/>
    <x v="48"/>
    <x v="0"/>
    <d v="1899-12-30T19:06:00"/>
    <s v="Lvov, Ukraine, USSR"/>
    <s v="Aeroflot"/>
    <n v="315"/>
    <s v="Moscow - Kiev - Lvov"/>
    <x v="835"/>
    <s v="CCCP-11167"/>
    <n v="9401402"/>
    <n v="40"/>
    <n v="32"/>
    <n v="8"/>
    <n v="40"/>
    <n v="32"/>
    <n v="8"/>
    <n v="0"/>
    <s v="Loss of control in icing conditions when the flaps were downed to 45Â° on approach, apparently due to an excessive accumulation of ice on wings and stabs. The distance between the aircraft and the ground was insufficient to expect a recovery."/>
    <n v="0"/>
    <n v="1"/>
    <x v="1"/>
  </r>
  <r>
    <n v="1789"/>
    <x v="1635"/>
    <x v="48"/>
    <x v="0"/>
    <d v="1899-12-30T00:55:00"/>
    <s v="Gulf of Mexico"/>
    <s v="National Airlines"/>
    <n v="967"/>
    <s v="Tampa - New Orleans"/>
    <x v="836"/>
    <s v="N4891C"/>
    <n v="45355"/>
    <n v="42"/>
    <n v="36"/>
    <n v="6"/>
    <n v="42"/>
    <n v="36"/>
    <n v="6"/>
    <n v="0"/>
    <s v="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
    <n v="0"/>
    <n v="1"/>
    <x v="1"/>
  </r>
  <r>
    <n v="1790"/>
    <x v="1636"/>
    <x v="48"/>
    <x v="0"/>
    <s v="Unknown"/>
    <s v="Beirut, Lebanon"/>
    <s v="Ariana Afghan Airlines"/>
    <n v="202"/>
    <s v="Beirut - Tehran"/>
    <x v="487"/>
    <s v="YA-BAG"/>
    <n v="18367"/>
    <n v="27"/>
    <n v="22"/>
    <n v="5"/>
    <n v="24"/>
    <n v="19"/>
    <n v="5"/>
    <n v="0"/>
    <s v="Crashed shortly after takeoff, 2.5 miles from Beirut Airport. Navigation error. Possible in-flight fire in the No. 1 engine which induced the pilot to start fire emergency action with a resulting reduction in the rate of turn and the rate of climb."/>
    <n v="3"/>
    <n v="0.88888888888888884"/>
    <x v="1"/>
  </r>
  <r>
    <n v="1791"/>
    <x v="1637"/>
    <x v="48"/>
    <x v="0"/>
    <d v="1899-12-30T05:35:00"/>
    <s v="Chicago, Illinois"/>
    <s v="Trans World Airlines"/>
    <n v="595"/>
    <s v="Chicago - Denver - Los Angeles"/>
    <x v="804"/>
    <s v="N102R"/>
    <n v="4824"/>
    <n v="3"/>
    <n v="0"/>
    <n v="3"/>
    <n v="3"/>
    <n v="0"/>
    <n v="3"/>
    <n v="8"/>
    <s v="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
    <n v="0"/>
    <n v="1"/>
    <x v="1"/>
  </r>
  <r>
    <n v="1792"/>
    <x v="1638"/>
    <x v="48"/>
    <x v="0"/>
    <d v="1899-12-30T09:47:00"/>
    <s v="Willamsport, Pennsylvania"/>
    <s v="Allegheny Airlines"/>
    <n v="371"/>
    <s v="Harrisburg - Willamsport"/>
    <x v="562"/>
    <s v="N174A"/>
    <n v="9159"/>
    <n v="26"/>
    <n v="22"/>
    <n v="4"/>
    <n v="25"/>
    <n v="21"/>
    <n v="4"/>
    <n v="0"/>
    <s v="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
    <n v="1"/>
    <n v="0.96153846153846156"/>
    <x v="1"/>
  </r>
  <r>
    <n v="1793"/>
    <x v="1639"/>
    <x v="48"/>
    <x v="0"/>
    <d v="1899-12-30T16:57:00"/>
    <s v="Off Cartagena, Colombia"/>
    <s v="Sociedad Aeronautica Medellin"/>
    <s v="Unknown"/>
    <s v="San Andres Island - Cartagena"/>
    <x v="425"/>
    <s v="HK-515"/>
    <n v="26941"/>
    <n v="45"/>
    <n v="42"/>
    <n v="3"/>
    <n v="45"/>
    <n v="42"/>
    <n v="3"/>
    <n v="0"/>
    <s v="Disappeared en route. Right landing gear found on Moron Island.  Cause undetermined."/>
    <n v="0"/>
    <n v="1"/>
    <x v="1"/>
  </r>
  <r>
    <n v="1794"/>
    <x v="1640"/>
    <x v="48"/>
    <x v="0"/>
    <d v="1899-12-30T09:28:00"/>
    <s v="Near Tashkent, Uzbekistan, USSR"/>
    <s v="Aeroflot"/>
    <s v="Unknown"/>
    <s v="Kabul - Tashkent"/>
    <x v="837"/>
    <s v="CCCP-91577"/>
    <n v="147001416"/>
    <n v="29"/>
    <n v="24"/>
    <n v="5"/>
    <n v="29"/>
    <n v="24"/>
    <n v="5"/>
    <n v="0"/>
    <s v="Crashed into a mountain while en route. Crew error. The crew deviated from prescribe route. The captain decided to continue under VFR in IMC conditions and at the time of the accident, the aircraft was about 40 to 50 km off course to the right of the intended route."/>
    <n v="0"/>
    <n v="1"/>
    <x v="1"/>
  </r>
  <r>
    <n v="1795"/>
    <x v="1641"/>
    <x v="48"/>
    <x v="0"/>
    <d v="1899-12-30T16:20:00"/>
    <s v="Ketchikan, Alaska"/>
    <s v="California Aircraft"/>
    <s v="Unknown"/>
    <s v="Juneau - Annette Island"/>
    <x v="522"/>
    <s v="N64T"/>
    <n v="2102"/>
    <n v="3"/>
    <n v="0"/>
    <n v="3"/>
    <n v="3"/>
    <n v="0"/>
    <n v="3"/>
    <n v="0"/>
    <s v="The cargo plane cashed en route after reporting engine trouble."/>
    <n v="0"/>
    <n v="1"/>
    <x v="1"/>
  </r>
  <r>
    <n v="1796"/>
    <x v="1642"/>
    <x v="48"/>
    <x v="0"/>
    <d v="1899-12-30T08:16:00"/>
    <s v="Rome, Italy"/>
    <s v="Alitalia"/>
    <s v="Unknown"/>
    <s v="Training"/>
    <x v="838"/>
    <s v="I-LIZT"/>
    <n v="378"/>
    <n v="2"/>
    <n v="0"/>
    <n v="2"/>
    <n v="2"/>
    <n v="0"/>
    <n v="2"/>
    <n v="0"/>
    <s v="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
    <n v="0"/>
    <n v="1"/>
    <x v="1"/>
  </r>
  <r>
    <n v="1797"/>
    <x v="1643"/>
    <x v="48"/>
    <x v="0"/>
    <d v="1899-12-30T13:40:00"/>
    <s v="Rio de Janeiro, Brazil"/>
    <s v="VASP"/>
    <n v="233"/>
    <s v="Rio de Janeiro - Sao Paulo"/>
    <x v="839"/>
    <s v="PP-SRG / 0742"/>
    <n v="401"/>
    <n v="32"/>
    <n v="26"/>
    <n v="6"/>
    <n v="32"/>
    <n v="26"/>
    <n v="6"/>
    <n v="10"/>
    <s v="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
    <n v="0"/>
    <n v="1"/>
    <x v="1"/>
  </r>
  <r>
    <n v="1798"/>
    <x v="1644"/>
    <x v="48"/>
    <x v="0"/>
    <d v="1899-12-30T05:00:00"/>
    <s v="Palembang, Indonesia"/>
    <s v="Garuda Indonesia Airlines"/>
    <n v="330"/>
    <s v="Palembang - Jakarta"/>
    <x v="402"/>
    <s v="PK-GDV"/>
    <n v="13535"/>
    <n v="2"/>
    <n v="0"/>
    <n v="2"/>
    <n v="1"/>
    <n v="0"/>
    <n v="1"/>
    <n v="0"/>
    <s v="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
    <n v="1"/>
    <n v="0.5"/>
    <x v="0"/>
  </r>
  <r>
    <n v="1799"/>
    <x v="1645"/>
    <x v="48"/>
    <x v="0"/>
    <s v="Unknown"/>
    <s v="Near San Jose de Chiquitos, Bolivia"/>
    <s v="Lloyd Aereo Boliviano"/>
    <s v="Unknown"/>
    <s v="San JosÃ© de Chiquitos - La Paz"/>
    <x v="277"/>
    <s v="CP-584"/>
    <n v="19226"/>
    <n v="11"/>
    <n v="7"/>
    <n v="4"/>
    <n v="11"/>
    <n v="7"/>
    <n v="4"/>
    <n v="0"/>
    <s v="Crashed on takeoff."/>
    <n v="0"/>
    <n v="1"/>
    <x v="1"/>
  </r>
  <r>
    <n v="1800"/>
    <x v="1646"/>
    <x v="49"/>
    <x v="0"/>
    <d v="1899-12-30T10:40:00"/>
    <s v="Taksing, India"/>
    <s v="Indian Airlines"/>
    <s v="Unknown"/>
    <s v="Unknown"/>
    <x v="402"/>
    <s v="VT-CGG"/>
    <n v="12821"/>
    <n v="9"/>
    <n v="5"/>
    <n v="4"/>
    <n v="9"/>
    <n v="5"/>
    <n v="4"/>
    <n v="0"/>
    <s v="The cargo plane crashed while dropping supplies and making a narrow turn in a valley. The accident was attributed to an error in navigation which caused the pilot to enter the wrong valley. During an attempt to turn back in a restricted area, the aircraft stalled and crashed."/>
    <n v="0"/>
    <n v="1"/>
    <x v="1"/>
  </r>
  <r>
    <n v="1801"/>
    <x v="1647"/>
    <x v="49"/>
    <x v="0"/>
    <d v="1899-12-30T02:38:00"/>
    <s v="Wilmington/Bolivia, North Carolina"/>
    <s v="National Airlines"/>
    <n v="2511"/>
    <s v="New York - Miami"/>
    <x v="626"/>
    <s v="N8225H"/>
    <s v="43742/300"/>
    <n v="34"/>
    <n v="29"/>
    <n v="5"/>
    <n v="34"/>
    <n v="29"/>
    <n v="5"/>
    <n v="0"/>
    <s v="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
    <n v="0"/>
    <n v="1"/>
    <x v="1"/>
  </r>
  <r>
    <n v="1802"/>
    <x v="1648"/>
    <x v="49"/>
    <x v="0"/>
    <d v="1899-12-30T15:38:00"/>
    <s v="Gulf of Sirte"/>
    <s v="Military - U.S. Army"/>
    <s v="Unknown"/>
    <s v="Misurata - Benghazi"/>
    <x v="840"/>
    <s v="55-2974"/>
    <n v="47"/>
    <n v="10"/>
    <n v="9"/>
    <n v="1"/>
    <n v="10"/>
    <n v="9"/>
    <n v="1"/>
    <n v="0"/>
    <s v="Missing, never found."/>
    <n v="0"/>
    <n v="1"/>
    <x v="1"/>
  </r>
  <r>
    <n v="1803"/>
    <x v="1649"/>
    <x v="49"/>
    <x v="0"/>
    <d v="1899-12-30T22:19:00"/>
    <s v="Charles City, Virginia"/>
    <s v="Capital Airlines"/>
    <n v="20"/>
    <s v="Washington D.C. - Norfolk"/>
    <x v="789"/>
    <s v="N7462"/>
    <n v="217"/>
    <n v="50"/>
    <n v="46"/>
    <n v="4"/>
    <n v="50"/>
    <n v="46"/>
    <n v="4"/>
    <n v="0"/>
    <s v="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
    <n v="0"/>
    <n v="1"/>
    <x v="1"/>
  </r>
  <r>
    <n v="1804"/>
    <x v="1650"/>
    <x v="49"/>
    <x v="0"/>
    <d v="1899-12-30T18:47:00"/>
    <s v="Ankara, Turkey"/>
    <s v="Scandinavian Airlines (SAS)"/>
    <n v="871"/>
    <s v="Istanbul - Ankara"/>
    <x v="841"/>
    <s v="OY-KRB"/>
    <s v="014/14"/>
    <n v="42"/>
    <n v="35"/>
    <n v="7"/>
    <n v="42"/>
    <n v="35"/>
    <n v="7"/>
    <n v="0"/>
    <s v="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quot;Orm Viking.&quot;"/>
    <n v="0"/>
    <n v="1"/>
    <x v="1"/>
  </r>
  <r>
    <n v="1805"/>
    <x v="1651"/>
    <x v="49"/>
    <x v="0"/>
    <s v="Unknown"/>
    <s v="Montego Bay, Jamacia"/>
    <s v="AVIANCA"/>
    <n v="671"/>
    <s v="Miami - Montigo Bay"/>
    <x v="807"/>
    <s v="HK-177"/>
    <n v="4556"/>
    <n v="46"/>
    <n v="39"/>
    <n v="7"/>
    <n v="37"/>
    <n v="35"/>
    <n v="2"/>
    <n v="0"/>
    <s v="A heavy landing led to structural failure and a fire. The adoption of a final approach path resulting in a heavy landing during which a major structural failure occurred in the port wing. Crew fatigue. Lack of proper training."/>
    <n v="9"/>
    <n v="0.80434782608695654"/>
    <x v="1"/>
  </r>
  <r>
    <n v="1806"/>
    <x v="1652"/>
    <x v="49"/>
    <x v="0"/>
    <d v="1899-12-30T12:30:00"/>
    <s v="Off Bathurst Island, Australia"/>
    <s v="Transportes AÃ©reos de Timor"/>
    <s v="Unknown"/>
    <s v="Darwin - Baucau"/>
    <x v="779"/>
    <s v="CR-TAI"/>
    <n v="14132"/>
    <n v="9"/>
    <n v="7"/>
    <n v="2"/>
    <n v="9"/>
    <n v="7"/>
    <n v="2"/>
    <n v="0"/>
    <s v="Radio contact was lost with the aircraft before it crashed into the ocean. Poor weather.  Unqualified pilot."/>
    <n v="0"/>
    <n v="1"/>
    <x v="1"/>
  </r>
  <r>
    <n v="1807"/>
    <x v="1653"/>
    <x v="49"/>
    <x v="0"/>
    <d v="1899-12-30T07:20:00"/>
    <s v="Cochabamba, Bolivia"/>
    <s v="Lloyd Aereo Boliviano"/>
    <s v="Unknown"/>
    <s v="Cochabamba - La Paz"/>
    <x v="487"/>
    <s v="CP-609"/>
    <n v="10510"/>
    <n v="59"/>
    <n v="55"/>
    <n v="4"/>
    <n v="59"/>
    <n v="55"/>
    <n v="4"/>
    <n v="0"/>
    <s v="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
    <n v="0"/>
    <n v="1"/>
    <x v="1"/>
  </r>
  <r>
    <n v="1808"/>
    <x v="1654"/>
    <x v="49"/>
    <x v="0"/>
    <d v="1899-12-30T13:07:00"/>
    <s v="Rio de Janeiro, Brazil"/>
    <s v="REAL / Military - U.S. Navy"/>
    <s v="Unknown"/>
    <s v="Campos - Rio de Janeiro"/>
    <x v="842"/>
    <s v="PP-AXD/131582"/>
    <s v="13326 / 43685-307"/>
    <n v="64"/>
    <n v="53"/>
    <n v="11"/>
    <n v="61"/>
    <n v="50"/>
    <n v="11"/>
    <n v="0"/>
    <s v="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
    <n v="3"/>
    <n v="0.953125"/>
    <x v="1"/>
  </r>
  <r>
    <n v="1809"/>
    <x v="1655"/>
    <x v="49"/>
    <x v="0"/>
    <d v="1899-12-30T16:57:00"/>
    <s v="Lvov-Snilow,  Ukraine"/>
    <s v="Aeroflot"/>
    <n v="315"/>
    <s v="Moscow - Kiev - Lviv"/>
    <x v="843"/>
    <s v="CCCP-11180"/>
    <n v="9401801"/>
    <n v="33"/>
    <n v="25"/>
    <n v="8"/>
    <n v="32"/>
    <n v="24"/>
    <n v="8"/>
    <n v="0"/>
    <s v="The plane crashed into a swamp short of the runway threshold. Icing of the horizontal stabilizer."/>
    <n v="1"/>
    <n v="0.96969696969696972"/>
    <x v="1"/>
  </r>
  <r>
    <n v="1810"/>
    <x v="1655"/>
    <x v="49"/>
    <x v="0"/>
    <s v="Unknown"/>
    <s v="Shannon, Ireland"/>
    <s v="Alitalia"/>
    <s v="Unknown"/>
    <s v="Rome - Shannon - Gander -New York City"/>
    <x v="791"/>
    <s v="I-DUVO"/>
    <s v="45231/945"/>
    <n v="52"/>
    <n v="40"/>
    <n v="12"/>
    <n v="34"/>
    <n v="23"/>
    <n v="11"/>
    <n v="0"/>
    <s v="Lost altitude shortly after taking off and crashed. Cause unknown."/>
    <n v="18"/>
    <n v="0.65384615384615385"/>
    <x v="1"/>
  </r>
  <r>
    <n v="1811"/>
    <x v="1656"/>
    <x v="49"/>
    <x v="0"/>
    <s v="Unknown"/>
    <s v="El Refugio, Colombia"/>
    <s v="Agencia Interamericana de Aviada"/>
    <s v="Unknown"/>
    <s v="Aracacuara - Villavicencio"/>
    <x v="522"/>
    <s v="HK-1001E"/>
    <s v="Unknown"/>
    <n v="13"/>
    <n v="10"/>
    <n v="3"/>
    <n v="6"/>
    <n v="4"/>
    <n v="2"/>
    <n v="0"/>
    <s v="Crashed in the jungle  en route."/>
    <n v="7"/>
    <n v="0.46153846153846156"/>
    <x v="0"/>
  </r>
  <r>
    <n v="1812"/>
    <x v="1657"/>
    <x v="49"/>
    <x v="0"/>
    <d v="1899-12-30T19:40:00"/>
    <s v="Nagoya, Japan"/>
    <s v="All Nippon Airways"/>
    <s v="Unknown"/>
    <s v="Tokyo - Nagoya"/>
    <x v="277"/>
    <s v="JA-5018"/>
    <n v="6006"/>
    <n v="40"/>
    <n v="35"/>
    <n v="5"/>
    <n v="5"/>
    <n v="3"/>
    <n v="2"/>
    <n v="0"/>
    <s v="Mid-air collision with a Japan Air Self Defence Force F-86 fighter which was taking off from Nagoya. Both planes crashed but the F-86 pilot ejected safely."/>
    <n v="35"/>
    <n v="0.125"/>
    <x v="2"/>
  </r>
  <r>
    <n v="1813"/>
    <x v="1658"/>
    <x v="49"/>
    <x v="0"/>
    <d v="1899-12-30T15:25:00"/>
    <s v="Near Cannelton, 10 mile SE of Tell City, Indiana"/>
    <s v="Northwest Orient Airlines"/>
    <n v="710"/>
    <s v="Chicago - Miami"/>
    <x v="844"/>
    <s v="N121US"/>
    <n v="1057"/>
    <n v="63"/>
    <n v="57"/>
    <n v="6"/>
    <n v="63"/>
    <n v="57"/>
    <n v="6"/>
    <n v="0"/>
    <s v="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
    <n v="0"/>
    <n v="1"/>
    <x v="1"/>
  </r>
  <r>
    <n v="1814"/>
    <x v="1659"/>
    <x v="49"/>
    <x v="0"/>
    <d v="1899-12-30T11:10:00"/>
    <s v="Cordoba, Colombia"/>
    <s v="SAMSA"/>
    <n v="901"/>
    <s v="San Andres - Medellin"/>
    <x v="469"/>
    <s v="HK-516"/>
    <s v="2927/384"/>
    <n v="46"/>
    <n v="42"/>
    <n v="4"/>
    <n v="25"/>
    <n v="22"/>
    <n v="3"/>
    <n v="0"/>
    <s v="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
    <n v="21"/>
    <n v="0.54347826086956519"/>
    <x v="0"/>
  </r>
  <r>
    <n v="1815"/>
    <x v="1660"/>
    <x v="49"/>
    <x v="0"/>
    <d v="1899-12-30T14:39:00"/>
    <s v="Siuna, Nicaragua"/>
    <s v="Lanica"/>
    <s v="Unknown"/>
    <s v="Siuna - Bonanza"/>
    <x v="845"/>
    <s v="AN-AIN"/>
    <n v="26945"/>
    <n v="18"/>
    <n v="14"/>
    <n v="4"/>
    <n v="2"/>
    <n v="1"/>
    <n v="1"/>
    <n v="0"/>
    <s v="Flew into a hill shortly after taking off. Engine failure due to a  fatigue crack at a valve."/>
    <n v="16"/>
    <n v="0.1111111111111111"/>
    <x v="2"/>
  </r>
  <r>
    <n v="1816"/>
    <x v="1661"/>
    <x v="49"/>
    <x v="0"/>
    <d v="1899-12-30T14:20:00"/>
    <s v="Pelotas, Brazil"/>
    <s v="Cruzeiro"/>
    <s v="Unknown"/>
    <s v="JaguarÃ£o - Rio Grande - Pelotas - Porto Alegre"/>
    <x v="277"/>
    <s v="PP-CDS"/>
    <n v="4823"/>
    <n v="22"/>
    <n v="19"/>
    <n v="3"/>
    <n v="10"/>
    <n v="8"/>
    <n v="2"/>
    <n v="0"/>
    <s v="While taking off, the plane drifted to the right, overcorrected to the left and struck two other aircraft. Pilot error.  Incorrect use of the brakes and controls while on the ground."/>
    <n v="12"/>
    <n v="0.45454545454545453"/>
    <x v="0"/>
  </r>
  <r>
    <n v="1817"/>
    <x v="1662"/>
    <x v="49"/>
    <x v="0"/>
    <s v="Unknown"/>
    <s v="Taipei,Taiwan"/>
    <s v="Military - Royal Thai Air Force"/>
    <s v="Unknown"/>
    <s v="Taipei - Bangkok"/>
    <x v="487"/>
    <s v="Unknown"/>
    <n v="42919"/>
    <n v="18"/>
    <s v="NULL"/>
    <s v="NULL"/>
    <n v="18"/>
    <s v="NULL"/>
    <s v="NULL"/>
    <n v="0"/>
    <s v="Struck Mt Wuzhi located 8 km northeast of the airport."/>
    <n v="0"/>
    <n v="1"/>
    <x v="1"/>
  </r>
  <r>
    <n v="1818"/>
    <x v="1663"/>
    <x v="49"/>
    <x v="0"/>
    <s v="Unknown"/>
    <s v="Stephenville, Newfoundland"/>
    <s v="Military - U.S. Air Force"/>
    <s v="Unknown"/>
    <s v="Dover-Stephenville - Lajes - Mildenhall"/>
    <x v="800"/>
    <s v="52-1062"/>
    <n v="43971"/>
    <n v="9"/>
    <s v="NULL"/>
    <n v="9"/>
    <n v="9"/>
    <s v="NULL"/>
    <n v="9"/>
    <n v="0"/>
    <s v="Failed to gain altitude on take off and struck a hill."/>
    <n v="0"/>
    <n v="1"/>
    <x v="1"/>
  </r>
  <r>
    <n v="1819"/>
    <x v="1664"/>
    <x v="49"/>
    <x v="0"/>
    <d v="1899-12-30T20:48:00"/>
    <s v="Bogota, Colombia"/>
    <s v="Lloyd Aereo Colombiano"/>
    <n v="503"/>
    <s v="Miami - Medellin - Bogota"/>
    <x v="469"/>
    <s v="HK-390"/>
    <n v="32954"/>
    <n v="51"/>
    <n v="44"/>
    <n v="7"/>
    <n v="37"/>
    <n v="31"/>
    <n v="6"/>
    <n v="0"/>
    <s v="Crashed during final approach. The pilot failed to take proper action to counteract the loss of speed and height in the final approach turn. Lack of pilot experience."/>
    <n v="14"/>
    <n v="0.72549019607843135"/>
    <x v="1"/>
  </r>
  <r>
    <n v="1820"/>
    <x v="1665"/>
    <x v="49"/>
    <x v="0"/>
    <d v="1899-12-30T13:06:00"/>
    <s v="Hickory, North Carolina"/>
    <s v="Piedmont Airlines / Private"/>
    <s v="Unknown"/>
    <s v="Cincinnati, OH - Hickory, NC"/>
    <x v="846"/>
    <s v="N2704R/N1807H"/>
    <n v="17"/>
    <n v="44"/>
    <n v="39"/>
    <n v="5"/>
    <n v="4"/>
    <n v="3"/>
    <n v="1"/>
    <n v="0"/>
    <s v="The aircraft were involved in a midair collision while both were making an approach to land. The pilot of the Cessna, the over-taking aircraft, failed to see and avoid the F-27 during the landing appoach. Four died aboard the Cessna, none aboard the Fairchild."/>
    <n v="40"/>
    <n v="9.0909090909090912E-2"/>
    <x v="2"/>
  </r>
  <r>
    <n v="1821"/>
    <x v="1666"/>
    <x v="49"/>
    <x v="0"/>
    <d v="1899-12-30T07:55:00"/>
    <s v="Bunia, Belgian Congo"/>
    <s v="Sobelair SA (Belgium)"/>
    <s v="Unknown"/>
    <s v="Brussels - Rome - Cairo - Bunia"/>
    <x v="515"/>
    <s v="OO-SBL"/>
    <n v="3099"/>
    <n v="35"/>
    <n v="28"/>
    <n v="7"/>
    <n v="35"/>
    <n v="28"/>
    <n v="7"/>
    <n v="0"/>
    <s v="Crashed into the slope of Bogoro Peak located about 8 km short of runway.while on approach. Crew error. The decision by the pilot in descending below the minimum ceiling prescribed."/>
    <n v="0"/>
    <n v="1"/>
    <x v="1"/>
  </r>
  <r>
    <n v="1822"/>
    <x v="1667"/>
    <x v="49"/>
    <x v="0"/>
    <d v="1899-12-30T08:22:00"/>
    <s v="Near Calabozo, Venezuela"/>
    <s v="Linea Aeropostal Venezolana"/>
    <s v="Unknown"/>
    <s v="Maiquetia - Calabozo"/>
    <x v="277"/>
    <s v="YV-C-AFE"/>
    <s v="15353/26798"/>
    <n v="13"/>
    <n v="9"/>
    <n v="4"/>
    <n v="13"/>
    <n v="9"/>
    <n v="4"/>
    <n v="0"/>
    <s v="The aircraft crashed after an explosion aboard. Detonation of a hand-grenade brought aboard by a Russian immigrant. The explosion occurred after the captain tried to disarm the man."/>
    <n v="0"/>
    <n v="1"/>
    <x v="1"/>
  </r>
  <r>
    <n v="1823"/>
    <x v="1668"/>
    <x v="49"/>
    <x v="0"/>
    <d v="1899-12-30T22:57:00"/>
    <s v="Jebel Marra, Sudan"/>
    <s v="Balair"/>
    <s v="Unknown"/>
    <s v="Niamey - Khartoum"/>
    <x v="479"/>
    <s v="HB-ILA"/>
    <n v="43072"/>
    <n v="12"/>
    <n v="5"/>
    <n v="7"/>
    <n v="12"/>
    <n v="5"/>
    <n v="7"/>
    <n v="0"/>
    <s v="Crashed into 8,000 ft. Mt. Marra. Navigation error by the crew who were using an astrofix to estimate their position."/>
    <n v="0"/>
    <n v="1"/>
    <x v="1"/>
  </r>
  <r>
    <n v="1824"/>
    <x v="1669"/>
    <x v="49"/>
    <x v="0"/>
    <d v="1899-12-30T15:30:00"/>
    <s v="El Sosneado, Argentina"/>
    <s v="Transamerican Air Transport"/>
    <s v="Unknown"/>
    <s v="Buenos Aires - Santiago de Chile - Lima"/>
    <x v="469"/>
    <s v="LV-GGJ"/>
    <n v="22554"/>
    <n v="9"/>
    <n v="5"/>
    <n v="4"/>
    <n v="9"/>
    <n v="5"/>
    <n v="4"/>
    <n v="0"/>
    <s v="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
    <n v="0"/>
    <n v="1"/>
    <x v="1"/>
  </r>
  <r>
    <n v="1825"/>
    <x v="1670"/>
    <x v="49"/>
    <x v="0"/>
    <d v="1899-12-30T11:52:00"/>
    <s v="Atlanta, Georgia"/>
    <s v="Delta Air Lines"/>
    <s v="Unknown"/>
    <s v="Training"/>
    <x v="847"/>
    <s v="N8804E"/>
    <s v="22-00-16"/>
    <n v="4"/>
    <n v="0"/>
    <n v="4"/>
    <n v="4"/>
    <n v="0"/>
    <n v="4"/>
    <n v="0"/>
    <s v="The aircraft stalled for reasons undetermined, at an altitude too low to effect recovery."/>
    <n v="0"/>
    <n v="1"/>
    <x v="1"/>
  </r>
  <r>
    <n v="1826"/>
    <x v="1671"/>
    <x v="49"/>
    <x v="0"/>
    <d v="1899-12-30T10:55:00"/>
    <s v="Nea Tkvarcheli, Georgia"/>
    <s v="Aeroflot"/>
    <n v="207"/>
    <s v="Kutaisi - Rostov-on-Don"/>
    <x v="770"/>
    <s v="CCCP-91571"/>
    <n v="7343107"/>
    <n v="31"/>
    <n v="24"/>
    <n v="7"/>
    <n v="31"/>
    <n v="24"/>
    <n v="7"/>
    <n v="0"/>
    <s v="The plane crashed in hillside woods while en route. Poor organization and overseeing the preparation of the flight by the crew."/>
    <n v="0"/>
    <n v="1"/>
    <x v="1"/>
  </r>
  <r>
    <n v="1827"/>
    <x v="1671"/>
    <x v="49"/>
    <x v="0"/>
    <d v="1899-12-30T22:05:00"/>
    <s v="Off  Mackay, Qld. Australia"/>
    <s v="Trans Australia Airlines"/>
    <n v="538"/>
    <s v="Rockhampton - MacKay"/>
    <x v="848"/>
    <s v="VH-TFB"/>
    <n v="10112"/>
    <n v="29"/>
    <n v="25"/>
    <n v="4"/>
    <n v="29"/>
    <n v="25"/>
    <n v="4"/>
    <n v="0"/>
    <s v="The flight crashed into the sea, 7.5 miles from the airport after being in a holding pattern waiting for fog to lift.  Cause could not be determined."/>
    <n v="0"/>
    <n v="1"/>
    <x v="1"/>
  </r>
  <r>
    <n v="1828"/>
    <x v="1672"/>
    <x v="49"/>
    <x v="0"/>
    <d v="1899-12-30T04:47:00"/>
    <s v="Mt. Gilbert, Alaska"/>
    <s v="Pacific Northern Airlines"/>
    <n v="201"/>
    <s v="Cordova - Anchorage"/>
    <x v="849"/>
    <s v="N1554V"/>
    <n v="2555"/>
    <n v="14"/>
    <n v="9"/>
    <n v="5"/>
    <n v="14"/>
    <n v="9"/>
    <n v="5"/>
    <n v="0"/>
    <s v="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
    <n v="0"/>
    <n v="1"/>
    <x v="1"/>
  </r>
  <r>
    <n v="1829"/>
    <x v="1673"/>
    <x v="49"/>
    <x v="0"/>
    <d v="1899-12-30T18:30:00"/>
    <s v="Rio de Janeiro, Brazil"/>
    <s v="REAL"/>
    <s v="Unknown"/>
    <s v="Belo Horizonte - Rio de Janeiro"/>
    <x v="850"/>
    <s v="PP-YRB"/>
    <n v="191"/>
    <n v="54"/>
    <n v="49"/>
    <n v="5"/>
    <n v="54"/>
    <n v="49"/>
    <n v="5"/>
    <n v="0"/>
    <s v="Crashed into Guanabara Bay during approach. Cause undetermined."/>
    <n v="0"/>
    <n v="1"/>
    <x v="1"/>
  </r>
  <r>
    <n v="1830"/>
    <x v="1674"/>
    <x v="49"/>
    <x v="0"/>
    <d v="1899-12-30T14:30:00"/>
    <s v="Off Barnegat City, New Jersey"/>
    <s v="Military - U.S. Navy"/>
    <s v="Unknown"/>
    <s v="Unknown"/>
    <x v="851"/>
    <n v="144242"/>
    <s v="Unknown"/>
    <n v="21"/>
    <s v="NULL"/>
    <s v="NULL"/>
    <n v="18"/>
    <s v="NULL"/>
    <s v="NULL"/>
    <n v="0"/>
    <s v="The airship crashed nose-first into the Atlantic Ocean, 10 miles off the coast of New Jersey. The  failure of a seam due to some unknown factor that degraded the adhesive."/>
    <n v="3"/>
    <n v="0.8571428571428571"/>
    <x v="1"/>
  </r>
  <r>
    <n v="1831"/>
    <x v="1675"/>
    <x v="49"/>
    <x v="0"/>
    <d v="1899-12-30T10:30:00"/>
    <s v="Persian Gulf"/>
    <s v="Gulf Aviation (Kalinga Airways)"/>
    <s v="Unknown"/>
    <s v="BahraÃ¯n - Doha - Sharjah"/>
    <x v="277"/>
    <s v="VT-DGS"/>
    <n v="4273"/>
    <n v="20"/>
    <n v="16"/>
    <n v="4"/>
    <n v="20"/>
    <n v="16"/>
    <n v="4"/>
    <n v="0"/>
    <s v="Crashed into the Persian Gulf while en route. Cause undetermined. Wreckage never found."/>
    <n v="0"/>
    <n v="1"/>
    <x v="1"/>
  </r>
  <r>
    <n v="1832"/>
    <x v="1676"/>
    <x v="49"/>
    <x v="0"/>
    <d v="1899-12-30T11:45:00"/>
    <s v="Near Quito, Ecuador"/>
    <s v="Military - U.S. Misson"/>
    <s v="Unknown"/>
    <s v="Bogota - Quito"/>
    <x v="430"/>
    <s v="45-1109A"/>
    <n v="34379"/>
    <n v="18"/>
    <n v="14"/>
    <n v="4"/>
    <n v="18"/>
    <n v="14"/>
    <n v="4"/>
    <n v="0"/>
    <s v="Crashed and burned on Mt. Pichincha as it prepared to land at Quito."/>
    <n v="0"/>
    <n v="1"/>
    <x v="1"/>
  </r>
  <r>
    <n v="1833"/>
    <x v="1677"/>
    <x v="49"/>
    <x v="0"/>
    <d v="1899-12-30T04:30:00"/>
    <s v="Off Manila, Philippines"/>
    <s v="Northwest Orient Airlines"/>
    <d v="2022-11-01T00:00:00"/>
    <s v="Okinawa - Manila"/>
    <x v="791"/>
    <s v="N292"/>
    <s v="45462/925"/>
    <n v="58"/>
    <n v="51"/>
    <n v="7"/>
    <n v="1"/>
    <n v="1"/>
    <n v="0"/>
    <n v="0"/>
    <s v="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
    <n v="57"/>
    <n v="1.7241379310344827E-2"/>
    <x v="2"/>
  </r>
  <r>
    <n v="1834"/>
    <x v="1678"/>
    <x v="49"/>
    <x v="0"/>
    <d v="1899-12-30T09:40:00"/>
    <s v="Near Jima, Ethiopia"/>
    <s v="Ethiopian Airlines"/>
    <n v="372"/>
    <s v="Bulchi - Jimma"/>
    <x v="277"/>
    <s v="ET-T-18"/>
    <n v="12926"/>
    <n v="11"/>
    <n v="8"/>
    <n v="3"/>
    <n v="1"/>
    <n v="0"/>
    <n v="1"/>
    <n v="0"/>
    <s v="Crashed onto a mountainside at 9,000 ft. The pilot misjudged the weather conditions and continued to fly into deteriorating weather conditions while trying to maintain VFR. The pilot attempted to climb at a speed below the minimum safe climbing speed of the aircraft."/>
    <n v="10"/>
    <n v="9.0909090909090912E-2"/>
    <x v="2"/>
  </r>
  <r>
    <n v="1835"/>
    <x v="1679"/>
    <x v="49"/>
    <x v="0"/>
    <d v="1899-12-30T15:38:00"/>
    <s v="Copenhagen, Denmark"/>
    <s v="Flyve Tjenesten"/>
    <s v="Unknown"/>
    <s v="Copenhagen - Herning"/>
    <x v="852"/>
    <s v="OY-DZY"/>
    <n v="6956"/>
    <n v="9"/>
    <n v="8"/>
    <n v="1"/>
    <n v="8"/>
    <n v="8"/>
    <n v="0"/>
    <n v="0"/>
    <s v="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
    <n v="1"/>
    <n v="0.88888888888888884"/>
    <x v="1"/>
  </r>
  <r>
    <n v="1836"/>
    <x v="1680"/>
    <x v="49"/>
    <x v="0"/>
    <d v="1899-12-30T13:45:00"/>
    <s v="Near Goma, Zaire"/>
    <s v="Military - Royal Belgian Air Force"/>
    <s v="Unknown"/>
    <s v="Unknown"/>
    <x v="853"/>
    <s v="CP-36"/>
    <s v="Unknown"/>
    <n v="41"/>
    <n v="37"/>
    <n v="4"/>
    <n v="37"/>
    <n v="33"/>
    <n v="4"/>
    <n v="0"/>
    <s v="Crashed into mountainous terrain north of Lake Kivu after experiencing engine failure."/>
    <n v="4"/>
    <n v="0.90243902439024393"/>
    <x v="1"/>
  </r>
  <r>
    <n v="1837"/>
    <x v="1681"/>
    <x v="49"/>
    <x v="0"/>
    <d v="1899-12-30T12:30:00"/>
    <s v="Near Syktyvkar, Russia"/>
    <s v="Aeroflot"/>
    <n v="613"/>
    <s v="Leningrad - Syktyvkar"/>
    <x v="776"/>
    <s v="CCCP-61696"/>
    <n v="147001035"/>
    <n v="23"/>
    <n v="19"/>
    <n v="4"/>
    <n v="23"/>
    <n v="19"/>
    <n v="4"/>
    <n v="0"/>
    <s v="Broke up in mid air after flying through a thunderstorm and experiencing heavy g loads."/>
    <n v="0"/>
    <n v="1"/>
    <x v="1"/>
  </r>
  <r>
    <n v="1838"/>
    <x v="1682"/>
    <x v="49"/>
    <x v="0"/>
    <d v="1899-12-30T22:38:00"/>
    <s v="Forest Park, Illinois"/>
    <s v="Chicago Helicopter Airways"/>
    <n v="698"/>
    <s v="Unknown"/>
    <x v="854"/>
    <s v="N879"/>
    <n v="58420"/>
    <n v="13"/>
    <n v="11"/>
    <n v="2"/>
    <n v="13"/>
    <n v="11"/>
    <n v="2"/>
    <n v="0"/>
    <s v="The helicopter crashed into Forest Home Cemetery. The structural disintegration in flight, initiated by a fatigue fracture of a main rotor blade."/>
    <n v="0"/>
    <n v="1"/>
    <x v="1"/>
  </r>
  <r>
    <n v="1839"/>
    <x v="1683"/>
    <x v="49"/>
    <x v="0"/>
    <d v="1899-12-30T11:56:00"/>
    <s v="Near Rimini, Italy"/>
    <s v="Deutsche Flugdienst"/>
    <s v="Unknown"/>
    <s v="Frankfort - Rimini"/>
    <x v="677"/>
    <s v=" D-BELU"/>
    <n v="78"/>
    <n v="34"/>
    <n v="30"/>
    <n v="4"/>
    <n v="1"/>
    <n v="1"/>
    <n v="0"/>
    <n v="0"/>
    <s v="While descending through 5,000ft, the crew lost the No.1 engine. At 1,500 ft. the other engine was also lost. The aircraft crashed 3,300 ft. short of the runway. Failure of both engines on the aircraft."/>
    <n v="33"/>
    <n v="2.9411764705882353E-2"/>
    <x v="2"/>
  </r>
  <r>
    <n v="1840"/>
    <x v="1684"/>
    <x v="49"/>
    <x v="0"/>
    <s v="Unknown"/>
    <s v="Near Tipuani, Bolivia"/>
    <s v="TAM (Bolivia)"/>
    <s v="Unknown"/>
    <s v="La Paz - Tipuani"/>
    <x v="368"/>
    <s v="TAM-09"/>
    <n v="9030"/>
    <n v="6"/>
    <n v="4"/>
    <n v="2"/>
    <n v="6"/>
    <n v="4"/>
    <n v="2"/>
    <n v="0"/>
    <s v="The DC-3 crashed into Hayti Mountain while en route."/>
    <n v="0"/>
    <n v="1"/>
    <x v="1"/>
  </r>
  <r>
    <n v="1841"/>
    <x v="1685"/>
    <x v="49"/>
    <x v="0"/>
    <d v="1899-12-30T15:58:00"/>
    <s v="Near Kiev, Ukraine"/>
    <s v="Aeroflot"/>
    <n v="36"/>
    <s v="Cairo - Moscow"/>
    <x v="855"/>
    <s v="CCCP-75705"/>
    <n v="189001702"/>
    <n v="34"/>
    <n v="27"/>
    <n v="7"/>
    <n v="34"/>
    <n v="27"/>
    <n v="7"/>
    <n v="0"/>
    <s v="While en route the No. 4.engine caught fire.  The fire extinguishing system was ineffective and the fire spread to the wing after which the fuel tanks exploded and the plane crashed."/>
    <n v="0"/>
    <n v="1"/>
    <x v="1"/>
  </r>
  <r>
    <n v="1842"/>
    <x v="1685"/>
    <x v="49"/>
    <x v="0"/>
    <d v="1899-12-30T23:45:00"/>
    <s v="Near El Kelaa, Morocco"/>
    <s v="Military - French Naval Aviation"/>
    <s v="Unknown"/>
    <s v="Unknown"/>
    <x v="856"/>
    <s v="WU-26"/>
    <s v="Unknown"/>
    <n v="20"/>
    <n v="15"/>
    <n v="5"/>
    <n v="20"/>
    <n v="15"/>
    <n v="5"/>
    <n v="0"/>
    <s v="Cashed while en route to Casablanca after experiencing an engine fire. Shortly after, the plane crashed in flames on a hilly terrain near El KelÃ¢a des Sraghna."/>
    <n v="0"/>
    <n v="1"/>
    <x v="1"/>
  </r>
  <r>
    <n v="1843"/>
    <x v="1686"/>
    <x v="49"/>
    <x v="0"/>
    <s v="Unknown"/>
    <s v="Off Heraklion, Greece"/>
    <s v="Don Everall Aviation"/>
    <s v="Unknown"/>
    <s v="Heraklion, Greece - Cairo, Egypt"/>
    <x v="857"/>
    <s v="G-AMNK"/>
    <n v="210"/>
    <n v="3"/>
    <n v="0"/>
    <n v="3"/>
    <n v="3"/>
    <n v="0"/>
    <n v="3"/>
    <n v="0"/>
    <s v="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
    <n v="0"/>
    <n v="1"/>
    <x v="1"/>
  </r>
  <r>
    <n v="1844"/>
    <x v="1687"/>
    <x v="49"/>
    <x v="0"/>
    <d v="1899-12-30T06:47:00"/>
    <s v="Off Dakar, Senegal"/>
    <s v="Air France"/>
    <n v="343"/>
    <s v="Paris - Dakar - Monrovia - Abidjan"/>
    <x v="858"/>
    <s v="F-BHBC"/>
    <n v="4622"/>
    <n v="63"/>
    <n v="55"/>
    <n v="8"/>
    <n v="63"/>
    <n v="55"/>
    <n v="8"/>
    <n v="0"/>
    <s v="The aircraft crashed into the Atlantic Ocean after an unsuccessful landing attempt. Cause undetermined. Possible structural failure or loss of control due to turbulence, sensory illusion or distraction of the flight crew which could have been associated with a lightning strike."/>
    <n v="0"/>
    <n v="1"/>
    <x v="1"/>
  </r>
  <r>
    <n v="1845"/>
    <x v="1688"/>
    <x v="49"/>
    <x v="0"/>
    <d v="1899-12-30T17:10:00"/>
    <s v="Near Zikhnovo, Russia"/>
    <s v="Aeroflot"/>
    <n v="804"/>
    <s v="_x0009_Arkhangelsk - _x0009_Cherepovets"/>
    <x v="770"/>
    <s v="CCCP-04200"/>
    <s v="1470 014 18"/>
    <n v="18"/>
    <n v="13"/>
    <n v="5"/>
    <n v="18"/>
    <n v="13"/>
    <n v="5"/>
    <n v="0"/>
    <s v="The plane flew into the side of Mt. Belaya in poor weather. Crew flew below minimums."/>
    <n v="0"/>
    <n v="1"/>
    <x v="1"/>
  </r>
  <r>
    <n v="1846"/>
    <x v="1689"/>
    <x v="49"/>
    <x v="0"/>
    <d v="1899-12-30T09:40:00"/>
    <s v="Near Salto, Uruguay"/>
    <s v="Aerolineas Argentinas"/>
    <n v="205"/>
    <s v="Asuncion - Buenos Aires"/>
    <x v="528"/>
    <s v="LV-ADS"/>
    <s v="43031/127"/>
    <n v="31"/>
    <n v="25"/>
    <n v="6"/>
    <n v="31"/>
    <n v="25"/>
    <n v="6"/>
    <n v="0"/>
    <s v="Crashed in a storm. Separation of propeller followed by disintegration of the aircraft. Overspeeding of No.3 propeller caused by irregular operation of the propeller governor, detachment of that propeller and impact with that of No.4 engine, followed by disintegration of the aircraft."/>
    <n v="0"/>
    <n v="1"/>
    <x v="1"/>
  </r>
  <r>
    <n v="1847"/>
    <x v="1690"/>
    <x v="49"/>
    <x v="0"/>
    <d v="1899-12-30T06:02:00"/>
    <s v="Agana, Guam, Mariana Islands"/>
    <s v="World Airways"/>
    <s v="830/18"/>
    <s v="Guam - Wake Island"/>
    <x v="859"/>
    <s v="N90779"/>
    <s v="44914/646"/>
    <n v="94"/>
    <n v="86"/>
    <n v="8"/>
    <n v="80"/>
    <n v="73"/>
    <n v="7"/>
    <n v="0"/>
    <s v="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
    <n v="14"/>
    <n v="0.85106382978723405"/>
    <x v="1"/>
  </r>
  <r>
    <n v="1848"/>
    <x v="1691"/>
    <x v="49"/>
    <x v="0"/>
    <d v="1899-12-30T14:10:00"/>
    <s v="Off Naha, Okinawa"/>
    <s v="Military - U.S. Navy"/>
    <s v="Unknown"/>
    <s v="Atsugi, Japan - Subi Point, Philippines"/>
    <x v="612"/>
    <n v="56541"/>
    <s v="Unknown"/>
    <n v="29"/>
    <n v="26"/>
    <n v="3"/>
    <n v="29"/>
    <n v="26"/>
    <n v="3"/>
    <n v="0"/>
    <s v="The plane crashed after transmitting a message that the No. 3 engine was on fire and they were diverting to Okinawa. The fire in the No. 3 engine was extinguished but a residual fire continued in a tire until it ignited the fuel tank resulting in an explosion."/>
    <n v="0"/>
    <n v="1"/>
    <x v="1"/>
  </r>
  <r>
    <n v="1849"/>
    <x v="1691"/>
    <x v="49"/>
    <x v="0"/>
    <s v="Unknown"/>
    <s v="Campbell Lake, Quebec Canada"/>
    <s v="Wheeler Airlines"/>
    <s v="Unknown"/>
    <s v="Campbell Lake - St Jovite"/>
    <x v="827"/>
    <s v="CF-FOJ"/>
    <s v="N29-32"/>
    <n v="4"/>
    <n v="3"/>
    <n v="1"/>
    <n v="3"/>
    <n v="2"/>
    <n v="1"/>
    <n v="0"/>
    <s v="Shortly after takeoff from Campbell Lake, while climbing, the single engine aircraft stalled and crashed in flames in a wooded area. The pilot and two passengers were killed while a third passenger was seriously injured.  Engine failure."/>
    <n v="1"/>
    <n v="0.75"/>
    <x v="1"/>
  </r>
  <r>
    <n v="1850"/>
    <x v="1692"/>
    <x v="49"/>
    <x v="0"/>
    <d v="1899-12-30T23:40:00"/>
    <s v="Moscow, Russia"/>
    <s v="Austrian Airlines"/>
    <n v="901"/>
    <s v="Warsaw - Moscow"/>
    <x v="860"/>
    <s v="OE-LAF"/>
    <n v="437"/>
    <n v="37"/>
    <n v="31"/>
    <n v="6"/>
    <n v="31"/>
    <n v="26"/>
    <n v="5"/>
    <n v="0"/>
    <s v="Crashed on approach to Moscow, 11 nm short of the runway. Malfunctioning or misread altimeter."/>
    <n v="6"/>
    <n v="0.83783783783783783"/>
    <x v="1"/>
  </r>
  <r>
    <n v="1851"/>
    <x v="1693"/>
    <x v="49"/>
    <x v="0"/>
    <s v="Unknown"/>
    <s v="Near Juchetipec, Mexico"/>
    <s v="Mexicana"/>
    <s v="Unknown"/>
    <s v="Tapachula - Mexico City"/>
    <x v="861"/>
    <s v="XA-HUS"/>
    <n v="7388"/>
    <n v="18"/>
    <n v="15"/>
    <n v="3"/>
    <n v="8"/>
    <n v="5"/>
    <n v="3"/>
    <n v="0"/>
    <s v="Crashed on the slopes of a mountain near Juchitepec, about 40 km south of Mexico City Airport in dense fog."/>
    <n v="10"/>
    <n v="0.44444444444444442"/>
    <x v="0"/>
  </r>
  <r>
    <n v="1852"/>
    <x v="1694"/>
    <x v="49"/>
    <x v="0"/>
    <d v="1899-12-30T12:15:00"/>
    <s v="Off Elba, Italy"/>
    <s v="United Arab Airlines"/>
    <n v="738"/>
    <s v="Geneva - Rome"/>
    <x v="862"/>
    <s v="SU-AKW"/>
    <n v="427"/>
    <n v="21"/>
    <n v="17"/>
    <n v="4"/>
    <n v="21"/>
    <n v="17"/>
    <n v="4"/>
    <n v="0"/>
    <s v="Crashed  into the Tyrrhenian Sea off Elba after penetrating severe thunderstorm."/>
    <n v="0"/>
    <n v="1"/>
    <x v="1"/>
  </r>
  <r>
    <n v="1853"/>
    <x v="1695"/>
    <x v="49"/>
    <x v="0"/>
    <d v="1899-12-30T17:40:00"/>
    <s v="Boston, Massachusetts"/>
    <s v="Eastern Air Lines"/>
    <n v="375"/>
    <s v="Boston - Philadelphia"/>
    <x v="820"/>
    <s v="N5533"/>
    <n v="1062"/>
    <n v="72"/>
    <n v="67"/>
    <n v="5"/>
    <n v="62"/>
    <n v="59"/>
    <n v="3"/>
    <n v="0"/>
    <s v="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n v="10"/>
    <n v="0.86111111111111116"/>
    <x v="1"/>
  </r>
  <r>
    <n v="1854"/>
    <x v="1696"/>
    <x v="49"/>
    <x v="0"/>
    <d v="1899-12-30T15:50:00"/>
    <s v="Elba, Italy"/>
    <s v="Itavia"/>
    <n v="115"/>
    <s v="Rome - Genoa"/>
    <x v="863"/>
    <s v="I-AOMA"/>
    <n v="14090"/>
    <n v="11"/>
    <n v="7"/>
    <n v="4"/>
    <n v="11"/>
    <n v="7"/>
    <n v="4"/>
    <n v="0"/>
    <s v="Hit Mt. Capanne while en route.  Cause unknown."/>
    <n v="0"/>
    <n v="1"/>
    <x v="1"/>
  </r>
  <r>
    <n v="1855"/>
    <x v="1697"/>
    <x v="49"/>
    <x v="0"/>
    <s v="Unknown"/>
    <s v="Plain City, Utah"/>
    <s v="Capitol Airways"/>
    <s v="Unknown"/>
    <s v="Rapid City - Ogden"/>
    <x v="667"/>
    <s v="N1300N"/>
    <n v="22481"/>
    <n v="2"/>
    <n v="0"/>
    <n v="2"/>
    <n v="2"/>
    <n v="0"/>
    <n v="2"/>
    <n v="0"/>
    <s v="The right wing of the cargo plane separated from the aircraft at 6,500 ft. Fatigue of the right wing lower attach angle bolts resulting in an in-flight wing failure."/>
    <n v="0"/>
    <n v="1"/>
    <x v="1"/>
  </r>
  <r>
    <n v="1856"/>
    <x v="1698"/>
    <x v="49"/>
    <x v="0"/>
    <d v="1899-12-30T21:14:00"/>
    <s v="Ust-Orda, Russia"/>
    <s v="Aeroflot"/>
    <n v="5"/>
    <s v="Moscow - Omsk - Irkutsk - Khabarovsk"/>
    <x v="808"/>
    <s v="CCCP-42452"/>
    <n v="96601701"/>
    <n v="3"/>
    <n v="0"/>
    <n v="3"/>
    <n v="3"/>
    <n v="0"/>
    <n v="3"/>
    <n v="0"/>
    <s v="Crashed after a premature descent. The decision by the captain to perform a go-around was ccrrect but the very low pass above the runway was unacceptable."/>
    <n v="0"/>
    <n v="1"/>
    <x v="1"/>
  </r>
  <r>
    <n v="1857"/>
    <x v="1699"/>
    <x v="49"/>
    <x v="0"/>
    <d v="1899-12-30T11:39:00"/>
    <s v="Near Missoula, Montana"/>
    <s v="Northwest Orient Airlines"/>
    <n v="104"/>
    <s v="Spokane - Missoula"/>
    <x v="864"/>
    <s v="N48762"/>
    <n v="10320"/>
    <n v="12"/>
    <n v="8"/>
    <n v="4"/>
    <n v="12"/>
    <n v="8"/>
    <n v="4"/>
    <n v="0"/>
    <s v="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
    <n v="0"/>
    <n v="1"/>
    <x v="1"/>
  </r>
  <r>
    <n v="1858"/>
    <x v="1700"/>
    <x v="49"/>
    <x v="0"/>
    <d v="1899-12-30T22:02:00"/>
    <s v="Toledo, Ohio"/>
    <s v="Arctic Pacific"/>
    <s v="Unknown"/>
    <s v="Toledo - Kansas City, MO"/>
    <x v="587"/>
    <s v="N1244N"/>
    <n v="22458"/>
    <n v="48"/>
    <n v="45"/>
    <n v="3"/>
    <n v="22"/>
    <n v="20"/>
    <n v="2"/>
    <n v="0"/>
    <s v="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
    <n v="26"/>
    <n v="0.45833333333333331"/>
    <x v="0"/>
  </r>
  <r>
    <n v="1859"/>
    <x v="1700"/>
    <x v="49"/>
    <x v="0"/>
    <s v="Unknown"/>
    <s v="Key West, Florida"/>
    <s v="Cubana de Aviacion"/>
    <s v="Unknown"/>
    <s v="Havana, Cuba - _x0009_Nueva Gerona"/>
    <x v="277"/>
    <s v="Unknown"/>
    <s v="Unknown"/>
    <n v="37"/>
    <n v="34"/>
    <n v="3"/>
    <n v="1"/>
    <n v="1"/>
    <n v="0"/>
    <n v="0"/>
    <s v="Ten minutes into the flight the copilot grabbing the air marshall and forcing the pilot at gunpoint to head to Key West. A shooting erupted and the air marshall was killed. A total of nine persons were involved in the hijacking."/>
    <n v="36"/>
    <n v="2.7027027027027029E-2"/>
    <x v="2"/>
  </r>
  <r>
    <n v="1860"/>
    <x v="1701"/>
    <x v="49"/>
    <x v="0"/>
    <s v="Unknown"/>
    <s v="Bhairawa, Nepal"/>
    <s v="Royal Nepal Airlines"/>
    <s v="Unknown"/>
    <s v="Bairahawa - Kathmandu"/>
    <x v="402"/>
    <s v="9N-AAD"/>
    <n v="19792"/>
    <n v="4"/>
    <n v="0"/>
    <n v="4"/>
    <n v="4"/>
    <n v="0"/>
    <n v="4"/>
    <n v="0"/>
    <s v="While in  the initial climb, the plane stalled and crashed in a huge explosion."/>
    <n v="0"/>
    <n v="1"/>
    <x v="1"/>
  </r>
  <r>
    <n v="1861"/>
    <x v="1702"/>
    <x v="49"/>
    <x v="0"/>
    <s v="Unknown"/>
    <s v="Near Quito, Ecuador"/>
    <s v="AREA"/>
    <s v="Unknown"/>
    <s v="Guayaquil - Quito"/>
    <x v="865"/>
    <s v="HC-ADV"/>
    <s v="0001A"/>
    <n v="37"/>
    <n v="34"/>
    <n v="3"/>
    <n v="37"/>
    <n v="34"/>
    <n v="3"/>
    <n v="0"/>
    <s v="Crashed into a mountain 20 miles south of the airport while on approoach to Quito-Mariscal Sucre Airport."/>
    <n v="0"/>
    <n v="1"/>
    <x v="1"/>
  </r>
  <r>
    <n v="1862"/>
    <x v="1703"/>
    <x v="49"/>
    <x v="0"/>
    <d v="1899-12-30T18:45:00"/>
    <s v="Manila, Philippines"/>
    <s v="Philippine Air Lines"/>
    <n v="26"/>
    <s v="Iloilo - Manila"/>
    <x v="277"/>
    <s v="PI-C133"/>
    <n v="13397"/>
    <n v="33"/>
    <n v="29"/>
    <n v="4"/>
    <n v="33"/>
    <n v="29"/>
    <n v="4"/>
    <n v="0"/>
    <s v="Crashed into Mt. Baco while en route. Navigational error under adverse weather conditions."/>
    <n v="0"/>
    <n v="1"/>
    <x v="1"/>
  </r>
  <r>
    <n v="1863"/>
    <x v="1704"/>
    <x v="49"/>
    <x v="0"/>
    <d v="1899-12-30T22:53:00"/>
    <s v=" Chernovo, Russia"/>
    <s v="Aeroflot"/>
    <n v="81"/>
    <s v="_x0009_Syktyvkar - Moscow"/>
    <x v="866"/>
    <s v="_x0009_ CCCP-52091"/>
    <n v="7342905"/>
    <n v="14"/>
    <n v="9"/>
    <n v="5"/>
    <n v="14"/>
    <n v="9"/>
    <n v="5"/>
    <n v="0"/>
    <s v="The right engine caught fire. The crew initiated an emergency  descent from which the right wing broke off  causing the aircraft to crash."/>
    <n v="0"/>
    <n v="1"/>
    <x v="1"/>
  </r>
  <r>
    <n v="1864"/>
    <x v="1705"/>
    <x v="49"/>
    <x v="0"/>
    <s v="Unknown"/>
    <s v="Cachimbo, Brazil"/>
    <s v="REAL"/>
    <s v="Unknown"/>
    <s v="Cuiaba - Manaus"/>
    <x v="867"/>
    <s v="PP-AKF"/>
    <n v="295"/>
    <n v="15"/>
    <n v="13"/>
    <n v="2"/>
    <n v="15"/>
    <n v="13"/>
    <n v="2"/>
    <n v="0"/>
    <s v="The No.2 engine failed while en route. The aircraft lost altitude, crashed in a jungle and burned. Starboard engine failed to feather for reasons unknown."/>
    <n v="0"/>
    <n v="1"/>
    <x v="1"/>
  </r>
  <r>
    <n v="1865"/>
    <x v="1706"/>
    <x v="49"/>
    <x v="0"/>
    <d v="1899-12-30T19:50:00"/>
    <s v="San Andres de Giles, Argentina"/>
    <s v="Military - Argentine Air Force"/>
    <s v="Unknown"/>
    <s v="Lima - Antofagasta - El Palomar"/>
    <x v="868"/>
    <s v="T-102"/>
    <s v="Unknown"/>
    <n v="31"/>
    <n v="23"/>
    <n v="8"/>
    <n v="31"/>
    <n v="23"/>
    <n v="8"/>
    <n v="0"/>
    <s v="The domestic flight cashed and burned in heavy rain, 100 miles from it's destination. Pilot error. Flying VFR in adverse weather conditions."/>
    <n v="0"/>
    <n v="1"/>
    <x v="1"/>
  </r>
  <r>
    <n v="1866"/>
    <x v="1707"/>
    <x v="49"/>
    <x v="0"/>
    <d v="1899-12-30T10:33:00"/>
    <s v="Staten Island / Brooklyn, New York"/>
    <s v="United Air Lines / Trans World Airlines"/>
    <s v="826/266"/>
    <s v="Chicago - New York City / Columbus - New York City"/>
    <x v="869"/>
    <s v="N8013U/N6907C"/>
    <s v="45290 /4021"/>
    <n v="128"/>
    <n v="116"/>
    <n v="12"/>
    <n v="128"/>
    <n v="116"/>
    <n v="12"/>
    <n v="6"/>
    <s v="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
    <n v="0"/>
    <n v="1"/>
    <x v="1"/>
  </r>
  <r>
    <n v="1867"/>
    <x v="1708"/>
    <x v="49"/>
    <x v="0"/>
    <d v="1899-12-30T14:10:00"/>
    <s v="Munich, West Germany"/>
    <s v="Military - U.S. Air Force"/>
    <s v="Unknown"/>
    <s v="Munich - Northolt AB, England"/>
    <x v="870"/>
    <s v="55-291"/>
    <n v="212"/>
    <n v="20"/>
    <n v="13"/>
    <n v="7"/>
    <n v="20"/>
    <n v="13"/>
    <n v="7"/>
    <n v="31"/>
    <s v="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
    <n v="0"/>
    <n v="1"/>
    <x v="1"/>
  </r>
  <r>
    <n v="1868"/>
    <x v="1709"/>
    <x v="49"/>
    <x v="0"/>
    <d v="1899-12-30T12:31:00"/>
    <s v="Cebu City, Philippines"/>
    <s v="Philippine Air Lines"/>
    <s v="S85"/>
    <s v="Cebu - Davao"/>
    <x v="277"/>
    <s v="PI-C126"/>
    <n v="20593"/>
    <n v="37"/>
    <n v="34"/>
    <n v="3"/>
    <n v="28"/>
    <n v="26"/>
    <n v="2"/>
    <n v="0"/>
    <s v="Crashed on takeoff. Failure of the No. 1 engine shortly after take-off but after V2. Inappropriate emergency procedures by crew."/>
    <n v="9"/>
    <n v="0.7567567567567568"/>
    <x v="1"/>
  </r>
  <r>
    <n v="1869"/>
    <x v="1710"/>
    <x v="49"/>
    <x v="0"/>
    <d v="1899-12-30T19:42:00"/>
    <s v="Near Ulyanovsk, Russia"/>
    <s v="Aeroflot"/>
    <n v="651"/>
    <s v="Kuibyshev - Ulyanovsk"/>
    <x v="871"/>
    <s v="CCCP-75651"/>
    <n v="188000405"/>
    <n v="17"/>
    <n v="13"/>
    <n v="4"/>
    <n v="17"/>
    <n v="13"/>
    <n v="4"/>
    <n v="0"/>
    <s v="Loss of control resulted after 40 degrees flaps was selected causing the plane to crash. Icing."/>
    <n v="0"/>
    <n v="1"/>
    <x v="1"/>
  </r>
  <r>
    <n v="1870"/>
    <x v="1711"/>
    <x v="50"/>
    <x v="0"/>
    <s v="Unknown"/>
    <s v="Ruzyne, Czechoslovakia"/>
    <s v="Ceskoslovenske Aerolinie"/>
    <s v="Unknown"/>
    <s v="Training"/>
    <x v="872"/>
    <s v="OK-MCZ"/>
    <n v="105807110"/>
    <n v="10"/>
    <n v="5"/>
    <n v="5"/>
    <n v="10"/>
    <n v="5"/>
    <n v="5"/>
    <n v="0"/>
    <s v="Unable to gain altitude, the aircraft crashed into power cables during takeoff."/>
    <n v="0"/>
    <n v="1"/>
    <x v="1"/>
  </r>
  <r>
    <n v="1871"/>
    <x v="1712"/>
    <x v="50"/>
    <x v="0"/>
    <d v="1899-12-30T07:40:00"/>
    <s v="Koivulahti, Finland"/>
    <s v="Finnair"/>
    <n v="311"/>
    <s v="Kokkola - Vaasa"/>
    <x v="277"/>
    <s v="OH-LCC"/>
    <s v="14066/25511"/>
    <n v="25"/>
    <n v="22"/>
    <n v="3"/>
    <n v="25"/>
    <n v="22"/>
    <n v="3"/>
    <n v="0"/>
    <s v="Crashed into woods while attempting to land. Both pilots tested positive for alcohol.  In addition, the pilot did not have enough sleep the night before and was not considered to be in satisfactory mental and physical condition to undertake the flight."/>
    <n v="0"/>
    <n v="1"/>
    <x v="1"/>
  </r>
  <r>
    <n v="1872"/>
    <x v="1713"/>
    <x v="50"/>
    <x v="0"/>
    <d v="1899-12-30T20:25:00"/>
    <s v="New York, New York (Idlewild)"/>
    <s v="Aeronaves de Mexico"/>
    <n v="401"/>
    <s v="New York - Mexico City"/>
    <x v="873"/>
    <s v="XA-XAX"/>
    <s v="45432/105"/>
    <n v="106"/>
    <n v="97"/>
    <n v="9"/>
    <n v="4"/>
    <n v="0"/>
    <n v="4"/>
    <n v="0"/>
    <s v="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
    <n v="102"/>
    <n v="3.7735849056603772E-2"/>
    <x v="2"/>
  </r>
  <r>
    <n v="1873"/>
    <x v="1714"/>
    <x v="50"/>
    <x v="0"/>
    <d v="1899-12-30T03:04:00"/>
    <s v="Midway Island Naval Air Station"/>
    <s v="Military - U.S. Navy"/>
    <s v="Unknown"/>
    <s v="Survey"/>
    <x v="809"/>
    <s v="BU143193"/>
    <n v="4467"/>
    <n v="22"/>
    <n v="0"/>
    <n v="22"/>
    <n v="6"/>
    <n v="0"/>
    <n v="6"/>
    <n v="3"/>
    <s v="While returning from an aborted barrier mission, the aircraft hit a seawall at end of short runway. The main landing geart was sheared off and the aircraft cartwheeled, slid into a vehicle, exploded and burned."/>
    <n v="16"/>
    <n v="0.27272727272727271"/>
    <x v="2"/>
  </r>
  <r>
    <n v="1874"/>
    <x v="1715"/>
    <x v="50"/>
    <x v="0"/>
    <d v="1899-12-30T10:48:00"/>
    <s v="Mt. Burangrang, Indonesia"/>
    <s v="Garuda Indonesia Airlines"/>
    <n v="424"/>
    <s v="Jakarta - Bandung"/>
    <x v="277"/>
    <s v="PK-GDI"/>
    <n v="19672"/>
    <n v="21"/>
    <n v="16"/>
    <n v="5"/>
    <n v="21"/>
    <n v="16"/>
    <n v="5"/>
    <n v="0"/>
    <s v="The aircraft struck Mt. Burangrang . Attempt by the pilot to fly over mountainous terrain when unsure of his position and in weather conditions which severely restricted visibility."/>
    <n v="0"/>
    <n v="1"/>
    <x v="1"/>
  </r>
  <r>
    <n v="1875"/>
    <x v="1716"/>
    <x v="50"/>
    <x v="0"/>
    <d v="1899-12-30T03:30:00"/>
    <s v="Trinity Bay, Newfoundland"/>
    <s v="Military - U.S. Air Force"/>
    <s v="Unknown"/>
    <s v="Kenitra - Lajes - Argentia - Norfork"/>
    <x v="874"/>
    <s v="51-17626"/>
    <n v="43670"/>
    <n v="23"/>
    <n v="13"/>
    <n v="10"/>
    <n v="23"/>
    <n v="13"/>
    <n v="10"/>
    <n v="0"/>
    <s v="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
    <n v="0"/>
    <n v="1"/>
    <x v="1"/>
  </r>
  <r>
    <n v="1876"/>
    <x v="1717"/>
    <x v="50"/>
    <x v="0"/>
    <d v="1899-12-30T12:20:00"/>
    <s v="Off Montauk Point, New York"/>
    <s v="American Airlines"/>
    <s v="Unknown"/>
    <s v="Training"/>
    <x v="831"/>
    <s v="N7502A"/>
    <s v="17629/8"/>
    <n v="6"/>
    <n v="0"/>
    <n v="6"/>
    <n v="6"/>
    <n v="0"/>
    <n v="6"/>
    <n v="0"/>
    <s v="The aircraaft banked left, entered a dive and eventually crashed into the ocean five miles off shore."/>
    <n v="0"/>
    <n v="1"/>
    <x v="1"/>
  </r>
  <r>
    <n v="1877"/>
    <x v="1718"/>
    <x v="50"/>
    <x v="0"/>
    <d v="1899-12-30T23:55:00"/>
    <s v="Off Surabaya, Indonesia"/>
    <s v="Garuda Indonesia Airlines"/>
    <n v="542"/>
    <s v="Surabaya - Balikpapan"/>
    <x v="277"/>
    <s v="PK-GDY"/>
    <n v="13052"/>
    <n v="26"/>
    <n v="21"/>
    <n v="5"/>
    <n v="26"/>
    <n v="21"/>
    <n v="5"/>
    <n v="0"/>
    <s v="Disappeared while en route. The wreckage was never found. It is believed the aircraft crashed into the sea off the island of Madura."/>
    <n v="0"/>
    <n v="1"/>
    <x v="1"/>
  </r>
  <r>
    <n v="1878"/>
    <x v="1719"/>
    <x v="50"/>
    <x v="0"/>
    <d v="1899-12-30T10:05:00"/>
    <s v="Near Brussels, Belgium"/>
    <s v="Sabena"/>
    <n v="548"/>
    <s v="New York City - Brussels"/>
    <x v="875"/>
    <s v="OO-SJB"/>
    <s v="17624/92"/>
    <n v="72"/>
    <n v="61"/>
    <n v="11"/>
    <n v="72"/>
    <n v="61"/>
    <n v="11"/>
    <n v="1"/>
    <s v="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
    <n v="0"/>
    <n v="1"/>
    <x v="1"/>
  </r>
  <r>
    <n v="1879"/>
    <x v="1720"/>
    <x v="50"/>
    <x v="0"/>
    <d v="1899-12-30T15:00:00"/>
    <s v="Near Caracas, Venezuela"/>
    <s v="Linea Aeropostal Venezolana"/>
    <s v="Unknown"/>
    <s v="San Antonio-Maiquetia"/>
    <x v="277"/>
    <s v="YV-C-AZQ"/>
    <n v="19986"/>
    <n v="12"/>
    <n v="8"/>
    <n v="4"/>
    <n v="12"/>
    <n v="8"/>
    <n v="4"/>
    <n v="0"/>
    <s v="Crashed into the slope of a mountain while en route. Navigation error. Failure of the crew to follow the prescribed route. Flying VFR in IFR conditions."/>
    <n v="0"/>
    <n v="1"/>
    <x v="1"/>
  </r>
  <r>
    <n v="1880"/>
    <x v="1721"/>
    <x v="50"/>
    <x v="0"/>
    <s v="Unknown"/>
    <s v="Near Natal, Brazil"/>
    <s v="Military - Brazilian Air Force"/>
    <s v="Unknown"/>
    <s v="Rio de Janerio - Belem"/>
    <x v="604"/>
    <s v="C-47-2055"/>
    <n v="4473"/>
    <n v="28"/>
    <n v="22"/>
    <n v="6"/>
    <n v="23"/>
    <n v="21"/>
    <n v="2"/>
    <n v="0"/>
    <s v="Crashed while attempting to land."/>
    <n v="5"/>
    <n v="0.8214285714285714"/>
    <x v="1"/>
  </r>
  <r>
    <n v="1881"/>
    <x v="1722"/>
    <x v="50"/>
    <x v="0"/>
    <d v="1899-12-30T20:08:00"/>
    <s v="Forcheim, Germany"/>
    <s v="Ceskoslovenske Aerolinie"/>
    <s v="Unknown"/>
    <s v="Prague - Zurich"/>
    <x v="837"/>
    <s v="OK-OAD"/>
    <n v="180002102"/>
    <n v="52"/>
    <n v="44"/>
    <n v="8"/>
    <n v="52"/>
    <n v="44"/>
    <n v="8"/>
    <n v="0"/>
    <s v="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
    <n v="0"/>
    <n v="1"/>
    <x v="1"/>
  </r>
  <r>
    <n v="1882"/>
    <x v="1723"/>
    <x v="50"/>
    <x v="0"/>
    <d v="1899-12-30T23:57:00"/>
    <s v="Llico, Chile"/>
    <s v="LAN"/>
    <n v="210"/>
    <s v="Temuco - Santiago"/>
    <x v="277"/>
    <s v="CC-CLD-P210"/>
    <n v="9716"/>
    <n v="24"/>
    <n v="20"/>
    <n v="4"/>
    <n v="24"/>
    <n v="20"/>
    <n v="4"/>
    <n v="0"/>
    <s v="The plane crashed into La Gotera Hill while on approach to Santiago. The official cause is unknown.  Icing suspected. All members of the Green Cross Chilean soccer team killed. Wreckage found 54 years after the accident."/>
    <n v="0"/>
    <n v="1"/>
    <x v="1"/>
  </r>
  <r>
    <n v="1883"/>
    <x v="1724"/>
    <x v="50"/>
    <x v="0"/>
    <d v="1899-12-30T18:10:00"/>
    <s v="Mount Parker, Hong Kong"/>
    <s v="Military - US Air Force"/>
    <s v="Unknown"/>
    <s v="Hong Kong - Tainan AFB"/>
    <x v="876"/>
    <s v="43-49014"/>
    <s v="26275/14830"/>
    <n v="15"/>
    <n v="12"/>
    <n v="3"/>
    <n v="14"/>
    <n v="11"/>
    <n v="3"/>
    <n v="0"/>
    <s v="The aircraft impacted Mount Parker shortly after taking off in foggy weather conditions."/>
    <n v="1"/>
    <n v="0.93333333333333335"/>
    <x v="1"/>
  </r>
  <r>
    <n v="1884"/>
    <x v="1725"/>
    <x v="50"/>
    <x v="0"/>
    <d v="1899-12-30T01:12:00"/>
    <s v="Ghadames, Algeria"/>
    <s v="Air France"/>
    <n v="406"/>
    <s v="Fort Lamy, Chad - Marseilles, France"/>
    <x v="828"/>
    <s v="F-BHBM"/>
    <n v="1027"/>
    <n v="78"/>
    <n v="69"/>
    <n v="9"/>
    <n v="78"/>
    <n v="69"/>
    <n v="9"/>
    <n v="0"/>
    <s v="While en route from Fort Lamy, Chad to Marseilles, France, the airliner crashed and burned in the Sahara Desert on the Algeria / Libya border. Detonation of a nitrocellulose bomb."/>
    <n v="0"/>
    <n v="1"/>
    <x v="1"/>
  </r>
  <r>
    <n v="1885"/>
    <x v="1726"/>
    <x v="50"/>
    <x v="0"/>
    <d v="1899-12-30T02:22:00"/>
    <s v="Near Tacoma, Washington"/>
    <s v="Military - U.S. Air Force"/>
    <s v="Unknown"/>
    <s v="McChord - Lawton"/>
    <x v="877"/>
    <s v="51-0174"/>
    <n v="43508"/>
    <n v="22"/>
    <n v="16"/>
    <n v="6"/>
    <n v="22"/>
    <n v="16"/>
    <n v="6"/>
    <n v="0"/>
    <s v="After a night takeoff, while climbing to a height of 500 feet, the airplane went out of control and crashed in a wooded area."/>
    <n v="0"/>
    <n v="1"/>
    <x v="1"/>
  </r>
  <r>
    <n v="1886"/>
    <x v="1727"/>
    <x v="50"/>
    <x v="0"/>
    <d v="1899-12-30T14:36:00"/>
    <s v="Singapore"/>
    <s v="Military - Royal Air Force"/>
    <s v="Unknown"/>
    <s v="Traing"/>
    <x v="878"/>
    <s v="WD497"/>
    <n v="125"/>
    <n v="13"/>
    <n v="8"/>
    <n v="5"/>
    <n v="13"/>
    <n v="8"/>
    <n v="5"/>
    <n v="0"/>
    <s v="Lost an engine, stalled and crashed."/>
    <n v="0"/>
    <n v="1"/>
    <x v="1"/>
  </r>
  <r>
    <n v="1887"/>
    <x v="1728"/>
    <x v="50"/>
    <x v="0"/>
    <d v="1899-12-30T01:20:00"/>
    <s v="Near Lisbon, Portugal"/>
    <s v="KLM Royal Dutch Airlines"/>
    <n v="897"/>
    <s v="Rome  - Lisbon -  Madrid - Santa Maria, Azores -Caracas"/>
    <x v="879"/>
    <s v="PH-DCL"/>
    <n v="45615"/>
    <n v="61"/>
    <n v="47"/>
    <n v="14"/>
    <n v="61"/>
    <n v="47"/>
    <n v="14"/>
    <n v="0"/>
    <s v="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
    <n v="0"/>
    <n v="1"/>
    <x v="1"/>
  </r>
  <r>
    <n v="1888"/>
    <x v="1729"/>
    <x v="50"/>
    <x v="0"/>
    <d v="1899-12-30T04:11:00"/>
    <s v="Cairo, Egypt"/>
    <s v="KLM Royal Dutch Airlines"/>
    <n v="823"/>
    <s v="Rome - Cairo"/>
    <x v="880"/>
    <s v="PH-LLM"/>
    <n v="2019"/>
    <n v="36"/>
    <n v="29"/>
    <n v="7"/>
    <n v="20"/>
    <n v="17"/>
    <n v="3"/>
    <n v="0"/>
    <s v="Crashed into a hill  at night during the approach, 4 km short of the runway. Crew's neglect to cockpit duties. Pilot's inattention to his instruments."/>
    <n v="16"/>
    <n v="0.55555555555555558"/>
    <x v="0"/>
  </r>
  <r>
    <n v="1889"/>
    <x v="1730"/>
    <x v="50"/>
    <x v="0"/>
    <d v="1899-12-30T19:33:00"/>
    <s v="Douala, Cameroon"/>
    <s v="Air Cameroon"/>
    <s v="Unknown"/>
    <s v="Training"/>
    <x v="487"/>
    <s v="TJ-ABC"/>
    <n v="7473"/>
    <n v="5"/>
    <n v="3"/>
    <n v="2"/>
    <n v="5"/>
    <n v="3"/>
    <n v="2"/>
    <n v="0"/>
    <s v="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
    <n v="0"/>
    <n v="1"/>
    <x v="1"/>
  </r>
  <r>
    <n v="1890"/>
    <x v="1731"/>
    <x v="50"/>
    <x v="0"/>
    <d v="1899-12-30T22:23:00"/>
    <s v="Near Kano, Nigeria"/>
    <s v="Continentale Deutsche Luftreederei"/>
    <s v="Unknown"/>
    <s v="Tripoli - Kano"/>
    <x v="616"/>
    <s v="D-ABEB"/>
    <n v="10530"/>
    <n v="7"/>
    <n v="5"/>
    <n v="2"/>
    <n v="1"/>
    <n v="1"/>
    <n v="0"/>
    <n v="0"/>
    <s v="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
    <n v="6"/>
    <n v="0.14285714285714285"/>
    <x v="2"/>
  </r>
  <r>
    <n v="1891"/>
    <x v="1732"/>
    <x v="50"/>
    <x v="0"/>
    <d v="1899-12-30T20:57:00"/>
    <s v="Buenos Aires, Argentina"/>
    <s v="Transcontinental"/>
    <s v="Unknown"/>
    <s v="Salta - Cordoba - Buenos Aires"/>
    <x v="425"/>
    <s v="LV-FTO"/>
    <n v="193"/>
    <n v="35"/>
    <n v="30"/>
    <n v="5"/>
    <n v="24"/>
    <n v="22"/>
    <n v="2"/>
    <n v="0"/>
    <s v="Crashed into a trees and telegraph poles on final approach.The pilot failed to follow the instrument approach procedures during the approach."/>
    <n v="11"/>
    <n v="0.68571428571428572"/>
    <x v="1"/>
  </r>
  <r>
    <n v="1892"/>
    <x v="1733"/>
    <x v="50"/>
    <x v="0"/>
    <d v="1899-12-30T19:00:00"/>
    <s v="_x0009_Sverdlovsk, Russia"/>
    <s v="Aeroflot"/>
    <n v="411"/>
    <s v="_x0009_Kazan - _x0009_Sverdlovsk"/>
    <x v="770"/>
    <s v="CCCP-41848"/>
    <n v="6341706"/>
    <n v="26"/>
    <n v="21"/>
    <n v="5"/>
    <n v="9"/>
    <n v="4"/>
    <n v="5"/>
    <n v="0"/>
    <s v="The plane ran out of fuel and crash landed. Crew did not refuel at Kazan."/>
    <n v="17"/>
    <n v="0.34615384615384615"/>
    <x v="2"/>
  </r>
  <r>
    <n v="1893"/>
    <x v="1734"/>
    <x v="50"/>
    <x v="0"/>
    <d v="1899-12-30T10:43:00"/>
    <s v="Odessa, Ukraine, USSR"/>
    <s v="Aeroflot"/>
    <n v="381"/>
    <s v="Leningrad - Odessa"/>
    <x v="881"/>
    <s v="CCCP-42447"/>
    <n v="921004"/>
    <n v="85"/>
    <n v="76"/>
    <n v="9"/>
    <n v="1"/>
    <n v="1"/>
    <n v="0"/>
    <n v="0"/>
    <s v="Hit apporach lights while trying to land in heavy rain."/>
    <n v="84"/>
    <n v="1.1764705882352941E-2"/>
    <x v="2"/>
  </r>
  <r>
    <n v="1894"/>
    <x v="1735"/>
    <x v="50"/>
    <x v="0"/>
    <d v="1899-12-30T11:36:00"/>
    <s v="Denver, Colorado"/>
    <s v="United Air Lines"/>
    <n v="859"/>
    <s v="Omaha - Denver"/>
    <x v="882"/>
    <s v="N8040U"/>
    <n v="45307"/>
    <n v="122"/>
    <n v="115"/>
    <n v="7"/>
    <n v="17"/>
    <n v="17"/>
    <n v="0"/>
    <n v="1"/>
    <s v="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
    <n v="105"/>
    <n v="0.13934426229508196"/>
    <x v="2"/>
  </r>
  <r>
    <n v="1895"/>
    <x v="1736"/>
    <x v="50"/>
    <x v="0"/>
    <d v="1899-12-30T01:29:00"/>
    <s v="Casablanca, Morocco"/>
    <s v="Ceskoslovenske Aerolinie"/>
    <n v="511"/>
    <s v="Zurich - Rabat"/>
    <x v="855"/>
    <s v="OK-PAF"/>
    <n v="181002904"/>
    <n v="72"/>
    <n v="64"/>
    <n v="8"/>
    <n v="72"/>
    <n v="64"/>
    <n v="8"/>
    <n v="0"/>
    <s v="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
    <n v="0"/>
    <n v="1"/>
    <x v="1"/>
  </r>
  <r>
    <n v="1896"/>
    <x v="1737"/>
    <x v="50"/>
    <x v="0"/>
    <d v="1899-12-30T08:00:00"/>
    <s v="Near Azul, Argentina"/>
    <s v="Aerolineas Argentinas"/>
    <s v="Unknown"/>
    <s v="Buenos Aires - Comodoro"/>
    <x v="528"/>
    <s v="LV-ADW"/>
    <n v="43136"/>
    <n v="67"/>
    <n v="60"/>
    <n v="7"/>
    <n v="67"/>
    <n v="60"/>
    <n v="7"/>
    <n v="0"/>
    <s v="The aircraft disintegrated in flight following the application of loads in excess of the design loads. The aircraft entered an area of extreme turbulence and was struck by lightning."/>
    <n v="0"/>
    <n v="1"/>
    <x v="1"/>
  </r>
  <r>
    <n v="1897"/>
    <x v="1738"/>
    <x v="50"/>
    <x v="0"/>
    <d v="1899-12-30T02:11:00"/>
    <s v="Shemya, Alaska"/>
    <s v="Alaska Airlines"/>
    <s v="Unknown"/>
    <s v="Seattle - Shemya AFB"/>
    <x v="681"/>
    <s v="N6118C"/>
    <s v="45243/919"/>
    <n v="6"/>
    <n v="0"/>
    <n v="6"/>
    <n v="6"/>
    <n v="0"/>
    <n v="6"/>
    <n v="0"/>
    <s v="Undershot the runway by 200 feet, crashed and burned. Absence of approach and runway lights. Lack of guidance from air traffic controller during last stages of flight."/>
    <n v="0"/>
    <n v="1"/>
    <x v="1"/>
  </r>
  <r>
    <n v="1898"/>
    <x v="1739"/>
    <x v="50"/>
    <x v="0"/>
    <s v="Unknown"/>
    <s v="Budapest, Hungary"/>
    <s v="Malev Hungarian Airlines"/>
    <s v="Unknown"/>
    <s v="Sightseeing"/>
    <x v="277"/>
    <s v="HA-TSA"/>
    <n v="20492"/>
    <n v="27"/>
    <n v="23"/>
    <n v="4"/>
    <n v="27"/>
    <n v="23"/>
    <n v="4"/>
    <n v="3"/>
    <s v="The aircraft crashed between a row of houses while on a sightseeing flight. Inattention of crew to duties. Pilots had 2 companions in the cabin during the entire flight and performed forbidden maneuvers including one sharp turn which resulted in  lost control of the aircraft."/>
    <n v="0"/>
    <n v="1"/>
    <x v="1"/>
  </r>
  <r>
    <n v="1899"/>
    <x v="1740"/>
    <x v="50"/>
    <x v="0"/>
    <d v="1899-12-30T17:30:00"/>
    <s v="Sola, Norway"/>
    <s v="Cunard Eagle Airways"/>
    <s v="Unknown"/>
    <s v="London - Sola"/>
    <x v="883"/>
    <s v="G-AHPM"/>
    <n v="152"/>
    <n v="39"/>
    <n v="36"/>
    <n v="3"/>
    <n v="39"/>
    <n v="36"/>
    <n v="3"/>
    <n v="0"/>
    <s v="Crashed into a mountain18 nm northeast of Stravanger Airport.  Deviation from prescribed course. Cause unknown."/>
    <n v="0"/>
    <n v="1"/>
    <x v="1"/>
  </r>
  <r>
    <n v="1900"/>
    <x v="1741"/>
    <x v="50"/>
    <x v="0"/>
    <d v="1899-12-30T20:02:00"/>
    <s v="Ankara, Turkey"/>
    <s v="Turkish Airlines THY"/>
    <s v="Unknown"/>
    <s v="Nicosia - Adana - Ankara"/>
    <x v="667"/>
    <s v="TC-TAY"/>
    <n v="10182"/>
    <n v="29"/>
    <n v="25"/>
    <n v="4"/>
    <n v="28"/>
    <n v="24"/>
    <n v="4"/>
    <n v="0"/>
    <s v="Crashed during approach. During the approach to the airport the aircraft was not in the normal pattern and was below the normal altitude."/>
    <n v="1"/>
    <n v="0.96551724137931039"/>
    <x v="1"/>
  </r>
  <r>
    <n v="1901"/>
    <x v="1742"/>
    <x v="50"/>
    <x v="0"/>
    <d v="1899-12-30T18:22:00"/>
    <s v="SondrestrÃ¶mfjord, Greenland"/>
    <s v="Eastern Provincial Airways"/>
    <s v="Unknown"/>
    <s v="Unknown"/>
    <x v="781"/>
    <s v="CF-MEX"/>
    <s v="Unknown"/>
    <n v="6"/>
    <n v="4"/>
    <n v="2"/>
    <n v="1"/>
    <n v="0"/>
    <n v="1"/>
    <n v="0"/>
    <s v="An in-flight fire, initiated and sustained by a severe fuel leak. The fuel leak was caused by the locking of a carburetor drain plug to unscrew."/>
    <n v="5"/>
    <n v="0.16666666666666666"/>
    <x v="2"/>
  </r>
  <r>
    <n v="1902"/>
    <x v="1743"/>
    <x v="50"/>
    <x v="0"/>
    <d v="1899-12-30T02:05:00"/>
    <s v="Near Hinsdale, Illinois"/>
    <s v="Trans World Airlines"/>
    <n v="529"/>
    <s v="Pittsburgh - Chicago - Las Vegas - Los Angeles"/>
    <x v="609"/>
    <s v="N86511"/>
    <n v="2035"/>
    <n v="78"/>
    <n v="73"/>
    <n v="5"/>
    <n v="78"/>
    <n v="73"/>
    <n v="5"/>
    <n v="0"/>
    <s v="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
    <n v="0"/>
    <n v="1"/>
    <x v="1"/>
  </r>
  <r>
    <n v="1903"/>
    <x v="1744"/>
    <x v="50"/>
    <x v="0"/>
    <s v="Unknown"/>
    <s v="Near Sendafar, Ethiopia"/>
    <s v="Ethiopian Airlines"/>
    <s v="Unknown"/>
    <s v="Addis Ababa - Asmara"/>
    <x v="277"/>
    <s v="ET-T-16"/>
    <n v="13305"/>
    <n v="19"/>
    <n v="16"/>
    <n v="3"/>
    <n v="5"/>
    <n v="4"/>
    <n v="1"/>
    <n v="0"/>
    <s v="Malfunctioning propeller. The pilot tried to turn back for an emergency landing but  the plane stalled and crashed."/>
    <n v="14"/>
    <n v="0.26315789473684209"/>
    <x v="2"/>
  </r>
  <r>
    <n v="1904"/>
    <x v="1745"/>
    <x v="50"/>
    <x v="0"/>
    <s v="Unknown"/>
    <s v="Concordia, SC, Brazil"/>
    <s v="REAL Transportes Aereos"/>
    <s v="Unknown"/>
    <s v="Sao Paulo - Concordia"/>
    <x v="884"/>
    <s v="PP-AVL"/>
    <n v="9886"/>
    <n v="4"/>
    <n v="0"/>
    <n v="4"/>
    <n v="4"/>
    <n v="0"/>
    <n v="4"/>
    <s v="NULL"/>
    <s v="The aircraft crashed into high terrain, 1,500 meters short of the runway in adverse weather conditions. Probable cause: Continuation of visual filght in adverse weather conditions."/>
    <n v="0"/>
    <n v="1"/>
    <x v="1"/>
  </r>
  <r>
    <n v="1905"/>
    <x v="1745"/>
    <x v="50"/>
    <x v="0"/>
    <s v="Unknown"/>
    <s v="Cerro del Aernal, Costa Rica"/>
    <s v="Lineas AÃ©reas Costarricenses"/>
    <s v="Unknown"/>
    <s v="Unknown"/>
    <x v="277"/>
    <s v="TI-1006C"/>
    <n v="4960"/>
    <n v="2"/>
    <n v="0"/>
    <n v="2"/>
    <n v="2"/>
    <n v="0"/>
    <n v="2"/>
    <n v="0"/>
    <s v="Cargo plane crashed."/>
    <n v="0"/>
    <n v="1"/>
    <x v="1"/>
  </r>
  <r>
    <n v="1906"/>
    <x v="1746"/>
    <x v="50"/>
    <x v="0"/>
    <d v="1899-12-30T03:55:00"/>
    <s v="Shannon, Ireland"/>
    <s v="President Airlines"/>
    <s v="Unknown"/>
    <s v="Shannon - Gander"/>
    <x v="626"/>
    <s v="N90773"/>
    <s v="44058/365"/>
    <n v="83"/>
    <n v="77"/>
    <n v="6"/>
    <n v="83"/>
    <n v="77"/>
    <n v="6"/>
    <n v="0"/>
    <s v="The aircraft crashed into the Shannon River shortly after taking off in fog. Possible fault with the artificial horizon or aircraft's aileron tabs. Contributing factor was the weather and crew fatigue."/>
    <n v="0"/>
    <n v="1"/>
    <x v="1"/>
  </r>
  <r>
    <n v="1907"/>
    <x v="1747"/>
    <x v="50"/>
    <x v="0"/>
    <d v="1899-12-30T22:09:00"/>
    <s v="Near Rabat, Morocco"/>
    <s v="Air France"/>
    <n v="2005"/>
    <s v="Paris - Rabat"/>
    <x v="885"/>
    <s v="F-BJTB"/>
    <n v="68"/>
    <n v="77"/>
    <n v="71"/>
    <n v="6"/>
    <n v="77"/>
    <n v="71"/>
    <n v="6"/>
    <n v="0"/>
    <s v="The aircraft crashed and burned while attempting to land at Sale Airport. With its landing gear down and flaps partially extended, the plane struck the ground in a slight nose-down attitude. Possible misread altimeter."/>
    <n v="0"/>
    <n v="1"/>
    <x v="1"/>
  </r>
  <r>
    <n v="1908"/>
    <x v="1748"/>
    <x v="50"/>
    <x v="0"/>
    <d v="1899-12-30T08:57:00"/>
    <s v="Chicago, Illinois"/>
    <s v="Northwest Orient Airlines"/>
    <n v="706"/>
    <s v="Chicago - Tampa"/>
    <x v="844"/>
    <s v="N137US"/>
    <n v="1142"/>
    <n v="37"/>
    <n v="32"/>
    <n v="5"/>
    <n v="37"/>
    <n v="32"/>
    <n v="5"/>
    <n v="0"/>
    <s v="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
    <n v="0"/>
    <n v="1"/>
    <x v="1"/>
  </r>
  <r>
    <n v="1909"/>
    <x v="1748"/>
    <x v="50"/>
    <x v="0"/>
    <d v="1899-12-30T22:13:00"/>
    <s v="Ndola, Zambia"/>
    <s v="Transair Sweden"/>
    <s v="Unknown"/>
    <s v="Leopoldville - Ndola"/>
    <x v="626"/>
    <s v="SE-BDY"/>
    <n v="43559"/>
    <n v="16"/>
    <n v="11"/>
    <n v="5"/>
    <n v="16"/>
    <n v="11"/>
    <n v="5"/>
    <n v="0"/>
    <s v="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
    <n v="0"/>
    <n v="1"/>
    <x v="1"/>
  </r>
  <r>
    <n v="1910"/>
    <x v="1749"/>
    <x v="50"/>
    <x v="0"/>
    <d v="1899-12-30T18:02:00"/>
    <s v="Ankara, Turkey"/>
    <s v="Turkish Airlines (THY)"/>
    <s v="Unknown"/>
    <s v="Adana - Ankara"/>
    <x v="848"/>
    <s v="TC-TAY"/>
    <n v="10182"/>
    <n v="29"/>
    <n v="25"/>
    <n v="4"/>
    <n v="28"/>
    <n v="24"/>
    <n v="4"/>
    <n v="0"/>
    <s v="Crashed into high terrain on approach, 18 kms from Ankara Airport. The aircraft was not in a normal flying  pattern and below normal altitude."/>
    <n v="1"/>
    <n v="0.96551724137931039"/>
    <x v="1"/>
  </r>
  <r>
    <n v="1911"/>
    <x v="1750"/>
    <x v="50"/>
    <x v="0"/>
    <d v="1899-12-30T02:00:00"/>
    <s v="Mt. Canigou, France"/>
    <s v="Derby Aviation"/>
    <s v="Unknown"/>
    <s v="London - Perpignan"/>
    <x v="277"/>
    <s v="G-AMSW"/>
    <s v="16171/32919"/>
    <n v="34"/>
    <n v="31"/>
    <n v="3"/>
    <n v="34"/>
    <n v="31"/>
    <n v="3"/>
    <n v="0"/>
    <s v="Crashed into Mt. Canigou while descending to land. Navigational error."/>
    <n v="0"/>
    <n v="1"/>
    <x v="1"/>
  </r>
  <r>
    <n v="1912"/>
    <x v="1751"/>
    <x v="50"/>
    <x v="0"/>
    <s v="Unknown"/>
    <s v="El Adem, Libya"/>
    <s v="Military - Royal Air Force"/>
    <s v="Unknown"/>
    <s v="El Adem - Luqa"/>
    <x v="878"/>
    <s v="WD498"/>
    <n v="126"/>
    <n v="37"/>
    <n v="34"/>
    <n v="3"/>
    <n v="17"/>
    <n v="16"/>
    <n v="1"/>
    <n v="0"/>
    <s v="The plane stalled and crashed during takeoff."/>
    <n v="20"/>
    <n v="0.45945945945945948"/>
    <x v="0"/>
  </r>
  <r>
    <n v="1913"/>
    <x v="1752"/>
    <x v="50"/>
    <x v="0"/>
    <d v="1899-12-30T02:15:00"/>
    <s v="Near Recife, Brazil"/>
    <s v="Panair do Brasil"/>
    <s v="Unknown"/>
    <s v="Lisbon - Ilha do Sal - Recife"/>
    <x v="791"/>
    <s v="PP-PDO"/>
    <n v="44872"/>
    <n v="88"/>
    <n v="79"/>
    <n v="9"/>
    <n v="45"/>
    <n v="38"/>
    <n v="7"/>
    <n v="0"/>
    <s v="The flight crashed into a hill during approach. Pilot error. Improper evaluation of distance, flying a non-standard traffic pattern by night and failing to observe altitude minima during the final approach."/>
    <n v="43"/>
    <n v="0.51136363636363635"/>
    <x v="0"/>
  </r>
  <r>
    <n v="1914"/>
    <x v="1752"/>
    <x v="50"/>
    <x v="0"/>
    <d v="1899-12-30T14:26:00"/>
    <s v="Les Prevosts, Guernsey"/>
    <s v="Silver City Airways"/>
    <s v="Unknown"/>
    <s v="Cherboug - Les Prevosts"/>
    <x v="886"/>
    <s v="G-ANWL"/>
    <n v="13260"/>
    <n v="10"/>
    <n v="7"/>
    <n v="3"/>
    <n v="2"/>
    <n v="0"/>
    <n v="2"/>
    <n v="0"/>
    <s v="Failed to gain altitude after a missed approach and crashed. The malfunctioning of the automatic pitch coarsening unit of the starboard propeller. This deprived the captain of the necessary degree of control of the aircraft at a critical stage of the flight."/>
    <n v="8"/>
    <n v="0.2"/>
    <x v="2"/>
  </r>
  <r>
    <n v="1915"/>
    <x v="1753"/>
    <x v="50"/>
    <x v="0"/>
    <d v="1899-12-30T21:24:00"/>
    <s v="Near Richmond, Virginia"/>
    <s v="Imperial Airways"/>
    <s v="201/8"/>
    <s v="Baltimore - Columbia SC"/>
    <x v="825"/>
    <s v="N2737A"/>
    <n v="1976"/>
    <n v="79"/>
    <n v="74"/>
    <n v="5"/>
    <n v="76"/>
    <n v="74"/>
    <n v="2"/>
    <n v="0"/>
    <s v="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
    <n v="3"/>
    <n v="0.96202531645569622"/>
    <x v="1"/>
  </r>
  <r>
    <n v="1916"/>
    <x v="1754"/>
    <x v="50"/>
    <x v="0"/>
    <s v="Unknown"/>
    <s v="Off Puerto Rico"/>
    <s v="Air Haiti International"/>
    <s v="Unknown"/>
    <s v="San Juan, PR - Managua"/>
    <x v="887"/>
    <s v="HH-ABA"/>
    <n v="2615"/>
    <n v="3"/>
    <n v="0"/>
    <n v="3"/>
    <n v="3"/>
    <n v="0"/>
    <n v="3"/>
    <n v="0"/>
    <s v="Went missing en route in the Caribbean Sea."/>
    <n v="0"/>
    <n v="1"/>
    <x v="1"/>
  </r>
  <r>
    <n v="1917"/>
    <x v="1755"/>
    <x v="50"/>
    <x v="0"/>
    <d v="1899-12-30T11:55:00"/>
    <s v="Mt Ruapehu, North Island, New Zealand"/>
    <s v="Bay of Plenty Airways"/>
    <n v="92"/>
    <s v=" Wellington - Rotorua - Tauranga."/>
    <x v="888"/>
    <s v="ZK-BWA"/>
    <s v="437-109"/>
    <n v="6"/>
    <n v="5"/>
    <n v="1"/>
    <n v="6"/>
    <n v="5"/>
    <n v="1"/>
    <n v="0"/>
    <s v="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
    <n v="0"/>
    <n v="1"/>
    <x v="1"/>
  </r>
  <r>
    <n v="1918"/>
    <x v="1756"/>
    <x v="50"/>
    <x v="0"/>
    <s v="Unknown"/>
    <s v=" Harare, Zimbabwe"/>
    <s v="Rhodesian Air Services"/>
    <s v="Unknown"/>
    <s v="Salisbury - Livingstone - Elizabethville"/>
    <x v="45"/>
    <s v="VP-YRX"/>
    <n v="19351"/>
    <n v="3"/>
    <n v="0"/>
    <n v="3"/>
    <n v="3"/>
    <n v="0"/>
    <n v="3"/>
    <n v="0"/>
    <s v="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
    <n v="0"/>
    <n v="1"/>
    <x v="1"/>
  </r>
  <r>
    <n v="1919"/>
    <x v="1757"/>
    <x v="50"/>
    <x v="0"/>
    <d v="1899-12-30T05:40:00"/>
    <s v="Campinas, Brazil"/>
    <s v="Aerolineas Argentinas"/>
    <s v="Unknown"/>
    <s v="Sao Paulo - Trinidad"/>
    <x v="889"/>
    <s v="LV-AHR"/>
    <n v="6430"/>
    <n v="52"/>
    <n v="40"/>
    <n v="12"/>
    <n v="52"/>
    <n v="40"/>
    <n v="12"/>
    <n v="0"/>
    <s v="After reaching an altitude of about 100 m, the aircraft lost altitude, collided with a eucalyptus forest and was destroyed. Pilot error. Failure to operate under IFR in adverse weather conditions at night. Failure to follow the climb procedure."/>
    <n v="0"/>
    <n v="1"/>
    <x v="1"/>
  </r>
  <r>
    <n v="1920"/>
    <x v="1757"/>
    <x v="50"/>
    <x v="0"/>
    <s v="Unknown"/>
    <s v="Sao TomÃ©"/>
    <s v="Military - ForÃ§a AÃ©rea Portuguesa"/>
    <s v="Unknown"/>
    <s v="Unknown"/>
    <x v="573"/>
    <s v="Unknown"/>
    <s v="Unknown"/>
    <n v="35"/>
    <s v="NULL"/>
    <s v="NULL"/>
    <n v="21"/>
    <s v="NULL"/>
    <s v="NULL"/>
    <n v="0"/>
    <s v="No data available"/>
    <n v="14"/>
    <n v="0.6"/>
    <x v="0"/>
  </r>
  <r>
    <n v="1921"/>
    <x v="1758"/>
    <x v="50"/>
    <x v="0"/>
    <d v="1899-12-30T19:25:00"/>
    <s v="Sydney, NSW, Australia"/>
    <s v="Ansett ANA"/>
    <s v="Unknown"/>
    <s v="Sydney - Canberra"/>
    <x v="890"/>
    <s v="VH-TVC"/>
    <n v="46"/>
    <n v="15"/>
    <n v="11"/>
    <n v="4"/>
    <n v="15"/>
    <n v="11"/>
    <n v="4"/>
    <n v="0"/>
    <s v="Crashed 9 minutes after taking off, into Botany Bay, 3 miles south of the airport . In-flight structural failure due to turbulence."/>
    <n v="0"/>
    <n v="1"/>
    <x v="1"/>
  </r>
  <r>
    <n v="1922"/>
    <x v="1759"/>
    <x v="50"/>
    <x v="0"/>
    <d v="1899-12-30T12:30:00"/>
    <s v="Mainz, Germany"/>
    <s v="Lufthansa"/>
    <s v="Unknown"/>
    <s v="Training"/>
    <x v="891"/>
    <s v="D-ABOK"/>
    <s v="18058/202"/>
    <n v="3"/>
    <n v="0"/>
    <n v="3"/>
    <n v="3"/>
    <n v="0"/>
    <n v="3"/>
    <n v="0"/>
    <s v="Crashed into an open field in a steep dive after attempting an emergency landing."/>
    <n v="0"/>
    <n v="1"/>
    <x v="1"/>
  </r>
  <r>
    <n v="1923"/>
    <x v="1760"/>
    <x v="50"/>
    <x v="0"/>
    <d v="1899-12-30T08:45:00"/>
    <s v="Chievres, Belgium"/>
    <s v="Military - Belgian Air Force"/>
    <s v="Unknown"/>
    <s v="Unknown"/>
    <x v="892"/>
    <s v="CP-23 / CP-25"/>
    <s v="10951/ 11082"/>
    <n v="13"/>
    <n v="0"/>
    <n v="13"/>
    <n v="13"/>
    <n v="0"/>
    <n v="13"/>
    <n v="8"/>
    <s v="Midair collision between two C-119s."/>
    <n v="0"/>
    <n v="1"/>
    <x v="1"/>
  </r>
  <r>
    <n v="1924"/>
    <x v="1761"/>
    <x v="50"/>
    <x v="0"/>
    <d v="1899-12-30T11:00:00"/>
    <s v="Managua, Nicaragua"/>
    <s v="Lanica"/>
    <s v="Unknown"/>
    <s v="Managua - Miami"/>
    <x v="469"/>
    <s v="AN-AOE"/>
    <s v="Unknown"/>
    <n v="2"/>
    <n v="0"/>
    <n v="2"/>
    <n v="2"/>
    <n v="0"/>
    <n v="2"/>
    <n v="0"/>
    <s v="The cargo plane cashed while attempting to land. Shifting cargo."/>
    <n v="0"/>
    <n v="1"/>
    <x v="1"/>
  </r>
  <r>
    <n v="1925"/>
    <x v="1762"/>
    <x v="50"/>
    <x v="0"/>
    <d v="1899-12-30T16:00:00"/>
    <s v="Near Chebotovka, Russia"/>
    <s v="Aeroflot"/>
    <n v="245"/>
    <s v="Moscow - Adler"/>
    <x v="855"/>
    <s v="CCCP-75654"/>
    <n v="188000503"/>
    <n v="59"/>
    <n v="50"/>
    <n v="9"/>
    <n v="59"/>
    <n v="50"/>
    <n v="9"/>
    <n v="0"/>
    <s v="The plane made an unconcrolled dive and crashed into a snow covered field. The flight engineer inadvertently caused the flaps to be selected to 40 degrees."/>
    <n v="0"/>
    <n v="1"/>
    <x v="1"/>
  </r>
  <r>
    <n v="1926"/>
    <x v="1763"/>
    <x v="50"/>
    <x v="0"/>
    <d v="1899-12-30T23:34:00"/>
    <s v="Ankara, Turkey"/>
    <s v="British European Airways"/>
    <s v="Unknown"/>
    <s v="Ankara - Nicosia"/>
    <x v="893"/>
    <s v="G-ARJM"/>
    <n v="6456"/>
    <n v="34"/>
    <n v="27"/>
    <n v="7"/>
    <n v="27"/>
    <n v="20"/>
    <n v="7"/>
    <n v="0"/>
    <s v="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
    <n v="7"/>
    <n v="0.79411764705882348"/>
    <x v="1"/>
  </r>
  <r>
    <n v="1927"/>
    <x v="1764"/>
    <x v="50"/>
    <x v="0"/>
    <d v="1899-12-30T10:50:00"/>
    <s v="Old Harbor, Kodiak Island, Alaska"/>
    <s v="Kodiak Airways"/>
    <s v="Unknown"/>
    <s v="Old Harbor - Kaguyak"/>
    <x v="894"/>
    <s v="N1503V"/>
    <n v="1020"/>
    <n v="5"/>
    <n v="4"/>
    <n v="1"/>
    <n v="1"/>
    <n v="1"/>
    <n v="0"/>
    <n v="0"/>
    <s v="Crashed shortly after initial lift-off while making a water takeoff from Old Harbor. Improperly executed takeoff   which resulted in an inadvertent descent into the water. This produced a high-speed low-angle porpoising from which the pilot was unable to recover."/>
    <n v="4"/>
    <n v="0.2"/>
    <x v="2"/>
  </r>
  <r>
    <n v="1928"/>
    <x v="1765"/>
    <x v="50"/>
    <x v="0"/>
    <s v="Unknown"/>
    <s v="Surabaya, Indonesia"/>
    <s v="Garuda Indonesia Airlines"/>
    <s v="Unknown"/>
    <s v="Jakarta -Surabaya"/>
    <x v="277"/>
    <s v="PK-GDZ"/>
    <n v="12514"/>
    <n v="14"/>
    <s v="NULL"/>
    <s v="NULL"/>
    <n v="14"/>
    <s v="NULL"/>
    <s v="NULL"/>
    <n v="0"/>
    <s v="On approach to Surabaya Airport, the plane struck a mountain."/>
    <n v="0"/>
    <n v="1"/>
    <x v="1"/>
  </r>
  <r>
    <n v="1929"/>
    <x v="1766"/>
    <x v="50"/>
    <x v="0"/>
    <d v="1899-12-30T17:58:00"/>
    <s v="Near Mineral Waters, Russia"/>
    <s v="Aeroflot"/>
    <s v="Unknown"/>
    <s v="Tbilisi - Mineral Waters"/>
    <x v="855"/>
    <s v="CCCP-75757"/>
    <n v="181003202"/>
    <n v="119"/>
    <n v="110"/>
    <n v="9"/>
    <n v="32"/>
    <n v="30"/>
    <n v="2"/>
    <n v="0"/>
    <s v="The plane crashed about 3 km southwest of the airport on a second attempt to land at Mineral Waters. Inattention of the crew due to unnecessary interactions among the crew."/>
    <n v="87"/>
    <n v="0.26890756302521007"/>
    <x v="2"/>
  </r>
  <r>
    <n v="1930"/>
    <x v="1767"/>
    <x v="51"/>
    <x v="0"/>
    <s v="Unknown"/>
    <s v="Near Tippi, Ethiopia"/>
    <s v="Ethiopian Airlines"/>
    <s v="Unknown"/>
    <s v="Tippi - Jimma"/>
    <x v="277"/>
    <s v="ET-T-1"/>
    <n v="10053"/>
    <n v="18"/>
    <n v="15"/>
    <n v="3"/>
    <n v="5"/>
    <n v="3"/>
    <n v="2"/>
    <n v="1"/>
    <s v="Swerved off the runway while taking off and struck a structure."/>
    <n v="13"/>
    <n v="0.27777777777777779"/>
    <x v="2"/>
  </r>
  <r>
    <n v="1931"/>
    <x v="1768"/>
    <x v="51"/>
    <x v="0"/>
    <d v="1899-12-30T15:16:00"/>
    <s v="Caranavi ,Bolivia"/>
    <s v="Corporacion Boliviano de Fomento"/>
    <s v="Unknown"/>
    <s v="Unknown"/>
    <x v="438"/>
    <s v="CP-541"/>
    <n v="33579"/>
    <n v="6"/>
    <n v="2"/>
    <n v="4"/>
    <n v="6"/>
    <n v="2"/>
    <n v="4"/>
    <n v="0"/>
    <s v="The cargo plane's right wing tip struck a wall and then the plane crashed into a tree. Pilot error in failing to discontinue takeoff, even after the right wing tip hit the well and broke off, while the aircraft was on the ground during the takeoff run."/>
    <n v="0"/>
    <n v="1"/>
    <x v="1"/>
  </r>
  <r>
    <n v="1932"/>
    <x v="1769"/>
    <x v="51"/>
    <x v="0"/>
    <d v="1899-12-30T18:17:00"/>
    <s v="Batataevka, USSR"/>
    <s v="Aeroflot"/>
    <s v="Unknown"/>
    <s v="Training"/>
    <x v="895"/>
    <s v="CCCP-11148"/>
    <s v="_x0009_ 9400801"/>
    <n v="14"/>
    <n v="0"/>
    <n v="14"/>
    <n v="13"/>
    <n v="0"/>
    <n v="13"/>
    <n v="0"/>
    <s v="Crashed on take off due to engine failure. The No..4 propeller did not feather and the airplane banked to the right, lost speed and crashed."/>
    <n v="1"/>
    <n v="0.9285714285714286"/>
    <x v="1"/>
  </r>
  <r>
    <n v="1933"/>
    <x v="1770"/>
    <x v="51"/>
    <x v="0"/>
    <d v="1899-12-30T10:05:00"/>
    <s v="Near Tino Maria, Peru"/>
    <s v="Faucett"/>
    <s v="Unknown"/>
    <s v="Huanuco - Pucallpa"/>
    <x v="277"/>
    <s v="OB-PBH-530"/>
    <n v="7331"/>
    <n v="18"/>
    <n v="15"/>
    <n v="3"/>
    <n v="18"/>
    <n v="15"/>
    <n v="3"/>
    <n v="0"/>
    <s v="While flying at FL 150, the pilot radioed he was returning to Huanuco because of bad weather. Soon after, the plane was seen spiraling towards the ground and witnesses heard the engines accelerate before the aircraft hit a hill. Separation of the left elevator in flight."/>
    <n v="0"/>
    <n v="1"/>
    <x v="1"/>
  </r>
  <r>
    <n v="1934"/>
    <x v="1771"/>
    <x v="51"/>
    <x v="0"/>
    <s v="Unknown"/>
    <s v="Portlamar, Margarita Island, Venezuela"/>
    <s v="Avensa"/>
    <s v="Unknown"/>
    <s v="Porlamar - Cumana"/>
    <x v="896"/>
    <s v="YV-C-EVH"/>
    <n v="12"/>
    <n v="23"/>
    <n v="20"/>
    <n v="3"/>
    <n v="23"/>
    <n v="20"/>
    <n v="3"/>
    <n v="0"/>
    <s v="Approximately 10 minutes after takeoff , for a scheduled flight to Cumana, the aircraft crashed into the San Juan Mountains."/>
    <n v="0"/>
    <n v="1"/>
    <x v="1"/>
  </r>
  <r>
    <n v="1935"/>
    <x v="1771"/>
    <x v="51"/>
    <x v="0"/>
    <d v="1899-12-30T14:35:00"/>
    <s v="Municipio de Marulanda, Colombia"/>
    <s v="Avianca"/>
    <s v="Unknown"/>
    <s v="Manizales - Bogota"/>
    <x v="402"/>
    <s v="HK-502"/>
    <n v="19653"/>
    <n v="2"/>
    <n v="0"/>
    <n v="2"/>
    <n v="2"/>
    <n v="0"/>
    <n v="2"/>
    <n v="0"/>
    <s v="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
    <n v="0"/>
    <n v="1"/>
    <x v="1"/>
  </r>
  <r>
    <n v="1936"/>
    <x v="1772"/>
    <x v="51"/>
    <x v="0"/>
    <d v="1899-12-30T10:09:00"/>
    <s v="Jamaica Bay, New York, New York"/>
    <s v="American Airlines"/>
    <n v="1"/>
    <s v="New York City - Los Angeles"/>
    <x v="897"/>
    <s v="N7506A"/>
    <s v="17633/12"/>
    <n v="95"/>
    <n v="87"/>
    <n v="8"/>
    <n v="95"/>
    <n v="87"/>
    <n v="8"/>
    <n v="0"/>
    <s v="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
    <n v="0"/>
    <n v="1"/>
    <x v="1"/>
  </r>
  <r>
    <n v="1937"/>
    <x v="1773"/>
    <x v="51"/>
    <x v="0"/>
    <d v="1899-12-30T18:20:00"/>
    <s v="Douala, Cameroon"/>
    <s v="Caledonian Airways"/>
    <n v="153"/>
    <s v="Douala - Lisboa"/>
    <x v="791"/>
    <s v="G-ARUD"/>
    <s v="45160/754"/>
    <n v="111"/>
    <n v="101"/>
    <n v="10"/>
    <n v="111"/>
    <n v="101"/>
    <n v="10"/>
    <n v="0"/>
    <s v="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
    <n v="0"/>
    <n v="1"/>
    <x v="1"/>
  </r>
  <r>
    <n v="1938"/>
    <x v="1774"/>
    <x v="51"/>
    <x v="0"/>
    <d v="1899-12-30T14:15:00"/>
    <s v="Near Seymour, South Africa"/>
    <s v="South African Airways"/>
    <n v="512"/>
    <s v="Grahamtown - Queentown"/>
    <x v="277"/>
    <s v="ZS-DJC"/>
    <s v="16189/32937"/>
    <n v="7"/>
    <n v="3"/>
    <n v="4"/>
    <n v="2"/>
    <n v="0"/>
    <n v="2"/>
    <n v="0"/>
    <s v="Crashed into a mountain. Error in judgement by the pilot-in-command who attempted a low visual flight, beneath the cloud base, near mountains, in deteriorating weather conditions."/>
    <n v="5"/>
    <n v="0.2857142857142857"/>
    <x v="2"/>
  </r>
  <r>
    <n v="1939"/>
    <x v="1775"/>
    <x v="51"/>
    <x v="0"/>
    <d v="1899-12-30T23:00:00"/>
    <s v="Rome, Italy"/>
    <s v="Societa Aerea Mediterranea"/>
    <s v="Unknown"/>
    <s v="Khartoum - Rome"/>
    <x v="626"/>
    <s v="I-DIMO"/>
    <s v="44254/456"/>
    <n v="5"/>
    <n v="0"/>
    <n v="5"/>
    <n v="5"/>
    <n v="0"/>
    <n v="5"/>
    <n v="0"/>
    <s v="The cargo plane crashed into Mt. Velino while en route.  Premature descent on part of the crew."/>
    <n v="0"/>
    <n v="1"/>
    <x v="1"/>
  </r>
  <r>
    <n v="1940"/>
    <x v="1775"/>
    <x v="51"/>
    <x v="0"/>
    <d v="1899-12-30T17:30:00"/>
    <s v="Near Alencon, France"/>
    <s v="Military - U.S. Air Force"/>
    <s v="Unknown"/>
    <s v="Training exercise"/>
    <x v="805"/>
    <s v="55-0020"/>
    <n v="3047"/>
    <n v="15"/>
    <n v="13"/>
    <n v="2"/>
    <n v="15"/>
    <n v="13"/>
    <n v="2"/>
    <n v="0"/>
    <s v="The transport was taking part in a parachute drop mission with five other aircraft when it crashed."/>
    <n v="0"/>
    <n v="1"/>
    <x v="1"/>
  </r>
  <r>
    <n v="1941"/>
    <x v="1775"/>
    <x v="51"/>
    <x v="0"/>
    <d v="1899-12-30T17:43:00"/>
    <s v="Mt. Medetsiz, Turkey"/>
    <s v="Turkish Airlines (THY)"/>
    <s v="Unknown"/>
    <s v="Ankara - Adana"/>
    <x v="896"/>
    <s v="TC-KOP"/>
    <n v="83"/>
    <n v="11"/>
    <n v="8"/>
    <n v="3"/>
    <n v="11"/>
    <n v="8"/>
    <n v="3"/>
    <n v="0"/>
    <s v="Crashed into a mountain at an altitude of 6,800 ft. while en route in poor weather. In avoiding cumulus clouds and turbulent conditions the pilot was not able to keep track of his exact position or maintain exact altitude."/>
    <n v="0"/>
    <n v="1"/>
    <x v="1"/>
  </r>
  <r>
    <n v="1942"/>
    <x v="1776"/>
    <x v="51"/>
    <x v="0"/>
    <d v="1899-12-30T00:30:00"/>
    <s v="Western Pacific Ocean, Philippine Sea"/>
    <s v="Flying Tiger Line"/>
    <s v="739/14"/>
    <s v="Travis AFB - Honolulu - Agana, Guam - Clark AFB -Saigon"/>
    <x v="796"/>
    <s v="N6921C"/>
    <n v="4817"/>
    <n v="107"/>
    <n v="96"/>
    <n v="11"/>
    <n v="107"/>
    <n v="96"/>
    <n v="11"/>
    <n v="0"/>
    <s v="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
    <n v="0"/>
    <n v="1"/>
    <x v="1"/>
  </r>
  <r>
    <n v="1943"/>
    <x v="1776"/>
    <x v="51"/>
    <x v="0"/>
    <d v="1899-12-30T01:14:00"/>
    <s v="Adak, Alaska"/>
    <s v="Flying Tiger Line"/>
    <n v="7816"/>
    <s v="Cold Bay, AK - Adak, AK"/>
    <x v="796"/>
    <s v="N6911C"/>
    <n v="4804"/>
    <n v="7"/>
    <n v="0"/>
    <n v="7"/>
    <n v="1"/>
    <n v="0"/>
    <n v="1"/>
    <n v="0"/>
    <s v="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
    <n v="6"/>
    <n v="0.14285714285714285"/>
    <x v="2"/>
  </r>
  <r>
    <n v="1944"/>
    <x v="1777"/>
    <x v="51"/>
    <x v="0"/>
    <d v="1899-12-30T20:30:00"/>
    <s v="Algeria"/>
    <s v="Military - French Air Force"/>
    <s v="Unknown"/>
    <s v="Ouargla - Boufarik"/>
    <x v="823"/>
    <n v="204"/>
    <n v="204"/>
    <n v="11"/>
    <n v="8"/>
    <n v="3"/>
    <n v="11"/>
    <n v="8"/>
    <n v="3"/>
    <n v="0"/>
    <s v="While approaching Boufarik AFB by night and poor weather conditions, the plane struck the slope of a mountain located near Col des Deux Bassins, about 38 km southeast of Boufarik Airfield."/>
    <n v="0"/>
    <n v="1"/>
    <x v="1"/>
  </r>
  <r>
    <n v="1945"/>
    <x v="1778"/>
    <x v="51"/>
    <x v="0"/>
    <d v="1899-12-30T17:45:00"/>
    <s v="Santiago de Cuba, Cuba"/>
    <s v="Cubana de Aviacion"/>
    <s v="Unknown"/>
    <s v="Santiago de Cuba - Havana"/>
    <x v="813"/>
    <s v="CU-T819"/>
    <s v="Unknown"/>
    <n v="22"/>
    <n v="18"/>
    <n v="4"/>
    <n v="22"/>
    <n v="18"/>
    <n v="4"/>
    <n v="0"/>
    <s v="Crashed shortly after takeoff into the sea 1 mile offshore and sank. The weather was clear."/>
    <n v="0"/>
    <n v="1"/>
    <x v="1"/>
  </r>
  <r>
    <n v="1946"/>
    <x v="1779"/>
    <x v="51"/>
    <x v="0"/>
    <d v="1899-12-30T15:00:00"/>
    <s v="Near Villavicencio, Colombia"/>
    <s v="Military - Colombian Air Force"/>
    <s v="Unknown"/>
    <s v="Bogota - Araracuara - Villavicencio"/>
    <x v="368"/>
    <s v="FAC-563"/>
    <s v="Unknown"/>
    <n v="31"/>
    <n v="26"/>
    <n v="5"/>
    <n v="31"/>
    <n v="26"/>
    <n v="5"/>
    <n v="0"/>
    <s v="Due to winds, the aircraft was 10 degrees off course as it prepared to land at Villavicencio and crashed into a 11,500 ft. mountain."/>
    <n v="0"/>
    <n v="1"/>
    <x v="1"/>
  </r>
  <r>
    <n v="1947"/>
    <x v="1780"/>
    <x v="51"/>
    <x v="0"/>
    <s v="Unknown"/>
    <s v="Near Hong Kong"/>
    <s v="Military - U.S. Air Force"/>
    <s v="Unknown"/>
    <s v="Hong Kong - Formosa"/>
    <x v="368"/>
    <s v="Unknown"/>
    <s v="Unknown"/>
    <n v="16"/>
    <n v="10"/>
    <n v="6"/>
    <n v="15"/>
    <n v="10"/>
    <n v="5"/>
    <n v="0"/>
    <s v="Crashed into a fog-shrouded mountain minutes after taking off from Hong Kong airport."/>
    <n v="1"/>
    <n v="0.9375"/>
    <x v="1"/>
  </r>
  <r>
    <n v="1948"/>
    <x v="1781"/>
    <x v="51"/>
    <x v="0"/>
    <d v="1899-12-30T10:45:00"/>
    <s v="Serrania del Baudo, Colombia"/>
    <s v="AVISPA"/>
    <s v="Unknown"/>
    <s v="Bahia Solano - Quibdo"/>
    <x v="898"/>
    <s v="HK-524"/>
    <n v="12075"/>
    <n v="40"/>
    <n v="36"/>
    <n v="4"/>
    <n v="40"/>
    <n v="36"/>
    <n v="4"/>
    <n v="0"/>
    <s v="Nothing was heard from the aircraft after departing Bahia Solano. The wreckage was found 4 days later, 31 miles from the airport on Bonito Peak at an elevation of 2,400ft."/>
    <n v="0"/>
    <n v="1"/>
    <x v="1"/>
  </r>
  <r>
    <n v="1949"/>
    <x v="1782"/>
    <x v="51"/>
    <x v="0"/>
    <d v="1899-12-30T13:29:00"/>
    <s v="_x0009_St. Boniface Down, England"/>
    <s v="Channel Airways"/>
    <s v="Unknown"/>
    <s v="Jersey, Channel Islands - Portsmouth, England"/>
    <x v="402"/>
    <s v="G-AGZB"/>
    <n v="12180"/>
    <n v="18"/>
    <n v="15"/>
    <n v="3"/>
    <n v="12"/>
    <n v="9"/>
    <n v="3"/>
    <n v="0"/>
    <s v="The plane descended to 1,000 ft while approaching Portsmouth in low clouds and drizzle and stuck St. Boniface and bust into flames. Pilot error. Crew flew below minimum safe altitude."/>
    <n v="6"/>
    <n v="0.66666666666666663"/>
    <x v="1"/>
  </r>
  <r>
    <n v="1950"/>
    <x v="1783"/>
    <x v="51"/>
    <x v="0"/>
    <s v="Unknown"/>
    <s v="Near Mong Pa Liao, Burma"/>
    <s v="Military - Union of Burma Air Force"/>
    <s v="Unknown"/>
    <s v=" Tachilek - Mandalay"/>
    <x v="368"/>
    <s v="UB-BG-707"/>
    <s v="Unknown"/>
    <n v="32"/>
    <n v="28"/>
    <n v="4"/>
    <n v="32"/>
    <n v="28"/>
    <n v="4"/>
    <n v="0"/>
    <s v="The plane crashed and burned in a ravine after experiencing engine failue minutes after taking off."/>
    <n v="0"/>
    <n v="1"/>
    <x v="1"/>
  </r>
  <r>
    <n v="1951"/>
    <x v="1784"/>
    <x v="51"/>
    <x v="0"/>
    <d v="1899-12-30T19:30:00"/>
    <s v="Vitoria, Brazil"/>
    <s v="Cruzeiro"/>
    <s v="Unknown"/>
    <s v="Rio de Janerio - Vitoria"/>
    <x v="640"/>
    <s v="PP-CEZ"/>
    <n v="25"/>
    <n v="25"/>
    <n v="22"/>
    <n v="3"/>
    <n v="23"/>
    <n v="20"/>
    <n v="3"/>
    <n v="0"/>
    <s v="Crashed into trees short of the runway while on approach. Approach not carried out in accordance with company procedures and misjudgement of his distance from the runway."/>
    <n v="2"/>
    <n v="0.92"/>
    <x v="1"/>
  </r>
  <r>
    <n v="1952"/>
    <x v="1785"/>
    <x v="51"/>
    <x v="0"/>
    <d v="1899-12-30T10:55:00"/>
    <s v="Godthaab, Greenland"/>
    <s v="East Provincial Airways"/>
    <s v="Unknown"/>
    <s v="Sondre Stromfjord - Godthab"/>
    <x v="899"/>
    <s v="CF-IHA"/>
    <s v="CV-365"/>
    <n v="21"/>
    <n v="18"/>
    <n v="3"/>
    <n v="15"/>
    <n v="15"/>
    <n v="0"/>
    <n v="0"/>
    <s v="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
    <n v="6"/>
    <n v="0.7142857142857143"/>
    <x v="1"/>
  </r>
  <r>
    <n v="1953"/>
    <x v="1786"/>
    <x v="51"/>
    <x v="0"/>
    <s v="Unknown"/>
    <s v="Near Cairo, Egypt"/>
    <s v="United Arab Airlines"/>
    <s v="Unknown"/>
    <s v="Cairo, Egypt  - Beirut, Lebanon"/>
    <x v="277"/>
    <s v="SU-AJM"/>
    <s v="Unknown"/>
    <n v="3"/>
    <n v="0"/>
    <n v="3"/>
    <n v="3"/>
    <n v="0"/>
    <n v="3"/>
    <n v="0"/>
    <s v="The cargo plane crashed shortly after taking off."/>
    <n v="0"/>
    <n v="1"/>
    <x v="1"/>
  </r>
  <r>
    <n v="1954"/>
    <x v="1787"/>
    <x v="51"/>
    <x v="0"/>
    <s v="Unknown"/>
    <s v="Near Nairobi, Kenya"/>
    <s v="Military - U.S. Air Force"/>
    <s v="Unknown"/>
    <s v=" Tripoli - Nairobi"/>
    <x v="805"/>
    <s v="56-0546"/>
    <n v="3154"/>
    <n v="13"/>
    <n v="7"/>
    <n v="6"/>
    <n v="13"/>
    <n v="7"/>
    <n v="6"/>
    <n v="0"/>
    <s v="Struck a mountain in poor weather conditons."/>
    <n v="0"/>
    <n v="1"/>
    <x v="1"/>
  </r>
  <r>
    <n v="1955"/>
    <x v="1788"/>
    <x v="51"/>
    <x v="0"/>
    <d v="1899-12-30T11:40:00"/>
    <s v="Near Markt Schwaben, West Germany"/>
    <s v="Military - U.S. Navy"/>
    <s v="Unknown"/>
    <s v="Unknown"/>
    <x v="900"/>
    <n v="131390"/>
    <n v="4310"/>
    <n v="26"/>
    <n v="22"/>
    <n v="4"/>
    <n v="26"/>
    <n v="22"/>
    <n v="4"/>
    <n v="0"/>
    <s v="After departing Rhein-Main Air Base, the pilot sent a distress message requesting an emergency landing.  Soon after, the aircraft disintegrated losing it's left wing. Some sort of undetermined emergency led to explosive decompression which led to the destruction of the plane."/>
    <n v="0"/>
    <n v="1"/>
    <x v="1"/>
  </r>
  <r>
    <n v="1956"/>
    <x v="1788"/>
    <x v="51"/>
    <x v="0"/>
    <d v="1899-12-30T21:21:00"/>
    <s v="Near Unionville, Missouri"/>
    <s v="Continental Airlines"/>
    <n v="11"/>
    <s v="Chicago - Kansas City, MO"/>
    <x v="901"/>
    <s v="N70775"/>
    <s v="17611/49"/>
    <n v="45"/>
    <n v="37"/>
    <n v="8"/>
    <n v="45"/>
    <n v="37"/>
    <n v="8"/>
    <n v="0"/>
    <s v="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
    <n v="0"/>
    <n v="1"/>
    <x v="1"/>
  </r>
  <r>
    <n v="1957"/>
    <x v="1789"/>
    <x v="51"/>
    <x v="0"/>
    <d v="1899-12-30T18:53:00"/>
    <s v="Bitter, Russia"/>
    <s v="Aeroflot"/>
    <n v="56"/>
    <s v="Bitter - Moscow"/>
    <x v="519"/>
    <s v="CCCP-54997"/>
    <n v="23443509"/>
    <n v="21"/>
    <n v="17"/>
    <n v="4"/>
    <n v="20"/>
    <n v="16"/>
    <n v="4"/>
    <n v="0"/>
    <s v="The plane lost an engine on take off and crashed 7 km southeast of the Airport."/>
    <n v="1"/>
    <n v="0.95238095238095233"/>
    <x v="1"/>
  </r>
  <r>
    <n v="1958"/>
    <x v="1790"/>
    <x v="51"/>
    <x v="0"/>
    <d v="1899-12-30T12:35:00"/>
    <s v="Villeneuve-le-Roi, Val-de-Marne, France"/>
    <s v="Air France"/>
    <n v="7"/>
    <s v="Paris - New York City"/>
    <x v="902"/>
    <s v="F-BHSM"/>
    <s v="17920/159"/>
    <n v="132"/>
    <n v="122"/>
    <n v="10"/>
    <n v="130"/>
    <n v="122"/>
    <n v="8"/>
    <n v="0"/>
    <s v="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n v="2"/>
    <n v="0.98484848484848486"/>
    <x v="1"/>
  </r>
  <r>
    <n v="1959"/>
    <x v="1791"/>
    <x v="51"/>
    <x v="0"/>
    <d v="1899-12-30T05:33:00"/>
    <s v="Sofia, Bulgaria"/>
    <s v="Aeroflot"/>
    <s v="Unknown"/>
    <s v="Sofia - Moscow"/>
    <x v="881"/>
    <s v="CCCP-42491"/>
    <n v="21604"/>
    <n v="5"/>
    <n v="0"/>
    <n v="5"/>
    <n v="5"/>
    <n v="0"/>
    <n v="5"/>
    <n v="0"/>
    <s v="The cargo plane struck a mountain after losing an engine."/>
    <n v="0"/>
    <n v="1"/>
    <x v="1"/>
  </r>
  <r>
    <n v="1960"/>
    <x v="1792"/>
    <x v="51"/>
    <x v="0"/>
    <d v="1899-12-30T04:01:00"/>
    <s v="Basse-Terre, Guadaloupe, West Indies"/>
    <s v="Air France"/>
    <n v="117"/>
    <s v="Paris - Pointe-a Pitre - Santaigo"/>
    <x v="902"/>
    <s v="F-BHST"/>
    <s v="18247/274"/>
    <n v="112"/>
    <n v="102"/>
    <n v="10"/>
    <n v="112"/>
    <n v="102"/>
    <n v="10"/>
    <n v="0"/>
    <s v="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quot;Chateau de Chantilly.&quot;"/>
    <n v="0"/>
    <n v="1"/>
    <x v="1"/>
  </r>
  <r>
    <n v="1961"/>
    <x v="1793"/>
    <x v="51"/>
    <x v="0"/>
    <s v="Unknown"/>
    <s v="Near Adler, Russia"/>
    <s v="Aeroflot"/>
    <s v="Unknown"/>
    <s v="Lvov - Sochi"/>
    <x v="895"/>
    <s v="CCCP11186"/>
    <s v="Unknown"/>
    <n v="81"/>
    <n v="74"/>
    <n v="7"/>
    <n v="81"/>
    <n v="74"/>
    <n v="7"/>
    <n v="0"/>
    <s v="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
    <n v="0"/>
    <n v="1"/>
    <x v="1"/>
  </r>
  <r>
    <n v="1962"/>
    <x v="1794"/>
    <x v="51"/>
    <x v="0"/>
    <d v="1899-12-30T20:53:00"/>
    <s v="Near Krasnoyarsk, USSR"/>
    <s v="Aeroflot"/>
    <n v="902"/>
    <s v="Irkutsk - Omsk"/>
    <x v="808"/>
    <s v="CCCP-42370"/>
    <n v="86601301"/>
    <n v="84"/>
    <n v="76"/>
    <n v="8"/>
    <n v="84"/>
    <n v="76"/>
    <n v="8"/>
    <n v="0"/>
    <s v="The aircraft went into an uncontrollable dive from FL 290."/>
    <n v="0"/>
    <n v="1"/>
    <x v="1"/>
  </r>
  <r>
    <n v="1963"/>
    <x v="1795"/>
    <x v="51"/>
    <x v="0"/>
    <d v="1899-12-30T12:15:00"/>
    <s v="Near Tashkent, Uzbekistan, USSR"/>
    <s v="Aeroflot"/>
    <n v="40"/>
    <s v="Bukhara - Tashkent"/>
    <x v="813"/>
    <s v="CCCP-91554"/>
    <s v="_x0009_147001216"/>
    <n v="38"/>
    <n v="33"/>
    <n v="5"/>
    <n v="11"/>
    <n v="11"/>
    <n v="0"/>
    <n v="0"/>
    <s v="The crew reported losing the right engine. The plane lost altitude as the crew tried to make it to Tashkent. The aircraft  crashed into a cotton field, broke in three and caught fire."/>
    <n v="27"/>
    <n v="0.28947368421052633"/>
    <x v="2"/>
  </r>
  <r>
    <n v="1964"/>
    <x v="1796"/>
    <x v="51"/>
    <x v="0"/>
    <d v="1899-12-30T00:10:00"/>
    <s v="Near Junnar, Maharashtra, India"/>
    <s v="Alitalia"/>
    <n v="771"/>
    <s v="Bangkok - Bombay"/>
    <x v="903"/>
    <s v="I-DIWD"/>
    <s v="45631/160"/>
    <n v="94"/>
    <n v="85"/>
    <n v="9"/>
    <n v="94"/>
    <n v="85"/>
    <n v="9"/>
    <n v="0"/>
    <s v="The aircraft crashed into a hill near Bombay, India, at an elevation of 3,600 ft. 50 miles ENE of the airport. Navigational error.  Premature descent. Crew did not use navigational facilities available."/>
    <n v="0"/>
    <n v="1"/>
    <x v="1"/>
  </r>
  <r>
    <n v="1965"/>
    <x v="1797"/>
    <x v="51"/>
    <x v="0"/>
    <d v="1899-12-30T23:42:00"/>
    <s v="Off Brindisi, Italy"/>
    <s v="Trans Mediterranean Airways"/>
    <s v="Unknown"/>
    <s v="Unknown"/>
    <x v="487"/>
    <s v="OD-AEC"/>
    <n v="42918"/>
    <n v="6"/>
    <n v="0"/>
    <n v="6"/>
    <n v="6"/>
    <n v="0"/>
    <n v="6"/>
    <n v="0"/>
    <s v="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
    <n v="0"/>
    <n v="1"/>
    <x v="1"/>
  </r>
  <r>
    <n v="1966"/>
    <x v="1798"/>
    <x v="51"/>
    <x v="0"/>
    <s v="Unknown"/>
    <s v="Near Lahore, Pakistan"/>
    <s v="Indian Airlines"/>
    <s v="Unknown"/>
    <s v="Kabul  - Amritsar, India"/>
    <x v="402"/>
    <s v="VT-AUS"/>
    <n v="20289"/>
    <n v="3"/>
    <n v="0"/>
    <n v="3"/>
    <n v="1"/>
    <n v="0"/>
    <n v="1"/>
    <n v="0"/>
    <s v="A vulture crashed through the cockpit window and killed the copilot."/>
    <n v="2"/>
    <n v="0.33333333333333331"/>
    <x v="2"/>
  </r>
  <r>
    <n v="1967"/>
    <x v="1799"/>
    <x v="51"/>
    <x v="0"/>
    <s v="Unknown"/>
    <s v="Near Loheshyphn, India"/>
    <s v="Kalinga Airlines"/>
    <s v="Unknown"/>
    <s v=" Jorhat - Jorhat"/>
    <x v="368"/>
    <s v="VT-DFZ"/>
    <n v="4647"/>
    <n v="9"/>
    <n v="6"/>
    <n v="3"/>
    <n v="9"/>
    <n v="6"/>
    <n v="3"/>
    <n v="0"/>
    <s v="En route, he encountered poor weather conditions and the airplane entered a narrow valley in low visibility. The pilot realized the situation and attempted a sharp turn to return when the airplane stalled, struck the ground and crashed.."/>
    <n v="0"/>
    <n v="1"/>
    <x v="1"/>
  </r>
  <r>
    <n v="1968"/>
    <x v="1800"/>
    <x v="51"/>
    <x v="0"/>
    <d v="1899-12-30T15:45:00"/>
    <s v="Near Bangkok, Thailand"/>
    <s v="United Arab Airlines"/>
    <n v="869"/>
    <s v="Hong Kong - Bangkok"/>
    <x v="904"/>
    <s v="SU-AMW"/>
    <n v="6464"/>
    <n v="26"/>
    <n v="18"/>
    <n v="8"/>
    <n v="26"/>
    <n v="18"/>
    <n v="8"/>
    <n v="0"/>
    <s v="Crashed into a jungle on the side of a mountain, 52 nm from the Bangkok airport while on approach. Premature descent. Navigational error."/>
    <n v="0"/>
    <n v="1"/>
    <x v="1"/>
  </r>
  <r>
    <n v="1969"/>
    <x v="1801"/>
    <x v="51"/>
    <x v="0"/>
    <d v="1899-12-30T23:19:00"/>
    <s v="Honolulu, Hawaii"/>
    <s v="Canadian Pacific Air Lines"/>
    <n v="323"/>
    <s v="Honolulu - Nadi, Fiji"/>
    <x v="905"/>
    <s v="CF-CZB"/>
    <n v="13394"/>
    <n v="40"/>
    <n v="29"/>
    <n v="11"/>
    <n v="27"/>
    <n v="20"/>
    <n v="7"/>
    <n v="0"/>
    <s v="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n v="13"/>
    <n v="0.67500000000000004"/>
    <x v="1"/>
  </r>
  <r>
    <n v="1970"/>
    <x v="1802"/>
    <x v="51"/>
    <x v="0"/>
    <d v="1899-12-30T15:41:00"/>
    <s v="Sochi, Russia"/>
    <s v="Aeroflot"/>
    <n v="415"/>
    <s v="Lviv - Simferopol - Sochi"/>
    <x v="895"/>
    <s v="CCCP-11186"/>
    <n v="402003"/>
    <n v="81"/>
    <n v="74"/>
    <n v="7"/>
    <n v="81"/>
    <n v="74"/>
    <n v="7"/>
    <n v="0"/>
    <s v="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
    <n v="0"/>
    <n v="1"/>
    <x v="1"/>
  </r>
  <r>
    <n v="1971"/>
    <x v="1803"/>
    <x v="51"/>
    <x v="0"/>
    <s v="Unknown"/>
    <s v="Coulommiers, France"/>
    <s v="Air France"/>
    <s v="Unknown"/>
    <s v="Training"/>
    <x v="277"/>
    <s v="F-BAOE"/>
    <n v="11769"/>
    <n v="8"/>
    <n v="0"/>
    <n v="8"/>
    <n v="4"/>
    <n v="0"/>
    <n v="4"/>
    <n v="0"/>
    <s v="After rotation, the airplane encountered difficulties in gaining height and struck a truck with one of its wing."/>
    <n v="4"/>
    <n v="0.5"/>
    <x v="0"/>
  </r>
  <r>
    <n v="1972"/>
    <x v="1804"/>
    <x v="51"/>
    <x v="0"/>
    <d v="1899-12-30T13:15:00"/>
    <s v="Near Kathmandu, Nepal"/>
    <s v="Royal Nepal Airlines"/>
    <s v="Unknown"/>
    <s v="Katmandu - New Deli"/>
    <x v="277"/>
    <s v="9N-AAH"/>
    <n v="6216"/>
    <n v="10"/>
    <n v="6"/>
    <n v="4"/>
    <n v="10"/>
    <n v="6"/>
    <n v="4"/>
    <n v="0"/>
    <s v="Crashed into a 11,200 ft. mountain, 100 miles from New Deli. Dirfted off course to the north of the intended track."/>
    <n v="0"/>
    <n v="1"/>
    <x v="1"/>
  </r>
  <r>
    <n v="1973"/>
    <x v="1805"/>
    <x v="51"/>
    <x v="0"/>
    <d v="1899-12-30T22:08:00"/>
    <s v="Rio de Janeiro, Brazil"/>
    <s v="Panair do Brazil"/>
    <s v="Unknown"/>
    <s v="Rio de Janeiro - Lisbon"/>
    <x v="906"/>
    <s v="PP-PDT"/>
    <s v="45273/121"/>
    <n v="105"/>
    <n v="94"/>
    <n v="11"/>
    <n v="15"/>
    <n v="14"/>
    <n v="1"/>
    <n v="0"/>
    <s v="Rejected takeoff. Overran runway into the sea. Incorrect stabilizer setting. Stablizer setting changed from nose-up to nose-down position. Delayed decision to abort takeoff."/>
    <n v="90"/>
    <n v="0.14285714285714285"/>
    <x v="2"/>
  </r>
  <r>
    <n v="1974"/>
    <x v="1806"/>
    <x v="51"/>
    <x v="0"/>
    <d v="1899-12-30T15:57:00"/>
    <s v="Barrancabermeja, Colombia"/>
    <s v="Taxader Airlines"/>
    <s v="Unknown"/>
    <s v="Berranca Bermeja - Bucaramanga"/>
    <x v="277"/>
    <s v="HK-794"/>
    <n v="4551"/>
    <n v="32"/>
    <n v="29"/>
    <n v="3"/>
    <n v="20"/>
    <n v="18"/>
    <n v="2"/>
    <n v="0"/>
    <s v="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
    <n v="12"/>
    <n v="0.625"/>
    <x v="0"/>
  </r>
  <r>
    <n v="1975"/>
    <x v="1807"/>
    <x v="51"/>
    <x v="0"/>
    <s v="Unknown"/>
    <s v="Cerro Puena Paz, Peru"/>
    <s v="Faucett"/>
    <s v="Unknown"/>
    <s v="Unknown"/>
    <x v="277"/>
    <s v="OB-PBN-659"/>
    <n v="25839"/>
    <n v="9"/>
    <n v="6"/>
    <n v="3"/>
    <n v="9"/>
    <n v="6"/>
    <n v="3"/>
    <n v="0"/>
    <s v="Crashed into the jungle near San Ramon."/>
    <n v="0"/>
    <n v="1"/>
    <x v="1"/>
  </r>
  <r>
    <n v="1976"/>
    <x v="1808"/>
    <x v="51"/>
    <x v="0"/>
    <d v="1899-12-30T16:55:00"/>
    <s v="Yanoyaki, Japan"/>
    <s v="Military - Japan Maritime Self Defense Force"/>
    <s v="Unknown"/>
    <s v="Unknown"/>
    <x v="907"/>
    <s v="KA-4628"/>
    <s v="Unknown"/>
    <n v="12"/>
    <n v="0"/>
    <n v="12"/>
    <n v="12"/>
    <n v="0"/>
    <n v="12"/>
    <n v="1"/>
    <s v="On a disaster relief mission, the plane clipped tree tops and crashed."/>
    <n v="0"/>
    <n v="1"/>
    <x v="1"/>
  </r>
  <r>
    <n v="1977"/>
    <x v="1808"/>
    <x v="51"/>
    <x v="0"/>
    <d v="1899-12-30T04:52:00"/>
    <s v="Near Khabarovsk, USSR"/>
    <s v="Aeroflot"/>
    <n v="3"/>
    <s v="Khabarovk - Petropavlovsk"/>
    <x v="808"/>
    <s v="CCCP-42366"/>
    <n v="86601103"/>
    <n v="86"/>
    <n v="79"/>
    <n v="7"/>
    <n v="86"/>
    <n v="79"/>
    <n v="7"/>
    <n v="0"/>
    <s v="The airliner crashed and burned 10 minutes after taking off from Khabarovsk Airport.The crew reported that they were experiencing shaking and uncontrollable roll and yaw."/>
    <n v="0"/>
    <n v="1"/>
    <x v="1"/>
  </r>
  <r>
    <n v="1978"/>
    <x v="1809"/>
    <x v="51"/>
    <x v="0"/>
    <d v="1899-12-30T21:00:00"/>
    <s v="Near Lake Milton, Ohio"/>
    <s v="Private - Ashland Oil Company"/>
    <s v="Unknown"/>
    <s v=" Buffalo - Ashland"/>
    <x v="345"/>
    <s v="N1000F"/>
    <n v="2463"/>
    <n v="13"/>
    <n v="11"/>
    <n v="2"/>
    <n v="13"/>
    <n v="11"/>
    <n v="2"/>
    <n v="0"/>
    <s v="The aircraft lost its right wing in flight, crashed and burned in a field. Malfunction of the electric elevator trim tab unit which resulted in aircraft uncontrollability and subsequent structural failure of the wing."/>
    <n v="0"/>
    <n v="1"/>
    <x v="1"/>
  </r>
  <r>
    <n v="1979"/>
    <x v="1810"/>
    <x v="51"/>
    <x v="0"/>
    <d v="1899-12-30T09:10:00"/>
    <s v="Brno, Czechoslovakia"/>
    <s v="Ceskoslovenske Aerolinie"/>
    <s v="Unknown"/>
    <s v="Bratislava - Brno"/>
    <x v="872"/>
    <s v="OK-MCT"/>
    <n v="90807103"/>
    <n v="34"/>
    <n v="31"/>
    <n v="3"/>
    <n v="11"/>
    <n v="8"/>
    <n v="3"/>
    <n v="0"/>
    <s v="Crashed on approach."/>
    <n v="23"/>
    <n v="0.3235294117647059"/>
    <x v="2"/>
  </r>
  <r>
    <n v="1980"/>
    <x v="1810"/>
    <x v="51"/>
    <x v="0"/>
    <d v="1899-12-30T11:05:00"/>
    <s v="Near Milan, Washington"/>
    <s v="Military - U.S. Air Force"/>
    <s v="Unknown"/>
    <s v="Ellsworth AFB - Fairchild AFB"/>
    <x v="794"/>
    <s v="60-0352"/>
    <n v="18127"/>
    <n v="44"/>
    <n v="40"/>
    <n v="4"/>
    <n v="44"/>
    <n v="40"/>
    <n v="4"/>
    <n v="0"/>
    <s v="Crashed into a fog shrouded wooded ravine in broken overcast  while attempting to land at Fairchild Air Force Base. Navigational error."/>
    <n v="0"/>
    <n v="1"/>
    <x v="1"/>
  </r>
  <r>
    <n v="1981"/>
    <x v="1810"/>
    <x v="51"/>
    <x v="0"/>
    <d v="1899-12-30T11:05:00"/>
    <s v="Near Alcoche, Bolivia"/>
    <s v="Aerolineas Abaroa"/>
    <s v="Unknown"/>
    <s v="Caranavi - Rurrenabaque"/>
    <x v="402"/>
    <s v="CP-710"/>
    <n v="20230"/>
    <n v="4"/>
    <n v="2"/>
    <n v="2"/>
    <n v="4"/>
    <n v="2"/>
    <n v="2"/>
    <n v="0"/>
    <s v="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
    <n v="0"/>
    <n v="1"/>
    <x v="1"/>
  </r>
  <r>
    <n v="1982"/>
    <x v="1811"/>
    <x v="51"/>
    <x v="0"/>
    <d v="1899-12-30T06:32:00"/>
    <s v="Yakut, Russia"/>
    <s v="Aeroflot"/>
    <n v="213"/>
    <s v="Chersky - Bilibino"/>
    <x v="720"/>
    <s v="CCCP-61628"/>
    <n v="146000929"/>
    <n v="32"/>
    <n v="27"/>
    <n v="5"/>
    <n v="32"/>
    <n v="27"/>
    <n v="5"/>
    <n v="0"/>
    <s v="Collided with a mountain while en route. Crew error. Flew below minimums into a cloud covered mountainous area."/>
    <n v="0"/>
    <n v="1"/>
    <x v="1"/>
  </r>
  <r>
    <n v="1983"/>
    <x v="1812"/>
    <x v="51"/>
    <x v="0"/>
    <s v="Unknown"/>
    <s v="Sela Pass, India"/>
    <s v="Kalinga Airlines"/>
    <s v="Unknown"/>
    <s v="Unknown"/>
    <x v="402"/>
    <s v="VT-DGX"/>
    <n v="12142"/>
    <n v="8"/>
    <n v="5"/>
    <n v="3"/>
    <n v="8"/>
    <n v="5"/>
    <n v="3"/>
    <n v="0"/>
    <s v="While en route in bad weather conditions, the airplane struck the slope of a mountain located in the region of the Sela Pass."/>
    <n v="0"/>
    <n v="1"/>
    <x v="1"/>
  </r>
  <r>
    <n v="1984"/>
    <x v="1813"/>
    <x v="51"/>
    <x v="0"/>
    <d v="1899-12-30T21:00:00"/>
    <s v="North Atlantic Ocean"/>
    <s v="Flying Tiger Line"/>
    <n v="923"/>
    <s v="Gander, Newfoundland - Frankfurt, Germany"/>
    <x v="908"/>
    <s v="N6923C"/>
    <n v="4827"/>
    <n v="76"/>
    <n v="68"/>
    <n v="8"/>
    <n v="28"/>
    <n v="23"/>
    <n v="5"/>
    <n v="0"/>
    <s v="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
    <n v="48"/>
    <n v="0.36842105263157893"/>
    <x v="0"/>
  </r>
  <r>
    <n v="1985"/>
    <x v="1814"/>
    <x v="51"/>
    <x v="0"/>
    <d v="1899-12-30T08:57:00"/>
    <s v="Brno, Czechoslovakia"/>
    <s v="Czechoslovak Airlinex"/>
    <n v="306"/>
    <s v="Bratislava - Brno"/>
    <x v="872"/>
    <s v="OK-MCT"/>
    <s v="908 071 03"/>
    <n v="42"/>
    <n v="38"/>
    <n v="4"/>
    <n v="13"/>
    <n v="10"/>
    <n v="3"/>
    <n v="0"/>
    <s v="On final, the airplane struck the top of a hill and crashed by a house located near the village of Slavkov, about 6 km from the runway 28 threshold."/>
    <n v="29"/>
    <n v="0.30952380952380953"/>
    <x v="2"/>
  </r>
  <r>
    <n v="1986"/>
    <x v="1814"/>
    <x v="51"/>
    <x v="0"/>
    <d v="1899-12-30T18:30:00"/>
    <s v="Bagotville, Quebec, Canada"/>
    <s v="Trans Canada Air Lines"/>
    <s v="Unknown"/>
    <s v="_x0009_Sept-ÃŽles- Bagotville"/>
    <x v="909"/>
    <s v="CF-THA"/>
    <n v="218"/>
    <n v="19"/>
    <n v="15"/>
    <n v="4"/>
    <n v="2"/>
    <n v="1"/>
    <n v="1"/>
    <n v="0"/>
    <s v="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
    <n v="17"/>
    <n v="0.10526315789473684"/>
    <x v="2"/>
  </r>
  <r>
    <n v="1987"/>
    <x v="1815"/>
    <x v="51"/>
    <x v="0"/>
    <s v="Unknown"/>
    <s v="Near Carmona, Spain"/>
    <s v="Iberia Airlines"/>
    <s v="Unknown"/>
    <s v="Madrid - Barcelona - Valencia - Seville"/>
    <x v="910"/>
    <s v="EC-ATB"/>
    <n v="443"/>
    <n v="18"/>
    <n v="14"/>
    <n v="4"/>
    <n v="18"/>
    <n v="14"/>
    <n v="4"/>
    <n v="0"/>
    <s v="While on final approach to Seville-San Pablo Airport, the crew was able to send a brief mayday message, reporting that the aircraft caught fire. Shortly later, the airplane went out of control and crashed onto a hill located 4 km short of runway threshold."/>
    <n v="0"/>
    <n v="1"/>
    <x v="1"/>
  </r>
  <r>
    <n v="1988"/>
    <x v="1815"/>
    <x v="51"/>
    <x v="0"/>
    <s v="Unknown"/>
    <s v="Manila, Philippines"/>
    <s v="Philippine Air Lines"/>
    <s v="Unknown"/>
    <s v="Training"/>
    <x v="848"/>
    <s v="PI-C503"/>
    <n v="10191"/>
    <n v="3"/>
    <n v="0"/>
    <n v="3"/>
    <n v="3"/>
    <n v="0"/>
    <n v="3"/>
    <n v="0"/>
    <s v="Crashed while practicing take offs and landings."/>
    <n v="0"/>
    <n v="1"/>
    <x v="1"/>
  </r>
  <r>
    <n v="1989"/>
    <x v="1816"/>
    <x v="51"/>
    <x v="0"/>
    <d v="1899-12-30T20:52:00"/>
    <s v="Windsor Locks, Connecticut"/>
    <s v="Allegheny Airlines"/>
    <n v="928"/>
    <s v="Washington D.C. - Providence, RI"/>
    <x v="911"/>
    <s v="N8415N"/>
    <n v="125"/>
    <n v="52"/>
    <n v="48"/>
    <n v="4"/>
    <n v="1"/>
    <n v="0"/>
    <n v="1"/>
    <n v="0"/>
    <s v="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
    <n v="51"/>
    <n v="1.9230769230769232E-2"/>
    <x v="2"/>
  </r>
  <r>
    <n v="1990"/>
    <x v="1817"/>
    <x v="51"/>
    <x v="0"/>
    <d v="1899-12-30T10:33:00"/>
    <s v="Near Moscow, Russia"/>
    <s v="Aeroflot"/>
    <s v="Unknown"/>
    <s v="Maintenance flight"/>
    <x v="881"/>
    <s v="CCCP-42495"/>
    <n v="21703"/>
    <n v="11"/>
    <n v="6"/>
    <n v="5"/>
    <n v="11"/>
    <n v="6"/>
    <n v="5"/>
    <n v="0"/>
    <s v="Crashed on takeoff on a test flight. Rudder controls improperly installed."/>
    <n v="0"/>
    <n v="1"/>
    <x v="1"/>
  </r>
  <r>
    <n v="1991"/>
    <x v="1818"/>
    <x v="51"/>
    <x v="0"/>
    <d v="1899-12-30T14:37:00"/>
    <s v="Near Tourane, South Vietnam"/>
    <s v="Air Vietnam (South Vietnam)"/>
    <s v="Unknown"/>
    <s v="Hue - Da Nang"/>
    <x v="277"/>
    <s v="XV-NID"/>
    <s v="16074/3282"/>
    <n v="27"/>
    <n v="24"/>
    <n v="3"/>
    <n v="27"/>
    <n v="24"/>
    <n v="3"/>
    <n v="0"/>
    <s v="Crashed into 1,800 ft. mountain, 12 miles from the Da Nang airport. Navigational error in poor weather conditions."/>
    <n v="0"/>
    <n v="1"/>
    <x v="1"/>
  </r>
  <r>
    <n v="1992"/>
    <x v="1819"/>
    <x v="51"/>
    <x v="0"/>
    <s v="Unknown"/>
    <s v="Near Nagoya, Japan"/>
    <s v="All Nippon Airways"/>
    <s v="Unknown"/>
    <s v="Training"/>
    <x v="912"/>
    <s v="JA8202"/>
    <n v="444"/>
    <n v="4"/>
    <n v="0"/>
    <n v="4"/>
    <n v="4"/>
    <n v="0"/>
    <n v="4"/>
    <n v="0"/>
    <s v="Made a sharp turn, nosed up and hit the ground."/>
    <n v="0"/>
    <n v="1"/>
    <x v="1"/>
  </r>
  <r>
    <n v="1993"/>
    <x v="1820"/>
    <x v="51"/>
    <x v="0"/>
    <s v="Unknown"/>
    <s v="Sao TomÃ© &amp; Principe"/>
    <s v="Military - Portuguese Air Force"/>
    <s v="Unknown"/>
    <s v="Unknown"/>
    <x v="603"/>
    <n v="7502"/>
    <n v="10773"/>
    <n v="37"/>
    <s v="NULL"/>
    <s v="NULL"/>
    <n v="23"/>
    <s v="NULL"/>
    <s v="NULL"/>
    <n v="0"/>
    <s v="Crashed while taking off in a storm."/>
    <n v="14"/>
    <n v="0.6216216216216216"/>
    <x v="0"/>
  </r>
  <r>
    <n v="1994"/>
    <x v="1820"/>
    <x v="51"/>
    <x v="0"/>
    <d v="1899-12-30T14:10:00"/>
    <s v="Le Bourget, France"/>
    <s v="Malev Hungarian Airlines"/>
    <n v="355"/>
    <s v="Frankfurt - Paris"/>
    <x v="913"/>
    <s v="HA-MOD"/>
    <n v="180002002"/>
    <n v="21"/>
    <n v="13"/>
    <n v="8"/>
    <n v="21"/>
    <n v="13"/>
    <n v="8"/>
    <n v="0"/>
    <s v="Stalled and crashed during approach, 0.5 miles from the outer marker. Cause undetermined."/>
    <n v="0"/>
    <n v="1"/>
    <x v="1"/>
  </r>
  <r>
    <n v="1995"/>
    <x v="1820"/>
    <x v="51"/>
    <x v="0"/>
    <d v="1899-12-30T12:24:00"/>
    <s v="Ellicott City, Maryland"/>
    <s v="United Air Lines"/>
    <n v="297"/>
    <s v="Newark - Washington D.C."/>
    <x v="789"/>
    <s v="N7430"/>
    <n v="128"/>
    <n v="18"/>
    <n v="14"/>
    <n v="4"/>
    <n v="18"/>
    <n v="14"/>
    <n v="4"/>
    <n v="0"/>
    <s v="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
    <n v="0"/>
    <n v="1"/>
    <x v="1"/>
  </r>
  <r>
    <n v="1996"/>
    <x v="1821"/>
    <x v="51"/>
    <x v="0"/>
    <d v="1899-12-30T12:09:00"/>
    <s v="Paraibuna, Brazil"/>
    <s v="VASP / Private"/>
    <s v="Unknown"/>
    <s v="Sao Paulo - Rio de Janeiro"/>
    <x v="914"/>
    <s v="PP-SRA"/>
    <n v="107"/>
    <n v="26"/>
    <n v="21"/>
    <n v="5"/>
    <n v="26"/>
    <n v="21"/>
    <n v="5"/>
    <n v="0"/>
    <s v="Midair collision with a Cessna at 2,400 m. Twenty-three killed on the Saab, three on the Cessna. Both pilots failed to maintain adequate lookouts for other aircraft."/>
    <n v="0"/>
    <n v="1"/>
    <x v="1"/>
  </r>
  <r>
    <n v="1997"/>
    <x v="1822"/>
    <x v="51"/>
    <x v="0"/>
    <d v="1899-12-30T03:40:00"/>
    <s v="Lima, Peru"/>
    <s v="Varig"/>
    <n v="810"/>
    <s v="Porto Alegre - Lima"/>
    <x v="915"/>
    <s v="PP-VJB"/>
    <s v="17906/129"/>
    <n v="97"/>
    <n v="80"/>
    <n v="17"/>
    <n v="97"/>
    <n v="80"/>
    <n v="17"/>
    <n v="0"/>
    <s v="After initiating an overshoot procedure, at the suggestion of the control tower, because it was too high, the aircraft proceded to start another approach when it crashed into La Cruz Peak. Possible misinterpretation of navigation instruments."/>
    <n v="0"/>
    <n v="1"/>
    <x v="1"/>
  </r>
  <r>
    <n v="1998"/>
    <x v="1823"/>
    <x v="51"/>
    <x v="0"/>
    <d v="1899-12-30T21:45:00"/>
    <s v="New York, New York"/>
    <s v="Eastern Air Lines"/>
    <n v="512"/>
    <s v="Charlotte - New York City"/>
    <x v="836"/>
    <s v="N815D"/>
    <s v="45084/711"/>
    <n v="51"/>
    <n v="45"/>
    <n v="6"/>
    <n v="25"/>
    <n v="21"/>
    <n v="4"/>
    <n v="0"/>
    <s v="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
    <n v="26"/>
    <n v="0.49019607843137253"/>
    <x v="0"/>
  </r>
  <r>
    <n v="1999"/>
    <x v="1824"/>
    <x v="51"/>
    <x v="0"/>
    <d v="1899-12-30T17:00:00"/>
    <s v="Barrancabermeja, Colombia"/>
    <s v="Taxader Airlines"/>
    <n v="209"/>
    <s v="Bucaramanga - Barrancabermeja"/>
    <x v="368"/>
    <s v="HK-437E"/>
    <n v="4697"/>
    <n v="26"/>
    <n v="23"/>
    <n v="3"/>
    <n v="24"/>
    <n v="21"/>
    <n v="3"/>
    <n v="0"/>
    <s v="Crashed in heavy rain while en route. Pilot error. Flight under VFR in IFR conditions."/>
    <n v="2"/>
    <n v="0.92307692307692313"/>
    <x v="1"/>
  </r>
  <r>
    <n v="2000"/>
    <x v="1825"/>
    <x v="51"/>
    <x v="0"/>
    <d v="1899-12-30T02:19:00"/>
    <s v="Near Manaus, Brazil"/>
    <s v="Panair do Brasil"/>
    <s v="Unknown"/>
    <s v="Belem - Manaus"/>
    <x v="518"/>
    <s v="PP-PDE"/>
    <n v="2047"/>
    <n v="50"/>
    <n v="43"/>
    <n v="7"/>
    <n v="50"/>
    <n v="43"/>
    <n v="7"/>
    <n v="0"/>
    <s v="Crashed 9 miles short of its destination. Cause unknown. The aircraft was named &quot;Estevao Ribeiro Baiao Parente.&quot;"/>
    <n v="0"/>
    <n v="1"/>
    <x v="1"/>
  </r>
  <r>
    <n v="2001"/>
    <x v="1825"/>
    <x v="51"/>
    <x v="0"/>
    <d v="1899-12-30T22:12:00"/>
    <s v="Burbank, California"/>
    <s v="Flying Tiger Line"/>
    <n v="183"/>
    <s v="Chicago - Burbank"/>
    <x v="796"/>
    <s v="N6913C"/>
    <n v="4810"/>
    <n v="5"/>
    <n v="3"/>
    <n v="2"/>
    <n v="5"/>
    <n v="3"/>
    <n v="2"/>
    <n v="3"/>
    <s v="The aircraft crashed during an ILS approach to Burbank Airport. Incapacitation of the captain with a heart attack at a critical point in the approach from which the co-pilot could not recover."/>
    <n v="0"/>
    <n v="1"/>
    <x v="1"/>
  </r>
  <r>
    <n v="2002"/>
    <x v="1826"/>
    <x v="51"/>
    <x v="0"/>
    <d v="1899-12-30T19:30:00"/>
    <s v="Warsaw, Poland"/>
    <s v="LOT Polish Airlines"/>
    <s v="Unknown"/>
    <s v="Berlin - Warsaw"/>
    <x v="916"/>
    <s v="SP-LVB"/>
    <n v="395"/>
    <n v="33"/>
    <n v="28"/>
    <n v="5"/>
    <n v="33"/>
    <n v="28"/>
    <n v="5"/>
    <n v="0"/>
    <s v="Stalled and crashed 8 miles from the threshold after being struck by lightning."/>
    <n v="0"/>
    <n v="1"/>
    <x v="1"/>
  </r>
  <r>
    <n v="2003"/>
    <x v="1827"/>
    <x v="51"/>
    <x v="0"/>
    <s v="Unknown"/>
    <s v="Kadena AB, Okinawa"/>
    <s v="Military - U.S. Air Force"/>
    <s v="Unknown"/>
    <s v="Unknown"/>
    <x v="917"/>
    <s v="Unknown"/>
    <s v="Unknown"/>
    <n v="12"/>
    <s v="NULL"/>
    <s v="NULL"/>
    <n v="12"/>
    <s v="NULL"/>
    <s v="NULL"/>
    <n v="0"/>
    <s v="Twelve killed, including civilians. Two civilian houses burnt."/>
    <n v="0"/>
    <n v="1"/>
    <x v="1"/>
  </r>
  <r>
    <n v="2004"/>
    <x v="1828"/>
    <x v="51"/>
    <x v="0"/>
    <d v="1899-12-30T01:00:00"/>
    <s v="Near Brasilia, Brazil"/>
    <s v="Varig"/>
    <s v="Unknown"/>
    <s v="Rio de Janeiro - Brasilia"/>
    <x v="797"/>
    <s v="PP-VCQ"/>
    <n v="103"/>
    <n v="40"/>
    <n v="35"/>
    <n v="5"/>
    <n v="1"/>
    <n v="0"/>
    <n v="1"/>
    <n v="0"/>
    <s v="Crashed short of the runway, striking trees. The aircraft descended below the prescribed altitude for undetermined reasons."/>
    <n v="39"/>
    <n v="2.5000000000000001E-2"/>
    <x v="2"/>
  </r>
  <r>
    <n v="2005"/>
    <x v="1829"/>
    <x v="51"/>
    <x v="0"/>
    <d v="1899-12-30T10:55:00"/>
    <s v="Rotterdam, The Netherlands"/>
    <s v="Carvair ATL-98"/>
    <s v="Unknown"/>
    <s v="Southend, England - Rotterdam, The Netherlands"/>
    <x v="918"/>
    <s v="G-ARSF"/>
    <n v="18339"/>
    <n v="18"/>
    <n v="14"/>
    <n v="4"/>
    <n v="1"/>
    <n v="0"/>
    <n v="1"/>
    <n v="0"/>
    <s v="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
    <n v="17"/>
    <n v="5.5555555555555552E-2"/>
    <x v="2"/>
  </r>
  <r>
    <n v="2006"/>
    <x v="1830"/>
    <x v="51"/>
    <x v="0"/>
    <d v="1899-12-30T01:11:00"/>
    <s v="Monte Renoso, Corsica, France"/>
    <s v="Air Nautic"/>
    <s v="Unknown"/>
    <s v="Bastia - Ajaccio"/>
    <x v="919"/>
    <s v="F-BELZ"/>
    <n v="2001"/>
    <n v="25"/>
    <n v="22"/>
    <n v="3"/>
    <n v="25"/>
    <n v="22"/>
    <n v="3"/>
    <n v="0"/>
    <s v="Crashed into Mt. Renoso at 7,450 ft. Crew fatigue. Inadequate preparation for the flight. Entered cruise at a high rate of speed. Navigational errors. Failed to maintain safe altitude. Decent started prematurely."/>
    <n v="0"/>
    <n v="1"/>
    <x v="1"/>
  </r>
  <r>
    <n v="2007"/>
    <x v="1831"/>
    <x v="52"/>
    <x v="0"/>
    <d v="1899-12-30T08:41:00"/>
    <s v=" Tazovskoye, Russia"/>
    <s v="Aeroflot"/>
    <s v="Unknown"/>
    <s v="Tazovskoye - Salekhard"/>
    <x v="420"/>
    <s v="CCCP-71186"/>
    <s v="184 293 09"/>
    <n v="25"/>
    <n v="21"/>
    <n v="4"/>
    <n v="12"/>
    <n v="8"/>
    <n v="4"/>
    <n v="0"/>
    <s v="After the takeoff roll, the pilot pulled up and started the rotation when the aircraft banked right and crashed. The flight was dispatched despite the fact that the visibility and weather conditions were below minima at the time of the accident."/>
    <n v="13"/>
    <n v="0.48"/>
    <x v="0"/>
  </r>
  <r>
    <n v="2008"/>
    <x v="1832"/>
    <x v="52"/>
    <x v="0"/>
    <d v="1899-12-30T16:12:00"/>
    <s v="Sao Paulo, Brazil"/>
    <s v="Cruzeiro"/>
    <n v="403"/>
    <s v=" Rio de Janeiro - SÃ£o Paulo"/>
    <x v="640"/>
    <s v="PP-CEV"/>
    <n v="6"/>
    <n v="45"/>
    <n v="40"/>
    <n v="5"/>
    <n v="6"/>
    <n v="5"/>
    <n v="1"/>
    <n v="7"/>
    <s v="The crippled airliner crashed into houses and burst into flames as it was coming in for an emergency landing in steady rain. Control was lost while attempting a go around manoeuvre due top the failure of the left engine."/>
    <n v="39"/>
    <n v="0.13333333333333333"/>
    <x v="2"/>
  </r>
  <r>
    <n v="2009"/>
    <x v="1833"/>
    <x v="52"/>
    <x v="0"/>
    <d v="1899-12-30T15:53:00"/>
    <s v="Great Salt Lake, Utah"/>
    <s v="West Coast Airlines"/>
    <n v="703"/>
    <s v="Training"/>
    <x v="896"/>
    <s v="N2703"/>
    <n v="6"/>
    <n v="3"/>
    <n v="0"/>
    <n v="3"/>
    <n v="3"/>
    <n v="0"/>
    <n v="3"/>
    <n v="0"/>
    <s v="Crashed into the Great Salt Lake while practicing an emergency decent during training. Crews lack of vigilance for undetermined reason."/>
    <n v="0"/>
    <n v="1"/>
    <x v="1"/>
  </r>
  <r>
    <n v="2010"/>
    <x v="1834"/>
    <x v="52"/>
    <x v="0"/>
    <s v="Unknown"/>
    <s v="Kotzebue, Alaska"/>
    <s v="Skyvan Airways"/>
    <s v="Unknown"/>
    <s v="Kotzebue - Cape Lisburne"/>
    <x v="667"/>
    <s v="N67933"/>
    <n v="22380"/>
    <n v="2"/>
    <n v="0"/>
    <n v="2"/>
    <n v="1"/>
    <n v="0"/>
    <n v="1"/>
    <n v="0"/>
    <s v="The cargo plane crashed after a go-around was attempted.  An uncontrollable loss of altitude caused by adverse wind conditions during an attempted go-around."/>
    <n v="1"/>
    <n v="0.5"/>
    <x v="0"/>
  </r>
  <r>
    <n v="2011"/>
    <x v="1835"/>
    <x v="52"/>
    <x v="0"/>
    <d v="1899-12-30T22:44:00"/>
    <s v="Kansas City, Missouri"/>
    <s v="Continental Airlines"/>
    <n v="290"/>
    <s v="Midland, TX - Kansas City, MO"/>
    <x v="920"/>
    <s v="N242V"/>
    <n v="356"/>
    <n v="8"/>
    <n v="5"/>
    <n v="3"/>
    <n v="8"/>
    <n v="5"/>
    <n v="3"/>
    <n v="0"/>
    <s v="While making a straight in approach, the aircraft continued flying over the runway to the south end and while at a height of 90 feet, suddenly pitched down and struck the ground. Icing of the horizontal stabilizer which led to loss of pitch control."/>
    <n v="0"/>
    <n v="1"/>
    <x v="1"/>
  </r>
  <r>
    <n v="2012"/>
    <x v="1836"/>
    <x v="52"/>
    <x v="0"/>
    <d v="1899-12-30T02:00:00"/>
    <s v="Off Patuxent River, Maryland"/>
    <s v="Military - U.S. Navy"/>
    <s v="Unknown"/>
    <s v="Training"/>
    <x v="921"/>
    <n v="149672"/>
    <n v="5013"/>
    <n v="14"/>
    <n v="0"/>
    <n v="14"/>
    <n v="14"/>
    <n v="0"/>
    <n v="14"/>
    <n v="0"/>
    <s v="Crashed en route into the ocean, 231 miles east of Atlantic City, New Jersey.."/>
    <n v="0"/>
    <n v="1"/>
    <x v="1"/>
  </r>
  <r>
    <n v="2013"/>
    <x v="1837"/>
    <x v="52"/>
    <x v="0"/>
    <d v="1899-12-30T17:15:00"/>
    <s v="Ankara, Turkey"/>
    <s v="Middle East Airlines / Military - Turkish Air ForceC-47"/>
    <n v="265"/>
    <s v="Nicosia - Ankara"/>
    <x v="922"/>
    <s v="OD-ADE/ CBK-28"/>
    <s v="244/?"/>
    <n v="17"/>
    <n v="11"/>
    <n v="6"/>
    <n v="17"/>
    <n v="11"/>
    <n v="6"/>
    <n v="87"/>
    <s v="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
    <n v="0"/>
    <n v="1"/>
    <x v="1"/>
  </r>
  <r>
    <n v="2014"/>
    <x v="1838"/>
    <x v="52"/>
    <x v="0"/>
    <d v="1899-12-30T12:07:00"/>
    <s v="San Francisco, California"/>
    <s v="Slick Airways"/>
    <n v="40"/>
    <s v="Norfolk - Dallas - China Lake"/>
    <x v="796"/>
    <s v="N9740Z"/>
    <n v="4851"/>
    <n v="8"/>
    <n v="5"/>
    <n v="3"/>
    <n v="4"/>
    <n v="2"/>
    <n v="2"/>
    <n v="0"/>
    <s v="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
    <n v="4"/>
    <n v="0.5"/>
    <x v="0"/>
  </r>
  <r>
    <n v="2015"/>
    <x v="1839"/>
    <x v="52"/>
    <x v="0"/>
    <d v="1899-12-30T17:37:00"/>
    <s v="Syktyvkar ,Russia"/>
    <s v="Aeroflot"/>
    <s v="Unknown"/>
    <s v="Training"/>
    <x v="895"/>
    <s v="CCCP-11193"/>
    <n v="402104"/>
    <n v="7"/>
    <n v="0"/>
    <n v="7"/>
    <n v="7"/>
    <n v="0"/>
    <n v="7"/>
    <n v="0"/>
    <s v="The plane stalled and crashed."/>
    <n v="0"/>
    <n v="1"/>
    <x v="1"/>
  </r>
  <r>
    <n v="2016"/>
    <x v="1840"/>
    <x v="52"/>
    <x v="0"/>
    <d v="1899-12-30T13:48:00"/>
    <s v="Near Miami, Florida"/>
    <s v="Northwest Orient Airlines"/>
    <n v="705"/>
    <s v="Miami - Chicago"/>
    <x v="923"/>
    <s v="N724US"/>
    <s v="18354/224"/>
    <n v="43"/>
    <n v="35"/>
    <n v="8"/>
    <n v="43"/>
    <n v="35"/>
    <n v="8"/>
    <n v="0"/>
    <s v="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
    <n v="0"/>
    <n v="1"/>
    <x v="1"/>
  </r>
  <r>
    <n v="2017"/>
    <x v="1841"/>
    <x v="52"/>
    <x v="0"/>
    <d v="1899-12-30T21:29:00"/>
    <s v="Boston, Massachusetts"/>
    <s v="Eastern Air Lines"/>
    <s v="Unknown"/>
    <s v="Unknown"/>
    <x v="924"/>
    <s v="N842D"/>
    <s v="454448/944"/>
    <n v="26"/>
    <n v="21"/>
    <n v="5"/>
    <n v="0"/>
    <n v="0"/>
    <n v="0"/>
    <n v="1"/>
    <s v="With engines idling, a girl ran into the No. 2 propeller despite warnings of ramp personnel. Suicide."/>
    <n v="26"/>
    <n v="0"/>
    <x v="2"/>
  </r>
  <r>
    <n v="2018"/>
    <x v="1842"/>
    <x v="52"/>
    <x v="0"/>
    <d v="1899-12-30T10:02:00"/>
    <s v="Near Davao City, Philippines"/>
    <s v="Philippine Air Lines"/>
    <n v="984"/>
    <s v="Cotabato - Davao"/>
    <x v="277"/>
    <s v="PI-C489"/>
    <s v="16115/32863"/>
    <n v="27"/>
    <n v="24"/>
    <n v="3"/>
    <n v="27"/>
    <n v="24"/>
    <n v="3"/>
    <n v="0"/>
    <s v="Crashed into Mt. Boca during descent for landing. Limited visibility, crosswinds contributing to navigational error."/>
    <n v="0"/>
    <n v="1"/>
    <x v="1"/>
  </r>
  <r>
    <n v="2019"/>
    <x v="1843"/>
    <x v="52"/>
    <x v="0"/>
    <d v="1899-12-30T19:35:00"/>
    <s v="Ashgabat, Turkmenistan"/>
    <s v="Aeroflot"/>
    <n v="191"/>
    <s v="_x0009_Krasnovodsk - Ashgabat"/>
    <x v="925"/>
    <s v="CCCP-75765"/>
    <n v="181003404"/>
    <n v="54"/>
    <n v="43"/>
    <n v="11"/>
    <n v="12"/>
    <n v="4"/>
    <n v="8"/>
    <n v="0"/>
    <s v="Crashed 200 m short of the runway threshold in a dust storm.  The plane broke apart and caught fire. Crew error. Attempted to land below weather minimums."/>
    <n v="42"/>
    <n v="0.22222222222222221"/>
    <x v="2"/>
  </r>
  <r>
    <n v="2020"/>
    <x v="1843"/>
    <x v="52"/>
    <x v="0"/>
    <d v="1899-12-30T18:20:00"/>
    <s v="Camden, Tennesee"/>
    <s v="Private"/>
    <s v="-"/>
    <s v="Kansas City - Dyersburg - Nashville"/>
    <x v="926"/>
    <s v="N7000P"/>
    <s v="24-2144"/>
    <n v="4"/>
    <n v="3"/>
    <n v="1"/>
    <n v="4"/>
    <n v="3"/>
    <n v="1"/>
    <n v="0"/>
    <s v="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
    <n v="0"/>
    <n v="1"/>
    <x v="1"/>
  </r>
  <r>
    <n v="2021"/>
    <x v="1844"/>
    <x v="52"/>
    <x v="0"/>
    <d v="1899-12-30T13:55:00"/>
    <s v="Near Tacora, Volcano, Peru"/>
    <s v="Lloyd Aereo Boliviano"/>
    <n v="915"/>
    <s v="Arica - La Paz"/>
    <x v="626"/>
    <s v="CP-707"/>
    <s v="43547/204"/>
    <n v="39"/>
    <n v="36"/>
    <n v="3"/>
    <n v="39"/>
    <n v="36"/>
    <n v="3"/>
    <n v="0"/>
    <s v="Struck 14,250 ft. Chachacomani Peak. Flight under VFR in IFR conditions in marginal weather conditions with severe turbulence."/>
    <n v="0"/>
    <n v="1"/>
    <x v="1"/>
  </r>
  <r>
    <n v="2022"/>
    <x v="1844"/>
    <x v="52"/>
    <x v="0"/>
    <d v="1899-12-30T05:40:00"/>
    <s v="Near Karai, Iran"/>
    <s v="Middle East Airlines"/>
    <s v="Unknown"/>
    <s v="Tehran - Beirut"/>
    <x v="927"/>
    <s v="OD-ACZ"/>
    <n v="1218"/>
    <n v="4"/>
    <n v="0"/>
    <n v="4"/>
    <n v="4"/>
    <n v="0"/>
    <n v="4"/>
    <n v="0"/>
    <s v="The cargo plane crashed after experiencing engine trouble."/>
    <n v="0"/>
    <n v="1"/>
    <x v="1"/>
  </r>
  <r>
    <n v="2023"/>
    <x v="1845"/>
    <x v="52"/>
    <x v="0"/>
    <d v="1899-12-30T03:23:00"/>
    <s v="Monte Matto, Italy"/>
    <s v="Saudi Arabian Royal Flight"/>
    <s v="Unknown"/>
    <s v="Geneva - Nice"/>
    <x v="904"/>
    <s v="SA-R-7"/>
    <n v="6461"/>
    <n v="18"/>
    <n v="9"/>
    <n v="9"/>
    <n v="18"/>
    <n v="9"/>
    <n v="9"/>
    <n v="0"/>
    <s v="Tthe airplane struck the slope of Mt Matto located 28 km southwest of Cuneo."/>
    <n v="0"/>
    <n v="1"/>
    <x v="1"/>
  </r>
  <r>
    <n v="2024"/>
    <x v="1846"/>
    <x v="52"/>
    <x v="0"/>
    <d v="1899-12-30T11:00:00"/>
    <s v="Misaki Mountain, Japan"/>
    <s v="Military - Japan Air Self Defense Force"/>
    <s v="Unknown"/>
    <s v="Unknown"/>
    <x v="928"/>
    <s v="Unknown"/>
    <s v="Unknown"/>
    <n v="10"/>
    <n v="0"/>
    <n v="10"/>
    <n v="10"/>
    <n v="0"/>
    <n v="10"/>
    <n v="0"/>
    <s v="No data available"/>
    <n v="0"/>
    <n v="1"/>
    <x v="1"/>
  </r>
  <r>
    <n v="2025"/>
    <x v="1847"/>
    <x v="52"/>
    <x v="0"/>
    <d v="1899-12-30T18:37:00"/>
    <s v="Near Sora, Italy"/>
    <s v="Itavia"/>
    <n v="703"/>
    <s v="Pescara - Rome"/>
    <x v="277"/>
    <s v="I-TAVI"/>
    <s v="16477/33225"/>
    <n v="11"/>
    <n v="8"/>
    <n v="3"/>
    <n v="11"/>
    <n v="8"/>
    <n v="3"/>
    <n v="0"/>
    <s v="Crashed into Monte Vale Rotonote, 53 miles southeast of Rome, where the plane was scheduled to land.  Navigation error. Descending too low in order to maintain visual contact with the ground. Poor weather conditions. Failure to notify ATC of the changes made during the flight."/>
    <n v="0"/>
    <n v="1"/>
    <x v="1"/>
  </r>
  <r>
    <n v="2026"/>
    <x v="1848"/>
    <x v="52"/>
    <x v="0"/>
    <d v="1899-12-30T04:30:00"/>
    <s v="Tatarstan, Russia"/>
    <s v="Aeroflot"/>
    <n v="25"/>
    <s v="Moscow - :_x0009_Krasnoyarsk"/>
    <x v="837"/>
    <s v="_x0009_ CCCP-75866"/>
    <n v="183005901"/>
    <n v="67"/>
    <n v="59"/>
    <n v="8"/>
    <n v="67"/>
    <n v="59"/>
    <n v="8"/>
    <n v="0"/>
    <s v="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
    <n v="0"/>
    <n v="1"/>
    <x v="1"/>
  </r>
  <r>
    <n v="2027"/>
    <x v="1849"/>
    <x v="52"/>
    <x v="0"/>
    <d v="1899-12-30T12:18:00"/>
    <s v="Oslo, Norway"/>
    <s v="Icelandair"/>
    <s v="Unknown"/>
    <s v="Copenhagen - Oslo"/>
    <x v="929"/>
    <s v="TF-ISU"/>
    <n v="149"/>
    <n v="12"/>
    <n v="7"/>
    <n v="5"/>
    <n v="12"/>
    <n v="7"/>
    <n v="5"/>
    <n v="0"/>
    <s v="Crashed on approach, 6 km west of the runway. Possible icing of the stabilizer."/>
    <n v="0"/>
    <n v="1"/>
    <x v="1"/>
  </r>
  <r>
    <n v="2028"/>
    <x v="1850"/>
    <x v="52"/>
    <x v="0"/>
    <d v="1899-12-30T19:40:00"/>
    <s v="Sao Paulo, Brazil"/>
    <s v="Cruzeiro"/>
    <s v="Unknown"/>
    <s v="Sao Paulo - Rio de Janeiro"/>
    <x v="930"/>
    <s v="PP-CDW"/>
    <n v="159"/>
    <n v="50"/>
    <n v="45"/>
    <n v="5"/>
    <n v="37"/>
    <n v="33"/>
    <n v="4"/>
    <n v="0"/>
    <s v="The aircraft returned to airport after the No. 2 caught fire. The crew feathered the prop, made a left turn, stalled and crashed into a house. Improper feathering procedure."/>
    <n v="13"/>
    <n v="0.74"/>
    <x v="1"/>
  </r>
  <r>
    <n v="2029"/>
    <x v="1850"/>
    <x v="52"/>
    <x v="0"/>
    <d v="1899-12-30T14:27:00"/>
    <s v="Near Buca, Cameroon"/>
    <s v="Air Afrique"/>
    <s v="Unknown"/>
    <s v="Douala - Lagos"/>
    <x v="626"/>
    <s v="F-BIAO"/>
    <s v="45479/996"/>
    <n v="55"/>
    <n v="48"/>
    <n v="7"/>
    <n v="55"/>
    <n v="48"/>
    <n v="7"/>
    <n v="0"/>
    <s v="The aircraft flew into a mountain at 6,500 ft. Navigation error. Crew choose to fly a prohibited route at too low an altitude."/>
    <n v="0"/>
    <n v="1"/>
    <x v="1"/>
  </r>
  <r>
    <n v="2030"/>
    <x v="1851"/>
    <x v="52"/>
    <x v="0"/>
    <s v="Unknown"/>
    <s v="Near Ayayda, Egypt"/>
    <s v="United Arab Airlines"/>
    <s v="Unknown"/>
    <s v="Cairo - Alexandria"/>
    <x v="277"/>
    <s v="SU-AJX"/>
    <s v="Unknown"/>
    <n v="34"/>
    <n v="30"/>
    <n v="4"/>
    <n v="34"/>
    <n v="30"/>
    <n v="4"/>
    <n v="0"/>
    <s v="Crashed into an orange grove while climbing in a sand storm."/>
    <n v="0"/>
    <n v="1"/>
    <x v="1"/>
  </r>
  <r>
    <n v="2031"/>
    <x v="1852"/>
    <x v="52"/>
    <x v="0"/>
    <d v="1899-12-30T10:16:00"/>
    <s v="Pacific Ocean, 116 miles WSW of Annette Island, Alaska"/>
    <s v="Northwest Orient Airlines"/>
    <n v="293"/>
    <s v="McChord AFB - Elmendorf AFB"/>
    <x v="931"/>
    <s v="N290"/>
    <s v="45209/861"/>
    <n v="101"/>
    <n v="95"/>
    <n v="6"/>
    <n v="101"/>
    <n v="95"/>
    <n v="6"/>
    <n v="0"/>
    <s v="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
    <n v="0"/>
    <n v="1"/>
    <x v="1"/>
  </r>
  <r>
    <n v="2032"/>
    <x v="1852"/>
    <x v="52"/>
    <x v="0"/>
    <d v="1899-12-30T11:30:00"/>
    <s v="Pathankot, India"/>
    <s v="Indian Airlines"/>
    <s v="Unknown"/>
    <s v="Amritsar - Srinagar"/>
    <x v="368"/>
    <s v="VT-AUL"/>
    <n v="20265"/>
    <n v="29"/>
    <n v="26"/>
    <n v="3"/>
    <n v="29"/>
    <n v="26"/>
    <n v="3"/>
    <n v="0"/>
    <s v="Cashed 25 miles from Amritsar. Structural failure of the aircraft in the air, following overstressing, as a result of loss of control. The loss of control was caused by improper rigging of the rudder bungee system."/>
    <n v="0"/>
    <n v="1"/>
    <x v="1"/>
  </r>
  <r>
    <n v="2033"/>
    <x v="1853"/>
    <x v="52"/>
    <x v="0"/>
    <s v="Unknown"/>
    <s v="Mt. Kaolokung, Burma"/>
    <s v="Union of Burma Airways"/>
    <s v="Unknown"/>
    <s v="Rangoon - Putao"/>
    <x v="277"/>
    <s v="XY-ACS"/>
    <n v="9877"/>
    <n v="20"/>
    <n v="15"/>
    <n v="5"/>
    <n v="20"/>
    <n v="15"/>
    <n v="5"/>
    <n v="0"/>
    <s v="Crashed  into Mt. Kaolokung while attempting to land."/>
    <n v="0"/>
    <n v="1"/>
    <x v="1"/>
  </r>
  <r>
    <n v="2034"/>
    <x v="1854"/>
    <x v="52"/>
    <x v="0"/>
    <d v="1899-12-30T15:00:00"/>
    <s v="Near Aysen, Chile"/>
    <s v="Military - Chilean Air Force"/>
    <s v="Unknown"/>
    <s v="Coihaique - Pueto AysÃ©n"/>
    <x v="402"/>
    <s v="FAC-953"/>
    <n v="19461"/>
    <n v="20"/>
    <n v="17"/>
    <n v="3"/>
    <n v="19"/>
    <n v="16"/>
    <n v="3"/>
    <n v="0"/>
    <s v="While descending, the aircraft struck the slope of Mt PÃ©rez located 42 km from the airport."/>
    <n v="1"/>
    <n v="0.95"/>
    <x v="1"/>
  </r>
  <r>
    <n v="2035"/>
    <x v="1854"/>
    <x v="52"/>
    <x v="0"/>
    <s v="Unknown"/>
    <s v="Bekkessamson, Hungary"/>
    <s v="Tarom"/>
    <s v="Unknown"/>
    <s v="Munchen - Constanta"/>
    <x v="932"/>
    <s v="YR-ILL"/>
    <n v="14803072"/>
    <n v="31"/>
    <n v="27"/>
    <n v="4"/>
    <n v="31"/>
    <n v="27"/>
    <n v="4"/>
    <n v="0"/>
    <s v="Crashed between Totkomlos Bekessamson while en route."/>
    <n v="0"/>
    <n v="1"/>
    <x v="1"/>
  </r>
  <r>
    <n v="2036"/>
    <x v="1855"/>
    <x v="52"/>
    <x v="0"/>
    <d v="1899-12-30T12:00:00"/>
    <s v="Near Augustdorf, West Germany"/>
    <s v="Military - Royal Belgian Air Force"/>
    <s v="Unknown"/>
    <s v="Brussels - GÃ¼tersloh"/>
    <x v="933"/>
    <s v="CP-45"/>
    <n v="246"/>
    <n v="47"/>
    <n v="42"/>
    <n v="5"/>
    <n v="38"/>
    <n v="33"/>
    <n v="5"/>
    <n v="0"/>
    <s v="The aircraft was accidentally hit in the wing by a phosphorus mortar shell fired by a British Army unit setting the aircraft on fire. Nine paratroopers were able to jump to safety before the plane crashed."/>
    <n v="9"/>
    <n v="0.80851063829787229"/>
    <x v="1"/>
  </r>
  <r>
    <n v="2037"/>
    <x v="1856"/>
    <x v="52"/>
    <x v="0"/>
    <s v="Unknown"/>
    <s v="Passo Fundo, Brazil"/>
    <s v="Varig"/>
    <s v="Unknown"/>
    <s v="Carazinbo - Passo Fundo"/>
    <x v="277"/>
    <s v="PP-VBV"/>
    <s v="15444/26889"/>
    <n v="18"/>
    <n v="15"/>
    <n v="3"/>
    <n v="15"/>
    <n v="13"/>
    <n v="2"/>
    <n v="0"/>
    <s v="Crashed into trees during initial approach in heavy fog. Error in judgment by the pilot in attempting to fly visually in unfavorable weather conditions during twilight."/>
    <n v="3"/>
    <n v="0.83333333333333337"/>
    <x v="1"/>
  </r>
  <r>
    <n v="2038"/>
    <x v="1857"/>
    <x v="52"/>
    <x v="0"/>
    <d v="1899-12-30T15:49:00"/>
    <s v="Rochester, New York"/>
    <s v="Mohawk Airlines"/>
    <n v="112"/>
    <s v="Rochester - Newark"/>
    <x v="714"/>
    <s v="N449A"/>
    <n v="14140"/>
    <n v="43"/>
    <n v="40"/>
    <n v="3"/>
    <n v="7"/>
    <n v="5"/>
    <n v="2"/>
    <n v="0"/>
    <s v="The pilot lost control of the aircraft while attempting to take off in a thunderstorm and crashed.  Poor decision by pilot-in-command  to take off during a severe thunderstorm."/>
    <n v="36"/>
    <n v="0.16279069767441862"/>
    <x v="2"/>
  </r>
  <r>
    <n v="2039"/>
    <x v="1858"/>
    <x v="52"/>
    <x v="0"/>
    <d v="1899-12-30T09:09:00"/>
    <s v="Mt. Ngatamahinerua, New Zealand"/>
    <s v="New Zealand National Airways"/>
    <n v="441"/>
    <s v="Auckland - Whenuapai - Tauranga"/>
    <x v="277"/>
    <s v="ZK-AYZ"/>
    <s v="15204/26889"/>
    <n v="23"/>
    <n v="20"/>
    <n v="3"/>
    <n v="23"/>
    <n v="20"/>
    <n v="3"/>
    <n v="0"/>
    <s v="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
    <n v="0"/>
    <n v="1"/>
    <x v="1"/>
  </r>
  <r>
    <n v="2040"/>
    <x v="1859"/>
    <x v="52"/>
    <x v="0"/>
    <d v="1899-12-30T05:06:00"/>
    <s v="Near Irkutsk, Russia"/>
    <s v="Aeroflot"/>
    <n v="12"/>
    <s v="Moscow - Irkutsk"/>
    <x v="881"/>
    <s v="CCCP42492"/>
    <n v="21605"/>
    <n v="32"/>
    <n v="24"/>
    <n v="8"/>
    <n v="32"/>
    <n v="24"/>
    <n v="8"/>
    <n v="0"/>
    <s v="Crashed 2 miles short of the runway during approach. Premature descent."/>
    <n v="0"/>
    <n v="1"/>
    <x v="1"/>
  </r>
  <r>
    <n v="2041"/>
    <x v="1860"/>
    <x v="52"/>
    <x v="0"/>
    <s v="Unknown"/>
    <s v="Farafangana, Madagascar"/>
    <s v="Air Madagascar"/>
    <s v="Unknown"/>
    <s v="Unknown"/>
    <x v="368"/>
    <s v="5R-MAJ"/>
    <n v="12813"/>
    <n v="12"/>
    <n v="8"/>
    <n v="4"/>
    <n v="6"/>
    <n v="2"/>
    <n v="4"/>
    <n v="0"/>
    <s v="Crashed while taking off."/>
    <n v="6"/>
    <n v="0.5"/>
    <x v="0"/>
  </r>
  <r>
    <n v="2042"/>
    <x v="1861"/>
    <x v="52"/>
    <x v="0"/>
    <s v="Unknown"/>
    <s v="Pak Tha, Laos"/>
    <s v="Air America"/>
    <s v="Unknown"/>
    <s v="Unknown"/>
    <x v="667"/>
    <s v="B-148"/>
    <n v="22510"/>
    <n v="6"/>
    <n v="0"/>
    <n v="6"/>
    <n v="6"/>
    <n v="0"/>
    <n v="6"/>
    <n v="0"/>
    <s v="The cargo plane crashed into a fog shrouded mountain."/>
    <n v="0"/>
    <n v="1"/>
    <x v="1"/>
  </r>
  <r>
    <n v="2043"/>
    <x v="1862"/>
    <x v="52"/>
    <x v="0"/>
    <d v="1899-12-30T01:50:00"/>
    <s v="Off Bandra, Maharashtra, India"/>
    <s v="United Arab Airlines"/>
    <n v="869"/>
    <s v="Bangkok - Bombay"/>
    <x v="904"/>
    <s v="SU-ALD"/>
    <n v="6441"/>
    <n v="63"/>
    <n v="55"/>
    <n v="8"/>
    <n v="63"/>
    <n v="55"/>
    <n v="8"/>
    <n v="0"/>
    <s v="The aircraft crashed into the Arabian Sea while on a flight from Tokyo, Japan to Egypt while preparing to land in rain and turbulence. The pilot may have lost control while turning into an area of severe turbulence and heavy rain."/>
    <n v="0"/>
    <n v="1"/>
    <x v="1"/>
  </r>
  <r>
    <n v="2044"/>
    <x v="1863"/>
    <x v="52"/>
    <x v="0"/>
    <s v="Unknown"/>
    <s v="IbicarÃ©, Brazil"/>
    <s v="Sadai"/>
    <s v="Unknown"/>
    <s v="JoaÃ§aba - Videira"/>
    <x v="277"/>
    <s v="PP-SLL"/>
    <n v="1500"/>
    <n v="10"/>
    <n v="7"/>
    <n v="3"/>
    <n v="10"/>
    <n v="7"/>
    <n v="3"/>
    <n v="0"/>
    <s v="While flying under VFR rules, the airplane struck the slope of a mountain located near IbicarÃ©, 25 km southwest of Videira."/>
    <n v="0"/>
    <n v="1"/>
    <x v="1"/>
  </r>
  <r>
    <n v="2045"/>
    <x v="1864"/>
    <x v="52"/>
    <x v="0"/>
    <d v="1899-12-30T14:19:00"/>
    <s v="Lyon, France"/>
    <s v="Air Inter"/>
    <n v="2611"/>
    <s v="Lille - Lyon"/>
    <x v="934"/>
    <s v="F-BGNV"/>
    <n v="39"/>
    <n v="20"/>
    <n v="16"/>
    <n v="4"/>
    <n v="20"/>
    <n v="16"/>
    <n v="4"/>
    <n v="1"/>
    <s v="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
    <n v="0"/>
    <n v="1"/>
    <x v="1"/>
  </r>
  <r>
    <n v="2046"/>
    <x v="1865"/>
    <x v="52"/>
    <x v="0"/>
    <d v="1899-12-30T15:00:00"/>
    <s v="Near Great Falls, Montana"/>
    <s v="American Air  Export &amp; Import Co."/>
    <n v="1814"/>
    <s v="Unknown"/>
    <x v="587"/>
    <s v="N67941"/>
    <n v="22391"/>
    <n v="2"/>
    <n v="0"/>
    <n v="2"/>
    <n v="1"/>
    <n v="0"/>
    <n v="1"/>
    <n v="0"/>
    <s v="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
    <n v="1"/>
    <n v="0.5"/>
    <x v="0"/>
  </r>
  <r>
    <n v="2047"/>
    <x v="1866"/>
    <x v="52"/>
    <x v="0"/>
    <d v="1899-12-30T14:11:00"/>
    <s v="Hachijo-Jima Island, Japan"/>
    <s v="Fujita Koku Kabushki Kai"/>
    <s v="Unknown"/>
    <s v="Hachijo-jima - Tokyo"/>
    <x v="773"/>
    <s v="JA6155"/>
    <n v="14026"/>
    <n v="19"/>
    <n v="16"/>
    <n v="3"/>
    <n v="19"/>
    <n v="16"/>
    <n v="3"/>
    <n v="0"/>
    <s v="Crashed into mountains shortly after taking off from Hachijo. Navigation error. Followed wrong departure route."/>
    <n v="0"/>
    <n v="1"/>
    <x v="1"/>
  </r>
  <r>
    <n v="2048"/>
    <x v="1867"/>
    <x v="52"/>
    <x v="0"/>
    <d v="1899-12-30T12:15:00"/>
    <s v="Near Leningrad , Russia"/>
    <s v="Aeroflot"/>
    <s v="Unknown"/>
    <s v="Tallinn - Moscow"/>
    <x v="935"/>
    <s v="CCCP-45021"/>
    <n v="2350701"/>
    <n v="52"/>
    <n v="45"/>
    <n v="7"/>
    <n v="0"/>
    <n v="0"/>
    <n v="0"/>
    <n v="0"/>
    <s v="After the landing gear did not retract  after takeoff the flight was diverted to Leningrad because of fog.  After circling for a long time the plane began to lose it's engines because of fuel starvation and a ditch was carried out in River Neva."/>
    <n v="52"/>
    <n v="0"/>
    <x v="2"/>
  </r>
  <r>
    <n v="2049"/>
    <x v="1868"/>
    <x v="52"/>
    <x v="0"/>
    <d v="1899-12-30T10:53:00"/>
    <s v="Near Kutaisa, Russia"/>
    <s v="Aeroflot"/>
    <n v="663"/>
    <s v="_x0009_Kutaisi - _x0009_Sukhumi"/>
    <x v="770"/>
    <s v="CCCP-61617"/>
    <s v="_x0009_ 014 602107"/>
    <n v="32"/>
    <n v="27"/>
    <n v="5"/>
    <n v="32"/>
    <n v="27"/>
    <n v="5"/>
    <n v="0"/>
    <s v="Shortly after taking off the aircraft crashed in _x0009_a wooded hillside, 32 km northwes of Kutaisa. Crew error. VFR flight into IMC."/>
    <n v="0"/>
    <n v="1"/>
    <x v="1"/>
  </r>
  <r>
    <n v="2050"/>
    <x v="1869"/>
    <x v="52"/>
    <x v="0"/>
    <d v="1899-12-30T12:30:00"/>
    <s v="Off Miami, Florida"/>
    <s v="Military - U.S. Air Force / Military -  U.S. Air Force"/>
    <s v="Unknown"/>
    <s v="Unknown"/>
    <x v="936"/>
    <s v="61-0319/61-0322"/>
    <s v="18226/18229"/>
    <n v="11"/>
    <n v="0"/>
    <n v="11"/>
    <n v="11"/>
    <n v="0"/>
    <n v="11"/>
    <n v="0"/>
    <s v="A mid-air collision occurred approximately 700 miles east of Miami, Florida."/>
    <n v="0"/>
    <n v="1"/>
    <x v="1"/>
  </r>
  <r>
    <n v="2051"/>
    <x v="1870"/>
    <x v="52"/>
    <x v="0"/>
    <s v="Unknown"/>
    <s v="Northeast Laos"/>
    <s v="Unknown"/>
    <s v="Unknown"/>
    <s v="Unknown"/>
    <x v="937"/>
    <s v="Unknown"/>
    <s v="Unknown"/>
    <n v="16"/>
    <n v="13"/>
    <n v="3"/>
    <n v="15"/>
    <n v="12"/>
    <n v="3"/>
    <s v="NULL"/>
    <s v="Refugee flight."/>
    <n v="1"/>
    <n v="0.9375"/>
    <x v="1"/>
  </r>
  <r>
    <n v="2052"/>
    <x v="1871"/>
    <x v="52"/>
    <x v="0"/>
    <d v="1899-12-30T06:22:00"/>
    <s v="Durrenasch, Aargau, Switzerland"/>
    <s v="Swissair"/>
    <n v="306"/>
    <s v="Zurich - Geneva"/>
    <x v="885"/>
    <s v="HG-ICV"/>
    <n v="147"/>
    <n v="80"/>
    <n v="74"/>
    <n v="6"/>
    <n v="80"/>
    <n v="74"/>
    <n v="6"/>
    <n v="0"/>
    <s v="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
    <n v="0"/>
    <n v="1"/>
    <x v="1"/>
  </r>
  <r>
    <n v="2053"/>
    <x v="1872"/>
    <x v="52"/>
    <x v="0"/>
    <d v="1899-12-30T04:00:00"/>
    <s v="Near Patti, India"/>
    <s v="Indian Airlines"/>
    <s v="Unknown"/>
    <s v="Madras - Nagpur - Delhi."/>
    <x v="938"/>
    <s v="VT-DIO"/>
    <n v="192"/>
    <n v="18"/>
    <n v="13"/>
    <n v="5"/>
    <n v="18"/>
    <n v="13"/>
    <n v="5"/>
    <n v="0"/>
    <s v="Went into a steep dive and crashed into a field. Cause unknown."/>
    <n v="0"/>
    <n v="1"/>
    <x v="1"/>
  </r>
  <r>
    <n v="2054"/>
    <x v="1873"/>
    <x v="52"/>
    <x v="0"/>
    <d v="1899-12-30T00:30:00"/>
    <s v="Perpignan, France"/>
    <s v="Air Nautic"/>
    <s v="Unknown"/>
    <s v="London - Perpignan"/>
    <x v="764"/>
    <s v="F-BJER"/>
    <n v="216"/>
    <n v="40"/>
    <n v="36"/>
    <n v="4"/>
    <n v="40"/>
    <n v="36"/>
    <n v="4"/>
    <n v="0"/>
    <s v="Crashed into Pic de la Roquette while descending for an approach to Perpignan. Navigational error. It was noted that the crew continued to the south at an altitude of 6,000 feet without knowing his real position. It is possible that fatigue may contribute to the accident."/>
    <n v="0"/>
    <n v="1"/>
    <x v="1"/>
  </r>
  <r>
    <n v="2055"/>
    <x v="1874"/>
    <x v="52"/>
    <x v="0"/>
    <s v="Unknown"/>
    <s v="Off Dover, Deleware"/>
    <s v="Military - U.S. Air Force"/>
    <s v="Unknown"/>
    <s v="Dover AFB - Lajes, Azores"/>
    <x v="939"/>
    <s v="56-2002"/>
    <n v="45167"/>
    <n v="10"/>
    <n v="0"/>
    <n v="10"/>
    <n v="10"/>
    <n v="0"/>
    <n v="10"/>
    <n v="0"/>
    <s v="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
    <n v="0"/>
    <n v="1"/>
    <x v="1"/>
  </r>
  <r>
    <n v="2056"/>
    <x v="1875"/>
    <x v="52"/>
    <x v="0"/>
    <s v="Unknown"/>
    <s v="Near Marseilles, France"/>
    <s v="Aeronaves de Panama"/>
    <s v="Unknown"/>
    <s v="Marseilles, France - Dhah, Saudi Arabia"/>
    <x v="940"/>
    <s v="HP-385"/>
    <n v="13915"/>
    <n v="6"/>
    <n v="0"/>
    <n v="6"/>
    <n v="6"/>
    <n v="0"/>
    <n v="6"/>
    <n v="0"/>
    <s v="Crashed shortly after taking off with a cargo of 30 dairy cows."/>
    <n v="0"/>
    <n v="1"/>
    <x v="1"/>
  </r>
  <r>
    <n v="2057"/>
    <x v="1876"/>
    <x v="52"/>
    <x v="0"/>
    <d v="1899-12-30T11:33:00"/>
    <s v="Jamaica, New York"/>
    <s v="New York Airways"/>
    <n v="600"/>
    <s v="Idlewild - Newark"/>
    <x v="941"/>
    <s v="N6673D"/>
    <n v="3"/>
    <n v="6"/>
    <n v="3"/>
    <n v="3"/>
    <n v="6"/>
    <n v="3"/>
    <n v="3"/>
    <n v="0"/>
    <s v="The helicopter crashed to the ground and burned. Fatigue failure of the drive quill shaft due to contamination of the lubrication system in the aft transmission assembly."/>
    <n v="0"/>
    <n v="1"/>
    <x v="1"/>
  </r>
  <r>
    <n v="2058"/>
    <x v="1877"/>
    <x v="52"/>
    <x v="0"/>
    <s v="Unknown"/>
    <s v="Near Aswan, Egypt"/>
    <s v="Military - Soviet Air Force"/>
    <s v="Unknown"/>
    <s v="Cairo - Aswan"/>
    <x v="942"/>
    <s v="Unknown"/>
    <s v="Unknown"/>
    <n v="31"/>
    <n v="25"/>
    <n v="6"/>
    <n v="31"/>
    <n v="25"/>
    <n v="6"/>
    <n v="0"/>
    <s v="Crashed and  burned in a sandstorm while attempting to land at Aswan."/>
    <n v="0"/>
    <n v="1"/>
    <x v="1"/>
  </r>
  <r>
    <n v="2059"/>
    <x v="1878"/>
    <x v="52"/>
    <x v="0"/>
    <s v="Unknown"/>
    <s v="Hayes Island, Russia"/>
    <s v="Aeroflot"/>
    <s v="Unknown"/>
    <s v="Survey flight"/>
    <x v="813"/>
    <s v="CCCP-04188"/>
    <n v="6341301"/>
    <n v="7"/>
    <n v="5"/>
    <n v="2"/>
    <n v="7"/>
    <n v="5"/>
    <n v="2"/>
    <n v="0"/>
    <s v="Failure of the crew to follow the published procedure while cruising at an insufficient altitude in limited visibility."/>
    <n v="0"/>
    <n v="1"/>
    <x v="1"/>
  </r>
  <r>
    <n v="2060"/>
    <x v="1879"/>
    <x v="52"/>
    <x v="0"/>
    <d v="1899-12-30T10:40:00"/>
    <s v="Near Tisbury, England"/>
    <s v="British Aircraft Corporation"/>
    <s v="Unknown"/>
    <s v="Test flight"/>
    <x v="943"/>
    <s v="G-ASHG"/>
    <n v="4"/>
    <n v="7"/>
    <n v="0"/>
    <n v="7"/>
    <n v="7"/>
    <n v="0"/>
    <n v="7"/>
    <n v="0"/>
    <s v="During a stalling test the aircraft entered a stable stalled condition from which recovery was not possible."/>
    <n v="0"/>
    <n v="1"/>
    <x v="1"/>
  </r>
  <r>
    <n v="2061"/>
    <x v="1880"/>
    <x v="52"/>
    <x v="0"/>
    <d v="1899-12-30T17:59:00"/>
    <s v="Mariehamn, Aaland Island, Finland"/>
    <s v="Finnair"/>
    <n v="217"/>
    <s v="Turku - Mariehamn"/>
    <x v="277"/>
    <s v="OH-LCA"/>
    <n v="9799"/>
    <n v="24"/>
    <n v="21"/>
    <n v="3"/>
    <n v="22"/>
    <n v="19"/>
    <n v="3"/>
    <n v="0"/>
    <s v=" The aircraft flew below the safe flying altitude and hit trees on the approach line in fog. Wrong indication of the pilot's altimeter during the instrument approach. Landing carried out in below minimum conditions."/>
    <n v="2"/>
    <n v="0.91666666666666663"/>
    <x v="1"/>
  </r>
  <r>
    <n v="2062"/>
    <x v="1881"/>
    <x v="52"/>
    <x v="0"/>
    <d v="1899-12-30T18:33:00"/>
    <s v="Ste. Therese de Blainville, Canada"/>
    <s v="Trans Canada Air Lines"/>
    <n v="831"/>
    <s v="Montreal - Toronto"/>
    <x v="944"/>
    <s v="CF-TJN"/>
    <s v="45654/179"/>
    <n v="118"/>
    <n v="111"/>
    <n v="7"/>
    <n v="118"/>
    <n v="111"/>
    <n v="7"/>
    <n v="0"/>
    <s v="The aircraft crashed about 5 minutes after leaving Dorval Airport in Montreal. Icing of the pitot system or failure of the vertical gyro or an unprogrammed and unnoticed extension of the Pitch Trim Compensator."/>
    <n v="0"/>
    <n v="1"/>
    <x v="1"/>
  </r>
  <r>
    <n v="2063"/>
    <x v="1882"/>
    <x v="52"/>
    <x v="0"/>
    <d v="1899-12-30T19:19:00"/>
    <s v="Near Nederland, Colorado"/>
    <s v="Zantop Air Transport"/>
    <s v="Unknown"/>
    <s v="Lowery AFB - Ogden Hill AFB"/>
    <x v="945"/>
    <s v="N609"/>
    <n v="26571"/>
    <n v="3"/>
    <n v="1"/>
    <n v="2"/>
    <n v="3"/>
    <n v="1"/>
    <n v="2"/>
    <n v="0"/>
    <s v="The cargo plane impacted a vertical rock face at 12,500 ft. Pilot in command executed improper in-flight decisions and planning and exercised poor judgment."/>
    <n v="0"/>
    <n v="1"/>
    <x v="1"/>
  </r>
  <r>
    <n v="2064"/>
    <x v="1883"/>
    <x v="52"/>
    <x v="0"/>
    <d v="1899-12-30T20:59:00"/>
    <s v="Elkton, Maryland"/>
    <s v="Pan American World Airways"/>
    <n v="214"/>
    <s v="Washington - Baltimore - Philadelphia"/>
    <x v="946"/>
    <s v="N709PA"/>
    <s v="17588/3"/>
    <n v="81"/>
    <n v="73"/>
    <n v="8"/>
    <n v="81"/>
    <n v="73"/>
    <n v="8"/>
    <n v="0"/>
    <s v="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
    <n v="0"/>
    <n v="1"/>
    <x v="1"/>
  </r>
  <r>
    <n v="2065"/>
    <x v="1884"/>
    <x v="52"/>
    <x v="0"/>
    <d v="1899-12-30T14:45:00"/>
    <s v="Gazni, Afghanistan"/>
    <s v="Trans Mediterranean Airways"/>
    <s v="Unknown"/>
    <s v="Kawait - Kabul"/>
    <x v="377"/>
    <s v="OD-AEB"/>
    <n v="10424"/>
    <n v="3"/>
    <n v="0"/>
    <n v="3"/>
    <n v="3"/>
    <n v="0"/>
    <n v="3"/>
    <n v="0"/>
    <s v="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
    <n v="0"/>
    <n v="1"/>
    <x v="1"/>
  </r>
  <r>
    <n v="2066"/>
    <x v="1885"/>
    <x v="52"/>
    <x v="0"/>
    <s v="Unknown"/>
    <s v="Cairo, Egypt"/>
    <s v="Misrair"/>
    <s v="Unknown"/>
    <s v="Cairo - Luxor"/>
    <x v="857"/>
    <s v="SU-AFK"/>
    <n v="213"/>
    <n v="6"/>
    <n v="1"/>
    <n v="5"/>
    <n v="6"/>
    <n v="1"/>
    <n v="5"/>
    <n v="0"/>
    <s v="Crashed shortly after taking off."/>
    <n v="0"/>
    <n v="1"/>
    <x v="1"/>
  </r>
  <r>
    <n v="2067"/>
    <x v="1886"/>
    <x v="52"/>
    <x v="0"/>
    <d v="1899-12-30T23:41:00"/>
    <s v="Los Angeles, California"/>
    <s v="Western Airlines"/>
    <s v="Unknown"/>
    <s v="Unknown"/>
    <x v="626"/>
    <s v="N93131"/>
    <n v="45536"/>
    <n v="46"/>
    <n v="40"/>
    <n v="6"/>
    <n v="0"/>
    <n v="0"/>
    <n v="0"/>
    <n v="0"/>
    <s v="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
    <n v="46"/>
    <n v="0"/>
    <x v="2"/>
  </r>
  <r>
    <n v="2068"/>
    <x v="1887"/>
    <x v="53"/>
    <x v="0"/>
    <d v="1899-12-30T09:50:00"/>
    <s v="Zarate, Argentina"/>
    <s v="Aerolineas Litoral Argentina"/>
    <s v="Unknown"/>
    <s v="Rosario - Buenos Aires"/>
    <x v="277"/>
    <s v="LV-FYJ"/>
    <s v="14713/26158"/>
    <n v="30"/>
    <n v="27"/>
    <n v="3"/>
    <n v="28"/>
    <n v="25"/>
    <n v="3"/>
    <n v="0"/>
    <s v="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
    <n v="2"/>
    <n v="0.93333333333333335"/>
    <x v="1"/>
  </r>
  <r>
    <n v="2069"/>
    <x v="1888"/>
    <x v="53"/>
    <x v="0"/>
    <d v="1899-12-30T20:30:00"/>
    <s v="Near Ankara, Turkey"/>
    <s v="Turkish Airlines (THY)"/>
    <s v="Unknown"/>
    <s v="Istanbul - Ankara"/>
    <x v="402"/>
    <s v="TC-ETI"/>
    <n v="12319"/>
    <n v="3"/>
    <n v="0"/>
    <n v="3"/>
    <n v="3"/>
    <n v="0"/>
    <n v="3"/>
    <n v="0"/>
    <s v="The cargo plane crashed short of the runway while on approach. Improper IFR procedure. Descended below MDA."/>
    <n v="0"/>
    <n v="1"/>
    <x v="1"/>
  </r>
  <r>
    <n v="2070"/>
    <x v="1888"/>
    <x v="53"/>
    <x v="0"/>
    <d v="1899-12-30T08:00:00"/>
    <s v="Gainsville, Florida"/>
    <s v="South Central Airlines"/>
    <s v="510/3"/>
    <s v="Gainsville - Jacksonville"/>
    <x v="947"/>
    <s v="N2999"/>
    <s v="A-811"/>
    <n v="10"/>
    <n v="9"/>
    <n v="1"/>
    <n v="10"/>
    <n v="9"/>
    <n v="1"/>
    <n v="0"/>
    <s v="The aircraft made a steep climb to 200 ft., stalled and crashed striking the departure end of Runway 6. Pilot's failure to properly load the aircraft, resulting  in insufficient elevator effectiveness to reverse an unwanted pitching motion."/>
    <n v="0"/>
    <n v="1"/>
    <x v="1"/>
  </r>
  <r>
    <n v="2071"/>
    <x v="1889"/>
    <x v="53"/>
    <x v="0"/>
    <s v="Unknown"/>
    <s v="Yacuiba, Bolivia"/>
    <s v="Lloyd AÃ©reo Boliviano"/>
    <s v="Unknown"/>
    <s v="Yacuiba - La Paz"/>
    <x v="277"/>
    <s v="CP- 568"/>
    <n v="19024"/>
    <n v="29"/>
    <n v="26"/>
    <n v="3"/>
    <n v="2"/>
    <s v="NULL"/>
    <s v="NULL"/>
    <n v="0"/>
    <s v="The aircraft stalled and  crashed at the end of the runway after liftoff."/>
    <n v="27"/>
    <n v="6.8965517241379309E-2"/>
    <x v="2"/>
  </r>
  <r>
    <n v="2072"/>
    <x v="1890"/>
    <x v="53"/>
    <x v="0"/>
    <d v="1899-12-30T15:40:00"/>
    <s v="Banihal Pass, India"/>
    <s v="Military - Indian Air Force"/>
    <s v="Unknown"/>
    <s v="Srinagar - Udhampur"/>
    <x v="813"/>
    <s v="Unknown"/>
    <s v="Unknown"/>
    <n v="13"/>
    <n v="8"/>
    <n v="5"/>
    <n v="13"/>
    <n v="8"/>
    <n v="5"/>
    <n v="0"/>
    <s v="Crashed into a mountain while en route."/>
    <n v="0"/>
    <n v="1"/>
    <x v="1"/>
  </r>
  <r>
    <n v="2073"/>
    <x v="1891"/>
    <x v="53"/>
    <x v="0"/>
    <d v="1899-12-30T16:00:00"/>
    <s v="Marawi, Philippines"/>
    <s v="Philippine Air Lines"/>
    <n v="946"/>
    <s v="Cotabato - Malabang - Iligan - Cayagan de Oro"/>
    <x v="277"/>
    <s v="PI-C97"/>
    <s v="14944/2638"/>
    <n v="32"/>
    <n v="29"/>
    <n v="3"/>
    <n v="31"/>
    <n v="28"/>
    <n v="3"/>
    <n v="0"/>
    <s v="Struck trees on a mountain ridge and crashed while attempting to land. Continued flight under VFR into IFR conditions."/>
    <n v="1"/>
    <n v="0.96875"/>
    <x v="1"/>
  </r>
  <r>
    <n v="2074"/>
    <x v="1892"/>
    <x v="53"/>
    <x v="0"/>
    <d v="1899-12-30T02:06:00"/>
    <s v="Lake Pontchartrain, New Orleans, Louisiana"/>
    <s v="Eastern Air Lines"/>
    <n v="304"/>
    <s v="Mexico City - New Orleans - New York City"/>
    <x v="873"/>
    <s v="N8607"/>
    <s v="45428/61"/>
    <n v="58"/>
    <n v="51"/>
    <n v="7"/>
    <n v="58"/>
    <n v="51"/>
    <n v="7"/>
    <n v="0"/>
    <s v="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
    <n v="0"/>
    <n v="1"/>
    <x v="1"/>
  </r>
  <r>
    <n v="2075"/>
    <x v="1893"/>
    <x v="53"/>
    <x v="0"/>
    <d v="1899-12-30T06:15:00"/>
    <s v="Oita, Japan"/>
    <s v="Fuji Airlines"/>
    <n v="902"/>
    <s v="Kagoshima - Oita"/>
    <x v="640"/>
    <s v="JA5098"/>
    <n v="53"/>
    <n v="42"/>
    <n v="37"/>
    <n v="5"/>
    <n v="20"/>
    <n v="18"/>
    <n v="2"/>
    <n v="0"/>
    <s v="Ran past end of runway when landing and ran into a river dike, broke in three and burst into flames. Malfunctioning propeller reverser, excessive speed and insufficient  braking."/>
    <n v="22"/>
    <n v="0.47619047619047616"/>
    <x v="0"/>
  </r>
  <r>
    <n v="2076"/>
    <x v="1894"/>
    <x v="53"/>
    <x v="0"/>
    <d v="1899-12-30T14:44:00"/>
    <s v="Near Innsbruck, Austria"/>
    <s v="British Eagle International Airlines"/>
    <n v="802"/>
    <s v="London - Innsbruck"/>
    <x v="948"/>
    <s v="G-AOVO"/>
    <n v="13423"/>
    <n v="83"/>
    <n v="75"/>
    <n v="8"/>
    <n v="83"/>
    <n v="75"/>
    <n v="8"/>
    <n v="0"/>
    <s v="The aircraft crashed into Mt. Glungezer and then slid down a gorge, 10 miles ESE of the airport while in a holding pattern. The pilot descended below the minimum safe altitude in an apparent attempt to penetrate the overcast flying VFR in IFR conditions."/>
    <n v="0"/>
    <n v="1"/>
    <x v="1"/>
  </r>
  <r>
    <n v="2077"/>
    <x v="1895"/>
    <x v="53"/>
    <x v="0"/>
    <d v="1899-12-30T11:29:00"/>
    <s v="Near Zephyr Cove, Nevada"/>
    <s v="Paradise Airlines"/>
    <s v="901A"/>
    <s v="San Jose, CA - Lake Tahoe"/>
    <x v="609"/>
    <s v="N86504"/>
    <n v="2025"/>
    <n v="85"/>
    <n v="81"/>
    <n v="4"/>
    <n v="85"/>
    <n v="81"/>
    <n v="4"/>
    <n v="0"/>
    <s v="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quot;City of Los Angeles.&quot;"/>
    <n v="0"/>
    <n v="1"/>
    <x v="1"/>
  </r>
  <r>
    <n v="2078"/>
    <x v="1896"/>
    <x v="53"/>
    <x v="0"/>
    <s v="Unknown"/>
    <s v="Barrackpore, India"/>
    <s v="Military - Indian Air Force"/>
    <s v="Unknown"/>
    <s v="Barrackpore - Bagdogra"/>
    <x v="933"/>
    <s v="Unknown"/>
    <s v="Unknown"/>
    <n v="22"/>
    <n v="17"/>
    <n v="5"/>
    <n v="22"/>
    <n v="17"/>
    <n v="5"/>
    <n v="0"/>
    <s v="While flying from Barrackpore AFS (near Calcutta) to Bagdogra AFS (near Siliguri), the aircraft crashed into the Hooghly River."/>
    <n v="0"/>
    <n v="1"/>
    <x v="1"/>
  </r>
  <r>
    <n v="2079"/>
    <x v="1897"/>
    <x v="53"/>
    <x v="0"/>
    <d v="1899-12-30T23:56:00"/>
    <s v="Near Chicago Illinois"/>
    <s v="Snow Valley Ski Lines"/>
    <s v="Unknown"/>
    <s v="Unknown"/>
    <x v="277"/>
    <s v="N410D"/>
    <n v="4970"/>
    <n v="30"/>
    <n v="28"/>
    <n v="2"/>
    <n v="1"/>
    <n v="0"/>
    <n v="1"/>
    <n v="0"/>
    <s v="Crashed after executing a missed apporach. Improper operation of powerplant and powerplant controls."/>
    <n v="29"/>
    <n v="3.3333333333333333E-2"/>
    <x v="2"/>
  </r>
  <r>
    <n v="2080"/>
    <x v="1897"/>
    <x v="53"/>
    <x v="0"/>
    <d v="1899-12-30T18:45:00"/>
    <s v="Bogota, Colombia"/>
    <s v="Taxi Aereo de Santander"/>
    <s v="Unknown"/>
    <s v="Pereira - Bogota"/>
    <x v="277"/>
    <s v="HK-862"/>
    <n v="12374"/>
    <n v="28"/>
    <n v="25"/>
    <n v="3"/>
    <n v="28"/>
    <n v="25"/>
    <n v="3"/>
    <n v="0"/>
    <s v="Crashed during final approach. Evasive maneuver to avoid a mid-air collision with another aircraft caused the pilot to lose control of the aircraft."/>
    <n v="0"/>
    <n v="1"/>
    <x v="1"/>
  </r>
  <r>
    <n v="2081"/>
    <x v="1898"/>
    <x v="53"/>
    <x v="0"/>
    <d v="1899-12-30T08:22:00"/>
    <s v="Boston, Massachutes"/>
    <s v="Slick Airways - Cargo"/>
    <n v="12"/>
    <s v="New York - Winsor Locks - Boston"/>
    <x v="487"/>
    <s v="N384"/>
    <n v="18379"/>
    <n v="3"/>
    <n v="0"/>
    <n v="3"/>
    <n v="3"/>
    <n v="0"/>
    <n v="3"/>
    <n v="0"/>
    <s v="While on approach, the cargo plane suddenly pitched down and crashed short of the runway. Loss of balancing forces on the horizontal surface of the empennage of the aircraft, due to ice accretion, causing the aircraft to pitch nose down at an altitude too low to effect recovery."/>
    <n v="0"/>
    <n v="1"/>
    <x v="1"/>
  </r>
  <r>
    <n v="2082"/>
    <x v="1899"/>
    <x v="53"/>
    <x v="0"/>
    <d v="1899-12-30T20:50:00"/>
    <s v="Miles City, Montana"/>
    <s v="Frontier Airlines"/>
    <n v="32"/>
    <s v="Billings - Miles City - Glendive - Sidney"/>
    <x v="507"/>
    <s v="N61442"/>
    <n v="9642"/>
    <n v="5"/>
    <n v="2"/>
    <n v="3"/>
    <n v="5"/>
    <n v="2"/>
    <n v="3"/>
    <n v="0"/>
    <s v="Struck a ridge while approaching Miles City in sleet and freezing rain while on a VOR instrument approach. The descent below obstructing terrain, for reasons undetermined, during an instrument approach in adverse weather conditions."/>
    <n v="0"/>
    <n v="1"/>
    <x v="1"/>
  </r>
  <r>
    <n v="2083"/>
    <x v="1900"/>
    <x v="53"/>
    <x v="0"/>
    <d v="1899-12-30T07:20:00"/>
    <s v="Near Danbury, North Carolina"/>
    <s v="Commercial Air Taxi"/>
    <s v="Unknown"/>
    <s v="Unknown"/>
    <x v="949"/>
    <s v="N4320P"/>
    <s v="Unknown"/>
    <n v="3"/>
    <n v="2"/>
    <n v="1"/>
    <n v="3"/>
    <n v="2"/>
    <n v="1"/>
    <n v="0"/>
    <s v="The aircraft suffered engine failure in flight and crashed. Carburetor icing. Improper emergency procedures. Alcohol impairment."/>
    <n v="0"/>
    <n v="1"/>
    <x v="1"/>
  </r>
  <r>
    <n v="2084"/>
    <x v="1901"/>
    <x v="53"/>
    <x v="0"/>
    <d v="1899-12-30T22:39:00"/>
    <s v="Mt. Vesuvius, Italy"/>
    <s v="Alitalia"/>
    <n v="45"/>
    <s v="Rome - Napoli"/>
    <x v="950"/>
    <s v="I-LAKE"/>
    <n v="328"/>
    <n v="45"/>
    <n v="40"/>
    <n v="5"/>
    <n v="45"/>
    <n v="40"/>
    <n v="5"/>
    <n v="0"/>
    <s v="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
    <n v="0"/>
    <n v="1"/>
    <x v="1"/>
  </r>
  <r>
    <n v="2085"/>
    <x v="1901"/>
    <x v="53"/>
    <x v="0"/>
    <d v="1899-12-30T06:00:00"/>
    <s v="North Pacific Ocean"/>
    <s v="Private - Facilities Management Co."/>
    <s v="Unknown"/>
    <s v="Honolulu - San Francisco"/>
    <x v="746"/>
    <s v="N4726V"/>
    <n v="10315"/>
    <n v="9"/>
    <n v="6"/>
    <n v="3"/>
    <n v="9"/>
    <n v="6"/>
    <n v="3"/>
    <n v="0"/>
    <s v="Disappeared while en route, 1,120 nm W of San Francisco, after the pilot reported he had a bad fire in the No. 2 engine."/>
    <n v="0"/>
    <n v="1"/>
    <x v="1"/>
  </r>
  <r>
    <n v="2086"/>
    <x v="1902"/>
    <x v="53"/>
    <x v="0"/>
    <s v="Unknown"/>
    <s v="Hargeisa, Somalia"/>
    <s v="Aden Airways"/>
    <s v="Unknown"/>
    <s v="Aden - Hargeisa"/>
    <x v="277"/>
    <s v="VR-AAM"/>
    <s v="15530/26975"/>
    <n v="15"/>
    <n v="12"/>
    <n v="3"/>
    <n v="15"/>
    <n v="12"/>
    <n v="3"/>
    <n v="0"/>
    <s v="Crashed while approaching the airport."/>
    <n v="0"/>
    <n v="1"/>
    <x v="1"/>
  </r>
  <r>
    <n v="2087"/>
    <x v="1903"/>
    <x v="53"/>
    <x v="0"/>
    <d v="1899-12-30T15:14:00"/>
    <s v="Elim, Alaska"/>
    <s v="Wein Alaska Airlines Inc."/>
    <s v="Unknown"/>
    <s v="Unknown"/>
    <x v="951"/>
    <s v="N9984X"/>
    <s v="Unknown"/>
    <n v="2"/>
    <n v="1"/>
    <n v="1"/>
    <n v="2"/>
    <n v="1"/>
    <n v="1"/>
    <n v="0"/>
    <s v="Flew into whiteout conditions and crashed.  ATC did not advise of unsafe weather conditions."/>
    <n v="0"/>
    <n v="1"/>
    <x v="1"/>
  </r>
  <r>
    <n v="2088"/>
    <x v="1903"/>
    <x v="53"/>
    <x v="0"/>
    <d v="1899-12-30T19:32:00"/>
    <s v="Dhahran, Saudi Arabia"/>
    <s v="Middle East Airlines"/>
    <n v="444"/>
    <s v="Beirut - Dhahran"/>
    <x v="952"/>
    <s v="OD-AEM"/>
    <s v="023/21"/>
    <n v="49"/>
    <n v="42"/>
    <n v="7"/>
    <n v="49"/>
    <n v="42"/>
    <n v="7"/>
    <n v="0"/>
    <s v="Crashed into the sea, 4 nm off shore while on approach to Dhahran Airport in a sandstorm."/>
    <n v="0"/>
    <n v="1"/>
    <x v="1"/>
  </r>
  <r>
    <n v="2089"/>
    <x v="1904"/>
    <x v="53"/>
    <x v="0"/>
    <d v="1899-12-30T06:49:00"/>
    <s v="San Ramon, California"/>
    <s v="Pacific Air Lines"/>
    <n v="773"/>
    <s v="Stockton - San Fransisco"/>
    <x v="865"/>
    <s v="N2770R"/>
    <n v="36"/>
    <n v="44"/>
    <n v="41"/>
    <n v="3"/>
    <n v="44"/>
    <n v="41"/>
    <n v="3"/>
    <n v="0"/>
    <s v="The aircraft went into a steep dive and crashed 26 miles from it destinatiion of San Francisco Internatiional Airport. The last message which had to be obtained through laboratory analysis was &quot;Skipper's shot.  We've been shot.  I was trying to help.&quot;  Francisco Gonzales, a passenger, who had told several people he was going to kill himself, shot both the pilot and co-pilot. Gonzales, 27, a former member of the Philippine yachting team at the 1960 Olympics, had purchased life insurance policies totaling $105,000 prior to the flight."/>
    <n v="0"/>
    <n v="1"/>
    <x v="1"/>
  </r>
  <r>
    <n v="2090"/>
    <x v="1905"/>
    <x v="53"/>
    <x v="0"/>
    <d v="1899-12-30T20:20:00"/>
    <s v="Near Lima, Peru"/>
    <s v="Fuerza AÃ©rea Argentina"/>
    <s v="Unknown"/>
    <s v="Buenos Aires - Lima"/>
    <x v="450"/>
    <s v="T-47"/>
    <n v="3082"/>
    <n v="49"/>
    <n v="42"/>
    <n v="7"/>
    <n v="46"/>
    <n v="40"/>
    <n v="6"/>
    <n v="0"/>
    <s v="Crashed into a sand dune while attempting to land at Lima in heavy fog. Improper IFR procedures by the crew."/>
    <n v="3"/>
    <n v="0.93877551020408168"/>
    <x v="1"/>
  </r>
  <r>
    <n v="2091"/>
    <x v="1906"/>
    <x v="53"/>
    <x v="0"/>
    <d v="1899-12-30T19:20:00"/>
    <s v="Papanga, Philippines"/>
    <s v="Military - U.S. Air Force"/>
    <s v="Unknown"/>
    <s v="Travis - Hickam - Clark"/>
    <x v="953"/>
    <s v="62-0332"/>
    <n v="18239"/>
    <n v="84"/>
    <n v="74"/>
    <n v="10"/>
    <n v="79"/>
    <n v="74"/>
    <n v="5"/>
    <n v="0"/>
    <s v="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
    <n v="5"/>
    <n v="0.94047619047619047"/>
    <x v="1"/>
  </r>
  <r>
    <n v="2092"/>
    <x v="1907"/>
    <x v="53"/>
    <x v="0"/>
    <d v="1899-12-30T10:00:00"/>
    <s v="Sibuco Point ,Philippines"/>
    <s v="Philippine Air Lines"/>
    <s v="Unknown"/>
    <s v="Siocon - Zamboanga"/>
    <x v="781"/>
    <s v="PI-C51"/>
    <n v="68"/>
    <n v="11"/>
    <n v="10"/>
    <n v="1"/>
    <n v="11"/>
    <n v="10"/>
    <n v="1"/>
    <n v="0"/>
    <s v="Struck a hill while taking off. The pilot continued to fly VFR into unfavourable weather over the jagged shoreline with practically zero visibility due to heavy rain. At the time of the accident, the visibility was below minima."/>
    <n v="0"/>
    <n v="1"/>
    <x v="1"/>
  </r>
  <r>
    <n v="2093"/>
    <x v="1908"/>
    <x v="53"/>
    <x v="0"/>
    <d v="1899-12-30T15:00:00"/>
    <s v="Itapecerica da Serra, Brazil"/>
    <s v="VASP"/>
    <s v="Unknown"/>
    <s v="Training"/>
    <x v="734"/>
    <s v="PP-SPZ"/>
    <n v="4649"/>
    <n v="3"/>
    <n v="0"/>
    <n v="3"/>
    <n v="3"/>
    <n v="0"/>
    <n v="3"/>
    <n v="0"/>
    <s v="The plane was being used for training. Witnesses reported the plane exploded in the air  and broke in three parts before reaching the ground. The body of one of the crew was seen being thrown out of the cabin."/>
    <n v="0"/>
    <n v="1"/>
    <x v="1"/>
  </r>
  <r>
    <n v="2094"/>
    <x v="1909"/>
    <x v="53"/>
    <x v="0"/>
    <s v="Unknown"/>
    <s v="Jeddah, Saudia Arabia Jeddah, Saudia Arabia"/>
    <s v="Saudi Arabian Airlines"/>
    <s v="Unknown"/>
    <s v="Training"/>
    <x v="402"/>
    <s v="HZ-AAN"/>
    <n v="12899"/>
    <n v="2"/>
    <n v="0"/>
    <n v="2"/>
    <n v="2"/>
    <n v="0"/>
    <n v="2"/>
    <n v="0"/>
    <s v="Crashed into the Red Sea."/>
    <n v="0"/>
    <n v="1"/>
    <x v="1"/>
  </r>
  <r>
    <n v="2095"/>
    <x v="1910"/>
    <x v="53"/>
    <x v="0"/>
    <d v="1899-12-30T17:40:00"/>
    <s v="Taichung, Taiwan"/>
    <s v="Civil Air Transport"/>
    <s v="Unknown"/>
    <s v="Taichung - Tainan"/>
    <x v="954"/>
    <s v="B-908"/>
    <n v="2950"/>
    <n v="57"/>
    <n v="52"/>
    <n v="5"/>
    <n v="57"/>
    <n v="52"/>
    <n v="5"/>
    <n v="0"/>
    <s v="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
    <n v="0"/>
    <n v="1"/>
    <x v="1"/>
  </r>
  <r>
    <n v="2096"/>
    <x v="1911"/>
    <x v="53"/>
    <x v="0"/>
    <d v="1899-12-30T04:00:00"/>
    <s v="Off Palma de Mallorca, Spain"/>
    <s v="TASSA"/>
    <s v="Unknown"/>
    <s v="Palma de Mallorca - Ibiza"/>
    <x v="277"/>
    <s v="EC-AQH"/>
    <n v="20072"/>
    <n v="28"/>
    <n v="25"/>
    <n v="3"/>
    <n v="1"/>
    <n v="1"/>
    <n v="0"/>
    <n v="0"/>
    <s v="Both engines failed and the plane ditched 1 mile offshore and sank."/>
    <n v="27"/>
    <n v="3.5714285714285712E-2"/>
    <x v="2"/>
  </r>
  <r>
    <n v="2097"/>
    <x v="1912"/>
    <x v="53"/>
    <x v="0"/>
    <d v="1899-12-30T12:10:00"/>
    <s v="Knoxville, Tennessee"/>
    <s v="United Air Lines"/>
    <s v="Unknown"/>
    <s v="Unknown"/>
    <x v="955"/>
    <s v="N1007U"/>
    <n v="92"/>
    <n v="53"/>
    <n v="48"/>
    <n v="5"/>
    <n v="1"/>
    <n v="1"/>
    <n v="0"/>
    <n v="0"/>
    <s v="While climbing to cruise altitude the plane hit turbulence, downdrafts and updrafts. One passenger's seat belt  failed, killing the passenger."/>
    <n v="52"/>
    <n v="1.8867924528301886E-2"/>
    <x v="2"/>
  </r>
  <r>
    <n v="2098"/>
    <x v="1913"/>
    <x v="53"/>
    <x v="0"/>
    <d v="1899-12-30T18:15:00"/>
    <s v="Parrottsville, Tennesee"/>
    <s v="United Air Lines"/>
    <n v="823"/>
    <s v="Philidelphia - Washington - Knoxville - Huntsville"/>
    <x v="789"/>
    <s v="N7405"/>
    <n v="103"/>
    <n v="39"/>
    <n v="35"/>
    <n v="4"/>
    <n v="39"/>
    <n v="35"/>
    <n v="4"/>
    <n v="0"/>
    <s v="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
    <n v="0"/>
    <n v="1"/>
    <x v="1"/>
  </r>
  <r>
    <n v="2099"/>
    <x v="1914"/>
    <x v="53"/>
    <x v="0"/>
    <d v="1899-12-30T18:29:00"/>
    <s v="Richmond, Virginia"/>
    <s v="Eastern Air Lines"/>
    <s v="Unknown"/>
    <s v="New York City - Richmond - Jacksonville"/>
    <x v="836"/>
    <s v="N809D"/>
    <s v="44860/616"/>
    <n v="76"/>
    <n v="71"/>
    <n v="5"/>
    <n v="0"/>
    <n v="0"/>
    <n v="0"/>
    <n v="0"/>
    <s v="Landed 17 feet short of the runway threshold, tore off the landing gear, slid and caught fire. Pilot misjudged altitude and distance and undershot during landing."/>
    <n v="76"/>
    <n v="0"/>
    <x v="2"/>
  </r>
  <r>
    <n v="2100"/>
    <x v="1915"/>
    <x v="53"/>
    <x v="0"/>
    <d v="1899-12-30T16:52:00"/>
    <s v="Near Nashville, Tennesee"/>
    <s v="Private"/>
    <s v="-"/>
    <s v="Batesville - Nashville"/>
    <x v="956"/>
    <s v="N8972M"/>
    <s v="Unknown"/>
    <n v="2"/>
    <n v="1"/>
    <n v="1"/>
    <n v="2"/>
    <n v="1"/>
    <n v="1"/>
    <n v="0"/>
    <s v="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
    <n v="0"/>
    <n v="1"/>
    <x v="1"/>
  </r>
  <r>
    <n v="2101"/>
    <x v="1916"/>
    <x v="53"/>
    <x v="0"/>
    <s v="Unknown"/>
    <s v="Near Tipuani, Bolivia"/>
    <s v="Servicios AÃ©reos Cochabamba"/>
    <s v="Unknown"/>
    <s v="La Paz - Tipuani"/>
    <x v="957"/>
    <s v="CP-680"/>
    <n v="13371"/>
    <n v="4"/>
    <n v="2"/>
    <n v="2"/>
    <n v="4"/>
    <n v="2"/>
    <n v="2"/>
    <n v="0"/>
    <s v="Struck Huayna Hill in poor weather. The flight was conducted in IMC conditions at an altitude unsafe for operations of that nature through the Huayna Pass."/>
    <n v="0"/>
    <n v="1"/>
    <x v="1"/>
  </r>
  <r>
    <n v="2102"/>
    <x v="1917"/>
    <x v="53"/>
    <x v="0"/>
    <d v="1899-12-30T21:11:00"/>
    <s v="Island of Sakhalin, Russia"/>
    <s v="Aeroflot"/>
    <n v="721"/>
    <s v="Krasnoyarsk - Yuzhno"/>
    <x v="855"/>
    <s v="CCCP-75531"/>
    <n v="180002402"/>
    <n v="87"/>
    <n v="78"/>
    <n v="9"/>
    <n v="87"/>
    <n v="78"/>
    <n v="9"/>
    <n v="0"/>
    <s v="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
    <n v="0"/>
    <n v="1"/>
    <x v="1"/>
  </r>
  <r>
    <n v="2103"/>
    <x v="1918"/>
    <x v="53"/>
    <x v="0"/>
    <d v="1899-12-30T19:00:00"/>
    <s v="Near Vaong Nong, Thailand"/>
    <s v="Military - Royal Thai Air Force"/>
    <s v="Unknown"/>
    <s v="Khoke Kathiam - Vaong Nong"/>
    <x v="368"/>
    <s v="Unknown"/>
    <s v="Unknown"/>
    <n v="34"/>
    <s v="NULL"/>
    <s v="NULL"/>
    <n v="28"/>
    <s v="NULL"/>
    <s v="NULL"/>
    <n v="0"/>
    <s v="Struck a tree and crashed during a nighttime landing attempt."/>
    <n v="6"/>
    <n v="0.82352941176470584"/>
    <x v="1"/>
  </r>
  <r>
    <n v="2104"/>
    <x v="1918"/>
    <x v="53"/>
    <x v="0"/>
    <d v="1899-12-30T16:34:00"/>
    <s v="Pico da Caledonia, Brazil"/>
    <s v="VASP"/>
    <s v="Unknown"/>
    <s v="Vitoria - Rio de Janeiro"/>
    <x v="958"/>
    <s v="PP-SRR"/>
    <n v="66"/>
    <n v="39"/>
    <n v="34"/>
    <n v="5"/>
    <n v="39"/>
    <n v="34"/>
    <n v="5"/>
    <n v="0"/>
    <s v="Crashed into Mt. Nova. Deviated off course for unknown reasons."/>
    <n v="0"/>
    <n v="1"/>
    <x v="1"/>
  </r>
  <r>
    <n v="2105"/>
    <x v="1919"/>
    <x v="53"/>
    <x v="0"/>
    <d v="1899-12-30T17:51:00"/>
    <s v="Near Condoto, Colombia"/>
    <s v="AVIANCA"/>
    <s v="Unknown"/>
    <s v="Condoto - Medellin"/>
    <x v="402"/>
    <s v="HK-319"/>
    <n v="19680"/>
    <n v="2"/>
    <n v="0"/>
    <n v="2"/>
    <n v="2"/>
    <n v="0"/>
    <n v="2"/>
    <n v="0"/>
    <s v="The cargo plane touched down, bounced twice, climbed and crashed. Improperly loaded cargo."/>
    <n v="0"/>
    <n v="1"/>
    <x v="1"/>
  </r>
  <r>
    <n v="2106"/>
    <x v="1920"/>
    <x v="53"/>
    <x v="0"/>
    <s v="Unknown"/>
    <s v="Addis Ababa, Ethiopia"/>
    <s v="Interocean"/>
    <s v="Unknown"/>
    <s v="Dublin, Ireland - Addis Ababa"/>
    <x v="959"/>
    <s v="LX-IOK"/>
    <n v="2562"/>
    <n v="7"/>
    <n v="0"/>
    <n v="7"/>
    <n v="1"/>
    <n v="0"/>
    <n v="1"/>
    <n v="0"/>
    <s v="The cargo plane left the runway and crashed while landing."/>
    <n v="6"/>
    <n v="0.14285714285714285"/>
    <x v="2"/>
  </r>
  <r>
    <n v="2107"/>
    <x v="1920"/>
    <x v="53"/>
    <x v="0"/>
    <d v="1899-12-30T05:45:00"/>
    <s v="Near Trevelez, Granada, Spain"/>
    <s v="Union des Transportes Aeriens"/>
    <s v="Unknown"/>
    <s v="Palma de Mallorca - Port Etienne"/>
    <x v="626"/>
    <s v="F-BHMS"/>
    <s v="44062/384"/>
    <n v="80"/>
    <n v="73"/>
    <n v="7"/>
    <n v="80"/>
    <n v="73"/>
    <n v="7"/>
    <n v="0"/>
    <s v="About an hour and a half after departing Palma de Mallorca the airliner crashed into Mt. Alcazaba, 20 miles SSE of Granada. Deviated off course. Cause unknown."/>
    <n v="0"/>
    <n v="1"/>
    <x v="1"/>
  </r>
  <r>
    <n v="2108"/>
    <x v="1921"/>
    <x v="53"/>
    <x v="0"/>
    <d v="1899-12-30T20:26:00"/>
    <s v="Near Sibiu, Romania"/>
    <s v="Tarom"/>
    <s v="Unknown"/>
    <s v="Timisoara - Bucharest"/>
    <x v="813"/>
    <s v="YR-ILB"/>
    <n v="146000926"/>
    <n v="32"/>
    <n v="28"/>
    <n v="4"/>
    <n v="32"/>
    <n v="28"/>
    <n v="4"/>
    <n v="0"/>
    <s v="En route, the airplane encountered strong downdrafts and severe turbulences, causing the fuselage to fail."/>
    <n v="0"/>
    <n v="1"/>
    <x v="1"/>
  </r>
  <r>
    <n v="2109"/>
    <x v="1922"/>
    <x v="53"/>
    <x v="0"/>
    <d v="1899-12-30T11:35:00"/>
    <s v="Near Belgrade, Yugoslavia"/>
    <s v="Military - Soviet Air Force"/>
    <s v="Unknown"/>
    <s v="Moscow - Belgrade"/>
    <x v="837"/>
    <s v="CCCP-75668"/>
    <s v="183 0057 04"/>
    <n v="33"/>
    <n v="29"/>
    <n v="4"/>
    <n v="33"/>
    <n v="29"/>
    <n v="4"/>
    <n v="0"/>
    <s v="Instructed to land at Belgrade from the west, the aircraft was too low and off course when it hit Avala Hill, 600 ft. below the peak, exploding in flames."/>
    <n v="0"/>
    <n v="1"/>
    <x v="1"/>
  </r>
  <r>
    <n v="2110"/>
    <x v="1923"/>
    <x v="53"/>
    <x v="0"/>
    <d v="1899-12-30T11:10:00"/>
    <s v="Branson, Colorado"/>
    <s v="Mustang Aviati"/>
    <s v="Unknown"/>
    <s v="Unknown"/>
    <x v="960"/>
    <s v="N2849G"/>
    <s v=" AF-383"/>
    <n v="5"/>
    <n v="4"/>
    <n v="1"/>
    <n v="5"/>
    <n v="4"/>
    <n v="1"/>
    <n v="0"/>
    <s v="Crashed while en route after pilot continued VFR flight into adverse weather conditions."/>
    <n v="0"/>
    <n v="1"/>
    <x v="1"/>
  </r>
  <r>
    <n v="2111"/>
    <x v="1924"/>
    <x v="53"/>
    <x v="0"/>
    <d v="1899-12-30T20:25:00"/>
    <s v="Las Vegas, Nevada"/>
    <s v="Bonanza Airlines"/>
    <n v="114"/>
    <s v="Phoenix - Las Vegas"/>
    <x v="865"/>
    <s v="N745L"/>
    <n v="29"/>
    <n v="29"/>
    <n v="26"/>
    <n v="3"/>
    <n v="29"/>
    <n v="26"/>
    <n v="3"/>
    <n v="0"/>
    <s v="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
    <n v="0"/>
    <n v="1"/>
    <x v="1"/>
  </r>
  <r>
    <n v="2112"/>
    <x v="1925"/>
    <x v="53"/>
    <x v="0"/>
    <d v="1899-12-30T18:55:00"/>
    <s v="Off Argentia, Newfoundland, Canada"/>
    <s v="Military - U.S. Navy"/>
    <s v="Unknown"/>
    <s v="Training"/>
    <x v="961"/>
    <n v="151362"/>
    <s v="185-5075"/>
    <n v="10"/>
    <n v="0"/>
    <n v="10"/>
    <n v="10"/>
    <n v="0"/>
    <n v="10"/>
    <n v="0"/>
    <s v="Crashed into the ocean while on maneuvers."/>
    <n v="0"/>
    <n v="1"/>
    <x v="1"/>
  </r>
  <r>
    <n v="2113"/>
    <x v="1926"/>
    <x v="53"/>
    <x v="0"/>
    <d v="1899-12-30T21:14:00"/>
    <s v="Angelholm, Sweden"/>
    <s v="Linjeflyg"/>
    <s v="Unknown"/>
    <s v="Stockholm - Hultsfred - Halmstad - Ã„ngelholm"/>
    <x v="962"/>
    <s v="SE-CCK"/>
    <n v="195"/>
    <n v="43"/>
    <n v="39"/>
    <n v="4"/>
    <n v="31"/>
    <n v="29"/>
    <n v="2"/>
    <n v="0"/>
    <s v="Descended prematurely struck the ground 2 km short of  the runway. Crew mistook lights perpendicular to the runway for runway lights and descended prematurely."/>
    <n v="12"/>
    <n v="0.72093023255813948"/>
    <x v="1"/>
  </r>
  <r>
    <n v="2114"/>
    <x v="1927"/>
    <x v="53"/>
    <x v="0"/>
    <d v="1899-12-30T14:09:00"/>
    <s v="Rome, Italy"/>
    <s v="Trans World Airlines"/>
    <n v="800"/>
    <s v="Rome - Athens"/>
    <x v="963"/>
    <s v="N769TW"/>
    <s v="17685/123"/>
    <n v="73"/>
    <n v="62"/>
    <n v="11"/>
    <n v="50"/>
    <n v="45"/>
    <n v="5"/>
    <n v="0"/>
    <s v="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
    <n v="23"/>
    <n v="0.68493150684931503"/>
    <x v="1"/>
  </r>
  <r>
    <n v="2115"/>
    <x v="1928"/>
    <x v="53"/>
    <x v="0"/>
    <d v="1899-12-30T19:20:00"/>
    <s v="Leopoldville, Democratic Republic of the Congo"/>
    <s v="Air Congo (BIAS)?"/>
    <s v="Unknown"/>
    <s v="Stanleyville - Kamina"/>
    <x v="487"/>
    <s v="OO-DEP"/>
    <n v="18384"/>
    <n v="14"/>
    <n v="11"/>
    <n v="3"/>
    <n v="6"/>
    <n v="3"/>
    <n v="3"/>
    <n v="0"/>
    <s v="While taking off, the aircraft struck an empty fuel drum on the runway which tore away the right stabilizer. The plane lifted off the ground but lost control and crashed."/>
    <n v="8"/>
    <n v="0.42857142857142855"/>
    <x v="0"/>
  </r>
  <r>
    <n v="2116"/>
    <x v="1929"/>
    <x v="53"/>
    <x v="0"/>
    <d v="1899-12-30T10:48:00"/>
    <s v="Tripuani, Bolivia"/>
    <s v="Aerolineas Abaroa"/>
    <s v="Unknown"/>
    <s v="Tipuani - La Paz"/>
    <x v="277"/>
    <s v="CP-639"/>
    <n v="7375"/>
    <n v="17"/>
    <n v="13"/>
    <n v="4"/>
    <n v="17"/>
    <n v="13"/>
    <n v="4"/>
    <n v="0"/>
    <s v="The plane crashed in the Andes Mountains after an explosion blew off the tail of the aircraft. Detonation of a bomb in the tail section of the passenger cabin. A suicide-for-insurance plot was suspected."/>
    <n v="0"/>
    <n v="1"/>
    <x v="1"/>
  </r>
  <r>
    <n v="2117"/>
    <x v="1930"/>
    <x v="53"/>
    <x v="0"/>
    <s v="Unknown"/>
    <s v="Near Da Nang, South Vietnam"/>
    <s v="Military - Vietnamese Air Force"/>
    <s v="Unknown"/>
    <s v="Unknown"/>
    <x v="964"/>
    <s v="Unknown"/>
    <s v="Unknown"/>
    <n v="38"/>
    <n v="32"/>
    <n v="6"/>
    <n v="38"/>
    <n v="32"/>
    <n v="6"/>
    <n v="0"/>
    <s v="Hit a mountain shortly after taking off exploding in flames."/>
    <n v="0"/>
    <n v="1"/>
    <x v="1"/>
  </r>
  <r>
    <n v="2118"/>
    <x v="1931"/>
    <x v="53"/>
    <x v="0"/>
    <d v="1899-12-30T18:40:00"/>
    <s v="Near Kaliba, Philippines"/>
    <s v="Fleming Airways System Transport"/>
    <s v="Unknown"/>
    <s v="Kalibo - Manila"/>
    <x v="277"/>
    <s v="PI-C569"/>
    <n v="20396"/>
    <n v="39"/>
    <n v="36"/>
    <n v="3"/>
    <n v="1"/>
    <n v="1"/>
    <n v="0"/>
    <n v="0"/>
    <s v="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
    <n v="38"/>
    <n v="2.564102564102564E-2"/>
    <x v="2"/>
  </r>
  <r>
    <n v="2119"/>
    <x v="1932"/>
    <x v="53"/>
    <x v="0"/>
    <d v="1899-12-30T00:31:00"/>
    <s v="Near San Francisco, California"/>
    <s v="Flying Tiger Line"/>
    <s v="Unknown"/>
    <s v="San Francisco - New York"/>
    <x v="804"/>
    <s v="N6915C"/>
    <n v="4812"/>
    <n v="3"/>
    <n v="0"/>
    <n v="3"/>
    <n v="3"/>
    <n v="0"/>
    <n v="3"/>
    <n v="0"/>
    <s v="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
    <n v="0"/>
    <n v="1"/>
    <x v="1"/>
  </r>
  <r>
    <n v="2120"/>
    <x v="1932"/>
    <x v="53"/>
    <x v="0"/>
    <s v="Unknown"/>
    <s v="Yurimaguas, Peru"/>
    <s v="SATCO"/>
    <s v="Unknown"/>
    <s v="Unknown"/>
    <x v="277"/>
    <s v="OB-XAU"/>
    <s v="14541/25986"/>
    <n v="23"/>
    <n v="22"/>
    <n v="1"/>
    <n v="1"/>
    <n v="0"/>
    <n v="1"/>
    <n v="0"/>
    <s v="Cashed on takeoff."/>
    <n v="22"/>
    <n v="4.3478260869565216E-2"/>
    <x v="2"/>
  </r>
  <r>
    <n v="2121"/>
    <x v="1933"/>
    <x v="53"/>
    <x v="0"/>
    <s v="Unknown"/>
    <s v="Near Turrialba, Costa Rica"/>
    <s v="Lineas AÃ©reas Sud Americana"/>
    <s v="Unknown"/>
    <s v="Guatemala City - Panama City"/>
    <x v="469"/>
    <s v="CC-CAN"/>
    <s v="Unknown"/>
    <n v="5"/>
    <n v="0"/>
    <n v="5"/>
    <n v="5"/>
    <n v="0"/>
    <n v="5"/>
    <n v="0"/>
    <s v="The cargo plane crashed on slope of the Turrialba Volcano while en route."/>
    <n v="0"/>
    <n v="1"/>
    <x v="1"/>
  </r>
  <r>
    <n v="2122"/>
    <x v="1934"/>
    <x v="53"/>
    <x v="0"/>
    <d v="1899-12-30T02:14:00"/>
    <s v="Detroit, Michigan"/>
    <s v="Zantop Air Transport"/>
    <s v="Unknown"/>
    <s v="Cleveland - Detroit - Denver"/>
    <x v="965"/>
    <s v="N608Z"/>
    <n v="30328"/>
    <n v="4"/>
    <n v="2"/>
    <n v="2"/>
    <n v="4"/>
    <n v="2"/>
    <n v="2"/>
    <n v="0"/>
    <s v="The cargo plane veered off course and struck trees while attempting to land.  Loss of control during night instrument approach in adverse weather for undetermined reasons."/>
    <n v="0"/>
    <n v="1"/>
    <x v="1"/>
  </r>
  <r>
    <n v="2123"/>
    <x v="1935"/>
    <x v="54"/>
    <x v="0"/>
    <d v="1899-12-30T09:57:00"/>
    <s v="Near Darwaza, Russia"/>
    <s v="Aeroflot"/>
    <s v="Unknown"/>
    <s v=" Darwaza - Ashgabat"/>
    <x v="420"/>
    <s v="CCCP-63842"/>
    <n v="6401"/>
    <n v="24"/>
    <n v="22"/>
    <n v="2"/>
    <n v="24"/>
    <n v="22"/>
    <n v="2"/>
    <n v="0"/>
    <s v="The plane took off and crashed. Fuel starvation. Fuel selector positioned to an empty tank."/>
    <n v="0"/>
    <n v="1"/>
    <x v="1"/>
  </r>
  <r>
    <n v="2124"/>
    <x v="1936"/>
    <x v="54"/>
    <x v="0"/>
    <d v="1899-12-30T21:03:00"/>
    <s v="Alma-Ata, Kazakhstan"/>
    <s v="Aeroflot / Kazakhstan"/>
    <n v="101"/>
    <s v="Semipalatinsk - Alma-Ata"/>
    <x v="855"/>
    <s v="CCCP-75685"/>
    <n v="189001105"/>
    <n v="103"/>
    <n v="95"/>
    <n v="8"/>
    <n v="64"/>
    <n v="61"/>
    <n v="3"/>
    <n v="0"/>
    <s v="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
    <n v="39"/>
    <n v="0.62135922330097082"/>
    <x v="0"/>
  </r>
  <r>
    <n v="2125"/>
    <x v="1937"/>
    <x v="54"/>
    <x v="0"/>
    <d v="1899-12-30T09:30:00"/>
    <s v="Wichita, Kansas"/>
    <s v="Military - U.S. Air Force"/>
    <s v="Unknown"/>
    <s v="Unknown"/>
    <x v="794"/>
    <s v="57-1442"/>
    <n v="17513"/>
    <n v="7"/>
    <n v="0"/>
    <n v="7"/>
    <n v="7"/>
    <n v="0"/>
    <n v="7"/>
    <n v="23"/>
    <s v="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
    <n v="0"/>
    <n v="1"/>
    <x v="1"/>
  </r>
  <r>
    <n v="2126"/>
    <x v="1938"/>
    <x v="54"/>
    <x v="0"/>
    <d v="1900-01-02T18:00:00"/>
    <s v="Near Durango, Mexico"/>
    <s v="Aerovias del Norte"/>
    <s v="Unknown"/>
    <s v="Durango  Zapotes"/>
    <x v="469"/>
    <s v="XA-NUT"/>
    <n v="5960"/>
    <n v="10"/>
    <n v="7"/>
    <n v="3"/>
    <n v="10"/>
    <n v="7"/>
    <n v="3"/>
    <n v="0"/>
    <s v="Crashed while attempting to land and caught fire."/>
    <n v="0"/>
    <n v="1"/>
    <x v="1"/>
  </r>
  <r>
    <n v="2127"/>
    <x v="1939"/>
    <x v="54"/>
    <x v="0"/>
    <s v="Unknown"/>
    <s v="Mt. Helmos. Greece"/>
    <s v="Military - U.S. Air Force"/>
    <s v="Unknown"/>
    <s v="Aviano - Athens"/>
    <x v="755"/>
    <s v="52-1058"/>
    <n v="43967"/>
    <n v="10"/>
    <n v="0"/>
    <n v="10"/>
    <n v="10"/>
    <n v="0"/>
    <n v="10"/>
    <n v="0"/>
    <s v="In poor visibility, struck Mt Helmos located near KalÃ¡vryta, 40 km southeast of Patras."/>
    <n v="0"/>
    <n v="1"/>
    <x v="1"/>
  </r>
  <r>
    <n v="2128"/>
    <x v="1940"/>
    <x v="54"/>
    <x v="0"/>
    <d v="1899-12-30T08:36:00"/>
    <s v="San Jose Volcano, Chile"/>
    <s v="LAN"/>
    <n v="107"/>
    <s v="Santiago - Buenos Aires"/>
    <x v="626"/>
    <s v="CC-CCG-104"/>
    <s v="45513/1004"/>
    <n v="87"/>
    <n v="80"/>
    <n v="7"/>
    <n v="87"/>
    <n v="80"/>
    <n v="7"/>
    <n v="0"/>
    <s v="After an improper climb, the aircraft flew into a 12,000 ft. mountain in the La Melosas area of the Andes. Crew did not follow flight plan for climbing out of Santiago."/>
    <n v="0"/>
    <n v="1"/>
    <x v="1"/>
  </r>
  <r>
    <n v="2129"/>
    <x v="1941"/>
    <x v="54"/>
    <x v="0"/>
    <d v="1899-12-30T18:26:00"/>
    <s v="Off Jones Beach, New York, New York"/>
    <s v="Eastern Air Lines"/>
    <n v="663"/>
    <s v="New York City - Richmond VA"/>
    <x v="836"/>
    <s v="N849D"/>
    <s v="45455/981"/>
    <n v="84"/>
    <n v="79"/>
    <n v="5"/>
    <n v="84"/>
    <n v="79"/>
    <n v="5"/>
    <n v="0"/>
    <s v="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
    <n v="0"/>
    <n v="1"/>
    <x v="1"/>
  </r>
  <r>
    <n v="2130"/>
    <x v="1942"/>
    <x v="54"/>
    <x v="0"/>
    <d v="1899-12-30T04:20:00"/>
    <s v="Miami, Florida"/>
    <s v="Aerolineas El Salvador"/>
    <s v="Unknown"/>
    <s v="Unknown"/>
    <x v="425"/>
    <s v="YS-012C"/>
    <n v="127"/>
    <n v="2"/>
    <n v="0"/>
    <n v="2"/>
    <n v="2"/>
    <n v="0"/>
    <n v="2"/>
    <n v="0"/>
    <s v="The cargo plane lost the No. 1 engine on takeoff. The prop could not be feathered and the plane crashed. Fatigue fracture of the crankshaft. Inadequate maintenance and inspection."/>
    <n v="0"/>
    <n v="1"/>
    <x v="1"/>
  </r>
  <r>
    <n v="2131"/>
    <x v="1942"/>
    <x v="54"/>
    <x v="0"/>
    <d v="1899-12-30T10:22:00"/>
    <s v="Near Shirinbulak, Azerbaijan"/>
    <s v="Aeroflot"/>
    <s v="A-3"/>
    <s v="Yevlakh - Nuha"/>
    <x v="770"/>
    <s v="CCCP-52003"/>
    <n v="602112"/>
    <n v="23"/>
    <n v="19"/>
    <n v="4"/>
    <n v="23"/>
    <n v="19"/>
    <n v="4"/>
    <n v="0"/>
    <s v="Crashed. Crew error. Premature descent."/>
    <n v="0"/>
    <n v="1"/>
    <x v="1"/>
  </r>
  <r>
    <n v="2132"/>
    <x v="1943"/>
    <x v="54"/>
    <x v="0"/>
    <d v="1899-12-30T07:45:00"/>
    <s v="Near Aradan, Russia"/>
    <s v="Aeroflot"/>
    <n v="542"/>
    <s v="Unknown"/>
    <x v="519"/>
    <s v="CCCP-54971"/>
    <n v="23442810"/>
    <n v="31"/>
    <n v="27"/>
    <n v="4"/>
    <n v="31"/>
    <n v="27"/>
    <n v="4"/>
    <n v="0"/>
    <s v="Crashed into mountainous area while en route. Failure of the rudder assembly."/>
    <n v="0"/>
    <n v="1"/>
    <x v="1"/>
  </r>
  <r>
    <n v="2133"/>
    <x v="1944"/>
    <x v="54"/>
    <x v="0"/>
    <d v="1899-12-30T10:30:00"/>
    <s v="Libmanan, Philippines"/>
    <s v="Fairways (Filipinas Orient Airways)"/>
    <n v="43"/>
    <s v="Manila - Naga"/>
    <x v="277"/>
    <s v="PI-C948"/>
    <n v="4892"/>
    <n v="12"/>
    <n v="9"/>
    <n v="3"/>
    <n v="10"/>
    <n v="7"/>
    <n v="3"/>
    <n v="0"/>
    <s v="Crashed and burned on a forested mountain slope on Mt. Tangcong Vaca. Misjudgment of clearance with the ground by the crew which resulted in collision with trees."/>
    <n v="2"/>
    <n v="0.83333333333333337"/>
    <x v="1"/>
  </r>
  <r>
    <n v="2134"/>
    <x v="1944"/>
    <x v="54"/>
    <x v="0"/>
    <d v="1899-12-30T11:35:00"/>
    <s v=" Kuibyshev , Russia"/>
    <s v="Aeroflot"/>
    <n v="513"/>
    <s v="Kuibyshev - Rostov-on-Don"/>
    <x v="966"/>
    <s v="CCCP-45028"/>
    <n v="2350803"/>
    <n v="30"/>
    <n v="21"/>
    <n v="9"/>
    <n v="30"/>
    <n v="21"/>
    <n v="9"/>
    <n v="0"/>
    <s v="The plane crashed in a snowy field after taking off. Jamming of the elevator control and engine trouble."/>
    <n v="0"/>
    <n v="1"/>
    <x v="1"/>
  </r>
  <r>
    <n v="2135"/>
    <x v="1945"/>
    <x v="54"/>
    <x v="0"/>
    <d v="1899-12-30T09:22:00"/>
    <s v="Musquodoboit, Nova Scotia, Canada"/>
    <s v="Eastern Provincial Airways"/>
    <n v="102"/>
    <s v="Halifax - Sidney NS"/>
    <x v="967"/>
    <s v="CF-NAF"/>
    <n v="160"/>
    <n v="8"/>
    <n v="5"/>
    <n v="3"/>
    <n v="8"/>
    <n v="5"/>
    <n v="3"/>
    <n v="0"/>
    <s v="Communication was lost with the aircraft soon after takeoff. Failure of corroded skin along the bottom center line of the aircraft which resulted in structural failure of the fuselage and aerial disintegration."/>
    <n v="0"/>
    <n v="1"/>
    <x v="1"/>
  </r>
  <r>
    <n v="2136"/>
    <x v="1946"/>
    <x v="54"/>
    <x v="0"/>
    <d v="1899-12-30T13:13:00"/>
    <s v="Khanty, Russia"/>
    <s v="Aeroflot"/>
    <s v="CCCP-46764"/>
    <s v="Tyumen - Khanty"/>
    <x v="968"/>
    <s v="CCCP-46764"/>
    <n v="47301301"/>
    <n v="47"/>
    <n v="42"/>
    <n v="5"/>
    <n v="43"/>
    <n v="42"/>
    <n v="1"/>
    <n v="0"/>
    <s v="While attempting to land the plane  undershot the runway, hit a snowdrift, broke up and caught fire."/>
    <n v="4"/>
    <n v="0.91489361702127658"/>
    <x v="1"/>
  </r>
  <r>
    <n v="2137"/>
    <x v="1947"/>
    <x v="54"/>
    <x v="0"/>
    <d v="1899-12-30T14:55:00"/>
    <s v="Sugar Loaf Mountain, Colombia"/>
    <s v="AVIANCA"/>
    <n v="676"/>
    <s v="Bogota - Bucaramanga"/>
    <x v="368"/>
    <s v="HK-109"/>
    <n v="4753"/>
    <n v="28"/>
    <n v="26"/>
    <n v="2"/>
    <n v="28"/>
    <n v="26"/>
    <n v="2"/>
    <n v="0"/>
    <s v="Crashed into Pan de Azucar Peak, 35 nm from Bucaramanga. Flying under VFR in IFR conditions."/>
    <n v="0"/>
    <n v="1"/>
    <x v="1"/>
  </r>
  <r>
    <n v="2138"/>
    <x v="1948"/>
    <x v="54"/>
    <x v="0"/>
    <s v="Unknown"/>
    <s v="Off San Juan, Puerto Rico"/>
    <s v="Military - Royal Canadian Air Force"/>
    <s v="Unknown"/>
    <s v="Training exercise"/>
    <x v="969"/>
    <n v="20727"/>
    <n v="18"/>
    <n v="16"/>
    <n v="14"/>
    <n v="2"/>
    <n v="16"/>
    <n v="14"/>
    <n v="2"/>
    <n v="0"/>
    <s v="The plane was participating in U.S. - Canadian maneuvers."/>
    <n v="0"/>
    <n v="1"/>
    <x v="1"/>
  </r>
  <r>
    <n v="2139"/>
    <x v="1949"/>
    <x v="54"/>
    <x v="0"/>
    <s v="Unknown"/>
    <s v="Lowery Pass, Pakistan"/>
    <s v="Pakistan International Airlines"/>
    <s v="Unknown"/>
    <s v="Peshawar - Chitral"/>
    <x v="368"/>
    <s v="AP-AAH"/>
    <n v="12089"/>
    <n v="26"/>
    <n v="22"/>
    <n v="4"/>
    <n v="22"/>
    <n v="18"/>
    <n v="4"/>
    <n v="0"/>
    <s v="Crashed into a mountain  near the Lowari Pass."/>
    <n v="4"/>
    <n v="0.84615384615384615"/>
    <x v="1"/>
  </r>
  <r>
    <n v="2140"/>
    <x v="1950"/>
    <x v="54"/>
    <x v="0"/>
    <d v="1899-12-30T08:04:00"/>
    <s v="Off Tangier, Morocco"/>
    <s v="Iberia Airlines"/>
    <s v="Unknown"/>
    <s v="Malaga - Tangiers"/>
    <x v="771"/>
    <s v="EC-ATH"/>
    <n v="388"/>
    <n v="53"/>
    <n v="48"/>
    <n v="5"/>
    <n v="50"/>
    <n v="45"/>
    <n v="5"/>
    <n v="0"/>
    <s v="Stalled and crashed into the sea 10 nm off the coast of Tangier. Reason unknown."/>
    <n v="3"/>
    <n v="0.94339622641509435"/>
    <x v="1"/>
  </r>
  <r>
    <n v="2141"/>
    <x v="1951"/>
    <x v="54"/>
    <x v="0"/>
    <d v="1899-12-30T23:20:00"/>
    <s v="Near Damascus, Syria"/>
    <s v="Alia Royal Jordanian Airlines"/>
    <s v="Unknown"/>
    <s v="Beirut  - Amman"/>
    <x v="970"/>
    <s v="JY-ACQ"/>
    <n v="170"/>
    <n v="54"/>
    <n v="50"/>
    <n v="4"/>
    <n v="54"/>
    <n v="50"/>
    <n v="4"/>
    <n v="0"/>
    <s v="The plane flew into a mountain at 4,200 ft after taking off from Beirut. Structural failure of the fuselage."/>
    <n v="0"/>
    <n v="1"/>
    <x v="1"/>
  </r>
  <r>
    <n v="2142"/>
    <x v="1952"/>
    <x v="54"/>
    <x v="0"/>
    <d v="1899-12-30T18:06:00"/>
    <s v="Jersey, Channel Islands, UK"/>
    <s v="British United Airways"/>
    <s v="1030X"/>
    <s v="Paris - Jersey , Channel Islands"/>
    <x v="443"/>
    <s v="G-ANTB"/>
    <s v="15762/27207"/>
    <n v="27"/>
    <n v="23"/>
    <n v="4"/>
    <n v="26"/>
    <n v="23"/>
    <n v="3"/>
    <n v="0"/>
    <s v="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
    <n v="1"/>
    <n v="0.96296296296296291"/>
    <x v="1"/>
  </r>
  <r>
    <n v="2143"/>
    <x v="1953"/>
    <x v="54"/>
    <x v="0"/>
    <d v="1899-12-30T14:23:00"/>
    <s v="Near Seattle, Washington"/>
    <s v="Aaxico Airlines"/>
    <n v="1422"/>
    <s v="Seattle, WA - Ogden, UT"/>
    <x v="681"/>
    <s v="N6541C"/>
    <s v="45369/984"/>
    <n v="5"/>
    <n v="0"/>
    <n v="5"/>
    <n v="5"/>
    <n v="0"/>
    <n v="5"/>
    <n v="0"/>
    <s v="The cargo plane flew into Mt. Rainier at 10,200 ft.  The improper correlation of the aircraft position with respect to obstructing terrain while continuing the flight on a VFR flight plan in instrument weather conditions."/>
    <n v="0"/>
    <n v="1"/>
    <x v="1"/>
  </r>
  <r>
    <n v="2144"/>
    <x v="1954"/>
    <x v="54"/>
    <x v="0"/>
    <d v="1899-12-30T21:17:00"/>
    <s v="Tenerife, Canary Islands, Spain Canary Islands"/>
    <s v="Iberia Airlines"/>
    <n v="401"/>
    <s v="Madrid - Tenerife"/>
    <x v="971"/>
    <s v="EC-AIN"/>
    <n v="4550"/>
    <n v="49"/>
    <n v="40"/>
    <n v="9"/>
    <n v="30"/>
    <n v="24"/>
    <n v="6"/>
    <n v="0"/>
    <s v="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
    <n v="19"/>
    <n v="0.61224489795918369"/>
    <x v="0"/>
  </r>
  <r>
    <n v="2145"/>
    <x v="1955"/>
    <x v="54"/>
    <x v="0"/>
    <d v="1899-12-30T23:48:00"/>
    <s v="Cairo, Egypt"/>
    <s v="Pakistan International Airlines"/>
    <n v="705"/>
    <s v="Karachi - Dhahran - Cairo - Geneva - London"/>
    <x v="972"/>
    <s v="AP-AMH"/>
    <n v="18379"/>
    <n v="127"/>
    <n v="114"/>
    <n v="13"/>
    <n v="121"/>
    <n v="108"/>
    <n v="13"/>
    <n v="0"/>
    <s v="The aircraft  crashed during its approach.The plane descended during the approach at triple the normal rate until the aircraft struck the ground. The aircraft exceeded the recommended descent rate during the final stages of landing for reasons unknown."/>
    <n v="6"/>
    <n v="0.952755905511811"/>
    <x v="1"/>
  </r>
  <r>
    <n v="2146"/>
    <x v="1956"/>
    <x v="54"/>
    <x v="0"/>
    <d v="1899-12-30T09:50:00"/>
    <s v="Near Colombus, Georgia"/>
    <s v="Military - U.S. Army / Military - U.S. Army"/>
    <s v="Unknown"/>
    <s v="Unknown"/>
    <x v="973"/>
    <s v="63-8760/63-8840"/>
    <s v="Unknown"/>
    <n v="18"/>
    <s v="NULL"/>
    <s v="NULL"/>
    <n v="18"/>
    <s v="NULL"/>
    <s v="NULL"/>
    <n v="0"/>
    <s v="Two helicopters flying in formation, crashed in mid-air at Benning military base. Ten aboard 8760 and 8 aboard 8840 killed."/>
    <n v="0"/>
    <n v="1"/>
    <x v="1"/>
  </r>
  <r>
    <n v="2147"/>
    <x v="1957"/>
    <x v="54"/>
    <x v="0"/>
    <d v="1899-12-30T01:46:00"/>
    <s v="Near Santa Ana, California"/>
    <s v="Military - U.S. Air Force"/>
    <s v="Unknown"/>
    <s v="El Toro -  Honolulu - Okinawa"/>
    <x v="974"/>
    <s v="60-0373"/>
    <n v="18148"/>
    <n v="85"/>
    <n v="73"/>
    <n v="12"/>
    <n v="85"/>
    <n v="73"/>
    <n v="12"/>
    <n v="0"/>
    <s v="Crashed shortly after taking off from El Toro Marine Corps Air Station bound for Okinawa. After attaining an altitude of 1,000 feet, the plane failed to make a left turn and flew into rising terrain. Cause unknown."/>
    <n v="0"/>
    <n v="1"/>
    <x v="1"/>
  </r>
  <r>
    <n v="2148"/>
    <x v="1958"/>
    <x v="54"/>
    <x v="0"/>
    <d v="1899-12-30T13:10:00"/>
    <s v="San Francisco, California"/>
    <s v="Pan American World Airways"/>
    <s v="Unknown"/>
    <s v="San Francisco - Hawaii"/>
    <x v="975"/>
    <s v="N761PA"/>
    <n v="18336"/>
    <n v="153"/>
    <n v="143"/>
    <n v="10"/>
    <n v="0"/>
    <n v="0"/>
    <n v="0"/>
    <n v="0"/>
    <s v="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quot;Clipper Friendship.&quot;"/>
    <n v="153"/>
    <n v="0"/>
    <x v="2"/>
  </r>
  <r>
    <n v="2149"/>
    <x v="1959"/>
    <x v="54"/>
    <x v="0"/>
    <d v="1899-12-30T05:29:00"/>
    <s v="Kansas City, Missouri"/>
    <s v="Continental Airlines"/>
    <n v="12"/>
    <s v="Los Angeles - Kansas City, MO"/>
    <x v="901"/>
    <s v="N70773"/>
    <s v="17609/25"/>
    <n v="66"/>
    <n v="60"/>
    <n v="6"/>
    <n v="0"/>
    <n v="0"/>
    <n v="0"/>
    <n v="0"/>
    <s v="The aircraft slid off the end of the runway while landing and broke in two. Hydroplaning of the landing gear wheels which led to braking ineffectiveness."/>
    <n v="66"/>
    <n v="0"/>
    <x v="2"/>
  </r>
  <r>
    <n v="2150"/>
    <x v="1960"/>
    <x v="54"/>
    <x v="0"/>
    <d v="1899-12-30T16:00:00"/>
    <s v="Near Oxford, England"/>
    <s v="Military -Royal Air Force"/>
    <s v="Unknown"/>
    <s v="Unknown"/>
    <x v="976"/>
    <s v="TG577"/>
    <s v="Unknown"/>
    <n v="41"/>
    <n v="35"/>
    <n v="6"/>
    <n v="41"/>
    <n v="35"/>
    <n v="6"/>
    <n v="0"/>
    <s v="The plane, carrying paratroopers, climbed to 2,000 ft., made a left turn and crashed. Fatigue fracture of 2 bolts that attached the elevator to the horizontal stabilizer resulted in an abnormal pitch-up attitude and stall."/>
    <n v="0"/>
    <n v="1"/>
    <x v="1"/>
  </r>
  <r>
    <n v="2151"/>
    <x v="1961"/>
    <x v="54"/>
    <x v="0"/>
    <d v="1899-12-30T01:30:00"/>
    <s v="Cairo, Egypt"/>
    <s v="Military - Soviet Air Force"/>
    <s v="Unknown"/>
    <s v="Cairo - Yamen"/>
    <x v="942"/>
    <s v="Unknown"/>
    <s v="Unknown"/>
    <n v="31"/>
    <n v="22"/>
    <n v="9"/>
    <n v="30"/>
    <n v="21"/>
    <n v="9"/>
    <n v="0"/>
    <s v="Crashed and burned after taking off from Almaza Airport."/>
    <n v="1"/>
    <n v="0.967741935483871"/>
    <x v="1"/>
  </r>
  <r>
    <n v="2152"/>
    <x v="1962"/>
    <x v="54"/>
    <x v="0"/>
    <d v="1899-12-30T15:40:00"/>
    <s v="Dog Creek, British Columbia, Canada"/>
    <s v="Canadian Pacific Air Lines"/>
    <n v="21"/>
    <s v="Vancouver - Whitehorse"/>
    <x v="626"/>
    <s v="CF-CUQ"/>
    <s v="43844/334"/>
    <n v="52"/>
    <n v="46"/>
    <n v="6"/>
    <n v="52"/>
    <n v="46"/>
    <n v="6"/>
    <n v="0"/>
    <s v="The tail section separated from the fuselage after a bomb exploded in the passenger compartment.  It was believed a saboteur ignited a mixture of acid and gunpowder which may have been poured into the toilet in a suicide-for-insurance scheme."/>
    <n v="0"/>
    <n v="1"/>
    <x v="1"/>
  </r>
  <r>
    <n v="2153"/>
    <x v="1963"/>
    <x v="54"/>
    <x v="0"/>
    <d v="1899-12-30T22:22:00"/>
    <s v="Off Nantucket, Massachusetts"/>
    <s v="Military - U.S. Air Force"/>
    <s v="-"/>
    <s v="Otis AFB"/>
    <x v="977"/>
    <s v="55-1036"/>
    <n v="4409"/>
    <n v="19"/>
    <n v="15"/>
    <n v="4"/>
    <n v="16"/>
    <n v="13"/>
    <n v="3"/>
    <n v="0"/>
    <s v="The aircraft experienced a lost of the No. 2 engine followed by a fire in the No. 3 engine and ditched in the North Atlantic, 100 miles northeast of Nantucket, in zero-zero weather."/>
    <n v="3"/>
    <n v="0.84210526315789469"/>
    <x v="1"/>
  </r>
  <r>
    <n v="2154"/>
    <x v="1964"/>
    <x v="54"/>
    <x v="0"/>
    <d v="1899-12-30T17:05:00"/>
    <s v="St. Thomas, Virgin Islands"/>
    <s v="Virgin Islands Airways"/>
    <s v="Unknown"/>
    <s v="Unknown"/>
    <x v="978"/>
    <s v="N6503D"/>
    <s v="Unknown"/>
    <n v="12"/>
    <n v="11"/>
    <n v="1"/>
    <n v="8"/>
    <n v="7"/>
    <n v="1"/>
    <n v="0"/>
    <s v="The plane crashed into the water shortly after taking off. The pilot failed to maintain flying speed after lifting off prematurely. Failed to abort takeoff. Selected wrong runway relative to wind. Improperly loaded aircraft."/>
    <n v="4"/>
    <n v="0.66666666666666663"/>
    <x v="1"/>
  </r>
  <r>
    <n v="2155"/>
    <x v="1965"/>
    <x v="54"/>
    <x v="0"/>
    <d v="1899-12-30T07:40:00"/>
    <s v="Near Libacao, Philippines"/>
    <s v="Military - Philippine Air Force"/>
    <s v="Unknown"/>
    <s v="Hong Kong - Da Nang"/>
    <x v="368"/>
    <n v="777"/>
    <s v="Unknown"/>
    <n v="37"/>
    <n v="30"/>
    <n v="7"/>
    <n v="37"/>
    <n v="30"/>
    <n v="7"/>
    <n v="0"/>
    <s v="Crashed and burned on Penay Island on a domestic flight. The plane hit Mt. Madiac at 7,000 ft. in rain, wind and low clouds."/>
    <n v="0"/>
    <n v="1"/>
    <x v="1"/>
  </r>
  <r>
    <n v="2156"/>
    <x v="1966"/>
    <x v="54"/>
    <x v="0"/>
    <d v="1899-12-30T23:34:00"/>
    <s v="Panama City, Panama"/>
    <s v="Rutas Internacionales Peruanes"/>
    <s v="Unknown"/>
    <s v="Panama City - Miami"/>
    <x v="603"/>
    <s v="OB-R-769"/>
    <n v="10826"/>
    <n v="7"/>
    <n v="4"/>
    <n v="3"/>
    <n v="7"/>
    <n v="4"/>
    <n v="3"/>
    <n v="0"/>
    <s v="The No. 2 engine of the cargo plane caught fire while it was taking off. A fire and a fuel tank explosion caused the plane to descend uncontrollably and crash."/>
    <n v="0"/>
    <n v="1"/>
    <x v="1"/>
  </r>
  <r>
    <n v="2157"/>
    <x v="1967"/>
    <x v="54"/>
    <x v="0"/>
    <d v="1899-12-30T11:00:00"/>
    <s v="Near Cuiaba, Brazil"/>
    <s v="Paraense Transportes AÃ©reos"/>
    <s v="Unknown"/>
    <s v="Mato Grosso - Porto Velho"/>
    <x v="425"/>
    <s v="PP-BTH"/>
    <n v="30571"/>
    <n v="13"/>
    <n v="10"/>
    <n v="3"/>
    <n v="13"/>
    <n v="10"/>
    <n v="3"/>
    <n v="0"/>
    <s v="About 30 minutes after taking off, the aircraft turned back to Mato Grosso with its left engine on fire. While over Buracao, it's left wing and engine broke away from the fuselage and it crashed to the ground."/>
    <n v="0"/>
    <n v="1"/>
    <x v="1"/>
  </r>
  <r>
    <n v="2158"/>
    <x v="1968"/>
    <x v="54"/>
    <x v="0"/>
    <d v="1899-12-30T20:21:00"/>
    <s v="Lake Michigan, near Chicago, Illinois"/>
    <s v="United Air Lines"/>
    <n v="389"/>
    <s v="New York City - Chicago"/>
    <x v="979"/>
    <s v="N7036U"/>
    <s v="18328/146"/>
    <n v="30"/>
    <n v="24"/>
    <n v="6"/>
    <n v="30"/>
    <n v="24"/>
    <n v="6"/>
    <n v="0"/>
    <s v="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n v="0"/>
    <n v="1"/>
    <x v="1"/>
  </r>
  <r>
    <n v="2159"/>
    <x v="1969"/>
    <x v="54"/>
    <x v="0"/>
    <d v="1899-12-30T13:08:00"/>
    <s v="Jeuk, Belgium"/>
    <s v="LOT Polish Airlines"/>
    <s v="Unknown"/>
    <s v="Lille - Wroclaw"/>
    <x v="980"/>
    <s v="SP-LVA"/>
    <n v="249"/>
    <n v="4"/>
    <n v="0"/>
    <n v="4"/>
    <n v="4"/>
    <n v="0"/>
    <n v="4"/>
    <n v="0"/>
    <s v="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
    <n v="0"/>
    <n v="1"/>
    <x v="1"/>
  </r>
  <r>
    <n v="2160"/>
    <x v="1970"/>
    <x v="54"/>
    <x v="0"/>
    <d v="1899-12-30T10:10:00"/>
    <s v="Hong Kong"/>
    <s v="Military - U.S. Marine Corps"/>
    <s v="Unknown"/>
    <s v="Hong Kong - Da Nang"/>
    <x v="981"/>
    <n v="149802"/>
    <n v="3693"/>
    <n v="72"/>
    <n v="66"/>
    <n v="6"/>
    <n v="59"/>
    <n v="57"/>
    <n v="2"/>
    <n v="0"/>
    <s v="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
    <n v="13"/>
    <n v="0.81944444444444442"/>
    <x v="1"/>
  </r>
  <r>
    <n v="2161"/>
    <x v="1971"/>
    <x v="54"/>
    <x v="0"/>
    <d v="1899-12-30T09:40:00"/>
    <s v="Lake Tustumena, Alaska"/>
    <s v="Cordova Airlines"/>
    <s v="Unknown"/>
    <s v="Unknown"/>
    <x v="982"/>
    <s v="N6305U"/>
    <s v="Unknown"/>
    <n v="5"/>
    <n v="4"/>
    <n v="1"/>
    <n v="4"/>
    <n v="3"/>
    <n v="1"/>
    <n v="0"/>
    <s v="The pilot misjudged altitude and distance and crashed into the lake during a descent to land.  VFR flilght into adverse weather conditions."/>
    <n v="1"/>
    <n v="0.8"/>
    <x v="1"/>
  </r>
  <r>
    <n v="2162"/>
    <x v="1972"/>
    <x v="54"/>
    <x v="0"/>
    <d v="1899-12-30T16:25:00"/>
    <s v="Near La Carlota, Phillipines"/>
    <s v="Filipinas Orient Airways"/>
    <n v="60"/>
    <s v="Cebu - Bacolod"/>
    <x v="268"/>
    <s v="PI-C942"/>
    <n v="1926"/>
    <n v="11"/>
    <n v="8"/>
    <n v="3"/>
    <n v="11"/>
    <n v="8"/>
    <n v="3"/>
    <n v="0"/>
    <s v="Hit tree tops and crashed into Mt. Kantakan."/>
    <n v="0"/>
    <n v="1"/>
    <x v="1"/>
  </r>
  <r>
    <n v="2163"/>
    <x v="1973"/>
    <x v="54"/>
    <x v="0"/>
    <s v="Unknown"/>
    <s v="Gore, Ethiopia"/>
    <s v="Ethiopian Airlines"/>
    <s v="Unknown"/>
    <s v="Addis Ababa - Gore"/>
    <x v="277"/>
    <s v="ET-ABI"/>
    <n v="12000"/>
    <n v="17"/>
    <n v="14"/>
    <n v="3"/>
    <n v="17"/>
    <n v="14"/>
    <n v="3"/>
    <n v="0"/>
    <s v="No data available"/>
    <n v="0"/>
    <n v="1"/>
    <x v="1"/>
  </r>
  <r>
    <n v="2164"/>
    <x v="1974"/>
    <x v="54"/>
    <x v="0"/>
    <s v="Unknown"/>
    <s v="Quang Ngai, South Vietnam"/>
    <s v="Air Vietnam (South Vietnam)"/>
    <s v="Unknown"/>
    <s v="Qu?ng NgÃ£i - Saigon"/>
    <x v="277"/>
    <s v="XV-NIC"/>
    <n v="20301"/>
    <n v="39"/>
    <n v="36"/>
    <n v="3"/>
    <n v="38"/>
    <n v="35"/>
    <n v="3"/>
    <n v="0"/>
    <s v="Shot down by Communist ground fire."/>
    <n v="1"/>
    <n v="0.97435897435897434"/>
    <x v="1"/>
  </r>
  <r>
    <n v="2165"/>
    <x v="1974"/>
    <x v="54"/>
    <x v="0"/>
    <d v="1899-12-30T11:02:00"/>
    <s v="Near Pastaza, Ecuador"/>
    <s v="TAO"/>
    <s v="Unknown"/>
    <s v="Coca - Pastaza"/>
    <x v="983"/>
    <s v="HC-AFQ"/>
    <s v="17009/34272"/>
    <n v="11"/>
    <n v="8"/>
    <n v="3"/>
    <n v="9"/>
    <n v="6"/>
    <n v="3"/>
    <n v="0"/>
    <s v="Crashed while en route."/>
    <n v="2"/>
    <n v="0.81818181818181823"/>
    <x v="1"/>
  </r>
  <r>
    <n v="2166"/>
    <x v="1975"/>
    <x v="54"/>
    <x v="0"/>
    <d v="1899-12-30T11:25:00"/>
    <s v="Montserrat, Antigua"/>
    <s v="Pan American World Airways"/>
    <n v="292"/>
    <s v="Fort de France - Saint Johns, Antigua"/>
    <x v="984"/>
    <s v="N708PA"/>
    <s v="17586/1"/>
    <n v="30"/>
    <n v="21"/>
    <n v="9"/>
    <n v="30"/>
    <n v="21"/>
    <n v="9"/>
    <n v="0"/>
    <s v="Crashed into mountains 32 miles southwest of its destination while descending for a landing. Pilot became lost and disoriented. Crew did not determine their position before descending. Navigation error. The aircraft was named &quot;Clipper Constitution.&quot;"/>
    <n v="0"/>
    <n v="1"/>
    <x v="1"/>
  </r>
  <r>
    <n v="2167"/>
    <x v="1976"/>
    <x v="54"/>
    <x v="0"/>
    <d v="1899-12-30T15:10:00"/>
    <s v="Bao Trai, Vietnam"/>
    <s v="Air America"/>
    <s v="Unknown"/>
    <s v="Unknown"/>
    <x v="985"/>
    <s v="N9574Z"/>
    <s v="AF-45"/>
    <n v="3"/>
    <n v="1"/>
    <n v="2"/>
    <n v="3"/>
    <n v="1"/>
    <n v="2"/>
    <n v="0"/>
    <s v="Collided with houses during an uncontrolled descent."/>
    <n v="0"/>
    <n v="1"/>
    <x v="1"/>
  </r>
  <r>
    <n v="2168"/>
    <x v="1977"/>
    <x v="54"/>
    <x v="0"/>
    <d v="1899-12-30T06:30:00"/>
    <s v="Near Patian, Pakistan"/>
    <s v="Pakistan International Airlines"/>
    <s v="Unknown"/>
    <s v="Rawalpindi - Skardu"/>
    <x v="986"/>
    <s v="AP-ATT"/>
    <n v="10279"/>
    <n v="4"/>
    <n v="0"/>
    <n v="4"/>
    <n v="4"/>
    <n v="0"/>
    <n v="4"/>
    <n v="0"/>
    <s v="The cago plane did not clear a ridge and crashed."/>
    <n v="0"/>
    <n v="1"/>
    <x v="1"/>
  </r>
  <r>
    <n v="2169"/>
    <x v="1978"/>
    <x v="54"/>
    <x v="0"/>
    <s v="Unknown"/>
    <s v="Bucaramanga, Colombia"/>
    <s v="AVIANCA"/>
    <s v="Unknown"/>
    <s v="Bogota - Bucaramanga"/>
    <x v="987"/>
    <s v="HK-118/HK-922F"/>
    <n v="6182"/>
    <n v="19"/>
    <n v="15"/>
    <n v="4"/>
    <n v="19"/>
    <n v="15"/>
    <n v="4"/>
    <n v="0"/>
    <s v="Midair collision between a Douglas DC-3 and Piper PA-18.  Eighteen killed on the DC-3, one on the Piper."/>
    <n v="0"/>
    <n v="1"/>
    <x v="1"/>
  </r>
  <r>
    <n v="2170"/>
    <x v="1979"/>
    <x v="54"/>
    <x v="0"/>
    <d v="1899-12-30T16:30:00"/>
    <s v="Near Hanoi, Vietnam"/>
    <s v="International Control Commision"/>
    <s v="Unknown"/>
    <s v="Vientiane - Hanoi"/>
    <x v="988"/>
    <s v="F-BELV"/>
    <n v="1996"/>
    <n v="13"/>
    <n v="9"/>
    <n v="4"/>
    <n v="13"/>
    <n v="9"/>
    <n v="4"/>
    <n v="0"/>
    <s v="Shot down by Communist ground fire."/>
    <n v="0"/>
    <n v="1"/>
    <x v="1"/>
  </r>
  <r>
    <n v="2171"/>
    <x v="1980"/>
    <x v="54"/>
    <x v="0"/>
    <d v="1899-12-30T10:33:00"/>
    <s v="Near Manila, Philippines"/>
    <s v="Philippine Air Lines"/>
    <n v="741"/>
    <s v="Manila - Tacloban"/>
    <x v="277"/>
    <s v="PI-C-144"/>
    <n v="13403"/>
    <n v="37"/>
    <n v="34"/>
    <n v="3"/>
    <n v="1"/>
    <n v="1"/>
    <n v="0"/>
    <n v="0"/>
    <s v="The aircraft veered to the left after taking off. The pilot lost control and crashed. Failure of the pilot to set the rudder trim tab to the proper position before takeoff and during the flight. Undetected deflection of the rudder trim tab."/>
    <n v="36"/>
    <n v="2.7027027027027029E-2"/>
    <x v="2"/>
  </r>
  <r>
    <n v="2172"/>
    <x v="1981"/>
    <x v="54"/>
    <x v="0"/>
    <d v="1899-12-30T01:23:00"/>
    <s v="London, England"/>
    <s v="British European Airways"/>
    <s v="Unknown"/>
    <s v="Edinburgh - London"/>
    <x v="989"/>
    <s v="G-APEE"/>
    <n v="708"/>
    <n v="36"/>
    <n v="30"/>
    <n v="6"/>
    <n v="36"/>
    <n v="30"/>
    <n v="6"/>
    <n v="0"/>
    <s v="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
    <n v="0"/>
    <n v="1"/>
    <x v="1"/>
  </r>
  <r>
    <n v="2173"/>
    <x v="1982"/>
    <x v="54"/>
    <x v="0"/>
    <s v="Unknown"/>
    <s v="Obock, French Somaliland"/>
    <s v="Military - French Air Force"/>
    <s v="Unknown"/>
    <s v="Djibouti - Obock"/>
    <x v="402"/>
    <n v="316410"/>
    <n v="20876"/>
    <n v="30"/>
    <n v="25"/>
    <n v="5"/>
    <n v="30"/>
    <n v="25"/>
    <n v="5"/>
    <n v="0"/>
    <s v="The plane crashed and exploded as it attempted to land at Obock. The civilians aboard included a hand-ball team."/>
    <n v="0"/>
    <n v="1"/>
    <x v="1"/>
  </r>
  <r>
    <n v="2174"/>
    <x v="1983"/>
    <x v="54"/>
    <x v="0"/>
    <d v="1899-12-30T07:30:00"/>
    <s v="Off Puerto Lemon, Costa Rica"/>
    <s v="Military - Argentine Air Force"/>
    <s v="Unknown"/>
    <s v="Buenos Aires - Howard - San Salvador"/>
    <x v="450"/>
    <s v="TC-48"/>
    <n v="983"/>
    <n v="68"/>
    <n v="59"/>
    <n v="9"/>
    <n v="68"/>
    <n v="59"/>
    <n v="9"/>
    <n v="0"/>
    <s v="Disappeared over the Gulf after the pilot sent a distress message reporting a fire in the No. 3 engine. Cause unknown."/>
    <n v="0"/>
    <n v="1"/>
    <x v="1"/>
  </r>
  <r>
    <n v="2175"/>
    <x v="1984"/>
    <x v="54"/>
    <x v="0"/>
    <d v="1899-12-30T19:02:00"/>
    <s v="Cincinnati Airport, near Covington, Kentucky"/>
    <s v="American Airlines"/>
    <n v="383"/>
    <s v="New York City - Cincinnati"/>
    <x v="990"/>
    <s v="N1996"/>
    <s v="18901/153"/>
    <n v="62"/>
    <n v="56"/>
    <n v="6"/>
    <n v="58"/>
    <n v="53"/>
    <n v="5"/>
    <n v="0"/>
    <s v="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n v="4"/>
    <n v="0.93548387096774188"/>
    <x v="1"/>
  </r>
  <r>
    <n v="2176"/>
    <x v="1984"/>
    <x v="54"/>
    <x v="0"/>
    <d v="1899-12-30T12:25:00"/>
    <s v="Near Boqueron, Colombia"/>
    <s v="Aerolineas TAO"/>
    <s v="Unknown"/>
    <s v="Neiva - San Vicente del Caguan"/>
    <x v="604"/>
    <s v="HK-1202"/>
    <n v="4402"/>
    <n v="30"/>
    <n v="25"/>
    <n v="5"/>
    <n v="30"/>
    <n v="25"/>
    <n v="5"/>
    <n v="0"/>
    <s v="The plane crashed while en route. Flight on an prohibited route in adverse weather. Flight VFR in IFR conditions."/>
    <n v="0"/>
    <n v="1"/>
    <x v="1"/>
  </r>
  <r>
    <n v="2177"/>
    <x v="1985"/>
    <x v="54"/>
    <x v="0"/>
    <d v="1899-12-30T15:57:00"/>
    <s v="Murmansk, Russia"/>
    <s v="Aeroflot"/>
    <n v="99"/>
    <s v="Unknown"/>
    <x v="935"/>
    <s v="CCCP-45086"/>
    <n v="5351801"/>
    <n v="64"/>
    <n v="57"/>
    <n v="7"/>
    <n v="32"/>
    <n v="30"/>
    <n v="2"/>
    <n v="0"/>
    <s v=" Crashed on the ice-covered Lake Kilp-Yavr while attempting to land . Premature descent during approach. Sudden change in the weather."/>
    <n v="32"/>
    <n v="0.5"/>
    <x v="0"/>
  </r>
  <r>
    <n v="2178"/>
    <x v="1986"/>
    <x v="54"/>
    <x v="0"/>
    <d v="1899-12-30T17:52:00"/>
    <s v="Salt Lake City, Utah"/>
    <s v="United Air Lines"/>
    <n v="227"/>
    <s v="Denver - Salt Lake City"/>
    <x v="979"/>
    <s v="N7030U"/>
    <s v="18322/130"/>
    <n v="91"/>
    <n v="85"/>
    <n v="6"/>
    <n v="43"/>
    <n v="43"/>
    <n v="0"/>
    <n v="0"/>
    <s v="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
    <n v="48"/>
    <n v="0.47252747252747251"/>
    <x v="0"/>
  </r>
  <r>
    <n v="2179"/>
    <x v="1987"/>
    <x v="54"/>
    <x v="0"/>
    <d v="1899-12-30T17:21:00"/>
    <s v="Near Palm Springs, California"/>
    <s v="Paul Kelly Flying Service Inc."/>
    <s v="Unknown"/>
    <s v="Palm Springs - Burbank"/>
    <x v="991"/>
    <s v="N243F"/>
    <s v="23-063"/>
    <n v="8"/>
    <n v="6"/>
    <n v="2"/>
    <n v="8"/>
    <n v="6"/>
    <n v="2"/>
    <n v="0"/>
    <s v="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
    <n v="0"/>
    <n v="1"/>
    <x v="1"/>
  </r>
  <r>
    <n v="2180"/>
    <x v="1988"/>
    <x v="54"/>
    <x v="0"/>
    <d v="1899-12-30T07:15:00"/>
    <s v="Salt Lake City , Utah"/>
    <s v="Edde Airlines"/>
    <s v="65/75"/>
    <s v="Salt Lake - Albuquerque"/>
    <x v="992"/>
    <s v="N485"/>
    <n v="4848"/>
    <n v="13"/>
    <n v="9"/>
    <n v="4"/>
    <n v="13"/>
    <n v="9"/>
    <n v="4"/>
    <n v="0"/>
    <s v="Crashed into a hill 22 miles south of Salt Lake City after taking off in snow and poor visibility. The track was aboout 1 mile east of Pass Through mountain. Judgment of the pilot in command in initiating a VFR flight under existing weather conditions and terrain environment."/>
    <n v="0"/>
    <n v="1"/>
    <x v="1"/>
  </r>
  <r>
    <n v="2181"/>
    <x v="1989"/>
    <x v="54"/>
    <x v="0"/>
    <d v="1899-12-30T16:18:00"/>
    <s v="Carmel, New York"/>
    <s v="Trans World Airlines / Eastern Air Lines"/>
    <s v="42 / 853"/>
    <s v="Boston - Newark"/>
    <x v="993"/>
    <s v="N748TW/N6218C"/>
    <s v="18387/286  / 4526"/>
    <n v="112"/>
    <n v="100"/>
    <n v="12"/>
    <n v="4"/>
    <n v="3"/>
    <n v="1"/>
    <n v="0"/>
    <s v="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
    <n v="108"/>
    <n v="3.5714285714285712E-2"/>
    <x v="2"/>
  </r>
  <r>
    <n v="2182"/>
    <x v="1990"/>
    <x v="54"/>
    <x v="0"/>
    <d v="1899-12-30T18:40:00"/>
    <s v="Tenerife, Canary Islands"/>
    <s v="Spantax"/>
    <s v="Unknown"/>
    <s v="Tenerife - Manchester, England"/>
    <x v="277"/>
    <s v="EC-ARZ"/>
    <n v="13474"/>
    <n v="32"/>
    <n v="28"/>
    <n v="4"/>
    <n v="32"/>
    <n v="28"/>
    <n v="4"/>
    <n v="0"/>
    <s v="Crashed into high terrain shortly after takeoff. Cause undetermined. Mechanical failure suspected."/>
    <n v="0"/>
    <n v="1"/>
    <x v="1"/>
  </r>
  <r>
    <n v="2183"/>
    <x v="1991"/>
    <x v="54"/>
    <x v="0"/>
    <d v="1899-12-30T15:00:00"/>
    <s v="Near Tuy Hoa, South Vietnam"/>
    <s v="Military - U.S. Air Force"/>
    <s v="Unknown"/>
    <s v="Pleiku - Tuy Hoa"/>
    <x v="994"/>
    <s v="56-4376"/>
    <n v="20260"/>
    <n v="85"/>
    <n v="81"/>
    <n v="4"/>
    <n v="85"/>
    <n v="81"/>
    <n v="4"/>
    <n v="0"/>
    <s v="While en route in poor weather, the plane struck trees on a mountain slope and then went into a flat spin, crashed and burned."/>
    <n v="0"/>
    <n v="1"/>
    <x v="1"/>
  </r>
  <r>
    <n v="2184"/>
    <x v="1992"/>
    <x v="54"/>
    <x v="0"/>
    <d v="1899-12-30T17:22:00"/>
    <s v="Legaspi, Philippines"/>
    <s v="Air Manila"/>
    <n v="101"/>
    <s v="Manila - Legazpi"/>
    <x v="268"/>
    <s v="PI-C856"/>
    <n v="18"/>
    <n v="21"/>
    <n v="18"/>
    <n v="3"/>
    <n v="2"/>
    <n v="0"/>
    <n v="2"/>
    <n v="0"/>
    <s v="Power stall during a tight turn manoeuvre at too low an altitude from which successful recovery was impossible."/>
    <n v="19"/>
    <n v="9.5238095238095233E-2"/>
    <x v="2"/>
  </r>
  <r>
    <n v="2185"/>
    <x v="1993"/>
    <x v="55"/>
    <x v="0"/>
    <s v="Unknown"/>
    <s v="Near Palembang, Sumatra, Indonesia"/>
    <s v="Garuda  Indonesia Airlines / Garuda Indonesia Airlines"/>
    <s v="Unknown"/>
    <s v="Medan - Palembang"/>
    <x v="995"/>
    <s v="PK-GDU/PK-GDE"/>
    <s v="13463 / 19719"/>
    <n v="34"/>
    <n v="26"/>
    <n v="8"/>
    <n v="34"/>
    <n v="26"/>
    <n v="8"/>
    <n v="0"/>
    <s v="Midair collision between two Garuda aircraft. Both crashed into a swamp while approaching Palembang. Seventeen died on each aircraft."/>
    <n v="0"/>
    <n v="1"/>
    <x v="1"/>
  </r>
  <r>
    <n v="2186"/>
    <x v="1993"/>
    <x v="55"/>
    <x v="0"/>
    <d v="1899-12-30T05:30:00"/>
    <s v="Kamchatsky, Russia"/>
    <s v="Aeroflot"/>
    <s v="Unknown"/>
    <s v="Magadan - Petropavlovsk-Kamchatsky"/>
    <x v="770"/>
    <s v="CCCP-61618"/>
    <n v="602108"/>
    <n v="23"/>
    <n v="18"/>
    <n v="5"/>
    <n v="23"/>
    <n v="18"/>
    <n v="5"/>
    <n v="0"/>
    <s v="Crashed due to engine failure due to the destruction of the cylinder head number 12"/>
    <n v="0"/>
    <n v="1"/>
    <x v="1"/>
  </r>
  <r>
    <n v="2187"/>
    <x v="1994"/>
    <x v="55"/>
    <x v="0"/>
    <d v="1899-12-30T18:22:00"/>
    <s v="Chipaque, Cundinamarca, Colombia"/>
    <s v="Satena"/>
    <s v="Unknown"/>
    <s v="Tres Esquinas - Bogota"/>
    <x v="996"/>
    <s v="FAC-675"/>
    <s v="Unknown"/>
    <n v="11"/>
    <n v="11"/>
    <n v="2"/>
    <n v="11"/>
    <n v="11"/>
    <n v="2"/>
    <n v="0"/>
    <s v="No data available"/>
    <n v="0"/>
    <n v="1"/>
    <x v="1"/>
  </r>
  <r>
    <n v="2188"/>
    <x v="1995"/>
    <x v="55"/>
    <x v="0"/>
    <d v="1899-12-30T15:07:00"/>
    <s v=" Shamurat, Uzbekistan"/>
    <s v="Aeroflot"/>
    <s v="Unknown"/>
    <s v="Nurata - Samarkand"/>
    <x v="997"/>
    <s v="CCCP-02185"/>
    <s v="1122 473 05"/>
    <n v="11"/>
    <n v="9"/>
    <n v="2"/>
    <n v="11"/>
    <n v="9"/>
    <n v="2"/>
    <n v="0"/>
    <s v="The aircraft hit the slope of a mountain 3.4 km from Shamurat. Crew who decided to continue the flight in below-minima weather conditions."/>
    <n v="0"/>
    <n v="1"/>
    <x v="1"/>
  </r>
  <r>
    <n v="2189"/>
    <x v="1996"/>
    <x v="55"/>
    <x v="0"/>
    <d v="1899-12-30T20:55:00"/>
    <s v="Off Cartagena, Colombia"/>
    <s v="AVIANCA"/>
    <n v="4"/>
    <s v="Bogata - Crespo"/>
    <x v="998"/>
    <s v="HK-730"/>
    <n v="18325"/>
    <n v="64"/>
    <n v="60"/>
    <n v="4"/>
    <n v="56"/>
    <n v="52"/>
    <n v="4"/>
    <n v="0"/>
    <s v="Crashed shortly after taking off. The plane rose less than 100 ft. and then crashed into shallow water.  Possible engine failure. Maintenance error and inadequate inspections."/>
    <n v="8"/>
    <n v="0.875"/>
    <x v="1"/>
  </r>
  <r>
    <n v="2190"/>
    <x v="1997"/>
    <x v="55"/>
    <x v="0"/>
    <s v="Unknown"/>
    <s v="Port-au-Prince, Haiti"/>
    <s v="COHATA"/>
    <s v="Unknown"/>
    <s v="Les Cayes -JÃ©rÃ©mie"/>
    <x v="277"/>
    <s v="N4662"/>
    <s v="Unknown"/>
    <n v="35"/>
    <n v="28"/>
    <n v="7"/>
    <n v="30"/>
    <n v="23"/>
    <n v="7"/>
    <n v="0"/>
    <s v="Crashed into a mountain  5 minutes after taking off from Las Cayee."/>
    <n v="5"/>
    <n v="0.8571428571428571"/>
    <x v="1"/>
  </r>
  <r>
    <n v="2191"/>
    <x v="1998"/>
    <x v="55"/>
    <x v="0"/>
    <d v="1899-12-30T08:02:00"/>
    <s v="Mont Blanc, French Alps, Switzerland"/>
    <s v="Air India"/>
    <n v="101"/>
    <s v="Bombay - Beirut  - Geneva - Paris - London -New York"/>
    <x v="999"/>
    <s v="VT-DMN"/>
    <s v="18055/200"/>
    <n v="117"/>
    <n v="106"/>
    <n v="11"/>
    <n v="117"/>
    <n v="106"/>
    <n v="11"/>
    <n v="0"/>
    <s v="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
    <n v="0"/>
    <n v="1"/>
    <x v="1"/>
  </r>
  <r>
    <n v="2192"/>
    <x v="1999"/>
    <x v="55"/>
    <x v="0"/>
    <d v="1899-12-30T10:15:00"/>
    <s v="Near Binh Khe, South Vietnam"/>
    <s v="Military - U.S. Air Force"/>
    <s v="Unknown"/>
    <s v="Unknown"/>
    <x v="1000"/>
    <s v="54-0702"/>
    <n v="20151"/>
    <n v="46"/>
    <n v="42"/>
    <n v="4"/>
    <n v="46"/>
    <n v="42"/>
    <n v="4"/>
    <n v="0"/>
    <s v="Struck trees inverted, 10 minutes after taking off from An Khe airfield. Evidence was found of a fire in the No. 2 engine."/>
    <n v="0"/>
    <n v="1"/>
    <x v="1"/>
  </r>
  <r>
    <n v="2193"/>
    <x v="2000"/>
    <x v="55"/>
    <x v="0"/>
    <d v="1899-12-30T17:50:00"/>
    <s v="Bremen, Germany"/>
    <s v="Lufthansa"/>
    <n v="5"/>
    <s v="Frankfurt - Bremen"/>
    <x v="1001"/>
    <s v="D-ACAT"/>
    <n v="464"/>
    <n v="46"/>
    <n v="42"/>
    <n v="4"/>
    <n v="46"/>
    <n v="42"/>
    <n v="4"/>
    <n v="0"/>
    <s v="Crashed on approach in heavy fog. The aircraft stalled while making a turn at low altitude. Instrument malfunction."/>
    <n v="0"/>
    <n v="1"/>
    <x v="1"/>
  </r>
  <r>
    <n v="2194"/>
    <x v="2001"/>
    <x v="55"/>
    <x v="0"/>
    <d v="1899-12-30T19:00:00"/>
    <s v="Tokyo Bay, Japan"/>
    <s v="All Nippon Airways"/>
    <n v="60"/>
    <s v="Chitose - Tokyo"/>
    <x v="1002"/>
    <s v="JA8302"/>
    <s v="18822/126"/>
    <n v="133"/>
    <n v="126"/>
    <n v="7"/>
    <n v="133"/>
    <n v="126"/>
    <n v="7"/>
    <n v="0"/>
    <s v="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n v="0"/>
    <n v="1"/>
    <x v="1"/>
  </r>
  <r>
    <n v="2195"/>
    <x v="2002"/>
    <x v="55"/>
    <x v="0"/>
    <d v="1899-12-30T11:55:00"/>
    <s v="Srinagar, India"/>
    <s v="Indian Airlines"/>
    <s v="Unknown"/>
    <s v="Srinngar - Jammu - Amritsar - Delhi"/>
    <x v="986"/>
    <s v="PH-SAB"/>
    <n v="10271"/>
    <n v="37"/>
    <n v="33"/>
    <n v="4"/>
    <n v="37"/>
    <n v="33"/>
    <n v="4"/>
    <n v="0"/>
    <s v="Crashed into high terrain, 12 miles west of its proper course, due to a navigation error. Abandonment of the ILS approach at too early a stage during an attempt to land under conditions of poor visibility in fog."/>
    <n v="0"/>
    <n v="1"/>
    <x v="1"/>
  </r>
  <r>
    <n v="2196"/>
    <x v="2003"/>
    <x v="55"/>
    <x v="0"/>
    <s v="Unknown"/>
    <s v="Delhi, India"/>
    <s v="Indian Airlines"/>
    <s v="Unknown"/>
    <s v="Calcutta - Delhi"/>
    <x v="1003"/>
    <s v="VT-DPP"/>
    <n v="130"/>
    <n v="80"/>
    <n v="73"/>
    <n v="7"/>
    <n v="2"/>
    <n v="2"/>
    <n v="0"/>
    <n v="0"/>
    <s v="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
    <n v="78"/>
    <n v="2.5000000000000001E-2"/>
    <x v="2"/>
  </r>
  <r>
    <n v="2197"/>
    <x v="2004"/>
    <x v="55"/>
    <x v="0"/>
    <d v="1899-12-30T16:35:00"/>
    <s v=" Pechora, Russia"/>
    <s v="Aeroflot"/>
    <n v="302"/>
    <s v="Vorkuta - Syktyvkar"/>
    <x v="707"/>
    <s v="CCCP-52058"/>
    <n v="7343609"/>
    <n v="26"/>
    <n v="18"/>
    <n v="8"/>
    <n v="26"/>
    <n v="18"/>
    <n v="8"/>
    <n v="0"/>
    <s v="An hour after he departed Vorkuta Airport bound for Syktyvkar, the crew reported a fire on the right engine. After the engine detached, the plane crashed in a lake."/>
    <n v="0"/>
    <n v="1"/>
    <x v="1"/>
  </r>
  <r>
    <n v="2198"/>
    <x v="2004"/>
    <x v="55"/>
    <x v="0"/>
    <d v="1899-12-30T16:35:00"/>
    <s v="Near Pechora, Russia"/>
    <s v="Aeroflot"/>
    <n v="302"/>
    <s v="_x0009_Vorkuta - _x0009_Syktyvkar"/>
    <x v="1004"/>
    <s v="CCCP-52058"/>
    <n v="7343609"/>
    <n v="35"/>
    <n v="28"/>
    <n v="7"/>
    <n v="35"/>
    <n v="28"/>
    <n v="7"/>
    <n v="0"/>
    <s v="Approximately 1 hour into a flight, the plane's right engine failed and a fire erupted which could not be extinguished. The crew attempted to divert to Pechora but did not make it. The engine fell off, te plane rolled to the left and the plane crashed into a forest."/>
    <n v="0"/>
    <n v="1"/>
    <x v="1"/>
  </r>
  <r>
    <n v="2199"/>
    <x v="2004"/>
    <x v="55"/>
    <x v="0"/>
    <d v="1899-12-30T01:38:00"/>
    <s v="Moscow, Russia"/>
    <s v="Aeroflot"/>
    <s v="Unknown"/>
    <s v="CCCP-76491"/>
    <x v="1005"/>
    <s v="CCCP-76491"/>
    <s v="64M472"/>
    <n v="66"/>
    <n v="47"/>
    <n v="19"/>
    <n v="21"/>
    <n v="8"/>
    <n v="13"/>
    <n v="0"/>
    <s v="The crew was attempted a night takeoff in heavy snow. The plane veered off the runway to the right and crashed in flames. The crew attempted a takeoff in what was well below the minima."/>
    <n v="45"/>
    <n v="0.31818181818181818"/>
    <x v="2"/>
  </r>
  <r>
    <n v="2200"/>
    <x v="2005"/>
    <x v="55"/>
    <x v="0"/>
    <d v="1899-12-30T01:38:00"/>
    <s v="Moscow, Russia"/>
    <s v="Aeroflot"/>
    <s v=" SU-065"/>
    <s v="Moscow - Conakry"/>
    <x v="1006"/>
    <s v="CCCP-76491"/>
    <s v="64M472"/>
    <n v="66"/>
    <n v="47"/>
    <n v="19"/>
    <n v="21"/>
    <n v="8"/>
    <n v="13"/>
    <n v="0"/>
    <s v="While taking off, the aircraft struck a snow drift with the left main landing gear. The pilot banked the plane to the right, causing the No..3 propeller to strike the runway. The airplane crashed and caught fire. The runway was not entirely cleared and the visibility was poor."/>
    <n v="45"/>
    <n v="0.31818181818181818"/>
    <x v="2"/>
  </r>
  <r>
    <n v="2201"/>
    <x v="2006"/>
    <x v="55"/>
    <x v="0"/>
    <d v="1899-12-30T02:04:00"/>
    <s v="Near Milan, Italy"/>
    <s v="Belgian International Air Services"/>
    <s v="Unknown"/>
    <s v="Brussels - Milan"/>
    <x v="626"/>
    <s v="OO-ABG"/>
    <s v="43829/351"/>
    <n v="4"/>
    <n v="1"/>
    <n v="3"/>
    <n v="4"/>
    <n v="1"/>
    <n v="3"/>
    <n v="0"/>
    <s v="The cargo plane struck trees to the right of the runway while attempting to land. Failure of the pilot to comply with the Company's minima. Subsequent belated decision to execute the missed approach procedure."/>
    <n v="0"/>
    <n v="1"/>
    <x v="1"/>
  </r>
  <r>
    <n v="2202"/>
    <x v="2007"/>
    <x v="55"/>
    <x v="0"/>
    <d v="1899-12-30T20:15:00"/>
    <s v="Near Tokyo, Japan"/>
    <s v="Canadian Pacific Air Lines"/>
    <n v="402"/>
    <s v="Hong Kong - Tokyo"/>
    <x v="903"/>
    <s v="CF-CPK"/>
    <s v="45761/237"/>
    <n v="72"/>
    <n v="62"/>
    <n v="10"/>
    <n v="64"/>
    <n v="54"/>
    <n v="10"/>
    <n v="0"/>
    <s v="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
    <n v="8"/>
    <n v="0.88888888888888884"/>
    <x v="1"/>
  </r>
  <r>
    <n v="2203"/>
    <x v="2008"/>
    <x v="55"/>
    <x v="0"/>
    <d v="1899-12-30T14:15:00"/>
    <s v="Near Gotemba City, Mt. Fuji, Japan"/>
    <s v="British Overseas Airways"/>
    <n v="911"/>
    <s v="Tokyo - Hong Kong"/>
    <x v="1007"/>
    <s v="G-APFE"/>
    <s v="17706/113"/>
    <n v="124"/>
    <n v="113"/>
    <n v="11"/>
    <n v="124"/>
    <n v="113"/>
    <n v="11"/>
    <n v="0"/>
    <s v="The aircraft crashed into Mt. Fuji after encountering severe turbulence when the pilot decided to give the passengers a view of the mountain. The aircraft encountered severe clear air turbulence and started to come apart in the air before crashing."/>
    <n v="0"/>
    <n v="1"/>
    <x v="1"/>
  </r>
  <r>
    <n v="2204"/>
    <x v="2009"/>
    <x v="55"/>
    <x v="0"/>
    <s v="Unknown"/>
    <s v="Athens, Greece"/>
    <s v="Trans Mediterranean Airways"/>
    <s v="Unknown"/>
    <s v="Beirut - Frankfurt"/>
    <x v="681"/>
    <s v="OD-AEL"/>
    <s v="45504/1009"/>
    <n v="5"/>
    <n v="0"/>
    <n v="5"/>
    <n v="5"/>
    <n v="0"/>
    <n v="5"/>
    <n v="0"/>
    <s v="The cargo plane flew into Mt. Parnon about 27 km east of Sparta."/>
    <n v="0"/>
    <n v="1"/>
    <x v="1"/>
  </r>
  <r>
    <n v="2205"/>
    <x v="2009"/>
    <x v="55"/>
    <x v="0"/>
    <d v="1899-12-30T17:14:00"/>
    <s v="Reef Island, Alaska"/>
    <s v="Pacific Western"/>
    <s v="Unknown"/>
    <s v="Unknown"/>
    <x v="1008"/>
    <s v="CF-MSK"/>
    <s v="B-32"/>
    <n v="7"/>
    <n v="6"/>
    <n v="1"/>
    <n v="6"/>
    <n v="6"/>
    <n v="0"/>
    <n v="0"/>
    <s v="On approach, the aircraft struck power cables, stalled and crashed into the Portland Canal. after the pilot misjudged altitude and clearance. VFR flight into adverse weather conditiions."/>
    <n v="1"/>
    <n v="0.8571428571428571"/>
    <x v="1"/>
  </r>
  <r>
    <n v="2206"/>
    <x v="2010"/>
    <x v="55"/>
    <x v="0"/>
    <d v="1899-12-30T18:40:00"/>
    <s v="Cairo, Egypt"/>
    <s v="United Arab Airlines"/>
    <n v="749"/>
    <s v="Nicosia - Cairo"/>
    <x v="1009"/>
    <s v="SU-AOA"/>
    <n v="57302009"/>
    <n v="30"/>
    <n v="25"/>
    <n v="5"/>
    <n v="30"/>
    <n v="25"/>
    <n v="5"/>
    <n v="0"/>
    <s v="Crashed into sand dunes. Improper approach during a sandstorm with turbulence and icing. Descent of the aircraft below the safe flight altitude in the final approach."/>
    <n v="0"/>
    <n v="1"/>
    <x v="1"/>
  </r>
  <r>
    <n v="2207"/>
    <x v="2011"/>
    <x v="55"/>
    <x v="0"/>
    <s v="Unknown"/>
    <s v="Asuncion, Paraguay"/>
    <s v="Servicios Americanos"/>
    <s v="Unknown"/>
    <s v="AsunciÃ³n â€“ Montevideo"/>
    <x v="667"/>
    <s v="N1245N"/>
    <n v="22473"/>
    <n v="2"/>
    <n v="0"/>
    <n v="2"/>
    <n v="2"/>
    <n v="0"/>
    <n v="2"/>
    <n v="0"/>
    <s v="The cargo plane crashed on takeoff."/>
    <n v="0"/>
    <n v="1"/>
    <x v="1"/>
  </r>
  <r>
    <n v="2208"/>
    <x v="2012"/>
    <x v="55"/>
    <x v="0"/>
    <d v="1899-12-30T20:30:00"/>
    <s v="Near Ardmore, Oklahoma"/>
    <s v="American Flyers Airline"/>
    <s v="280D"/>
    <s v="Monterey - Ardmore"/>
    <x v="844"/>
    <s v="N183H"/>
    <n v="1136"/>
    <n v="98"/>
    <n v="93"/>
    <n v="5"/>
    <n v="83"/>
    <n v="78"/>
    <n v="5"/>
    <n v="0"/>
    <s v="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
    <n v="15"/>
    <n v="0.84693877551020413"/>
    <x v="1"/>
  </r>
  <r>
    <n v="2209"/>
    <x v="2013"/>
    <x v="55"/>
    <x v="0"/>
    <d v="1899-12-30T08:03:00"/>
    <s v="Off Baku, Azerbaijan"/>
    <s v="Aeroflot"/>
    <n v="2723"/>
    <s v="Baku, Azerbaijan - _x0009_Makhachkala, Russia"/>
    <x v="813"/>
    <s v="CCCP-61772"/>
    <n v="146000310"/>
    <n v="33"/>
    <n v="28"/>
    <n v="5"/>
    <n v="33"/>
    <n v="28"/>
    <n v="5"/>
    <n v="0"/>
    <s v="The pilot reported both engine were losing power and he was going to ditch the plane into the ocean. Engine failure cause unknown. The wreckage was never found."/>
    <n v="0"/>
    <n v="1"/>
    <x v="1"/>
  </r>
  <r>
    <n v="2210"/>
    <x v="2014"/>
    <x v="55"/>
    <x v="0"/>
    <d v="1899-12-30T08:05:00"/>
    <s v="Tomas, Peru"/>
    <s v="LANSA"/>
    <n v="501"/>
    <s v="Lima - Cuzco"/>
    <x v="611"/>
    <s v="OB-R-771"/>
    <n v="2521"/>
    <n v="49"/>
    <n v="43"/>
    <n v="6"/>
    <n v="49"/>
    <n v="43"/>
    <n v="6"/>
    <n v="0"/>
    <s v="Crashed into 12,600 ft. Mt. Talsula. Pilot error. Incorrectly selected the route. Incorrectly calculated the climb performance of the aircraft in relation to its total weight of takeoff. Underestimated the elevation of peaks he had to clear along the route."/>
    <n v="0"/>
    <n v="1"/>
    <x v="1"/>
  </r>
  <r>
    <n v="2211"/>
    <x v="2015"/>
    <x v="55"/>
    <x v="0"/>
    <d v="1899-12-30T08:00:00"/>
    <s v="Near Di Linh, South Vietnam"/>
    <s v="Military - U.S. Army"/>
    <s v="Unknown"/>
    <s v="Unknown"/>
    <x v="1010"/>
    <s v="64-13138"/>
    <s v="Unknown"/>
    <n v="20"/>
    <n v="17"/>
    <n v="3"/>
    <n v="20"/>
    <n v="17"/>
    <n v="3"/>
    <n v="0"/>
    <s v="Engine failure caused the helicopter to crash shortly after taking off. Failure of the aircraft's No. 2 pinion drive shaft thrust bearing."/>
    <n v="0"/>
    <n v="1"/>
    <x v="1"/>
  </r>
  <r>
    <n v="2212"/>
    <x v="2016"/>
    <x v="55"/>
    <x v="0"/>
    <d v="1899-12-30T12:04:00"/>
    <s v="Sablayan, Philippines"/>
    <s v="Philippine Air Lines"/>
    <n v="785"/>
    <s v="Mamburao - San Jose"/>
    <x v="277"/>
    <s v="PI-C17"/>
    <n v="20573"/>
    <n v="26"/>
    <n v="24"/>
    <n v="2"/>
    <n v="24"/>
    <n v="22"/>
    <n v="2"/>
    <n v="0"/>
    <s v="Cashed in poor weather. Misjudgment of the terrain clearance, which resulted in the collision with trees in severe turbulence and strong gusty winds."/>
    <n v="2"/>
    <n v="0.92307692307692313"/>
    <x v="1"/>
  </r>
  <r>
    <n v="2213"/>
    <x v="2017"/>
    <x v="55"/>
    <x v="0"/>
    <d v="1899-12-30T15:59:00"/>
    <s v="Auckland, New Zealand"/>
    <s v="Air New Zealand"/>
    <s v="Unknown"/>
    <s v="Training"/>
    <x v="1011"/>
    <s v="ZK-NZB"/>
    <s v="45751/231"/>
    <n v="5"/>
    <n v="0"/>
    <n v="5"/>
    <n v="2"/>
    <n v="0"/>
    <n v="2"/>
    <n v="0"/>
    <s v="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
    <n v="3"/>
    <n v="0.4"/>
    <x v="0"/>
  </r>
  <r>
    <n v="2214"/>
    <x v="2018"/>
    <x v="55"/>
    <x v="0"/>
    <d v="1899-12-30T20:50:00"/>
    <s v="Hideaway Park, Colorado"/>
    <s v="Alamo Airways"/>
    <s v="Unknown"/>
    <s v="Unknown"/>
    <x v="1012"/>
    <s v="N1563V"/>
    <n v="4449"/>
    <n v="3"/>
    <n v="2"/>
    <n v="1"/>
    <n v="3"/>
    <n v="2"/>
    <n v="1"/>
    <n v="0"/>
    <s v="Struck mountain slope while in level flight. VFR flight into adverse weather conditions. Weather conditions were poor with low ceiling, rain showers, thunderstorm activity and turbulences."/>
    <n v="0"/>
    <n v="1"/>
    <x v="1"/>
  </r>
  <r>
    <n v="2215"/>
    <x v="2018"/>
    <x v="55"/>
    <x v="0"/>
    <s v="Unknown"/>
    <s v="Cerro el Planchon, Chile"/>
    <s v="Aeropesca Colombia"/>
    <s v="Unknown"/>
    <s v="BogotÃ¡ - La Paz - Santiago - Buenos Aires"/>
    <x v="438"/>
    <s v="HK-527"/>
    <n v="33215"/>
    <n v="8"/>
    <n v="0"/>
    <n v="8"/>
    <n v="8"/>
    <n v="0"/>
    <n v="8"/>
    <n v="0"/>
    <s v="While cruising in poor weather conditions, the cargo plane struck the slope of Mt PlanchÃ³n-Peteroa  located about 200 km south of Santiago.plane. The wreckage was never found."/>
    <n v="0"/>
    <n v="1"/>
    <x v="1"/>
  </r>
  <r>
    <n v="2216"/>
    <x v="2019"/>
    <x v="55"/>
    <x v="0"/>
    <s v="Unknown"/>
    <s v="Pakistan"/>
    <s v="Military - Pakistan Air Force"/>
    <s v="Unknown"/>
    <s v="Unknown"/>
    <x v="1013"/>
    <n v="24142"/>
    <n v="3768"/>
    <n v="10"/>
    <n v="0"/>
    <n v="10"/>
    <n v="10"/>
    <n v="0"/>
    <n v="10"/>
    <n v="0"/>
    <s v="Struck a mountain."/>
    <n v="0"/>
    <n v="1"/>
    <x v="1"/>
  </r>
  <r>
    <n v="2217"/>
    <x v="2020"/>
    <x v="55"/>
    <x v="0"/>
    <d v="1899-12-30T18:27:00"/>
    <s v="Near Munster, Indiana"/>
    <s v="Private - Mainline Aviation"/>
    <s v="-"/>
    <s v="Unknown"/>
    <x v="1014"/>
    <s v="N538B"/>
    <s v="Unknown"/>
    <n v="4"/>
    <n v="3"/>
    <n v="1"/>
    <n v="4"/>
    <n v="3"/>
    <n v="1"/>
    <n v="0"/>
    <s v="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
    <n v="0"/>
    <n v="1"/>
    <x v="1"/>
  </r>
  <r>
    <n v="2218"/>
    <x v="2021"/>
    <x v="55"/>
    <x v="0"/>
    <s v="Unknown"/>
    <s v="Benito, Bolivia"/>
    <s v="Lloyd AÃ©reo Boliviano"/>
    <s v="Unknown"/>
    <s v="Riberalta - Cochabamba"/>
    <x v="438"/>
    <s v="CP-730"/>
    <n v="33457"/>
    <n v="3"/>
    <n v="0"/>
    <n v="3"/>
    <n v="3"/>
    <n v="0"/>
    <n v="3"/>
    <n v="0"/>
    <s v="The cargo  aircraft was not being flown at the recommended altitude when it reached mountains to be crossed, nor whas it at the proper crossing point. A secondary factor was the lack of navigational aids in the area."/>
    <n v="0"/>
    <n v="1"/>
    <x v="1"/>
  </r>
  <r>
    <n v="2219"/>
    <x v="2022"/>
    <x v="55"/>
    <x v="0"/>
    <d v="1899-12-30T23:12:00"/>
    <s v="Near Falls City, Nebraska"/>
    <s v="Braniff Airlines"/>
    <n v="250"/>
    <s v="Kansas City, MO - Omaha"/>
    <x v="1015"/>
    <s v="N1553"/>
    <n v="70"/>
    <n v="42"/>
    <n v="38"/>
    <n v="4"/>
    <n v="42"/>
    <n v="38"/>
    <n v="4"/>
    <n v="0"/>
    <s v="The aircraft broke up in flight due to turbulence after entering a squall line. Right tailplane and wing failed. Pilot operated aircraft in area of avoidable weather hazard."/>
    <n v="0"/>
    <n v="1"/>
    <x v="1"/>
  </r>
  <r>
    <n v="2220"/>
    <x v="2023"/>
    <x v="55"/>
    <x v="0"/>
    <s v="Unknown"/>
    <s v="Near Sibiu, Romania"/>
    <s v="Tarom"/>
    <s v="Unknown"/>
    <s v=" Bra?ov - Constanta"/>
    <x v="813"/>
    <s v="YR-TAN"/>
    <n v="18428005"/>
    <n v="24"/>
    <n v="20"/>
    <n v="4"/>
    <n v="24"/>
    <n v="20"/>
    <n v="4"/>
    <n v="0"/>
    <s v="Crashed on a flight while en route."/>
    <n v="0"/>
    <n v="1"/>
    <x v="1"/>
  </r>
  <r>
    <n v="2221"/>
    <x v="2024"/>
    <x v="55"/>
    <x v="0"/>
    <d v="1899-12-30T18:30:00"/>
    <s v="Puertos Lobos, Argentina"/>
    <s v="Aerovias Halcon"/>
    <s v="Unknown"/>
    <s v="Rio Gallegos -  Buenos Aires"/>
    <x v="587"/>
    <s v="LV-GLA"/>
    <n v="22534"/>
    <n v="16"/>
    <n v="12"/>
    <n v="4"/>
    <n v="1"/>
    <n v="0"/>
    <n v="1"/>
    <n v="0"/>
    <s v="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
    <n v="15"/>
    <n v="6.25E-2"/>
    <x v="2"/>
  </r>
  <r>
    <n v="2222"/>
    <x v="2024"/>
    <x v="55"/>
    <x v="0"/>
    <s v="Unknown"/>
    <s v="Near Da Nang, South Vietnam"/>
    <s v="Military - U.S. Marine Corps"/>
    <s v="Unknown"/>
    <s v="Unknown"/>
    <x v="1016"/>
    <n v="150321"/>
    <s v="Unknown"/>
    <n v="1"/>
    <n v="0"/>
    <n v="1"/>
    <n v="0"/>
    <n v="0"/>
    <n v="0"/>
    <n v="33"/>
    <s v="Following engine failure, the jet fighter crashed into a village."/>
    <n v="1"/>
    <n v="0"/>
    <x v="2"/>
  </r>
  <r>
    <n v="2223"/>
    <x v="2025"/>
    <x v="55"/>
    <x v="0"/>
    <d v="1899-12-30T10:35:00"/>
    <s v="Near Juneau, Alaska"/>
    <s v="Alaska Coastal Airlines"/>
    <s v="Unknown"/>
    <s v="Unknown"/>
    <x v="355"/>
    <s v="N88820"/>
    <n v="1114"/>
    <n v="9"/>
    <n v="8"/>
    <n v="1"/>
    <n v="9"/>
    <n v="8"/>
    <n v="1"/>
    <n v="0"/>
    <s v="Crashed into a glacial crevasse near Juneau. Undetermined cause."/>
    <n v="0"/>
    <n v="1"/>
    <x v="1"/>
  </r>
  <r>
    <n v="2224"/>
    <x v="2026"/>
    <x v="55"/>
    <x v="0"/>
    <d v="1899-12-30T00:47:00"/>
    <s v="Near Ljubljana, Slovenia, Yugoslavia"/>
    <s v="Britannia Airways"/>
    <n v="105"/>
    <s v="Luton - Ljubljana"/>
    <x v="1017"/>
    <s v="G-ANBB"/>
    <n v="12903"/>
    <n v="117"/>
    <n v="110"/>
    <n v="7"/>
    <n v="98"/>
    <n v="92"/>
    <n v="6"/>
    <n v="0"/>
    <s v="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
    <n v="19"/>
    <n v="0.83760683760683763"/>
    <x v="1"/>
  </r>
  <r>
    <n v="2225"/>
    <x v="2027"/>
    <x v="55"/>
    <x v="0"/>
    <s v="Unknown"/>
    <s v="Mumbai, Indian"/>
    <s v="Indian Airlines"/>
    <s v="Unknown"/>
    <s v="Training"/>
    <x v="1018"/>
    <s v="VT-DSB"/>
    <n v="134"/>
    <n v="4"/>
    <n v="0"/>
    <n v="4"/>
    <n v="4"/>
    <n v="0"/>
    <n v="4"/>
    <n v="0"/>
    <s v="Struck a hill while simulating an engine failure."/>
    <n v="0"/>
    <n v="1"/>
    <x v="1"/>
  </r>
  <r>
    <n v="2226"/>
    <x v="2028"/>
    <x v="55"/>
    <x v="0"/>
    <d v="1899-12-30T08:25:00"/>
    <s v="Off Tenerife, Canary Islands, Spain"/>
    <s v="Iberia Airlines"/>
    <s v="Unknown"/>
    <s v="Unknown"/>
    <x v="277"/>
    <s v="EC-AXC"/>
    <n v="19410"/>
    <n v="27"/>
    <n v="24"/>
    <n v="3"/>
    <n v="1"/>
    <n v="1"/>
    <n v="0"/>
    <n v="0"/>
    <s v="An overspeeding and failed attempt to feather the No. 1 engine necessitated ditching the plane. The plane sank after 5 minutes.  One passenger refused to leave the aircraft and drowned."/>
    <n v="26"/>
    <n v="3.7037037037037035E-2"/>
    <x v="2"/>
  </r>
  <r>
    <n v="2227"/>
    <x v="2029"/>
    <x v="55"/>
    <x v="0"/>
    <d v="1899-12-30T03:15:00"/>
    <s v="Bogota, Colombia"/>
    <s v="Avianca"/>
    <s v="Unknown"/>
    <s v="Bogota - Barranquilla"/>
    <x v="487"/>
    <s v="HK-174"/>
    <n v="42929"/>
    <n v="2"/>
    <n v="0"/>
    <n v="2"/>
    <n v="2"/>
    <n v="0"/>
    <n v="2"/>
    <n v="0"/>
    <s v="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
    <n v="0"/>
    <n v="1"/>
    <x v="1"/>
  </r>
  <r>
    <n v="2228"/>
    <x v="2029"/>
    <x v="55"/>
    <x v="0"/>
    <d v="1899-12-30T13:03:00"/>
    <s v="Winton, Australia"/>
    <s v="Ansett ANA"/>
    <n v="149"/>
    <s v="Mount Isa - Longreach"/>
    <x v="1019"/>
    <s v="VH-RMI"/>
    <n v="416"/>
    <n v="24"/>
    <n v="20"/>
    <n v="4"/>
    <n v="24"/>
    <n v="20"/>
    <n v="4"/>
    <n v="0"/>
    <s v="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
    <n v="0"/>
    <n v="1"/>
    <x v="1"/>
  </r>
  <r>
    <n v="2229"/>
    <x v="2030"/>
    <x v="55"/>
    <x v="0"/>
    <d v="1899-12-30T19:10:00"/>
    <s v="Near Wemme, Oregon"/>
    <s v="West Coast Airlines"/>
    <n v="956"/>
    <s v="Eugene - Portland"/>
    <x v="1020"/>
    <s v="N9101"/>
    <s v="45794/52"/>
    <n v="18"/>
    <n v="13"/>
    <n v="5"/>
    <n v="18"/>
    <n v="13"/>
    <n v="5"/>
    <n v="0"/>
    <s v="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
    <n v="0"/>
    <n v="1"/>
    <x v="1"/>
  </r>
  <r>
    <n v="2230"/>
    <x v="2031"/>
    <x v="55"/>
    <x v="0"/>
    <s v="Unknown"/>
    <s v="An Khe, Vietnam"/>
    <s v="Military - U.S. Army"/>
    <s v="Unknown"/>
    <s v="Hammond - An Khe"/>
    <x v="1021"/>
    <s v="63-9751"/>
    <n v="209"/>
    <n v="32"/>
    <n v="28"/>
    <n v="4"/>
    <n v="14"/>
    <n v="10"/>
    <n v="4"/>
    <n v="0"/>
    <s v="While attempting a go-around the plane hit Hong Kong mountain."/>
    <n v="18"/>
    <n v="0.4375"/>
    <x v="0"/>
  </r>
  <r>
    <n v="2231"/>
    <x v="2032"/>
    <x v="55"/>
    <x v="0"/>
    <d v="1899-12-30T13:30:00"/>
    <s v="Off Morgan City, Louisiana"/>
    <s v="Petroleum Helicopter"/>
    <s v="Unknown"/>
    <s v="Unknown"/>
    <x v="1022"/>
    <s v="N1187W"/>
    <n v="2041"/>
    <n v="11"/>
    <n v="10"/>
    <n v="1"/>
    <n v="11"/>
    <n v="10"/>
    <n v="1"/>
    <n v="0"/>
    <s v="The helicopter crashed into the Gulf of Mexico after a tail rotor failure.  Fatigue fracture."/>
    <n v="0"/>
    <n v="1"/>
    <x v="1"/>
  </r>
  <r>
    <n v="2232"/>
    <x v="2033"/>
    <x v="55"/>
    <x v="0"/>
    <d v="1899-12-30T01:43:00"/>
    <s v="Off Chatham, Massachusetts"/>
    <s v="Military - U.S. Air Force"/>
    <s v="-"/>
    <s v="Survey flight"/>
    <x v="1023"/>
    <s v="55-5262"/>
    <n v="4413"/>
    <n v="19"/>
    <n v="15"/>
    <n v="4"/>
    <n v="19"/>
    <n v="15"/>
    <n v="4"/>
    <n v="0"/>
    <s v="The aircraft was observed flying low and emitting smoke from one of its engines before crashing into the sea and exploding, 125 miles east of Nantucket."/>
    <n v="0"/>
    <n v="1"/>
    <x v="1"/>
  </r>
  <r>
    <n v="2233"/>
    <x v="2034"/>
    <x v="55"/>
    <x v="0"/>
    <d v="1899-12-30T20:30:00"/>
    <s v="Off Matsuyama, Japan"/>
    <s v="All Nippon Airways"/>
    <n v="533"/>
    <s v="Osaka - Matsuyama"/>
    <x v="1024"/>
    <s v="JA8658"/>
    <n v="2023"/>
    <n v="50"/>
    <n v="45"/>
    <n v="5"/>
    <n v="50"/>
    <n v="45"/>
    <n v="5"/>
    <n v="0"/>
    <s v="The plane crashed into the sea after overshooting the runway and during a go-around. Undetermined cause."/>
    <n v="0"/>
    <n v="1"/>
    <x v="1"/>
  </r>
  <r>
    <n v="2234"/>
    <x v="2035"/>
    <x v="55"/>
    <x v="0"/>
    <d v="1899-12-30T02:42:00"/>
    <s v="Near Dallgow, Germany"/>
    <s v="Pan American Airways"/>
    <s v="Unknown"/>
    <s v="Frankfurt - Berlin"/>
    <x v="1025"/>
    <s v="N317PA"/>
    <s v="18995/221"/>
    <n v="3"/>
    <n v="0"/>
    <n v="3"/>
    <n v="3"/>
    <n v="0"/>
    <n v="3"/>
    <n v="0"/>
    <s v="The cargo plane crashed while landing. The descent of the flight below its altitude clearance limit for reasons unknown."/>
    <n v="0"/>
    <n v="1"/>
    <x v="1"/>
  </r>
  <r>
    <n v="2235"/>
    <x v="2036"/>
    <x v="55"/>
    <x v="0"/>
    <d v="1899-12-30T06:06:00"/>
    <s v="Near New Bern, North Carolina"/>
    <s v="Piedmont Airlines"/>
    <n v="101"/>
    <s v="Wilmington - New Bern"/>
    <x v="714"/>
    <s v="N40406"/>
    <n v="14170"/>
    <n v="3"/>
    <n v="0"/>
    <n v="3"/>
    <n v="3"/>
    <n v="0"/>
    <n v="3"/>
    <n v="0"/>
    <s v="Crashed while on approach. Descent below obstructing terrain."/>
    <n v="0"/>
    <n v="1"/>
    <x v="1"/>
  </r>
  <r>
    <n v="2236"/>
    <x v="2037"/>
    <x v="55"/>
    <x v="0"/>
    <d v="1899-12-30T12:20:00"/>
    <s v="Near Aden, Yemen"/>
    <s v="Aden Airways"/>
    <s v="Unknown"/>
    <s v="Aden - Maifa'a Mayfa'ah - Arden, Yemen"/>
    <x v="277"/>
    <s v="VR-AAN"/>
    <n v="4284"/>
    <n v="30"/>
    <n v="27"/>
    <n v="3"/>
    <n v="30"/>
    <n v="27"/>
    <n v="3"/>
    <n v="0"/>
    <s v="The aircraft crashed into the desert 20 minutes after taking off. The aircraft made contact with ATC during the climb but failed to make a scheduled report an hour later. Detonation of an explosive device placed in hand luggage in the cabin on the port side just above the wing."/>
    <n v="0"/>
    <n v="1"/>
    <x v="1"/>
  </r>
  <r>
    <n v="2237"/>
    <x v="2038"/>
    <x v="55"/>
    <x v="0"/>
    <d v="1899-12-30T16:30:00"/>
    <s v="Near Bratislava, Czechoslovakia"/>
    <s v="Transportno Aviatsionno Bulgaro-Soviet Obshchestvo"/>
    <n v="101"/>
    <s v="Bratislava - Praha"/>
    <x v="855"/>
    <s v="LZ-BEN"/>
    <s v="184007101/356"/>
    <n v="82"/>
    <n v="74"/>
    <n v="8"/>
    <n v="82"/>
    <n v="74"/>
    <n v="8"/>
    <n v="0"/>
    <s v="Following takeoff, the aircraft did not follow assigned route and crashed into wooded hillside. Insufficient evaluation of the weather conditions and relief of the terrain by the crew."/>
    <n v="0"/>
    <n v="1"/>
    <x v="1"/>
  </r>
  <r>
    <n v="2238"/>
    <x v="2039"/>
    <x v="55"/>
    <x v="0"/>
    <d v="1899-12-30T19:20:00"/>
    <s v="Near Saigon, South Vietnam"/>
    <s v="Military - U.S. Air Force"/>
    <s v="Unknown"/>
    <s v="Saigon - Korat AB"/>
    <x v="608"/>
    <n v="4476574"/>
    <s v="Unknown"/>
    <n v="31"/>
    <n v="25"/>
    <n v="6"/>
    <n v="31"/>
    <n v="25"/>
    <n v="6"/>
    <n v="0"/>
    <s v="Crashed and burst into flames into a rice paddy after experiencing a malfunction of the left engine."/>
    <n v="0"/>
    <n v="1"/>
    <x v="1"/>
  </r>
  <r>
    <n v="2239"/>
    <x v="2039"/>
    <x v="55"/>
    <x v="0"/>
    <d v="1899-12-30T14:24:00"/>
    <s v="Near La Pedrera, Colombia"/>
    <s v="Satena"/>
    <s v="Unknown"/>
    <s v="La Pedrera -Leticia"/>
    <x v="522"/>
    <s v="FAC-621"/>
    <s v="Unknown"/>
    <n v="13"/>
    <n v="10"/>
    <n v="3"/>
    <n v="12"/>
    <n v="9"/>
    <n v="3"/>
    <n v="0"/>
    <s v=" Shortly after takeoff from  La Pedrera Airport, while in an initial climb, the seaplane stalled and crashed into the Rio CaquetÃ¡."/>
    <n v="1"/>
    <n v="0.92307692307692313"/>
    <x v="1"/>
  </r>
  <r>
    <n v="2240"/>
    <x v="2040"/>
    <x v="55"/>
    <x v="0"/>
    <s v="Unknown"/>
    <s v="Moscow, Russia"/>
    <s v="Aeroflot"/>
    <s v="Unknown"/>
    <s v="Moscow - Brazzaville"/>
    <x v="1026"/>
    <s v="CCCP-76457"/>
    <n v="88411"/>
    <n v="21"/>
    <n v="13"/>
    <n v="8"/>
    <n v="21"/>
    <n v="13"/>
    <n v="8"/>
    <n v="0"/>
    <s v="Crashed into a snowbank on the takeoff roll in poor visibility."/>
    <n v="0"/>
    <n v="1"/>
    <x v="1"/>
  </r>
  <r>
    <n v="2241"/>
    <x v="2041"/>
    <x v="55"/>
    <x v="0"/>
    <d v="1899-12-30T02:55:00"/>
    <s v="Bogota, Colombia"/>
    <s v="Aerocondor de Colombia"/>
    <s v="Unknown"/>
    <s v="Miami - Bogota"/>
    <x v="1027"/>
    <s v="N7301C"/>
    <n v="1002"/>
    <n v="59"/>
    <n v="52"/>
    <n v="7"/>
    <n v="17"/>
    <n v="13"/>
    <n v="4"/>
    <n v="0"/>
    <s v="Crash landed short of the runway on approach in fog. Pilot error. Presence of unauthorized person in the cockpit distracting the pilot. Lack of cockpit supervision. Poor weather."/>
    <n v="42"/>
    <n v="0.28813559322033899"/>
    <x v="2"/>
  </r>
  <r>
    <n v="2242"/>
    <x v="2042"/>
    <x v="55"/>
    <x v="0"/>
    <d v="1899-12-30T09:56:00"/>
    <s v="Cascubel River, Colombia"/>
    <s v="AVIANCA"/>
    <n v="729"/>
    <s v="Bogota - Cali"/>
    <x v="1028"/>
    <s v="HK-161"/>
    <n v="19630"/>
    <n v="29"/>
    <n v="26"/>
    <n v="3"/>
    <n v="29"/>
    <n v="26"/>
    <n v="3"/>
    <n v="0"/>
    <s v="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
    <n v="0"/>
    <n v="1"/>
    <x v="1"/>
  </r>
  <r>
    <n v="2243"/>
    <x v="2042"/>
    <x v="55"/>
    <x v="0"/>
    <d v="1899-12-30T19:15:00"/>
    <s v="Binh Tahi, Da Nang, Vietnam"/>
    <s v="Flying Tiger Line"/>
    <s v="Unknown"/>
    <s v="Unknown"/>
    <x v="1029"/>
    <s v="N228SW"/>
    <n v="31"/>
    <n v="4"/>
    <n v="0"/>
    <n v="4"/>
    <n v="4"/>
    <n v="0"/>
    <n v="4"/>
    <n v="125"/>
    <s v="The cargo plane undershot runway by 1 mile while making a radar approach in fog at night. Crashed into numerous thatched roof houses."/>
    <n v="0"/>
    <n v="1"/>
    <x v="1"/>
  </r>
  <r>
    <n v="2244"/>
    <x v="2043"/>
    <x v="56"/>
    <x v="0"/>
    <s v="Unknown"/>
    <s v="Aleppo, Syria"/>
    <s v="Syrian Arab Airlines"/>
    <s v="Unknown"/>
    <s v="Damascus - Aleppo"/>
    <x v="277"/>
    <s v="YK-ACB"/>
    <n v="33559"/>
    <n v="19"/>
    <s v="NULL"/>
    <s v="NULL"/>
    <n v="1"/>
    <s v="NULL"/>
    <s v="NULL"/>
    <n v="0"/>
    <s v="Crashed into building while landing in marginal weather and limited visibility."/>
    <n v="18"/>
    <n v="5.2631578947368418E-2"/>
    <x v="2"/>
  </r>
  <r>
    <n v="2245"/>
    <x v="2044"/>
    <x v="56"/>
    <x v="0"/>
    <s v="Unknown"/>
    <s v="Near Hourghada, UAR"/>
    <s v="Misrair"/>
    <s v="Unknown"/>
    <s v="Unknown"/>
    <x v="968"/>
    <s v="Unknown"/>
    <s v="Unknown"/>
    <n v="30"/>
    <s v="NULL"/>
    <s v="NULL"/>
    <n v="30"/>
    <s v="NULL"/>
    <s v="NULL"/>
    <n v="0"/>
    <s v="Crashed after an explosion aboard the aircraft."/>
    <n v="0"/>
    <n v="1"/>
    <x v="1"/>
  </r>
  <r>
    <n v="2246"/>
    <x v="2045"/>
    <x v="56"/>
    <x v="0"/>
    <d v="1899-12-30T05:15:00"/>
    <s v="Near Mexico City, Mexico"/>
    <s v="Cubana de Aviacion"/>
    <s v="Unknown"/>
    <s v="Havana - Mexico City"/>
    <x v="942"/>
    <s v="CU-T827"/>
    <n v="401504"/>
    <n v="10"/>
    <n v="6"/>
    <n v="4"/>
    <n v="10"/>
    <n v="6"/>
    <n v="4"/>
    <n v="0"/>
    <s v="Crashed due to 18 km from the runway. Pilot error,"/>
    <n v="0"/>
    <n v="1"/>
    <x v="1"/>
  </r>
  <r>
    <n v="2247"/>
    <x v="2046"/>
    <x v="56"/>
    <x v="0"/>
    <d v="1899-12-30T13:21:00"/>
    <s v="Manado, Indonesia"/>
    <s v="Garuda Indonesia Airlines"/>
    <n v="708"/>
    <s v="Jakarta - Menado via Surabaya"/>
    <x v="880"/>
    <s v="PK-GLB"/>
    <n v="2021"/>
    <n v="63"/>
    <n v="55"/>
    <n v="8"/>
    <n v="22"/>
    <n v="22"/>
    <n v="0"/>
    <n v="0"/>
    <s v="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
    <n v="41"/>
    <n v="0.34920634920634919"/>
    <x v="2"/>
  </r>
  <r>
    <n v="2248"/>
    <x v="2047"/>
    <x v="56"/>
    <x v="0"/>
    <d v="1899-12-30T08:45:00"/>
    <s v="Tegucigalpa, Honduras"/>
    <s v="Sahsa Airlines"/>
    <s v="Unknown"/>
    <s v="San Pedro Sula - Tegucigalpa"/>
    <x v="528"/>
    <s v="HR-SAG"/>
    <s v="42894/56"/>
    <n v="55"/>
    <n v="50"/>
    <n v="5"/>
    <n v="4"/>
    <n v="4"/>
    <n v="0"/>
    <n v="0"/>
    <s v="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
    <n v="51"/>
    <n v="7.2727272727272724E-2"/>
    <x v="2"/>
  </r>
  <r>
    <n v="2249"/>
    <x v="2048"/>
    <x v="56"/>
    <x v="0"/>
    <d v="1899-12-30T19:18:00"/>
    <s v="Mactan, Philippines"/>
    <s v="Philippine Air Lines"/>
    <n v="345"/>
    <s v="Manila - Mactan"/>
    <x v="848"/>
    <s v="PI-C501"/>
    <n v="10147"/>
    <n v="20"/>
    <n v="16"/>
    <n v="4"/>
    <n v="12"/>
    <n v="8"/>
    <n v="4"/>
    <n v="0"/>
    <s v="Crashed after undershooting the runway. Loss of control at low altitude. Improper loading which placed the center of gravity in back of the center of gravity limits of the plane."/>
    <n v="8"/>
    <n v="0.6"/>
    <x v="0"/>
  </r>
  <r>
    <n v="2250"/>
    <x v="2049"/>
    <x v="56"/>
    <x v="0"/>
    <d v="1899-12-30T20:07:00"/>
    <s v="Near Marseille, Ohio"/>
    <s v="Lake Central Airlines"/>
    <n v="527"/>
    <s v="Colombus - Toledo"/>
    <x v="1030"/>
    <s v="N73130"/>
    <n v="23"/>
    <n v="38"/>
    <n v="35"/>
    <n v="3"/>
    <n v="38"/>
    <n v="35"/>
    <n v="3"/>
    <n v="0"/>
    <s v="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
    <n v="0"/>
    <n v="1"/>
    <x v="1"/>
  </r>
  <r>
    <n v="2251"/>
    <x v="2049"/>
    <x v="56"/>
    <x v="0"/>
    <d v="1899-12-30T02:56:00"/>
    <s v="Monrovia, Liberia"/>
    <s v="Varig"/>
    <n v="837"/>
    <s v="Rome - Monrovia"/>
    <x v="906"/>
    <s v="PP-PEA"/>
    <s v="45253/5"/>
    <n v="90"/>
    <n v="71"/>
    <n v="19"/>
    <n v="51"/>
    <n v="50"/>
    <n v="1"/>
    <n v="5"/>
    <s v="Crashed on short of  the runway during approach. Crew error. The failure of the pilot to arrest the fast descent at a low altitude upon which he had erroneously decided after coming in too high."/>
    <n v="39"/>
    <n v="0.56666666666666665"/>
    <x v="0"/>
  </r>
  <r>
    <n v="2252"/>
    <x v="2050"/>
    <x v="56"/>
    <x v="0"/>
    <s v="Unknown"/>
    <s v="Karachi, Pakistan"/>
    <s v="Compagnie Air Transport"/>
    <s v="Unknown"/>
    <s v="Karachi - Tokyo"/>
    <x v="1031"/>
    <s v="F-BMHU"/>
    <n v="4"/>
    <n v="6"/>
    <n v="0"/>
    <n v="6"/>
    <n v="4"/>
    <n v="0"/>
    <n v="4"/>
    <n v="7"/>
    <s v="Failed to climb on takeoff and crashed into a bridge and some houses. Failure of the right engine."/>
    <n v="2"/>
    <n v="0.66666666666666663"/>
    <x v="1"/>
  </r>
  <r>
    <n v="2253"/>
    <x v="2051"/>
    <x v="56"/>
    <x v="0"/>
    <d v="1899-12-30T11:54:00"/>
    <s v="Urbana, Ohio"/>
    <s v="Trans World Airlines / Private"/>
    <n v="553"/>
    <s v="Pittsburgh - Dayton"/>
    <x v="1032"/>
    <s v="N1063T/N6127V"/>
    <s v="45777/80 / N6127V"/>
    <n v="26"/>
    <n v="21"/>
    <n v="5"/>
    <n v="26"/>
    <n v="21"/>
    <n v="5"/>
    <n v="0"/>
    <s v="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
    <n v="0"/>
    <n v="1"/>
    <x v="1"/>
  </r>
  <r>
    <n v="2254"/>
    <x v="2052"/>
    <x v="56"/>
    <x v="0"/>
    <d v="1899-12-30T16:20:00"/>
    <s v="Near Phan Rang, South Vietnam"/>
    <s v="Military - U.S. Navy"/>
    <s v="Unknown"/>
    <s v="Siagon - Cam Ranh Bay AB"/>
    <x v="1033"/>
    <n v="99844"/>
    <n v="33262"/>
    <n v="25"/>
    <n v="21"/>
    <n v="4"/>
    <n v="25"/>
    <n v="21"/>
    <n v="4"/>
    <n v="0"/>
    <s v="Crashed and exploded  while en route."/>
    <n v="0"/>
    <n v="1"/>
    <x v="1"/>
  </r>
  <r>
    <n v="2255"/>
    <x v="2052"/>
    <x v="56"/>
    <x v="0"/>
    <d v="1899-12-30T05:03:00"/>
    <s v="Near Klamath Falls, Oregon"/>
    <s v="West Coast Airlines"/>
    <n v="720"/>
    <s v="Klamath Falls - Medford - North Bend - Portland - Seattle"/>
    <x v="896"/>
    <s v="N2712"/>
    <n v="73"/>
    <n v="4"/>
    <n v="1"/>
    <n v="3"/>
    <n v="4"/>
    <n v="1"/>
    <n v="3"/>
    <n v="0"/>
    <s v="The aircraft struck the northwestern slope of Stukel Mountain just after takeoff. Loss of control due to ice accretion on airframe surfaces. The pilot should have required that de-icing fluid be applied prior to takeoff."/>
    <n v="0"/>
    <n v="1"/>
    <x v="1"/>
  </r>
  <r>
    <n v="2256"/>
    <x v="2053"/>
    <x v="56"/>
    <x v="0"/>
    <d v="1899-12-30T16:00:00"/>
    <s v="Mt Visenti, Italy"/>
    <s v="Aeralpi"/>
    <s v="Unknown"/>
    <s v="Venezia - Belluno"/>
    <x v="1034"/>
    <s v="I-CLAI"/>
    <n v="30"/>
    <n v="5"/>
    <n v="3"/>
    <n v="2"/>
    <n v="4"/>
    <n v="2"/>
    <n v="2"/>
    <n v="0"/>
    <s v="Flew into Colcanin Mountain in heavy fog while en route."/>
    <n v="1"/>
    <n v="0.8"/>
    <x v="1"/>
  </r>
  <r>
    <n v="2257"/>
    <x v="2054"/>
    <x v="56"/>
    <x v="0"/>
    <d v="1899-12-30T14:28:00"/>
    <s v="Near Yakutsk, Russia"/>
    <s v="Aeroflot"/>
    <n v="1799"/>
    <s v="_x0009_Olyokminsk - Yakutsk"/>
    <x v="770"/>
    <s v="CCCP-61657"/>
    <n v="6341801"/>
    <n v="19"/>
    <n v="15"/>
    <n v="4"/>
    <n v="15"/>
    <n v="11"/>
    <n v="4"/>
    <n v="0"/>
    <s v="The aircraft collided with trees and caught fire  50 miles from Yakutsk after the right engine caught fire."/>
    <n v="4"/>
    <n v="0.78947368421052633"/>
    <x v="1"/>
  </r>
  <r>
    <n v="2258"/>
    <x v="2055"/>
    <x v="56"/>
    <x v="0"/>
    <d v="1899-12-30T17:10:00"/>
    <s v="Off East London, South Africa"/>
    <s v="South African Airways"/>
    <n v="406"/>
    <s v="Port Elizabeth - East London"/>
    <x v="1035"/>
    <s v="ZS-CVA"/>
    <n v="317"/>
    <n v="25"/>
    <n v="20"/>
    <n v="5"/>
    <n v="25"/>
    <n v="20"/>
    <n v="5"/>
    <n v="0"/>
    <s v="Crashed into the sea. Most probably the captain suffered a heart attack and the first officer could not regain control of aircraft."/>
    <n v="0"/>
    <n v="1"/>
    <x v="1"/>
  </r>
  <r>
    <n v="2259"/>
    <x v="2056"/>
    <x v="56"/>
    <x v="0"/>
    <d v="1899-12-30T00:50:00"/>
    <s v="New Orleans, Louisiana"/>
    <s v="Delta Air Lines"/>
    <n v="9877"/>
    <s v="New Orleans AP - New Orleans AP"/>
    <x v="1036"/>
    <s v="N802E"/>
    <s v="45409/19"/>
    <n v="6"/>
    <n v="0"/>
    <n v="6"/>
    <n v="6"/>
    <n v="0"/>
    <n v="6"/>
    <n v="13"/>
    <s v="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
    <n v="0"/>
    <n v="1"/>
    <x v="1"/>
  </r>
  <r>
    <n v="2260"/>
    <x v="2057"/>
    <x v="56"/>
    <x v="0"/>
    <s v="Unknown"/>
    <s v="Off Lima, Peru"/>
    <s v="Caribbean Airlines"/>
    <s v="Unknown"/>
    <s v="Miami - Lima - AsunciÃ³n"/>
    <x v="345"/>
    <s v="N706G"/>
    <n v="2625"/>
    <n v="5"/>
    <n v="2"/>
    <n v="3"/>
    <n v="5"/>
    <n v="2"/>
    <n v="3"/>
    <n v="0"/>
    <s v="Ditched in the ocean 2 km  off shore."/>
    <n v="0"/>
    <n v="1"/>
    <x v="1"/>
  </r>
  <r>
    <n v="2261"/>
    <x v="2058"/>
    <x v="56"/>
    <x v="0"/>
    <d v="1899-12-30T20:14:00"/>
    <s v="Tamanrasset, Algeria"/>
    <s v="Air Algerie"/>
    <s v="Unknown"/>
    <s v="Algiers - Tamanrasset"/>
    <x v="487"/>
    <s v="7T-VAU"/>
    <n v="3065"/>
    <n v="39"/>
    <n v="33"/>
    <n v="6"/>
    <n v="35"/>
    <n v="29"/>
    <n v="6"/>
    <n v="0"/>
    <s v="Crashed into a mountainside while descending to land at Tamanrasset. Cause unknown."/>
    <n v="4"/>
    <n v="0.89743589743589747"/>
    <x v="1"/>
  </r>
  <r>
    <n v="2262"/>
    <x v="2059"/>
    <x v="56"/>
    <x v="0"/>
    <d v="1899-12-30T17:40:00"/>
    <s v="Near Mamuniyeh, Iran"/>
    <s v="Military - Imperial Iranian Air Force"/>
    <s v="Unknown"/>
    <s v="Shiraz - TerhanI"/>
    <x v="1037"/>
    <s v="5-107"/>
    <n v="4118"/>
    <n v="23"/>
    <n v="14"/>
    <n v="9"/>
    <n v="23"/>
    <n v="14"/>
    <n v="9"/>
    <n v="0"/>
    <s v="Crashed after flying through thunderstorm activity and being struck by lightning."/>
    <n v="0"/>
    <n v="1"/>
    <x v="1"/>
  </r>
  <r>
    <n v="2263"/>
    <x v="2060"/>
    <x v="56"/>
    <x v="0"/>
    <d v="1899-12-30T01:13:00"/>
    <s v="Near Nicosia, Cyprus"/>
    <s v="Globe Air"/>
    <s v="Unknown"/>
    <s v="Bombay - Cairo"/>
    <x v="777"/>
    <s v="HB-ITB"/>
    <n v="13232"/>
    <n v="130"/>
    <n v="120"/>
    <n v="10"/>
    <n v="126"/>
    <n v="117"/>
    <n v="9"/>
    <n v="0"/>
    <s v="The flight crashed while making a second landing attempt. Misjudgement by the pilot during approach. Both pilots exceeded their duty time by 3 hours at the time of the crash. The first officer had less than 50 hours flying time in a Britannia."/>
    <n v="4"/>
    <n v="0.96923076923076923"/>
    <x v="1"/>
  </r>
  <r>
    <n v="2264"/>
    <x v="2061"/>
    <x v="56"/>
    <x v="0"/>
    <s v="Unknown"/>
    <s v="Near Sogamosa, Colombia"/>
    <s v="AVIANCA"/>
    <s v="Unknown"/>
    <s v=" Sogamoso - Trinidad"/>
    <x v="277"/>
    <s v="HK-326"/>
    <n v="4631"/>
    <n v="18"/>
    <n v="16"/>
    <n v="2"/>
    <n v="17"/>
    <n v="15"/>
    <n v="2"/>
    <n v="0"/>
    <s v="Stalled and crashed shortly after taking off."/>
    <n v="1"/>
    <n v="0.94444444444444442"/>
    <x v="1"/>
  </r>
  <r>
    <n v="2265"/>
    <x v="2062"/>
    <x v="56"/>
    <x v="0"/>
    <d v="1899-12-30T17:10:00"/>
    <s v="Malaybalay, Philippines"/>
    <s v="Pelita Air Service"/>
    <s v="Unknown"/>
    <s v="Demonstration"/>
    <x v="1038"/>
    <s v="PK-PFB"/>
    <n v="10306"/>
    <n v="21"/>
    <n v="18"/>
    <n v="3"/>
    <n v="19"/>
    <n v="16"/>
    <n v="3"/>
    <n v="0"/>
    <s v="The plane crashed at the west end of of the runway on takeoff while on a demonstration flight. Overloaded."/>
    <n v="2"/>
    <n v="0.90476190476190477"/>
    <x v="1"/>
  </r>
  <r>
    <n v="2266"/>
    <x v="2063"/>
    <x v="56"/>
    <x v="0"/>
    <d v="1899-12-30T16:20:00"/>
    <s v="Flushing, New York"/>
    <s v="Greylock Airways / Private"/>
    <s v="Unknown"/>
    <s v="Unknown"/>
    <x v="1039"/>
    <s v="N80013 / N5836W"/>
    <s v="Unknown"/>
    <n v="14"/>
    <n v="11"/>
    <n v="3"/>
    <n v="3"/>
    <n v="1"/>
    <n v="2"/>
    <n v="0"/>
    <s v="The de Havilland and Piper collided while attempting to land at La Guardia Airport. The Piper did not reply to instructions from the tower and landed without clearance. Congested traffic pattern. Inadequate spacing of traffic were contributing factors. All three killed on the Piper."/>
    <n v="11"/>
    <n v="0.21428571428571427"/>
    <x v="2"/>
  </r>
  <r>
    <n v="2267"/>
    <x v="2064"/>
    <x v="56"/>
    <x v="0"/>
    <s v="Unknown"/>
    <s v="Cape Dyer, Northwest Territories Canada"/>
    <s v="Nordair"/>
    <s v="Unknown"/>
    <s v="Unknown"/>
    <x v="1040"/>
    <s v="CF-NAD"/>
    <n v="30200"/>
    <n v="4"/>
    <n v="2"/>
    <n v="2"/>
    <n v="4"/>
    <n v="2"/>
    <n v="2"/>
    <n v="0"/>
    <s v="Crashed short of the runway in whiteout conditions. Improper  procedures by crew in whiteout weather conditions."/>
    <n v="0"/>
    <n v="1"/>
    <x v="1"/>
  </r>
  <r>
    <n v="2268"/>
    <x v="2065"/>
    <x v="56"/>
    <x v="0"/>
    <d v="1899-12-30T18:37:00"/>
    <s v="Ottawa, Ontario, Canada"/>
    <s v="Air Canada"/>
    <s v="Unknown"/>
    <s v="Training -Montreal - Ottawa"/>
    <x v="1041"/>
    <s v="CF-TJM"/>
    <s v="45653/178"/>
    <n v="3"/>
    <n v="0"/>
    <n v="3"/>
    <n v="3"/>
    <n v="0"/>
    <n v="3"/>
    <n v="0"/>
    <s v="The plane rolled to the right and crashed inverted. Failure to abandon a training maneuver under conditions which precluded the availability of adequate flight control."/>
    <n v="0"/>
    <n v="1"/>
    <x v="1"/>
  </r>
  <r>
    <n v="2269"/>
    <x v="2066"/>
    <x v="56"/>
    <x v="0"/>
    <d v="1899-12-30T23:06:00"/>
    <s v="Mt. Canigou, near Roussillon, France"/>
    <s v="Air Ferry Ltd"/>
    <s v="Unknown"/>
    <s v="Manston - Perpignan"/>
    <x v="724"/>
    <s v="G-APYK"/>
    <n v="10279"/>
    <n v="88"/>
    <n v="83"/>
    <n v="5"/>
    <n v="88"/>
    <n v="83"/>
    <n v="5"/>
    <n v="0"/>
    <s v="Crashed into a mountain while attempting to land. Series of errors by the crew due to intoxication by carbon monoxide fumes. Difficulty in communication between the ATC and crew due to lack of phraseology."/>
    <n v="0"/>
    <n v="1"/>
    <x v="1"/>
  </r>
  <r>
    <n v="2270"/>
    <x v="2067"/>
    <x v="56"/>
    <x v="0"/>
    <d v="1899-12-30T10:09:00"/>
    <s v="Stockport, Cheshire, England"/>
    <s v="British Midland Airways"/>
    <s v="Unknown"/>
    <s v="Palma de Mallorca - Manchester"/>
    <x v="723"/>
    <s v="G-ALHG"/>
    <n v="153"/>
    <n v="84"/>
    <n v="79"/>
    <n v="5"/>
    <n v="72"/>
    <n v="69"/>
    <n v="3"/>
    <n v="0"/>
    <s v="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
    <n v="12"/>
    <n v="0.8571428571428571"/>
    <x v="1"/>
  </r>
  <r>
    <n v="2271"/>
    <x v="2068"/>
    <x v="56"/>
    <x v="0"/>
    <s v="Unknown"/>
    <s v="Jedda, Saudi Arabia"/>
    <s v="Saudi Arabian Airlines"/>
    <s v="Unknown"/>
    <s v="Madinah - Jeddah"/>
    <x v="277"/>
    <s v="HZ-AAJ"/>
    <s v="15235/26680"/>
    <n v="18"/>
    <n v="15"/>
    <n v="3"/>
    <n v="17"/>
    <n v="14"/>
    <n v="3"/>
    <n v="0"/>
    <s v="Crashed on final approach."/>
    <n v="1"/>
    <n v="0.94444444444444442"/>
    <x v="1"/>
  </r>
  <r>
    <n v="2272"/>
    <x v="2069"/>
    <x v="56"/>
    <x v="0"/>
    <s v="Unknown"/>
    <s v="Near La Paz, Mexico"/>
    <s v="Aeronaves de Mexico"/>
    <s v="Unknown"/>
    <s v="La Paz - Mazatlan"/>
    <x v="1042"/>
    <s v="XA-FUW"/>
    <n v="3260"/>
    <n v="4"/>
    <n v="0"/>
    <n v="4"/>
    <n v="3"/>
    <n v="0"/>
    <n v="3"/>
    <n v="2"/>
    <s v="Crashed into a residential neighborhood while attempting to return to the airport following an engine failure."/>
    <n v="1"/>
    <n v="0.75"/>
    <x v="1"/>
  </r>
  <r>
    <n v="2273"/>
    <x v="2069"/>
    <x v="56"/>
    <x v="0"/>
    <d v="1899-12-30T17:58:00"/>
    <s v="Dublin, Ireland"/>
    <s v="Aer Turas"/>
    <s v="Unknown"/>
    <s v="Glasgow - Dublin"/>
    <x v="1043"/>
    <s v="EI-APM"/>
    <n v="13076"/>
    <n v="2"/>
    <n v="0"/>
    <n v="2"/>
    <n v="2"/>
    <n v="0"/>
    <n v="2"/>
    <n v="0"/>
    <s v="The pilot attempted an overshoot maneuver, following the stoppage of the port engine, at too low a speed (below the minimum control speed) resulting in an uncontrollable turn towards the Airport buildings."/>
    <n v="0"/>
    <n v="1"/>
    <x v="1"/>
  </r>
  <r>
    <n v="2274"/>
    <x v="2070"/>
    <x v="56"/>
    <x v="0"/>
    <d v="1899-12-30T05:00:00"/>
    <s v="Near Coari, Brazil"/>
    <s v="Military - Brazilian Air Force"/>
    <s v="Unknown"/>
    <s v="Belem - Cachimbo"/>
    <x v="368"/>
    <s v="C-47-268"/>
    <s v="Unknown"/>
    <n v="25"/>
    <n v="20"/>
    <n v="5"/>
    <n v="20"/>
    <n v="16"/>
    <n v="4"/>
    <n v="0"/>
    <s v="The pilot became lost and ran out of fuel crashing into a swamp. Wreckage was found in the jungle 10 days later."/>
    <n v="5"/>
    <n v="0.8"/>
    <x v="1"/>
  </r>
  <r>
    <n v="2275"/>
    <x v="2071"/>
    <x v="56"/>
    <x v="0"/>
    <d v="1899-12-30T19:30:00"/>
    <s v="An Khe, South Vietnam"/>
    <s v="Military - U.S. Air Force"/>
    <s v="Unknown"/>
    <s v="An Khe - Tan Son Nhut"/>
    <x v="1037"/>
    <s v="60-0293"/>
    <n v="3591"/>
    <n v="56"/>
    <n v="49"/>
    <n v="7"/>
    <n v="35"/>
    <n v="35"/>
    <n v="0"/>
    <n v="0"/>
    <s v="The plane crashed after an aborted takeoff caused the plane to break apart and catch fire."/>
    <n v="21"/>
    <n v="0.625"/>
    <x v="0"/>
  </r>
  <r>
    <n v="2276"/>
    <x v="2072"/>
    <x v="56"/>
    <x v="0"/>
    <d v="1899-12-30T13:47:00"/>
    <s v="Blossburg, Pennsylvania"/>
    <s v="Mohawk Airlines"/>
    <n v="40"/>
    <s v="Elmira - Washington DC"/>
    <x v="1044"/>
    <s v="N1116J"/>
    <n v="98"/>
    <n v="34"/>
    <n v="30"/>
    <n v="4"/>
    <n v="34"/>
    <n v="30"/>
    <n v="4"/>
    <n v="0"/>
    <s v="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
    <n v="0"/>
    <n v="1"/>
    <x v="1"/>
  </r>
  <r>
    <n v="2277"/>
    <x v="2072"/>
    <x v="56"/>
    <x v="0"/>
    <d v="1899-12-30T09:00:00"/>
    <s v="Near Jacksonville, North Carolina"/>
    <s v="Military - U.S. Marine Corps/Military - U.S. Marine Corps"/>
    <s v="Unknown"/>
    <s v="Unknown"/>
    <x v="1045"/>
    <s v="638572/153305"/>
    <s v="Unknown"/>
    <n v="35"/>
    <s v="NULL"/>
    <s v="NULL"/>
    <n v="22"/>
    <s v="NULL"/>
    <s v="NULL"/>
    <n v="0"/>
    <s v="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
    <n v="13"/>
    <n v="0.62857142857142856"/>
    <x v="0"/>
  </r>
  <r>
    <n v="2278"/>
    <x v="2073"/>
    <x v="56"/>
    <x v="0"/>
    <s v="Unknown"/>
    <s v="Khamis Mushait, Saudi Arabia"/>
    <s v="Saudi Arabian Airlines"/>
    <s v="Unknown"/>
    <s v="Nejran - Jeddah"/>
    <x v="277"/>
    <s v="HZ-AAM"/>
    <s v="Unknown"/>
    <n v="17"/>
    <n v="14"/>
    <n v="3"/>
    <n v="16"/>
    <n v="13"/>
    <n v="3"/>
    <n v="0"/>
    <s v="Crashed while en route."/>
    <n v="1"/>
    <n v="0.94117647058823528"/>
    <x v="1"/>
  </r>
  <r>
    <n v="2279"/>
    <x v="2074"/>
    <x v="56"/>
    <x v="0"/>
    <d v="1899-12-30T16:10:00"/>
    <s v="Kai Tak, Hong Kong"/>
    <s v="Thai International"/>
    <n v="601"/>
    <s v="Seoul - Hong Kong"/>
    <x v="1046"/>
    <s v="HS-TGI"/>
    <s v="025/24"/>
    <n v="80"/>
    <n v="73"/>
    <n v="7"/>
    <n v="24"/>
    <n v="24"/>
    <n v="0"/>
    <n v="0"/>
    <s v="Ditched into the sea while on approach during a typhoon. Crew did not follow proper approach procedures.  The captain did not monitor the approach properly and the co-pilot mishandled the aircraft after descending below minimum altitude."/>
    <n v="56"/>
    <n v="0.3"/>
    <x v="2"/>
  </r>
  <r>
    <n v="2280"/>
    <x v="2075"/>
    <x v="56"/>
    <x v="0"/>
    <d v="1899-12-30T18:43:00"/>
    <s v="Bacolod, Philippines"/>
    <s v="Philippine Air Lines"/>
    <n v="385"/>
    <s v="Bacolod - Mactan"/>
    <x v="848"/>
    <s v="PI-C527"/>
    <n v="10285"/>
    <n v="21"/>
    <n v="17"/>
    <n v="4"/>
    <n v="21"/>
    <n v="17"/>
    <n v="4"/>
    <n v="0"/>
    <s v="Crashed into a mountain in poor weather. Pilot error. Decision to fly VFR over rugged terrain in IFR conditions."/>
    <n v="0"/>
    <n v="1"/>
    <x v="1"/>
  </r>
  <r>
    <n v="2281"/>
    <x v="2076"/>
    <x v="56"/>
    <x v="0"/>
    <d v="1899-12-30T11:01:00"/>
    <s v="Near Hendersonville, North Carolina"/>
    <s v="Piedmont Airlines / Private"/>
    <n v="22"/>
    <s v="Ashville - Roanoke"/>
    <x v="1047"/>
    <s v="N68650/N3121S"/>
    <s v="18295/4 / ?"/>
    <n v="82"/>
    <n v="77"/>
    <n v="5"/>
    <n v="82"/>
    <n v="77"/>
    <n v="5"/>
    <n v="0"/>
    <s v="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
    <n v="0"/>
    <n v="1"/>
    <x v="1"/>
  </r>
  <r>
    <n v="2282"/>
    <x v="2076"/>
    <x v="56"/>
    <x v="0"/>
    <d v="1899-12-30T12:01:00"/>
    <s v="Tananarive, Malagasy Republic"/>
    <s v="Air Madagascar"/>
    <s v="Unknown"/>
    <s v="Atlanta - Asheville - Roanoke - Washington DC"/>
    <x v="479"/>
    <s v="5R-MAD"/>
    <n v="42991"/>
    <n v="42"/>
    <n v="39"/>
    <n v="3"/>
    <n v="42"/>
    <n v="39"/>
    <n v="3"/>
    <n v="0"/>
    <s v="Crashed 2,500 feet beyond the runway while taking off from Ivato airport in fog. Lost power to both left engines and struck high ground while trying to return for an emergency landing in poor visibility."/>
    <n v="0"/>
    <n v="1"/>
    <x v="1"/>
  </r>
  <r>
    <n v="2283"/>
    <x v="2077"/>
    <x v="56"/>
    <x v="0"/>
    <d v="1899-12-30T10:30:00"/>
    <s v="Near Luang Prabang, Laos"/>
    <s v="Vehu Akat"/>
    <s v="Unknown"/>
    <s v="Vientiane - Luang Prabang"/>
    <x v="277"/>
    <s v="XW-PDL"/>
    <s v="Unknown"/>
    <n v="16"/>
    <n v="13"/>
    <n v="3"/>
    <n v="16"/>
    <n v="13"/>
    <n v="3"/>
    <n v="0"/>
    <s v="Struck a mountain in the Phou Pha Bon range while in a holding pattern. Encountered strong turbulence and downdrafts."/>
    <n v="0"/>
    <n v="1"/>
    <x v="1"/>
  </r>
  <r>
    <n v="2284"/>
    <x v="2077"/>
    <x v="56"/>
    <x v="0"/>
    <s v="Unknown"/>
    <s v="Near Luang Prabang, Laos"/>
    <s v="Taiwan Aviation"/>
    <s v="Unknown"/>
    <s v="Vientiane - Luang Prabang"/>
    <x v="277"/>
    <s v="B-112"/>
    <s v="Unknown"/>
    <n v="18"/>
    <n v="15"/>
    <n v="3"/>
    <n v="18"/>
    <n v="15"/>
    <n v="3"/>
    <n v="0"/>
    <s v="Crashed en route."/>
    <n v="0"/>
    <n v="1"/>
    <x v="1"/>
  </r>
  <r>
    <n v="2285"/>
    <x v="2078"/>
    <x v="56"/>
    <x v="0"/>
    <d v="1899-12-30T02:40:00"/>
    <s v="Near Gander, Newfoundland, Canada"/>
    <s v="Ceskoslovenske Aerolinie"/>
    <n v="523"/>
    <s v="Gander - Havana"/>
    <x v="837"/>
    <s v="OK-WAI"/>
    <n v="187009705"/>
    <n v="69"/>
    <n v="61"/>
    <n v="8"/>
    <n v="37"/>
    <n v="33"/>
    <n v="4"/>
    <n v="0"/>
    <s v="Unable to maintain altitude after taking off, the aircraft crashed 4,000 feet past the runway and burned. Cause unknown."/>
    <n v="32"/>
    <n v="0.53623188405797106"/>
    <x v="0"/>
  </r>
  <r>
    <n v="2286"/>
    <x v="2079"/>
    <x v="56"/>
    <x v="0"/>
    <d v="1899-12-30T09:40:00"/>
    <s v="Near Huong Thuy, South Vietnam"/>
    <s v="Military - U.S. Air Force"/>
    <s v="Unknown"/>
    <s v="Hue - Da Nang"/>
    <x v="1048"/>
    <s v="61-2649"/>
    <n v="3692"/>
    <n v="23"/>
    <n v="18"/>
    <n v="5"/>
    <n v="23"/>
    <n v="18"/>
    <n v="5"/>
    <n v="0"/>
    <s v="The aircraft struck a mountain at 1,700 ft., exploded and disintegrated 10 minutes after taking off from Da Nang."/>
    <n v="0"/>
    <n v="1"/>
    <x v="1"/>
  </r>
  <r>
    <n v="2287"/>
    <x v="2080"/>
    <x v="56"/>
    <x v="0"/>
    <d v="1899-12-30T07:25:00"/>
    <s v="Off Rhodes, Greece"/>
    <s v="British European Airways"/>
    <n v="284"/>
    <s v="Athens - Nicosia"/>
    <x v="893"/>
    <s v="G-ARCO"/>
    <n v="6449"/>
    <n v="66"/>
    <n v="59"/>
    <n v="7"/>
    <n v="66"/>
    <n v="59"/>
    <n v="7"/>
    <n v="0"/>
    <s v="While flying at FL 290 the aircraft was destroyed by a detonation of a high explosive device within the cabin under seat 4A or 5A which severly damaged the aircraft causing it to go out of control and structurally break up at FL150."/>
    <n v="0"/>
    <n v="1"/>
    <x v="1"/>
  </r>
  <r>
    <n v="2288"/>
    <x v="2081"/>
    <x v="56"/>
    <x v="0"/>
    <s v="Unknown"/>
    <s v="South Vietnam"/>
    <s v="China Airlines (Taiwan)"/>
    <s v="Unknown"/>
    <s v="Phan Rang - Pleiku"/>
    <x v="277"/>
    <s v="B-1541"/>
    <s v="Unknown"/>
    <n v="16"/>
    <n v="13"/>
    <n v="3"/>
    <n v="16"/>
    <n v="13"/>
    <n v="3"/>
    <n v="0"/>
    <s v="Crashed en route."/>
    <n v="0"/>
    <n v="1"/>
    <x v="1"/>
  </r>
  <r>
    <n v="2289"/>
    <x v="2082"/>
    <x v="56"/>
    <x v="0"/>
    <d v="1899-12-30T11:30:00"/>
    <s v="Near Curitiba, Brazil"/>
    <s v="Sadia"/>
    <s v="Unknown"/>
    <s v="Sao Paulo - Curitiba"/>
    <x v="1049"/>
    <s v="PP-SDJ"/>
    <n v="190"/>
    <n v="25"/>
    <n v="20"/>
    <n v="5"/>
    <n v="21"/>
    <n v="16"/>
    <n v="5"/>
    <n v="0"/>
    <s v="Crashed into hill while on approach. Improper procedures used by crew."/>
    <n v="4"/>
    <n v="0.84"/>
    <x v="1"/>
  </r>
  <r>
    <n v="2290"/>
    <x v="2083"/>
    <x v="56"/>
    <x v="0"/>
    <d v="1899-12-30T22:02:00"/>
    <s v="Fernhurst, Sussex, England"/>
    <s v="Iberia Airlines"/>
    <n v="62"/>
    <s v="Malaga - London"/>
    <x v="1050"/>
    <s v="EC-BDD"/>
    <s v="202/204"/>
    <n v="37"/>
    <n v="30"/>
    <n v="7"/>
    <n v="37"/>
    <n v="30"/>
    <n v="7"/>
    <n v="0"/>
    <s v="The aircraft descended too low and flew into the southern slope of Black Down Hill.  Descended through its assigned altitude for reasons unknown. Actress June Thorburn, 36,  killed."/>
    <n v="0"/>
    <n v="1"/>
    <x v="1"/>
  </r>
  <r>
    <n v="2291"/>
    <x v="2084"/>
    <x v="56"/>
    <x v="0"/>
    <d v="1899-12-30T10:35:00"/>
    <s v="Hong Kong, China"/>
    <s v="Cathay Pacific Airways"/>
    <n v="33"/>
    <s v="Hong Kong - Saigon"/>
    <x v="1051"/>
    <s v="VR-HFX"/>
    <s v="22-00-37"/>
    <n v="127"/>
    <n v="116"/>
    <n v="11"/>
    <n v="1"/>
    <n v="1"/>
    <n v="0"/>
    <n v="0"/>
    <s v="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
    <n v="126"/>
    <n v="7.874015748031496E-3"/>
    <x v="2"/>
  </r>
  <r>
    <n v="2292"/>
    <x v="2085"/>
    <x v="56"/>
    <x v="0"/>
    <d v="1899-12-30T18:41:00"/>
    <s v="Cincinnati, Ohio"/>
    <s v="Trans World Airlines"/>
    <n v="159"/>
    <s v="Cincinnati - Los Angeles"/>
    <x v="1052"/>
    <s v="N742TW"/>
    <s v="17669/43"/>
    <n v="36"/>
    <n v="29"/>
    <n v="7"/>
    <n v="1"/>
    <n v="1"/>
    <n v="0"/>
    <n v="0"/>
    <s v="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
    <n v="35"/>
    <n v="2.7777777777777776E-2"/>
    <x v="2"/>
  </r>
  <r>
    <n v="2293"/>
    <x v="2086"/>
    <x v="56"/>
    <x v="0"/>
    <d v="1899-12-30T21:03:00"/>
    <s v="Near Sverdlovsk, Russia"/>
    <s v="Aeroflot"/>
    <n v="2230"/>
    <s v="Sverdlovsk  - Tashken"/>
    <x v="855"/>
    <s v="CCCP-75538"/>
    <n v="184007002"/>
    <n v="107"/>
    <n v="99"/>
    <n v="8"/>
    <n v="107"/>
    <n v="99"/>
    <n v="8"/>
    <n v="0"/>
    <s v="The plane climbed to 700 ft. and crashed into the ground. Malfunctioning artificial horizon and compass."/>
    <n v="0"/>
    <n v="1"/>
    <x v="1"/>
  </r>
  <r>
    <n v="2294"/>
    <x v="2087"/>
    <x v="56"/>
    <x v="0"/>
    <d v="1899-12-30T20:57:00"/>
    <s v="Cincinnati International Airport, Covington/Hebron, Kentucky"/>
    <s v="Trans World Airlines"/>
    <n v="128"/>
    <s v="Los Angeles - Cincinnati"/>
    <x v="1053"/>
    <s v="N821TW"/>
    <s v="22-00-27"/>
    <n v="82"/>
    <n v="75"/>
    <n v="7"/>
    <n v="70"/>
    <n v="65"/>
    <n v="5"/>
    <n v="0"/>
    <s v="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
    <n v="12"/>
    <n v="0.85365853658536583"/>
    <x v="1"/>
  </r>
  <r>
    <n v="2295"/>
    <x v="2088"/>
    <x v="56"/>
    <x v="0"/>
    <d v="1899-12-30T14:30:00"/>
    <s v="Near Qui Nhon, South Vietnam"/>
    <s v="Military - U.S. Air Force"/>
    <s v="Unknown"/>
    <s v="Pleiku  Qui Nhon"/>
    <x v="1054"/>
    <s v="62-4175"/>
    <s v="Unknown"/>
    <n v="26"/>
    <n v="22"/>
    <n v="4"/>
    <n v="26"/>
    <n v="22"/>
    <n v="4"/>
    <n v="0"/>
    <s v="The aircraft crashed and burned on a slope of a mountain in light rain and low visibility as it diverted to Nha.Trang from it scheduled landing at Qui Nhon."/>
    <n v="0"/>
    <n v="1"/>
    <x v="1"/>
  </r>
  <r>
    <n v="2296"/>
    <x v="2089"/>
    <x v="56"/>
    <x v="0"/>
    <s v="Unknown"/>
    <s v="Muong Soui, Laos"/>
    <s v="Lao Cathay Airlines"/>
    <s v="Unknown"/>
    <s v="Unknown"/>
    <x v="277"/>
    <s v="XW-PFM"/>
    <s v="Unknown"/>
    <n v="12"/>
    <n v="2"/>
    <n v="10"/>
    <n v="10"/>
    <n v="2"/>
    <n v="8"/>
    <n v="0"/>
    <s v="The cargo plane crashed inverted into a river."/>
    <n v="2"/>
    <n v="0.83333333333333337"/>
    <x v="1"/>
  </r>
  <r>
    <n v="2297"/>
    <x v="2090"/>
    <x v="56"/>
    <x v="0"/>
    <s v="Unknown"/>
    <s v="Carpich Huanuco Mt., Peru"/>
    <s v="Faucett"/>
    <s v="Unknown"/>
    <s v="Huanuco - Tingo Maria"/>
    <x v="1055"/>
    <s v="OB-R-148"/>
    <n v="10284"/>
    <n v="72"/>
    <n v="66"/>
    <n v="6"/>
    <n v="72"/>
    <n v="66"/>
    <n v="6"/>
    <n v="0"/>
    <s v="The plane flew into 10,500 ft. Carpish Mountain,30 miles from Tingo Maria."/>
    <n v="0"/>
    <n v="1"/>
    <x v="1"/>
  </r>
  <r>
    <n v="2298"/>
    <x v="2091"/>
    <x v="56"/>
    <x v="0"/>
    <d v="1899-12-30T15:25:00"/>
    <s v="Near Madison, Wisconsin"/>
    <s v="Private"/>
    <s v="-"/>
    <s v="Cleveland, OH - Madison WI"/>
    <x v="1056"/>
    <s v="N390R"/>
    <s v="BA-623"/>
    <n v="8"/>
    <n v="7"/>
    <n v="1"/>
    <n v="7"/>
    <n v="6"/>
    <n v="1"/>
    <n v="0"/>
    <s v="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
    <n v="1"/>
    <n v="0.875"/>
    <x v="1"/>
  </r>
  <r>
    <n v="2299"/>
    <x v="2092"/>
    <x v="56"/>
    <x v="0"/>
    <d v="1899-12-30T16:00:00"/>
    <s v="Denver, Colorado"/>
    <s v="Frontier Airlines"/>
    <s v="Unknown"/>
    <s v="Denver, CO - Scottsbluff, NE"/>
    <x v="402"/>
    <s v="N65276"/>
    <n v="19202"/>
    <n v="2"/>
    <n v="0"/>
    <n v="2"/>
    <n v="2"/>
    <n v="0"/>
    <n v="2"/>
    <n v="0"/>
    <s v="The cargo plane crashed on takeoff. The failure of the crew to perform a pre-takeoff control check resulting in takeoff with the elevators immobilized by a control batten."/>
    <n v="0"/>
    <n v="1"/>
    <x v="1"/>
  </r>
  <r>
    <n v="2300"/>
    <x v="2093"/>
    <x v="56"/>
    <x v="0"/>
    <d v="1899-12-30T13:49:00"/>
    <s v="Chiang Mai, Thailand"/>
    <s v="Thai Airways"/>
    <n v="2"/>
    <s v="Bangkok - Chiang Mai"/>
    <x v="277"/>
    <s v="HS-TDH"/>
    <n v="9189"/>
    <n v="31"/>
    <n v="28"/>
    <n v="3"/>
    <n v="4"/>
    <n v="2"/>
    <n v="2"/>
    <n v="0"/>
    <s v="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
    <n v="27"/>
    <n v="0.12903225806451613"/>
    <x v="2"/>
  </r>
  <r>
    <n v="2301"/>
    <x v="2094"/>
    <x v="56"/>
    <x v="0"/>
    <d v="1899-12-30T08:28:00"/>
    <s v="Liepaja, Latvia"/>
    <s v="Aeroflot"/>
    <s v="A-51"/>
    <s v="Riga - Liepaja"/>
    <x v="1009"/>
    <s v="CCCP-46215"/>
    <n v="67302909"/>
    <n v="51"/>
    <n v="46"/>
    <n v="5"/>
    <n v="44"/>
    <n v="41"/>
    <n v="3"/>
    <n v="0"/>
    <s v="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
    <n v="7"/>
    <n v="0.86274509803921573"/>
    <x v="1"/>
  </r>
  <r>
    <n v="2302"/>
    <x v="2095"/>
    <x v="57"/>
    <x v="0"/>
    <d v="1899-12-30T18:27:00"/>
    <s v="Near Olekminsk, Russia"/>
    <s v="Aeroflot"/>
    <n v="1668"/>
    <s v="_x0009_Olekminsk - _x0009_Lensk"/>
    <x v="1009"/>
    <s v="CCCP-47733"/>
    <s v="_x0009_ 69901001"/>
    <n v="46"/>
    <n v="39"/>
    <n v="6"/>
    <n v="45"/>
    <n v="39"/>
    <n v="6"/>
    <n v="0"/>
    <s v="Entered an uncontrolled descent and crashed 92 km from Olekminsk. The cause of the accident could not be determined."/>
    <n v="1"/>
    <n v="0.97826086956521741"/>
    <x v="1"/>
  </r>
  <r>
    <n v="2303"/>
    <x v="2096"/>
    <x v="57"/>
    <x v="0"/>
    <d v="1899-12-30T17:00:00"/>
    <s v="Near Quang Tri, South Vietnam"/>
    <s v="Military - U.S. Marine Corps"/>
    <s v="Unknown"/>
    <s v="Unknown"/>
    <x v="1057"/>
    <n v="153710"/>
    <s v="Unknown"/>
    <n v="42"/>
    <n v="37"/>
    <n v="5"/>
    <n v="42"/>
    <n v="37"/>
    <n v="5"/>
    <n v="0"/>
    <s v="Crashed into a mountain south of Dong Ha airfield."/>
    <n v="0"/>
    <n v="1"/>
    <x v="1"/>
  </r>
  <r>
    <n v="2304"/>
    <x v="2097"/>
    <x v="57"/>
    <x v="0"/>
    <d v="1899-12-30T14:00:00"/>
    <s v="Near Copper Canyon, Nevada"/>
    <s v="Military - U.S. Marine Corps"/>
    <s v="Unknown"/>
    <s v="Buckley ANGB - Seattle NAS"/>
    <x v="1058"/>
    <n v="50850"/>
    <n v="10427"/>
    <n v="19"/>
    <n v="12"/>
    <n v="7"/>
    <n v="19"/>
    <n v="12"/>
    <n v="7"/>
    <n v="0"/>
    <s v="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
    <n v="0"/>
    <n v="1"/>
    <x v="1"/>
  </r>
  <r>
    <n v="2305"/>
    <x v="2098"/>
    <x v="57"/>
    <x v="0"/>
    <d v="1899-12-30T07:54:00"/>
    <s v="Zifta, Egypt"/>
    <s v="United Arab Airlines"/>
    <s v="Unknown"/>
    <s v="Cairo - Beirut"/>
    <x v="277"/>
    <s v="SU-AJG"/>
    <s v="Unknown"/>
    <n v="4"/>
    <n v="0"/>
    <n v="4"/>
    <n v="4"/>
    <n v="0"/>
    <n v="4"/>
    <n v="0"/>
    <s v="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
    <n v="0"/>
    <n v="1"/>
    <x v="1"/>
  </r>
  <r>
    <n v="2306"/>
    <x v="2099"/>
    <x v="57"/>
    <x v="0"/>
    <s v="Unknown"/>
    <s v="Moroni, Comoro Islands"/>
    <s v="Air Comores"/>
    <s v="Unknown"/>
    <s v="Dar es-Salaam - Moroni"/>
    <x v="671"/>
    <s v="F-OECD"/>
    <n v="14040"/>
    <n v="16"/>
    <n v="15"/>
    <n v="1"/>
    <n v="15"/>
    <n v="14"/>
    <n v="1"/>
    <n v="0"/>
    <s v="Touched down on the right side of the runway, bounced, crashed into landing lights and into the sea.  Inadequate supervision of the flight by the pilot-in-command. While attempting to go-around, the flaps were fully extended."/>
    <n v="1"/>
    <n v="0.9375"/>
    <x v="1"/>
  </r>
  <r>
    <n v="2307"/>
    <x v="2100"/>
    <x v="57"/>
    <x v="0"/>
    <d v="1899-12-30T05:58:00"/>
    <s v="Vancouver, Canada"/>
    <s v="Canadian Pacific Air Lines"/>
    <n v="322"/>
    <s v="Honolulu - Vancouver"/>
    <x v="1059"/>
    <s v="N791SA"/>
    <s v="17698/44"/>
    <n v="61"/>
    <n v="52"/>
    <n v="9"/>
    <n v="1"/>
    <n v="0"/>
    <n v="1"/>
    <n v="1"/>
    <s v="Visual reference was lost in fog after the flare and prior to touchdown. The aircraft overran the runway and collided with a parked aircraft, some vehicles and two buildings. Failure to evaluate existing terminal weather information and to discontinue the attempt to land."/>
    <n v="60"/>
    <n v="1.6393442622950821E-2"/>
    <x v="2"/>
  </r>
  <r>
    <n v="2308"/>
    <x v="2100"/>
    <x v="57"/>
    <x v="0"/>
    <d v="1899-12-30T15:00:00"/>
    <s v="Rohtang Pass, Northern India"/>
    <s v="Military - Indian Air Force"/>
    <n v="202"/>
    <s v="Leh, Kashmir - Chandigarh, Punjab"/>
    <x v="1060"/>
    <s v="BL534"/>
    <n v="24003"/>
    <n v="102"/>
    <n v="98"/>
    <n v="4"/>
    <n v="102"/>
    <n v="98"/>
    <n v="4"/>
    <n v="0"/>
    <s v="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
    <n v="0"/>
    <n v="1"/>
    <x v="1"/>
  </r>
  <r>
    <n v="2309"/>
    <x v="2101"/>
    <x v="57"/>
    <x v="0"/>
    <d v="1899-12-30T21:20:00"/>
    <s v="Linkuo, Taiwan"/>
    <s v="Civil Air Transport"/>
    <n v="10"/>
    <s v="Hong Kong - Taipei"/>
    <x v="1061"/>
    <s v="B-1018"/>
    <s v="19175/339"/>
    <n v="63"/>
    <n v="52"/>
    <n v="11"/>
    <n v="21"/>
    <n v="18"/>
    <n v="3"/>
    <n v="1"/>
    <s v="The aircraft descended below the glideslope, struck trees and  a house, short of runway, at night, in poor weather. Pilot was not qualified to fly."/>
    <n v="42"/>
    <n v="0.33333333333333331"/>
    <x v="2"/>
  </r>
  <r>
    <n v="2310"/>
    <x v="2102"/>
    <x v="57"/>
    <x v="0"/>
    <s v="Unknown"/>
    <s v="Ban Napa, Laos"/>
    <s v="Royal Air Lao"/>
    <s v="Unknown"/>
    <s v="Vientiane - Sayaboury"/>
    <x v="277"/>
    <s v="XW-TAD"/>
    <n v="26696"/>
    <n v="37"/>
    <n v="34"/>
    <n v="3"/>
    <n v="37"/>
    <n v="34"/>
    <n v="3"/>
    <n v="0"/>
    <s v="Crashed into the Mekong River. Engine failure."/>
    <n v="0"/>
    <n v="1"/>
    <x v="1"/>
  </r>
  <r>
    <n v="2311"/>
    <x v="2103"/>
    <x v="57"/>
    <x v="0"/>
    <d v="1899-12-30T22:43:00"/>
    <s v="Near Bratsk, Russia"/>
    <s v="Aeroflot"/>
    <n v="15"/>
    <s v="_x0009_Krasnoyarsk - _x0009_Petropavlovsk"/>
    <x v="913"/>
    <s v="CCCP-74252"/>
    <n v="187010601"/>
    <n v="84"/>
    <n v="75"/>
    <n v="9"/>
    <n v="83"/>
    <n v="74"/>
    <n v="9"/>
    <n v="0"/>
    <s v="After an emergency situation and emergency descent the plane broke apart at FL100 and crashed. One passenger survived. Fuel leak."/>
    <n v="1"/>
    <n v="0.98809523809523814"/>
    <x v="1"/>
  </r>
  <r>
    <n v="2312"/>
    <x v="2104"/>
    <x v="57"/>
    <x v="0"/>
    <d v="1899-12-30T08:00:00"/>
    <s v="Near Khe Sanh, South Vietnam"/>
    <s v="Military - U.S. Air Force"/>
    <s v="Unknown"/>
    <s v="Hue - Khe Sanh"/>
    <x v="1062"/>
    <s v="54-0590"/>
    <n v="20039"/>
    <n v="49"/>
    <n v="45"/>
    <n v="4"/>
    <n v="49"/>
    <n v="45"/>
    <n v="4"/>
    <n v="0"/>
    <s v="The aircraft attempted a go-around after a small plane landed in front of it but was shot down by enemy ground fire. The plane was hit in the right turbine and crashed in flames."/>
    <n v="0"/>
    <n v="1"/>
    <x v="1"/>
  </r>
  <r>
    <n v="2313"/>
    <x v="2105"/>
    <x v="57"/>
    <x v="0"/>
    <d v="1899-12-30T20:32:00"/>
    <s v="Basse-Terre, Guadeloupe, West Indies"/>
    <s v="Air France"/>
    <n v="212"/>
    <s v="Caracas - Pointe a Pitre"/>
    <x v="1063"/>
    <s v="F-BLCJ"/>
    <n v="19724"/>
    <n v="63"/>
    <n v="52"/>
    <n v="11"/>
    <n v="63"/>
    <n v="52"/>
    <n v="11"/>
    <n v="0"/>
    <s v="After reporting the field in sight, the aircraft struck the ridge of a dormant volcano. The crew initiated a descent from an incorrectly identified point while flying VFR."/>
    <n v="0"/>
    <n v="1"/>
    <x v="1"/>
  </r>
  <r>
    <n v="2314"/>
    <x v="2106"/>
    <x v="57"/>
    <x v="0"/>
    <d v="1899-12-30T19:18:00"/>
    <s v="Off Panay Island, Philippines"/>
    <s v="Air Manila"/>
    <n v="507"/>
    <s v="Manila - Lapu Lapu"/>
    <x v="896"/>
    <s v="PI-C871"/>
    <n v="19"/>
    <n v="14"/>
    <n v="10"/>
    <n v="4"/>
    <n v="14"/>
    <n v="10"/>
    <n v="4"/>
    <n v="0"/>
    <s v="Cashed into the sea. In-flight structural failure due to air loads exceeding the design strength, while flying into a thunderstorm cell."/>
    <n v="0"/>
    <n v="1"/>
    <x v="1"/>
  </r>
  <r>
    <n v="2315"/>
    <x v="2107"/>
    <x v="57"/>
    <x v="0"/>
    <d v="1899-12-30T23:17:00"/>
    <s v="Near Saint Denis, Reunion"/>
    <s v="Military - French Air Force"/>
    <s v="Unknown"/>
    <s v="Saint Denis - Paris"/>
    <x v="1064"/>
    <n v="43748"/>
    <s v="43748/314"/>
    <n v="20"/>
    <n v="12"/>
    <n v="8"/>
    <n v="19"/>
    <n v="12"/>
    <n v="7"/>
    <n v="0"/>
    <s v="Crashed into a hill shortly after taking off from the Indian Ocean island. The pilot did not follow the correct departure procedure of turning out towards the ocean after takeoff."/>
    <n v="1"/>
    <n v="0.95"/>
    <x v="1"/>
  </r>
  <r>
    <n v="2316"/>
    <x v="2108"/>
    <x v="57"/>
    <x v="0"/>
    <d v="1899-12-30T10:59:00"/>
    <s v="Off Wexford Harbor, Ireland"/>
    <s v="Aer Lingus"/>
    <n v="712"/>
    <s v="Cork - London"/>
    <x v="1065"/>
    <s v="EI-AOM"/>
    <n v="178"/>
    <n v="61"/>
    <n v="57"/>
    <n v="4"/>
    <n v="61"/>
    <n v="57"/>
    <n v="4"/>
    <n v="0"/>
    <s v="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
    <n v="0"/>
    <n v="1"/>
    <x v="1"/>
  </r>
  <r>
    <n v="2317"/>
    <x v="2109"/>
    <x v="57"/>
    <x v="0"/>
    <d v="1899-12-30T17:57:00"/>
    <s v="St. Louis, Missouri"/>
    <s v="Ozark Air Lines / Private"/>
    <s v="Unknown"/>
    <s v="Peoria, IL - St. Louis, MO"/>
    <x v="1066"/>
    <s v="N970Z/N8669G"/>
    <s v="45772/30"/>
    <n v="51"/>
    <n v="45"/>
    <n v="6"/>
    <n v="2"/>
    <n v="1"/>
    <n v="1"/>
    <n v="0"/>
    <s v="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
    <n v="49"/>
    <n v="3.9215686274509803E-2"/>
    <x v="2"/>
  </r>
  <r>
    <n v="2318"/>
    <x v="2109"/>
    <x v="57"/>
    <x v="0"/>
    <d v="1899-12-30T10:31:00"/>
    <s v="Near Moscow, Russia"/>
    <s v="Military - Russian Air Force"/>
    <s v="Unknown"/>
    <s v="Unknown"/>
    <x v="1067"/>
    <s v="Unknown"/>
    <s v="Unknown"/>
    <n v="2"/>
    <n v="0"/>
    <n v="2"/>
    <n v="2"/>
    <n v="0"/>
    <n v="2"/>
    <n v="0"/>
    <s v="Soviet cosmonaut Yuri Gagarin, 34, the first man in space, was killed along with his instructor, when the military fighter they were training in crashed approximately 30 miles east of Moscow."/>
    <n v="0"/>
    <n v="1"/>
    <x v="1"/>
  </r>
  <r>
    <n v="2319"/>
    <x v="2110"/>
    <x v="57"/>
    <x v="0"/>
    <d v="1899-12-30T15:35:00"/>
    <s v="Heathrow Airport, London, England"/>
    <s v="British Overseas Airways"/>
    <n v="712"/>
    <s v="London - Zurich"/>
    <x v="1068"/>
    <s v="G-ARWE"/>
    <n v="18373"/>
    <n v="127"/>
    <n v="116"/>
    <n v="11"/>
    <n v="5"/>
    <n v="4"/>
    <n v="1"/>
    <n v="0"/>
    <s v="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
    <n v="122"/>
    <n v="3.937007874015748E-2"/>
    <x v="2"/>
  </r>
  <r>
    <n v="2320"/>
    <x v="2110"/>
    <x v="57"/>
    <x v="0"/>
    <s v="Unknown"/>
    <s v="Near Coyhaique, Chile"/>
    <s v="Ladeco"/>
    <s v="Unknown"/>
    <s v="Santiago - Coihaique"/>
    <x v="277"/>
    <s v="CC-CBM"/>
    <n v="6330"/>
    <n v="36"/>
    <n v="33"/>
    <n v="3"/>
    <n v="36"/>
    <n v="33"/>
    <n v="3"/>
    <n v="0"/>
    <s v="Crashed while on approach 5 minutes from its destination. Failure of the right wing due to turbulence."/>
    <n v="0"/>
    <n v="1"/>
    <x v="1"/>
  </r>
  <r>
    <n v="2321"/>
    <x v="2111"/>
    <x v="57"/>
    <x v="0"/>
    <s v="Unknown"/>
    <s v=" Near Mexico City, Mexico"/>
    <s v="Aerovias Rojas"/>
    <s v="Unknown"/>
    <s v="Aguascalientes - Mexico City"/>
    <x v="277"/>
    <s v="XA-GEV"/>
    <n v="7339"/>
    <n v="18"/>
    <n v="14"/>
    <n v="4"/>
    <n v="18"/>
    <n v="14"/>
    <n v="4"/>
    <n v="0"/>
    <s v="While operating on its inaugural flight the aircraft crashed into a mountain en route after getting lost."/>
    <n v="0"/>
    <n v="1"/>
    <x v="1"/>
  </r>
  <r>
    <n v="2322"/>
    <x v="2112"/>
    <x v="57"/>
    <x v="0"/>
    <d v="1899-12-30T10:45:00"/>
    <s v="Near Cheo Reo, South Vietnam"/>
    <s v="Military - U.S. Army / Military - U.S. Army"/>
    <s v="Unknown"/>
    <s v="Unknown"/>
    <x v="1069"/>
    <s v="6616441/6717255"/>
    <s v="Unknown"/>
    <n v="26"/>
    <s v="NULL"/>
    <s v="NULL"/>
    <n v="26"/>
    <s v="NULL"/>
    <s v="NULL"/>
    <n v="0"/>
    <s v="A mid-air collision occurred between the two helicopters at about 1,000 ft. altitude."/>
    <n v="0"/>
    <n v="1"/>
    <x v="1"/>
  </r>
  <r>
    <n v="2323"/>
    <x v="2113"/>
    <x v="57"/>
    <x v="0"/>
    <d v="1899-12-30T20:50:00"/>
    <s v="Near Windhoek, South-West  Africa (Namibia)"/>
    <s v="South African Airways"/>
    <s v="228/129"/>
    <s v="Windhoek - Luanda"/>
    <x v="1070"/>
    <s v="ZS-EUW"/>
    <n v="19705"/>
    <n v="128"/>
    <n v="116"/>
    <n v="12"/>
    <n v="123"/>
    <n v="111"/>
    <n v="12"/>
    <n v="0"/>
    <s v="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
    <n v="5"/>
    <n v="0.9609375"/>
    <x v="1"/>
  </r>
  <r>
    <n v="2324"/>
    <x v="2114"/>
    <x v="57"/>
    <x v="0"/>
    <s v="Unknown"/>
    <s v="Near Chaklala, West Pakistan"/>
    <s v="Military - Pakistan Air Force"/>
    <s v="Unknown"/>
    <s v="Unknown"/>
    <x v="1071"/>
    <n v="64145"/>
    <s v="Unknown"/>
    <n v="22"/>
    <n v="18"/>
    <n v="4"/>
    <n v="22"/>
    <n v="18"/>
    <n v="4"/>
    <n v="0"/>
    <s v="Crashed while en route after encountering turbulence, possibly leading to a break-up of the aircraft."/>
    <n v="0"/>
    <n v="1"/>
    <x v="1"/>
  </r>
  <r>
    <n v="2325"/>
    <x v="2115"/>
    <x v="57"/>
    <x v="0"/>
    <d v="1899-12-30T15:48:00"/>
    <s v="Near Dawson, Texas"/>
    <s v="Braniff Airlines"/>
    <n v="352"/>
    <s v="Houston - Dallas-Fort Worth"/>
    <x v="1072"/>
    <s v="N9707C"/>
    <n v="1099"/>
    <n v="85"/>
    <n v="80"/>
    <n v="5"/>
    <n v="85"/>
    <n v="80"/>
    <n v="5"/>
    <n v="0"/>
    <s v="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
    <n v="0"/>
    <n v="1"/>
    <x v="1"/>
  </r>
  <r>
    <n v="2326"/>
    <x v="2116"/>
    <x v="57"/>
    <x v="0"/>
    <d v="1899-12-30T07:20:00"/>
    <s v="Kham Duc, Vietnam"/>
    <s v="Military - U.S. Air Force"/>
    <s v="Unknown"/>
    <s v="Kham Duc  - Saigon"/>
    <x v="1013"/>
    <s v="60-0297"/>
    <n v="3600"/>
    <n v="155"/>
    <n v="149"/>
    <n v="6"/>
    <n v="155"/>
    <n v="149"/>
    <n v="6"/>
    <n v="0"/>
    <s v="Shot down by enemy fire while attempting to evacuate Kham Duc civilians.  The aircraft shook  violently, crashed and burst into flames in a ravine at the end of the airstrip."/>
    <n v="0"/>
    <n v="1"/>
    <x v="1"/>
  </r>
  <r>
    <n v="2327"/>
    <x v="2117"/>
    <x v="57"/>
    <x v="0"/>
    <d v="1899-12-30T16:51:00"/>
    <s v="Paramount, California"/>
    <s v="Los Angeles Airways"/>
    <n v="841"/>
    <s v="Anaheim - LAX"/>
    <x v="1073"/>
    <s v="N303Y"/>
    <s v="Unknown"/>
    <n v="23"/>
    <n v="20"/>
    <n v="3"/>
    <n v="23"/>
    <n v="20"/>
    <n v="3"/>
    <n v="0"/>
    <s v="The helicopter suddenly descended to the ground with an erratic action of the main rotor blades and burst into flames. A faulty main rotor blade damper caused one of the rotor blades to detach for reasons undetermined and strike the fuselage."/>
    <n v="0"/>
    <n v="1"/>
    <x v="1"/>
  </r>
  <r>
    <n v="2328"/>
    <x v="2118"/>
    <x v="57"/>
    <x v="0"/>
    <d v="1899-12-30T02:44:00"/>
    <s v="Near Bombay, India"/>
    <s v="Garuda Indonesia Airlines"/>
    <s v="Unknown"/>
    <s v="Jakarta - Bombay - Karachi - Cairo - Rome - Amsterdam"/>
    <x v="1074"/>
    <s v="PK-GJA"/>
    <d v="2003-10-30T00:00:00"/>
    <n v="29"/>
    <n v="15"/>
    <n v="14"/>
    <n v="29"/>
    <n v="15"/>
    <n v="14"/>
    <n v="1"/>
    <s v="The aircraft crashed in a nearly vertical attitude, 5 minutes after takeoff, 20 nm from the airport."/>
    <n v="0"/>
    <n v="1"/>
    <x v="1"/>
  </r>
  <r>
    <n v="2329"/>
    <x v="2119"/>
    <x v="57"/>
    <x v="0"/>
    <d v="1899-12-30T00:58:00"/>
    <s v="Calcutta, India"/>
    <s v="Pan American World Airways"/>
    <s v="Unknown"/>
    <s v="Bangkok - Karachi"/>
    <x v="1075"/>
    <s v="N798PA"/>
    <s v="18790/394"/>
    <n v="63"/>
    <n v="53"/>
    <n v="10"/>
    <n v="6"/>
    <n v="5"/>
    <n v="1"/>
    <n v="0"/>
    <s v="Crashed  1,200 meters short of the runway and hit a tree and caught fire in heavy rain on a night approach. Improper IFR operation. Misused or failed to use flaps. Descended below decision height. The aircraft was named &quot;Clipper Caribbean.&quot;"/>
    <n v="57"/>
    <n v="9.5238095238095233E-2"/>
    <x v="2"/>
  </r>
  <r>
    <n v="2330"/>
    <x v="2120"/>
    <x v="57"/>
    <x v="0"/>
    <d v="1899-12-30T16:50:00"/>
    <s v="San Sebastian, Spain"/>
    <s v="Rinaldo Piaggio"/>
    <s v="Unknown"/>
    <s v="Unknown"/>
    <x v="1076"/>
    <s v="I-PIAI"/>
    <n v="503"/>
    <n v="6"/>
    <n v="5"/>
    <n v="1"/>
    <n v="6"/>
    <n v="5"/>
    <n v="1"/>
    <n v="0"/>
    <s v="The aircraft flew into the side of Mt. Jaiskibel after turning in the wrong direction."/>
    <n v="0"/>
    <n v="1"/>
    <x v="1"/>
  </r>
  <r>
    <n v="2331"/>
    <x v="2121"/>
    <x v="57"/>
    <x v="0"/>
    <d v="1899-12-30T07:30:00"/>
    <s v="Near Bearcat, South Vietnam"/>
    <s v="Military - U.S. Army"/>
    <s v="Unknown"/>
    <s v="Unknown"/>
    <x v="1077"/>
    <s v="Unknown"/>
    <s v="Unknown"/>
    <n v="29"/>
    <s v="NULL"/>
    <s v="NULL"/>
    <n v="29"/>
    <s v="NULL"/>
    <s v="NULL"/>
    <n v="0"/>
    <s v="A mid-air collision between three helicopters at 900 ft. (66-16202) (66-16592) (66-16601)."/>
    <n v="0"/>
    <n v="1"/>
    <x v="1"/>
  </r>
  <r>
    <n v="2332"/>
    <x v="2122"/>
    <x v="57"/>
    <x v="0"/>
    <d v="1899-12-30T12:46:00"/>
    <s v="Vichy, Missouri"/>
    <s v="Purdue Airlines Inc."/>
    <s v="Unknown"/>
    <s v="Unknown"/>
    <x v="570"/>
    <s v="N6898D"/>
    <n v="20082"/>
    <n v="27"/>
    <n v="23"/>
    <n v="4"/>
    <n v="1"/>
    <n v="1"/>
    <n v="0"/>
    <n v="0"/>
    <s v="Passenger inadvertentlly opened air stair door in flight, safety chain failed and passenger fell out."/>
    <n v="26"/>
    <n v="3.7037037037037035E-2"/>
    <x v="2"/>
  </r>
  <r>
    <n v="2333"/>
    <x v="2123"/>
    <x v="57"/>
    <x v="0"/>
    <s v="Unknown"/>
    <s v="London, England"/>
    <s v="BKS Air Transport"/>
    <s v="Unknown"/>
    <s v="Deauville, France - London, England"/>
    <x v="1078"/>
    <s v="G-AMAD"/>
    <n v="5211"/>
    <n v="8"/>
    <n v="0"/>
    <n v="8"/>
    <n v="6"/>
    <n v="0"/>
    <n v="6"/>
    <n v="0"/>
    <s v="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
    <n v="2"/>
    <n v="0.75"/>
    <x v="1"/>
  </r>
  <r>
    <n v="2334"/>
    <x v="2124"/>
    <x v="57"/>
    <x v="0"/>
    <s v="Unknown"/>
    <s v="Near Dhahran, Saudi Arabia"/>
    <s v="Saudi Arabian Airlines"/>
    <s v="Unknown"/>
    <s v="Unknown"/>
    <x v="1079"/>
    <s v="HZ-AAZ"/>
    <n v="219"/>
    <n v="11"/>
    <n v="8"/>
    <n v="3"/>
    <n v="11"/>
    <n v="8"/>
    <n v="3"/>
    <n v="0"/>
    <s v="Crashed after a third aborted landing attempt in poor visibility and blowing dust. Failure of the captain to maintain minimum altitude for reasons unknown. Poor judgement by the pilot in attempting a fourth landing."/>
    <n v="0"/>
    <n v="1"/>
    <x v="1"/>
  </r>
  <r>
    <n v="2335"/>
    <x v="2125"/>
    <x v="57"/>
    <x v="0"/>
    <s v="Unknown"/>
    <s v="Near Lagos, Nigeria"/>
    <s v="Sabena"/>
    <s v="Unknown"/>
    <s v="Brussels - Lagos"/>
    <x v="1080"/>
    <s v="OO-SJK"/>
    <s v="19211/518"/>
    <n v="7"/>
    <n v="2"/>
    <n v="5"/>
    <n v="7"/>
    <n v="2"/>
    <n v="5"/>
    <n v="0"/>
    <s v="The cargo plane descended below mimimum safe altitude and struck trees and crashed."/>
    <n v="0"/>
    <n v="1"/>
    <x v="1"/>
  </r>
  <r>
    <n v="2336"/>
    <x v="2126"/>
    <x v="57"/>
    <x v="0"/>
    <s v="Unknown"/>
    <s v="Gravata, Brazil"/>
    <s v="Varig"/>
    <s v="Unknown"/>
    <s v="SÃ£o Paulo - Recife"/>
    <x v="1081"/>
    <s v="PP-VBJ"/>
    <n v="33481"/>
    <n v="3"/>
    <n v="0"/>
    <n v="3"/>
    <n v="3"/>
    <n v="0"/>
    <n v="3"/>
    <n v="0"/>
    <s v="Struck a mountain."/>
    <n v="0"/>
    <n v="1"/>
    <x v="1"/>
  </r>
  <r>
    <n v="2337"/>
    <x v="2127"/>
    <x v="57"/>
    <x v="0"/>
    <s v="Unknown"/>
    <s v="Off Chili"/>
    <s v="Aerolineas Flecha Austral"/>
    <s v="Unknown"/>
    <s v="Unknown"/>
    <x v="438"/>
    <s v="CC-CDI"/>
    <n v="33445"/>
    <n v="5"/>
    <n v="0"/>
    <n v="5"/>
    <n v="5"/>
    <n v="0"/>
    <n v="5"/>
    <n v="0"/>
    <s v="Lost at sea."/>
    <n v="0"/>
    <n v="1"/>
    <x v="1"/>
  </r>
  <r>
    <n v="2338"/>
    <x v="2128"/>
    <x v="57"/>
    <x v="0"/>
    <d v="1899-12-30T14:06:00"/>
    <s v="Near Milan, Italy"/>
    <s v="Alitalia"/>
    <s v="Unknown"/>
    <s v="Rome - Milan - Montreal"/>
    <x v="1082"/>
    <s v="I-DIWF"/>
    <n v="45630"/>
    <n v="95"/>
    <n v="85"/>
    <n v="10"/>
    <n v="13"/>
    <n v="13"/>
    <n v="0"/>
    <n v="0"/>
    <s v="Crashed on approach, 7 miles north of the runway. Positioning for final approach by means of a non-standard procedure. Delayed detection of the VOR radial."/>
    <n v="82"/>
    <n v="0.1368421052631579"/>
    <x v="2"/>
  </r>
  <r>
    <n v="2339"/>
    <x v="2129"/>
    <x v="57"/>
    <x v="0"/>
    <d v="1899-12-30T08:48:00"/>
    <s v="Milwaukee, Wisconsin"/>
    <s v="North Central Airlines / Private"/>
    <s v="Unknown"/>
    <s v="Unknown"/>
    <x v="1083"/>
    <s v="N4634S / N8742S"/>
    <s v="176 / ?"/>
    <n v="15"/>
    <n v="10"/>
    <n v="5"/>
    <n v="3"/>
    <n v="2"/>
    <n v="1"/>
    <n v="0"/>
    <s v="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
    <n v="12"/>
    <n v="0.2"/>
    <x v="2"/>
  </r>
  <r>
    <n v="2340"/>
    <x v="2130"/>
    <x v="57"/>
    <x v="0"/>
    <d v="1899-12-30T13:05:00"/>
    <s v="Pfaffenhofen, Germany"/>
    <s v="British Eagle International Airlines"/>
    <s v="Unknown"/>
    <s v="London - Innsbruck"/>
    <x v="1084"/>
    <s v="G-ATFN"/>
    <n v="394"/>
    <n v="48"/>
    <n v="44"/>
    <n v="4"/>
    <n v="48"/>
    <n v="44"/>
    <n v="4"/>
    <n v="0"/>
    <s v="The aircraft broke up in-flight after plunging from 21,000 ft. Failure of the aircraft's electrical DC generator control system."/>
    <n v="0"/>
    <n v="1"/>
    <x v="1"/>
  </r>
  <r>
    <n v="2341"/>
    <x v="2131"/>
    <x v="57"/>
    <x v="0"/>
    <d v="1899-12-30T07:57:00"/>
    <s v="Charleston, West Virginia"/>
    <s v="Piedmont Airlines"/>
    <n v="230"/>
    <s v="Cincinnati - Charleston, WV"/>
    <x v="1085"/>
    <s v="N712U"/>
    <n v="557"/>
    <n v="37"/>
    <n v="34"/>
    <n v="3"/>
    <n v="35"/>
    <n v="32"/>
    <n v="3"/>
    <n v="0"/>
    <s v="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
    <n v="2"/>
    <n v="0.94594594594594594"/>
    <x v="1"/>
  </r>
  <r>
    <n v="2342"/>
    <x v="2132"/>
    <x v="57"/>
    <x v="0"/>
    <d v="1899-12-30T09:35:00"/>
    <s v="Compton, California"/>
    <s v="Los Angeles Airways"/>
    <n v="417"/>
    <s v="Unknown"/>
    <x v="1073"/>
    <s v="N300Y"/>
    <s v="Unknown"/>
    <n v="21"/>
    <n v="18"/>
    <n v="3"/>
    <n v="21"/>
    <n v="18"/>
    <n v="3"/>
    <n v="0"/>
    <s v="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
    <n v="0"/>
    <n v="1"/>
    <x v="1"/>
  </r>
  <r>
    <n v="2343"/>
    <x v="2133"/>
    <x v="57"/>
    <x v="0"/>
    <d v="1899-12-30T09:20:00"/>
    <s v="Off Port Said, Egypt"/>
    <s v="United Arab Airlines"/>
    <s v="Unknown"/>
    <s v="Cairo - Damascus"/>
    <x v="1086"/>
    <s v="SU-AOL"/>
    <n v="67302806"/>
    <n v="40"/>
    <n v="33"/>
    <n v="7"/>
    <n v="40"/>
    <n v="33"/>
    <n v="7"/>
    <n v="0"/>
    <s v="Ditched into the Mediterranean sea. Cause unknown."/>
    <n v="0"/>
    <n v="1"/>
    <x v="1"/>
  </r>
  <r>
    <n v="2344"/>
    <x v="2134"/>
    <x v="57"/>
    <x v="0"/>
    <d v="1899-12-30T01:30:00"/>
    <s v="Near Maturin, Venezuela"/>
    <s v="Linea Aeropostal Venezolana"/>
    <s v="Unknown"/>
    <s v="MaturÃ­n - Tucupita"/>
    <x v="1087"/>
    <s v="YV-C-AMY"/>
    <n v="1580"/>
    <n v="7"/>
    <n v="4"/>
    <n v="3"/>
    <n v="4"/>
    <n v="2"/>
    <n v="2"/>
    <n v="0"/>
    <s v="The plane crashed while returning to the airport for an emergency landing after the No. 1 engine failed on takeoff."/>
    <n v="3"/>
    <n v="0.5714285714285714"/>
    <x v="0"/>
  </r>
  <r>
    <n v="2345"/>
    <x v="2135"/>
    <x v="57"/>
    <x v="0"/>
    <s v="Unknown"/>
    <s v="Near Odda, Norway"/>
    <s v="Westwing"/>
    <s v="Unknown"/>
    <s v="Unknown"/>
    <x v="781"/>
    <s v="LN-BFD"/>
    <n v="199"/>
    <n v="6"/>
    <n v="5"/>
    <n v="1"/>
    <n v="5"/>
    <n v="4"/>
    <n v="1"/>
    <n v="0"/>
    <s v="Crashed into a hill in poor weather conditons while flying raindeer hunters to a mountain location. One man survived by jumping from the plane seconds before it caught fire."/>
    <n v="1"/>
    <n v="0.83333333333333337"/>
    <x v="1"/>
  </r>
  <r>
    <n v="2346"/>
    <x v="2136"/>
    <x v="57"/>
    <x v="0"/>
    <d v="1899-12-30T20:30:00"/>
    <s v="Near Burgas, Bulgaria"/>
    <s v="Bulair TABSO"/>
    <s v="Unknown"/>
    <s v="Berlin - Sofia - Burgas"/>
    <x v="837"/>
    <s v="LZ-BEG"/>
    <n v="187009101"/>
    <n v="89"/>
    <n v="82"/>
    <n v="7"/>
    <n v="47"/>
    <n v="42"/>
    <n v="5"/>
    <n v="0"/>
    <s v="Crashed on approach descending into the ground short of the runway. Deviation from the prescribed flight rules to accomplish a visual approach in adverse weather conditions."/>
    <n v="42"/>
    <n v="0.5280898876404494"/>
    <x v="0"/>
  </r>
  <r>
    <n v="2347"/>
    <x v="2137"/>
    <x v="57"/>
    <x v="0"/>
    <d v="1899-12-30T14:55:00"/>
    <s v="Flushing, New York"/>
    <s v="Far Aviation - Air Taxi / Speeds Flying - Air Taxi"/>
    <s v="Unknown"/>
    <s v="Unknown"/>
    <x v="1088"/>
    <s v="N8283F / N8828W"/>
    <s v="Unknown"/>
    <n v="9"/>
    <n v="7"/>
    <n v="2"/>
    <n v="2"/>
    <n v="1"/>
    <n v="1"/>
    <n v="0"/>
    <s v="Midair collision. Pilot of Cessna failed to see and avoid other aircraft. Two aboard the Piper killed."/>
    <n v="7"/>
    <n v="0.22222222222222221"/>
    <x v="2"/>
  </r>
  <r>
    <n v="2348"/>
    <x v="2138"/>
    <x v="57"/>
    <x v="0"/>
    <d v="1899-12-30T10:34:00"/>
    <s v="Off Cap d'Antibes, France"/>
    <s v="Air France"/>
    <n v="1611"/>
    <s v="Ajaccio - Nice"/>
    <x v="1089"/>
    <s v="F-BOHB"/>
    <n v="244"/>
    <n v="95"/>
    <n v="89"/>
    <n v="6"/>
    <n v="95"/>
    <n v="89"/>
    <n v="6"/>
    <n v="0"/>
    <s v="The airliner crashed into the Mediterranean sea, 10 miles south of Nice Airport, while attempting an emergency landing 21 minutes after taking off. Prior to the crash a message was received that there was fire aboard in the rear of the cabin."/>
    <n v="0"/>
    <n v="1"/>
    <x v="1"/>
  </r>
  <r>
    <n v="2349"/>
    <x v="2139"/>
    <x v="57"/>
    <x v="0"/>
    <s v="Unknown"/>
    <s v="Port Harcourt, Biafra, Nigeria"/>
    <s v="Pan African Airlines"/>
    <s v="Unknown"/>
    <s v="Lagos - Port Harcourt"/>
    <x v="515"/>
    <s v="N90427"/>
    <n v="10445"/>
    <n v="57"/>
    <n v="55"/>
    <n v="2"/>
    <n v="57"/>
    <n v="55"/>
    <n v="2"/>
    <n v="1"/>
    <s v="While on final approach, the aircraft hit trees and crashed into a village and caught fire."/>
    <n v="0"/>
    <n v="1"/>
    <x v="1"/>
  </r>
  <r>
    <n v="2350"/>
    <x v="2140"/>
    <x v="57"/>
    <x v="0"/>
    <d v="1899-12-30T08:37:00"/>
    <s v="Puerto Cortes, Costa Rica"/>
    <s v="Aerovias del Valle"/>
    <s v="Unknown"/>
    <s v="San JosÃ© - Paso Canoas"/>
    <x v="1090"/>
    <s v="TI-1063C"/>
    <n v="14"/>
    <n v="10"/>
    <n v="9"/>
    <n v="1"/>
    <n v="10"/>
    <n v="9"/>
    <n v="1"/>
    <n v="0"/>
    <s v="Crashed  into Rio Grande de Terraba, about 7 km west of the airfield. while attempting to land."/>
    <n v="0"/>
    <n v="1"/>
    <x v="1"/>
  </r>
  <r>
    <n v="2351"/>
    <x v="2141"/>
    <x v="57"/>
    <x v="0"/>
    <d v="1899-12-30T16:20:00"/>
    <s v="Near Prague, Czechoslovakia"/>
    <s v="Ceskoslovenske Aerolinie"/>
    <s v="Unknown"/>
    <s v="Praha - Kosice"/>
    <x v="1091"/>
    <s v="OK-MCY"/>
    <n v="805120"/>
    <n v="40"/>
    <n v="36"/>
    <n v="4"/>
    <n v="11"/>
    <n v="8"/>
    <n v="3"/>
    <n v="0"/>
    <s v="After taking off he airplane went out of control and crashed in an open field located 7 km southwest from the airport. Engine failure."/>
    <n v="29"/>
    <n v="0.27500000000000002"/>
    <x v="2"/>
  </r>
  <r>
    <n v="2352"/>
    <x v="2142"/>
    <x v="57"/>
    <x v="0"/>
    <s v="Unknown"/>
    <s v="FeijÃ³, Brazil"/>
    <s v="Cruzeiro"/>
    <s v="Unknown"/>
    <s v="Unknown"/>
    <x v="1092"/>
    <s v="PP-SAD"/>
    <n v="13764"/>
    <n v="19"/>
    <n v="16"/>
    <n v="3"/>
    <n v="19"/>
    <n v="16"/>
    <n v="3"/>
    <n v="0"/>
    <s v="Tried to return to the airport for an emergency landing after an engine failed. While completing a last turn to join the approach path, control was lost and the airplane crashed in a field located few km from the airport."/>
    <n v="0"/>
    <n v="1"/>
    <x v="1"/>
  </r>
  <r>
    <n v="2353"/>
    <x v="2143"/>
    <x v="57"/>
    <x v="0"/>
    <d v="1899-12-30T06:00:00"/>
    <s v="Near Ban Me Thuot, South Vietnam"/>
    <s v="Military - U.S. Air Force"/>
    <s v="Unknown"/>
    <s v="Saigon - Da Nang"/>
    <x v="608"/>
    <n v="450934"/>
    <s v="16937/34196"/>
    <n v="23"/>
    <n v="12"/>
    <n v="11"/>
    <n v="23"/>
    <n v="12"/>
    <n v="11"/>
    <n v="0"/>
    <s v="The aircraft crashed en route after the pilot transmitted a Mayday reporting the failure of the No. 2 engine and inability to feather the propeller. It crashed 20 miles from the airfield it intended to make an emergency landing at."/>
    <n v="0"/>
    <n v="1"/>
    <x v="1"/>
  </r>
  <r>
    <n v="2354"/>
    <x v="2144"/>
    <x v="57"/>
    <x v="0"/>
    <d v="1899-12-30T17:17:00"/>
    <s v="Hanover, New Hampshire"/>
    <s v="Northeast Airlines"/>
    <n v="946"/>
    <s v="Boston, MA - Montpelier, VT - Lebanon, NH"/>
    <x v="1093"/>
    <s v="N380NE"/>
    <n v="517"/>
    <n v="42"/>
    <n v="39"/>
    <n v="3"/>
    <n v="32"/>
    <n v="30"/>
    <n v="2"/>
    <n v="0"/>
    <s v="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
    <n v="10"/>
    <n v="0.76190476190476186"/>
    <x v="1"/>
  </r>
  <r>
    <n v="2355"/>
    <x v="2145"/>
    <x v="57"/>
    <x v="0"/>
    <d v="1899-12-30T01:24:00"/>
    <s v="Off San Francisco, California"/>
    <s v="Japan Air Lines"/>
    <n v="2"/>
    <s v="Tokyo - San Francisco"/>
    <x v="1094"/>
    <s v="JA8032"/>
    <s v="45954/362"/>
    <n v="107"/>
    <n v="96"/>
    <n v="11"/>
    <n v="0"/>
    <n v="0"/>
    <n v="0"/>
    <n v="0"/>
    <s v="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
    <n v="107"/>
    <n v="0"/>
    <x v="2"/>
  </r>
  <r>
    <n v="2356"/>
    <x v="2146"/>
    <x v="57"/>
    <x v="0"/>
    <d v="1899-12-30T19:59:00"/>
    <s v="Santa Ana, California"/>
    <s v="Cable Commuter"/>
    <n v="544"/>
    <s v="Los Angeles - Santa Ana"/>
    <x v="1095"/>
    <s v="N7666"/>
    <n v="148"/>
    <n v="9"/>
    <n v="7"/>
    <n v="2"/>
    <n v="9"/>
    <n v="7"/>
    <n v="2"/>
    <n v="0"/>
    <s v="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
    <n v="0"/>
    <n v="1"/>
    <x v="1"/>
  </r>
  <r>
    <n v="2357"/>
    <x v="2147"/>
    <x v="57"/>
    <x v="0"/>
    <d v="1899-12-30T15:33:00"/>
    <s v="Savannakhet, Laos"/>
    <s v="Air America"/>
    <s v="Unknown"/>
    <s v=" SavannakhÃ©t - Vientiane"/>
    <x v="559"/>
    <s v="N1386N"/>
    <n v="22265"/>
    <n v="28"/>
    <n v="25"/>
    <n v="3"/>
    <n v="26"/>
    <n v="23"/>
    <n v="3"/>
    <n v="0"/>
    <s v="Crashed shortly after taking off after one of the engines failed."/>
    <n v="2"/>
    <n v="0.9285714285714286"/>
    <x v="1"/>
  </r>
  <r>
    <n v="2358"/>
    <x v="2148"/>
    <x v="57"/>
    <x v="0"/>
    <d v="1899-12-30T09:36:00"/>
    <s v="Pedro Bay, Alaska"/>
    <s v="Wien Consolidated Airlines"/>
    <n v="55"/>
    <s v="Anchorage - Iliamna"/>
    <x v="1096"/>
    <s v="N4905"/>
    <n v="49"/>
    <n v="39"/>
    <n v="36"/>
    <n v="3"/>
    <n v="39"/>
    <n v="36"/>
    <n v="3"/>
    <n v="0"/>
    <s v="Broke up in severe turbulence at 11,500 feet. Failure of the right wing that was weakened by pre-existing fatigue cracks.  The turbulence was not forcast and not known to the flight crew.  Improper maintenance. Incorrect weather forcast."/>
    <n v="0"/>
    <n v="1"/>
    <x v="1"/>
  </r>
  <r>
    <n v="2359"/>
    <x v="2149"/>
    <x v="57"/>
    <x v="0"/>
    <d v="1899-12-30T22:02:00"/>
    <s v="Near Caracas, Venezuela"/>
    <s v="Pan American World Airways"/>
    <n v="217"/>
    <s v="New York City - Caracas"/>
    <x v="975"/>
    <s v="N494PA"/>
    <s v="19696/688"/>
    <n v="51"/>
    <n v="42"/>
    <n v="9"/>
    <n v="51"/>
    <n v="42"/>
    <n v="9"/>
    <n v="0"/>
    <s v="En route from New York City, the airliner crashed in the Caribbean sea and exploded while descending for a landing  at Maiquetia Airport. Possible sensory illusion produced by the town lights on upslope. The aircraft was named &quot;Clipper Malay.&quot;"/>
    <n v="0"/>
    <n v="1"/>
    <x v="1"/>
  </r>
  <r>
    <n v="2360"/>
    <x v="2150"/>
    <x v="57"/>
    <x v="0"/>
    <d v="1899-12-30T20:12:00"/>
    <s v="Bradford, Pennsylvania"/>
    <s v="Allegheny Airlines"/>
    <n v="736"/>
    <s v="Detroit - Erie - Bradford - Washington D.C."/>
    <x v="1030"/>
    <s v="N5802"/>
    <n v="410"/>
    <n v="47"/>
    <n v="41"/>
    <n v="6"/>
    <n v="20"/>
    <n v="17"/>
    <n v="3"/>
    <n v="0"/>
    <s v="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
    <n v="27"/>
    <n v="0.42553191489361702"/>
    <x v="0"/>
  </r>
  <r>
    <n v="2361"/>
    <x v="2150"/>
    <x v="57"/>
    <x v="0"/>
    <d v="1899-12-30T04:30:00"/>
    <s v="Prudhoe Bay, Alaska"/>
    <s v="Interior Airways"/>
    <s v="Unknown"/>
    <s v="Fairbanks - Prudhoe Bay"/>
    <x v="1097"/>
    <s v="N760AL"/>
    <n v="4229"/>
    <n v="4"/>
    <n v="0"/>
    <n v="4"/>
    <n v="2"/>
    <n v="0"/>
    <n v="2"/>
    <n v="0"/>
    <s v="The cargo plane crashed after a go-around was attempted in a snowstorm. Pilot in command continued VFR flight into adverse weather conditions and delayed in initiating go around. Weather conditions - down and up drafts."/>
    <n v="2"/>
    <n v="0.5"/>
    <x v="0"/>
  </r>
  <r>
    <n v="2362"/>
    <x v="2151"/>
    <x v="57"/>
    <x v="0"/>
    <d v="1899-12-30T06:15:00"/>
    <s v="Elmendorf Air Force Base, Alaska"/>
    <s v="Pan American World Airways"/>
    <s v="Unknown"/>
    <s v="San Francisco - Anchorage - Cam Ranh Bay, Vietnam"/>
    <x v="1098"/>
    <s v="N799PA"/>
    <s v="Unknown"/>
    <n v="3"/>
    <n v="0"/>
    <n v="3"/>
    <n v="3"/>
    <n v="0"/>
    <n v="3"/>
    <n v="0"/>
    <s v="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n v="0"/>
    <n v="1"/>
    <x v="1"/>
  </r>
  <r>
    <n v="2363"/>
    <x v="2151"/>
    <x v="57"/>
    <x v="0"/>
    <d v="1899-12-30T23:20:00"/>
    <s v="Ensenada, Mexico"/>
    <s v="Exportada De Sal S.A."/>
    <s v="Unknown"/>
    <s v="Tijuana - Guerrero Negro"/>
    <x v="277"/>
    <s v="Unknown"/>
    <s v="Unknown"/>
    <n v="12"/>
    <n v="10"/>
    <n v="2"/>
    <n v="12"/>
    <n v="10"/>
    <n v="2"/>
    <n v="0"/>
    <s v="Crashed into a mountain after being blown off course by a storm while en route."/>
    <n v="0"/>
    <n v="1"/>
    <x v="1"/>
  </r>
  <r>
    <n v="2364"/>
    <x v="2152"/>
    <x v="57"/>
    <x v="0"/>
    <d v="1899-12-30T20:22:00"/>
    <s v="Chicago, Illinois"/>
    <s v="North Central Airlines"/>
    <n v="458"/>
    <s v="Minneapolis - Chicago - Milwaukee"/>
    <x v="1030"/>
    <s v="N2045"/>
    <n v="369"/>
    <n v="45"/>
    <n v="41"/>
    <n v="4"/>
    <n v="27"/>
    <n v="24"/>
    <n v="3"/>
    <n v="1"/>
    <s v="The aircraft crashed during an instrument approach after a go-around, nearly inverted, into a hangar. Spacial disorientation of the crew precipitated by refraction of the landing or approach lights during transition from flying IFR to visual reference to the ground."/>
    <n v="18"/>
    <n v="0.6"/>
    <x v="0"/>
  </r>
  <r>
    <n v="2365"/>
    <x v="2153"/>
    <x v="57"/>
    <x v="0"/>
    <s v="Unknown"/>
    <s v="Near Ciudad Victoria, Mexico"/>
    <s v="Servicios AÃ©reos Especiales"/>
    <s v="Unknown"/>
    <s v="Reynosa - Tampico"/>
    <x v="277"/>
    <s v="XA-SAE"/>
    <n v="20554"/>
    <n v="26"/>
    <n v="22"/>
    <n v="4"/>
    <n v="26"/>
    <n v="22"/>
    <n v="4"/>
    <n v="0"/>
    <s v="Struck the slope of a mountain west of Soto la Marina in marginal weather,"/>
    <n v="0"/>
    <n v="1"/>
    <x v="1"/>
  </r>
  <r>
    <n v="2366"/>
    <x v="2153"/>
    <x v="57"/>
    <x v="0"/>
    <d v="1899-12-30T08:30:00"/>
    <s v="Port Hedland, WA, Australia"/>
    <s v="MacRobertson Miller Airlines"/>
    <n v="1750"/>
    <s v="Perth - Port Hedland"/>
    <x v="890"/>
    <s v="VH-RMQ"/>
    <n v="45"/>
    <n v="26"/>
    <n v="21"/>
    <n v="5"/>
    <n v="26"/>
    <n v="21"/>
    <n v="5"/>
    <n v="0"/>
    <s v="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
    <n v="0"/>
    <n v="1"/>
    <x v="1"/>
  </r>
  <r>
    <n v="2367"/>
    <x v="2154"/>
    <x v="58"/>
    <x v="0"/>
    <d v="1899-12-30T12:43:00"/>
    <s v="Tyonek, Alaska"/>
    <s v="ERA Helicopter"/>
    <s v="Unknown"/>
    <s v="Unknown"/>
    <x v="1099"/>
    <s v="N4048G"/>
    <s v="Unknown"/>
    <n v="2"/>
    <n v="1"/>
    <n v="1"/>
    <n v="2"/>
    <n v="1"/>
    <n v="1"/>
    <n v="0"/>
    <s v="The helicopter crashed into the water after a uncontrolled descent. Moisture in the servo cylinder vent ports froze causing the pilot valves ports to become inoperative causing the  pitch control to lock-up."/>
    <n v="0"/>
    <n v="1"/>
    <x v="1"/>
  </r>
  <r>
    <n v="2368"/>
    <x v="2154"/>
    <x v="58"/>
    <x v="0"/>
    <d v="1899-12-30T20:12:00"/>
    <s v="Mt. Paku, Taiwan"/>
    <s v="China Airlines (Taiwan)"/>
    <n v="227"/>
    <s v="Kaohsiung - Hualien"/>
    <x v="537"/>
    <s v="B-309"/>
    <n v="12541"/>
    <n v="24"/>
    <n v="19"/>
    <n v="5"/>
    <n v="24"/>
    <n v="19"/>
    <n v="5"/>
    <n v="0"/>
    <s v="Encountered extreme turbulence and downdrafts while en route near mountains."/>
    <n v="0"/>
    <n v="1"/>
    <x v="1"/>
  </r>
  <r>
    <n v="2369"/>
    <x v="2155"/>
    <x v="58"/>
    <x v="0"/>
    <d v="1899-12-30T01:34:00"/>
    <s v="Gatwick Airport, Horley, Surrey,  England"/>
    <s v="Ariana Afghan Airlines"/>
    <n v="701"/>
    <s v="Frankfurt - London"/>
    <x v="1100"/>
    <s v="YA-FAR"/>
    <s v="19690/540"/>
    <n v="62"/>
    <n v="54"/>
    <n v="8"/>
    <n v="48"/>
    <n v="43"/>
    <n v="5"/>
    <n v="2"/>
    <s v="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
    <n v="14"/>
    <n v="0.77419354838709675"/>
    <x v="1"/>
  </r>
  <r>
    <n v="2370"/>
    <x v="2156"/>
    <x v="58"/>
    <x v="0"/>
    <d v="1899-12-30T20:35:00"/>
    <s v="Near Bradford, Pennsylvania"/>
    <s v="Allegheny Airlines"/>
    <n v="737"/>
    <s v="Washington - Harrisburgh - Bradford - Erie - Detroit"/>
    <x v="1030"/>
    <s v="N5825"/>
    <n v="386"/>
    <n v="28"/>
    <n v="25"/>
    <n v="3"/>
    <n v="11"/>
    <n v="9"/>
    <n v="2"/>
    <n v="0"/>
    <s v="Crashed, clipping tree tops short of the runway, in light snow while on approach. An excessive descent was not detected or corrected by the crew for reasons unknown. Possibilities include an altimeter failure or misreading of the instrument approach chart."/>
    <n v="17"/>
    <n v="0.39285714285714285"/>
    <x v="0"/>
  </r>
  <r>
    <n v="2371"/>
    <x v="2157"/>
    <x v="58"/>
    <x v="0"/>
    <d v="1899-12-30T19:21:00"/>
    <s v="Off Los Angeles, California"/>
    <s v="Scandinavian Airlines (SAS)"/>
    <n v="933"/>
    <s v="Copenhagen - Los Angeles - Seattle"/>
    <x v="1094"/>
    <s v="LN-MOO"/>
    <s v="45822/272"/>
    <n v="45"/>
    <n v="36"/>
    <n v="9"/>
    <n v="15"/>
    <n v="12"/>
    <n v="3"/>
    <n v="0"/>
    <s v="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quot;Sverre Viking.&quot;"/>
    <n v="30"/>
    <n v="0.33333333333333331"/>
    <x v="2"/>
  </r>
  <r>
    <n v="2372"/>
    <x v="2158"/>
    <x v="58"/>
    <x v="0"/>
    <d v="1899-12-30T13:45:00"/>
    <s v="Near Hue, Vietnam"/>
    <s v="Air America"/>
    <s v="Unknown"/>
    <s v="Hue - da Nang"/>
    <x v="387"/>
    <n v="949"/>
    <n v="20415"/>
    <n v="12"/>
    <n v="9"/>
    <n v="3"/>
    <n v="12"/>
    <n v="9"/>
    <n v="3"/>
    <n v="0"/>
    <s v="Struck a mountain in poor weather while en route."/>
    <n v="0"/>
    <n v="1"/>
    <x v="1"/>
  </r>
  <r>
    <n v="2373"/>
    <x v="2159"/>
    <x v="58"/>
    <x v="0"/>
    <d v="1899-12-30T18:21:00"/>
    <s v="Off Los Angeles, California"/>
    <s v="United Air Lines"/>
    <n v="266"/>
    <s v="Los Angeles - Denver - Milwaukee"/>
    <x v="1101"/>
    <s v="N7434U"/>
    <s v="19891/631"/>
    <n v="38"/>
    <n v="32"/>
    <n v="6"/>
    <n v="38"/>
    <n v="32"/>
    <n v="6"/>
    <n v="0"/>
    <s v="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quot; One unproven scenario that is not contradicted by available evidence was the inadvertent placement of the battery switch to the &quot;OFF&quot;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
    <n v="0"/>
    <n v="1"/>
    <x v="1"/>
  </r>
  <r>
    <n v="2374"/>
    <x v="2160"/>
    <x v="58"/>
    <x v="0"/>
    <d v="1899-12-30T05:10:00"/>
    <s v="Near Lone Pine, California"/>
    <s v="Mineral County Airlines"/>
    <n v="708"/>
    <s v="Hawthorne, NV - Burbank - Long Beach"/>
    <x v="277"/>
    <s v="N15570"/>
    <n v="6320"/>
    <n v="35"/>
    <n v="32"/>
    <n v="3"/>
    <n v="35"/>
    <n v="32"/>
    <n v="3"/>
    <n v="0"/>
    <s v="The flight designated &quot;gambler's special&quot;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
    <n v="0"/>
    <n v="1"/>
    <x v="1"/>
  </r>
  <r>
    <n v="2375"/>
    <x v="2161"/>
    <x v="58"/>
    <x v="0"/>
    <s v="Unknown"/>
    <s v="Tainan, Taiwan"/>
    <s v="Far Eastern Air Transport"/>
    <s v="Unknown"/>
    <s v="Kaohsiung - Taipei"/>
    <x v="1102"/>
    <s v="B-2009"/>
    <n v="157"/>
    <n v="36"/>
    <n v="32"/>
    <n v="4"/>
    <n v="36"/>
    <n v="32"/>
    <n v="4"/>
    <n v="0"/>
    <s v="Crashed after experiencing an engine failure during takeoff. The plane passed over a wooded area and belly-landed in a small cleared and skidded into a creek."/>
    <n v="0"/>
    <n v="1"/>
    <x v="1"/>
  </r>
  <r>
    <n v="2376"/>
    <x v="2162"/>
    <x v="58"/>
    <x v="0"/>
    <d v="1899-12-30T17:38:00"/>
    <s v="San Juan, Puerto Rico"/>
    <s v="Prinair"/>
    <s v="Unknown"/>
    <s v="Saint Thomas - San Juan"/>
    <x v="779"/>
    <s v="N563PR"/>
    <n v="14125"/>
    <n v="19"/>
    <n v="17"/>
    <n v="2"/>
    <n v="19"/>
    <n v="17"/>
    <n v="2"/>
    <n v="0"/>
    <s v="Crashed into the Sierra de Luquillo mountains. The vectoring of the aircraft by a ATC trainee into mountainous terrain under IFR  conditions without adequate clearance altitude."/>
    <n v="0"/>
    <n v="1"/>
    <x v="1"/>
  </r>
  <r>
    <n v="2377"/>
    <x v="2163"/>
    <x v="58"/>
    <x v="0"/>
    <s v="Unknown"/>
    <s v="Atlantic Ocean"/>
    <s v="Continental Air Transport"/>
    <s v="Unknown"/>
    <s v="Halifax, NS - Santa Maria, Portugal"/>
    <x v="487"/>
    <s v="N3821"/>
    <n v="10356"/>
    <n v="3"/>
    <n v="0"/>
    <n v="3"/>
    <n v="3"/>
    <n v="0"/>
    <n v="3"/>
    <n v="0"/>
    <s v="The cargo plane went missing en route between Santa Maria and the Azores Islands."/>
    <n v="0"/>
    <n v="1"/>
    <x v="1"/>
  </r>
  <r>
    <n v="2378"/>
    <x v="2164"/>
    <x v="58"/>
    <x v="0"/>
    <d v="1899-12-30T15:52:00"/>
    <s v="Minchumina, Alaska"/>
    <s v="Wien Consolidated Airlines"/>
    <s v="Unknown"/>
    <s v="Fairbanks - Bethel - Minchumina"/>
    <x v="1103"/>
    <s v="N4901"/>
    <n v="3"/>
    <n v="5"/>
    <n v="4"/>
    <n v="1"/>
    <n v="1"/>
    <n v="1"/>
    <n v="0"/>
    <n v="0"/>
    <s v="Crashed after the pilot experienced spatial disorientation in a whiteout."/>
    <n v="4"/>
    <n v="0.2"/>
    <x v="2"/>
  </r>
  <r>
    <n v="2379"/>
    <x v="2165"/>
    <x v="58"/>
    <x v="0"/>
    <d v="1899-12-30T14:00:00"/>
    <s v="Maracaibo, Zulia, Venezuela"/>
    <s v="Venezolana Internacional de Aviacion"/>
    <n v="742"/>
    <s v="Maracaibo - Miami"/>
    <x v="1104"/>
    <s v="YV-C-AVD"/>
    <s v="47243/448"/>
    <n v="84"/>
    <n v="74"/>
    <n v="10"/>
    <n v="84"/>
    <n v="74"/>
    <n v="10"/>
    <n v="71"/>
    <s v="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
    <n v="0"/>
    <n v="1"/>
    <x v="1"/>
  </r>
  <r>
    <n v="2380"/>
    <x v="2166"/>
    <x v="58"/>
    <x v="0"/>
    <d v="1899-12-30T02:00:00"/>
    <s v="Near Aswan, Egypt"/>
    <s v="United Arab Airlines"/>
    <s v="Unknown"/>
    <s v="Jeddah - Aswan"/>
    <x v="913"/>
    <s v="SU-APC"/>
    <n v="188011301"/>
    <n v="105"/>
    <n v="98"/>
    <n v="7"/>
    <n v="100"/>
    <n v="93"/>
    <n v="7"/>
    <n v="0"/>
    <s v="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
    <n v="5"/>
    <n v="0.95238095238095233"/>
    <x v="1"/>
  </r>
  <r>
    <n v="2381"/>
    <x v="2166"/>
    <x v="58"/>
    <x v="0"/>
    <d v="1899-12-30T06:55:00"/>
    <s v="New Orleans, Louisiana"/>
    <s v="Avion Airways"/>
    <s v="Unknown"/>
    <s v="Memphis - New Orleans"/>
    <x v="277"/>
    <s v="N142D"/>
    <n v="1946"/>
    <n v="27"/>
    <n v="24"/>
    <n v="3"/>
    <n v="16"/>
    <n v="13"/>
    <n v="3"/>
    <n v="0"/>
    <s v="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
    <n v="11"/>
    <n v="0.59259259259259256"/>
    <x v="0"/>
  </r>
  <r>
    <n v="2382"/>
    <x v="2167"/>
    <x v="58"/>
    <x v="0"/>
    <d v="1899-12-30T16:08:00"/>
    <s v="Zawoja, Poland"/>
    <s v="LOT Polish Airlines"/>
    <n v="165"/>
    <s v="Warsaw - Cracow"/>
    <x v="1086"/>
    <s v="SP-LTF"/>
    <n v="67302406"/>
    <n v="53"/>
    <n v="48"/>
    <n v="5"/>
    <n v="53"/>
    <n v="48"/>
    <n v="5"/>
    <n v="0"/>
    <s v="The aircraft was on a flight from Warsaw to Cracow when it crashed into the Babia Gora mountains. The aircraft deviated from its normal route in heavy fog for unknown reasons."/>
    <n v="0"/>
    <n v="1"/>
    <x v="1"/>
  </r>
  <r>
    <n v="2383"/>
    <x v="2167"/>
    <x v="58"/>
    <x v="0"/>
    <d v="1899-12-30T12:40:00"/>
    <s v="Near Quang Tri, South Vietnam"/>
    <s v="Military - U.S. Army"/>
    <s v="Unknown"/>
    <s v="Unknown"/>
    <x v="1105"/>
    <s v="67-18523"/>
    <s v="Unknown"/>
    <n v="78"/>
    <n v="73"/>
    <n v="5"/>
    <n v="24"/>
    <n v="23"/>
    <n v="1"/>
    <n v="0"/>
    <s v="As the helicopter was taking off in a vertical climb, there was a loss in rotor speed and the aircraft touched down on the edge of a ravine and rolled over causing the rotor blades to strike the ground and a fire to erupt."/>
    <n v="54"/>
    <n v="0.30769230769230771"/>
    <x v="2"/>
  </r>
  <r>
    <n v="2384"/>
    <x v="2167"/>
    <x v="58"/>
    <x v="0"/>
    <d v="1899-12-30T12:50:00"/>
    <s v="Off New Providence Island, Bahamas"/>
    <s v="Islands of the Bahamas Inc"/>
    <s v="Unknown"/>
    <s v="Unknown"/>
    <x v="667"/>
    <s v="N3914"/>
    <n v="22445"/>
    <n v="2"/>
    <n v="0"/>
    <n v="2"/>
    <n v="2"/>
    <n v="0"/>
    <n v="2"/>
    <n v="0"/>
    <s v="The cargo aircraft crashed into the ocean after a reported fire."/>
    <n v="0"/>
    <n v="1"/>
    <x v="1"/>
  </r>
  <r>
    <n v="2385"/>
    <x v="2168"/>
    <x v="58"/>
    <x v="0"/>
    <s v="Unknown"/>
    <s v="Sept-ÃŽles, Quebec, Canada"/>
    <s v="Air Canada"/>
    <s v="Unknown"/>
    <s v="Seven Islands - Montreal"/>
    <x v="909"/>
    <s v="CF-THK"/>
    <n v="271"/>
    <n v="21"/>
    <n v="17"/>
    <n v="4"/>
    <n v="1"/>
    <n v="1"/>
    <n v="0"/>
    <n v="0"/>
    <s v="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
    <n v="20"/>
    <n v="4.7619047619047616E-2"/>
    <x v="2"/>
  </r>
  <r>
    <n v="2386"/>
    <x v="2169"/>
    <x v="58"/>
    <x v="0"/>
    <d v="1899-12-30T13:50:00"/>
    <s v="Off Chongjin, North Korea"/>
    <s v="Military - U.S. Navy"/>
    <s v="Unknown"/>
    <s v="Atsuji - Atsuji"/>
    <x v="1106"/>
    <n v="135749"/>
    <n v="4318"/>
    <n v="31"/>
    <n v="25"/>
    <n v="6"/>
    <n v="31"/>
    <n v="25"/>
    <n v="6"/>
    <n v="0"/>
    <s v="The aircraft was shot down over the Sea of Japan by two North Korean MiG jet fighters while making a reconnaissance flight."/>
    <n v="0"/>
    <n v="1"/>
    <x v="1"/>
  </r>
  <r>
    <n v="2387"/>
    <x v="2170"/>
    <x v="58"/>
    <x v="0"/>
    <d v="1899-12-30T08:20:00"/>
    <s v="Kinshasa, Zaire"/>
    <s v="Wigmo"/>
    <s v="Unknown"/>
    <s v="Kinshasa - Kananga - Mbuji-Mayi"/>
    <x v="469"/>
    <s v="9T-PLJ"/>
    <n v="26710"/>
    <n v="45"/>
    <n v="42"/>
    <n v="3"/>
    <n v="45"/>
    <n v="42"/>
    <n v="3"/>
    <n v="0"/>
    <s v="The plane developed landing gear trouble while attempting to land at Luluaburg. The pilot chose to return to Kinshasa. He was circling to use up fuel when the accident occurred. The plane crashed into the Congo River. Leased to the Congolese Air Force. Possible fuel exhaustion,."/>
    <n v="0"/>
    <n v="1"/>
    <x v="1"/>
  </r>
  <r>
    <n v="2388"/>
    <x v="2171"/>
    <x v="58"/>
    <x v="0"/>
    <d v="1899-12-30T14:59:00"/>
    <s v="Khulna, East Pakistan"/>
    <s v="Indian Airlines"/>
    <s v="Unknown"/>
    <s v="Silchar, India - Khulna, Bangladesh"/>
    <x v="848"/>
    <s v="VT-DOJ"/>
    <n v="10214"/>
    <n v="44"/>
    <n v="40"/>
    <n v="4"/>
    <n v="44"/>
    <n v="40"/>
    <n v="4"/>
    <n v="0"/>
    <s v="The aircraft crashed in adverse weather conditions. Windshear. The crew tried to fly through thunderstorms at a low level but lost control in severe downdrafts."/>
    <n v="0"/>
    <n v="1"/>
    <x v="1"/>
  </r>
  <r>
    <n v="2389"/>
    <x v="2172"/>
    <x v="58"/>
    <x v="0"/>
    <s v="Unknown"/>
    <s v="Near Takoradi, Ghana"/>
    <s v="Ghana Airways"/>
    <s v="Unknown"/>
    <s v="Unknown"/>
    <x v="277"/>
    <s v="9G-AAF"/>
    <n v="9407"/>
    <n v="33"/>
    <n v="30"/>
    <n v="3"/>
    <n v="1"/>
    <n v="1"/>
    <n v="0"/>
    <n v="0"/>
    <s v="The aircraft struck high ground after engine problems required  a forced landing."/>
    <n v="32"/>
    <n v="3.0303030303030304E-2"/>
    <x v="2"/>
  </r>
  <r>
    <n v="2390"/>
    <x v="2173"/>
    <x v="58"/>
    <x v="0"/>
    <d v="1899-12-30T13:20:00"/>
    <s v="Near Chon Thanh, South Vietnam"/>
    <s v="Military - U.S. Army"/>
    <s v="Unknown"/>
    <s v="Unknown"/>
    <x v="1107"/>
    <s v="66-19029"/>
    <s v="Unknown"/>
    <n v="74"/>
    <n v="69"/>
    <n v="5"/>
    <n v="30"/>
    <n v="29"/>
    <n v="1"/>
    <n v="0"/>
    <s v="As the helicopter was taking off, the landing gear became entangled in some wire which dragged the aircraft down and caused it to fall over a cliff."/>
    <n v="44"/>
    <n v="0.40540540540540543"/>
    <x v="0"/>
  </r>
  <r>
    <n v="2391"/>
    <x v="2174"/>
    <x v="58"/>
    <x v="0"/>
    <d v="1899-12-30T12:45:00"/>
    <s v="Medford, New Jersey"/>
    <s v="Flying W Airways"/>
    <s v="Unknown"/>
    <s v="Medford, NJ - Allentown, PA"/>
    <x v="667"/>
    <s v="N1243N"/>
    <n v="22456"/>
    <n v="2"/>
    <n v="0"/>
    <n v="2"/>
    <n v="2"/>
    <n v="0"/>
    <n v="2"/>
    <n v="0"/>
    <s v="Lifted off prematurely to avoid a parked aircraft and struck trees."/>
    <n v="0"/>
    <n v="1"/>
    <x v="1"/>
  </r>
  <r>
    <n v="2392"/>
    <x v="2175"/>
    <x v="58"/>
    <x v="0"/>
    <s v="Unknown"/>
    <s v="Near Lashio, Burma"/>
    <s v="Union of Burma Airways"/>
    <s v="Unknown"/>
    <s v="Unknown"/>
    <x v="368"/>
    <s v="XY-ACR"/>
    <n v="9629"/>
    <n v="6"/>
    <n v="4"/>
    <n v="2"/>
    <n v="6"/>
    <n v="4"/>
    <n v="2"/>
    <n v="0"/>
    <s v="Lost control on approach and nosed into the ground in a field. Flap asymmetry in the final stages of the flight."/>
    <n v="0"/>
    <n v="1"/>
    <x v="1"/>
  </r>
  <r>
    <n v="2393"/>
    <x v="2176"/>
    <x v="58"/>
    <x v="0"/>
    <d v="1899-12-30T09:52:00"/>
    <s v="Reggio di Calabria, Italy"/>
    <s v="Aero Transporti Italiani"/>
    <s v="Unknown"/>
    <s v="Rome - Reggio di Calabria"/>
    <x v="1108"/>
    <s v="I-ATIT"/>
    <n v="10363"/>
    <n v="36"/>
    <n v="31"/>
    <n v="5"/>
    <n v="1"/>
    <n v="1"/>
    <n v="0"/>
    <n v="0"/>
    <s v="Landed short of the runway and hit a wall. Misjudgement by the pilots of the distance between the aircraft and the ground during the final phase of the landing approach."/>
    <n v="35"/>
    <n v="2.7777777777777776E-2"/>
    <x v="2"/>
  </r>
  <r>
    <n v="2394"/>
    <x v="2177"/>
    <x v="58"/>
    <x v="0"/>
    <d v="1899-12-30T08:42:00"/>
    <s v="Near Salinas Victoria, Nuevo Leon, Mexico"/>
    <s v="Compania Mexicana de Aviacion"/>
    <n v="704"/>
    <s v="Mexico City - Monterey"/>
    <x v="1109"/>
    <s v="XA-SEL"/>
    <s v="19256/355"/>
    <n v="79"/>
    <n v="72"/>
    <n v="7"/>
    <n v="79"/>
    <n v="72"/>
    <n v="7"/>
    <n v="0"/>
    <s v="While the crew was descending and attempting to align with the runway, the plane hit high ground, several kilometers from the airport, in poor weather conditions. Excessive speed and wide radius of turn took the  aircraft out of the designated descent area and over rising terrain."/>
    <n v="0"/>
    <n v="1"/>
    <x v="1"/>
  </r>
  <r>
    <n v="2395"/>
    <x v="2178"/>
    <x v="58"/>
    <x v="0"/>
    <s v="Unknown"/>
    <s v="Off Andreanof Islands, Alaska"/>
    <s v="Military - U.S. Air Force"/>
    <s v="Unknown"/>
    <s v="Shemya, AK - Eielson, AK"/>
    <x v="826"/>
    <s v="62-4137"/>
    <n v="18477"/>
    <n v="19"/>
    <n v="0"/>
    <n v="19"/>
    <n v="19"/>
    <n v="0"/>
    <n v="19"/>
    <n v="0"/>
    <s v="Vanished en route. A message was received from the aircraft stating they were experiencing a vibration but not declaring an emergency followed by &quot;crew go to oxygen.&quot;"/>
    <n v="0"/>
    <n v="1"/>
    <x v="1"/>
  </r>
  <r>
    <n v="2396"/>
    <x v="2179"/>
    <x v="58"/>
    <x v="0"/>
    <d v="1899-12-30T14:52:00"/>
    <s v="Near Poroslitsy, Russia"/>
    <s v="Aeroflot"/>
    <n v="831"/>
    <s v="Moscow - Chernihiv"/>
    <x v="1110"/>
    <s v="CCCP-52018"/>
    <s v="_x0009_ 7343208/402503"/>
    <n v="120"/>
    <n v="110"/>
    <n v="10"/>
    <n v="120"/>
    <n v="110"/>
    <n v="10"/>
    <n v="0"/>
    <s v="A soviet air force plane carrying 91 paratroopers collided with a passenger airliner at 3,000 m. The IL-14 pilot changed altitude without permission to avoid storm clouds. Twenty-four killed on the IL-14 and 96 on the An12."/>
    <n v="0"/>
    <n v="1"/>
    <x v="1"/>
  </r>
  <r>
    <n v="2397"/>
    <x v="2180"/>
    <x v="58"/>
    <x v="0"/>
    <d v="1899-12-30T19:50:00"/>
    <s v=" Near Talas, Kyrgyzstan"/>
    <s v="Aeroflot"/>
    <s v="F-28"/>
    <s v="Talas, Kyrgyzstan - Frunze, Russia"/>
    <x v="813"/>
    <s v="CCCP-91495"/>
    <n v="7343306"/>
    <n v="40"/>
    <n v="35"/>
    <n v="5"/>
    <n v="40"/>
    <n v="35"/>
    <n v="5"/>
    <n v="0"/>
    <s v="The passenger plane struck a mountian 34 km from Talas. Crew error. The crew made a right turn  towards the mountains instead of  a left turn."/>
    <n v="0"/>
    <n v="1"/>
    <x v="1"/>
  </r>
  <r>
    <n v="2398"/>
    <x v="2181"/>
    <x v="58"/>
    <x v="0"/>
    <d v="1899-12-30T20:22:00"/>
    <s v="Near Monroe, Georgia"/>
    <s v="Air South"/>
    <n v="168"/>
    <s v="Atlanta, GA - Sumpter, SC - Greer, SC"/>
    <x v="1111"/>
    <s v="N844NS"/>
    <s v="U16"/>
    <n v="14"/>
    <n v="12"/>
    <n v="2"/>
    <n v="14"/>
    <n v="12"/>
    <n v="2"/>
    <n v="0"/>
    <s v="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
    <n v="0"/>
    <n v="1"/>
    <x v="1"/>
  </r>
  <r>
    <n v="2399"/>
    <x v="2182"/>
    <x v="58"/>
    <x v="0"/>
    <s v="Unknown"/>
    <s v="Hitauda, Nepal"/>
    <s v="Royal Nepal Airlines"/>
    <s v="Unknown"/>
    <s v="Katmandu - Simra"/>
    <x v="277"/>
    <s v="9N-AAP"/>
    <n v="42956"/>
    <n v="35"/>
    <n v="31"/>
    <n v="4"/>
    <n v="35"/>
    <n v="31"/>
    <n v="4"/>
    <n v="0"/>
    <s v="Collided with trees on a cloud covered mountain summit. The plane was 10 miles from its destination when it crashed. Weather was poor at the time of the accident."/>
    <n v="0"/>
    <n v="1"/>
    <x v="1"/>
  </r>
  <r>
    <n v="2400"/>
    <x v="2183"/>
    <x v="58"/>
    <x v="0"/>
    <d v="1899-12-30T06:57:00"/>
    <s v="New York City, New York"/>
    <s v="New York Airways"/>
    <n v="901"/>
    <s v="New York - Newark"/>
    <x v="1095"/>
    <s v="N558MA"/>
    <n v="175"/>
    <n v="14"/>
    <n v="11"/>
    <n v="3"/>
    <n v="3"/>
    <n v="1"/>
    <n v="2"/>
    <n v="0"/>
    <s v="The plane flew into wake turbulence and crashed.  The pilot was 12 minutes behind schedule and made an intersection takeoff. The tower warned him of wake turbulence from a recently departing jet."/>
    <n v="11"/>
    <n v="0.21428571428571427"/>
    <x v="2"/>
  </r>
  <r>
    <n v="2401"/>
    <x v="2184"/>
    <x v="58"/>
    <x v="0"/>
    <d v="1899-12-30T17:45:00"/>
    <s v="Kekaha, Hawaii"/>
    <s v="Trans Isle Air"/>
    <s v="Unknown"/>
    <s v="Kalaupapa - Lihue"/>
    <x v="1112"/>
    <s v="N88G"/>
    <n v="826"/>
    <n v="13"/>
    <n v="11"/>
    <n v="2"/>
    <n v="1"/>
    <n v="1"/>
    <n v="0"/>
    <n v="0"/>
    <s v="The sightseeing flight collided with trees after experiencing an engine failure. Failure of valve assembly. Pilot-in-command exercised poor judgment. Unwarranted low flying."/>
    <n v="12"/>
    <n v="7.6923076923076927E-2"/>
    <x v="2"/>
  </r>
  <r>
    <n v="2402"/>
    <x v="2185"/>
    <x v="58"/>
    <x v="0"/>
    <d v="1899-12-30T01:30:00"/>
    <s v="Biskra, Algeria"/>
    <s v="Air Algerie"/>
    <s v="Unknown"/>
    <s v="Marseille- Algiers - Hassi Messaoud"/>
    <x v="1113"/>
    <s v="7T-VAK"/>
    <s v="073/73"/>
    <n v="37"/>
    <n v="30"/>
    <n v="7"/>
    <n v="33"/>
    <n v="30"/>
    <n v="3"/>
    <n v="0"/>
    <s v="Crash landed while attempting an emergency landing after a fire in an electrical panel led to a cabin fire."/>
    <n v="4"/>
    <n v="0.89189189189189189"/>
    <x v="1"/>
  </r>
  <r>
    <n v="2403"/>
    <x v="2185"/>
    <x v="58"/>
    <x v="0"/>
    <d v="1899-12-30T12:33:00"/>
    <s v="Atlantic City, New Jersey"/>
    <s v="Trans World Airlines"/>
    <s v="Unknown"/>
    <s v="Training"/>
    <x v="1114"/>
    <s v="N787TW"/>
    <s v="18712/373"/>
    <n v="5"/>
    <n v="0"/>
    <n v="5"/>
    <n v="5"/>
    <n v="0"/>
    <n v="5"/>
    <n v="0"/>
    <s v="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
    <n v="0"/>
    <n v="1"/>
    <x v="1"/>
  </r>
  <r>
    <n v="2404"/>
    <x v="2186"/>
    <x v="58"/>
    <x v="0"/>
    <d v="1899-12-30T16:00:00"/>
    <s v="_x0009_Preobrazhenka, Ukraine"/>
    <s v="Aeroflot"/>
    <s v="H926"/>
    <s v="_x0009_Dnepropetrovsk - _x0009_Vinnitsa"/>
    <x v="1009"/>
    <s v="_x0009_ CCCP-46248"/>
    <s v="_x0009_ 77303206"/>
    <n v="55"/>
    <n v="51"/>
    <n v="4"/>
    <n v="55"/>
    <n v="51"/>
    <n v="4"/>
    <n v="0"/>
    <s v="At an altitude of 4,000 m the propeller separated from the left engine.The blade punctured the fuselage, severing elevator and aileron controls. The crew could not control the plane  anymore. It went into a spin and crashed."/>
    <n v="0"/>
    <n v="1"/>
    <x v="1"/>
  </r>
  <r>
    <n v="2405"/>
    <x v="2186"/>
    <x v="58"/>
    <x v="0"/>
    <s v="Unknown"/>
    <s v="Uli , Nigeria"/>
    <s v="Canairelief Air"/>
    <s v="Unknown"/>
    <s v="Unknown"/>
    <x v="804"/>
    <s v="CF-NAJ"/>
    <n v="4828"/>
    <n v="4"/>
    <n v="0"/>
    <n v="4"/>
    <n v="4"/>
    <n v="0"/>
    <n v="4"/>
    <n v="0"/>
    <s v="The cargo plane crashed while attempting to land."/>
    <n v="0"/>
    <n v="1"/>
    <x v="1"/>
  </r>
  <r>
    <n v="2406"/>
    <x v="2187"/>
    <x v="58"/>
    <x v="0"/>
    <d v="1899-12-30T17:00:00"/>
    <s v="Near Long Tieng, Laos"/>
    <s v="Air America"/>
    <s v="Unknown"/>
    <s v="Long Tieng, Laos - Sam Thong, Laos"/>
    <x v="1115"/>
    <s v="N196X"/>
    <n v="596"/>
    <n v="13"/>
    <n v="12"/>
    <n v="1"/>
    <n v="13"/>
    <n v="12"/>
    <n v="1"/>
    <n v="0"/>
    <s v="The plane crashed into a hillside as it was about to come in for a landing and after the pilot was shot."/>
    <n v="0"/>
    <n v="1"/>
    <x v="1"/>
  </r>
  <r>
    <n v="2407"/>
    <x v="2188"/>
    <x v="58"/>
    <x v="0"/>
    <s v="Unknown"/>
    <s v="Sucre, Ecuador"/>
    <s v="TAO"/>
    <s v="Unknown"/>
    <s v="Unknown"/>
    <x v="443"/>
    <s v="HC-ALK"/>
    <s v="15777/27222"/>
    <n v="1"/>
    <n v="0"/>
    <n v="4"/>
    <n v="1"/>
    <n v="0"/>
    <n v="1"/>
    <n v="0"/>
    <s v="The cargo plane crashed under unknown circumstances."/>
    <n v="0"/>
    <n v="1"/>
    <x v="1"/>
  </r>
  <r>
    <n v="2408"/>
    <x v="2189"/>
    <x v="58"/>
    <x v="0"/>
    <d v="1899-12-30T20:31:00"/>
    <s v="Moscow, Russia"/>
    <s v="Aeroflot"/>
    <n v="1770"/>
    <s v="_x0009_Noril'sk - Moscow"/>
    <x v="837"/>
    <s v="_x0009_ CCCP-75708"/>
    <n v="189001705"/>
    <n v="102"/>
    <n v="94"/>
    <n v="8"/>
    <n v="16"/>
    <n v="16"/>
    <n v="0"/>
    <n v="0"/>
    <s v="On final approach to Moscow-Vnukovo, the flying crew failed to lower the landing gear."/>
    <n v="86"/>
    <n v="0.15686274509803921"/>
    <x v="2"/>
  </r>
  <r>
    <n v="2409"/>
    <x v="2189"/>
    <x v="58"/>
    <x v="0"/>
    <d v="1899-12-30T09:45:00"/>
    <s v=" Khovu-Aksy, Russia"/>
    <s v="Aeroflot"/>
    <n v="545"/>
    <s v="Kyzyl - Khovu-Aksy"/>
    <x v="997"/>
    <s v="CCCP-41971"/>
    <s v="1 33 473 11"/>
    <n v="14"/>
    <n v="11"/>
    <n v="3"/>
    <n v="14"/>
    <n v="11"/>
    <n v="3"/>
    <n v="0"/>
    <s v="The crew encountered below-minima weather conditions with low clouds over the mountains.The airplane struck the slope of a mountain"/>
    <n v="0"/>
    <n v="1"/>
    <x v="1"/>
  </r>
  <r>
    <n v="2410"/>
    <x v="2190"/>
    <x v="58"/>
    <x v="0"/>
    <d v="1899-12-30T20:05:00"/>
    <s v="Newton, Iowa"/>
    <s v="Private Charter"/>
    <s v="-"/>
    <s v="Chicago - Des Moines."/>
    <x v="1116"/>
    <s v="N3149X"/>
    <n v="55299"/>
    <n v="3"/>
    <n v="2"/>
    <n v="1"/>
    <n v="3"/>
    <n v="2"/>
    <n v="1"/>
    <n v="0"/>
    <s v="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
    <n v="0"/>
    <n v="1"/>
    <x v="1"/>
  </r>
  <r>
    <n v="2411"/>
    <x v="2191"/>
    <x v="58"/>
    <x v="0"/>
    <d v="1899-12-30T13:05:00"/>
    <s v="Cross Bay, Russia"/>
    <s v="Aeroflot"/>
    <n v="55"/>
    <s v="Anadyr - Cross Bay"/>
    <x v="770"/>
    <s v="CCCP-61731"/>
    <n v="146000205"/>
    <n v="27"/>
    <n v="22"/>
    <n v="5"/>
    <n v="22"/>
    <n v="17"/>
    <n v="5"/>
    <n v="0"/>
    <s v="The plane crashed into a hillside 24 km from the airport in poor weather while on approach.  Failure of the crew  to reduce speed and approach in weather worse than the specified minimum."/>
    <n v="5"/>
    <n v="0.81481481481481477"/>
    <x v="1"/>
  </r>
  <r>
    <n v="2412"/>
    <x v="2192"/>
    <x v="58"/>
    <x v="0"/>
    <d v="1899-12-30T11:15:00"/>
    <s v="Near Pakse, Laos"/>
    <s v="Military - Royal Lao Air Force"/>
    <s v="Unknown"/>
    <s v="Savannakhet - Pakse"/>
    <x v="368"/>
    <n v="248"/>
    <n v="32580"/>
    <n v="35"/>
    <n v="31"/>
    <n v="4"/>
    <n v="35"/>
    <n v="31"/>
    <n v="4"/>
    <n v="0"/>
    <s v="Crashed near the Meking River after being unable to land because of lowe clouds and  running out of fuel."/>
    <n v="0"/>
    <n v="1"/>
    <x v="1"/>
  </r>
  <r>
    <n v="2413"/>
    <x v="2193"/>
    <x v="58"/>
    <x v="0"/>
    <s v="Unknown"/>
    <s v="Quito, Ecuador"/>
    <s v="TAME Ecuador"/>
    <s v="Unknown"/>
    <s v="Unknown"/>
    <x v="277"/>
    <s v="Unknown"/>
    <s v="Unknown"/>
    <n v="16"/>
    <s v="NULL"/>
    <s v="NULL"/>
    <n v="1"/>
    <s v="NULL"/>
    <s v="NULL"/>
    <s v="NULL"/>
    <s v="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
    <n v="15"/>
    <n v="6.25E-2"/>
    <x v="2"/>
  </r>
  <r>
    <n v="2414"/>
    <x v="2194"/>
    <x v="58"/>
    <x v="0"/>
    <d v="1899-12-30T14:00:00"/>
    <s v="Near Medina, Colombia"/>
    <s v="SATENA"/>
    <n v="742"/>
    <s v="Bogota - Villavicencio"/>
    <x v="277"/>
    <s v="FAC-685"/>
    <s v="Unknown"/>
    <n v="32"/>
    <n v="29"/>
    <n v="3"/>
    <n v="32"/>
    <n v="29"/>
    <n v="3"/>
    <n v="0"/>
    <s v="Flew into a mountain, 30 miles from its destination after being diverted because of a severe storm."/>
    <n v="0"/>
    <n v="1"/>
    <x v="1"/>
  </r>
  <r>
    <n v="2415"/>
    <x v="2195"/>
    <x v="58"/>
    <x v="0"/>
    <d v="1899-12-30T14:29:00"/>
    <s v="Near Fairland, Indiana"/>
    <s v="Allegheny Airlines / Forth Corporation"/>
    <n v="853"/>
    <s v="Indianapolis - Bakalar AFB"/>
    <x v="1117"/>
    <s v="N988VJ/N7374J"/>
    <s v="47211/357 / ?"/>
    <n v="83"/>
    <n v="79"/>
    <n v="4"/>
    <n v="83"/>
    <n v="79"/>
    <n v="4"/>
    <n v="0"/>
    <s v="Midair collision at 2,500 ft. The Piper crashed into the tail of the DC-9 as it prepared to land. Eighty-two killed aboard the DC-9, one aboard the Piper.  Inadequate VFR separation and deficiencies in the ATC system in the terminal area with mixed VFR/IFR traffic."/>
    <n v="0"/>
    <n v="1"/>
    <x v="1"/>
  </r>
  <r>
    <n v="2416"/>
    <x v="2196"/>
    <x v="58"/>
    <x v="0"/>
    <s v="Unknown"/>
    <s v="Near Antipolo, Philippines"/>
    <s v="Philippine Air Lines"/>
    <n v="158"/>
    <s v="Mactan - Manilla"/>
    <x v="1118"/>
    <s v="PI-C1131"/>
    <n v="92"/>
    <n v="47"/>
    <n v="42"/>
    <n v="5"/>
    <n v="45"/>
    <n v="41"/>
    <n v="4"/>
    <n v="0"/>
    <s v="Landed short and crashed into a tree during it's approach. Possible faulty altimiter. The weather was clear."/>
    <n v="2"/>
    <n v="0.95744680851063835"/>
    <x v="1"/>
  </r>
  <r>
    <n v="2417"/>
    <x v="2197"/>
    <x v="58"/>
    <x v="0"/>
    <d v="1899-12-30T20:33:00"/>
    <s v="Londrina-Parana, Brazil"/>
    <s v="VASP"/>
    <s v="Unknown"/>
    <s v="Camp Grande - Londrina - Sao Palo"/>
    <x v="277"/>
    <s v="PP-SPP"/>
    <s v="15618/27063"/>
    <n v="21"/>
    <n v="15"/>
    <n v="6"/>
    <n v="20"/>
    <n v="15"/>
    <n v="5"/>
    <n v="0"/>
    <s v="Fifteen minutes after leaving Londina, the port engine was feathered and aircraft returned to Londrina. The plane crashed while attempting a go-around after a failed landing attempt. The only survivor was a crew member thrown clear of the accident."/>
    <n v="1"/>
    <n v="0.95238095238095233"/>
    <x v="1"/>
  </r>
  <r>
    <n v="2418"/>
    <x v="2198"/>
    <x v="58"/>
    <x v="0"/>
    <d v="1899-12-30T17:09:00"/>
    <s v="Campbell River, Canada"/>
    <s v="Pacific Western Airlines"/>
    <n v="627"/>
    <s v="Vancouver - Campbell River"/>
    <x v="1119"/>
    <s v="CF-PWR"/>
    <n v="440"/>
    <n v="15"/>
    <n v="11"/>
    <n v="4"/>
    <n v="4"/>
    <n v="2"/>
    <n v="2"/>
    <n v="0"/>
    <s v="Crashed into a hill  while attempting to land in inclement weather. Non-compliance with the instrument approach procedures. Pilot error."/>
    <n v="11"/>
    <n v="0.26666666666666666"/>
    <x v="2"/>
  </r>
  <r>
    <n v="2419"/>
    <x v="2199"/>
    <x v="58"/>
    <x v="0"/>
    <d v="1899-12-30T16:00:00"/>
    <s v="Near Hoi An, Vietnam"/>
    <s v="Air Vietnam (South Vietnam)"/>
    <s v="Unknown"/>
    <s v="Pleiku - Da Nang"/>
    <x v="1120"/>
    <s v="XV-NUG"/>
    <n v="10860"/>
    <n v="76"/>
    <n v="71"/>
    <n v="5"/>
    <n v="74"/>
    <n v="69"/>
    <n v="5"/>
    <n v="2"/>
    <s v="Midair collision. The F-4E landed safely. The DC-4 crashed, killing all seventy-five aboard and two on the ground. Misconstrued instructions on landing by the DC-4."/>
    <n v="2"/>
    <n v="0.97368421052631582"/>
    <x v="1"/>
  </r>
  <r>
    <n v="2420"/>
    <x v="2200"/>
    <x v="58"/>
    <x v="0"/>
    <d v="1899-12-30T17:20:00"/>
    <s v="Mexico City, Mexico"/>
    <s v="Mexicana"/>
    <s v="Unknown"/>
    <s v="Chicago - Mexico City"/>
    <x v="1109"/>
    <s v="XA-SEJ"/>
    <s v="19255/331"/>
    <n v="118"/>
    <n v="111"/>
    <n v="7"/>
    <n v="27"/>
    <n v="22"/>
    <n v="5"/>
    <n v="0"/>
    <s v="During an approach, the plane undershot the runway and landed about a mile short, hitting an embankment . The plane became airborne again until the undercarriage and forward fuselage struck a railway embankment and broke up. Undetermined cause."/>
    <n v="91"/>
    <n v="0.2288135593220339"/>
    <x v="2"/>
  </r>
  <r>
    <n v="2421"/>
    <x v="2201"/>
    <x v="58"/>
    <x v="0"/>
    <d v="1899-12-30T15:10:00"/>
    <s v="Near La Paz, Bolivia"/>
    <s v="Lloyd Aereo Boliviano"/>
    <s v="Unknown"/>
    <s v="Santa Cruz - La Paz"/>
    <x v="626"/>
    <s v="CP-698"/>
    <s v="43273/191"/>
    <n v="74"/>
    <n v="69"/>
    <n v="5"/>
    <n v="74"/>
    <n v="69"/>
    <n v="5"/>
    <n v="0"/>
    <s v="Hit 15,500 ft. Mt. Choquetanga. Cause unknown. All members of the Bolivian soccer team The Strongest, killed."/>
    <n v="0"/>
    <n v="1"/>
    <x v="1"/>
  </r>
  <r>
    <n v="2422"/>
    <x v="2201"/>
    <x v="58"/>
    <x v="0"/>
    <d v="1899-12-30T18:40:00"/>
    <s v="Uli, Nigeria"/>
    <s v="Nordchurchaid"/>
    <s v="Unknown"/>
    <s v="SÃ£o TomÃ© - Uli"/>
    <x v="1121"/>
    <s v="N52676"/>
    <n v="16707"/>
    <n v="5"/>
    <n v="0"/>
    <n v="5"/>
    <n v="5"/>
    <n v="0"/>
    <n v="5"/>
    <n v="0"/>
    <s v="The cargo plane crashed  into trees on approach short of the runway."/>
    <n v="0"/>
    <n v="1"/>
    <x v="1"/>
  </r>
  <r>
    <n v="2423"/>
    <x v="2202"/>
    <x v="58"/>
    <x v="0"/>
    <d v="1899-12-30T07:10:00"/>
    <s v="Gulf of Tonkin"/>
    <s v="Military - U.S. Navy"/>
    <s v="Unknown"/>
    <s v="Subi Point - USS Constellation"/>
    <x v="1122"/>
    <n v="152796"/>
    <n v="13"/>
    <n v="26"/>
    <n v="21"/>
    <n v="5"/>
    <n v="26"/>
    <n v="21"/>
    <n v="5"/>
    <n v="0"/>
    <s v="Crashed while flying from Subi Point in the Philippines to an aircraft carrier. Possible engine failure."/>
    <n v="0"/>
    <n v="1"/>
    <x v="1"/>
  </r>
  <r>
    <n v="2424"/>
    <x v="2203"/>
    <x v="58"/>
    <x v="0"/>
    <d v="1899-12-30T17:27:00"/>
    <s v="Nizhnevartovsk, Russia"/>
    <s v="Aeroflot"/>
    <n v="227"/>
    <s v="Surgut - Nizhnevartovsk"/>
    <x v="1009"/>
    <s v="CCCP-47772"/>
    <n v="79901404"/>
    <n v="56"/>
    <n v="52"/>
    <n v="4"/>
    <n v="24"/>
    <n v="22"/>
    <n v="2"/>
    <n v="0"/>
    <s v="The plane crashed 1,090 mshort of the runway while on approach A propeller accidently feathered when the de-icing system was activated causing the plane to lose altitude and crash."/>
    <n v="32"/>
    <n v="0.42857142857142855"/>
    <x v="0"/>
  </r>
  <r>
    <n v="2425"/>
    <x v="2204"/>
    <x v="58"/>
    <x v="0"/>
    <s v="Unknown"/>
    <s v="Timmins, Ontario ,Canada"/>
    <s v="Austin Airways"/>
    <s v="Unknown"/>
    <s v="Winisk - Timmins"/>
    <x v="443"/>
    <s v="CF-AAL"/>
    <s v="15383/26828"/>
    <n v="4"/>
    <n v="2"/>
    <n v="2"/>
    <n v="2"/>
    <n v="2"/>
    <n v="0"/>
    <n v="0"/>
    <s v="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
    <n v="2"/>
    <n v="0.5"/>
    <x v="0"/>
  </r>
  <r>
    <n v="2426"/>
    <x v="2205"/>
    <x v="58"/>
    <x v="0"/>
    <d v="1899-12-30T02:33:00"/>
    <s v="Near Anderma, Russia"/>
    <s v="Aeroflot"/>
    <n v="5009"/>
    <s v="Amderma - Moscow"/>
    <x v="1123"/>
    <s v="CCCP-11376"/>
    <n v="402406"/>
    <n v="12"/>
    <n v="9"/>
    <n v="3"/>
    <n v="12"/>
    <n v="9"/>
    <n v="3"/>
    <n v="0"/>
    <s v="Crashed on approach. Icing."/>
    <n v="0"/>
    <n v="1"/>
    <x v="1"/>
  </r>
  <r>
    <n v="2427"/>
    <x v="2206"/>
    <x v="58"/>
    <x v="0"/>
    <d v="1899-12-30T20:20:00"/>
    <s v="Mt. Pilot Knob, Glens Falls, New York"/>
    <s v="Mohawk Airlines"/>
    <n v="411"/>
    <s v="Albany - Glenn Falls"/>
    <x v="1085"/>
    <s v="N7811M"/>
    <n v="531"/>
    <n v="14"/>
    <n v="11"/>
    <n v="3"/>
    <n v="14"/>
    <n v="11"/>
    <n v="3"/>
    <n v="0"/>
    <s v="Struck trees on the northwest slope of Pilot Knob Mountain, and impacted a rock cliff, after which the aircraft fell 38ft, becoming lodged between trees. The captain exceeded his clearance limits and flew the aircraft into a severe &quot;lee side&quot; mountain downdraft at an altitude insufficient for recovery."/>
    <n v="0"/>
    <n v="1"/>
    <x v="1"/>
  </r>
  <r>
    <n v="2428"/>
    <x v="2207"/>
    <x v="58"/>
    <x v="0"/>
    <d v="1899-12-30T08:30:00"/>
    <s v="Near Ikeja, Nigeria"/>
    <s v="Nigeria Airways"/>
    <n v="825"/>
    <s v="Kano - Lagos"/>
    <x v="1124"/>
    <s v="5N-ABD"/>
    <n v="804"/>
    <n v="87"/>
    <n v="76"/>
    <n v="11"/>
    <n v="87"/>
    <n v="76"/>
    <n v="11"/>
    <n v="0"/>
    <s v="The aircraft crashed and burned 8 miles from Lagos Airport where it was to have landed. Cause unknown.  Possibly insufficient monitoring of equipment. Allowing the aircraft to come down to an unsafe altitude without contact with the ground."/>
    <n v="0"/>
    <n v="1"/>
    <x v="1"/>
  </r>
  <r>
    <n v="2429"/>
    <x v="2208"/>
    <x v="58"/>
    <x v="0"/>
    <d v="1899-12-30T18:05:00"/>
    <s v="Off Caracas, Venezuela"/>
    <s v="Air France"/>
    <n v="212"/>
    <s v="Caracas - Pointe a Pitre, Guadeloupe"/>
    <x v="1125"/>
    <s v="F-BHSZ"/>
    <s v="18459/335"/>
    <n v="62"/>
    <n v="41"/>
    <n v="21"/>
    <n v="62"/>
    <n v="41"/>
    <n v="21"/>
    <n v="0"/>
    <s v="At a height of 3,000 ft., the aircraft suddenly nosed  into the sea, 3 minutes after taking off. Cause unknown.  It appears that the report has been classified by the French Authorities until 2029."/>
    <n v="0"/>
    <n v="1"/>
    <x v="1"/>
  </r>
  <r>
    <n v="2430"/>
    <x v="2209"/>
    <x v="58"/>
    <x v="0"/>
    <d v="1899-12-30T15:00:00"/>
    <s v="Nnear Albuquerque, New Mexico"/>
    <s v="Private"/>
    <s v="Unknown"/>
    <s v="Unknown"/>
    <x v="1126"/>
    <s v="_x0009_N410M"/>
    <s v="_x0009_18-2203"/>
    <n v="9"/>
    <n v="9"/>
    <n v="2"/>
    <n v="9"/>
    <n v="9"/>
    <n v="2"/>
    <n v="0"/>
    <s v="The VFR rated pilot continued flight in poor weather. Airframe icing caused the left wing to fail in flight. The aircraft lost control and crashed. The Lodestar was not equipped with deicing boots."/>
    <n v="0"/>
    <n v="1"/>
    <x v="1"/>
  </r>
  <r>
    <n v="2431"/>
    <x v="2210"/>
    <x v="58"/>
    <x v="0"/>
    <d v="1899-12-30T07:07:00"/>
    <s v="Near Khantanga, Russia"/>
    <s v="Aeroflot"/>
    <n v="5135"/>
    <s v="Syktyvkar - Khatanga"/>
    <x v="1127"/>
    <s v="CCCP-11381"/>
    <n v="402807"/>
    <n v="8"/>
    <n v="2"/>
    <n v="6"/>
    <n v="8"/>
    <n v="2"/>
    <n v="6"/>
    <n v="0"/>
    <s v="Crashed short of the runway on approach. Icing."/>
    <n v="0"/>
    <n v="1"/>
    <x v="1"/>
  </r>
  <r>
    <n v="2432"/>
    <x v="2211"/>
    <x v="58"/>
    <x v="0"/>
    <d v="1899-12-30T20:46:00"/>
    <s v="Near Keratea, Greece"/>
    <s v="Olympic Airways"/>
    <s v="Unknown"/>
    <s v="Chania - Athens"/>
    <x v="626"/>
    <s v="SX-DAE"/>
    <s v="45540/1016"/>
    <n v="90"/>
    <n v="85"/>
    <n v="5"/>
    <n v="90"/>
    <n v="85"/>
    <n v="5"/>
    <n v="0"/>
    <s v="The aircraft crashed into Mt. Pan, 25 miles SW of Athens while preparing to land. The flight crew deviated from the proper track and descended below the minimum safe altitude during approach."/>
    <n v="0"/>
    <n v="1"/>
    <x v="1"/>
  </r>
  <r>
    <n v="2433"/>
    <x v="2212"/>
    <x v="58"/>
    <x v="0"/>
    <d v="1899-12-30T18:33:00"/>
    <s v="Off Makhachkala , Russia"/>
    <s v="Aeroflot"/>
    <n v="2953"/>
    <s v="Makhachkala - Astrakhan"/>
    <x v="1128"/>
    <s v="CCCP-52010"/>
    <n v="703101"/>
    <n v="17"/>
    <n v="12"/>
    <n v="5"/>
    <n v="17"/>
    <n v="12"/>
    <n v="5"/>
    <n v="0"/>
    <s v="ATC lost contact with the aircraft shortly after it took off crashing into the ocean. Cause unknown. Possible collision with a flock of birds."/>
    <n v="0"/>
    <n v="1"/>
    <x v="1"/>
  </r>
  <r>
    <n v="2434"/>
    <x v="2213"/>
    <x v="58"/>
    <x v="0"/>
    <s v="Unknown"/>
    <s v="Nha Trang, Vietnam"/>
    <s v="Air Vietnam (South Vietnam)"/>
    <s v="Unknown"/>
    <s v="Saigon - Nha Trang"/>
    <x v="626"/>
    <s v="B-2005"/>
    <n v="44694"/>
    <n v="77"/>
    <n v="70"/>
    <n v="7"/>
    <n v="10"/>
    <n v="10"/>
    <n v="0"/>
    <n v="24"/>
    <s v="An explosive device was detonated in the cabin just as the aircraft was about to land. The blast damaged the aircraft's hydraulics. The aircraft became airborne, overran the runway and crashed into a school."/>
    <n v="67"/>
    <n v="0.12987012987012986"/>
    <x v="2"/>
  </r>
  <r>
    <n v="2435"/>
    <x v="2214"/>
    <x v="58"/>
    <x v="0"/>
    <s v="Unknown"/>
    <s v="Near Luang Prabang, Laos"/>
    <s v="Laos Air"/>
    <s v="Unknown"/>
    <s v="Vientiane - Luang Prabang"/>
    <x v="957"/>
    <s v="XW-TDJ"/>
    <n v="13529"/>
    <n v="6"/>
    <n v="4"/>
    <n v="2"/>
    <n v="6"/>
    <n v="4"/>
    <n v="2"/>
    <n v="0"/>
    <s v="Crashed while approaching Luang Prabang Airport in thick fog."/>
    <n v="0"/>
    <n v="1"/>
    <x v="1"/>
  </r>
  <r>
    <n v="2436"/>
    <x v="2215"/>
    <x v="59"/>
    <x v="1"/>
    <d v="1899-12-30T22:25:00"/>
    <s v="Stockholm, Sweden"/>
    <s v="Spantax"/>
    <s v="Unknown"/>
    <s v="Stockholm - Zurich"/>
    <x v="1074"/>
    <s v="EC-BNM"/>
    <d v="1932-10-30T00:00:00"/>
    <n v="10"/>
    <n v="7"/>
    <n v="3"/>
    <n v="5"/>
    <n v="5"/>
    <n v="0"/>
    <n v="0"/>
    <s v="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
    <n v="5"/>
    <n v="0.5"/>
    <x v="0"/>
  </r>
  <r>
    <n v="2437"/>
    <x v="2216"/>
    <x v="59"/>
    <x v="1"/>
    <d v="1899-12-30T12:00:00"/>
    <s v="Near Villia Greece"/>
    <s v="Military - Royal Hellenic Air Force"/>
    <s v="Unknown"/>
    <s v="Military exercise"/>
    <x v="368"/>
    <s v="Unknown"/>
    <s v="Unknown"/>
    <n v="27"/>
    <n v="22"/>
    <n v="5"/>
    <n v="23"/>
    <n v="19"/>
    <n v="4"/>
    <n v="0"/>
    <s v="The aircraft, carrying paratroopers, crashed into a mountain in fog."/>
    <n v="4"/>
    <n v="0.85185185185185186"/>
    <x v="1"/>
  </r>
  <r>
    <n v="2438"/>
    <x v="2217"/>
    <x v="59"/>
    <x v="1"/>
    <d v="1899-12-30T06:00:00"/>
    <s v="Faleolo, Western Samoa"/>
    <s v="Polynesian Airlines"/>
    <s v="208B"/>
    <s v="Apia, Western Samoa - Pago Pago, American Samoa"/>
    <x v="277"/>
    <s v="5W-FAC"/>
    <n v="16964"/>
    <n v="32"/>
    <n v="29"/>
    <n v="3"/>
    <n v="32"/>
    <n v="29"/>
    <n v="3"/>
    <n v="0"/>
    <s v="Crashed into a lagoon 400 yards past the end of the runway, seconds after taking off after the plane pitched up and stalled. Windshear, precipitation and turbulence."/>
    <n v="0"/>
    <n v="1"/>
    <x v="1"/>
  </r>
  <r>
    <n v="2439"/>
    <x v="2218"/>
    <x v="59"/>
    <x v="1"/>
    <s v="Unknown"/>
    <s v="Mt. Pumacona, Peru"/>
    <s v="Faucett"/>
    <s v="Unknown"/>
    <s v="Trujillo - Juanjui"/>
    <x v="487"/>
    <s v="OB-R-776"/>
    <n v="10591"/>
    <n v="28"/>
    <n v="24"/>
    <n v="4"/>
    <n v="28"/>
    <n v="24"/>
    <n v="4"/>
    <n v="0"/>
    <s v="Flew into a 10,500 ft. mountain. The mental state of the pilot-in-command adversely affected his judgement and efficiency. Contributing factors  ATC error, navigational aids not functional."/>
    <n v="0"/>
    <n v="1"/>
    <x v="1"/>
  </r>
  <r>
    <n v="2440"/>
    <x v="2219"/>
    <x v="59"/>
    <x v="1"/>
    <d v="1899-12-30T19:13:00"/>
    <s v="Near Delhi, India"/>
    <s v="Royal Nepal Airlines"/>
    <s v="Unknown"/>
    <s v="Kathmandu - Delhi"/>
    <x v="986"/>
    <s v="9N-AAR"/>
    <n v="1965"/>
    <n v="23"/>
    <n v="18"/>
    <n v="5"/>
    <n v="1"/>
    <n v="0"/>
    <n v="1"/>
    <n v="0"/>
    <s v="The aircraft crashed short of the runway after entering a thunderstorm and encountering windshear."/>
    <n v="22"/>
    <n v="4.3478260869565216E-2"/>
    <x v="2"/>
  </r>
  <r>
    <n v="2441"/>
    <x v="2219"/>
    <x v="59"/>
    <x v="1"/>
    <s v="Unknown"/>
    <s v="Near Poza Rica, Mexico"/>
    <s v="Charter -Federal Electricity Commission"/>
    <s v="Unknown"/>
    <s v="Mexico City - Poza Rica"/>
    <x v="797"/>
    <s v="XB-DOK"/>
    <n v="71"/>
    <n v="19"/>
    <n v="15"/>
    <n v="4"/>
    <n v="18"/>
    <n v="14"/>
    <n v="4"/>
    <n v="0"/>
    <s v="Crashed into Vega Hill located six km east of the airfield while on approach. The plane was carrying Mexican journalists covering the presidential campaign."/>
    <n v="1"/>
    <n v="0.94736842105263153"/>
    <x v="1"/>
  </r>
  <r>
    <n v="2442"/>
    <x v="2220"/>
    <x v="59"/>
    <x v="1"/>
    <d v="1899-12-30T20:53:00"/>
    <s v="Near Batagai, Russia"/>
    <s v="Aeroflot"/>
    <s v="Unknown"/>
    <s v="Chokurdakh - Batagay"/>
    <x v="968"/>
    <s v="CCCP-47701"/>
    <n v="59900202"/>
    <n v="34"/>
    <n v="28"/>
    <n v="6"/>
    <n v="34"/>
    <n v="28"/>
    <n v="6"/>
    <n v="0"/>
    <s v="Crashed into a mountain while on approach after executing a premature descent."/>
    <n v="0"/>
    <n v="1"/>
    <x v="1"/>
  </r>
  <r>
    <n v="2443"/>
    <x v="2220"/>
    <x v="59"/>
    <x v="1"/>
    <d v="1899-12-30T07:49:00"/>
    <s v="Cleveland, Ohio"/>
    <s v="TAG Airlines"/>
    <s v="Unknown"/>
    <s v="Cleveland - Detroit"/>
    <x v="1129"/>
    <s v="N2300H"/>
    <n v="4444"/>
    <n v="9"/>
    <n v="7"/>
    <n v="2"/>
    <n v="9"/>
    <n v="7"/>
    <n v="2"/>
    <n v="0"/>
    <s v="The aircraft suffered an airframe failure while en route. Fatigue fracture of wing attachment fitting bolts. FAA replacement time exceeded."/>
    <n v="0"/>
    <n v="1"/>
    <x v="1"/>
  </r>
  <r>
    <n v="2444"/>
    <x v="2221"/>
    <x v="59"/>
    <x v="1"/>
    <d v="1899-12-30T19:27:00"/>
    <s v="Near Murmansk, Russia"/>
    <s v="Aeroflot"/>
    <n v="145"/>
    <s v="Leningrad - Murmansk"/>
    <x v="935"/>
    <s v="CCCP-45083"/>
    <n v="5351706"/>
    <n v="11"/>
    <n v="32"/>
    <n v="6"/>
    <n v="11"/>
    <n v="8"/>
    <n v="3"/>
    <n v="0"/>
    <s v="Collided with a snow-covered rocky mountain slope 40 km northeast of Batagay Airport at an altitude of 1020 meters. The crew had initiated a descent prematurely."/>
    <n v="0"/>
    <n v="1"/>
    <x v="1"/>
  </r>
  <r>
    <n v="2445"/>
    <x v="2222"/>
    <x v="59"/>
    <x v="1"/>
    <d v="1899-12-30T13:45:00"/>
    <s v="Apuseni mountains, Romania"/>
    <s v="Tarom"/>
    <s v="Unknown"/>
    <s v="Bucharest - Oradea"/>
    <x v="1086"/>
    <s v="YR-AMT"/>
    <n v="77303310"/>
    <n v="22"/>
    <n v="18"/>
    <n v="4"/>
    <n v="21"/>
    <n v="17"/>
    <n v="4"/>
    <n v="0"/>
    <s v=" While descending in poor weather conditions, the airplane struck tree tops, stalled and crashed in a snow covered hill located in the Vladeasa Mountain Range, about 73 km southeast of Oradea Airport."/>
    <n v="1"/>
    <n v="0.95454545454545459"/>
    <x v="1"/>
  </r>
  <r>
    <n v="2446"/>
    <x v="2222"/>
    <x v="59"/>
    <x v="1"/>
    <d v="1899-12-30T20:55:00"/>
    <s v="Near Corrientes, Argentina"/>
    <s v="Aerolineas Argentinas"/>
    <s v="Unknown"/>
    <s v="Corrientes - Rosario"/>
    <x v="1130"/>
    <s v="LV-HGW"/>
    <n v="1539"/>
    <n v="37"/>
    <n v="33"/>
    <n v="4"/>
    <n v="37"/>
    <n v="33"/>
    <n v="4"/>
    <n v="0"/>
    <s v="Crashed in a storm 8 minutes after taking off. Went into a dive and crashed at a high rate of speed into the ground. Severe turbulence and adverse weather conditions."/>
    <n v="0"/>
    <n v="1"/>
    <x v="1"/>
  </r>
  <r>
    <n v="2447"/>
    <x v="2223"/>
    <x v="59"/>
    <x v="1"/>
    <d v="1899-12-30T15:42:00"/>
    <s v="Near Samarkand, USSR"/>
    <s v="Aeroflot"/>
    <n v="45"/>
    <s v="Tashkent - Samarkand"/>
    <x v="925"/>
    <s v="CCCP-75798"/>
    <n v="182004303"/>
    <n v="106"/>
    <n v="98"/>
    <n v="8"/>
    <n v="92"/>
    <n v="85"/>
    <n v="7"/>
    <n v="0"/>
    <s v="Crashed into a mountain at an elevation of 5,000 ft. 32 km northeast of Samarkand Airport.  Misidentification of the aircraft by the air traffic controller."/>
    <n v="14"/>
    <n v="0.86792452830188682"/>
    <x v="1"/>
  </r>
  <r>
    <n v="2448"/>
    <x v="2224"/>
    <x v="59"/>
    <x v="1"/>
    <d v="1899-12-30T18:37:00"/>
    <s v="Long Island Sound, Connecticut"/>
    <s v="Pilgrim Airlines"/>
    <n v="203"/>
    <s v="Groton, CT - New York, NY"/>
    <x v="1034"/>
    <s v="N124PM"/>
    <n v="41"/>
    <n v="5"/>
    <n v="3"/>
    <n v="2"/>
    <n v="5"/>
    <n v="3"/>
    <n v="2"/>
    <n v="0"/>
    <s v="Crashed into Long Island Sound while on a flight from Groton to New York.  Fuel exhaustion resulting from inadequate flight preparation and erroneous in-flight decisions by the pilot-in-command."/>
    <n v="0"/>
    <n v="1"/>
    <x v="1"/>
  </r>
  <r>
    <n v="2449"/>
    <x v="2225"/>
    <x v="59"/>
    <x v="1"/>
    <d v="1899-12-30T07:38:00"/>
    <s v="Puerto Infrida, Colombia"/>
    <s v="Lineas AÃ©reas La Urraca"/>
    <s v="Unknown"/>
    <s v="Villavicencio - Puerto InÃ­rida"/>
    <x v="570"/>
    <s v="HK-1270"/>
    <n v="4544"/>
    <n v="12"/>
    <n v="8"/>
    <n v="4"/>
    <n v="12"/>
    <n v="8"/>
    <n v="4"/>
    <n v="2"/>
    <s v="Crashed while attempting to return to the airport after reporting an overspeeding propeller."/>
    <n v="0"/>
    <n v="1"/>
    <x v="1"/>
  </r>
  <r>
    <n v="2450"/>
    <x v="2226"/>
    <x v="59"/>
    <x v="1"/>
    <d v="1899-12-30T18:30:00"/>
    <s v="Off Santo Domingo, Dominican Republic"/>
    <s v="Compania Dominicana de Aviacion"/>
    <s v="Unknown"/>
    <s v="Santo Domingo - San Juan"/>
    <x v="1104"/>
    <s v="HI-177"/>
    <s v="47500/546"/>
    <n v="102"/>
    <n v="97"/>
    <n v="5"/>
    <n v="102"/>
    <n v="97"/>
    <n v="5"/>
    <n v="0"/>
    <s v="Two minutes after taking off , the crew reported losing an engine and turned back towards the airport. The plane then descended rapidly and crashed into the sea. Featherweight boxer Carlos Cruz and members of  the Puerto Rican women's national volleyball team killed."/>
    <n v="0"/>
    <n v="1"/>
    <x v="1"/>
  </r>
  <r>
    <n v="2451"/>
    <x v="2227"/>
    <x v="59"/>
    <x v="1"/>
    <s v="Unknown"/>
    <s v="Congo"/>
    <s v="Air Congo"/>
    <s v="Unknown"/>
    <s v="Unknown"/>
    <x v="277"/>
    <s v="9Q-CUD"/>
    <n v="9780"/>
    <n v="17"/>
    <n v="14"/>
    <n v="3"/>
    <n v="17"/>
    <n v="14"/>
    <n v="3"/>
    <n v="0"/>
    <s v="Crashed under unknown circumstances."/>
    <n v="0"/>
    <n v="1"/>
    <x v="1"/>
  </r>
  <r>
    <n v="2452"/>
    <x v="2228"/>
    <x v="59"/>
    <x v="1"/>
    <d v="1899-12-30T13:34:00"/>
    <s v="Zurich, Switzerland"/>
    <s v="Swissair"/>
    <n v="330"/>
    <s v="Zurich - Tel Aviv"/>
    <x v="1131"/>
    <s v="HB-ICD"/>
    <n v="301015"/>
    <n v="47"/>
    <n v="38"/>
    <n v="9"/>
    <n v="47"/>
    <n v="38"/>
    <n v="9"/>
    <n v="0"/>
    <s v="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
    <n v="0"/>
    <n v="1"/>
    <x v="1"/>
  </r>
  <r>
    <n v="2453"/>
    <x v="2229"/>
    <x v="59"/>
    <x v="1"/>
    <s v="Unknown"/>
    <s v="St. Moritz, Switzerland"/>
    <s v="Bavaria Flug"/>
    <s v="Unknown"/>
    <s v="Munchen - St. Moritz"/>
    <x v="1132"/>
    <s v="D-INAH"/>
    <n v="205"/>
    <n v="11"/>
    <n v="9"/>
    <n v="2"/>
    <n v="11"/>
    <n v="9"/>
    <n v="2"/>
    <n v="0"/>
    <s v="Crashed 3 km short of the runway into a snow bank. Disintegration of the No. 1 engine turbine wheel."/>
    <n v="0"/>
    <n v="1"/>
    <x v="1"/>
  </r>
  <r>
    <n v="2454"/>
    <x v="2230"/>
    <x v="59"/>
    <x v="1"/>
    <d v="1899-12-30T17:30:00"/>
    <s v="Belem Bay, Brazil"/>
    <s v="Paraense Transportes Aereos"/>
    <s v="Unknown"/>
    <s v="Reclife - Belem"/>
    <x v="1085"/>
    <s v="PP-BUF"/>
    <n v="556"/>
    <n v="40"/>
    <n v="35"/>
    <n v="5"/>
    <n v="38"/>
    <n v="34"/>
    <n v="4"/>
    <n v="0"/>
    <s v="Crashed into Guajara Bay, short of the runway while on approach during a storm."/>
    <n v="2"/>
    <n v="0.95"/>
    <x v="1"/>
  </r>
  <r>
    <n v="2455"/>
    <x v="2231"/>
    <x v="59"/>
    <x v="1"/>
    <d v="1899-12-30T11:30:00"/>
    <s v="Near Da Nang, South Vietnam"/>
    <s v="Military - U.S. Navy"/>
    <s v="Unknown"/>
    <s v="Taiwan - Da Nang"/>
    <x v="1133"/>
    <n v="145927"/>
    <n v="5508"/>
    <n v="31"/>
    <n v="0"/>
    <n v="31"/>
    <n v="23"/>
    <n v="0"/>
    <n v="23"/>
    <n v="0"/>
    <s v="The pilot tried to stretch the approach to avoid workers on the runway, ran out of runway, attempted a go-around, was unable to gain altitude and crashed into several structures, trucks and a U.S. Navy Jet."/>
    <n v="8"/>
    <n v="0.74193548387096775"/>
    <x v="1"/>
  </r>
  <r>
    <n v="2456"/>
    <x v="2232"/>
    <x v="59"/>
    <x v="1"/>
    <d v="1899-12-30T19:53:00"/>
    <s v="Colorado City, Arizona"/>
    <s v="Grand Canyon Airlines"/>
    <s v="Unknown"/>
    <s v="Grand Canyon - Las Vegas"/>
    <x v="1134"/>
    <s v="N4121R"/>
    <s v="Unknown"/>
    <n v="6"/>
    <n v="5"/>
    <n v="1"/>
    <n v="6"/>
    <n v="5"/>
    <n v="1"/>
    <n v="0"/>
    <s v="Flew into thunderstorms and turbulence, crashed while en route. Continued VFR flight into adverse weather conditions. Spatial disorientation."/>
    <n v="0"/>
    <n v="1"/>
    <x v="1"/>
  </r>
  <r>
    <n v="2457"/>
    <x v="2233"/>
    <x v="59"/>
    <x v="1"/>
    <d v="1899-12-30T04:07:00"/>
    <s v="Novosibirsk, Russia"/>
    <s v="Aeroflot"/>
    <n v="1661"/>
    <s v="Krasnoyarsk - Novosibirs"/>
    <x v="1086"/>
    <s v="CCCP-47751"/>
    <n v="79901204"/>
    <n v="45"/>
    <n v="40"/>
    <n v="5"/>
    <n v="45"/>
    <n v="40"/>
    <n v="5"/>
    <n v="0"/>
    <s v="The aircraft crashed after colliding with a radiosonde weather balloon and disintegrated in the air."/>
    <n v="0"/>
    <n v="1"/>
    <x v="1"/>
  </r>
  <r>
    <n v="2458"/>
    <x v="2233"/>
    <x v="59"/>
    <x v="1"/>
    <d v="1899-12-30T09:45:00"/>
    <s v="Casablanca, Morocco"/>
    <s v="Royal Air Maroc"/>
    <s v="Unknown"/>
    <s v="Agadir - Casablanca"/>
    <x v="1135"/>
    <s v="CN-CCV"/>
    <s v="032/33"/>
    <n v="82"/>
    <n v="76"/>
    <n v="6"/>
    <n v="61"/>
    <n v="56"/>
    <n v="5"/>
    <n v="0"/>
    <s v="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
    <n v="21"/>
    <n v="0.74390243902439024"/>
    <x v="1"/>
  </r>
  <r>
    <n v="2459"/>
    <x v="2234"/>
    <x v="59"/>
    <x v="1"/>
    <d v="1899-12-30T20:47:00"/>
    <s v="Zaporozhye, Ukraine"/>
    <s v="Aeroflot"/>
    <n v="2903"/>
    <s v="_x0009_Rostov - Zaporozhye"/>
    <x v="770"/>
    <s v="CCCP-52002"/>
    <n v="602111"/>
    <n v="35"/>
    <n v="30"/>
    <n v="5"/>
    <n v="7"/>
    <n v="6"/>
    <n v="1"/>
    <n v="0"/>
    <s v="The plane was destroyed when it crashed while on approach. The crew descended prematurely and was not monitored."/>
    <n v="28"/>
    <n v="0.2"/>
    <x v="2"/>
  </r>
  <r>
    <n v="2460"/>
    <x v="2235"/>
    <x v="59"/>
    <x v="1"/>
    <d v="1899-12-30T11:30:00"/>
    <s v="Manila, Philippines"/>
    <s v="Philippine Air Lines"/>
    <n v="215"/>
    <s v="Cuayan - Manila"/>
    <x v="1136"/>
    <s v="PI-C-1022"/>
    <n v="1643"/>
    <n v="36"/>
    <n v="32"/>
    <n v="4"/>
    <n v="36"/>
    <n v="32"/>
    <n v="4"/>
    <n v="0"/>
    <s v="The aircraft was on a flight from Cauayan, Isabela to Manila when it crashed into mountainous terrain after a bomb explosion in the rear lavatory of the aircraft  broke off the tail section."/>
    <n v="0"/>
    <n v="1"/>
    <x v="1"/>
  </r>
  <r>
    <n v="2461"/>
    <x v="2236"/>
    <x v="59"/>
    <x v="1"/>
    <d v="1899-12-30T10:23:00"/>
    <s v="Rivolto, Italy"/>
    <s v="Military - Italian Air Force"/>
    <s v="Unknown"/>
    <s v="Rivolto - Grazzanise"/>
    <x v="853"/>
    <s v="MM52-6018"/>
    <n v="10948"/>
    <n v="19"/>
    <n v="12"/>
    <n v="7"/>
    <n v="17"/>
    <n v="10"/>
    <n v="7"/>
    <n v="0"/>
    <s v="Crashed after experiencing engine problems during the initial climb."/>
    <n v="2"/>
    <n v="0.89473684210526316"/>
    <x v="1"/>
  </r>
  <r>
    <n v="2462"/>
    <x v="2237"/>
    <x v="59"/>
    <x v="1"/>
    <d v="1899-12-30T09:12:00"/>
    <s v="Kainatu,  New Guinea"/>
    <s v="Trans Australia Airlines"/>
    <s v="Unknown"/>
    <s v="Mount Hagen - Goroka - Kainantu"/>
    <x v="1034"/>
    <s v="VH-TGR"/>
    <n v="6"/>
    <n v="11"/>
    <n v="9"/>
    <n v="2"/>
    <n v="8"/>
    <n v="6"/>
    <n v="2"/>
    <n v="0"/>
    <s v="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
    <n v="3"/>
    <n v="0.72727272727272729"/>
    <x v="1"/>
  </r>
  <r>
    <n v="2463"/>
    <x v="2238"/>
    <x v="59"/>
    <x v="1"/>
    <d v="1899-12-30T15:49:00"/>
    <s v="Near St. Croix, US Virgin Islands"/>
    <s v="Antillean Airlines"/>
    <n v="980"/>
    <s v="New York City - St. Maarten"/>
    <x v="1137"/>
    <s v="N935F"/>
    <s v="47407/457"/>
    <n v="63"/>
    <n v="57"/>
    <n v="6"/>
    <n v="23"/>
    <n v="22"/>
    <n v="1"/>
    <n v="0"/>
    <s v="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
    <n v="40"/>
    <n v="0.36507936507936506"/>
    <x v="0"/>
  </r>
  <r>
    <n v="2464"/>
    <x v="2239"/>
    <x v="59"/>
    <x v="1"/>
    <d v="1899-12-30T08:04:00"/>
    <s v="Hamilton AFB, California"/>
    <s v="Military - U.S. Air Force"/>
    <s v="Unknown"/>
    <s v="Hamilton - Spokane"/>
    <x v="689"/>
    <s v="52-5822"/>
    <n v="5221"/>
    <n v="14"/>
    <n v="0"/>
    <n v="14"/>
    <n v="13"/>
    <n v="0"/>
    <n v="13"/>
    <n v="0"/>
    <s v="The airplane struck trees and crashed on a mountain slope located eight miles from the airbase."/>
    <n v="1"/>
    <n v="0.9285714285714286"/>
    <x v="1"/>
  </r>
  <r>
    <n v="2465"/>
    <x v="2240"/>
    <x v="59"/>
    <x v="1"/>
    <s v="Unknown"/>
    <s v="Mogadishu, Somalia"/>
    <s v="Somali Airlines"/>
    <s v="Unknown"/>
    <s v="Unknown"/>
    <x v="838"/>
    <s v="6O-AAJ"/>
    <n v="379"/>
    <n v="30"/>
    <n v="26"/>
    <n v="4"/>
    <n v="5"/>
    <n v="5"/>
    <n v="0"/>
    <n v="0"/>
    <s v="After losing all flight controls on approach, the aircraft hit the runway hard, collapsing the nose gear and sliding off the runway. In-flight fire of unknown origin which resulted in loss of the flight controls."/>
    <n v="25"/>
    <n v="0.16666666666666666"/>
    <x v="2"/>
  </r>
  <r>
    <n v="2466"/>
    <x v="2241"/>
    <x v="59"/>
    <x v="1"/>
    <s v="Unknown"/>
    <s v="Iligan, Philippines"/>
    <s v="Philippine Air Lines"/>
    <s v="Unknown"/>
    <s v="Iligan - Manila"/>
    <x v="848"/>
    <s v="PI-C532"/>
    <n v="10311"/>
    <n v="33"/>
    <n v="29"/>
    <n v="4"/>
    <n v="1"/>
    <n v="0"/>
    <n v="1"/>
    <n v="0"/>
    <s v="In almost zero visibility, control was lost during takeoff. The plane ran off the runway, the wing tip struck a rock pile and the plane cartwheeled."/>
    <n v="32"/>
    <n v="3.0303030303030304E-2"/>
    <x v="2"/>
  </r>
  <r>
    <n v="2467"/>
    <x v="2241"/>
    <x v="59"/>
    <x v="1"/>
    <d v="1899-12-30T21:28:00"/>
    <s v="Pellston, Michigan"/>
    <s v="Executive Jet Sales Inc."/>
    <s v="Unknown"/>
    <s v="Detroit - Pellston"/>
    <x v="1138"/>
    <s v="N434EJ"/>
    <s v="23-046"/>
    <n v="6"/>
    <n v="4"/>
    <n v="2"/>
    <n v="6"/>
    <n v="4"/>
    <n v="2"/>
    <n v="0"/>
    <s v="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
    <n v="0"/>
    <n v="1"/>
    <x v="1"/>
  </r>
  <r>
    <n v="2468"/>
    <x v="2242"/>
    <x v="59"/>
    <x v="1"/>
    <d v="1899-12-30T11:49:00"/>
    <s v="Kishiniev, Moldavia, USSR"/>
    <s v="Aeroflot"/>
    <s v="Unknown"/>
    <s v="Training"/>
    <x v="835"/>
    <s v="CCCP11149"/>
    <s v="9 4 008 02"/>
    <n v="11"/>
    <n v="0"/>
    <n v="11"/>
    <n v="11"/>
    <n v="0"/>
    <n v="11"/>
    <n v="0"/>
    <s v="On final, the airplane banked left, lost height and crashed in a large explosion a few km short of runway threshold. Pilot error."/>
    <n v="0"/>
    <n v="1"/>
    <x v="1"/>
  </r>
  <r>
    <n v="2469"/>
    <x v="2243"/>
    <x v="59"/>
    <x v="1"/>
    <s v="Unknown"/>
    <s v="Near Tegucigalpa, Honduras"/>
    <s v="Aeroservicios"/>
    <s v="Unknown"/>
    <s v="Unknown"/>
    <x v="671"/>
    <s v="HR-ASN"/>
    <n v="14009"/>
    <n v="6"/>
    <n v="4"/>
    <n v="2"/>
    <n v="6"/>
    <n v="4"/>
    <n v="2"/>
    <n v="0"/>
    <s v="While on approach, the plane banked to the left and crashed to the ground. The pilot stalled the plane in turbulence at a low altitude."/>
    <n v="0"/>
    <n v="1"/>
    <x v="1"/>
  </r>
  <r>
    <n v="2470"/>
    <x v="2244"/>
    <x v="59"/>
    <x v="1"/>
    <d v="1899-12-30T09:30:00"/>
    <s v="Chamblee, Georgia"/>
    <s v="Lehigh Acres Development Inc."/>
    <n v="701"/>
    <s v="Chamblee, GA - Fort Myers,FL"/>
    <x v="714"/>
    <s v="N40412"/>
    <n v="14116"/>
    <n v="33"/>
    <n v="29"/>
    <n v="4"/>
    <n v="1"/>
    <n v="1"/>
    <n v="0"/>
    <n v="5"/>
    <s v="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
    <n v="32"/>
    <n v="3.0303030303030304E-2"/>
    <x v="2"/>
  </r>
  <r>
    <n v="2471"/>
    <x v="2245"/>
    <x v="59"/>
    <x v="1"/>
    <d v="1899-12-30T05:12:00"/>
    <s v="Tripoli, Libya"/>
    <s v="Ceskoslovenske Aerolinie"/>
    <s v="Unknown"/>
    <s v="Prague - Tripoli"/>
    <x v="808"/>
    <s v="OK-NDO"/>
    <n v="96601803"/>
    <n v="13"/>
    <n v="10"/>
    <n v="3"/>
    <n v="13"/>
    <n v="10"/>
    <n v="3"/>
    <n v="0"/>
    <s v="Undershot runway in fog and crashed after two failed landing attempts. Crew error."/>
    <n v="0"/>
    <n v="1"/>
    <x v="1"/>
  </r>
  <r>
    <n v="2472"/>
    <x v="2246"/>
    <x v="59"/>
    <x v="1"/>
    <s v="Unknown"/>
    <s v="Roxas, Philippines"/>
    <s v="Philippine Air Lines"/>
    <s v="Unknown"/>
    <s v="Manila - Bacolod"/>
    <x v="848"/>
    <s v="PI-C507"/>
    <n v="10246"/>
    <n v="44"/>
    <n v="40"/>
    <n v="4"/>
    <n v="1"/>
    <n v="1"/>
    <n v="0"/>
    <n v="0"/>
    <s v="A hand grenade exploded inside the passenger cabin at FL130 . A safe emergency landing was made despite a 9 sq. ft. hole in the fuselage."/>
    <n v="43"/>
    <n v="2.2727272727272728E-2"/>
    <x v="2"/>
  </r>
  <r>
    <n v="2473"/>
    <x v="2247"/>
    <x v="59"/>
    <x v="1"/>
    <s v="Unknown"/>
    <s v="Near Huaricanga, Peru"/>
    <s v="Military - LADE"/>
    <s v="Unknown"/>
    <s v="Quito - Lima - Salta - Buenos Aires"/>
    <x v="1139"/>
    <s v="TC-75"/>
    <n v="10411"/>
    <n v="8"/>
    <n v="5"/>
    <n v="3"/>
    <n v="5"/>
    <n v="3"/>
    <n v="2"/>
    <n v="0"/>
    <s v=" Struck a 15,000 ft  mountain located in the region of Huaricanga."/>
    <n v="3"/>
    <n v="0.625"/>
    <x v="0"/>
  </r>
  <r>
    <n v="2474"/>
    <x v="2248"/>
    <x v="59"/>
    <x v="1"/>
    <d v="1899-12-30T14:00:00"/>
    <s v="McGrath, Alakska"/>
    <s v="Reeder Flying Service"/>
    <s v="Unknown"/>
    <s v="McGrath AK - Galena, AK"/>
    <x v="277"/>
    <s v="N154R"/>
    <n v="6156"/>
    <n v="27"/>
    <n v="25"/>
    <n v="2"/>
    <n v="5"/>
    <n v="4"/>
    <n v="1"/>
    <n v="0"/>
    <s v="Crashed into trees shortly after taking off. The pilot rotated at V2 speed and then reduced power when the copilot raised the landing gear.The right main gear was still on the ground when retracted, causing the propeller to strike the runway surface."/>
    <n v="22"/>
    <n v="0.18518518518518517"/>
    <x v="2"/>
  </r>
  <r>
    <n v="2475"/>
    <x v="2248"/>
    <x v="59"/>
    <x v="1"/>
    <d v="1899-12-30T19:05:00"/>
    <s v="Near Arbucias, Gerona, Spain"/>
    <s v="Dan Air Services"/>
    <n v="1903"/>
    <s v="Manchester - Barcelona"/>
    <x v="889"/>
    <s v="G-APDN"/>
    <n v="6415"/>
    <n v="112"/>
    <n v="105"/>
    <n v="7"/>
    <n v="112"/>
    <n v="105"/>
    <n v="7"/>
    <n v="0"/>
    <s v="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
    <n v="0"/>
    <n v="1"/>
    <x v="1"/>
  </r>
  <r>
    <n v="2476"/>
    <x v="2249"/>
    <x v="59"/>
    <x v="1"/>
    <d v="1899-12-30T08:09:00"/>
    <s v="Toronto, Canada"/>
    <s v="Air Canada"/>
    <n v="621"/>
    <s v="Montreal - Toronto - Los Angeles"/>
    <x v="1140"/>
    <s v="CF-TIW"/>
    <s v="46114/526"/>
    <n v="109"/>
    <n v="100"/>
    <n v="9"/>
    <n v="109"/>
    <n v="100"/>
    <n v="9"/>
    <n v="0"/>
    <s v="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
    <n v="0"/>
    <n v="1"/>
    <x v="1"/>
  </r>
  <r>
    <n v="2477"/>
    <x v="2250"/>
    <x v="59"/>
    <x v="1"/>
    <d v="1899-12-30T17:20:00"/>
    <s v="North Atlantic Ocean"/>
    <s v="Military - Soviet Air Force"/>
    <s v="Unknown"/>
    <s v="Reykjavik - Halifax - Sidney"/>
    <x v="1141"/>
    <s v="CCCP-09303"/>
    <n v="9340207"/>
    <n v="23"/>
    <n v="15"/>
    <n v="8"/>
    <n v="23"/>
    <n v="15"/>
    <n v="8"/>
    <n v="0"/>
    <s v="Disappeared without a trace while en route with a final destination of Peru, 40 minutes after takeoff. The plane was carrying a field hospital to earthquake stricken Peru."/>
    <n v="0"/>
    <n v="1"/>
    <x v="1"/>
  </r>
  <r>
    <n v="2478"/>
    <x v="2251"/>
    <x v="59"/>
    <x v="1"/>
    <d v="1899-12-30T11:35:00"/>
    <s v="Tokyo, Japan"/>
    <s v="Flying Tiger Line"/>
    <n v="45"/>
    <s v="Tokyo - Okinawa"/>
    <x v="1142"/>
    <s v="N785FT"/>
    <s v="46005/412"/>
    <n v="4"/>
    <n v="0"/>
    <n v="4"/>
    <n v="4"/>
    <n v="0"/>
    <n v="4"/>
    <n v="0"/>
    <s v="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
    <n v="0"/>
    <n v="1"/>
    <x v="1"/>
  </r>
  <r>
    <n v="2479"/>
    <x v="2252"/>
    <x v="59"/>
    <x v="1"/>
    <s v="Unknown"/>
    <s v="Near Las Vegas, Nevada"/>
    <s v="Military - United States Navy"/>
    <s v="Unknown"/>
    <s v="Nellis - North Island - Barbers Point"/>
    <x v="921"/>
    <n v="152159"/>
    <s v="185-5129"/>
    <n v="10"/>
    <n v="0"/>
    <n v="10"/>
    <n v="10"/>
    <n v="0"/>
    <n v="10"/>
    <n v="0"/>
    <s v="Broke up and crashed after penetrating a thunderstorm 50 miles south of Las Vegas."/>
    <n v="0"/>
    <n v="1"/>
    <x v="1"/>
  </r>
  <r>
    <n v="2480"/>
    <x v="2253"/>
    <x v="59"/>
    <x v="1"/>
    <d v="1899-12-30T02:17:00"/>
    <s v="Islamabad, Pakistan"/>
    <s v="Pakistan International Airlines"/>
    <s v="Unknown"/>
    <s v="Rawalpindi - Lahore"/>
    <x v="986"/>
    <s v="AP-ALM"/>
    <n v="10163"/>
    <n v="30"/>
    <n v="26"/>
    <n v="4"/>
    <n v="30"/>
    <n v="26"/>
    <n v="4"/>
    <n v="0"/>
    <s v="Crashed into terrain after takeoff in thunderstorms and strong winds."/>
    <n v="0"/>
    <n v="1"/>
    <x v="1"/>
  </r>
  <r>
    <n v="2481"/>
    <x v="2254"/>
    <x v="59"/>
    <x v="1"/>
    <d v="1899-12-30T15:00:00"/>
    <s v="Near Cuzco, Peru"/>
    <s v="Lineas Aereas Nacionales SA (Peru)"/>
    <n v="502"/>
    <s v="Cuzco - Lima"/>
    <x v="820"/>
    <s v="OB-R939"/>
    <n v="1106"/>
    <n v="100"/>
    <n v="91"/>
    <n v="9"/>
    <n v="99"/>
    <n v="91"/>
    <n v="8"/>
    <n v="2"/>
    <s v="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
    <n v="1"/>
    <n v="0.99"/>
    <x v="1"/>
  </r>
  <r>
    <n v="2482"/>
    <x v="2255"/>
    <x v="59"/>
    <x v="1"/>
    <d v="1899-12-30T03:44:00"/>
    <s v="Taipei, Taiwan"/>
    <s v="China Airlines (Taiwan)"/>
    <s v="Unknown"/>
    <s v="Hwa-Lien"/>
    <x v="1143"/>
    <s v="B-156"/>
    <n v="2110"/>
    <n v="31"/>
    <n v="26"/>
    <n v="5"/>
    <n v="14"/>
    <n v="12"/>
    <n v="2"/>
    <n v="0"/>
    <s v="Crashed on Yuan mountain while on approach to Taipei during a thick fog and thunderstorm activity."/>
    <n v="17"/>
    <n v="0.45161290322580644"/>
    <x v="0"/>
  </r>
  <r>
    <n v="2483"/>
    <x v="2256"/>
    <x v="59"/>
    <x v="1"/>
    <s v="Unknown"/>
    <s v="Near Tam Ky, South Vietnam"/>
    <s v="Military - U.S. Army"/>
    <s v="Unknown"/>
    <s v="Unknown"/>
    <x v="1144"/>
    <s v="67-18445"/>
    <s v="Unknown"/>
    <n v="32"/>
    <s v="NULL"/>
    <s v="NULL"/>
    <n v="30"/>
    <s v="NULL"/>
    <s v="NULL"/>
    <n v="0"/>
    <s v="Shot down by a rocket grenade."/>
    <n v="2"/>
    <n v="0.9375"/>
    <x v="1"/>
  </r>
  <r>
    <n v="2484"/>
    <x v="2257"/>
    <x v="59"/>
    <x v="1"/>
    <d v="1899-12-30T14:45:00"/>
    <s v="Near Silchar, India"/>
    <s v="Indian Airlines"/>
    <s v="Unknown"/>
    <s v="Silchar - Gauhati"/>
    <x v="1038"/>
    <s v="VT-DWT"/>
    <n v="10336"/>
    <n v="39"/>
    <n v="34"/>
    <n v="5"/>
    <n v="39"/>
    <n v="34"/>
    <n v="5"/>
    <n v="0"/>
    <s v="Crashed in jungled hills shortly after takeoff. The pilot didn't climb to the minimum sector altitude and continued directly to Gauhati."/>
    <n v="0"/>
    <n v="1"/>
    <x v="1"/>
  </r>
  <r>
    <n v="2485"/>
    <x v="2258"/>
    <x v="59"/>
    <x v="1"/>
    <s v="Unknown"/>
    <s v="Haringvreter, Netherlands"/>
    <s v="Dutch Continental Airways"/>
    <s v="Unknown"/>
    <s v="Sightseeing"/>
    <x v="1145"/>
    <s v="PH-NVA"/>
    <n v="111"/>
    <n v="10"/>
    <n v="9"/>
    <n v="1"/>
    <n v="3"/>
    <n v="2"/>
    <n v="1"/>
    <n v="0"/>
    <s v="Struck trees and crashed on Haringvreter Island. he pilot suffered spatial disorientation after entering a fog bank. The pilot was not IFR qualified."/>
    <n v="7"/>
    <n v="0.3"/>
    <x v="2"/>
  </r>
  <r>
    <n v="2486"/>
    <x v="2259"/>
    <x v="59"/>
    <x v="1"/>
    <d v="1899-12-30T15:41:00"/>
    <s v=" Lihovka, Ukraine"/>
    <s v="Aeroflot"/>
    <n v="3630"/>
    <s v="Rostov-on-Don - Vilnius"/>
    <x v="935"/>
    <s v="CCCP-45012"/>
    <n v="1350402"/>
    <n v="37"/>
    <n v="32"/>
    <n v="5"/>
    <n v="37"/>
    <n v="32"/>
    <n v="5"/>
    <n v="0"/>
    <s v="The plane lost control and crashed about 30 minutes after taking off. Cause undetermined."/>
    <n v="0"/>
    <n v="1"/>
    <x v="1"/>
  </r>
  <r>
    <n v="2487"/>
    <x v="2259"/>
    <x v="59"/>
    <x v="1"/>
    <s v="Unknown"/>
    <s v="Near Dnepropetrovsk, Ukraine, USSR"/>
    <s v="Aeroflot"/>
    <s v="Unknown"/>
    <s v="Unknown"/>
    <x v="935"/>
    <s v="CCCP-45012"/>
    <n v="1350502"/>
    <n v="37"/>
    <s v="NULL"/>
    <s v="NULL"/>
    <n v="37"/>
    <s v="NULL"/>
    <s v="NULL"/>
    <n v="0"/>
    <s v="Crashed while cruising at FL270."/>
    <n v="0"/>
    <n v="1"/>
    <x v="1"/>
  </r>
  <r>
    <n v="2488"/>
    <x v="2260"/>
    <x v="59"/>
    <x v="1"/>
    <d v="1899-12-30T21:26:00"/>
    <s v="Near Leningrad, USSR"/>
    <s v="Aeroflot"/>
    <s v="W-4"/>
    <s v="Frunze, Kyrgyzstan - Leninabad, Tajikistan"/>
    <x v="1146"/>
    <s v="CCCP-87690"/>
    <n v="9910503"/>
    <n v="21"/>
    <n v="18"/>
    <n v="3"/>
    <n v="21"/>
    <n v="18"/>
    <n v="3"/>
    <n v="0"/>
    <s v="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
    <n v="0"/>
    <n v="1"/>
    <x v="1"/>
  </r>
  <r>
    <n v="2489"/>
    <x v="2261"/>
    <x v="59"/>
    <x v="1"/>
    <d v="1899-12-30T16:06:00"/>
    <s v="New York, New York"/>
    <s v="Trans International Airlines"/>
    <n v="863"/>
    <s v="Jamaica, NY - Washington D.C."/>
    <x v="1147"/>
    <s v="N4863T"/>
    <s v="45951/414"/>
    <n v="11"/>
    <n v="0"/>
    <n v="11"/>
    <n v="11"/>
    <n v="0"/>
    <n v="11"/>
    <n v="0"/>
    <s v="Rejected takeoff. Lost control and crashed. Loss of pitch control caused by the entrapment of a pointed, asphalt-covered object between the leading edge of the right elevator and the right horizontal spar web access door in the aft part of the stabilizer."/>
    <n v="0"/>
    <n v="1"/>
    <x v="1"/>
  </r>
  <r>
    <n v="2490"/>
    <x v="2262"/>
    <x v="59"/>
    <x v="1"/>
    <d v="1899-12-30T10:56:00"/>
    <s v="Near Vagar, Faeroe Islands, Denmark"/>
    <s v="Icelandair"/>
    <s v="Unknown"/>
    <s v="Reykjavik - VÃ¡gar"/>
    <x v="1148"/>
    <s v="TF-FIL"/>
    <n v="10356"/>
    <n v="34"/>
    <n v="30"/>
    <n v="4"/>
    <n v="8"/>
    <n v="7"/>
    <n v="1"/>
    <n v="0"/>
    <s v="Crashed into the slope of Mt Knuku mountains on Mueggenaes Island at  an altitude of 1,500 ft., 2 miles off course, while descending, after holding for 20 minutes."/>
    <n v="26"/>
    <n v="0.23529411764705882"/>
    <x v="2"/>
  </r>
  <r>
    <n v="2491"/>
    <x v="2263"/>
    <x v="59"/>
    <x v="1"/>
    <s v="Unknown"/>
    <s v="Near Da Nang, Vietnam"/>
    <s v="Air Vietnam (South Vietnam)"/>
    <s v="Unknown"/>
    <s v="Pleiku - Hue"/>
    <x v="1149"/>
    <s v="B- 305"/>
    <n v="3251"/>
    <n v="38"/>
    <n v="34"/>
    <n v="4"/>
    <n v="4"/>
    <n v="1"/>
    <n v="3"/>
    <n v="0"/>
    <s v="Flew into high ground after being diverted to Da Nang in poor weather conditions."/>
    <n v="34"/>
    <n v="0.10526315789473684"/>
    <x v="2"/>
  </r>
  <r>
    <n v="2492"/>
    <x v="2264"/>
    <x v="59"/>
    <x v="1"/>
    <d v="1899-12-30T12:00:00"/>
    <s v="Mt. Trelease, near Silver Plume, Colorado"/>
    <s v="Charter, Golden Eagle Aviation Inc."/>
    <n v="108"/>
    <s v="Wichita - Denver - Logan, Utah"/>
    <x v="714"/>
    <s v="N464M"/>
    <n v="14151"/>
    <n v="40"/>
    <n v="37"/>
    <n v="3"/>
    <n v="32"/>
    <n v="30"/>
    <n v="2"/>
    <n v="0"/>
    <s v="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
    <n v="8"/>
    <n v="0.8"/>
    <x v="1"/>
  </r>
  <r>
    <n v="2493"/>
    <x v="2264"/>
    <x v="59"/>
    <x v="1"/>
    <d v="1899-12-30T14:07:00"/>
    <s v="Near Taipei, Taiwan"/>
    <s v="Military - U.S. Air Force"/>
    <s v="Unknown"/>
    <s v="Taipei - Ching Chuan Kang"/>
    <x v="1150"/>
    <s v="64-0536"/>
    <n v="4025"/>
    <n v="43"/>
    <n v="37"/>
    <n v="6"/>
    <n v="43"/>
    <n v="37"/>
    <n v="6"/>
    <n v="0"/>
    <s v="The aircraft struck a mountain ridge 6 minutes after taking off from Taipei. Deviation off course while flying  IFR in zero visibility."/>
    <n v="0"/>
    <n v="1"/>
    <x v="1"/>
  </r>
  <r>
    <n v="2494"/>
    <x v="2265"/>
    <x v="59"/>
    <x v="1"/>
    <d v="1899-12-30T15:10:00"/>
    <s v="Mahaffey, Pennsylvania"/>
    <s v="Private"/>
    <s v="Unknown"/>
    <s v="Dubois, PA - Roanoak, VA"/>
    <x v="1151"/>
    <s v="N701X"/>
    <s v="Unknown"/>
    <n v="2"/>
    <n v="1"/>
    <n v="1"/>
    <n v="2"/>
    <n v="1"/>
    <n v="1"/>
    <n v="0"/>
    <s v="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
    <n v="0"/>
    <n v="1"/>
    <x v="1"/>
  </r>
  <r>
    <n v="2495"/>
    <x v="2266"/>
    <x v="59"/>
    <x v="1"/>
    <s v="Unknown"/>
    <s v="Near Germiston, South Africa"/>
    <s v="National Airways"/>
    <s v="Unknown"/>
    <s v="Johannesberg - Orapa Mine, Botswana"/>
    <x v="277"/>
    <s v="ZS-DKR"/>
    <s v="16660/33408"/>
    <n v="11"/>
    <n v="9"/>
    <n v="2"/>
    <n v="3"/>
    <n v="2"/>
    <n v="1"/>
    <n v="0"/>
    <s v="Shortly after takeoff, the No. 1 engine failed.  After feathering the prop, the crew tried to return to the airport but the plane crashed 1.2 miles from the airport. The plane was carrying employees of the Anglo American Corporation."/>
    <n v="8"/>
    <n v="0.27272727272727271"/>
    <x v="2"/>
  </r>
  <r>
    <n v="2496"/>
    <x v="2267"/>
    <x v="59"/>
    <x v="1"/>
    <d v="1899-12-30T21:30:00"/>
    <s v="Fort Dix, New Jersey"/>
    <s v="Saturn Airways"/>
    <s v="Unknown"/>
    <s v="Dayton, OH - Ft. Dix, NJ"/>
    <x v="1152"/>
    <s v="N9248R"/>
    <n v="4221"/>
    <n v="3"/>
    <n v="0"/>
    <n v="3"/>
    <n v="3"/>
    <n v="0"/>
    <n v="3"/>
    <n v="0"/>
    <s v="The crew of the cargo plane became disoriented and struck the ground 5,000 ft. short of the runway. Fog, low ceiling, spatial disorientation, improper IFR operation."/>
    <n v="0"/>
    <n v="1"/>
    <x v="1"/>
  </r>
  <r>
    <n v="2497"/>
    <x v="2268"/>
    <x v="59"/>
    <x v="1"/>
    <s v="Unknown"/>
    <s v="Pointe-Ã -Pitre, Guadeloupe"/>
    <s v="Aerocosta Colombia"/>
    <s v="Unknown"/>
    <s v="Unknown"/>
    <x v="438"/>
    <s v="HK-792"/>
    <n v="33060"/>
    <n v="4"/>
    <n v="1"/>
    <n v="3"/>
    <n v="2"/>
    <n v="0"/>
    <n v="2"/>
    <n v="0"/>
    <s v="The cargo plane crashed while attempting to make an emergency landing."/>
    <n v="2"/>
    <n v="0.5"/>
    <x v="0"/>
  </r>
  <r>
    <n v="2498"/>
    <x v="2269"/>
    <x v="59"/>
    <x v="1"/>
    <d v="1899-12-30T19:36:00"/>
    <s v="Near Huntington, West Virginia"/>
    <s v="Southern Airways"/>
    <n v="932"/>
    <s v="Kingston, NC - Huntington, WV"/>
    <x v="1153"/>
    <s v="N97S"/>
    <s v="47245/510"/>
    <n v="75"/>
    <n v="71"/>
    <n v="4"/>
    <n v="75"/>
    <n v="71"/>
    <n v="4"/>
    <n v="0"/>
    <s v="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
    <n v="0"/>
    <n v="1"/>
    <x v="1"/>
  </r>
  <r>
    <n v="2499"/>
    <x v="2270"/>
    <x v="59"/>
    <x v="1"/>
    <d v="1899-12-30T13:30:00"/>
    <s v="Near Nha Trang, South Vietnam"/>
    <s v="Military - U.S. Air Force"/>
    <s v="Unknown"/>
    <s v="Saigon - Nha Trang AB"/>
    <x v="1062"/>
    <s v="55-4574"/>
    <n v="20236"/>
    <n v="79"/>
    <n v="73"/>
    <n v="6"/>
    <n v="79"/>
    <n v="73"/>
    <n v="6"/>
    <n v="0"/>
    <s v="Crashed into high ground on a mountainside while on a flight from Saigon to Nha Trang Air Base. Cause unknown."/>
    <n v="0"/>
    <n v="1"/>
    <x v="1"/>
  </r>
  <r>
    <n v="2500"/>
    <x v="2270"/>
    <x v="59"/>
    <x v="1"/>
    <d v="1899-12-30T17:05:00"/>
    <s v="Anchorage, Alaska"/>
    <s v="Capitol Airlines"/>
    <n v="26"/>
    <s v="Anchorage - Yokota AFB"/>
    <x v="1147"/>
    <s v="N4909C"/>
    <s v="46060/472"/>
    <n v="229"/>
    <n v="219"/>
    <n v="10"/>
    <n v="47"/>
    <n v="46"/>
    <n v="1"/>
    <n v="0"/>
    <s v="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
    <n v="182"/>
    <n v="0.20524017467248909"/>
    <x v="2"/>
  </r>
  <r>
    <n v="2501"/>
    <x v="2271"/>
    <x v="59"/>
    <x v="1"/>
    <d v="1899-12-30T14:30:00"/>
    <s v="Near Cam Ranh, South Vietnam"/>
    <s v="Military - U.S. Air Force"/>
    <s v="Unknown"/>
    <s v="Cam Ranh Bay AB - Siagon"/>
    <x v="1062"/>
    <s v="54-0649"/>
    <s v="Unknown"/>
    <n v="44"/>
    <n v="39"/>
    <n v="5"/>
    <n v="42"/>
    <n v="37"/>
    <n v="5"/>
    <n v="0"/>
    <s v="Crashed into the jungle 15 miles from it destination as the pilot prepared to land at Saigon in poor weather conditions."/>
    <n v="2"/>
    <n v="0.95454545454545459"/>
    <x v="1"/>
  </r>
  <r>
    <n v="2502"/>
    <x v="2272"/>
    <x v="59"/>
    <x v="1"/>
    <d v="1899-12-30T16:00:00"/>
    <s v="Dhaka, Bangladesh"/>
    <s v="Cargolux"/>
    <s v="Unknown"/>
    <s v="Unknown"/>
    <x v="1154"/>
    <s v="TF-LLG"/>
    <n v="36"/>
    <n v="8"/>
    <n v="4"/>
    <n v="4"/>
    <n v="8"/>
    <n v="4"/>
    <n v="4"/>
    <n v="0"/>
    <s v="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
    <n v="0"/>
    <n v="1"/>
    <x v="1"/>
  </r>
  <r>
    <n v="2503"/>
    <x v="2273"/>
    <x v="59"/>
    <x v="1"/>
    <d v="1899-12-30T06:43:00"/>
    <s v="Delhi, India"/>
    <s v="Jamair"/>
    <s v="Unknown"/>
    <s v="New Delhi - Jaipur"/>
    <x v="277"/>
    <s v="VT-CZC"/>
    <n v="12103"/>
    <n v="16"/>
    <n v="12"/>
    <n v="4"/>
    <n v="5"/>
    <n v="2"/>
    <n v="3"/>
    <n v="0"/>
    <s v="The No. 2 engine failed on takeoff due to fuel starvation. The plane made a right turn, lost control and crashed."/>
    <n v="11"/>
    <n v="0.3125"/>
    <x v="2"/>
  </r>
  <r>
    <n v="2504"/>
    <x v="2274"/>
    <x v="59"/>
    <x v="1"/>
    <s v="Unknown"/>
    <s v="Near Constanta, Romania"/>
    <s v="Tarom"/>
    <s v="Unknown"/>
    <s v="Tel Aviv - Bucharest"/>
    <x v="1155"/>
    <s v="YR-BCA"/>
    <n v="130"/>
    <n v="27"/>
    <n v="20"/>
    <n v="7"/>
    <n v="19"/>
    <n v="16"/>
    <n v="3"/>
    <n v="0"/>
    <s v="Crashed 4 kms short of the runway on approach in poor weather after being diverted to Bucurest. The visibility was limited due to fog and the crew continued the approach below the minimum descent altitude, in violation of the published procedures."/>
    <n v="8"/>
    <n v="0.70370370370370372"/>
    <x v="1"/>
  </r>
  <r>
    <n v="2505"/>
    <x v="2275"/>
    <x v="59"/>
    <x v="1"/>
    <d v="1899-12-30T14:42:00"/>
    <s v="St. Thomas, Virgin Islands"/>
    <s v="Trans Caribbean Airways"/>
    <n v="505"/>
    <s v="New York - St. Thomas"/>
    <x v="1156"/>
    <s v="N8790R"/>
    <n v="20240"/>
    <n v="55"/>
    <n v="48"/>
    <n v="7"/>
    <n v="2"/>
    <n v="2"/>
    <n v="0"/>
    <n v="0"/>
    <s v="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
    <n v="53"/>
    <n v="3.6363636363636362E-2"/>
    <x v="2"/>
  </r>
  <r>
    <n v="2506"/>
    <x v="2276"/>
    <x v="59"/>
    <x v="1"/>
    <d v="1899-12-30T23:09:00"/>
    <s v="Near Shemshernagar,  Pakistan"/>
    <s v="Pakistan International Airlines"/>
    <s v="Unknown"/>
    <s v="Algiers - MahÃ³n"/>
    <x v="986"/>
    <s v=" AP-AUV"/>
    <n v="10330"/>
    <n v="35"/>
    <n v="31"/>
    <n v="4"/>
    <n v="7"/>
    <n v="7"/>
    <n v="0"/>
    <n v="0"/>
    <s v="The pilot declared an emergency and reported his position 65 nautical miles north of Algie. No trace of the aircraft nor the 31 occupants was found."/>
    <n v="28"/>
    <n v="0.2"/>
    <x v="2"/>
  </r>
  <r>
    <n v="2507"/>
    <x v="2276"/>
    <x v="59"/>
    <x v="1"/>
    <s v="Unknown"/>
    <s v="Off Algiers, Algeria"/>
    <s v="Rousseau Aviation"/>
    <s v="Unknown"/>
    <s v="Algiers - Menorca"/>
    <x v="1157"/>
    <s v="F-BNGB"/>
    <n v="2"/>
    <n v="31"/>
    <n v="28"/>
    <n v="3"/>
    <n v="31"/>
    <n v="28"/>
    <n v="3"/>
    <n v="0"/>
    <s v="Ditched in the ocean. Mayday received. No trace of the plane ever found."/>
    <n v="0"/>
    <n v="1"/>
    <x v="1"/>
  </r>
  <r>
    <n v="2508"/>
    <x v="2276"/>
    <x v="59"/>
    <x v="1"/>
    <d v="1899-12-30T16:37:00"/>
    <s v="Leningrad, USSR"/>
    <s v="Aeroflot"/>
    <n v="3012"/>
    <s v="Leningrad - Erevan"/>
    <x v="855"/>
    <s v="CCCP-75773"/>
    <n v="181003603"/>
    <n v="93"/>
    <n v="90"/>
    <n v="3"/>
    <n v="93"/>
    <n v="90"/>
    <n v="3"/>
    <n v="0"/>
    <s v="The plane crashed during takeoff on a flight to Erevan. Due to poor flight preparation and lack of coordination, the crew failed to follow the pre-takeoff checklist and failed to deploy the flaps prior to departure, according to the published procedures."/>
    <n v="0"/>
    <n v="1"/>
    <x v="1"/>
  </r>
  <r>
    <n v="2509"/>
    <x v="2277"/>
    <x v="60"/>
    <x v="1"/>
    <d v="1899-12-30T03:25:00"/>
    <s v="Ben Gashir, Libya"/>
    <s v="United Arab Airlines"/>
    <n v="844"/>
    <s v="Algiers - Tripoli - Cairo"/>
    <x v="904"/>
    <s v="SU-ALC"/>
    <n v="6439"/>
    <n v="16"/>
    <n v="8"/>
    <n v="8"/>
    <n v="16"/>
    <n v="8"/>
    <n v="8"/>
    <n v="0"/>
    <s v="Crashed 7 kms from the runway in a sandstorm. Decision to land while visibility was below company minimums for that particular airport at night."/>
    <n v="0"/>
    <n v="1"/>
    <x v="1"/>
  </r>
  <r>
    <n v="2510"/>
    <x v="2278"/>
    <x v="60"/>
    <x v="1"/>
    <d v="1899-12-30T16:20:00"/>
    <s v="Edison, New Jersey"/>
    <s v="American Airlines / Private"/>
    <n v="30"/>
    <s v="San Francisco, CA - Newark, NJ"/>
    <x v="1158"/>
    <s v="N7595A/N60942"/>
    <s v="19345 / ?"/>
    <n v="21"/>
    <n v="14"/>
    <n v="7"/>
    <n v="2"/>
    <n v="0"/>
    <n v="2"/>
    <n v="0"/>
    <s v="Midair collision at 3,000 ft.  Failed to see and avoid other aircraft. The Boeing 707 landed safely. Two killed on the Cessna.  System permitted VFR operation in congested area in reduced visibility."/>
    <n v="19"/>
    <n v="9.5238095238095233E-2"/>
    <x v="2"/>
  </r>
  <r>
    <n v="2511"/>
    <x v="2279"/>
    <x v="60"/>
    <x v="1"/>
    <d v="1899-12-30T15:49:00"/>
    <s v="Zurich, Switzerland"/>
    <s v="Balkan Bulgarian Airlines"/>
    <s v="LZ130"/>
    <s v="Paris - Zurich - Sofia"/>
    <x v="837"/>
    <s v="LZ-BED"/>
    <n v="186009002"/>
    <n v="47"/>
    <n v="39"/>
    <n v="8"/>
    <n v="45"/>
    <n v="38"/>
    <n v="7"/>
    <n v="0"/>
    <s v="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
    <n v="2"/>
    <n v="0.95744680851063835"/>
    <x v="1"/>
  </r>
  <r>
    <n v="2512"/>
    <x v="2280"/>
    <x v="60"/>
    <x v="1"/>
    <d v="1899-12-30T07:35:00"/>
    <s v="Near Pacae, Peru"/>
    <s v="Fuerza AÃ©rea del Peru"/>
    <s v="Unknown"/>
    <s v="Mazamari - Lima"/>
    <x v="665"/>
    <s v="FAP-381"/>
    <s v="Unknown"/>
    <n v="35"/>
    <n v="30"/>
    <n v="5"/>
    <n v="35"/>
    <n v="30"/>
    <n v="5"/>
    <n v="0"/>
    <s v="Crashed in the Andes mountains after experiencing engine trouble."/>
    <n v="0"/>
    <n v="1"/>
    <x v="1"/>
  </r>
  <r>
    <n v="2513"/>
    <x v="2280"/>
    <x v="60"/>
    <x v="1"/>
    <d v="1899-12-30T09:40:00"/>
    <s v="Near Privas, France"/>
    <s v="L'ArmÃ©e de L'Air"/>
    <s v="Unknown"/>
    <s v="Paris - Orange"/>
    <x v="1159"/>
    <s v="F-RBOA"/>
    <n v="44"/>
    <n v="21"/>
    <n v="17"/>
    <n v="4"/>
    <n v="21"/>
    <n v="17"/>
    <n v="4"/>
    <n v="0"/>
    <s v="Crashed and exploded  in a snowstorm in mountainous terrain. Thirteen of France's nuclear weapons experts were killed. The crew may misunderstood and mixed both altitude clearances of 8,000 feet till MontÃ©limar and 5,000 feet till Orange, descending prematurely.  Controlled flight into terrain."/>
    <n v="0"/>
    <n v="1"/>
    <x v="1"/>
  </r>
  <r>
    <n v="2514"/>
    <x v="2281"/>
    <x v="60"/>
    <x v="1"/>
    <d v="1899-12-30T21:36:00"/>
    <s v="Surgut, USSR"/>
    <s v="Aeroflot"/>
    <s v="Unknown"/>
    <s v="_x0009_Omsk - _x0009_Surgut"/>
    <x v="1160"/>
    <s v="CCCP 11000"/>
    <n v="5343610"/>
    <n v="14"/>
    <n v="12"/>
    <n v="2"/>
    <n v="14"/>
    <n v="12"/>
    <n v="2"/>
    <n v="0"/>
    <s v="Crashed 15 km short of the runway. Icing. The engine bleed valves were not open causing  the anti-icing system to become ineffective."/>
    <n v="0"/>
    <n v="1"/>
    <x v="1"/>
  </r>
  <r>
    <n v="2515"/>
    <x v="2282"/>
    <x v="60"/>
    <x v="1"/>
    <s v="Unknown"/>
    <s v="Near Sokcho, South Korea"/>
    <s v="Korean Airlines"/>
    <s v="Unknown"/>
    <s v="Kangnung - Seoul"/>
    <x v="1161"/>
    <s v="HL-5212"/>
    <n v="10428"/>
    <n v="60"/>
    <n v="55"/>
    <n v="5"/>
    <n v="2"/>
    <n v="1"/>
    <n v="1"/>
    <n v="0"/>
    <s v="Crash landed on a beach after a hijacker detonated grenades he was carrying. The hijacker and the co-pilot were killed by the grenade explosions."/>
    <n v="58"/>
    <n v="3.3333333333333333E-2"/>
    <x v="2"/>
  </r>
  <r>
    <n v="2516"/>
    <x v="2283"/>
    <x v="60"/>
    <x v="1"/>
    <d v="1899-12-30T11:45:00"/>
    <s v="Merida, Venezuela"/>
    <s v="Linea Aeropostal Venezolana"/>
    <s v="Unknown"/>
    <s v="MÃ©rida - Caracas"/>
    <x v="1162"/>
    <s v="YV-C-AMV"/>
    <n v="94"/>
    <n v="47"/>
    <n v="43"/>
    <n v="4"/>
    <n v="13"/>
    <n v="12"/>
    <n v="1"/>
    <n v="0"/>
    <s v="Crash landed onto Cruces de Daji mountain in the Andes eight minutes after taking off off from Merida."/>
    <n v="34"/>
    <n v="0.27659574468085107"/>
    <x v="2"/>
  </r>
  <r>
    <n v="2517"/>
    <x v="2284"/>
    <x v="60"/>
    <x v="1"/>
    <d v="1899-12-30T04:41:00"/>
    <s v="Voroshilovgrad, Russia"/>
    <s v="Aeroflot"/>
    <s v="Unknown"/>
    <s v="Tyumen - Surgut"/>
    <x v="835"/>
    <s v="CCCP-12996"/>
    <n v="347403"/>
    <n v="7"/>
    <n v="6"/>
    <n v="1"/>
    <n v="7"/>
    <n v="6"/>
    <n v="1"/>
    <n v="0"/>
    <s v="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
    <n v="0"/>
    <n v="1"/>
    <x v="1"/>
  </r>
  <r>
    <n v="2518"/>
    <x v="2285"/>
    <x v="60"/>
    <x v="1"/>
    <s v="Unknown"/>
    <s v="Mt. Cunatineuta, Ecuador"/>
    <s v="TAM (Transportes Aereos Militares)"/>
    <s v="Unknown"/>
    <s v="La Paz - San Borja"/>
    <x v="469"/>
    <s v="TAM-60"/>
    <n v="26683"/>
    <n v="12"/>
    <n v="8"/>
    <n v="4"/>
    <n v="12"/>
    <n v="8"/>
    <n v="4"/>
    <n v="0"/>
    <s v="Cashed into a mountain 15 minutes after taking off in poor weather conditions. Controlled flight into terrain."/>
    <n v="0"/>
    <n v="1"/>
    <x v="1"/>
  </r>
  <r>
    <n v="2519"/>
    <x v="2286"/>
    <x v="60"/>
    <x v="1"/>
    <d v="1899-12-30T20:39:00"/>
    <s v="Gauhati, India"/>
    <s v="Jamair"/>
    <s v="Unknown"/>
    <s v="Guwahati - Bagdogra - Calcutta"/>
    <x v="277"/>
    <s v="VT-ATT"/>
    <n v="20363"/>
    <n v="15"/>
    <n v="11"/>
    <n v="4"/>
    <n v="15"/>
    <n v="11"/>
    <n v="4"/>
    <n v="0"/>
    <s v="Hit  a mountain after deviating from the prescribed course. Wreckage found 6 days later. Controlled flight into terrain."/>
    <n v="0"/>
    <n v="1"/>
    <x v="1"/>
  </r>
  <r>
    <n v="2520"/>
    <x v="2287"/>
    <x v="60"/>
    <x v="1"/>
    <d v="1899-12-30T06:33:00"/>
    <s v="Ontario, California"/>
    <s v="Western Airlines"/>
    <n v="366"/>
    <s v="Los Angeles - Ontairo"/>
    <x v="1163"/>
    <s v="N3166"/>
    <n v="19439"/>
    <n v="5"/>
    <n v="0"/>
    <n v="5"/>
    <n v="5"/>
    <n v="0"/>
    <n v="5"/>
    <n v="0"/>
    <s v="The aircraft, during a training flight suddenly rolled to the left and  crashed after a missed, 3 engine, ILS approach. Failure of the aircraft rudder hydraulic actuator support fitting which led to the loss of left rudder control. Stress corrosion cracks."/>
    <n v="0"/>
    <n v="1"/>
    <x v="1"/>
  </r>
  <r>
    <n v="2521"/>
    <x v="2287"/>
    <x v="60"/>
    <x v="1"/>
    <d v="1899-12-30T12:59:00"/>
    <s v="Vorochilovgrad, Ukraine"/>
    <s v="Aeroflot"/>
    <n v="1969"/>
    <s v="Kuibyshev - Lugansk"/>
    <x v="835"/>
    <s v="CCCP-11145"/>
    <n v="8400701"/>
    <n v="65"/>
    <n v="57"/>
    <n v="8"/>
    <n v="65"/>
    <n v="57"/>
    <n v="8"/>
    <n v="0"/>
    <s v="Crashed on approach resulting from structural failure of the right outer wing. A portion of 13 m2 detached from the upper surface of the right wing during the approach, causing the aircraft to be uncontrollable."/>
    <n v="0"/>
    <n v="1"/>
    <x v="1"/>
  </r>
  <r>
    <n v="2522"/>
    <x v="2288"/>
    <x v="60"/>
    <x v="1"/>
    <d v="1899-12-30T07:00:00"/>
    <s v="Near San Jose, Philippines"/>
    <s v="Military - Philippine Air Force"/>
    <s v="Unknown"/>
    <s v="Manila - Nichols AFB"/>
    <x v="402"/>
    <n v="293246"/>
    <n v="13136"/>
    <n v="40"/>
    <n v="36"/>
    <n v="4"/>
    <n v="39"/>
    <n v="35"/>
    <n v="4"/>
    <n v="0"/>
    <s v="Crashed into a rice field moments after taking off from Basa Air Base near Floridablanca. Climbed to 200 ft. banked to the left, stalled and crashed to the ground. Failure of the right engine. A young boy was the only survivor."/>
    <n v="1"/>
    <n v="0.97499999999999998"/>
    <x v="1"/>
  </r>
  <r>
    <n v="2523"/>
    <x v="2289"/>
    <x v="60"/>
    <x v="1"/>
    <d v="1899-12-30T17:01:00"/>
    <s v="Manchester, New Hampshire"/>
    <s v="New England Aviaiton"/>
    <s v="Unknown"/>
    <s v="Manchester, NH - Boston, MS"/>
    <x v="1164"/>
    <s v="N144H"/>
    <s v="Unknown"/>
    <n v="4"/>
    <n v="3"/>
    <n v="1"/>
    <n v="4"/>
    <n v="3"/>
    <n v="1"/>
    <n v="0"/>
    <s v="The aircraft experienced engine failure during takeoff and crashed. Fuel starvation. Fuel selector positioned between tanks. Pilots unfamilarity with aircraft. Had only 1 hour in type aircraft."/>
    <n v="0"/>
    <n v="1"/>
    <x v="1"/>
  </r>
  <r>
    <n v="2524"/>
    <x v="2290"/>
    <x v="60"/>
    <x v="1"/>
    <s v="Unknown"/>
    <s v="Guatemala City, Guatemala"/>
    <s v="Aviateca"/>
    <s v="Unknown"/>
    <s v="Guatemala City - Tikal"/>
    <x v="1165"/>
    <s v="TG-ACA-A"/>
    <n v="121"/>
    <n v="35"/>
    <n v="32"/>
    <n v="3"/>
    <n v="5"/>
    <n v="2"/>
    <n v="3"/>
    <n v="0"/>
    <s v="Shortly after takeoff from Guatemala City-La Aurora Airport, while climbing, the crew declared an emergency after an engine failed. The captain elected to return but the airplane lost height and crashed in a hilly terrain located 24 km south of the capital city."/>
    <n v="30"/>
    <n v="0.14285714285714285"/>
    <x v="2"/>
  </r>
  <r>
    <n v="2525"/>
    <x v="2291"/>
    <x v="60"/>
    <x v="1"/>
    <d v="1899-12-30T20:00:00"/>
    <s v="Near Rijeka, Yugoslavia"/>
    <s v="Aviogenex (Yugoslavia)"/>
    <n v="130"/>
    <s v="London - Rijeka"/>
    <x v="1166"/>
    <s v="YU-AHZ"/>
    <n v="1351205"/>
    <n v="83"/>
    <n v="76"/>
    <n v="7"/>
    <n v="78"/>
    <n v="75"/>
    <n v="3"/>
    <n v="0"/>
    <s v="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
    <n v="5"/>
    <n v="0.93975903614457834"/>
    <x v="1"/>
  </r>
  <r>
    <n v="2526"/>
    <x v="2292"/>
    <x v="60"/>
    <x v="1"/>
    <d v="1899-12-30T04:26:00"/>
    <s v="Santiago, Chile"/>
    <s v="_x0009_Aerolineas Flecha Austral - ALFA"/>
    <s v="Unknown"/>
    <s v="Santiago - Arica"/>
    <x v="1167"/>
    <s v="_x0009_CC-CAZ"/>
    <n v="50"/>
    <n v="4"/>
    <n v="2"/>
    <n v="2"/>
    <n v="4"/>
    <n v="2"/>
    <n v="2"/>
    <n v="0"/>
    <s v="The cargo plane lost an engine while taking off and crashed 2 km from the airport.."/>
    <n v="0"/>
    <n v="1"/>
    <x v="1"/>
  </r>
  <r>
    <n v="2527"/>
    <x v="2293"/>
    <x v="60"/>
    <x v="1"/>
    <d v="1899-12-30T11:08:00"/>
    <s v="Roanoke, Virginia"/>
    <s v="Private"/>
    <s v="Unknown"/>
    <s v="Atlanta, GA - Martinsville, VA"/>
    <x v="1168"/>
    <s v="N601JJ"/>
    <s v="491-161"/>
    <n v="6"/>
    <n v="5"/>
    <n v="1"/>
    <n v="6"/>
    <n v="5"/>
    <n v="1"/>
    <n v="0"/>
    <s v="The flight crashed into the side of a mountain during a thunderstorm. Continued VFR flight into adverse weather conditions.  Entered instrument weather at too low an altitude to clear mountain.  World War II hero and western movie star Audie Murphy, 46, killed."/>
    <n v="0"/>
    <n v="1"/>
    <x v="1"/>
  </r>
  <r>
    <n v="2528"/>
    <x v="2294"/>
    <x v="60"/>
    <x v="1"/>
    <d v="1899-12-30T17:11:00"/>
    <s v="Near Duarte, California"/>
    <s v="Hughes Airwest  / Military - US Marine Air Corps"/>
    <n v="706"/>
    <s v="Los Angeles - Salt Lake City"/>
    <x v="1169"/>
    <s v="N9345/151458"/>
    <s v="47441/503 / ?"/>
    <n v="51"/>
    <n v="44"/>
    <n v="7"/>
    <n v="50"/>
    <n v="44"/>
    <n v="6"/>
    <n v="0"/>
    <s v="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
    <n v="1"/>
    <n v="0.98039215686274506"/>
    <x v="1"/>
  </r>
  <r>
    <n v="2529"/>
    <x v="2295"/>
    <x v="60"/>
    <x v="1"/>
    <d v="1899-12-30T08:49:00"/>
    <s v="New Haven, Connecticut"/>
    <s v="Allegheny Airlines"/>
    <n v="485"/>
    <s v="Washington D.C. - Newport News, VA - Philadelphia"/>
    <x v="1030"/>
    <s v="N5832"/>
    <n v="384"/>
    <n v="31"/>
    <n v="28"/>
    <n v="3"/>
    <n v="28"/>
    <n v="26"/>
    <n v="2"/>
    <n v="0"/>
    <s v="The aircraft crashed into a row of beach houses, 4,980 feet short of the runway. Captain's intentional descent below minima under adverse weather conditions while trying to locate the runway despite advisories from 1st. officer."/>
    <n v="3"/>
    <n v="0.90322580645161288"/>
    <x v="1"/>
  </r>
  <r>
    <n v="2530"/>
    <x v="2296"/>
    <x v="60"/>
    <x v="1"/>
    <d v="1899-12-30T13:30:00"/>
    <s v="North Pacific Ocean"/>
    <s v="Military - U.S. Air Force"/>
    <s v="Unknown"/>
    <s v="Hickam AFB - Pango Pango"/>
    <x v="1170"/>
    <s v="61-0331"/>
    <n v="18238"/>
    <n v="24"/>
    <n v="20"/>
    <n v="4"/>
    <n v="24"/>
    <n v="20"/>
    <n v="4"/>
    <n v="0"/>
    <s v="Disappeared while en route. Met with an undisclosed catastrophic event and plunged into the sea. Believed to  have struck the surface at high speed."/>
    <n v="0"/>
    <n v="1"/>
    <x v="1"/>
  </r>
  <r>
    <n v="2531"/>
    <x v="2297"/>
    <x v="60"/>
    <x v="1"/>
    <d v="1899-12-30T14:30:00"/>
    <s v="Near Arica, Chile"/>
    <s v="SAVCO"/>
    <s v="Unknown"/>
    <s v="Santa Cruz - Arica"/>
    <x v="528"/>
    <s v="CP-926"/>
    <s v="43043/83"/>
    <n v="6"/>
    <n v="4"/>
    <n v="2"/>
    <n v="6"/>
    <n v="4"/>
    <n v="2"/>
    <n v="0"/>
    <s v="The aircraft struck Putre Mountain at an altitude of 18,000 feet.  Improper flight planning for IMC weather."/>
    <n v="0"/>
    <n v="1"/>
    <x v="1"/>
  </r>
  <r>
    <n v="2532"/>
    <x v="2298"/>
    <x v="60"/>
    <x v="1"/>
    <d v="1899-12-30T18:00:00"/>
    <s v="Garberville, California"/>
    <s v="Shelter Cove Sea Park"/>
    <s v="Unknown"/>
    <s v="Shelter Cove, CA - San Jose, CA"/>
    <x v="277"/>
    <s v="N90627"/>
    <n v="4642"/>
    <n v="24"/>
    <n v="21"/>
    <n v="3"/>
    <n v="17"/>
    <n v="15"/>
    <n v="2"/>
    <n v="0"/>
    <s v="The aircraft was unable to gain height on takeoff. It struck a transformer and a building, became airborne and went off a cliff into the ocean. Failure of the pilot to remove the rudder and elavator gust locks."/>
    <n v="7"/>
    <n v="0.70833333333333337"/>
    <x v="1"/>
  </r>
  <r>
    <n v="2533"/>
    <x v="2299"/>
    <x v="60"/>
    <x v="1"/>
    <d v="1899-12-30T18:10:00"/>
    <s v="Hokkaido, Japan"/>
    <s v="Toa Domestic Airline (Japan)"/>
    <n v="63"/>
    <s v="Sapporo - Hakodate"/>
    <x v="1171"/>
    <s v="JA8764"/>
    <n v="2134"/>
    <n v="68"/>
    <n v="64"/>
    <n v="4"/>
    <n v="68"/>
    <n v="64"/>
    <n v="4"/>
    <n v="0"/>
    <s v="The aircraft crashed into Yokotsu Mountain while on approach. Navigational error after strong winds caused flight to drift."/>
    <n v="0"/>
    <n v="1"/>
    <x v="1"/>
  </r>
  <r>
    <n v="2534"/>
    <x v="2300"/>
    <x v="60"/>
    <x v="1"/>
    <s v="Unknown"/>
    <s v="Near Bamako, Mali"/>
    <s v="Air Ivoire"/>
    <s v="Unknown"/>
    <s v="Bamako - Abidjan"/>
    <x v="277"/>
    <s v="6V-AAP"/>
    <n v="20505"/>
    <n v="6"/>
    <n v="4"/>
    <n v="2"/>
    <n v="6"/>
    <n v="4"/>
    <n v="2"/>
    <n v="0"/>
    <s v="Crashed into high terrain during a right turn on takeoff at night."/>
    <n v="0"/>
    <n v="1"/>
    <x v="1"/>
  </r>
  <r>
    <n v="2535"/>
    <x v="2301"/>
    <x v="60"/>
    <x v="1"/>
    <d v="1899-12-30T13:21:00"/>
    <s v="Manila, Philippines"/>
    <s v="Pan American World Airways"/>
    <s v="Unknown"/>
    <s v="San Francisco - Honolulu - Guam - Manila - Siagon"/>
    <x v="1098"/>
    <s v="N461PA"/>
    <s v="Unknown"/>
    <n v="4"/>
    <n v="0"/>
    <n v="4"/>
    <n v="4"/>
    <n v="0"/>
    <n v="4"/>
    <n v="0"/>
    <s v="While on a VOR/DME approach to Manila runway 24, the cargo aircraft struck Mount Kamunay at an altitude of 2,525 feet, 20 miles east/northeast of the Manila VOR. The probable cause was improper crew coordination, which caused a premature descent."/>
    <n v="0"/>
    <n v="1"/>
    <x v="1"/>
  </r>
  <r>
    <n v="2536"/>
    <x v="2301"/>
    <x v="60"/>
    <x v="1"/>
    <d v="1899-12-30T08:35:00"/>
    <s v="Near Irkutsk, Russia"/>
    <s v="Aeroflot"/>
    <n v="1912"/>
    <s v="Novosibirsk - Irkutsk"/>
    <x v="881"/>
    <s v="CCCP-42405"/>
    <n v="820202"/>
    <n v="126"/>
    <n v="118"/>
    <n v="8"/>
    <n v="97"/>
    <n v="93"/>
    <n v="4"/>
    <n v="0"/>
    <s v="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
    <n v="29"/>
    <n v="0.76984126984126988"/>
    <x v="1"/>
  </r>
  <r>
    <n v="2537"/>
    <x v="2302"/>
    <x v="60"/>
    <x v="1"/>
    <d v="1899-12-30T15:00:00"/>
    <s v="Near Pau, France"/>
    <s v="Military - French Air Force"/>
    <s v="Unknown"/>
    <s v="Exercises"/>
    <x v="823"/>
    <n v="49"/>
    <s v="Unknown"/>
    <n v="39"/>
    <n v="36"/>
    <n v="3"/>
    <n v="37"/>
    <n v="34"/>
    <n v="3"/>
    <n v="0"/>
    <s v="The plane, carrying parachute trainees, crashed in the flatlands of the Pyrenees during a final approach and after experiencing an engine fire. Two escaped by parachuting out of the plane before it crashed."/>
    <n v="2"/>
    <n v="0.94871794871794868"/>
    <x v="1"/>
  </r>
  <r>
    <n v="2538"/>
    <x v="2302"/>
    <x v="60"/>
    <x v="1"/>
    <d v="1899-12-30T14:00:00"/>
    <s v="Near Morioko, Japan"/>
    <s v="All Nippon Airways /  Japanese Air Force"/>
    <n v="58"/>
    <s v="Sapporo - Tokyo"/>
    <x v="1172"/>
    <s v="JA8329 / ?"/>
    <s v="20436/788"/>
    <n v="164"/>
    <n v="155"/>
    <n v="9"/>
    <n v="163"/>
    <n v="155"/>
    <n v="8"/>
    <n v="0"/>
    <s v="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
    <n v="1"/>
    <n v="0.99390243902439024"/>
    <x v="1"/>
  </r>
  <r>
    <n v="2539"/>
    <x v="2302"/>
    <x v="60"/>
    <x v="1"/>
    <d v="1899-12-30T14:29:00"/>
    <s v="San Francisco, California"/>
    <s v="Pan American World Airways"/>
    <n v="845"/>
    <s v="San Francisco - Los Angeles"/>
    <x v="1173"/>
    <s v="N747PA"/>
    <s v="19639/2"/>
    <n v="218"/>
    <n v="197"/>
    <n v="21"/>
    <n v="0"/>
    <n v="0"/>
    <n v="0"/>
    <n v="0"/>
    <s v="The aircraft struck approach lights at the departure end of runway during takeoff. Miscalculation of available runway length and takeoff reference speed by crew. Erroneous information from the dispatcher. The aircraft was named &quot;Clipper America.&quot;"/>
    <n v="218"/>
    <n v="0"/>
    <x v="2"/>
  </r>
  <r>
    <n v="2540"/>
    <x v="2303"/>
    <x v="60"/>
    <x v="1"/>
    <d v="1899-12-30T09:40:00"/>
    <s v="Near Pegnitz, West Germany"/>
    <s v="Military - U.S. Army"/>
    <s v="Unknown"/>
    <s v="Ludwigsburg - Grafenwohr"/>
    <x v="1174"/>
    <s v="66-19023"/>
    <s v="Unknown"/>
    <n v="37"/>
    <n v="32"/>
    <n v="5"/>
    <n v="37"/>
    <n v="32"/>
    <n v="5"/>
    <n v="0"/>
    <s v="The helicopter, carrying American troops to an exercise, crashed into a hayfield and exploded in flames. Fatigue failure of the rotor blade led to its failure and structural failure of the aircraft."/>
    <n v="0"/>
    <n v="1"/>
    <x v="1"/>
  </r>
  <r>
    <n v="2541"/>
    <x v="2304"/>
    <x v="60"/>
    <x v="1"/>
    <d v="1899-12-30T20:40:00"/>
    <s v="Augusta, Maine"/>
    <s v="Downeast Airlines"/>
    <s v="Unknown"/>
    <s v="Boston, MA - Rockville, ME diverted to  Augusta ME"/>
    <x v="1175"/>
    <s v="N595DE"/>
    <s v="31-422"/>
    <n v="8"/>
    <n v="7"/>
    <n v="1"/>
    <n v="3"/>
    <n v="2"/>
    <n v="1"/>
    <n v="0"/>
    <s v="Crashed in dense fog while making an approach to Agusta State Airport. Discontinue VOR approach, attempted to maintain visual flight in IFR conditions at an altitude below obstructing terrain."/>
    <n v="5"/>
    <n v="0.375"/>
    <x v="0"/>
  </r>
  <r>
    <n v="2542"/>
    <x v="2305"/>
    <x v="60"/>
    <x v="1"/>
    <d v="1899-12-30T18:52:00"/>
    <s v="Off Copenhagen, Denmark"/>
    <s v="Malev Hungarian Airlines"/>
    <s v="Unknown"/>
    <s v="Oslo, Norway - East Berlin, German"/>
    <x v="913"/>
    <s v="HA-MOC"/>
    <n v="181992903"/>
    <n v="34"/>
    <n v="25"/>
    <n v="9"/>
    <n v="32"/>
    <n v="23"/>
    <n v="9"/>
    <n v="0"/>
    <s v="Disappeard from radar while eight miles short of the runway and crashed into the sea while on approach. Crew error. Crew flew below prescribed minimum altitiude."/>
    <n v="2"/>
    <n v="0.94117647058823528"/>
    <x v="1"/>
  </r>
  <r>
    <n v="2543"/>
    <x v="2306"/>
    <x v="60"/>
    <x v="1"/>
    <d v="1899-12-30T11:15:00"/>
    <s v="Near Juneau, Alaska"/>
    <s v="Alaska Airlines"/>
    <n v="1866"/>
    <s v="Anchorage - Seattle"/>
    <x v="1176"/>
    <s v="N2969G"/>
    <s v="19304/287"/>
    <n v="111"/>
    <n v="104"/>
    <n v="7"/>
    <n v="111"/>
    <n v="104"/>
    <n v="7"/>
    <n v="0"/>
    <s v="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
    <n v="0"/>
    <n v="1"/>
    <x v="1"/>
  </r>
  <r>
    <n v="2544"/>
    <x v="2307"/>
    <x v="60"/>
    <x v="1"/>
    <d v="1899-12-30T18:21:00"/>
    <s v="Near Hasloh, Germany"/>
    <s v="Pan International"/>
    <n v="112"/>
    <s v="Hamburg, Germany - Malaga, Spain"/>
    <x v="1177"/>
    <s v="D-ALAR"/>
    <n v="207"/>
    <n v="121"/>
    <n v="115"/>
    <n v="6"/>
    <n v="22"/>
    <n v="21"/>
    <n v="1"/>
    <n v="0"/>
    <s v="The aircraft collided with a bridge shearing off both wings after a double engine failure during takeoff.  A forced landing was attempted on a roadway. The water-injection system to cool the engines during takeoff was inadvertently filled with kerosene instead of water."/>
    <n v="99"/>
    <n v="0.18181818181818182"/>
    <x v="2"/>
  </r>
  <r>
    <n v="2545"/>
    <x v="2308"/>
    <x v="60"/>
    <x v="1"/>
    <s v="Unknown"/>
    <s v="Presevo, Russia"/>
    <s v="Yemen Airlines"/>
    <s v="Unknown"/>
    <s v="Belgrade - Athens - Cairo - Jeddah - Aden"/>
    <x v="277"/>
    <s v="4W-ABI"/>
    <n v="9334"/>
    <n v="5"/>
    <n v="3"/>
    <n v="2"/>
    <n v="5"/>
    <n v="3"/>
    <n v="2"/>
    <n v="0"/>
    <s v="The cargo plane crashed while taking off. Icing."/>
    <n v="0"/>
    <n v="1"/>
    <x v="1"/>
  </r>
  <r>
    <n v="2546"/>
    <x v="2308"/>
    <x v="60"/>
    <x v="1"/>
    <d v="1899-12-30T11:43:00"/>
    <s v="Kiev, Ukraine, USSR"/>
    <s v="Malev Hungarian Airlines"/>
    <s v="Unknown"/>
    <s v="Budapest - Kiev"/>
    <x v="1166"/>
    <s v="HA-LBD"/>
    <n v="9350801"/>
    <n v="49"/>
    <n v="41"/>
    <n v="8"/>
    <n v="49"/>
    <n v="41"/>
    <n v="8"/>
    <n v="0"/>
    <s v="While on approach to Kiev,   generator failed forcing the crew to switch to batteries. After two aborted attempts to land in fog, the plane crashed and broke up."/>
    <n v="0"/>
    <n v="1"/>
    <x v="1"/>
  </r>
  <r>
    <n v="2547"/>
    <x v="2309"/>
    <x v="60"/>
    <x v="1"/>
    <d v="1899-12-30T07:30:00"/>
    <s v="Rila mountain, Bulgaria"/>
    <s v="Balkan Bulgarian Airlines"/>
    <s v="Unknown"/>
    <s v="Kardjali - Sofia"/>
    <x v="1178"/>
    <s v="LZ-7005"/>
    <n v="601609"/>
    <n v="9"/>
    <n v="7"/>
    <n v="2"/>
    <n v="9"/>
    <n v="6"/>
    <n v="2"/>
    <n v="0"/>
    <s v="Crashed on Sveti Duh peak in the Rila mountains while en route. While giving directions to the aircraft, the ATC confused the aircraft with another Turkish aircraft which was flying almost the same route, but at 9000 m altitude."/>
    <n v="0"/>
    <n v="1"/>
    <x v="1"/>
  </r>
  <r>
    <n v="2548"/>
    <x v="2310"/>
    <x v="60"/>
    <x v="1"/>
    <d v="1899-12-30T12:00:00"/>
    <s v="Sena Madureira, Brazil"/>
    <s v="Cruzeiro"/>
    <s v="Unknown"/>
    <s v="Cruzerio do Sul - Rio Branco"/>
    <x v="277"/>
    <s v="PP-CBV"/>
    <n v="4977"/>
    <n v="32"/>
    <n v="28"/>
    <n v="4"/>
    <n v="32"/>
    <n v="28"/>
    <n v="4"/>
    <n v="0"/>
    <s v="The aircraft tried to return to the airport after an engine fire during takeoff  but the right wing struck trees and it crashed in the Amazon jungle."/>
    <n v="0"/>
    <n v="1"/>
    <x v="1"/>
  </r>
  <r>
    <n v="2549"/>
    <x v="2311"/>
    <x v="60"/>
    <x v="1"/>
    <d v="1899-12-30T11:10:00"/>
    <s v="Near Aarsele, West Vlaanderen, Belgium"/>
    <s v="British European Airways"/>
    <n v="706"/>
    <s v="London - Salzburg"/>
    <x v="989"/>
    <s v="G-APEC"/>
    <n v="706"/>
    <n v="63"/>
    <n v="55"/>
    <n v="8"/>
    <n v="63"/>
    <n v="55"/>
    <n v="8"/>
    <n v="0"/>
    <s v="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
    <n v="0"/>
    <n v="1"/>
    <x v="1"/>
  </r>
  <r>
    <n v="2550"/>
    <x v="2312"/>
    <x v="60"/>
    <x v="1"/>
    <d v="1899-12-30T20:17:00"/>
    <s v="Moscow, Russia"/>
    <s v="Aeroflot"/>
    <n v="773"/>
    <s v="_x0009_Moscow - Simferopol"/>
    <x v="881"/>
    <s v="CCCP-42490"/>
    <n v="21603"/>
    <n v="25"/>
    <n v="18"/>
    <n v="7"/>
    <n v="25"/>
    <n v="18"/>
    <n v="7"/>
    <n v="0"/>
    <s v="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
    <n v="0"/>
    <n v="1"/>
    <x v="1"/>
  </r>
  <r>
    <n v="2551"/>
    <x v="2313"/>
    <x v="60"/>
    <x v="1"/>
    <d v="1899-12-30T09:45:00"/>
    <s v="Colorado City, Arizona"/>
    <s v="Scenic Air Lines"/>
    <s v="Unknown"/>
    <s v="Las Vegas - Grand Canyon"/>
    <x v="1179"/>
    <s v="N3250Q"/>
    <s v="Unknown"/>
    <n v="10"/>
    <n v="9"/>
    <n v="1"/>
    <n v="10"/>
    <n v="9"/>
    <n v="1"/>
    <n v="0"/>
    <s v="The sightseeing plane crashed in rain/snow.  Continued VFR flight into adverse weather conditions. Pilot transmitted he was turning around do to weather conditions."/>
    <n v="0"/>
    <n v="1"/>
    <x v="1"/>
  </r>
  <r>
    <n v="2552"/>
    <x v="2314"/>
    <x v="60"/>
    <x v="1"/>
    <s v="Unknown"/>
    <s v="San Vicente del Caguan, Colombia"/>
    <s v="Aerolineas TAO"/>
    <s v="Unknown"/>
    <s v="San Vicente del CaguÃ¡n  - Neiva"/>
    <x v="402"/>
    <s v="HK- 595"/>
    <n v="19348"/>
    <n v="21"/>
    <n v="17"/>
    <n v="4"/>
    <n v="19"/>
    <n v="15"/>
    <n v="4"/>
    <n v="0"/>
    <s v="The aircraft crashed and burned short of the runway. A girl, 6, and a boy 3, were the only survivors."/>
    <n v="2"/>
    <n v="0.90476190476190477"/>
    <x v="1"/>
  </r>
  <r>
    <n v="2553"/>
    <x v="2315"/>
    <x v="60"/>
    <x v="1"/>
    <d v="1899-12-30T11:20:00"/>
    <s v="Peoria, Illinois"/>
    <s v="Chicago and Southern Airlines"/>
    <s v="Unknown"/>
    <s v="Chicago, IL - Peoria, IL"/>
    <x v="1180"/>
    <s v="N51CS"/>
    <s v="BA-211"/>
    <n v="16"/>
    <n v="14"/>
    <n v="2"/>
    <n v="16"/>
    <n v="14"/>
    <n v="2"/>
    <n v="0"/>
    <s v="Collided with wires/poles while attempting to land. Improper IFR operation. Descended below MDA."/>
    <n v="0"/>
    <n v="1"/>
    <x v="1"/>
  </r>
  <r>
    <n v="2554"/>
    <x v="2316"/>
    <x v="60"/>
    <x v="1"/>
    <s v="Unknown"/>
    <s v="Near Qui Nhon, South Vietnam"/>
    <s v="Military - Vietnamese Air Force"/>
    <s v="Unknown"/>
    <s v="Unknown"/>
    <x v="368"/>
    <s v="Unknown"/>
    <s v="Unknown"/>
    <n v="23"/>
    <n v="20"/>
    <n v="3"/>
    <n v="22"/>
    <n v="19"/>
    <n v="3"/>
    <n v="0"/>
    <s v="Crashed short of the after flying during a typhoon and landing in heavy rain."/>
    <n v="1"/>
    <n v="0.95652173913043481"/>
    <x v="1"/>
  </r>
  <r>
    <n v="2555"/>
    <x v="2317"/>
    <x v="60"/>
    <x v="1"/>
    <d v="1899-12-30T22:15:00"/>
    <s v="Bath, Pennsylvania"/>
    <s v="Monmouth Airways"/>
    <s v="Unknown"/>
    <s v="Jamaica, NY - Allentown, PA"/>
    <x v="1181"/>
    <s v="N986MA"/>
    <s v="U-44"/>
    <n v="8"/>
    <n v="6"/>
    <n v="2"/>
    <n v="4"/>
    <n v="2"/>
    <n v="2"/>
    <n v="0"/>
    <s v="Collided with trees while attempting to land. Improper IFR operation. Descended below MDA. Pilot fatigue."/>
    <n v="4"/>
    <n v="0.5"/>
    <x v="0"/>
  </r>
  <r>
    <n v="2556"/>
    <x v="2318"/>
    <x v="60"/>
    <x v="1"/>
    <d v="1899-12-30T05:40:00"/>
    <s v="Off Livorno, Italy"/>
    <s v="Military - Royal Air Force"/>
    <s v="Unknown"/>
    <s v="San Giusto - Sardinia"/>
    <x v="1182"/>
    <s v="XV216"/>
    <n v="4243"/>
    <n v="52"/>
    <n v="46"/>
    <n v="6"/>
    <n v="52"/>
    <n v="46"/>
    <n v="6"/>
    <n v="0"/>
    <s v="The plane, carrying paratroopers, crashed into the Ligurian Sea about 20 miles west of Pisa shortly after taking off from San Giusto Airport. In-flight structural failure. Cause undetermined."/>
    <n v="0"/>
    <n v="1"/>
    <x v="1"/>
  </r>
  <r>
    <n v="2557"/>
    <x v="2319"/>
    <x v="60"/>
    <x v="1"/>
    <s v="Unknown"/>
    <s v="Off Padang, Indonesia"/>
    <s v="Merpati Nusantara Airlines"/>
    <s v="Unknown"/>
    <s v="Jakarta - Padang - Medan - Kuala Lumpur"/>
    <x v="1183"/>
    <s v="PK-MVS"/>
    <n v="448"/>
    <n v="69"/>
    <n v="62"/>
    <n v="7"/>
    <n v="69"/>
    <n v="62"/>
    <n v="7"/>
    <n v="0"/>
    <s v="The plane crashed into the sea while on approach to Padang. Unknown cause."/>
    <n v="0"/>
    <n v="1"/>
    <x v="1"/>
  </r>
  <r>
    <n v="2558"/>
    <x v="2320"/>
    <x v="60"/>
    <x v="1"/>
    <d v="1899-12-30T11:25:00"/>
    <s v="Vinnitsa, Russia"/>
    <s v="Aeroflot"/>
    <s v="H-63"/>
    <s v="Kiev - Vinnitsa"/>
    <x v="968"/>
    <s v="CCCP-46809"/>
    <n v="67302306"/>
    <n v="48"/>
    <n v="43"/>
    <n v="5"/>
    <n v="48"/>
    <n v="43"/>
    <n v="5"/>
    <n v="0"/>
    <s v="The plane crashed  on a a go-around 850 m short of the runway. Stalled for unknown reasons."/>
    <n v="0"/>
    <n v="1"/>
    <x v="1"/>
  </r>
  <r>
    <n v="2559"/>
    <x v="2321"/>
    <x v="60"/>
    <x v="1"/>
    <d v="1899-12-30T21:50:00"/>
    <s v="Near Penghu Island, Taiwan"/>
    <s v="China Airlines (Taiwan)"/>
    <s v="Unknown"/>
    <s v="Taipei - Hong Kong"/>
    <x v="1046"/>
    <s v="B-1852"/>
    <n v="122"/>
    <n v="25"/>
    <n v="17"/>
    <n v="8"/>
    <n v="25"/>
    <n v="17"/>
    <n v="8"/>
    <n v="0"/>
    <s v="The plane crashed into the sea while on a flight from Taipei to Hong Kong.  Detonation of an explosive device."/>
    <n v="0"/>
    <n v="1"/>
    <x v="1"/>
  </r>
  <r>
    <n v="2560"/>
    <x v="2322"/>
    <x v="60"/>
    <x v="1"/>
    <d v="1899-12-30T13:30:00"/>
    <s v="Near Hue, South Vietnam"/>
    <s v="Military - U.S. Army"/>
    <s v="Unknown"/>
    <s v="Da Nang - Camp Eagle"/>
    <x v="1184"/>
    <s v="68-15866"/>
    <s v="Unknown"/>
    <n v="34"/>
    <n v="29"/>
    <n v="5"/>
    <n v="34"/>
    <n v="29"/>
    <n v="5"/>
    <n v="0"/>
    <s v="Crashed into a mountain after attempting to fly through a lowland area due to deteriorating weather conditions."/>
    <n v="0"/>
    <n v="1"/>
    <x v="1"/>
  </r>
  <r>
    <n v="2561"/>
    <x v="2323"/>
    <x v="60"/>
    <x v="1"/>
    <d v="1899-12-30T21:48:00"/>
    <s v="Saratov, Russia"/>
    <s v="Aeroflot"/>
    <n v="2174"/>
    <s v="Ufa - Saratov"/>
    <x v="968"/>
    <s v="CCCP-46788"/>
    <n v="57301801"/>
    <n v="57"/>
    <n v="53"/>
    <n v="4"/>
    <n v="57"/>
    <n v="53"/>
    <n v="4"/>
    <n v="0"/>
    <s v="During approach the plane made a large roll and vertical rate of descent and crashed. Icing."/>
    <n v="0"/>
    <n v="1"/>
    <x v="1"/>
  </r>
  <r>
    <n v="2562"/>
    <x v="2324"/>
    <x v="60"/>
    <x v="1"/>
    <d v="1899-12-30T13:46:00"/>
    <s v="Raleigh, North Carolina"/>
    <s v="Eastern Air Lines"/>
    <s v="Unknown"/>
    <s v="Miami, FL - Raleigh, NC"/>
    <x v="1185"/>
    <s v="N8943E / N2110F"/>
    <s v="47166/265 / ?"/>
    <n v="29"/>
    <n v="24"/>
    <n v="5"/>
    <n v="2"/>
    <n v="1"/>
    <n v="1"/>
    <n v="0"/>
    <s v="Midair collision.  The DC-9 descended onto the Cessna. Two killed aboard the Cessna. The DC-9 landed with no one aboard injured. Inadequacy of ATC facilities and services in the terminal area."/>
    <n v="27"/>
    <n v="6.8965517241379309E-2"/>
    <x v="2"/>
  </r>
  <r>
    <n v="2563"/>
    <x v="2325"/>
    <x v="60"/>
    <x v="1"/>
    <s v="Unknown"/>
    <s v="Tikaka, Sudan"/>
    <s v="Sudan Airways"/>
    <s v="Unknown"/>
    <s v="Khartoum - Malakal"/>
    <x v="986"/>
    <s v="ST-AAY"/>
    <n v="10238"/>
    <n v="42"/>
    <n v="37"/>
    <n v="5"/>
    <n v="10"/>
    <n v="9"/>
    <n v="1"/>
    <n v="0"/>
    <s v="The aircraft experienced a forced landing after being hijacked and running out of fuel.      "/>
    <n v="32"/>
    <n v="0.23809523809523808"/>
    <x v="2"/>
  </r>
  <r>
    <n v="2564"/>
    <x v="2326"/>
    <x v="60"/>
    <x v="1"/>
    <d v="1899-12-30T12:25:00"/>
    <s v="Chinnamanur, India"/>
    <s v="Indian Airlines"/>
    <s v="Unknown"/>
    <s v="Trivandrum - Madurai"/>
    <x v="1186"/>
    <s v="VT-DXG"/>
    <n v="512"/>
    <n v="31"/>
    <n v="27"/>
    <n v="4"/>
    <n v="21"/>
    <n v="17"/>
    <n v="4"/>
    <n v="0"/>
    <s v="Strayed off course and flew into a mountain. Crew error."/>
    <n v="10"/>
    <n v="0.67741935483870963"/>
    <x v="1"/>
  </r>
  <r>
    <n v="2565"/>
    <x v="2327"/>
    <x v="60"/>
    <x v="1"/>
    <d v="1899-12-30T23:32:00"/>
    <s v="Sofia, Bulgaria"/>
    <s v="Balkan Bulgarian Airlines"/>
    <s v="Unknown"/>
    <s v="Sofia IAP - Algiers"/>
    <x v="855"/>
    <s v="LZ-BES"/>
    <n v="185008104"/>
    <n v="73"/>
    <n v="62"/>
    <n v="11"/>
    <n v="28"/>
    <n v="26"/>
    <n v="2"/>
    <n v="0"/>
    <s v="Crashed in adverse weather conditions shortly after taking off. Technicians failed to comply with maintenance procedure and it was determined that the aileron control cables were not properly connected."/>
    <n v="45"/>
    <n v="0.38356164383561642"/>
    <x v="0"/>
  </r>
  <r>
    <n v="2566"/>
    <x v="2328"/>
    <x v="60"/>
    <x v="1"/>
    <d v="1899-12-30T12:36:00"/>
    <s v="Near Puerto Inca, Huanuco, Peru"/>
    <s v="Lineas Aereas Nacionales SA (Peru)"/>
    <n v="508"/>
    <s v="Lima - Pucallpa"/>
    <x v="820"/>
    <s v="OB-R-941"/>
    <n v="1086"/>
    <n v="92"/>
    <n v="86"/>
    <n v="6"/>
    <n v="91"/>
    <n v="85"/>
    <n v="6"/>
    <n v="0"/>
    <s v="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quot;I counted 35 worms that came out of my arms alone.&quot; The men offered what assistance they could provide but it was too late in the day to start the journey back to civilization"/>
    <n v="1"/>
    <n v="0.98913043478260865"/>
    <x v="1"/>
  </r>
  <r>
    <n v="2567"/>
    <x v="2329"/>
    <x v="61"/>
    <x v="1"/>
    <d v="1899-12-30T15:35:00"/>
    <s v="Near Chetumal, Mexico"/>
    <s v="SAESA"/>
    <s v="Unknown"/>
    <s v="Chetumel - Merida - Mexico City"/>
    <x v="1187"/>
    <s v="XA-SEV"/>
    <n v="1598"/>
    <n v="23"/>
    <n v="18"/>
    <n v="5"/>
    <n v="23"/>
    <n v="18"/>
    <n v="5"/>
    <n v="0"/>
    <s v="The aircraft crashed about 40 km northwest of Chetumal. following a fire onboard while en route."/>
    <n v="0"/>
    <n v="1"/>
    <x v="1"/>
  </r>
  <r>
    <n v="2568"/>
    <x v="2330"/>
    <x v="61"/>
    <x v="1"/>
    <d v="1899-12-30T12:10:00"/>
    <s v="Sierra de Atalayasa, Spain"/>
    <s v="Iberia Airlines"/>
    <n v="602"/>
    <s v="Valencia - Ibiza"/>
    <x v="1188"/>
    <s v="EC-ATV"/>
    <n v="163"/>
    <n v="104"/>
    <n v="98"/>
    <n v="6"/>
    <n v="104"/>
    <n v="98"/>
    <n v="6"/>
    <n v="0"/>
    <s v="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
    <n v="0"/>
    <n v="1"/>
    <x v="1"/>
  </r>
  <r>
    <n v="2569"/>
    <x v="2331"/>
    <x v="61"/>
    <x v="1"/>
    <s v="Unknown"/>
    <s v="Near Funza, Colombia"/>
    <s v="Lineas AÃ©reas la Urraca"/>
    <s v="Unknown"/>
    <s v="Bogota - San Andres"/>
    <x v="860"/>
    <s v="HK-1347"/>
    <n v="442"/>
    <n v="20"/>
    <n v="15"/>
    <n v="5"/>
    <n v="20"/>
    <n v="15"/>
    <n v="5"/>
    <n v="0"/>
    <s v="Crashed shortly after leaving Bogota after an explosion aboard."/>
    <n v="0"/>
    <n v="1"/>
    <x v="1"/>
  </r>
  <r>
    <n v="2570"/>
    <x v="2331"/>
    <x v="61"/>
    <x v="1"/>
    <d v="1899-12-30T10:30:00"/>
    <s v="Near Betania, Colombia"/>
    <s v="SATENA"/>
    <n v="661"/>
    <s v="MedellÃ­n - QuibdÃ³ - BahÃ­a Solano - Buenaventura - Cali"/>
    <x v="368"/>
    <s v="FAC-661"/>
    <s v="Unknown"/>
    <n v="39"/>
    <n v="36"/>
    <n v="3"/>
    <n v="39"/>
    <n v="36"/>
    <n v="3"/>
    <n v="0"/>
    <s v="The aircraft struck a mountain in rain and thunderstorms operating as a non-scheduled passenger airliner run by the military."/>
    <n v="0"/>
    <n v="1"/>
    <x v="1"/>
  </r>
  <r>
    <n v="2571"/>
    <x v="2332"/>
    <x v="61"/>
    <x v="1"/>
    <d v="1899-12-30T16:10:00"/>
    <s v="Near SrbskÃ¡ Kamenice, Czech Republic"/>
    <s v="JAT Yugoslav Airlines"/>
    <s v="JU 367"/>
    <s v="Stockholm - Belgrade"/>
    <x v="1104"/>
    <s v="YU-AHT"/>
    <s v="47482/592"/>
    <n v="28"/>
    <n v="23"/>
    <n v="5"/>
    <n v="27"/>
    <n v="23"/>
    <n v="4"/>
    <n v="0"/>
    <s v="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
    <n v="1"/>
    <n v="0.9642857142857143"/>
    <x v="1"/>
  </r>
  <r>
    <n v="2572"/>
    <x v="2333"/>
    <x v="61"/>
    <x v="1"/>
    <s v="Unknown"/>
    <s v="Near Tegal, Indonesia"/>
    <s v="Royal Air Laos/PENAS"/>
    <s v="Unknown"/>
    <s v="Singapore - Jakarta"/>
    <x v="528"/>
    <s v="XW-PEH"/>
    <s v="43126/132"/>
    <n v="9"/>
    <n v="6"/>
    <n v="3"/>
    <n v="6"/>
    <n v="5"/>
    <n v="1"/>
    <n v="0"/>
    <s v="Due to a compass error the aircraft became lost and crashed during a forced landing due to fuel starvation."/>
    <n v="3"/>
    <n v="0.66666666666666663"/>
    <x v="1"/>
  </r>
  <r>
    <n v="2573"/>
    <x v="2334"/>
    <x v="61"/>
    <x v="1"/>
    <s v="Unknown"/>
    <s v="Pha Khao, Laos"/>
    <s v="Air America"/>
    <s v="Unknown"/>
    <s v="Ban Xon - Pha Khao"/>
    <x v="1054"/>
    <n v="393"/>
    <n v="51"/>
    <n v="38"/>
    <n v="34"/>
    <n v="4"/>
    <n v="1"/>
    <n v="0"/>
    <n v="1"/>
    <n v="0"/>
    <s v="After a go-around due to an obstruction on the runway, the aircraft crashed while attempting to land a second time. Overloaded"/>
    <n v="37"/>
    <n v="2.6315789473684209E-2"/>
    <x v="2"/>
  </r>
  <r>
    <n v="2574"/>
    <x v="2335"/>
    <x v="61"/>
    <x v="1"/>
    <s v="Unknown"/>
    <s v="Near Valledupar, Colombia"/>
    <s v="TAC Colombia"/>
    <n v="772"/>
    <s v="Bogota - Valledupar"/>
    <x v="896"/>
    <s v="HK-1139"/>
    <n v="75"/>
    <n v="19"/>
    <n v="15"/>
    <n v="4"/>
    <n v="19"/>
    <n v="15"/>
    <n v="4"/>
    <n v="0"/>
    <s v="Disappeared while en route. Wreckage found 3 days later. The accident was the result of a controlled flight into terrain due to a premature descent."/>
    <n v="0"/>
    <n v="1"/>
    <x v="1"/>
  </r>
  <r>
    <n v="2575"/>
    <x v="2336"/>
    <x v="61"/>
    <x v="1"/>
    <d v="1899-12-30T13:20:00"/>
    <s v="Near Vientiane, Laos"/>
    <s v="Royal Air Lao"/>
    <s v="Unknown"/>
    <s v="Savannakhet - Vientiane"/>
    <x v="487"/>
    <s v="XW-TDE"/>
    <n v="43126"/>
    <n v="23"/>
    <n v="17"/>
    <n v="6"/>
    <n v="23"/>
    <n v="17"/>
    <n v="6"/>
    <n v="0"/>
    <s v="Shot down while en route. Aircraft not found."/>
    <n v="0"/>
    <n v="1"/>
    <x v="1"/>
  </r>
  <r>
    <n v="2576"/>
    <x v="2337"/>
    <x v="61"/>
    <x v="1"/>
    <d v="1899-12-30T20:48:00"/>
    <s v="Albany, New York"/>
    <s v="Mohawk Airlines"/>
    <n v="405"/>
    <s v="New York City - Albany, NY"/>
    <x v="1189"/>
    <s v="N7818M"/>
    <n v="541"/>
    <n v="48"/>
    <n v="45"/>
    <n v="3"/>
    <n v="16"/>
    <n v="14"/>
    <n v="2"/>
    <n v="1"/>
    <s v="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
    <n v="32"/>
    <n v="0.33333333333333331"/>
    <x v="2"/>
  </r>
  <r>
    <n v="2577"/>
    <x v="2338"/>
    <x v="61"/>
    <x v="1"/>
    <d v="1899-12-30T22:00:00"/>
    <s v="Near Al Fujayrah, United Arab Emirates"/>
    <s v="Sterling Airways"/>
    <n v="296"/>
    <s v="Colombo - Dubai"/>
    <x v="1190"/>
    <s v="OY-STL"/>
    <n v="267"/>
    <n v="112"/>
    <n v="106"/>
    <n v="6"/>
    <n v="112"/>
    <n v="106"/>
    <n v="6"/>
    <n v="0"/>
    <s v="The aircraft struck a mountain ridge during approach, 50 miles E of Dubai. Incorrect information from an outdated flight plan."/>
    <n v="0"/>
    <n v="1"/>
    <x v="1"/>
  </r>
  <r>
    <n v="2578"/>
    <x v="2339"/>
    <x v="61"/>
    <x v="1"/>
    <s v="Unknown"/>
    <s v="Shamsam Mountains, South Yemen"/>
    <s v="Egyptair"/>
    <n v="763"/>
    <s v="Cairo - Jeddah - Aden"/>
    <x v="1104"/>
    <s v="YU-AHR"/>
    <s v="47503/587"/>
    <n v="22"/>
    <n v="13"/>
    <n v="9"/>
    <n v="22"/>
    <n v="13"/>
    <n v="9"/>
    <n v="0"/>
    <s v="The aircraft crashed into Shamsam Mountain and exploded, during a visual approach, 4 miles SW of the airport. Controlled flight into terrain."/>
    <n v="0"/>
    <n v="1"/>
    <x v="1"/>
  </r>
  <r>
    <n v="2579"/>
    <x v="2340"/>
    <x v="61"/>
    <x v="1"/>
    <d v="1899-12-30T21:26:00"/>
    <s v=" Near Rio de Janeiro, Brazil"/>
    <s v="VASP"/>
    <s v="Unknown"/>
    <s v="Sao Paulo - Rio de Janeiro"/>
    <x v="1191"/>
    <s v="PP-SMI"/>
    <n v="2059"/>
    <n v="25"/>
    <n v="21"/>
    <n v="4"/>
    <n v="25"/>
    <n v="21"/>
    <n v="4"/>
    <n v="0"/>
    <s v="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
    <n v="0"/>
    <n v="1"/>
    <x v="1"/>
  </r>
  <r>
    <n v="2580"/>
    <x v="2341"/>
    <x v="61"/>
    <x v="1"/>
    <d v="1899-12-30T22:10:00"/>
    <s v="Near Ardinello di Amaseno, Italy"/>
    <s v="Aero Transporti Italiani"/>
    <s v="Unknown"/>
    <s v="Rome - Foggia"/>
    <x v="986"/>
    <s v="I-ATIP"/>
    <n v="10251"/>
    <n v="18"/>
    <n v="15"/>
    <n v="3"/>
    <n v="18"/>
    <n v="15"/>
    <n v="3"/>
    <n v="0"/>
    <s v="Crashed into high ground while en route in thunderstorm activity. Loss of control due to downdrafts and updrafts in thunderstorm activity."/>
    <n v="0"/>
    <n v="1"/>
    <x v="1"/>
  </r>
  <r>
    <n v="2581"/>
    <x v="2342"/>
    <x v="61"/>
    <x v="1"/>
    <d v="1899-12-30T17:18:00"/>
    <s v="New York, New York"/>
    <s v="Helaire Helicopter"/>
    <s v="Unknown"/>
    <s v="Sightseeing"/>
    <x v="1192"/>
    <s v="N8467E"/>
    <s v="Unknown"/>
    <n v="3"/>
    <n v="2"/>
    <n v="1"/>
    <n v="3"/>
    <n v="2"/>
    <n v="1"/>
    <n v="0"/>
    <s v="Float equipped sightseeing helicopter encountered turbulence which led to the blades flapping and a steep nose down crash into the river."/>
    <n v="0"/>
    <n v="1"/>
    <x v="1"/>
  </r>
  <r>
    <n v="2582"/>
    <x v="2343"/>
    <x v="61"/>
    <x v="1"/>
    <d v="1899-12-30T09:39:00"/>
    <s v="Addis Ababa, Ethiopia"/>
    <s v="East African Airways"/>
    <n v="720"/>
    <s v="Addis Ababa - Rome"/>
    <x v="1193"/>
    <s v="5X-UVA"/>
    <n v="881"/>
    <n v="107"/>
    <n v="96"/>
    <n v="11"/>
    <n v="43"/>
    <n v="35"/>
    <n v="8"/>
    <n v="0"/>
    <s v="The aircraft broke-up after overrunning the runway and an aborted takeoff. Partial loss of braking power due to the incorrect reassembly and repairs of the braking system."/>
    <n v="64"/>
    <n v="0.40186915887850466"/>
    <x v="0"/>
  </r>
  <r>
    <n v="2583"/>
    <x v="2344"/>
    <x v="61"/>
    <x v="1"/>
    <d v="1899-12-30T16:20:00"/>
    <s v="Near Moyobamba, Peru"/>
    <s v="SATCO"/>
    <s v="Unknown"/>
    <s v="Unknown"/>
    <x v="608"/>
    <s v="OB-R-653"/>
    <s v="17102/34369"/>
    <n v="6"/>
    <n v="2"/>
    <n v="4"/>
    <n v="6"/>
    <n v="2"/>
    <n v="4"/>
    <n v="0"/>
    <s v="The cargo plane struck a mountain in poor weather conditions. The pilot elected to use a cruising altitude lower than stipulated in order to save time and continue flying in VFR conditions."/>
    <n v="0"/>
    <n v="1"/>
    <x v="1"/>
  </r>
  <r>
    <n v="2584"/>
    <x v="2345"/>
    <x v="61"/>
    <x v="1"/>
    <d v="1899-12-30T12:23:00"/>
    <s v="Nyot Mo, Laos"/>
    <s v="Air America"/>
    <s v="Unknown"/>
    <s v="Long Tieng, Laos - Moung Cha, Laos"/>
    <x v="1194"/>
    <s v="N391R"/>
    <s v="Unknown"/>
    <n v="10"/>
    <n v="9"/>
    <n v="1"/>
    <n v="4"/>
    <n v="4"/>
    <n v="0"/>
    <n v="0"/>
    <s v="Hit trees while flying through a mountain pass in rain and fog."/>
    <n v="6"/>
    <n v="0.4"/>
    <x v="0"/>
  </r>
  <r>
    <n v="2585"/>
    <x v="2346"/>
    <x v="61"/>
    <x v="1"/>
    <d v="1899-12-30T23:34:00"/>
    <s v="Bratsk, USSR"/>
    <s v="Aeroflot"/>
    <n v="608"/>
    <s v="_x0009_Irkutsk - _x0009_Bratsk"/>
    <x v="1146"/>
    <s v="CCCP-87778"/>
    <n v="9040314"/>
    <n v="18"/>
    <n v="14"/>
    <n v="4"/>
    <n v="18"/>
    <n v="14"/>
    <n v="4"/>
    <n v="0"/>
    <s v="Crashed on approach. The plane entered an area of severe wind. Windshear. ATC error. Current weather was not passed on to the plane."/>
    <n v="0"/>
    <n v="1"/>
    <x v="1"/>
  </r>
  <r>
    <n v="2586"/>
    <x v="2347"/>
    <x v="61"/>
    <x v="1"/>
    <d v="1899-12-30T22:24:00"/>
    <s v="Near Carini, Sicily, Italy"/>
    <s v="Alitalia"/>
    <n v="112"/>
    <s v="Rome - Palermo"/>
    <x v="903"/>
    <s v="I-DIWB"/>
    <s v="45625/150"/>
    <n v="115"/>
    <n v="108"/>
    <n v="7"/>
    <n v="115"/>
    <n v="108"/>
    <n v="7"/>
    <n v="0"/>
    <s v="The plane cashed into Mt. Lunga during an approach to Palermo. The crew's non-adherence to airport traffic regulations. The aircraft was named Antonio Pigafetta."/>
    <n v="0"/>
    <n v="1"/>
    <x v="1"/>
  </r>
  <r>
    <n v="2587"/>
    <x v="2348"/>
    <x v="61"/>
    <x v="1"/>
    <s v="Unknown"/>
    <s v=" Venezuela"/>
    <s v="Aerotechnia"/>
    <s v="Unknown"/>
    <s v="Ciudad BolÃ­var - Cuchivero"/>
    <x v="443"/>
    <s v="YV-C-GAI"/>
    <n v="26613"/>
    <n v="7"/>
    <n v="5"/>
    <n v="2"/>
    <n v="7"/>
    <n v="5"/>
    <n v="2"/>
    <n v="0"/>
    <s v="Struck a mountain near Rio Orinoco while en route."/>
    <n v="0"/>
    <n v="1"/>
    <x v="1"/>
  </r>
  <r>
    <n v="2588"/>
    <x v="2349"/>
    <x v="61"/>
    <x v="1"/>
    <d v="1899-12-30T10:25:00"/>
    <s v="Near Gia Dinh, South Vietnam"/>
    <s v="Military - U.S. Army"/>
    <s v="Unknown"/>
    <s v="Bien Hoa - Vung Tau"/>
    <x v="1107"/>
    <s v="Unknown"/>
    <s v="Unknown"/>
    <n v="34"/>
    <n v="32"/>
    <n v="2"/>
    <n v="34"/>
    <n v="32"/>
    <n v="2"/>
    <n v="0"/>
    <s v="Metal fatigue of the spar in a blade led to separation of the blade and loss of control of the aircraft."/>
    <n v="0"/>
    <n v="1"/>
    <x v="1"/>
  </r>
  <r>
    <n v="2589"/>
    <x v="2350"/>
    <x v="61"/>
    <x v="1"/>
    <d v="1899-12-30T12:30:00"/>
    <s v="Svetlogorsk, Russia"/>
    <s v="Military - Russian Navy"/>
    <s v="Unknown"/>
    <s v="Kaliningrad - Kaliningrad"/>
    <x v="1195"/>
    <n v="5"/>
    <n v="9911302"/>
    <n v="9"/>
    <n v="0"/>
    <n v="9"/>
    <n v="9"/>
    <n v="0"/>
    <n v="9"/>
    <n v="25"/>
    <s v="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
    <n v="0"/>
    <n v="1"/>
    <x v="1"/>
  </r>
  <r>
    <n v="2590"/>
    <x v="2351"/>
    <x v="61"/>
    <x v="1"/>
    <d v="1899-12-30T11:53:00"/>
    <s v="Near Kharkov, Ukraine, USSR"/>
    <s v="Aeroflot"/>
    <n v="1491"/>
    <s v="Moscow - :_x0009_Kharkov"/>
    <x v="895"/>
    <s v="CCCP-11215"/>
    <s v="_x0009_ 0402502"/>
    <n v="122"/>
    <n v="115"/>
    <n v="7"/>
    <n v="122"/>
    <n v="115"/>
    <n v="7"/>
    <n v="0"/>
    <s v="Structural failure and separation of both wings due to a fatigue crack in the center wing section."/>
    <n v="0"/>
    <n v="1"/>
    <x v="1"/>
  </r>
  <r>
    <n v="2591"/>
    <x v="2352"/>
    <x v="61"/>
    <x v="1"/>
    <s v="Unknown"/>
    <s v="Lobito, Angola"/>
    <s v="DTA Angola Airlines"/>
    <s v="Unknown"/>
    <s v="Luanda - Lobito - Lubango"/>
    <x v="986"/>
    <s v="CR-LLD"/>
    <n v="10439"/>
    <n v="25"/>
    <n v="19"/>
    <n v="6"/>
    <n v="22"/>
    <n v="17"/>
    <n v="5"/>
    <n v="0"/>
    <s v="Overshot the runway in heavy fog and crashed into the ocean while landing."/>
    <n v="3"/>
    <n v="0.88"/>
    <x v="1"/>
  </r>
  <r>
    <n v="2592"/>
    <x v="2353"/>
    <x v="61"/>
    <x v="1"/>
    <d v="1899-12-30T15:10:00"/>
    <s v="Near Helgoland, Germany"/>
    <s v="General Air"/>
    <n v="5"/>
    <s v="Helgoland - Wangerooge"/>
    <x v="1196"/>
    <s v="D-IDHC"/>
    <n v="31"/>
    <n v="13"/>
    <n v="10"/>
    <n v="3"/>
    <n v="8"/>
    <n v="6"/>
    <n v="2"/>
    <n v="0"/>
    <s v="Crashed after taking off from this North sea island for another island."/>
    <n v="5"/>
    <n v="0.61538461538461542"/>
    <x v="0"/>
  </r>
  <r>
    <n v="2593"/>
    <x v="2354"/>
    <x v="61"/>
    <x v="1"/>
    <d v="1899-12-30T06:04:00"/>
    <s v="Dulac, Louisiana"/>
    <s v="Petrolium Helicopter"/>
    <s v="Unknown"/>
    <s v="Dulac, LA - Gulf oil platform"/>
    <x v="1099"/>
    <s v="N2256W"/>
    <s v="Unknown"/>
    <n v="11"/>
    <n v="10"/>
    <n v="1"/>
    <n v="11"/>
    <n v="10"/>
    <n v="1"/>
    <n v="0"/>
    <s v="Crashed into the water after the fatigue failure of both tail rotor blade grips."/>
    <n v="0"/>
    <n v="1"/>
    <x v="1"/>
  </r>
  <r>
    <n v="2594"/>
    <x v="2354"/>
    <x v="61"/>
    <x v="1"/>
    <s v="Unknown"/>
    <s v="Cruzeiro do Sul Acre, Brazil"/>
    <s v="Amazonese Importacao e Exportacao"/>
    <s v="Unknown"/>
    <s v="Cruzeiro do Sul - Rio Branco"/>
    <x v="609"/>
    <s v="PP-PDG"/>
    <n v="2037"/>
    <n v="18"/>
    <n v="15"/>
    <n v="3"/>
    <n v="9"/>
    <n v="6"/>
    <n v="3"/>
    <n v="0"/>
    <s v="The cargo plane cashed into trees shortly after taking off after two engines failed. Refueling directly from the trucks, without allowing sufficient time for the fuel to settle."/>
    <n v="9"/>
    <n v="0.5"/>
    <x v="0"/>
  </r>
  <r>
    <n v="2595"/>
    <x v="2355"/>
    <x v="61"/>
    <x v="1"/>
    <d v="1899-12-30T06:24:00"/>
    <s v="Dallas/Ft. Worth, Texas"/>
    <s v="Delta Air Lines"/>
    <n v="9570"/>
    <s v="Training"/>
    <x v="1020"/>
    <s v="N3305L"/>
    <n v="45700"/>
    <n v="4"/>
    <n v="0"/>
    <n v="4"/>
    <n v="4"/>
    <n v="0"/>
    <n v="4"/>
    <n v="0"/>
    <s v="While practicing touch and go landing the aircraft crashed after getting caught in the wake turbulence of a DC-10. An encounter with a trailing vortex generated by a preceding &quot;heavy&quot;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
    <n v="0"/>
    <n v="1"/>
    <x v="1"/>
  </r>
  <r>
    <n v="2596"/>
    <x v="2356"/>
    <x v="61"/>
    <x v="1"/>
    <s v="Unknown"/>
    <s v="Near Pleiku, Vietnam"/>
    <s v="Air America"/>
    <s v="Unknown"/>
    <s v=" Hue - Pleiku - BuÃ´n Ma Thuot - Saigon"/>
    <x v="425"/>
    <s v="EM2"/>
    <n v="30460"/>
    <n v="32"/>
    <n v="29"/>
    <n v="3"/>
    <n v="32"/>
    <n v="29"/>
    <n v="3"/>
    <n v="0"/>
    <s v="The crew failed to realize his altitude was too low when the airplane struck the slope of a mountain located few km from the airport."/>
    <n v="0"/>
    <n v="1"/>
    <x v="1"/>
  </r>
  <r>
    <n v="2597"/>
    <x v="2357"/>
    <x v="61"/>
    <x v="1"/>
    <s v="Unknown"/>
    <s v="Santiago, Chile"/>
    <s v="Aerolineas Flecha Austral"/>
    <s v="Unknown"/>
    <s v="Unknown"/>
    <x v="438"/>
    <s v="CC-CDU"/>
    <n v="33369"/>
    <n v="3"/>
    <n v="0"/>
    <n v="3"/>
    <n v="3"/>
    <n v="0"/>
    <n v="3"/>
    <n v="0"/>
    <s v="On approach the cargo plane struck El Ovejero mountain."/>
    <n v="0"/>
    <n v="1"/>
    <x v="1"/>
  </r>
  <r>
    <n v="2598"/>
    <x v="2357"/>
    <x v="61"/>
    <x v="1"/>
    <s v="Unknown"/>
    <s v="Near an Loc, South Vietnam"/>
    <s v="Military - Vietnamese Air Force"/>
    <s v="Unknown"/>
    <s v="Unknown"/>
    <x v="1197"/>
    <s v="Unknown"/>
    <s v="Unknown"/>
    <n v="47"/>
    <s v="NULL"/>
    <s v="NULL"/>
    <n v="47"/>
    <s v="NULL"/>
    <s v="NULL"/>
    <n v="0"/>
    <s v="Shot down by enemy fire, 60 miles north of Saigon, shortly after taking off."/>
    <n v="0"/>
    <n v="1"/>
    <x v="1"/>
  </r>
  <r>
    <n v="2599"/>
    <x v="2358"/>
    <x v="61"/>
    <x v="1"/>
    <d v="1899-12-30T20:20:00"/>
    <s v="Near New Delhi, India"/>
    <s v="Japan Air Lines"/>
    <n v="471"/>
    <s v="Bangkok - Delhi"/>
    <x v="879"/>
    <s v="JA8012"/>
    <s v="45860/213"/>
    <n v="87"/>
    <n v="76"/>
    <n v="11"/>
    <n v="82"/>
    <n v="72"/>
    <n v="10"/>
    <n v="4"/>
    <s v="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
    <n v="5"/>
    <n v="0.94252873563218387"/>
    <x v="1"/>
  </r>
  <r>
    <n v="2600"/>
    <x v="2359"/>
    <x v="61"/>
    <x v="1"/>
    <d v="1899-12-30T14:00:00"/>
    <s v="Near Pleiku, South Vietnam"/>
    <s v="Cathay Pacific Airways"/>
    <s v="700Z"/>
    <s v="Bangkok - Hong Kong"/>
    <x v="1198"/>
    <s v="VR-HFZ"/>
    <s v="22-7-1-53"/>
    <n v="81"/>
    <n v="71"/>
    <n v="10"/>
    <n v="81"/>
    <n v="71"/>
    <n v="10"/>
    <n v="0"/>
    <s v="The plane crashed while en route from Singapore to Hong Kong. Detonation of an explosive device in the passenger cabin in a suitcase under a seat. A Thai police lieutenant, accused of planting the bomb, was acquitted due to lack of sufficient evidence."/>
    <n v="0"/>
    <n v="1"/>
    <x v="1"/>
  </r>
  <r>
    <n v="2601"/>
    <x v="2360"/>
    <x v="61"/>
    <x v="1"/>
    <d v="1899-12-30T16:11:00"/>
    <s v="London Heathrow,  Staines, Surrey, England"/>
    <s v="British European Airways"/>
    <n v="548"/>
    <s v="London - Brussels"/>
    <x v="1199"/>
    <s v="G-ARPI"/>
    <n v="2109"/>
    <n v="118"/>
    <n v="112"/>
    <n v="6"/>
    <n v="118"/>
    <n v="112"/>
    <n v="6"/>
    <n v="0"/>
    <s v="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
    <n v="0"/>
    <n v="1"/>
    <x v="1"/>
  </r>
  <r>
    <n v="2602"/>
    <x v="2361"/>
    <x v="61"/>
    <x v="1"/>
    <d v="1899-12-30T23:17:00"/>
    <s v="Ponce, Puerto Rico"/>
    <s v="Prinair"/>
    <n v="191"/>
    <s v="San Juan - Ponce"/>
    <x v="745"/>
    <s v="N554PR"/>
    <n v="14085"/>
    <n v="20"/>
    <n v="18"/>
    <n v="2"/>
    <n v="5"/>
    <n v="3"/>
    <n v="2"/>
    <n v="0"/>
    <s v="The pilot over-rotated during a go-around from a landing attempt , lost control and crashed. Crew error. The reason for rejecting the landing is not known."/>
    <n v="15"/>
    <n v="0.25"/>
    <x v="2"/>
  </r>
  <r>
    <n v="2603"/>
    <x v="2362"/>
    <x v="61"/>
    <x v="1"/>
    <d v="1899-12-30T09:37:00"/>
    <s v="Appleton, Wisconsin"/>
    <s v="North Central Airlines / Air Wisconsin"/>
    <s v="290 / 671"/>
    <s v="Chicago, IL - Appleton, WI - Sheboygan, WI"/>
    <x v="1200"/>
    <s v="N90858/N4043B"/>
    <s v="083 / 013"/>
    <n v="13"/>
    <n v="8"/>
    <n v="5"/>
    <n v="13"/>
    <n v="8"/>
    <n v="5"/>
    <n v="0"/>
    <s v="Both aircraft were proceeding under VFR getting ready to land when there was a midair collision. Both aircraft crashed into Lake Winnebago and sank. The failure of both flightcrews to detect visually the other aircraft in sufficient time to initiate evasive action."/>
    <n v="0"/>
    <n v="1"/>
    <x v="1"/>
  </r>
  <r>
    <n v="2604"/>
    <x v="2363"/>
    <x v="61"/>
    <x v="1"/>
    <s v="Unknown"/>
    <s v="San Francisco, California"/>
    <s v="Pacific Southwest Airlines"/>
    <n v="710"/>
    <s v="Sacramento - San Francisco"/>
    <x v="1201"/>
    <s v="Unknown"/>
    <s v="Unknown"/>
    <n v="86"/>
    <n v="79"/>
    <n v="7"/>
    <n v="3"/>
    <n v="3"/>
    <n v="0"/>
    <n v="0"/>
    <s v="Two hijackers and one passenger killed."/>
    <n v="83"/>
    <n v="3.4883720930232558E-2"/>
    <x v="2"/>
  </r>
  <r>
    <n v="2605"/>
    <x v="2364"/>
    <x v="61"/>
    <x v="1"/>
    <d v="1899-12-30T02:00:00"/>
    <s v="Off Las Palmas, Canary Islands, Spain"/>
    <s v="Aviaco"/>
    <n v="331"/>
    <s v="Las Palmas - Hamberg"/>
    <x v="1202"/>
    <s v="EC-ARA"/>
    <s v="45617/136"/>
    <n v="10"/>
    <n v="0"/>
    <n v="10"/>
    <n v="10"/>
    <n v="0"/>
    <n v="10"/>
    <n v="0"/>
    <s v="The plane ditched into the sea, 14 miles from Gran Canana Island while on approach. Reasons unknown."/>
    <n v="0"/>
    <n v="1"/>
    <x v="1"/>
  </r>
  <r>
    <n v="2606"/>
    <x v="2365"/>
    <x v="61"/>
    <x v="1"/>
    <d v="1899-12-30T16:00:00"/>
    <s v="Near Grytoya, Norway"/>
    <s v="Military - Royal Norwegian Air Force"/>
    <s v="Unknown"/>
    <s v="Bardufoss - Bodoe"/>
    <x v="1034"/>
    <s v="67-056"/>
    <n v="56"/>
    <n v="19"/>
    <n v="17"/>
    <n v="2"/>
    <n v="19"/>
    <n v="17"/>
    <n v="2"/>
    <n v="0"/>
    <s v="Crashed in rain and fog on the island of Hinno while preparing to land at Skagon Airport. Navigational error.  The pilot was found be under the influence of alcohol."/>
    <n v="0"/>
    <n v="1"/>
    <x v="1"/>
  </r>
  <r>
    <n v="2607"/>
    <x v="2365"/>
    <x v="61"/>
    <x v="1"/>
    <s v="Unknown"/>
    <s v="Near Quang Tri, South Vietnam"/>
    <s v="Military - U.S. Marine Corps"/>
    <s v="Unknown"/>
    <s v="Unknown"/>
    <x v="1203"/>
    <n v="156658"/>
    <s v="Unknown"/>
    <n v="67"/>
    <n v="60"/>
    <n v="7"/>
    <n v="52"/>
    <n v="50"/>
    <n v="2"/>
    <n v="0"/>
    <s v="Shot down by enemy fire, 60 miles north of Siagon."/>
    <n v="15"/>
    <n v="0.77611940298507465"/>
    <x v="1"/>
  </r>
  <r>
    <n v="2608"/>
    <x v="2366"/>
    <x v="61"/>
    <x v="1"/>
    <s v="Unknown"/>
    <s v="Corfu Island, Greece"/>
    <s v="Charter"/>
    <s v="Unknown"/>
    <s v="Unknown"/>
    <x v="1204"/>
    <s v="Unknown"/>
    <s v="Unknown"/>
    <n v="84"/>
    <s v="NULL"/>
    <s v="NULL"/>
    <n v="1"/>
    <n v="1"/>
    <n v="0"/>
    <n v="0"/>
    <s v="On the takeoff run, a loud explosion was heard and the takeoff was aborted. The aircraft never became airborne,  overran the runway and crashed into shallow water.  On passenger that did not have her seatbelt on was killed."/>
    <n v="83"/>
    <n v="1.1904761904761904E-2"/>
    <x v="2"/>
  </r>
  <r>
    <n v="2609"/>
    <x v="2367"/>
    <x v="61"/>
    <x v="1"/>
    <d v="1899-12-30T06:53:00"/>
    <s v="Villavicencio, Colombia"/>
    <s v="AVIANCA / AVIANCA"/>
    <s v="Unknown"/>
    <s v="Unknown"/>
    <x v="995"/>
    <s v="HK1341X/HK107"/>
    <s v="11716 / 11723"/>
    <n v="38"/>
    <n v="32"/>
    <n v="6"/>
    <n v="38"/>
    <n v="32"/>
    <n v="6"/>
    <n v="0"/>
    <s v="Midair collision. Seventeen aboard the HK-134 and twenty-one aboard the HK-107 killed."/>
    <n v="0"/>
    <n v="1"/>
    <x v="1"/>
  </r>
  <r>
    <n v="2610"/>
    <x v="2368"/>
    <x v="61"/>
    <x v="1"/>
    <d v="1899-12-30T22:42:00"/>
    <s v="Near Delhi, India"/>
    <s v="Indian Airlines"/>
    <s v="Unknown"/>
    <s v="Gwalior - Delhi"/>
    <x v="848"/>
    <s v="VT-DME"/>
    <n v="10175"/>
    <n v="18"/>
    <n v="14"/>
    <n v="4"/>
    <n v="18"/>
    <n v="14"/>
    <n v="4"/>
    <n v="0"/>
    <s v="Crashed on second approach after the pilot used the wrong flap setting and gears down after initiating a go-around."/>
    <n v="0"/>
    <n v="1"/>
    <x v="1"/>
  </r>
  <r>
    <n v="2611"/>
    <x v="2368"/>
    <x v="61"/>
    <x v="1"/>
    <d v="1899-12-30T04:00:00"/>
    <s v="Near Soc Trang, South Vietnam"/>
    <s v="Military - U.S. Air Force"/>
    <s v="Unknown"/>
    <s v="Unknown"/>
    <x v="1150"/>
    <s v="62-1853"/>
    <n v="3817"/>
    <n v="44"/>
    <n v="36"/>
    <n v="8"/>
    <n v="30"/>
    <n v="23"/>
    <n v="7"/>
    <n v="0"/>
    <s v="The aircraft was hit by small arms fire shortly after taking off from Soc Trang Air Base."/>
    <n v="14"/>
    <n v="0.68181818181818177"/>
    <x v="1"/>
  </r>
  <r>
    <n v="2612"/>
    <x v="2369"/>
    <x v="61"/>
    <x v="1"/>
    <d v="1899-12-30T17:00:00"/>
    <s v="Near Konigs Wusterausen, East Germany"/>
    <s v="Interflug"/>
    <s v="Unknown"/>
    <s v="Berlin - Birgas"/>
    <x v="1205"/>
    <s v="DM-SEA"/>
    <n v="702"/>
    <n v="156"/>
    <n v="148"/>
    <n v="8"/>
    <n v="156"/>
    <n v="148"/>
    <n v="8"/>
    <n v="0"/>
    <s v="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
    <n v="0"/>
    <n v="1"/>
    <x v="1"/>
  </r>
  <r>
    <n v="2613"/>
    <x v="2370"/>
    <x v="61"/>
    <x v="1"/>
    <s v="Unknown"/>
    <s v="Near Sandoway, Burma"/>
    <s v="Burma Airways"/>
    <s v="Unknown"/>
    <s v="Sandoway - Rangoon"/>
    <x v="1206"/>
    <s v="XY-ACM"/>
    <n v="26979"/>
    <n v="31"/>
    <n v="27"/>
    <n v="4"/>
    <n v="26"/>
    <n v="22"/>
    <n v="4"/>
    <n v="0"/>
    <s v="Lost control soon after it took off and crashed into the sea."/>
    <n v="5"/>
    <n v="0.83870967741935487"/>
    <x v="1"/>
  </r>
  <r>
    <n v="2614"/>
    <x v="2371"/>
    <x v="61"/>
    <x v="1"/>
    <s v="Unknown"/>
    <s v="Canaima, Venezuela"/>
    <s v="Lineas Areas Venezolanas"/>
    <s v="Unknown"/>
    <s v="Canaima - C iudad"/>
    <x v="383"/>
    <s v="YV-C-AKE"/>
    <n v="4705"/>
    <n v="34"/>
    <n v="31"/>
    <n v="3"/>
    <n v="34"/>
    <n v="31"/>
    <n v="3"/>
    <n v="0"/>
    <s v="The aircraft crashed while the crew was returning to the airport after experiencing a No.1 engine failure."/>
    <n v="0"/>
    <n v="1"/>
    <x v="1"/>
  </r>
  <r>
    <n v="2615"/>
    <x v="2372"/>
    <x v="61"/>
    <x v="1"/>
    <d v="1899-12-30T14:30:00"/>
    <s v="Papua, New Guinea"/>
    <s v="Military - Royal Australian Air Force"/>
    <s v="Unknown"/>
    <s v="Lae - Port Moresby"/>
    <x v="1207"/>
    <s v="A4-233"/>
    <n v="233"/>
    <n v="29"/>
    <n v="26"/>
    <n v="3"/>
    <n v="25"/>
    <n v="22"/>
    <n v="3"/>
    <n v="0"/>
    <s v="While traveling through a valley, the pilot reversed his course after the weather deteriorated. He began to climb but clipped trees just below a ridge, lost control of the aircraft and crashed. The pilot's error in judgement in not flying about the poor weather in the valley."/>
    <n v="4"/>
    <n v="0.86206896551724133"/>
    <x v="1"/>
  </r>
  <r>
    <n v="2616"/>
    <x v="2373"/>
    <x v="61"/>
    <x v="1"/>
    <d v="1899-12-30T10:19:00"/>
    <s v="Near Magnitogorsk, Russia"/>
    <s v="Aeroflot"/>
    <n v="558"/>
    <s v="Karaganda - Moscow"/>
    <x v="837"/>
    <s v="CCCP-74298"/>
    <n v="182004505"/>
    <n v="102"/>
    <n v="93"/>
    <n v="9"/>
    <n v="102"/>
    <n v="93"/>
    <n v="9"/>
    <n v="0"/>
    <s v="The aircraft crashed, trailing heavy smoke. Fire caused by spontaneous ignition of passenger baggage."/>
    <n v="0"/>
    <n v="1"/>
    <x v="1"/>
  </r>
  <r>
    <n v="2617"/>
    <x v="2374"/>
    <x v="61"/>
    <x v="1"/>
    <s v="Unknown"/>
    <s v="Mt. Giluwe, Papua, New Guinea"/>
    <s v="Ansett Airlines of Papua New Guinea"/>
    <s v="Unknown"/>
    <s v="Unknown"/>
    <x v="1208"/>
    <s v="VH-PNI"/>
    <s v="SH-1840"/>
    <n v="4"/>
    <n v="3"/>
    <n v="1"/>
    <n v="4"/>
    <n v="3"/>
    <n v="1"/>
    <n v="0"/>
    <s v="While on a VFR flight, the aircraft, struck  Mt. Giluwe at  14,346 feet. Cause undetermined."/>
    <n v="0"/>
    <n v="1"/>
    <x v="1"/>
  </r>
  <r>
    <n v="2618"/>
    <x v="2375"/>
    <x v="61"/>
    <x v="1"/>
    <d v="1899-12-30T17:57:00"/>
    <s v="Trinidad, Bolivia"/>
    <s v="Servicios Aereas Virgen de Copacabana"/>
    <s v="Unknown"/>
    <s v="Unknown"/>
    <x v="845"/>
    <s v="CP-959"/>
    <n v="26903"/>
    <n v="8"/>
    <n v="6"/>
    <n v="2"/>
    <n v="1"/>
    <n v="0"/>
    <n v="1"/>
    <n v="0"/>
    <s v="The No.1 engine failed during takeoff, the aircraft banked left, lost height, touched down again and ran through small trees and a fence . The right gear collapsed and the nose hit the ground."/>
    <n v="7"/>
    <n v="0.125"/>
    <x v="2"/>
  </r>
  <r>
    <n v="2619"/>
    <x v="2376"/>
    <x v="61"/>
    <x v="1"/>
    <d v="1899-12-30T10:20:00"/>
    <s v="Gondar, Ethiopia"/>
    <s v="Ethiopian Airlines"/>
    <s v="Unknown"/>
    <s v="Axum - Gondar"/>
    <x v="277"/>
    <s v="ET-ABQ"/>
    <n v="4325"/>
    <n v="11"/>
    <n v="8"/>
    <n v="3"/>
    <n v="11"/>
    <n v="8"/>
    <n v="3"/>
    <n v="0"/>
    <s v="Crashed after a wing separated from the fuselage caused by the presence of fatigue cracks in the root."/>
    <n v="0"/>
    <n v="1"/>
    <x v="1"/>
  </r>
  <r>
    <n v="2620"/>
    <x v="2377"/>
    <x v="61"/>
    <x v="1"/>
    <d v="1899-12-30T12:00:00"/>
    <s v="Near Dhulikhel, Nepal"/>
    <s v="Military - Royal Nepalese Air Force"/>
    <s v="Unknown"/>
    <s v="Panchkhal - Tribuvan"/>
    <x v="368"/>
    <s v="9N-RF10"/>
    <n v="9950"/>
    <n v="31"/>
    <n v="27"/>
    <n v="4"/>
    <n v="31"/>
    <n v="27"/>
    <n v="4"/>
    <n v="0"/>
    <s v="Crashed while en route with paratroopers in limited visibility"/>
    <n v="0"/>
    <n v="1"/>
    <x v="1"/>
  </r>
  <r>
    <n v="2621"/>
    <x v="2378"/>
    <x v="61"/>
    <x v="1"/>
    <s v="Unknown"/>
    <s v="Sacramento, California"/>
    <s v="Private"/>
    <s v="Unknown"/>
    <s v="Unknown"/>
    <x v="1209"/>
    <s v="N275X"/>
    <s v="Unknown"/>
    <n v="1"/>
    <n v="0"/>
    <n v="1"/>
    <n v="0"/>
    <n v="0"/>
    <n v="0"/>
    <n v="22"/>
    <s v="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
    <n v="1"/>
    <n v="0"/>
    <x v="2"/>
  </r>
  <r>
    <n v="2622"/>
    <x v="2378"/>
    <x v="61"/>
    <x v="1"/>
    <s v="Unknown"/>
    <s v="Near Ben Cat, South Vietnam"/>
    <s v="Air Vietnam (South Vietnam)"/>
    <s v="Unknown"/>
    <s v="Vientiane - Saigon"/>
    <x v="1210"/>
    <s v="XV-NUH"/>
    <n v="10588"/>
    <n v="13"/>
    <n v="8"/>
    <n v="5"/>
    <n v="10"/>
    <n v="6"/>
    <n v="4"/>
    <n v="0"/>
    <s v="Crashed 23 miles from Saigon while attempting an emergency landing."/>
    <n v="3"/>
    <n v="0.76923076923076927"/>
    <x v="1"/>
  </r>
  <r>
    <n v="2623"/>
    <x v="2379"/>
    <x v="61"/>
    <x v="1"/>
    <d v="1899-12-30T19:25:00"/>
    <s v="Near Adler, USSR"/>
    <s v="Aeroflot"/>
    <n v="1036"/>
    <s v="Adler - Moscow"/>
    <x v="855"/>
    <s v="CCCP-75507"/>
    <n v="183006405"/>
    <n v="108"/>
    <n v="108"/>
    <n v="8"/>
    <n v="108"/>
    <n v="100"/>
    <n v="8"/>
    <n v="0"/>
    <s v="The flight ditched into Black Sea shortly after takeoff. The accident occurred in good weather and visibility, and ground controllers received no distress message prior to the crash. An investigation failed to reveal its cause."/>
    <n v="0"/>
    <n v="1"/>
    <x v="1"/>
  </r>
  <r>
    <n v="2624"/>
    <x v="2380"/>
    <x v="61"/>
    <x v="1"/>
    <s v="Unknown"/>
    <s v="Kampot, Cambodia"/>
    <s v="Cambodia Air"/>
    <s v="Unknown"/>
    <s v="Unknown"/>
    <x v="277"/>
    <s v="XW-TDA"/>
    <n v="13729"/>
    <n v="9"/>
    <n v="7"/>
    <n v="2"/>
    <n v="9"/>
    <n v="7"/>
    <n v="2"/>
    <n v="0"/>
    <s v="Shot down by a mortar shell while approaching to land at Kampot."/>
    <n v="0"/>
    <n v="1"/>
    <x v="1"/>
  </r>
  <r>
    <n v="2625"/>
    <x v="2381"/>
    <x v="61"/>
    <x v="1"/>
    <d v="1899-12-30T15:30:00"/>
    <s v="Near San Fernando, Chile"/>
    <s v="Uruguayan Air Force - TAMU"/>
    <s v="Unknown"/>
    <s v="Mendoza - Santiago"/>
    <x v="1211"/>
    <s v="T-571"/>
    <n v="572"/>
    <n v="45"/>
    <n v="40"/>
    <n v="5"/>
    <n v="29"/>
    <n v="24"/>
    <n v="5"/>
    <n v="0"/>
    <s v="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quot;Alive&quot; is based on this accident. The aircraft flew into a rotor zone or mountain wave which led to loss of control of the aircraft."/>
    <n v="16"/>
    <n v="0.64444444444444449"/>
    <x v="0"/>
  </r>
  <r>
    <n v="2626"/>
    <x v="2381"/>
    <x v="61"/>
    <x v="1"/>
    <d v="1899-12-30T21:50:00"/>
    <s v="Near Moscow, USSR"/>
    <s v="Aeroflot"/>
    <n v="217"/>
    <s v="Leningrad - Moscow"/>
    <x v="1205"/>
    <s v="CCCP-86671"/>
    <n v="70301"/>
    <n v="174"/>
    <n v="164"/>
    <n v="10"/>
    <n v="174"/>
    <n v="164"/>
    <n v="10"/>
    <n v="0"/>
    <s v="The aircraft crashed at the outer marker while attempting to land for the third time in poor weather conditions.  Sudden incapacitation of the crew for reasons unknown. Contributing to the accident, the airport's instrument landing system was not working."/>
    <n v="0"/>
    <n v="1"/>
    <x v="1"/>
  </r>
  <r>
    <n v="2627"/>
    <x v="2382"/>
    <x v="61"/>
    <x v="1"/>
    <d v="1899-12-30T09:00:00"/>
    <s v="Off the Alaska coast"/>
    <s v="Private"/>
    <s v="Unknown"/>
    <s v="Anchorage, AK - Juneau, AK"/>
    <x v="1212"/>
    <s v="N1812H"/>
    <n v="35912"/>
    <n v="4"/>
    <n v="3"/>
    <n v="1"/>
    <n v="4"/>
    <n v="3"/>
    <n v="1"/>
    <n v="0"/>
    <s v="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
    <n v="0"/>
    <n v="1"/>
    <x v="1"/>
  </r>
  <r>
    <n v="2628"/>
    <x v="2383"/>
    <x v="61"/>
    <x v="1"/>
    <d v="1899-12-30T21:30:00"/>
    <s v="Off Athens, Greece"/>
    <s v="Olympic Airways"/>
    <s v="Unknown"/>
    <s v="Kerkira - Athens"/>
    <x v="1213"/>
    <s v="SX-BBQ"/>
    <n v="2155"/>
    <n v="53"/>
    <n v="49"/>
    <n v="4"/>
    <n v="37"/>
    <n v="36"/>
    <n v="1"/>
    <n v="0"/>
    <s v="Crashed into the sea just short of the runway while on approach in poor visibility. Controlled flight into water."/>
    <n v="16"/>
    <n v="0.69811320754716977"/>
    <x v="1"/>
  </r>
  <r>
    <n v="2629"/>
    <x v="2384"/>
    <x v="61"/>
    <x v="1"/>
    <s v="Unknown"/>
    <s v="Tanna, Vanuatu"/>
    <s v="Air Melanesie"/>
    <s v="Unknown"/>
    <s v="Lenakel - Port Vila"/>
    <x v="1214"/>
    <s v="F-OCRH"/>
    <n v="221"/>
    <n v="8"/>
    <n v="7"/>
    <n v="1"/>
    <n v="1"/>
    <n v="1"/>
    <n v="0"/>
    <n v="0"/>
    <s v="After takeoff from Lenakel Airport, en route to Port Vila, the pilot wanted to show cattle to a passenger and decided to reduce his altitude when the twin engine airplane struck trees. Pilot error."/>
    <n v="7"/>
    <n v="0.125"/>
    <x v="2"/>
  </r>
  <r>
    <n v="2630"/>
    <x v="2385"/>
    <x v="61"/>
    <x v="1"/>
    <d v="1899-12-30T19:18:00"/>
    <s v="Near Noiretable, Loire, France"/>
    <s v="Air Inter"/>
    <n v="696"/>
    <s v="Lyon - Clermont"/>
    <x v="1215"/>
    <s v="F-BMCH"/>
    <n v="50"/>
    <n v="68"/>
    <n v="63"/>
    <n v="5"/>
    <n v="60"/>
    <n v="55"/>
    <n v="5"/>
    <n v="0"/>
    <s v="Crashed while landing in severe turbulence. Faulty indication by radio compass."/>
    <n v="8"/>
    <n v="0.88235294117647056"/>
    <x v="1"/>
  </r>
  <r>
    <n v="2631"/>
    <x v="2386"/>
    <x v="61"/>
    <x v="1"/>
    <d v="1899-12-30T20:40:00"/>
    <s v="Poggiorsini, Italy"/>
    <s v="Aero Transporti Italiani"/>
    <s v="Unknown"/>
    <s v="Napoli - Bari"/>
    <x v="986"/>
    <s v="I-ATIR"/>
    <n v="10301"/>
    <n v="27"/>
    <n v="24"/>
    <n v="3"/>
    <n v="27"/>
    <n v="24"/>
    <n v="3"/>
    <n v="0"/>
    <s v="Plummeted to the ground and burst into flames near a farmhouse after losing control with the tower. Visual approach in descent below minima."/>
    <n v="0"/>
    <n v="1"/>
    <x v="1"/>
  </r>
  <r>
    <n v="2632"/>
    <x v="2387"/>
    <x v="61"/>
    <x v="1"/>
    <d v="1899-12-30T18:00:00"/>
    <s v="Near My Tho, South Vietnam"/>
    <s v="Military - U.S. Army"/>
    <s v="Unknown"/>
    <s v="Unknown"/>
    <x v="1197"/>
    <s v="Unknown"/>
    <s v="Unknown"/>
    <n v="22"/>
    <s v="NULL"/>
    <s v="NULL"/>
    <n v="22"/>
    <s v="NULL"/>
    <s v="NULL"/>
    <n v="0"/>
    <s v="Shot down by enemy fire over the Mekong Delta region."/>
    <n v="0"/>
    <n v="1"/>
    <x v="1"/>
  </r>
  <r>
    <n v="2633"/>
    <x v="2388"/>
    <x v="61"/>
    <x v="1"/>
    <d v="1899-12-30T20:02:00"/>
    <s v="Near Plovdiv, Bulgaria"/>
    <s v="Balkan Bulgarian Airlines"/>
    <s v="Unknown"/>
    <s v="Burgas - Sofia"/>
    <x v="770"/>
    <s v="LZ-ILA"/>
    <n v="146001046"/>
    <n v="35"/>
    <n v="31"/>
    <n v="4"/>
    <n v="35"/>
    <n v="31"/>
    <n v="4"/>
    <n v="0"/>
    <s v="The crew elected to divert to Plovdiv due to fog. While on approach, the aircraft flew into a mountain. ATC error."/>
    <n v="0"/>
    <n v="1"/>
    <x v="1"/>
  </r>
  <r>
    <n v="2634"/>
    <x v="2389"/>
    <x v="61"/>
    <x v="1"/>
    <d v="1899-12-30T23:20:00"/>
    <s v="Elkton, Kentucky"/>
    <s v="Metro Air Systems"/>
    <s v="Unknown"/>
    <s v="Hopkinsville, KY - Lexington, KY"/>
    <x v="1216"/>
    <s v="N2700S"/>
    <s v="BA-567"/>
    <n v="11"/>
    <n v="10"/>
    <n v="1"/>
    <n v="11"/>
    <n v="10"/>
    <n v="1"/>
    <n v="0"/>
    <s v="Improperly loaded aircraft, weight and center of gravity."/>
    <n v="0"/>
    <n v="1"/>
    <x v="1"/>
  </r>
  <r>
    <n v="2635"/>
    <x v="2390"/>
    <x v="61"/>
    <x v="1"/>
    <d v="1899-12-30T19:51:00"/>
    <s v="Near Moscow, Russia"/>
    <s v="Japan Air Lines"/>
    <n v="446"/>
    <s v="Moscow - Tokyo"/>
    <x v="1094"/>
    <s v="JA8040"/>
    <s v="46057/474"/>
    <n v="76"/>
    <n v="61"/>
    <n v="15"/>
    <n v="62"/>
    <n v="53"/>
    <n v="9"/>
    <n v="0"/>
    <s v="The aircraft lost altitude while taking off and crashed. The copilot responded to the captain's &quot;gear-up&quot; command by reaching forward and pulling back on the ground spoiler handle, rather than lifting the gear handle which was immediately ahead of the spoiler control. Late night partying by the crew was suspected the night before."/>
    <n v="14"/>
    <n v="0.81578947368421051"/>
    <x v="1"/>
  </r>
  <r>
    <n v="2636"/>
    <x v="2391"/>
    <x v="61"/>
    <x v="1"/>
    <d v="1899-12-30T07:33:00"/>
    <s v="Tenerife,  Canary Islands"/>
    <s v="Spantax"/>
    <s v="Unknown"/>
    <s v="Tenerife - Munchen"/>
    <x v="1217"/>
    <s v="EC-BZR"/>
    <d v="2025-10-30T00:00:00"/>
    <n v="155"/>
    <n v="148"/>
    <n v="7"/>
    <n v="155"/>
    <n v="148"/>
    <n v="7"/>
    <n v="0"/>
    <s v="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
    <n v="0"/>
    <n v="1"/>
    <x v="1"/>
  </r>
  <r>
    <n v="2637"/>
    <x v="2392"/>
    <x v="61"/>
    <x v="1"/>
    <d v="1899-12-30T12:15:00"/>
    <s v="Near Rawalpindi, Pakistan"/>
    <s v="Pakistan International Airlines"/>
    <n v="631"/>
    <s v="Gilgit - Rawalpindi"/>
    <x v="1038"/>
    <s v="AP-AUS"/>
    <n v="10314"/>
    <n v="26"/>
    <n v="22"/>
    <n v="4"/>
    <n v="26"/>
    <n v="22"/>
    <n v="4"/>
    <n v="0"/>
    <s v="Crashed into hilly area in poor weather conditions. Controlled flight into terrain."/>
    <n v="0"/>
    <n v="1"/>
    <x v="1"/>
  </r>
  <r>
    <n v="2638"/>
    <x v="2392"/>
    <x v="61"/>
    <x v="1"/>
    <d v="1899-12-30T14:28:00"/>
    <s v="Midway Airport, Chicago, Illinois"/>
    <s v="United Air Lines"/>
    <n v="553"/>
    <s v="Washington - Chicago"/>
    <x v="1218"/>
    <s v="N9031U"/>
    <s v="19069/75"/>
    <n v="61"/>
    <n v="55"/>
    <n v="6"/>
    <n v="43"/>
    <n v="40"/>
    <n v="3"/>
    <n v="2"/>
    <s v="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
    <n v="18"/>
    <n v="0.70491803278688525"/>
    <x v="1"/>
  </r>
  <r>
    <n v="2639"/>
    <x v="2393"/>
    <x v="61"/>
    <x v="1"/>
    <d v="1899-12-30T18:00:00"/>
    <s v="Chicago, Illinois"/>
    <s v="Delta Air Lines/ North Central Airlines"/>
    <s v="954/575"/>
    <s v="Tampa - Chicago / Chicago - Madison"/>
    <x v="1219"/>
    <s v="N8897E/N954N"/>
    <s v="22-00-29 / 47159/231"/>
    <n v="133"/>
    <n v="122"/>
    <n v="11"/>
    <n v="10"/>
    <n v="10"/>
    <n v="0"/>
    <n v="0"/>
    <s v="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
    <n v="123"/>
    <n v="7.5187969924812026E-2"/>
    <x v="2"/>
  </r>
  <r>
    <n v="2640"/>
    <x v="2394"/>
    <x v="61"/>
    <x v="1"/>
    <s v="Unknown"/>
    <s v="Off St. Maarten off, Netherlands Antilles"/>
    <s v="Air Guadeloupe"/>
    <s v="Unknown"/>
    <s v="Guadeloupe - St. Maarten"/>
    <x v="1220"/>
    <s v="F-OGFE"/>
    <n v="258"/>
    <n v="13"/>
    <n v="11"/>
    <n v="2"/>
    <n v="13"/>
    <n v="11"/>
    <n v="2"/>
    <n v="0"/>
    <s v="Crashed on approach into the sea at night."/>
    <n v="0"/>
    <n v="1"/>
    <x v="1"/>
  </r>
  <r>
    <n v="2641"/>
    <x v="2395"/>
    <x v="61"/>
    <x v="1"/>
    <d v="1899-12-30T16:34:00"/>
    <s v="Skaugum, Norway"/>
    <s v="Braathens"/>
    <s v="Unknown"/>
    <s v="Alesund - Oslo"/>
    <x v="1221"/>
    <s v="LN-SUY"/>
    <n v="11011"/>
    <n v="45"/>
    <n v="42"/>
    <n v="3"/>
    <n v="40"/>
    <n v="37"/>
    <n v="3"/>
    <n v="0"/>
    <s v="Hit high ground while on approach to Fornebu Airport in Oslo. The aircraft descended well below the MDA and was off course by 2,5Â° at the time of the accident.Pilot error."/>
    <n v="5"/>
    <n v="0.88888888888888884"/>
    <x v="1"/>
  </r>
  <r>
    <n v="2642"/>
    <x v="2396"/>
    <x v="61"/>
    <x v="1"/>
    <d v="1899-12-30T23:42:00"/>
    <s v="Everglades National Park, Florida"/>
    <s v="Eastern Air Lines"/>
    <n v="401"/>
    <s v="New York City - Miami"/>
    <x v="1222"/>
    <s v="N310EA"/>
    <n v="1011"/>
    <n v="176"/>
    <n v="163"/>
    <n v="13"/>
    <n v="103"/>
    <n v="97"/>
    <n v="6"/>
    <n v="0"/>
    <s v="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quot;The Ghost of Flight 401&quot;and movies &quot;The Ghost of Flight 401&quot; and &quot;Crash&quot; are based on this accident. Three passengers and one crew member died in weeks following the accident making the total 103."/>
    <n v="73"/>
    <n v="0.58522727272727271"/>
    <x v="0"/>
  </r>
  <r>
    <n v="2643"/>
    <x v="2397"/>
    <x v="61"/>
    <x v="1"/>
    <d v="1899-12-30T19:23:00"/>
    <s v="San Juan, Puerto Rico"/>
    <s v="American Express Leasing"/>
    <s v="Unknown"/>
    <s v="San Juan, PR - Managua, Nicaragua"/>
    <x v="931"/>
    <s v="N500AE"/>
    <s v="45130/823"/>
    <n v="5"/>
    <n v="2"/>
    <n v="3"/>
    <n v="5"/>
    <n v="2"/>
    <n v="3"/>
    <n v="0"/>
    <s v="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
    <n v="0"/>
    <n v="1"/>
    <x v="1"/>
  </r>
  <r>
    <n v="2644"/>
    <x v="2398"/>
    <x v="62"/>
    <x v="1"/>
    <d v="1899-12-30T08:34:00"/>
    <s v="Edmonton, Alberta, Canada"/>
    <s v="Pacific Western Airlines"/>
    <s v="Unknown"/>
    <s v="Toronto - Edmonton"/>
    <x v="1223"/>
    <s v="CF-PWZ"/>
    <s v="18826/389"/>
    <n v="5"/>
    <n v="0"/>
    <n v="5"/>
    <n v="5"/>
    <n v="0"/>
    <n v="5"/>
    <n v="0"/>
    <s v="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
    <n v="0"/>
    <n v="1"/>
    <x v="1"/>
  </r>
  <r>
    <n v="2645"/>
    <x v="2399"/>
    <x v="62"/>
    <x v="1"/>
    <d v="1899-12-30T14:31:00"/>
    <s v="Near Glasgow, Scotland"/>
    <s v="British European Airways"/>
    <s v="Unknown"/>
    <s v="Test flight"/>
    <x v="774"/>
    <s v="G-AOHI"/>
    <n v="158"/>
    <n v="4"/>
    <n v="2"/>
    <n v="2"/>
    <n v="4"/>
    <n v="2"/>
    <n v="2"/>
    <n v="0"/>
    <s v="Crashed into Ben More mountain. The pilot did not maintain a safe altitude and gave insufficient attention to navigation when flying VFR into an area of snow covered high ground in marginal weather conditions."/>
    <n v="0"/>
    <n v="1"/>
    <x v="1"/>
  </r>
  <r>
    <n v="2646"/>
    <x v="2400"/>
    <x v="62"/>
    <x v="1"/>
    <d v="1899-12-30T23:56:00"/>
    <s v="Perm, Russia"/>
    <s v="Aeroflot"/>
    <s v="Unknown"/>
    <s v="Kazan - Perm"/>
    <x v="1009"/>
    <s v="CCCP-46276"/>
    <n v="77303609"/>
    <n v="39"/>
    <n v="34"/>
    <n v="5"/>
    <n v="39"/>
    <n v="34"/>
    <n v="5"/>
    <n v="0"/>
    <s v="The plane went into a spiral dive. As the crew tried to pull the plane out, it broke up due to excesss g loads. Four survived the crash as the plane landed in a blanket of snow but succumbed to the cold before they could be rescued. Cause unknown."/>
    <n v="0"/>
    <n v="1"/>
    <x v="1"/>
  </r>
  <r>
    <n v="2647"/>
    <x v="2401"/>
    <x v="62"/>
    <x v="1"/>
    <d v="1899-12-30T09:30:00"/>
    <s v="Kano, Nigeria"/>
    <s v="Alia Royal Jordanian Airlines"/>
    <s v="Unknown"/>
    <s v="Jeddah - Lagos"/>
    <x v="1224"/>
    <s v="JY-ADO"/>
    <s v="20494/850"/>
    <n v="202"/>
    <n v="193"/>
    <n v="9"/>
    <n v="176"/>
    <n v="170"/>
    <n v="6"/>
    <n v="0"/>
    <s v="The landing gear collapsed after hitting a depression in the runway while landing. The aircraft ran off the side of the runway and caught fire. Wake turbulence during the landing."/>
    <n v="26"/>
    <n v="0.87128712871287128"/>
    <x v="1"/>
  </r>
  <r>
    <n v="2648"/>
    <x v="2402"/>
    <x v="62"/>
    <x v="1"/>
    <s v="Unknown"/>
    <s v="Near Tegucigalpa, Honduras"/>
    <s v="TAN"/>
    <s v="Unknown"/>
    <s v="Miami - Tegucigalpa"/>
    <x v="681"/>
    <s v="HR-TNO"/>
    <s v="45476/977"/>
    <n v="3"/>
    <n v="0"/>
    <n v="3"/>
    <n v="3"/>
    <n v="0"/>
    <n v="3"/>
    <n v="0"/>
    <s v="The cargo plane crashed and burned ten miles from the destination airport."/>
    <n v="0"/>
    <n v="1"/>
    <x v="1"/>
  </r>
  <r>
    <n v="2649"/>
    <x v="2403"/>
    <x v="62"/>
    <x v="1"/>
    <s v="Unknown"/>
    <s v="Near Kyrenia, Cyprus"/>
    <s v="Egyptair"/>
    <n v="741"/>
    <s v="Cairo - Nicosia"/>
    <x v="913"/>
    <s v="SU-AOY"/>
    <n v="188011101"/>
    <n v="37"/>
    <n v="30"/>
    <n v="7"/>
    <n v="37"/>
    <n v="30"/>
    <n v="7"/>
    <n v="0"/>
    <s v="Crashed into the Kyrenia Mountains while on approach. Controlled flight into terrain."/>
    <n v="0"/>
    <n v="1"/>
    <x v="1"/>
  </r>
  <r>
    <n v="2650"/>
    <x v="2404"/>
    <x v="62"/>
    <x v="1"/>
    <d v="1899-12-30T10:06:00"/>
    <s v="Prague, Czechoslovakia"/>
    <s v="Aeroflot"/>
    <s v="Unknown"/>
    <s v="Moscow - Praha"/>
    <x v="1225"/>
    <s v="CCCP-85023"/>
    <n v="23"/>
    <n v="100"/>
    <n v="87"/>
    <n v="13"/>
    <n v="66"/>
    <n v="62"/>
    <n v="4"/>
    <n v="0"/>
    <s v="The plane struck the ground short of the runway while landing. Possible windshear or jammed tailplane. Official cause unknown"/>
    <n v="34"/>
    <n v="0.66"/>
    <x v="1"/>
  </r>
  <r>
    <n v="2651"/>
    <x v="2404"/>
    <x v="62"/>
    <x v="1"/>
    <d v="1899-12-30T09:15:00"/>
    <s v="Morgan City, Louisiana"/>
    <s v="Petrolium Helo Inc."/>
    <s v="Unknown"/>
    <s v="Oil platform - Morgan City, LA"/>
    <x v="1226"/>
    <s v="N14831"/>
    <s v="Unknown"/>
    <n v="5"/>
    <n v="4"/>
    <n v="1"/>
    <n v="5"/>
    <n v="4"/>
    <n v="1"/>
    <n v="0"/>
    <s v="Crashed after the failure of the main rotor.  Pylon support link failed due to fatigue, causing complete failure of the main rotor."/>
    <n v="0"/>
    <n v="1"/>
    <x v="1"/>
  </r>
  <r>
    <n v="2652"/>
    <x v="2405"/>
    <x v="62"/>
    <x v="1"/>
    <s v="Unknown"/>
    <s v="Cerro Horqueta, Panama"/>
    <s v="Aerovias Urraca"/>
    <s v="Unknown"/>
    <s v="David - Changuinola"/>
    <x v="277"/>
    <s v="HP-560"/>
    <n v="19242"/>
    <n v="28"/>
    <n v="25"/>
    <n v="3"/>
    <n v="22"/>
    <n v="19"/>
    <n v="3"/>
    <n v="0"/>
    <s v="Flew into Cerro Horqueta Mountain. Controlled flight into terrain."/>
    <n v="6"/>
    <n v="0.7857142857142857"/>
    <x v="1"/>
  </r>
  <r>
    <n v="2653"/>
    <x v="2405"/>
    <x v="62"/>
    <x v="1"/>
    <d v="1899-12-30T14:10:00"/>
    <s v="Near Isma'iliya, Egypt"/>
    <s v="Libya Arab Airlines"/>
    <n v="114"/>
    <s v="Tripoli - Cairo"/>
    <x v="1227"/>
    <s v="5A-DAH"/>
    <s v="20244/650"/>
    <n v="113"/>
    <n v="104"/>
    <n v="9"/>
    <n v="108"/>
    <n v="100"/>
    <n v="8"/>
    <n v="0"/>
    <s v="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
    <n v="5"/>
    <n v="0.95575221238938057"/>
    <x v="1"/>
  </r>
  <r>
    <n v="2654"/>
    <x v="2406"/>
    <x v="62"/>
    <x v="1"/>
    <d v="1899-12-30T07:37:00"/>
    <s v="Near Leningrad, Russia"/>
    <s v="Aeroflot"/>
    <n v="630"/>
    <s v="_x0009_Dushanbe - _x0009_Leninabad"/>
    <x v="837"/>
    <s v="CCCP-75712"/>
    <n v="189001804"/>
    <n v="79"/>
    <n v="71"/>
    <n v="8"/>
    <n v="79"/>
    <n v="71"/>
    <n v="8"/>
    <n v="0"/>
    <s v="The aircraft entered a spin after the plane banked 60 degrees and then dove into the ground."/>
    <n v="0"/>
    <n v="1"/>
    <x v="1"/>
  </r>
  <r>
    <n v="2655"/>
    <x v="2407"/>
    <x v="62"/>
    <x v="1"/>
    <d v="1899-12-30T18:59:00"/>
    <s v="Semipalatinsk, Kazakhstan"/>
    <s v="Aeroflot"/>
    <n v="256"/>
    <s v="Semipalatinsk - Karaganda"/>
    <x v="1146"/>
    <s v="CCCP-87602"/>
    <n v="9120118"/>
    <n v="32"/>
    <n v="29"/>
    <n v="3"/>
    <n v="32"/>
    <n v="29"/>
    <n v="3"/>
    <n v="0"/>
    <s v="Crashed back on the the runway and broke apart. Official cause could not be determined."/>
    <n v="0"/>
    <n v="1"/>
    <x v="1"/>
  </r>
  <r>
    <n v="2656"/>
    <x v="2407"/>
    <x v="62"/>
    <x v="1"/>
    <s v="Unknown"/>
    <s v="Near Nabire, Indonesia"/>
    <s v="Merpati Nusantara Airlines"/>
    <s v="Unknown"/>
    <s v="Unknown"/>
    <x v="1034"/>
    <s v="PK-NUC"/>
    <n v="70"/>
    <n v="13"/>
    <n v="10"/>
    <n v="3"/>
    <n v="13"/>
    <n v="10"/>
    <n v="3"/>
    <n v="0"/>
    <s v="Crashed while en route 45 km east of Nabire."/>
    <n v="0"/>
    <n v="1"/>
    <x v="1"/>
  </r>
  <r>
    <n v="2657"/>
    <x v="2408"/>
    <x v="62"/>
    <x v="1"/>
    <d v="1899-12-30T12:45:00"/>
    <s v="Moscow, USSR"/>
    <s v="Balkan Bulgarian Airlines"/>
    <n v="307"/>
    <s v="Sofia - Moscow"/>
    <x v="925"/>
    <s v="LZ-BEM"/>
    <n v="182005602"/>
    <n v="25"/>
    <n v="17"/>
    <n v="8"/>
    <n v="25"/>
    <n v="17"/>
    <n v="8"/>
    <n v="0"/>
    <s v="Crashed, broke up and burst in flames while on second approach after descending below glide slope. Icing of tailplane."/>
    <n v="0"/>
    <n v="1"/>
    <x v="1"/>
  </r>
  <r>
    <n v="2658"/>
    <x v="2409"/>
    <x v="62"/>
    <x v="1"/>
    <d v="1899-12-30T13:50:00"/>
    <s v="Near Nantes, France"/>
    <s v="Lineas Aereas de Espana/Spantax SA Transportes"/>
    <s v="504/400"/>
    <s v="Palma de Mallorca - London"/>
    <x v="1228"/>
    <s v="EC-BII/EC-BJC"/>
    <s v="47077/148 /30-10-22"/>
    <n v="182"/>
    <n v="166"/>
    <n v="16"/>
    <n v="68"/>
    <n v="61"/>
    <n v="7"/>
    <n v="0"/>
    <s v="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
    <n v="114"/>
    <n v="0.37362637362637363"/>
    <x v="0"/>
  </r>
  <r>
    <n v="2659"/>
    <x v="2410"/>
    <x v="62"/>
    <x v="1"/>
    <s v="Unknown"/>
    <s v="Hyderabad, India"/>
    <s v="Indian Airlines"/>
    <s v="Unknown"/>
    <s v="Training"/>
    <x v="1229"/>
    <s v="VT-EAU"/>
    <n v="541"/>
    <n v="3"/>
    <n v="0"/>
    <n v="3"/>
    <n v="3"/>
    <n v="0"/>
    <n v="3"/>
    <n v="0"/>
    <s v="While turning and aligning to land the right wing tip struck power lines and a tree. The aircraft then hit a house and caught fire. Multiple errors by the instructor as well as the trainees due to being under the influence of  alcohol."/>
    <n v="0"/>
    <n v="1"/>
    <x v="1"/>
  </r>
  <r>
    <n v="2660"/>
    <x v="2411"/>
    <x v="62"/>
    <x v="1"/>
    <d v="1899-12-30T10:05:00"/>
    <s v="Ben Me Thuot, South Vietnam"/>
    <s v="Air Vietnam (South Vietnam)"/>
    <s v="Unknown"/>
    <s v="Saigon - Ban Me"/>
    <x v="603"/>
    <s v="XV-NUI"/>
    <n v="22174"/>
    <n v="62"/>
    <n v="57"/>
    <n v="5"/>
    <n v="62"/>
    <n v="57"/>
    <n v="5"/>
    <n v="0"/>
    <s v="Crashed after an explosion in the cargo hold."/>
    <n v="0"/>
    <n v="1"/>
    <x v="1"/>
  </r>
  <r>
    <n v="2661"/>
    <x v="2412"/>
    <x v="62"/>
    <x v="1"/>
    <d v="1899-12-30T10:13:00"/>
    <s v="Near Basel,  Switzerland"/>
    <s v="Invicta International Airlines (UK)"/>
    <n v="435"/>
    <s v="Bristol - Basel"/>
    <x v="1230"/>
    <s v="G-AXOP"/>
    <n v="745"/>
    <n v="145"/>
    <n v="139"/>
    <n v="6"/>
    <n v="108"/>
    <n v="104"/>
    <n v="4"/>
    <n v="0"/>
    <s v="Crashed into a forest during a snowstorm. Malfunctioning navigation equipment. Navigational error by crew."/>
    <n v="37"/>
    <n v="0.7448275862068966"/>
    <x v="1"/>
  </r>
  <r>
    <n v="2662"/>
    <x v="2413"/>
    <x v="62"/>
    <x v="1"/>
    <d v="1899-12-30T14:50:00"/>
    <s v="Moffett AFB, California"/>
    <s v="Military - U.S. Navy / NASA"/>
    <s v="Unknown"/>
    <s v="Unknown"/>
    <x v="1231"/>
    <s v="157332/N711NA"/>
    <s v="5547 / 1"/>
    <n v="17"/>
    <n v="0"/>
    <n v="17"/>
    <n v="16"/>
    <n v="0"/>
    <n v="16"/>
    <n v="0"/>
    <s v="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
    <n v="1"/>
    <n v="0.94117647058823528"/>
    <x v="1"/>
  </r>
  <r>
    <n v="2663"/>
    <x v="2414"/>
    <x v="62"/>
    <x v="1"/>
    <s v="Unknown"/>
    <s v="Bamiyan, Afghanistan"/>
    <s v="Bakhtar Afghan Airlines"/>
    <s v="Unknown"/>
    <s v="Bamiyan - Kabul"/>
    <x v="1034"/>
    <s v="YA-GAT"/>
    <n v="111"/>
    <n v="19"/>
    <n v="16"/>
    <n v="3"/>
    <n v="4"/>
    <n v="2"/>
    <n v="2"/>
    <n v="0"/>
    <s v="The chartered American/Canadian tour group's plane crashed on takeoff."/>
    <n v="15"/>
    <n v="0.21052631578947367"/>
    <x v="2"/>
  </r>
  <r>
    <n v="2664"/>
    <x v="2415"/>
    <x v="62"/>
    <x v="1"/>
    <d v="1899-12-30T04:37:00"/>
    <s v="Near Semipalatinsk, USSR"/>
    <s v="Aeroflot"/>
    <n v="6551"/>
    <s v="_x0009_Tashkent, Uzbekistan - _x0009_Novosibirsk, Russia"/>
    <x v="855"/>
    <s v="SSR-75687"/>
    <n v="189001202"/>
    <n v="61"/>
    <n v="55"/>
    <n v="8"/>
    <n v="61"/>
    <n v="55"/>
    <n v="8"/>
    <n v="0"/>
    <s v="The plane disintegrated during an emergency descent and crashed 84km from Semipalatins. Collision with a foreign object causing damage to the wing."/>
    <n v="0"/>
    <n v="1"/>
    <x v="1"/>
  </r>
  <r>
    <n v="2665"/>
    <x v="2416"/>
    <x v="62"/>
    <x v="1"/>
    <d v="1899-12-30T09:38:00"/>
    <s v="Chita, Siberia, USSR"/>
    <s v="Aeroflot"/>
    <n v="109"/>
    <s v="Moscow - Chita"/>
    <x v="808"/>
    <s v="CCCP-42411"/>
    <n v="820303"/>
    <n v="81"/>
    <n v="72"/>
    <n v="9"/>
    <n v="81"/>
    <n v="72"/>
    <n v="9"/>
    <n v="0"/>
    <s v="The aircraft broke up at FL 300. Detonation of a bomb in the cabin being carried by a hijacker."/>
    <n v="0"/>
    <n v="1"/>
    <x v="1"/>
  </r>
  <r>
    <n v="2666"/>
    <x v="2417"/>
    <x v="62"/>
    <x v="1"/>
    <d v="1899-12-30T15:00:00"/>
    <s v="Svay Rieng, Cambodia"/>
    <s v="Cambodia Air"/>
    <s v="Unknown"/>
    <s v="Svay Rieng - Phnom Penh"/>
    <x v="402"/>
    <s v="XW-TDM"/>
    <n v="10078"/>
    <n v="11"/>
    <n v="9"/>
    <n v="2"/>
    <n v="11"/>
    <n v="9"/>
    <n v="2"/>
    <n v="0"/>
    <s v="Crashed shortly after taking off after being hit by ground fire."/>
    <n v="0"/>
    <n v="1"/>
    <x v="1"/>
  </r>
  <r>
    <n v="2667"/>
    <x v="2418"/>
    <x v="62"/>
    <x v="1"/>
    <s v="Unknown"/>
    <s v="Near Rimouski, Prov. Quebec, Canada"/>
    <s v="Air GaspÃ©"/>
    <s v="Unknown"/>
    <s v="Unknown"/>
    <x v="277"/>
    <s v="CF-QBB"/>
    <n v="10081"/>
    <n v="4"/>
    <n v="1"/>
    <n v="3"/>
    <n v="4"/>
    <n v="1"/>
    <n v="3"/>
    <n v="0"/>
    <s v="the crew failed to realize their altitude was too low when the plane struck a tree and crashed, 5 km southeast of Rimouski."/>
    <n v="0"/>
    <n v="1"/>
    <x v="1"/>
  </r>
  <r>
    <n v="2668"/>
    <x v="2419"/>
    <x v="62"/>
    <x v="1"/>
    <d v="1899-12-30T21:58:00"/>
    <s v="Near New Delhi, India"/>
    <s v="Indian Airlines"/>
    <n v="440"/>
    <s v="Madras - Delhi"/>
    <x v="1232"/>
    <s v="VT-EAM"/>
    <s v="20486/279"/>
    <n v="65"/>
    <n v="58"/>
    <n v="7"/>
    <n v="48"/>
    <n v="43"/>
    <n v="5"/>
    <n v="0"/>
    <s v="The plane crashed and caught fire after hitting power lines during a landing attempt. The landing was made despite visibility below minima. Crew error."/>
    <n v="17"/>
    <n v="0.7384615384615385"/>
    <x v="1"/>
  </r>
  <r>
    <n v="2669"/>
    <x v="2420"/>
    <x v="62"/>
    <x v="1"/>
    <d v="1899-12-30T07:20:00"/>
    <s v="Sao Luis, Brazil"/>
    <s v="Cruzeiro"/>
    <s v="Unknown"/>
    <s v="Belem - Sao Luis"/>
    <x v="1003"/>
    <s v="PP-PDX"/>
    <s v="126/127"/>
    <n v="23"/>
    <n v="16"/>
    <n v="7"/>
    <n v="23"/>
    <n v="16"/>
    <n v="7"/>
    <n v="0"/>
    <s v="While on a go-around the aircraft attained a nose up attitude, stalled and crashed. Loss of power in the No.1 engine at a critical stage of the landing."/>
    <n v="0"/>
    <n v="1"/>
    <x v="1"/>
  </r>
  <r>
    <n v="2670"/>
    <x v="2421"/>
    <x v="62"/>
    <x v="1"/>
    <d v="1899-12-30T15:29:00"/>
    <s v="Goussainville, France"/>
    <s v="Aeroflot"/>
    <s v="Unknown"/>
    <s v="Demonstration"/>
    <x v="1233"/>
    <s v="CCCP-77102"/>
    <d v="2022-02-01T00:00:00"/>
    <n v="6"/>
    <n v="0"/>
    <n v="6"/>
    <n v="6"/>
    <n v="0"/>
    <n v="6"/>
    <n v="8"/>
    <s v="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
    <n v="0"/>
    <n v="1"/>
    <x v="1"/>
  </r>
  <r>
    <n v="2671"/>
    <x v="2422"/>
    <x v="62"/>
    <x v="1"/>
    <s v="Unknown"/>
    <s v="Rio de Janeiro, Brazil"/>
    <s v="Varig"/>
    <s v="Unknown"/>
    <s v="Unknown"/>
    <x v="1234"/>
    <s v="PP-VLJ"/>
    <s v="19106/502"/>
    <n v="4"/>
    <n v="0"/>
    <n v="4"/>
    <n v="2"/>
    <n v="0"/>
    <n v="2"/>
    <n v="0"/>
    <s v="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
    <n v="2"/>
    <n v="0.5"/>
    <x v="0"/>
  </r>
  <r>
    <n v="2672"/>
    <x v="2423"/>
    <x v="62"/>
    <x v="1"/>
    <d v="1899-12-30T22:47:00"/>
    <s v="Near Puerto Vallarta, Mexico"/>
    <s v="Aeromexico"/>
    <s v="Unknown"/>
    <s v="Houston - Monterrey - Puerto Vallarta - Mexico City"/>
    <x v="1235"/>
    <s v="XA-SOC"/>
    <s v="47100/153"/>
    <n v="27"/>
    <n v="22"/>
    <n v="5"/>
    <n v="27"/>
    <n v="22"/>
    <n v="5"/>
    <n v="0"/>
    <s v="The aircraft hit high ground during an approach, 32 kms from the airport."/>
    <n v="0"/>
    <n v="1"/>
    <x v="1"/>
  </r>
  <r>
    <n v="2673"/>
    <x v="2424"/>
    <x v="62"/>
    <x v="1"/>
    <d v="1899-12-30T13:39:00"/>
    <s v="Amman, Jordan"/>
    <s v="Aeroflot"/>
    <s v="SU-512"/>
    <s v="Amman, Jordan - Beirut, Lebanon - Yerevan, Armenia"/>
    <x v="1166"/>
    <s v="CCCP-65668"/>
    <n v="1351306"/>
    <n v="85"/>
    <n v="78"/>
    <n v="8"/>
    <n v="2"/>
    <n v="0"/>
    <n v="2"/>
    <n v="7"/>
    <s v="The aircraft was not able to lift off during takeoff, overshot the runway and crashed into a house bursting into flames."/>
    <n v="83"/>
    <n v="2.3529411764705882E-2"/>
    <x v="2"/>
  </r>
  <r>
    <n v="2674"/>
    <x v="2425"/>
    <x v="62"/>
    <x v="1"/>
    <s v="Unknown"/>
    <s v="Near Shakhtyorsk, Russia"/>
    <s v="Aeroflot"/>
    <s v="Unknown"/>
    <s v="Yuzhno -Shakhtyorsk"/>
    <x v="813"/>
    <s v="CCCP-91534"/>
    <n v="147001150"/>
    <n v="18"/>
    <n v="13"/>
    <n v="5"/>
    <n v="18"/>
    <n v="13"/>
    <n v="5"/>
    <n v="0"/>
    <s v="Controlled flight into terrain, 53 km south of Shakhtyorsk. The crew descended below a safe altitude during the approach."/>
    <n v="0"/>
    <n v="1"/>
    <x v="1"/>
  </r>
  <r>
    <n v="2675"/>
    <x v="2426"/>
    <x v="62"/>
    <x v="1"/>
    <d v="1899-12-30T19:53:00"/>
    <s v="Nnear Kuybyshev, Russia"/>
    <s v="Aeroflot"/>
    <n v="5385"/>
    <s v="Kuibyshev - Simferopol"/>
    <x v="966"/>
    <s v="CCCP-45062"/>
    <n v="4351407"/>
    <n v="61"/>
    <n v="54"/>
    <n v="7"/>
    <n v="2"/>
    <n v="2"/>
    <n v="0"/>
    <n v="0"/>
    <s v="Made a forced landing after experiencing engine failure. Complete destruction of turbine and due to a design and manufacturing defect."/>
    <n v="59"/>
    <n v="3.2786885245901641E-2"/>
    <x v="2"/>
  </r>
  <r>
    <n v="2676"/>
    <x v="2427"/>
    <x v="62"/>
    <x v="1"/>
    <d v="1899-12-30T14:03:00"/>
    <s v="Paris, Orly Airport, France"/>
    <s v="Varig"/>
    <n v="820"/>
    <s v="Rio - de Janerio - Paris"/>
    <x v="1236"/>
    <s v="PP-VJZ"/>
    <s v="19106/683"/>
    <n v="134"/>
    <n v="117"/>
    <n v="17"/>
    <n v="123"/>
    <n v="116"/>
    <n v="7"/>
    <n v="0"/>
    <s v="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
    <n v="11"/>
    <n v="0.91791044776119401"/>
    <x v="1"/>
  </r>
  <r>
    <n v="2677"/>
    <x v="2428"/>
    <x v="62"/>
    <x v="1"/>
    <d v="1899-12-30T22:07:00"/>
    <s v="Off Papeete, Tahiti"/>
    <s v="Pan American World Airways"/>
    <n v="816"/>
    <s v="Auckland, NZ - Papeete, Tahiti - Honolulu - Los Angeles"/>
    <x v="975"/>
    <s v="N417PA"/>
    <s v="18959/470"/>
    <n v="79"/>
    <n v="69"/>
    <n v="10"/>
    <n v="78"/>
    <n v="68"/>
    <n v="10"/>
    <n v="0"/>
    <s v="The aircraft crashed 30 seconds after takeoff from Faaa Airport into the ocean. Cause unknown.  It is possible an instrument failure diverted the crews attention during a turn. The aircraft was named &quot;Clipper Winged Racer.&quot;"/>
    <n v="1"/>
    <n v="0.98734177215189878"/>
    <x v="1"/>
  </r>
  <r>
    <n v="2678"/>
    <x v="2429"/>
    <x v="62"/>
    <x v="1"/>
    <d v="1899-12-30T16:43:00"/>
    <s v="St. Louis, Missouri"/>
    <s v="Ozark Air Lines"/>
    <n v="809"/>
    <s v="Marion, IL - St. Louis"/>
    <x v="1085"/>
    <s v="N4215"/>
    <n v="513"/>
    <n v="44"/>
    <n v="41"/>
    <n v="3"/>
    <n v="38"/>
    <n v="37"/>
    <n v="1"/>
    <n v="0"/>
    <s v="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
    <n v="6"/>
    <n v="0.86363636363636365"/>
    <x v="1"/>
  </r>
  <r>
    <n v="2679"/>
    <x v="2430"/>
    <x v="62"/>
    <x v="1"/>
    <d v="1899-12-30T07:08:00"/>
    <s v="Honolulu, HI"/>
    <s v="Air Hawaii"/>
    <s v="Unknown"/>
    <s v="Honolulu - Lihue"/>
    <x v="1237"/>
    <s v="N234JC"/>
    <s v="Unknown"/>
    <n v="5"/>
    <n v="4"/>
    <n v="1"/>
    <n v="5"/>
    <n v="4"/>
    <n v="1"/>
    <n v="0"/>
    <s v="The plane experienced engine faiure while taking off and crashed into the ocean. Fuel starvation. Rear auxillary tanks not serviced. Overloaded, improper center of gravity."/>
    <n v="0"/>
    <n v="1"/>
    <x v="1"/>
  </r>
  <r>
    <n v="2680"/>
    <x v="2431"/>
    <x v="62"/>
    <x v="1"/>
    <d v="1899-12-30T10:08:00"/>
    <s v="Logan Airport, Boston, Massachusetts"/>
    <s v="Delta Air Lines"/>
    <n v="723"/>
    <s v="Burlilngton, VT  - Boston, MA"/>
    <x v="1153"/>
    <s v="N975NE"/>
    <s v="47075/166"/>
    <n v="89"/>
    <n v="83"/>
    <n v="6"/>
    <n v="89"/>
    <n v="83"/>
    <n v="6"/>
    <n v="0"/>
    <s v="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
    <n v="0"/>
    <n v="1"/>
    <x v="1"/>
  </r>
  <r>
    <n v="2681"/>
    <x v="2432"/>
    <x v="62"/>
    <x v="1"/>
    <d v="1899-12-30T11:40:00"/>
    <s v="Near La  CoruÃ±a, Spain"/>
    <s v="Aviaco Condor"/>
    <n v="118"/>
    <s v="Madrid - La CoruÃ±a"/>
    <x v="1238"/>
    <s v="EC-BIC"/>
    <n v="225"/>
    <n v="85"/>
    <n v="79"/>
    <n v="6"/>
    <n v="85"/>
    <n v="79"/>
    <n v="6"/>
    <n v="1"/>
    <s v="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
    <n v="0"/>
    <n v="1"/>
    <x v="1"/>
  </r>
  <r>
    <n v="2682"/>
    <x v="2433"/>
    <x v="62"/>
    <x v="1"/>
    <d v="1899-12-30T14:50:00"/>
    <s v="Don Don, Haiti"/>
    <s v="Private"/>
    <s v="Unknown"/>
    <s v="Port Au Prince - Cap Haitien"/>
    <x v="1239"/>
    <s v="N38JA"/>
    <n v="211"/>
    <n v="10"/>
    <n v="9"/>
    <n v="1"/>
    <n v="10"/>
    <n v="9"/>
    <n v="1"/>
    <n v="0"/>
    <s v="While flying too low, the plane struck a mountain shrouded in clouds and located in Dondon, 21 km south of the airport. Controlled flight into terrain.."/>
    <n v="0"/>
    <n v="1"/>
    <x v="1"/>
  </r>
  <r>
    <n v="2683"/>
    <x v="2434"/>
    <x v="62"/>
    <x v="1"/>
    <d v="1899-12-30T18:51:00"/>
    <s v="Baku, Azerbaijan, USSR"/>
    <s v="Aeroflot"/>
    <s v="A-13"/>
    <s v="Baku - Aktau"/>
    <x v="1086"/>
    <s v="CCCP-46435"/>
    <n v="87304305"/>
    <n v="64"/>
    <n v="60"/>
    <n v="4"/>
    <n v="56"/>
    <n v="54"/>
    <n v="2"/>
    <n v="0"/>
    <s v="Crashed after after attemping a return to the airport for an emergency landing. Left engine failure."/>
    <n v="8"/>
    <n v="0.875"/>
    <x v="1"/>
  </r>
  <r>
    <n v="2684"/>
    <x v="2435"/>
    <x v="62"/>
    <x v="1"/>
    <d v="1899-12-30T11:40:00"/>
    <s v="El Yopal, Colombia"/>
    <s v="AVIANCA"/>
    <s v="Unknown"/>
    <s v="Villavicencio - El Yopal"/>
    <x v="277"/>
    <s v="HK-111"/>
    <n v="4105"/>
    <n v="17"/>
    <n v="14"/>
    <n v="3"/>
    <n v="16"/>
    <n v="13"/>
    <n v="3"/>
    <n v="0"/>
    <s v="Struck a hill in heavy fog. Flying VFR in IFR conditions."/>
    <n v="1"/>
    <n v="0.94117647058823528"/>
    <x v="1"/>
  </r>
  <r>
    <n v="2685"/>
    <x v="2436"/>
    <x v="62"/>
    <x v="1"/>
    <d v="1899-12-30T12:45:00"/>
    <s v="Bogota, Colombia"/>
    <s v="Aerocondor Colombia"/>
    <s v="Unknown"/>
    <s v="Bogota - Cartagena"/>
    <x v="1240"/>
    <s v="HK-777"/>
    <n v="1115"/>
    <n v="42"/>
    <n v="36"/>
    <n v="6"/>
    <n v="42"/>
    <n v="36"/>
    <n v="6"/>
    <n v="0"/>
    <s v="Crashed into El Cable Mountain after taking off in fog. Crew failed to follow departure procedures."/>
    <n v="0"/>
    <n v="1"/>
    <x v="1"/>
  </r>
  <r>
    <n v="2686"/>
    <x v="2437"/>
    <x v="62"/>
    <x v="1"/>
    <d v="1899-12-30T21:45:00"/>
    <s v="Near Huete, Spain"/>
    <s v="Military - U.S. Air Force"/>
    <s v="Unknown"/>
    <s v="Athens - Madrid"/>
    <x v="1241"/>
    <s v="63-8077"/>
    <n v="6008"/>
    <n v="25"/>
    <n v="17"/>
    <n v="8"/>
    <n v="24"/>
    <n v="17"/>
    <n v="7"/>
    <n v="0"/>
    <s v="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
    <n v="1"/>
    <n v="0.96"/>
    <x v="1"/>
  </r>
  <r>
    <n v="2687"/>
    <x v="2437"/>
    <x v="62"/>
    <x v="1"/>
    <d v="1899-12-30T20:50:00"/>
    <s v="Thirty-five miles west of Los Angeles, California"/>
    <s v="Trans World Airlines"/>
    <n v="742"/>
    <s v="Honolulu - Los Angeles"/>
    <x v="1242"/>
    <s v="N8705T"/>
    <s v="18916/455"/>
    <n v="149"/>
    <n v="141"/>
    <n v="8"/>
    <n v="1"/>
    <n v="1"/>
    <n v="0"/>
    <n v="0"/>
    <s v="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
    <n v="148"/>
    <n v="6.7114093959731542E-3"/>
    <x v="2"/>
  </r>
  <r>
    <n v="2688"/>
    <x v="2438"/>
    <x v="62"/>
    <x v="1"/>
    <d v="1899-12-30T05:42:00"/>
    <s v="King Cove, Alaska"/>
    <s v="World Airways"/>
    <s v="Unknown"/>
    <s v="Travis - Cold Bay - Yokota - Clark"/>
    <x v="1243"/>
    <s v="N802WA"/>
    <n v="46146"/>
    <n v="6"/>
    <n v="3"/>
    <n v="3"/>
    <n v="6"/>
    <n v="3"/>
    <n v="3"/>
    <n v="0"/>
    <s v="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
    <n v="0"/>
    <n v="1"/>
    <x v="1"/>
  </r>
  <r>
    <n v="2689"/>
    <x v="2439"/>
    <x v="62"/>
    <x v="1"/>
    <s v="Unknown"/>
    <s v="Moganik, Yugoslavia"/>
    <s v="JAT Yugoslav Airlines"/>
    <s v="Unknown"/>
    <s v="Skopje - Titograd"/>
    <x v="1244"/>
    <s v="YU-AHD"/>
    <s v="151/149"/>
    <n v="41"/>
    <n v="35"/>
    <n v="6"/>
    <n v="41"/>
    <n v="35"/>
    <n v="6"/>
    <n v="0"/>
    <s v="The aircraft struck Moganik Mountain at 6,300 ft., while descending. Controlled flight into terrain."/>
    <n v="0"/>
    <n v="1"/>
    <x v="1"/>
  </r>
  <r>
    <n v="2690"/>
    <x v="2440"/>
    <x v="62"/>
    <x v="1"/>
    <d v="1899-12-30T22:45:00"/>
    <s v="Natchitoches, Louisiana"/>
    <s v="Private Charter"/>
    <s v="-"/>
    <s v="Natchitoches, La - Dallas, TX"/>
    <x v="1245"/>
    <s v="N50JR"/>
    <s v="BA-176"/>
    <n v="6"/>
    <n v="5"/>
    <n v="1"/>
    <n v="6"/>
    <n v="5"/>
    <n v="1"/>
    <n v="0"/>
    <s v="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
    <n v="0"/>
    <n v="1"/>
    <x v="1"/>
  </r>
  <r>
    <n v="2691"/>
    <x v="2441"/>
    <x v="62"/>
    <x v="1"/>
    <d v="1899-12-30T19:52:00"/>
    <s v="Rich Mountain, Arkansas"/>
    <s v="Texas International Airlines"/>
    <n v="655"/>
    <s v="Memphis - El Dorado - Texarkana - Dallas"/>
    <x v="1246"/>
    <s v="N94230"/>
    <n v="56"/>
    <n v="11"/>
    <n v="8"/>
    <n v="3"/>
    <n v="11"/>
    <n v="8"/>
    <n v="3"/>
    <n v="0"/>
    <s v="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
    <n v="0"/>
    <n v="1"/>
    <x v="1"/>
  </r>
  <r>
    <n v="2692"/>
    <x v="2442"/>
    <x v="62"/>
    <x v="1"/>
    <s v="Unknown"/>
    <s v="Miritituba, Brazil"/>
    <s v="Aeronorte"/>
    <s v="Unknown"/>
    <s v="Itaituba - Jacareacanga"/>
    <x v="268"/>
    <s v="PT-CEV"/>
    <n v="20182"/>
    <n v="9"/>
    <n v="5"/>
    <n v="4"/>
    <n v="9"/>
    <n v="5"/>
    <n v="4"/>
    <n v="0"/>
    <s v="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
    <n v="0"/>
    <n v="1"/>
    <x v="1"/>
  </r>
  <r>
    <n v="2693"/>
    <x v="2442"/>
    <x v="62"/>
    <x v="1"/>
    <d v="1899-12-30T20:37:00"/>
    <s v="Near Sverdlovsk, Russia"/>
    <s v="Aeroflot"/>
    <n v="3932"/>
    <s v="_x0009_Sverdlovsk - Omsk"/>
    <x v="881"/>
    <s v="CCCP-42506"/>
    <n v="21904"/>
    <n v="108"/>
    <n v="100"/>
    <n v="8"/>
    <n v="108"/>
    <n v="100"/>
    <n v="8"/>
    <n v="0"/>
    <s v="The aircraft crashed shortly after takeoff while on a go-around. After reaching an altitude of 1,200 ft. the aircraft banked to the left which steepened until the plane began to descend and finally crashed. Malfunctioning artificial horizon."/>
    <n v="0"/>
    <n v="1"/>
    <x v="1"/>
  </r>
  <r>
    <n v="2694"/>
    <x v="2443"/>
    <x v="62"/>
    <x v="1"/>
    <d v="1899-12-30T23:36:00"/>
    <s v="Magadan, Russia"/>
    <s v="Aeroflot"/>
    <n v="3932"/>
    <s v="Yakutsk - Magadan"/>
    <x v="1247"/>
    <s v="CCCP-12967"/>
    <n v="9346502"/>
    <n v="10"/>
    <n v="8"/>
    <n v="2"/>
    <n v="10"/>
    <n v="8"/>
    <n v="2"/>
    <n v="0"/>
    <s v="The cargo plane struck high ground after going off course during a go-around. Crew error."/>
    <n v="0"/>
    <n v="1"/>
    <x v="1"/>
  </r>
  <r>
    <n v="2695"/>
    <x v="2444"/>
    <x v="62"/>
    <x v="1"/>
    <d v="1899-12-30T20:18:00"/>
    <s v="Near  Domodedovo, Russia"/>
    <s v="Aeroflot"/>
    <n v="964"/>
    <s v="Tbilisi - Moscow"/>
    <x v="881"/>
    <s v="CCCP-42486"/>
    <n v="21504"/>
    <n v="122"/>
    <n v="114"/>
    <n v="8"/>
    <n v="122"/>
    <n v="114"/>
    <n v="8"/>
    <n v="0"/>
    <s v="After making a right turn, the aircraft plunged to earth from 1,500 ft.  Electrical failure of the compass and main gyro."/>
    <n v="0"/>
    <n v="1"/>
    <x v="1"/>
  </r>
  <r>
    <n v="2696"/>
    <x v="2445"/>
    <x v="62"/>
    <x v="1"/>
    <d v="1899-12-30T08:50:00"/>
    <s v="Guanabara Bay, Brazil"/>
    <s v="VASP"/>
    <s v="Unknown"/>
    <s v="Rio de Janeiro - Belo Horizonte"/>
    <x v="1191"/>
    <s v="PP-SMJ"/>
    <n v="2068"/>
    <n v="65"/>
    <n v="60"/>
    <n v="5"/>
    <n v="8"/>
    <n v="8"/>
    <n v="0"/>
    <n v="0"/>
    <s v="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
    <n v="57"/>
    <n v="0.12307692307692308"/>
    <x v="2"/>
  </r>
  <r>
    <n v="2697"/>
    <x v="2446"/>
    <x v="62"/>
    <x v="1"/>
    <s v="Unknown"/>
    <s v="Villavicencio, Colombia"/>
    <s v="Lineas AÃ©reas La Urraca"/>
    <s v="Unknown"/>
    <s v="Arauca - Cucuta"/>
    <x v="1248"/>
    <s v="HK- 718"/>
    <n v="150"/>
    <n v="16"/>
    <n v="12"/>
    <n v="4"/>
    <n v="6"/>
    <n v="3"/>
    <n v="3"/>
    <n v="0"/>
    <s v="The aircraft crashed after diverting to Villavicencio after experiencing hydraulic problems and having to feather the No. 1engine."/>
    <n v="10"/>
    <n v="0.375"/>
    <x v="0"/>
  </r>
  <r>
    <n v="2698"/>
    <x v="2447"/>
    <x v="62"/>
    <x v="1"/>
    <d v="1899-12-30T09:39:00"/>
    <s v="Boston,: Massachusetts"/>
    <s v="Pan American World Airways"/>
    <n v="160"/>
    <s v="New York City - Prestwick"/>
    <x v="1075"/>
    <s v="N458PA"/>
    <s v="19368/640"/>
    <n v="3"/>
    <n v="0"/>
    <n v="3"/>
    <n v="3"/>
    <n v="0"/>
    <n v="3"/>
    <n v="0"/>
    <s v="Smoke in the cockpit and uncontrollable fire in the cargo plane caused by spillage of nitric acid on sawdust packing in the cargo hold. The aircraft was named &quot;Clipper Titian.&quot;"/>
    <n v="0"/>
    <n v="1"/>
    <x v="1"/>
  </r>
  <r>
    <n v="2699"/>
    <x v="2447"/>
    <x v="62"/>
    <x v="1"/>
    <d v="1899-12-30T16:40:00"/>
    <s v="Near Albuquerque,  New Mexico"/>
    <s v="National Airlines"/>
    <n v="27"/>
    <s v="Miami, FL - San Francisco, CA"/>
    <x v="1249"/>
    <s v="N60NA"/>
    <s v="46700/14"/>
    <n v="128"/>
    <n v="116"/>
    <n v="12"/>
    <n v="1"/>
    <n v="1"/>
    <n v="0"/>
    <n v="0"/>
    <s v="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
    <n v="127"/>
    <n v="7.8125E-3"/>
    <x v="2"/>
  </r>
  <r>
    <n v="2700"/>
    <x v="2448"/>
    <x v="62"/>
    <x v="1"/>
    <d v="1899-12-30T02:00:00"/>
    <s v="Near Quang-Ngai, South Vietnam"/>
    <s v="Air Vietnam (South Vietnam)"/>
    <s v="Unknown"/>
    <s v="on - Quang Ngai"/>
    <x v="277"/>
    <s v="XV-NIE"/>
    <s v="14910/26355"/>
    <n v="27"/>
    <n v="24"/>
    <n v="3"/>
    <n v="27"/>
    <n v="24"/>
    <n v="3"/>
    <n v="0"/>
    <s v="Flew into a mountain while en route. Flying under VFR in IFR conditons."/>
    <n v="0"/>
    <n v="1"/>
    <x v="1"/>
  </r>
  <r>
    <n v="2701"/>
    <x v="2449"/>
    <x v="62"/>
    <x v="1"/>
    <d v="1899-12-30T22:29:00"/>
    <s v="Moscow, USSR"/>
    <s v="Aeroflot"/>
    <n v="964"/>
    <s v="Mineral Waters - Moscow"/>
    <x v="881"/>
    <s v="CCCP-42503"/>
    <n v="21901"/>
    <n v="75"/>
    <n v="68"/>
    <n v="7"/>
    <n v="13"/>
    <n v="11"/>
    <n v="5"/>
    <n v="0"/>
    <s v="The aircraft crashed after the wing touched the ground while landing short of the runway. Crew error in not executing a missed approach."/>
    <n v="62"/>
    <n v="0.17333333333333334"/>
    <x v="2"/>
  </r>
  <r>
    <n v="2702"/>
    <x v="2450"/>
    <x v="62"/>
    <x v="1"/>
    <d v="1899-12-30T19:13:00"/>
    <s v="Near Karacharovo, USSR"/>
    <s v="Aeroflot"/>
    <n v="2022"/>
    <s v="Vilnius - Moscow"/>
    <x v="935"/>
    <s v="CCCP-45061"/>
    <n v="3351406"/>
    <n v="51"/>
    <n v="45"/>
    <n v="6"/>
    <n v="51"/>
    <n v="45"/>
    <n v="6"/>
    <n v="0"/>
    <s v="Went into a sudden dive and crashed to the ground. A short circuit occurred in the elevator trim system."/>
    <n v="0"/>
    <n v="1"/>
    <x v="1"/>
  </r>
  <r>
    <n v="2703"/>
    <x v="2451"/>
    <x v="62"/>
    <x v="1"/>
    <d v="1899-12-30T13:00:00"/>
    <s v="Rome, Italy"/>
    <s v="Pan American World Airways"/>
    <n v="110"/>
    <s v="Rome - Beirut"/>
    <x v="975"/>
    <s v="N407PA"/>
    <s v="18838/412"/>
    <n v="177"/>
    <n v="167"/>
    <n v="10"/>
    <n v="30"/>
    <n v="29"/>
    <n v="1"/>
    <n v="0"/>
    <s v="Two phosphorus bombs were thrown into the aircraft prior to its departure. The aircraft was named &quot;Clipper Celestial.&quot;"/>
    <n v="147"/>
    <n v="0.16949152542372881"/>
    <x v="2"/>
  </r>
  <r>
    <n v="2704"/>
    <x v="2452"/>
    <x v="62"/>
    <x v="1"/>
    <s v="Unknown"/>
    <s v="Near Siagon, South Vietnam"/>
    <s v="Military - Vietnamese Air Force"/>
    <s v="Unknown"/>
    <s v="Unknown"/>
    <x v="1250"/>
    <s v="Unknown"/>
    <s v="Unknown"/>
    <n v="20"/>
    <s v="NULL"/>
    <s v="NULL"/>
    <n v="20"/>
    <s v="NULL"/>
    <s v="NULL"/>
    <n v="0"/>
    <s v="Ammunition exploded while the aircraft was on the ground."/>
    <n v="0"/>
    <n v="1"/>
    <x v="1"/>
  </r>
  <r>
    <n v="2705"/>
    <x v="2453"/>
    <x v="62"/>
    <x v="1"/>
    <d v="1899-12-30T22:10:00"/>
    <s v="Near Tetouan, Morocco"/>
    <s v="Royal Air Maroc"/>
    <s v="Unknown"/>
    <s v="Paris - Tanger"/>
    <x v="1251"/>
    <s v="OO-SRD"/>
    <s v="069/84"/>
    <n v="106"/>
    <n v="99"/>
    <n v="7"/>
    <n v="106"/>
    <n v="99"/>
    <n v="7"/>
    <n v="0"/>
    <s v="After missing the outer marker, the aircraft continued off course and crashed into Mt. Mellaline, 20 kms from the airport at an elevation of 2,300 feet in rain. Crew error. The pilot started his final turn too far east of the runway."/>
    <n v="0"/>
    <n v="1"/>
    <x v="1"/>
  </r>
  <r>
    <n v="2706"/>
    <x v="2454"/>
    <x v="62"/>
    <x v="1"/>
    <d v="1899-12-30T22:08:00"/>
    <s v="Lvov, Ukraine, USSR"/>
    <s v="Aeroflot"/>
    <s v="Unknown"/>
    <s v="Lviv - Kiev - Kuybyshev"/>
    <x v="935"/>
    <s v="CCCP-45004"/>
    <n v="350202"/>
    <n v="17"/>
    <n v="11"/>
    <n v="6"/>
    <n v="17"/>
    <n v="11"/>
    <n v="6"/>
    <n v="0"/>
    <s v="Crashed after takeoff. Engine failure. A defective turbine blade failed resulting in violent vibration of the engine and rupturing of a fuel line and causing an in-flight fire."/>
    <n v="0"/>
    <n v="1"/>
    <x v="1"/>
  </r>
  <r>
    <n v="2707"/>
    <x v="2455"/>
    <x v="62"/>
    <x v="1"/>
    <s v="Unknown"/>
    <s v="Durban, South Africa"/>
    <s v="Executive Funds"/>
    <s v="Unknown"/>
    <s v="Unknown"/>
    <x v="277"/>
    <s v="ZS-DAK"/>
    <n v="1498"/>
    <n v="25"/>
    <n v="22"/>
    <n v="3"/>
    <n v="1"/>
    <n v="1"/>
    <n v="0"/>
    <n v="0"/>
    <s v="The No.1 engine failed while the DC-3  turned onto final approach.  Shortly thereafter,  the No.2 engine also failed. The aircraft was turned towards a beach and was ditched successfully. One  non-swimming passenger  drowned."/>
    <n v="24"/>
    <n v="0.04"/>
    <x v="2"/>
  </r>
  <r>
    <n v="2708"/>
    <x v="2456"/>
    <x v="63"/>
    <x v="1"/>
    <d v="1899-12-30T12:38:00"/>
    <s v="Near Turin, Italy"/>
    <s v="Itavia"/>
    <s v="Unknown"/>
    <s v="Bologna - Torino"/>
    <x v="1221"/>
    <s v="I-TIDE"/>
    <n v="11015"/>
    <n v="42"/>
    <n v="38"/>
    <n v="4"/>
    <n v="38"/>
    <n v="35"/>
    <n v="3"/>
    <n v="0"/>
    <s v="Crashed 2 miles short of the runway upside down during an approach in fog and heavy rain."/>
    <n v="4"/>
    <n v="0.90476190476190477"/>
    <x v="1"/>
  </r>
  <r>
    <n v="2709"/>
    <x v="2457"/>
    <x v="63"/>
    <x v="1"/>
    <d v="1899-12-30T18:05:00"/>
    <s v="Johnstown, Pennsylvania"/>
    <s v="Air East"/>
    <s v="Unknown"/>
    <s v="Pittsburgh, PA - Johnstown, PA"/>
    <x v="1252"/>
    <s v="N125AE"/>
    <s v="U-125"/>
    <n v="17"/>
    <n v="15"/>
    <n v="2"/>
    <n v="12"/>
    <n v="11"/>
    <n v="1"/>
    <n v="0"/>
    <s v="Crashed short of the runway.  Failed to maintain flying speed. Improper IFR operation. Premature descent below safe approach slope for reasons undetermined."/>
    <n v="5"/>
    <n v="0.70588235294117652"/>
    <x v="1"/>
  </r>
  <r>
    <n v="2710"/>
    <x v="2457"/>
    <x v="63"/>
    <x v="1"/>
    <s v="Unknown"/>
    <s v="Unduavi, Bolivia"/>
    <s v="Servicios AÃ©reos Boliviano"/>
    <s v="Unknown"/>
    <s v="San Borja - La Paz"/>
    <x v="667"/>
    <s v="CP-990"/>
    <n v="22490"/>
    <n v="4"/>
    <n v="1"/>
    <n v="3"/>
    <n v="4"/>
    <n v="1"/>
    <n v="3"/>
    <n v="0"/>
    <s v="The cargo plane hit a mountain en route."/>
    <n v="0"/>
    <n v="1"/>
    <x v="1"/>
  </r>
  <r>
    <n v="2711"/>
    <x v="2457"/>
    <x v="63"/>
    <x v="1"/>
    <d v="1899-12-30T15:25:00"/>
    <s v="Mukachevo, Ukraine"/>
    <s v="Aeroflot"/>
    <s v="H-75"/>
    <s v="_x0009_Ivano-Frankovsk, Ukraine - Uzhgorod, Ukraine"/>
    <x v="1086"/>
    <s v="CCCP-46357"/>
    <n v="77303405"/>
    <n v="24"/>
    <n v="18"/>
    <n v="6"/>
    <n v="24"/>
    <n v="18"/>
    <n v="6"/>
    <n v="0"/>
    <s v="The plane dove into the ground 100 meters behind the outer marker while on approach.  Icing of the horizontal stabilizer."/>
    <n v="0"/>
    <n v="1"/>
    <x v="1"/>
  </r>
  <r>
    <n v="2712"/>
    <x v="2458"/>
    <x v="63"/>
    <x v="1"/>
    <d v="1899-12-30T16:36:00"/>
    <s v="Near Nevia, Colombia"/>
    <s v="SATENA"/>
    <s v="Unknown"/>
    <s v="Florencia - Bogota"/>
    <x v="1253"/>
    <s v="FAC-1103"/>
    <n v="1704"/>
    <n v="31"/>
    <n v="28"/>
    <n v="3"/>
    <n v="31"/>
    <n v="28"/>
    <n v="3"/>
    <n v="0"/>
    <s v="The domestic flight crashed into Mt Gabinete about 34 km northwest of Florencia while en route to Bogota."/>
    <n v="0"/>
    <n v="1"/>
    <x v="1"/>
  </r>
  <r>
    <n v="2713"/>
    <x v="2459"/>
    <x v="63"/>
    <x v="1"/>
    <d v="1899-12-30T16:30:00"/>
    <s v="La Paz, Bolivia"/>
    <s v="TAM (Bolivia)"/>
    <s v="Unknown"/>
    <s v="Santa Rose - La Paz"/>
    <x v="450"/>
    <s v="TAM-52"/>
    <s v="Unknown"/>
    <n v="24"/>
    <n v="21"/>
    <n v="3"/>
    <n v="24"/>
    <n v="21"/>
    <n v="3"/>
    <n v="0"/>
    <s v="The non-scheduled passenger flight crashed while en route to La Paz. Wreckage never found."/>
    <n v="0"/>
    <n v="1"/>
    <x v="1"/>
  </r>
  <r>
    <n v="2714"/>
    <x v="2460"/>
    <x v="63"/>
    <x v="1"/>
    <d v="1899-12-30T13:15:00"/>
    <s v="Cigorodo, Colombia"/>
    <s v="Cessnyca"/>
    <s v="Unknown"/>
    <s v="ChigorodÃ³ - MedellÃ­n"/>
    <x v="268"/>
    <s v="HK-1216"/>
    <n v="1905"/>
    <n v="14"/>
    <n v="11"/>
    <n v="3"/>
    <n v="14"/>
    <n v="11"/>
    <n v="3"/>
    <n v="0"/>
    <s v="Crashed after climbing to cruising altitude."/>
    <n v="0"/>
    <n v="1"/>
    <x v="1"/>
  </r>
  <r>
    <n v="2715"/>
    <x v="2461"/>
    <x v="63"/>
    <x v="1"/>
    <d v="1899-12-30T07:30:00"/>
    <s v="Izmir, Turkey"/>
    <s v="Turkish Airlines (THY)"/>
    <s v="Unknown"/>
    <s v="Izmir - Istanbul"/>
    <x v="1221"/>
    <s v="TC-JAO"/>
    <n v="11057"/>
    <n v="73"/>
    <n v="68"/>
    <n v="5"/>
    <n v="66"/>
    <n v="62"/>
    <n v="4"/>
    <n v="0"/>
    <s v="The plane yawed left, pitched nose down and crashed shortly after taking off. Icing. Frost on the wings along with over rotation resulted in a stall. Crew error."/>
    <n v="7"/>
    <n v="0.90410958904109584"/>
    <x v="1"/>
  </r>
  <r>
    <n v="2716"/>
    <x v="2462"/>
    <x v="63"/>
    <x v="1"/>
    <d v="1899-12-30T23:41:00"/>
    <s v="Pago Pago, American Samoa"/>
    <s v="Pan American World Airways"/>
    <n v="806"/>
    <s v="Auckland - Pago Pago"/>
    <x v="975"/>
    <s v="N454PA"/>
    <s v="19376/661"/>
    <n v="101"/>
    <n v="91"/>
    <n v="10"/>
    <n v="97"/>
    <n v="87"/>
    <n v="10"/>
    <n v="0"/>
    <s v="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quot;Clipper Raidant.&quot;"/>
    <n v="4"/>
    <n v="0.96039603960396036"/>
    <x v="1"/>
  </r>
  <r>
    <n v="2717"/>
    <x v="2463"/>
    <x v="63"/>
    <x v="1"/>
    <d v="1899-12-30T21:30:00"/>
    <s v="Near Honolulu, HI"/>
    <s v="Pan American World Airways"/>
    <s v="Unknown"/>
    <s v="San Francisco, CA - Honolulu, HI - Agana, Guam"/>
    <x v="1254"/>
    <s v="N732PA"/>
    <s v="19638/3"/>
    <n v="298"/>
    <n v="279"/>
    <n v="19"/>
    <n v="1"/>
    <n v="1"/>
    <n v="0"/>
    <n v="0"/>
    <s v="A 16 month old child was asphyxiated by a seat belt while unattended."/>
    <n v="297"/>
    <n v="3.3557046979865771E-3"/>
    <x v="2"/>
  </r>
  <r>
    <n v="2718"/>
    <x v="2464"/>
    <x v="63"/>
    <x v="1"/>
    <d v="1899-12-30T17:30:00"/>
    <s v="Near Souda, Crete"/>
    <s v="Military - West German Air Force"/>
    <s v="Unknown"/>
    <s v="Unknown"/>
    <x v="1255"/>
    <s v="50-63"/>
    <s v="Unknown"/>
    <n v="40"/>
    <n v="35"/>
    <n v="5"/>
    <n v="35"/>
    <n v="30"/>
    <n v="5"/>
    <n v="0"/>
    <s v="The twin-engine turboprop hit a mountain at an elevation of 5,000 ft. during an ILS approach."/>
    <n v="5"/>
    <n v="0.875"/>
    <x v="1"/>
  </r>
  <r>
    <n v="2719"/>
    <x v="2465"/>
    <x v="63"/>
    <x v="1"/>
    <s v="Unknown"/>
    <s v="Baltimore, Maryland"/>
    <s v="Delta Air Lines"/>
    <n v="523"/>
    <s v="Baltimore - Atlanta"/>
    <x v="1256"/>
    <s v="Unknown"/>
    <s v="Unknown"/>
    <n v="15"/>
    <n v="10"/>
    <n v="5"/>
    <n v="1"/>
    <n v="0"/>
    <n v="1"/>
    <n v="0"/>
    <s v="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
    <n v="14"/>
    <n v="6.6666666666666666E-2"/>
    <x v="2"/>
  </r>
  <r>
    <n v="2720"/>
    <x v="2466"/>
    <x v="63"/>
    <x v="1"/>
    <s v="Unknown"/>
    <s v="San Francisco de Moxos,  Bolivia"/>
    <s v="SAVCO"/>
    <s v="Unknown"/>
    <s v="Trinidad - Oruro"/>
    <x v="741"/>
    <s v="CP-1052"/>
    <n v="30195"/>
    <n v="7"/>
    <n v="4"/>
    <n v="3"/>
    <n v="7"/>
    <n v="4"/>
    <n v="3"/>
    <n v="0"/>
    <s v="Severe turbulence possibly caused the failure of ropes securing cargo. The center of gravity shifted causing a loss of control. The wreckage was found 2 days later."/>
    <n v="0"/>
    <n v="1"/>
    <x v="1"/>
  </r>
  <r>
    <n v="2721"/>
    <x v="2467"/>
    <x v="63"/>
    <x v="1"/>
    <d v="1899-12-30T11:41:00"/>
    <s v="Near Ermenonville, France"/>
    <s v="Turkish Airlines (THY)"/>
    <n v="981"/>
    <s v="Paris - London"/>
    <x v="1249"/>
    <s v="TC-JAV"/>
    <s v="46704/29"/>
    <n v="346"/>
    <n v="335"/>
    <n v="11"/>
    <n v="346"/>
    <n v="335"/>
    <n v="11"/>
    <n v="0"/>
    <s v="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
    <n v="0"/>
    <n v="1"/>
    <x v="1"/>
  </r>
  <r>
    <n v="2722"/>
    <x v="2468"/>
    <x v="63"/>
    <x v="1"/>
    <s v="Unknown"/>
    <s v="Hanoi, Vietnam"/>
    <s v="Pathet Lao Airlines"/>
    <s v="Unknown"/>
    <s v="Saigon - Hanoi"/>
    <x v="968"/>
    <s v="XW-TCA"/>
    <n v="87304508"/>
    <n v="18"/>
    <n v="15"/>
    <n v="3"/>
    <n v="18"/>
    <n v="15"/>
    <n v="3"/>
    <n v="0"/>
    <s v="Fifiteen journalists aboard for an Asian tour. On approach to Hanoi Airport, the aircraft crashed for unknown reasons."/>
    <n v="0"/>
    <n v="1"/>
    <x v="1"/>
  </r>
  <r>
    <n v="2723"/>
    <x v="2469"/>
    <x v="63"/>
    <x v="1"/>
    <d v="1899-12-30T19:28:00"/>
    <s v="Bishop, California"/>
    <s v="Sierra Pacific Airlines"/>
    <n v="802"/>
    <s v="Bishop - Burbank"/>
    <x v="962"/>
    <s v="N4819C"/>
    <n v="138"/>
    <n v="36"/>
    <n v="32"/>
    <n v="4"/>
    <n v="36"/>
    <n v="32"/>
    <n v="4"/>
    <n v="0"/>
    <s v="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
    <n v="0"/>
    <n v="1"/>
    <x v="1"/>
  </r>
  <r>
    <n v="2724"/>
    <x v="2470"/>
    <x v="63"/>
    <x v="1"/>
    <d v="1899-12-30T08:07:00"/>
    <s v="Tehran, Iran"/>
    <s v="Sterling Airways"/>
    <s v="Unknown"/>
    <s v="Tehran - Kobenhavn"/>
    <x v="1257"/>
    <s v="OY-STK"/>
    <n v="266"/>
    <n v="96"/>
    <n v="92"/>
    <n v="4"/>
    <n v="15"/>
    <n v="15"/>
    <n v="0"/>
    <n v="0"/>
    <s v="Collapse of right main landing gear while taxing ruptured the wing fuel tank causing a fire."/>
    <n v="81"/>
    <n v="0.15625"/>
    <x v="2"/>
  </r>
  <r>
    <n v="2725"/>
    <x v="2471"/>
    <x v="63"/>
    <x v="1"/>
    <d v="1899-12-30T02:35:00"/>
    <s v="Francistown, Botswana"/>
    <s v="Wenela Air Services"/>
    <s v="Unknown"/>
    <s v="Francistown - Malawi"/>
    <x v="487"/>
    <s v="A2-ZER"/>
    <n v="27242"/>
    <n v="84"/>
    <n v="80"/>
    <n v="4"/>
    <n v="78"/>
    <n v="75"/>
    <n v="3"/>
    <n v="0"/>
    <s v="The aircraft crashed into trees and burst into flames after the engines overheated resulting in loss of power. The plane was carrying gold miners. Fuel contamination. Jet A fuel contaminated the aviation gasoline."/>
    <n v="6"/>
    <n v="0.9285714285714286"/>
    <x v="1"/>
  </r>
  <r>
    <n v="2726"/>
    <x v="2472"/>
    <x v="63"/>
    <x v="1"/>
    <d v="1899-12-30T15:26:00"/>
    <s v="Grogak, Bali, Indonesia"/>
    <s v="Pan American World Airways"/>
    <n v="812"/>
    <s v="Hong Kong - Bali, Indonesia - Sydney, Austrailia"/>
    <x v="1075"/>
    <s v="N446PA"/>
    <s v="19268/544"/>
    <n v="107"/>
    <n v="96"/>
    <n v="11"/>
    <n v="107"/>
    <n v="96"/>
    <n v="11"/>
    <n v="0"/>
    <s v="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quot;Clipper Climax.&quot;"/>
    <n v="0"/>
    <n v="1"/>
    <x v="1"/>
  </r>
  <r>
    <n v="2727"/>
    <x v="2473"/>
    <x v="63"/>
    <x v="1"/>
    <d v="1899-12-30T18:07:00"/>
    <s v="Near Leningrad, USSR"/>
    <s v="Aeroflot"/>
    <s v="Unknown"/>
    <s v="Leningrad - Zaporozhye"/>
    <x v="855"/>
    <s v="CCCP-75559"/>
    <n v="184007703"/>
    <n v="109"/>
    <n v="102"/>
    <n v="7"/>
    <n v="109"/>
    <n v="102"/>
    <n v="7"/>
    <n v="0"/>
    <s v="The aircraft crashed after report of a heavy vibration and fire in the No. 4 engine. Structural failure of turbine disc in No. 4 the engine."/>
    <n v="0"/>
    <n v="1"/>
    <x v="1"/>
  </r>
  <r>
    <n v="2728"/>
    <x v="2474"/>
    <x v="63"/>
    <x v="1"/>
    <d v="1899-12-30T13:47:00"/>
    <s v="Galveston, Texas"/>
    <s v="Houston Metro Airlines"/>
    <s v="Unknown"/>
    <s v="Galveston, TX - Houston, TX"/>
    <x v="1258"/>
    <s v="N853SA"/>
    <s v="U-41"/>
    <n v="12"/>
    <n v="10"/>
    <n v="2"/>
    <n v="6"/>
    <n v="5"/>
    <n v="1"/>
    <n v="0"/>
    <s v="Crashed during takeoff. Inadequate preflight preparation and planning. Lack of familarity with aircraft.  Misused  flaps. Gust lock engaged."/>
    <n v="6"/>
    <n v="0.5"/>
    <x v="0"/>
  </r>
  <r>
    <n v="2729"/>
    <x v="2475"/>
    <x v="63"/>
    <x v="1"/>
    <d v="1899-12-30T19:30:00"/>
    <s v="Banos, Ecuador"/>
    <s v="Aero Taxis Equatorianos"/>
    <s v="Unknown"/>
    <s v="Pastaza - Ambato"/>
    <x v="368"/>
    <s v="HC-AUC"/>
    <s v="Unknown"/>
    <n v="24"/>
    <n v="21"/>
    <n v="3"/>
    <n v="22"/>
    <n v="19"/>
    <n v="3"/>
    <n v="0"/>
    <s v="Struck a mountain shortly after takeoff. Failure to climb to the minimum safety altitude. Overconfidence of the crew. Distraction by a tourist guide in the cockpit."/>
    <n v="2"/>
    <n v="0.91666666666666663"/>
    <x v="1"/>
  </r>
  <r>
    <n v="2730"/>
    <x v="2476"/>
    <x v="63"/>
    <x v="1"/>
    <d v="1899-12-30T22:22:00"/>
    <s v="Nurnberg, Germany"/>
    <s v="Fragtflug"/>
    <s v="Unknown"/>
    <s v="Nice - Nurnberg"/>
    <x v="681"/>
    <s v="TF-OAE"/>
    <s v="44069/396"/>
    <n v="3"/>
    <n v="0"/>
    <n v="3"/>
    <n v="3"/>
    <n v="0"/>
    <n v="3"/>
    <n v="0"/>
    <s v="The cargo plane struck trees and crashed while on final approach. Icing. Pilot blood alcohol above normal."/>
    <n v="0"/>
    <n v="1"/>
    <x v="1"/>
  </r>
  <r>
    <n v="2731"/>
    <x v="2477"/>
    <x v="63"/>
    <x v="1"/>
    <d v="1899-12-30T16:55:00"/>
    <s v="Springfield, Illinois"/>
    <s v="Saturn Airways"/>
    <s v="Unknown"/>
    <s v="Alameda, CA - Indianapolis, IN"/>
    <x v="1259"/>
    <s v="N14ST"/>
    <n v="4225"/>
    <n v="3"/>
    <n v="1"/>
    <n v="2"/>
    <n v="3"/>
    <n v="1"/>
    <n v="2"/>
    <n v="0"/>
    <s v="While en route the left wing separated from the aircraft. The plane crashed out of contol. The undiscovered, preexisting fatigue cracks, which reduced the strength of the left wing to the degree that it failed as a result of positive aerodynamic loads created by moderate turbulence."/>
    <n v="0"/>
    <n v="1"/>
    <x v="1"/>
  </r>
  <r>
    <n v="2732"/>
    <x v="2477"/>
    <x v="63"/>
    <x v="1"/>
    <d v="1899-12-30T22:05:00"/>
    <s v="Kiev, Ukraine, USSR"/>
    <s v="Aeroflot"/>
    <s v="H-166"/>
    <s v="_x0009_Khmelnitsky - Kiev"/>
    <x v="1146"/>
    <s v="CCCP-87579"/>
    <n v="9221122"/>
    <n v="29"/>
    <n v="25"/>
    <n v="4"/>
    <n v="29"/>
    <n v="25"/>
    <n v="4"/>
    <n v="0"/>
    <s v="Crashed during approach. Incapacitation of the crew due to carbon monoxide."/>
    <n v="0"/>
    <n v="1"/>
    <x v="1"/>
  </r>
  <r>
    <n v="2733"/>
    <x v="2478"/>
    <x v="63"/>
    <x v="1"/>
    <s v="Unknown"/>
    <s v="Rankin Inlet, Canada"/>
    <s v="Lambair"/>
    <s v="Unknown"/>
    <s v="Thompson - Rankin Inlet"/>
    <x v="1043"/>
    <s v="CF-QWJ"/>
    <n v="13078"/>
    <n v="2"/>
    <n v="0"/>
    <n v="2"/>
    <n v="2"/>
    <n v="0"/>
    <n v="2"/>
    <n v="0"/>
    <s v="The cargo plane suffered an engine failure and spiraled into the ground."/>
    <n v="0"/>
    <n v="1"/>
    <x v="1"/>
  </r>
  <r>
    <n v="2734"/>
    <x v="2479"/>
    <x v="63"/>
    <x v="1"/>
    <d v="1899-12-30T17:30:00"/>
    <s v="Monte San Isidro,  Colombia"/>
    <s v="Aerolineas TAO"/>
    <n v="514"/>
    <s v="Bucaramanga - Cucuta"/>
    <x v="950"/>
    <s v="HK-1058"/>
    <n v="380"/>
    <n v="44"/>
    <n v="38"/>
    <n v="6"/>
    <n v="44"/>
    <n v="38"/>
    <n v="6"/>
    <n v="0"/>
    <s v="The aircraft lost control and crashed after a tailplane failure. Failure in-flight of the tailplane spar causing the left tailplane and elevator the detach."/>
    <n v="0"/>
    <n v="1"/>
    <x v="1"/>
  </r>
  <r>
    <n v="2735"/>
    <x v="2480"/>
    <x v="63"/>
    <x v="1"/>
    <s v="Unknown"/>
    <s v="Battambang, Khmer Republic"/>
    <s v="Cambodia Air"/>
    <n v="1999"/>
    <s v="Battambang - Phnom Penh"/>
    <x v="1260"/>
    <s v="XW-TFR"/>
    <n v="1999"/>
    <n v="39"/>
    <n v="33"/>
    <n v="6"/>
    <n v="19"/>
    <n v="17"/>
    <n v="2"/>
    <n v="0"/>
    <s v="Crashed during takeoff and burned after 3 engines failed. Mechanical failure due to improper maintenance procedures. Insufficient training of cabin crew."/>
    <n v="20"/>
    <n v="0.48717948717948717"/>
    <x v="0"/>
  </r>
  <r>
    <n v="2736"/>
    <x v="2481"/>
    <x v="63"/>
    <x v="1"/>
    <d v="1899-12-30T13:00:00"/>
    <s v="Umiat, Alaska"/>
    <s v="Alaska Helicopter - Air Taxi"/>
    <s v="Unknown"/>
    <s v="Umiat, AK - Local"/>
    <x v="1261"/>
    <s v="N8679"/>
    <s v="Unknown"/>
    <n v="5"/>
    <n v="4"/>
    <n v="1"/>
    <n v="5"/>
    <n v="4"/>
    <n v="1"/>
    <n v="0"/>
    <s v="Crashed after the fatigue fracture of the swachplate assembly. Inadequate maintenance and inspection."/>
    <n v="0"/>
    <n v="1"/>
    <x v="1"/>
  </r>
  <r>
    <n v="2737"/>
    <x v="2482"/>
    <x v="63"/>
    <x v="1"/>
    <d v="1899-12-30T09:45:00"/>
    <s v="Bogota, Colombia"/>
    <s v="Aeronorte Colombia"/>
    <s v="Unknown"/>
    <s v="Unknown"/>
    <x v="487"/>
    <s v="HK-728"/>
    <n v="10507"/>
    <n v="3"/>
    <n v="0"/>
    <n v="3"/>
    <n v="3"/>
    <n v="0"/>
    <n v="3"/>
    <n v="0"/>
    <s v="The cargo plane crashed into a mountain at 7,000 ft. shortly after taking off."/>
    <n v="0"/>
    <n v="1"/>
    <x v="1"/>
  </r>
  <r>
    <n v="2738"/>
    <x v="2483"/>
    <x v="63"/>
    <x v="1"/>
    <s v="Unknown"/>
    <s v="Near Moc Hoa, Vietnam"/>
    <s v="Air Amercia"/>
    <s v="Unknown"/>
    <s v="Phnom Penh - Siagon"/>
    <x v="1062"/>
    <s v="ST-4"/>
    <n v="20304"/>
    <n v="5"/>
    <n v="1"/>
    <n v="4"/>
    <n v="5"/>
    <n v="1"/>
    <n v="4"/>
    <n v="0"/>
    <s v="The cargo plane was struck by a surface-to-air missile."/>
    <n v="0"/>
    <n v="1"/>
    <x v="1"/>
  </r>
  <r>
    <n v="2739"/>
    <x v="2484"/>
    <x v="63"/>
    <x v="1"/>
    <s v="Unknown"/>
    <s v="Mt. Apica, PQ, Canada"/>
    <s v="Laurentian Air Services"/>
    <s v="Unknown"/>
    <s v="LaTuque - St. Honore"/>
    <x v="277"/>
    <s v="C-FTAT"/>
    <n v="11850"/>
    <n v="11"/>
    <n v="8"/>
    <n v="3"/>
    <n v="5"/>
    <n v="2"/>
    <n v="3"/>
    <n v="0"/>
    <s v="Struck  the slope of Mont-Apica located 67 km southwest of saint-HonorÃ© Airport."/>
    <n v="6"/>
    <n v="0.45454545454545453"/>
    <x v="0"/>
  </r>
  <r>
    <n v="2740"/>
    <x v="2485"/>
    <x v="63"/>
    <x v="1"/>
    <s v="Unknown"/>
    <s v="Near Ouagadougou, Upper Volta"/>
    <s v="Air  Mali"/>
    <s v="Unknown"/>
    <s v="Bamako, Mali - Kano, Nigeria"/>
    <x v="855"/>
    <s v="TZ-ABE"/>
    <n v="181003304"/>
    <n v="60"/>
    <n v="50"/>
    <n v="10"/>
    <n v="47"/>
    <n v="39"/>
    <n v="8"/>
    <n v="0"/>
    <s v="The aircraft crashed after running out of fuel. After being diverted because of bad weather, a navigation error caused the crew to circle the wrong city."/>
    <n v="13"/>
    <n v="0.78333333333333333"/>
    <x v="1"/>
  </r>
  <r>
    <n v="2741"/>
    <x v="2486"/>
    <x v="63"/>
    <x v="1"/>
    <d v="1899-12-30T14:50:00"/>
    <s v="Cali, Colombia"/>
    <s v="AVIANCA"/>
    <s v="Unknown"/>
    <s v="Tumaco - Bogota"/>
    <x v="383"/>
    <s v="HK-508"/>
    <n v="4527"/>
    <n v="27"/>
    <n v="24"/>
    <n v="3"/>
    <n v="27"/>
    <n v="24"/>
    <n v="3"/>
    <n v="0"/>
    <s v="The crew became lost in rainy weather and crashed into Trujillo Mountain. Wreckage found 2 months later."/>
    <n v="0"/>
    <n v="1"/>
    <x v="1"/>
  </r>
  <r>
    <n v="2742"/>
    <x v="2487"/>
    <x v="63"/>
    <x v="1"/>
    <d v="1899-12-30T09:20:00"/>
    <s v="Margarita Island, Venezuela"/>
    <s v="Linea Aeropostal Venezolana"/>
    <s v="Unknown"/>
    <s v="Cumana - Porlamar"/>
    <x v="1162"/>
    <s v="YV-C-AMX"/>
    <n v="95"/>
    <n v="49"/>
    <n v="45"/>
    <n v="4"/>
    <n v="49"/>
    <n v="45"/>
    <n v="4"/>
    <n v="0"/>
    <s v="In accordance with ATC, the crew divert to CumanÃ¡ Airport and while completing a turn to change heading, the plane struck the peak La Gloria located10 km northeast of Porlamar Airport."/>
    <n v="0"/>
    <n v="1"/>
    <x v="1"/>
  </r>
  <r>
    <n v="2743"/>
    <x v="2488"/>
    <x v="63"/>
    <x v="1"/>
    <s v="Unknown"/>
    <s v="Near Kisangani, Zaire"/>
    <s v="Military - Zairean Air Force"/>
    <s v="Unknown"/>
    <s v="Kinshasa - Kisangani"/>
    <x v="1262"/>
    <s v="9T-TCD"/>
    <n v="4422"/>
    <n v="31"/>
    <n v="24"/>
    <n v="7"/>
    <n v="31"/>
    <n v="24"/>
    <n v="7"/>
    <n v="0"/>
    <s v="During a night time approach to Kisangani Airport, the plane crashed in unknown circumstances few km from the runway threshold"/>
    <n v="0"/>
    <n v="1"/>
    <x v="1"/>
  </r>
  <r>
    <n v="2744"/>
    <x v="2489"/>
    <x v="63"/>
    <x v="1"/>
    <s v="Unknown"/>
    <s v="Tandjung-karang, Indonesia"/>
    <s v="Garuda Indonesia Airlines"/>
    <s v="Unknown"/>
    <s v="bang - Bandar Lampung - Jakarta"/>
    <x v="1108"/>
    <s v="PK-GFJ"/>
    <n v="10422"/>
    <n v="39"/>
    <n v="36"/>
    <n v="3"/>
    <n v="36"/>
    <n v="33"/>
    <n v="3"/>
    <n v="0"/>
    <s v="Crashed into a building while landing during poor weather conditions. The plane was blown against the building by a strong gust of wind."/>
    <n v="3"/>
    <n v="0.92307692307692313"/>
    <x v="1"/>
  </r>
  <r>
    <n v="2745"/>
    <x v="2490"/>
    <x v="63"/>
    <x v="1"/>
    <d v="1899-12-30T11:40:00"/>
    <s v="Ionian Sea , off Kefallinia, Greece"/>
    <s v="Trans World Airlines"/>
    <n v="841"/>
    <s v="Tel Aviv - Athens - Rome - New York"/>
    <x v="1242"/>
    <s v="N8734"/>
    <s v="20063/789"/>
    <n v="88"/>
    <n v="79"/>
    <n v="9"/>
    <n v="88"/>
    <n v="79"/>
    <n v="9"/>
    <n v="0"/>
    <s v="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
    <n v="0"/>
    <n v="1"/>
    <x v="1"/>
  </r>
  <r>
    <n v="2746"/>
    <x v="2491"/>
    <x v="63"/>
    <x v="1"/>
    <d v="1899-12-30T07:34:00"/>
    <s v="Near Charlotte, North Carolina"/>
    <s v="Eastern Air Lines"/>
    <n v="212"/>
    <s v="Charleston, SC - Charlotte, NC - Chicago, IL"/>
    <x v="1153"/>
    <s v="N8984E"/>
    <s v="47400/443"/>
    <n v="82"/>
    <n v="78"/>
    <n v="4"/>
    <n v="70"/>
    <n v="68"/>
    <n v="2"/>
    <n v="0"/>
    <s v="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
    <n v="12"/>
    <n v="0.85365853658536583"/>
    <x v="1"/>
  </r>
  <r>
    <n v="2747"/>
    <x v="2492"/>
    <x v="63"/>
    <x v="1"/>
    <d v="1899-12-30T11:00:00"/>
    <s v="Phan Rang, South Vietnam"/>
    <s v="Air Vietnam (South Vietnam)"/>
    <n v="706"/>
    <s v="Da Nang - Saigon"/>
    <x v="1263"/>
    <s v="XV-NJC"/>
    <n v="19819"/>
    <n v="75"/>
    <n v="67"/>
    <n v="8"/>
    <n v="75"/>
    <n v="67"/>
    <n v="8"/>
    <n v="0"/>
    <s v="Hijacked. Detonation of two hand grenades in the passenger compartment after the pilot refused to fly to Hanoi, North Vietnam. The aircraft attempted to land, executed a missed approach and dove into the ground from a height of 1,000 feet."/>
    <n v="0"/>
    <n v="1"/>
    <x v="1"/>
  </r>
  <r>
    <n v="2748"/>
    <x v="2493"/>
    <x v="63"/>
    <x v="1"/>
    <d v="1899-12-30T11:15:00"/>
    <s v="Calapan, Philippines"/>
    <s v="Mabuhay Airways"/>
    <s v="Unknown"/>
    <s v="Roxas City - Calapan"/>
    <x v="277"/>
    <s v="RP-C643"/>
    <s v="15551/26996"/>
    <n v="8"/>
    <n v="4"/>
    <n v="4"/>
    <n v="1"/>
    <n v="0"/>
    <n v="1"/>
    <n v="0"/>
    <s v="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
    <n v="7"/>
    <n v="0.125"/>
    <x v="2"/>
  </r>
  <r>
    <n v="2749"/>
    <x v="2494"/>
    <x v="63"/>
    <x v="1"/>
    <d v="1899-12-30T23:36:00"/>
    <s v="Old Man's Camp, Alaska"/>
    <s v="Alaska International Air"/>
    <s v="Unknown"/>
    <s v="Fairbanks - Bettles"/>
    <x v="1097"/>
    <s v="N102AK"/>
    <n v="4234"/>
    <n v="4"/>
    <n v="0"/>
    <n v="4"/>
    <n v="4"/>
    <n v="0"/>
    <n v="4"/>
    <n v="0"/>
    <s v="While en route, the cargo plane lost a wing and spiraled into the ground. Failure of the right wing in fight. Fatigue fracture. Inadequate maintenance and inspection."/>
    <n v="0"/>
    <n v="1"/>
    <x v="1"/>
  </r>
  <r>
    <n v="2750"/>
    <x v="2495"/>
    <x v="63"/>
    <x v="1"/>
    <d v="1899-12-30T16:45:00"/>
    <s v="Pagosa Springs, Colorado"/>
    <s v="Hlavka Aviation - Air Taxi"/>
    <s v="Unknown"/>
    <s v="Gallup, NM - Rapid City, SD"/>
    <x v="1264"/>
    <s v="N414K"/>
    <s v="Unknown"/>
    <n v="2"/>
    <n v="1"/>
    <n v="1"/>
    <n v="2"/>
    <n v="1"/>
    <n v="1"/>
    <n v="0"/>
    <s v="Pilot refused weather briefing. Flew into blind canyon. Icing conditions. Continued VFR flight into adverse weather conditions."/>
    <n v="0"/>
    <n v="1"/>
    <x v="1"/>
  </r>
  <r>
    <n v="2751"/>
    <x v="2496"/>
    <x v="63"/>
    <x v="1"/>
    <d v="1899-12-30T14:56:00"/>
    <s v="Near Surgut, Russia"/>
    <s v="Aeroflot"/>
    <n v="662"/>
    <s v="_x0009_Khanty - Surgut"/>
    <x v="1265"/>
    <s v="CCCP-70766"/>
    <s v="_x0009_ 1G132-21"/>
    <n v="38"/>
    <n v="32"/>
    <n v="6"/>
    <n v="38"/>
    <n v="32"/>
    <n v="6"/>
    <n v="0"/>
    <s v="Midair collision between a An-2 and a Mil Mi-8T in poor weather."/>
    <n v="0"/>
    <n v="1"/>
    <x v="1"/>
  </r>
  <r>
    <n v="2752"/>
    <x v="2497"/>
    <x v="63"/>
    <x v="1"/>
    <s v="Unknown"/>
    <s v="Manila, Philippines"/>
    <s v="Orient Air System and Integrated Services"/>
    <s v="Unknown"/>
    <s v="Unknown"/>
    <x v="1266"/>
    <s v="RP-C570"/>
    <s v="25452/14007"/>
    <n v="8"/>
    <n v="5"/>
    <n v="3"/>
    <n v="1"/>
    <n v="1"/>
    <n v="0"/>
    <n v="0"/>
    <s v="The No.2 prop was feathered when the engine failed after taking off. The aircraft lost altitude during a 180 degree turn and a forced landing was made in a rice field."/>
    <n v="7"/>
    <n v="0.125"/>
    <x v="2"/>
  </r>
  <r>
    <n v="2753"/>
    <x v="2498"/>
    <x v="63"/>
    <x v="1"/>
    <d v="1899-12-30T07:54:00"/>
    <s v="Near Nairobi, Kenya"/>
    <s v="Lufthansa"/>
    <n v="540"/>
    <s v="Frankfurt - Nairobi - Johannesburg"/>
    <x v="1267"/>
    <s v="D-ABYB"/>
    <s v="19747/29"/>
    <n v="157"/>
    <n v="144"/>
    <n v="13"/>
    <n v="59"/>
    <n v="55"/>
    <n v="4"/>
    <n v="0"/>
    <s v="The aircraft stalled and crashed during takeoff. The wing flaps were not extended. First fatal Boeing 747 accident to occur."/>
    <n v="98"/>
    <n v="0.37579617834394907"/>
    <x v="0"/>
  </r>
  <r>
    <n v="2754"/>
    <x v="2498"/>
    <x v="63"/>
    <x v="1"/>
    <d v="1899-12-30T09:30:00"/>
    <s v="Soddu, Ethiopia"/>
    <s v="Ethiopian Airlines"/>
    <s v="Unknown"/>
    <s v="Soddu - Beica"/>
    <x v="277"/>
    <s v="ET-AAR"/>
    <n v="9465"/>
    <n v="24"/>
    <n v="21"/>
    <n v="3"/>
    <n v="2"/>
    <n v="0"/>
    <n v="2"/>
    <n v="0"/>
    <s v="Stalled  on takoff and crashed."/>
    <n v="22"/>
    <n v="8.3333333333333329E-2"/>
    <x v="2"/>
  </r>
  <r>
    <n v="2755"/>
    <x v="2499"/>
    <x v="63"/>
    <x v="1"/>
    <s v="Unknown"/>
    <s v="Barcelona, Spain"/>
    <s v="Alpa Servicios AÃ©reos"/>
    <s v="Unknown"/>
    <s v="Unknown"/>
    <x v="1268"/>
    <s v="EC-CGG"/>
    <s v="500-0108"/>
    <n v="4"/>
    <n v="0"/>
    <n v="4"/>
    <n v="4"/>
    <n v="0"/>
    <n v="4"/>
    <n v="0"/>
    <s v="Crashed during takeoff."/>
    <n v="0"/>
    <n v="1"/>
    <x v="1"/>
  </r>
  <r>
    <n v="2756"/>
    <x v="2500"/>
    <x v="63"/>
    <x v="1"/>
    <d v="1899-12-30T11:10:00"/>
    <s v="Near Berryville, Virginia"/>
    <s v="Trans World Airlines"/>
    <n v="514"/>
    <s v="Columbus - Washington D.C."/>
    <x v="1269"/>
    <s v="N54328"/>
    <s v="20306/791"/>
    <n v="92"/>
    <n v="85"/>
    <n v="7"/>
    <n v="92"/>
    <n v="85"/>
    <n v="7"/>
    <n v="0"/>
    <s v="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
    <n v="0"/>
    <n v="1"/>
    <x v="1"/>
  </r>
  <r>
    <n v="2757"/>
    <x v="2500"/>
    <x v="63"/>
    <x v="1"/>
    <d v="1899-12-30T19:26:00"/>
    <s v="Bear Mountain,  Thiells, New York"/>
    <s v="Northwest Orient Airlines"/>
    <n v="6231"/>
    <s v="New York City, NY - Buffalo, NY"/>
    <x v="1270"/>
    <s v="N274US"/>
    <n v="20296"/>
    <n v="3"/>
    <n v="0"/>
    <n v="3"/>
    <n v="3"/>
    <n v="0"/>
    <n v="3"/>
    <n v="0"/>
    <s v="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
    <n v="0"/>
    <n v="1"/>
    <x v="1"/>
  </r>
  <r>
    <n v="2758"/>
    <x v="2501"/>
    <x v="63"/>
    <x v="1"/>
    <d v="1899-12-30T04:58:00"/>
    <s v="Irkutsk, Russia"/>
    <s v="Aeroflot"/>
    <s v="Unknown"/>
    <s v="Irkutsk - Kazachinskoye"/>
    <x v="1271"/>
    <s v="49342/12985"/>
    <s v="1G12-26/00347110"/>
    <n v="18"/>
    <n v="11"/>
    <n v="7"/>
    <n v="13"/>
    <n v="11"/>
    <n v="2"/>
    <n v="0"/>
    <s v="The An-2 crashed after colliding with Antonov 12 over Irkutsk airport. The ATC cleared the An-2 for takeoff crossing An-12s flight path. The An-12 landed safely. Eleven passengers and 2 crew killed on the An-2"/>
    <n v="5"/>
    <n v="0.72222222222222221"/>
    <x v="1"/>
  </r>
  <r>
    <n v="2759"/>
    <x v="2501"/>
    <x v="63"/>
    <x v="1"/>
    <d v="1899-12-30T22:15:00"/>
    <s v="Near Maskeliya, Sri Lanka"/>
    <s v="Martinair Holland NV"/>
    <n v="138"/>
    <s v="Surabaya - Jeddah"/>
    <x v="1272"/>
    <s v="PH-MBH"/>
    <s v="45818/242"/>
    <n v="191"/>
    <n v="182"/>
    <n v="9"/>
    <n v="191"/>
    <n v="182"/>
    <n v="9"/>
    <n v="0"/>
    <s v="The aircraft impacted Mount Anjimalai at 4,355 ft. the during approach. The crew descended below a safe altitude due to a position error resulting from misinterpretation of Doppler and weather radar."/>
    <n v="0"/>
    <n v="1"/>
    <x v="1"/>
  </r>
  <r>
    <n v="2760"/>
    <x v="2502"/>
    <x v="63"/>
    <x v="1"/>
    <s v="Unknown"/>
    <s v="Near Old Harbors, Alaska"/>
    <s v="Kodiak Airways"/>
    <s v="Unknown"/>
    <s v="Old Harbor - Kodiac"/>
    <x v="1273"/>
    <s v="N1583V"/>
    <n v="1125"/>
    <n v="5"/>
    <n v="4"/>
    <n v="1"/>
    <n v="5"/>
    <n v="4"/>
    <n v="1"/>
    <n v="0"/>
    <s v="Disappeared en route. Never found."/>
    <n v="0"/>
    <n v="1"/>
    <x v="1"/>
  </r>
  <r>
    <n v="2761"/>
    <x v="2503"/>
    <x v="63"/>
    <x v="1"/>
    <s v="Unknown"/>
    <s v="Near Moc Hoa, South Vietnam"/>
    <s v="Military - Vietnamese Air Force"/>
    <s v="Unknown"/>
    <s v="Unknown"/>
    <x v="1197"/>
    <s v="Unknown"/>
    <s v="Unknown"/>
    <n v="54"/>
    <n v="53"/>
    <n v="1"/>
    <n v="54"/>
    <n v="53"/>
    <n v="1"/>
    <n v="0"/>
    <s v="Shot down by a surface-to-air missile."/>
    <n v="0"/>
    <n v="1"/>
    <x v="1"/>
  </r>
  <r>
    <n v="2762"/>
    <x v="2504"/>
    <x v="63"/>
    <x v="1"/>
    <d v="1899-12-30T11:01:00"/>
    <s v="Bukhara, Uzbekistan"/>
    <s v="Aeroflot"/>
    <n v="124"/>
    <s v="Bukhara - Dushanbe"/>
    <x v="1274"/>
    <s v="CCCP-87630"/>
    <n v="9131119"/>
    <n v="19"/>
    <n v="15"/>
    <n v="4"/>
    <n v="7"/>
    <n v="7"/>
    <n v="0"/>
    <n v="0"/>
    <s v="Overran the runway and hit a dyke while attempting to take off. Elevator lock not removed."/>
    <n v="12"/>
    <n v="0.36842105263157893"/>
    <x v="0"/>
  </r>
  <r>
    <n v="2763"/>
    <x v="2505"/>
    <x v="63"/>
    <x v="1"/>
    <d v="1899-12-30T13:30:00"/>
    <s v="Maturin, Venezuela"/>
    <s v="Aerovias Venezolanas SA (Venezuela)"/>
    <n v="358"/>
    <s v="Ciudad Bolivar - Maturin - Caracas"/>
    <x v="1020"/>
    <s v="YV-C-AVM"/>
    <s v="47056/89"/>
    <n v="77"/>
    <n v="71"/>
    <n v="6"/>
    <n v="77"/>
    <n v="71"/>
    <n v="6"/>
    <n v="0"/>
    <s v="Four minutes after takeoff from runway 05 at Maturin Airport, while climbing , the plane struck the slope of Mt Zamuro,  20 km from the airport."/>
    <n v="0"/>
    <n v="1"/>
    <x v="1"/>
  </r>
  <r>
    <n v="2764"/>
    <x v="2506"/>
    <x v="63"/>
    <x v="1"/>
    <s v="Unknown"/>
    <s v="Near Sibiu, Romania"/>
    <s v="Tarom"/>
    <s v="Unknown"/>
    <s v="Oradea - Sibiu - Bucharest"/>
    <x v="1275"/>
    <s v="YR-AMD"/>
    <n v="27307606"/>
    <n v="33"/>
    <n v="28"/>
    <n v="5"/>
    <n v="33"/>
    <n v="28"/>
    <n v="5"/>
    <n v="0"/>
    <s v="Crashed into Lotru mountains, 22 km south of Sibiu after drifting 20 km off course by winds and turbulence. Wrong decisions on part of the flying crew who adopted a wrong approach configuration, causing the aircraft to drift."/>
    <n v="0"/>
    <n v="1"/>
    <x v="1"/>
  </r>
  <r>
    <n v="2765"/>
    <x v="2506"/>
    <x v="63"/>
    <x v="1"/>
    <s v="Unknown"/>
    <s v="Tikal, Guatemala"/>
    <s v="Edwin Ortiz"/>
    <s v="Unknown"/>
    <s v="Tikal - Guatemala City"/>
    <x v="345"/>
    <s v="TG-HTM"/>
    <n v="582"/>
    <n v="24"/>
    <n v="21"/>
    <n v="3"/>
    <n v="24"/>
    <n v="213"/>
    <n v="3"/>
    <n v="0"/>
    <s v="Few minutes after takeoff from Tikal Airport, while climbing, the airplane went out of control and crashed on the slope of a mountain located few km from the airport. Possible in-flight fire."/>
    <n v="0"/>
    <n v="1"/>
    <x v="1"/>
  </r>
  <r>
    <n v="2766"/>
    <x v="2507"/>
    <x v="64"/>
    <x v="1"/>
    <s v="Unknown"/>
    <s v="Near Nha Trang, Vietnam"/>
    <s v="Air America"/>
    <s v="Unknown"/>
    <s v="Da Lat - Nha Trang"/>
    <x v="1062"/>
    <s v="ST-1"/>
    <n v="20074"/>
    <n v="9"/>
    <n v="6"/>
    <n v="3"/>
    <n v="9"/>
    <n v="6"/>
    <n v="3"/>
    <n v="0"/>
    <s v="Shot down with a SAM missile."/>
    <n v="0"/>
    <n v="1"/>
    <x v="1"/>
  </r>
  <r>
    <n v="2767"/>
    <x v="2508"/>
    <x v="64"/>
    <x v="1"/>
    <d v="1899-12-30T08:30:00"/>
    <s v="Near Doncello, Colombia"/>
    <s v="SATENA"/>
    <s v="Unknown"/>
    <s v="San Vicente del Caguan - Florencia"/>
    <x v="277"/>
    <s v="FAC-688"/>
    <s v="Unknown"/>
    <n v="21"/>
    <n v="17"/>
    <n v="4"/>
    <n v="21"/>
    <n v="17"/>
    <n v="4"/>
    <n v="0"/>
    <s v="Crashed and burned in mountains while en route. Improper flight planning by proceeding in mountainous terrain during adverse weather conditions which had reduced visibility along the route."/>
    <n v="0"/>
    <n v="1"/>
    <x v="1"/>
  </r>
  <r>
    <n v="2768"/>
    <x v="2509"/>
    <x v="64"/>
    <x v="1"/>
    <d v="1899-12-30T16:07:00"/>
    <s v="Whittier, California"/>
    <s v="Golden West Airlines / Private"/>
    <n v="261"/>
    <s v="Ontario - Los Angeles"/>
    <x v="1276"/>
    <s v="N6383"/>
    <n v="83"/>
    <n v="14"/>
    <n v="10"/>
    <n v="4"/>
    <n v="14"/>
    <n v="10"/>
    <n v="4"/>
    <n v="0"/>
    <s v="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
    <n v="0"/>
    <n v="1"/>
    <x v="1"/>
  </r>
  <r>
    <n v="2769"/>
    <x v="2510"/>
    <x v="64"/>
    <x v="1"/>
    <d v="1899-12-30T17:21:00"/>
    <s v="Budapest, Hunary"/>
    <s v="Malev Hungarian Airlines"/>
    <s v="Unknown"/>
    <s v="Berlin - Budapest"/>
    <x v="925"/>
    <s v="HA-MOH"/>
    <n v="184007104"/>
    <n v="9"/>
    <n v="0"/>
    <n v="9"/>
    <n v="9"/>
    <n v="0"/>
    <n v="9"/>
    <n v="0"/>
    <s v="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
    <n v="0"/>
    <n v="1"/>
    <x v="1"/>
  </r>
  <r>
    <n v="2770"/>
    <x v="2511"/>
    <x v="64"/>
    <x v="1"/>
    <s v="Unknown"/>
    <s v="Xam Neua, Laos"/>
    <s v="Aeroflot"/>
    <s v="Unknown"/>
    <s v="Vientiane - Sam Neua"/>
    <x v="942"/>
    <s v=" CCCP-70417"/>
    <s v="1G141-71"/>
    <n v="16"/>
    <n v="14"/>
    <n v="2"/>
    <n v="16"/>
    <n v="14"/>
    <n v="2"/>
    <n v="0"/>
    <s v="En route from Vientiane to Sam Neua, the crew encountered poor weather conditions when the airplane struck the slope of a mountain located in the region of Sam Neua. Flying VFR in IFR weather."/>
    <n v="0"/>
    <n v="1"/>
    <x v="1"/>
  </r>
  <r>
    <n v="2771"/>
    <x v="2512"/>
    <x v="64"/>
    <x v="1"/>
    <d v="1899-12-30T18:50:00"/>
    <s v="Istanbul, Turkey"/>
    <s v="Turkish Airlines (THY)"/>
    <s v="Unknown"/>
    <s v="Izmir - Istanbul"/>
    <x v="1221"/>
    <s v="TC-JAP"/>
    <n v="11058"/>
    <n v="42"/>
    <n v="38"/>
    <n v="4"/>
    <n v="42"/>
    <n v="38"/>
    <n v="4"/>
    <n v="0"/>
    <s v="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
    <n v="0"/>
    <n v="1"/>
    <x v="1"/>
  </r>
  <r>
    <n v="2772"/>
    <x v="2512"/>
    <x v="64"/>
    <x v="1"/>
    <s v="Unknown"/>
    <s v="Santo Domingo, Dominican Republic"/>
    <s v="Linea AÃ©rea Nacional"/>
    <s v="Unknown"/>
    <s v="Santo Domingo - Port-au-Prince"/>
    <x v="1277"/>
    <s v="HI-222"/>
    <n v="2189"/>
    <n v="30"/>
    <n v="27"/>
    <n v="3"/>
    <n v="2"/>
    <n v="1"/>
    <n v="1"/>
    <n v="0"/>
    <s v="Crashed during take off. Failure of the right engine."/>
    <n v="28"/>
    <n v="6.6666666666666666E-2"/>
    <x v="2"/>
  </r>
  <r>
    <n v="2773"/>
    <x v="2513"/>
    <x v="64"/>
    <x v="1"/>
    <d v="1899-12-30T08:58:00"/>
    <s v="Houston, Texas"/>
    <s v="Horizon Properties"/>
    <s v="Unknown"/>
    <s v="Lawton, OK - Huntsville, TX"/>
    <x v="507"/>
    <s v="N15HC"/>
    <n v="43080"/>
    <n v="16"/>
    <n v="14"/>
    <n v="2"/>
    <n v="5"/>
    <n v="3"/>
    <n v="2"/>
    <n v="0"/>
    <s v="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
    <n v="11"/>
    <n v="0.3125"/>
    <x v="2"/>
  </r>
  <r>
    <n v="2774"/>
    <x v="2514"/>
    <x v="64"/>
    <x v="1"/>
    <d v="1899-12-30T23:10:00"/>
    <s v="Manila, Philippines"/>
    <s v="Philippine Air Lines"/>
    <s v="Unknown"/>
    <s v="Manila - Iligan"/>
    <x v="1278"/>
    <s v="RP-C1028"/>
    <n v="1590"/>
    <n v="33"/>
    <n v="29"/>
    <n v="4"/>
    <n v="33"/>
    <n v="29"/>
    <n v="4"/>
    <n v="0"/>
    <s v="The No. 2 engine caught fire shortly after takeoff.  The aircraft crashed into a rice field 3 miles short of the runway while making an emergency approach back to the airport."/>
    <n v="0"/>
    <n v="1"/>
    <x v="1"/>
  </r>
  <r>
    <n v="2775"/>
    <x v="2515"/>
    <x v="64"/>
    <x v="1"/>
    <d v="1899-12-30T17:30:00"/>
    <s v="Souda, Crete"/>
    <s v="Military - Deutsche Luftwaffe"/>
    <s v="Unknown"/>
    <s v="Hohn - Chania"/>
    <x v="1279"/>
    <n v="5063"/>
    <s v="D-85"/>
    <n v="40"/>
    <n v="35"/>
    <n v="5"/>
    <n v="40"/>
    <n v="35"/>
    <n v="5"/>
    <n v="0"/>
    <s v="Slammed into a mountain at an altitude of 5,000 ft. during an approach to Canea in a snow shower."/>
    <n v="0"/>
    <n v="1"/>
    <x v="1"/>
  </r>
  <r>
    <n v="2776"/>
    <x v="2516"/>
    <x v="64"/>
    <x v="1"/>
    <d v="1899-12-30T19:00:00"/>
    <s v="Fairbanks, Alaska"/>
    <s v="Pacific Alaska Airlines"/>
    <s v="Unknown"/>
    <s v="Fairbanks - Happy Valley Camp"/>
    <x v="1280"/>
    <s v="N77DG"/>
    <s v="43520/222"/>
    <n v="3"/>
    <n v="0"/>
    <n v="3"/>
    <n v="3"/>
    <n v="0"/>
    <n v="3"/>
    <n v="0"/>
    <s v="The cargo plane lost three of four engines on takeoff. The crew tried to return to the airport but crashed short of the runway. Fuel contamination. Water in fuel."/>
    <n v="0"/>
    <n v="1"/>
    <x v="1"/>
  </r>
  <r>
    <n v="2777"/>
    <x v="2517"/>
    <x v="64"/>
    <x v="1"/>
    <d v="1899-12-30T22:12:00"/>
    <s v="Medellin, Colombia"/>
    <s v="Aerocondor"/>
    <s v="Unknown"/>
    <s v="Medellin, Colombia - Miami, Florida"/>
    <x v="1281"/>
    <s v="HK-1972"/>
    <s v="Unknown"/>
    <n v="5"/>
    <n v="0"/>
    <n v="5"/>
    <n v="5"/>
    <n v="0"/>
    <n v="5"/>
    <n v="0"/>
    <s v="Minutes after taking off in a rainstorm the right wing struck a tree. The crew lost control of the plane and crashed."/>
    <n v="0"/>
    <n v="1"/>
    <x v="1"/>
  </r>
  <r>
    <n v="2778"/>
    <x v="2518"/>
    <x v="64"/>
    <x v="1"/>
    <d v="1899-12-30T06:33:00"/>
    <s v="Near Sao Paulo, Brazil"/>
    <s v="VASP"/>
    <s v="Unknown"/>
    <s v="Sao Paulo - Bauru"/>
    <x v="1282"/>
    <s v="PP-SBE"/>
    <n v="110021"/>
    <n v="15"/>
    <n v="13"/>
    <n v="2"/>
    <n v="15"/>
    <n v="13"/>
    <n v="2"/>
    <n v="0"/>
    <s v="The plane crashed into houses after taking off and burst into flames. The plane had engine trouble, attempted to return to the airport when it crashed into the houses."/>
    <n v="0"/>
    <n v="1"/>
    <x v="1"/>
  </r>
  <r>
    <n v="2779"/>
    <x v="2519"/>
    <x v="64"/>
    <x v="1"/>
    <d v="1899-12-30T18:30:00"/>
    <s v="Pleiku, South Vietnam"/>
    <s v="Air Vietnam (South Vietnam)"/>
    <s v="Unknown"/>
    <s v="Unknown"/>
    <x v="487"/>
    <s v="XV-NUJ"/>
    <n v="10701"/>
    <n v="26"/>
    <n v="20"/>
    <n v="6"/>
    <n v="26"/>
    <n v="20"/>
    <n v="6"/>
    <n v="0"/>
    <s v="Shot down by a hand-held surface-to-air missile by North Vietnamese forces 25 miles SW of Pleiku."/>
    <n v="0"/>
    <n v="1"/>
    <x v="1"/>
  </r>
  <r>
    <n v="2780"/>
    <x v="2520"/>
    <x v="64"/>
    <x v="1"/>
    <d v="1899-12-30T13:40:00"/>
    <s v="Near Barito, Argentina"/>
    <s v="Military - Argentine Air Force"/>
    <s v="Unknown"/>
    <s v="El Palomar AB - San Carlos de Bariloche"/>
    <x v="1139"/>
    <s v="TC-72"/>
    <n v="10404"/>
    <n v="55"/>
    <n v="50"/>
    <n v="5"/>
    <n v="55"/>
    <n v="50"/>
    <n v="5"/>
    <n v="0"/>
    <s v="The aircraft struck a mountain while preparing for an ILS approach in poor weather. Crew error. Crew descended below the minimum safe altitude before knowing their position."/>
    <n v="0"/>
    <n v="1"/>
    <x v="1"/>
  </r>
  <r>
    <n v="2781"/>
    <x v="2521"/>
    <x v="64"/>
    <x v="1"/>
    <s v="Unknown"/>
    <s v="Singa, Sudan"/>
    <s v="Sudan Airways"/>
    <s v="Unknown"/>
    <s v="Unknown"/>
    <x v="1034"/>
    <s v="ST-ADB"/>
    <n v="85"/>
    <n v="6"/>
    <n v="4"/>
    <n v="2"/>
    <n v="5"/>
    <n v="3"/>
    <n v="2"/>
    <n v="0"/>
    <s v="Unknown circumstances."/>
    <n v="1"/>
    <n v="0.83333333333333337"/>
    <x v="1"/>
  </r>
  <r>
    <n v="2782"/>
    <x v="2521"/>
    <x v="64"/>
    <x v="1"/>
    <d v="1899-12-30T10:04:00"/>
    <s v="Near Terney, Russia"/>
    <s v="Aeroflot"/>
    <s v="Unknown"/>
    <s v="Terney - Amgu"/>
    <x v="997"/>
    <s v="CCCP-05655"/>
    <s v="Unknown"/>
    <n v="12"/>
    <n v="10"/>
    <n v="2"/>
    <n v="7"/>
    <n v="6"/>
    <n v="1"/>
    <n v="0"/>
    <s v="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
    <n v="5"/>
    <n v="0.58333333333333337"/>
    <x v="0"/>
  </r>
  <r>
    <n v="2783"/>
    <x v="2522"/>
    <x v="64"/>
    <x v="1"/>
    <d v="1899-12-30T23:15:00"/>
    <s v="Near Quilcene, Washington"/>
    <s v="Military - U.S. Air Force"/>
    <s v="Unknown"/>
    <s v="Clark AFB - Japan"/>
    <x v="1283"/>
    <s v="64-0641"/>
    <n v="6054"/>
    <n v="16"/>
    <n v="12"/>
    <n v="4"/>
    <n v="16"/>
    <n v="12"/>
    <n v="4"/>
    <n v="0"/>
    <s v="The aircraft struck a ridge of  Mt. Constance in Olympic National Park. Faulty clearance by the ATC after misidentifying the C-141 as another aircraft."/>
    <n v="0"/>
    <n v="1"/>
    <x v="1"/>
  </r>
  <r>
    <n v="2784"/>
    <x v="2523"/>
    <x v="64"/>
    <x v="1"/>
    <d v="1899-12-30T16:30:00"/>
    <s v="Saigon, South Vietnam"/>
    <s v="Military - U.S. Air Force"/>
    <s v="Unknown"/>
    <s v="Saigon - Clark - Los Angeles"/>
    <x v="1284"/>
    <s v="68-218"/>
    <n v="21"/>
    <n v="330"/>
    <n v="314"/>
    <n v="16"/>
    <n v="155"/>
    <n v="150"/>
    <n v="5"/>
    <n v="0"/>
    <s v="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
    <n v="175"/>
    <n v="0.46969696969696972"/>
    <x v="0"/>
  </r>
  <r>
    <n v="2785"/>
    <x v="2524"/>
    <x v="64"/>
    <x v="1"/>
    <d v="1899-12-30T21:15:00"/>
    <s v="Near Sakon Nakhon, Thailand"/>
    <s v="Military - U.S. Air Force"/>
    <s v="Unknown"/>
    <s v="Nakhom Phanom AB - Utapao AB"/>
    <x v="1285"/>
    <s v="68-10933"/>
    <s v="Unknown"/>
    <n v="23"/>
    <n v="19"/>
    <n v="4"/>
    <n v="23"/>
    <n v="19"/>
    <n v="4"/>
    <n v="0"/>
    <s v="The copter was observed in an uncontrollable descent to earth in an inverted attitude after which it crashed and burned. Cracking of a rotor spindle assembly  which led to separation of the main rotor."/>
    <n v="0"/>
    <n v="1"/>
    <x v="1"/>
  </r>
  <r>
    <n v="2786"/>
    <x v="2525"/>
    <x v="64"/>
    <x v="1"/>
    <s v="Unknown"/>
    <s v="Manila, Philippines"/>
    <s v="Philippine Air Lines"/>
    <s v="Unknown"/>
    <s v="Legaspi - Manilla"/>
    <x v="1286"/>
    <s v="RP-C1184"/>
    <n v="190"/>
    <n v="64"/>
    <n v="59"/>
    <n v="5"/>
    <n v="1"/>
    <n v="1"/>
    <n v="0"/>
    <n v="0"/>
    <s v="A bomb exploded in the right rear lavatory causing a hole in the fuselage. The plane landed safely."/>
    <n v="63"/>
    <n v="1.5625E-2"/>
    <x v="2"/>
  </r>
  <r>
    <n v="2787"/>
    <x v="2526"/>
    <x v="64"/>
    <x v="1"/>
    <s v="Unknown"/>
    <s v="Pedro Alfonso, Brazil"/>
    <s v="Varig"/>
    <s v="Unknown"/>
    <s v="Sao Paulo - Porto Nacional - Pedro Afonso - BelÃ©m"/>
    <x v="1287"/>
    <s v="PP-VDN"/>
    <n v="1625"/>
    <n v="15"/>
    <n v="11"/>
    <n v="4"/>
    <n v="1"/>
    <n v="0"/>
    <n v="1"/>
    <n v="3"/>
    <s v="The aircraft landed with excessive speed and touched down on the last 300 meters of the runway, overran the runway, crossed a street and crashed into a house."/>
    <n v="14"/>
    <n v="6.6666666666666666E-2"/>
    <x v="2"/>
  </r>
  <r>
    <n v="2788"/>
    <x v="2527"/>
    <x v="64"/>
    <x v="1"/>
    <d v="1899-12-30T16:05:00"/>
    <s v="JFK Airport, New York, New York"/>
    <s v="Eastern Air Lines"/>
    <n v="66"/>
    <s v="New Orleans - New York City"/>
    <x v="1288"/>
    <s v="N8845E"/>
    <s v="20443/837"/>
    <n v="124"/>
    <n v="116"/>
    <n v="8"/>
    <n v="113"/>
    <n v="107"/>
    <n v="6"/>
    <n v="0"/>
    <s v="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
    <n v="11"/>
    <n v="0.91129032258064513"/>
    <x v="1"/>
  </r>
  <r>
    <n v="2789"/>
    <x v="2528"/>
    <x v="64"/>
    <x v="1"/>
    <d v="1899-12-30T22:28:00"/>
    <s v="Toledo, Ohio"/>
    <s v="Hamilton Aviation"/>
    <s v="Unknown"/>
    <s v="Detroit, MI - Peducah, KY"/>
    <x v="1245"/>
    <s v="N791A"/>
    <s v="Unknown"/>
    <n v="2"/>
    <n v="1"/>
    <n v="1"/>
    <n v="2"/>
    <n v="1"/>
    <n v="1"/>
    <n v="0"/>
    <s v="Crashed in an emergency landing. Fatigue fracture of the cylinder head. Standpipe cutoff flush with bottom of oil tank. Improper maintenance."/>
    <n v="0"/>
    <n v="1"/>
    <x v="1"/>
  </r>
  <r>
    <n v="2790"/>
    <x v="2529"/>
    <x v="64"/>
    <x v="1"/>
    <s v="Unknown"/>
    <s v="Bogota, Colombia"/>
    <s v="Aerovias Condor"/>
    <s v="Unknown"/>
    <s v="Bogota  - Barranquilla"/>
    <x v="1289"/>
    <s v="HK-1976"/>
    <n v="1087"/>
    <n v="4"/>
    <n v="0"/>
    <n v="4"/>
    <n v="2"/>
    <n v="0"/>
    <n v="2"/>
    <n v="0"/>
    <s v="The cargo plane barely took off when it settled back on the runway and crashed into a DC-6. Both planes destroyed."/>
    <n v="2"/>
    <n v="0.5"/>
    <x v="0"/>
  </r>
  <r>
    <n v="2791"/>
    <x v="2530"/>
    <x v="64"/>
    <x v="1"/>
    <d v="1899-12-30T12:34:00"/>
    <s v="Near Batumi, Georgia, USSR"/>
    <s v="Aeroflot"/>
    <s v="E-15"/>
    <s v="Yerevan - Batumi"/>
    <x v="1146"/>
    <s v="CCCP-87475"/>
    <n v="9442037"/>
    <n v="40"/>
    <n v="35"/>
    <n v="5"/>
    <n v="40"/>
    <n v="35"/>
    <n v="5"/>
    <n v="0"/>
    <s v="The aircraft struck a mountain after an attempted go-around. Deviation from the standard trajectory for a missed approach. Misinformation supplied to crew."/>
    <n v="0"/>
    <n v="1"/>
    <x v="1"/>
  </r>
  <r>
    <n v="2792"/>
    <x v="2531"/>
    <x v="64"/>
    <x v="1"/>
    <s v="Unknown"/>
    <s v="Taipei, Taiwan"/>
    <s v="Far Eastern Air Transport"/>
    <n v="134"/>
    <s v="Hualien - Taipei"/>
    <x v="1290"/>
    <s v="B-2029"/>
    <n v="439"/>
    <n v="75"/>
    <n v="70"/>
    <n v="5"/>
    <n v="27"/>
    <n v="27"/>
    <n v="0"/>
    <n v="0"/>
    <s v="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
    <n v="48"/>
    <n v="0.36"/>
    <x v="0"/>
  </r>
  <r>
    <n v="2793"/>
    <x v="2532"/>
    <x v="64"/>
    <x v="1"/>
    <d v="1899-12-30T04:30:00"/>
    <s v="Near Immouzer, Morocco"/>
    <s v="Alia Royal Jordanian Airlines"/>
    <s v="Unknown"/>
    <s v="Paris - Agadir"/>
    <x v="1075"/>
    <s v="JY-AEE"/>
    <s v="18767/376"/>
    <n v="188"/>
    <n v="181"/>
    <n v="7"/>
    <n v="188"/>
    <n v="181"/>
    <n v="7"/>
    <n v="0"/>
    <s v="The aircraft was on approach when the right wing tip and No. 4 engine struck a mountain peak at 2,400 feet.  Part of the wing separated and the plane crashed into a ravine. Crew error."/>
    <n v="0"/>
    <n v="1"/>
    <x v="1"/>
  </r>
  <r>
    <n v="2794"/>
    <x v="2532"/>
    <x v="64"/>
    <x v="1"/>
    <d v="1899-12-30T19:30:00"/>
    <s v="Off Amapala, Honduras"/>
    <s v="Military - Nicaraguan Air Force"/>
    <s v="Unknown"/>
    <s v="Veracruz - Managua"/>
    <x v="514"/>
    <n v="412"/>
    <s v="Unknown"/>
    <n v="20"/>
    <n v="17"/>
    <n v="3"/>
    <n v="20"/>
    <n v="17"/>
    <n v="3"/>
    <n v="0"/>
    <s v="The plane was unable to land at Ilopango, El Salvador to refuel because of adverse weather conditions. The plane most likely ran out of fuel and crashed into the Pacific Ocean."/>
    <n v="0"/>
    <n v="1"/>
    <x v="1"/>
  </r>
  <r>
    <n v="2795"/>
    <x v="2533"/>
    <x v="64"/>
    <x v="1"/>
    <d v="1899-12-30T16:11:00"/>
    <s v="Denver, Colorado"/>
    <s v="Continental Airlines"/>
    <n v="426"/>
    <s v="Denver - Wichita"/>
    <x v="1227"/>
    <s v="N88777"/>
    <s v="19798/608"/>
    <n v="131"/>
    <n v="124"/>
    <n v="7"/>
    <n v="0"/>
    <n v="0"/>
    <n v="0"/>
    <n v="0"/>
    <s v="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
    <n v="131"/>
    <n v="0"/>
    <x v="2"/>
  </r>
  <r>
    <n v="2796"/>
    <x v="2534"/>
    <x v="64"/>
    <x v="1"/>
    <d v="1899-12-30T10:27:00"/>
    <s v="Bagdarin, Russia"/>
    <s v="Aeroflot"/>
    <s v="Unknown"/>
    <s v="Chita - Bagdarin"/>
    <x v="1291"/>
    <s v="_x0009_ CCCP-52056"/>
    <n v="7342804"/>
    <n v="11"/>
    <n v="6"/>
    <n v="5"/>
    <n v="11"/>
    <n v="6"/>
    <n v="5"/>
    <n v="0"/>
    <s v="The crew deviated from the approach pattern and collided with terrain obscured by clouds 28 km from Bagdarin."/>
    <n v="0"/>
    <n v="1"/>
    <x v="1"/>
  </r>
  <r>
    <n v="2797"/>
    <x v="2535"/>
    <x v="64"/>
    <x v="1"/>
    <d v="1899-12-30T22:01:00"/>
    <s v="Krasnovodsk, USSR"/>
    <s v="Aeroflot"/>
    <s v="A-053"/>
    <s v="Unknown"/>
    <x v="1146"/>
    <s v="CCCP-87323"/>
    <n v="9330230"/>
    <n v="38"/>
    <n v="34"/>
    <n v="4"/>
    <n v="23"/>
    <n v="21"/>
    <n v="2"/>
    <n v="0"/>
    <s v="The plane descended below the glidepath and crashed. Windshear."/>
    <n v="15"/>
    <n v="0.60526315789473684"/>
    <x v="0"/>
  </r>
  <r>
    <n v="2798"/>
    <x v="2536"/>
    <x v="64"/>
    <x v="1"/>
    <d v="1899-12-30T01:15:00"/>
    <s v="Near Damascus, Syria"/>
    <s v="Ceskoslovenske Aerolinie"/>
    <n v="542"/>
    <s v="Prague, Czechoslovakia - Damascus, Syria"/>
    <x v="1205"/>
    <s v="OK-DBF"/>
    <n v="31502"/>
    <n v="128"/>
    <n v="117"/>
    <n v="11"/>
    <n v="126"/>
    <n v="115"/>
    <n v="11"/>
    <n v="0"/>
    <s v="The airliner crashed into a sandy knoll, 10 miles NE of Damascus during an approach to Damascus International Airport. Failure of the crew to maintain the minimum flight altitude."/>
    <n v="2"/>
    <n v="0.984375"/>
    <x v="1"/>
  </r>
  <r>
    <n v="2799"/>
    <x v="2537"/>
    <x v="64"/>
    <x v="1"/>
    <d v="1899-12-30T13:57:00"/>
    <s v="Near Gambell, Alaska"/>
    <s v="Wien Air Alaska"/>
    <n v="99"/>
    <s v="Nome - Gambell"/>
    <x v="1096"/>
    <s v="N4904"/>
    <n v="21"/>
    <n v="32"/>
    <n v="28"/>
    <n v="4"/>
    <n v="10"/>
    <n v="7"/>
    <n v="3"/>
    <n v="0"/>
    <s v="After several landing attempts, the aircraft crashed into Sevuokuk Mountain, in fog, while attempting to land at Gambell Airport. The flightcrew's failure to adhere to prescribed company instrument approach procedures while attempting to land in adverse weather conditions."/>
    <n v="22"/>
    <n v="0.3125"/>
    <x v="2"/>
  </r>
  <r>
    <n v="2800"/>
    <x v="2538"/>
    <x v="64"/>
    <x v="1"/>
    <d v="1899-12-30T08:00:00"/>
    <s v="Leipzig-Halle, East Germany"/>
    <s v="Interflug"/>
    <s v="Unknown"/>
    <s v="Stuttgart - Leipzig"/>
    <x v="1292"/>
    <s v="DM-SCD"/>
    <n v="9350702"/>
    <n v="34"/>
    <n v="28"/>
    <n v="6"/>
    <n v="27"/>
    <n v="24"/>
    <n v="3"/>
    <n v="0"/>
    <s v="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
    <n v="7"/>
    <n v="0.79411764705882348"/>
    <x v="1"/>
  </r>
  <r>
    <n v="2801"/>
    <x v="2539"/>
    <x v="64"/>
    <x v="1"/>
    <d v="1899-12-30T10:20:00"/>
    <s v="Near Bahar Dar, Ethiopia"/>
    <s v="Ethiopian Airlines"/>
    <s v="Unknown"/>
    <s v="Bahar Dar - Debra Marcos"/>
    <x v="383"/>
    <s v="ET-ABX"/>
    <n v="4292"/>
    <n v="9"/>
    <n v="6"/>
    <n v="3"/>
    <n v="1"/>
    <n v="1"/>
    <n v="0"/>
    <n v="0"/>
    <s v="The plane was flying at FL 115 under VFR in scattered clouds. When breaking through a cloud bank a mountain was seen up ahead. A steep climbing turn was initiated, but the tail struck trees, control was lost and the aircraft crashed inverted."/>
    <n v="8"/>
    <n v="0.1111111111111111"/>
    <x v="2"/>
  </r>
  <r>
    <n v="2802"/>
    <x v="2540"/>
    <x v="64"/>
    <x v="1"/>
    <s v="Unknown"/>
    <s v="Near Palembang, Indonesia"/>
    <s v="Garuda Indonesia Airlines"/>
    <n v="150"/>
    <s v="Jakarta - Palembang"/>
    <x v="1221"/>
    <s v="PK-GVC"/>
    <n v="11039"/>
    <n v="61"/>
    <n v="57"/>
    <n v="4"/>
    <n v="25"/>
    <n v="21"/>
    <n v="4"/>
    <n v="1"/>
    <s v="Landed short and struck trees while on approach in poor weather. VFR flight in weather conditions below minima."/>
    <n v="36"/>
    <n v="0.4098360655737705"/>
    <x v="0"/>
  </r>
  <r>
    <n v="2803"/>
    <x v="2541"/>
    <x v="64"/>
    <x v="1"/>
    <d v="1899-12-30T02:40:00"/>
    <s v="Off Beirut, Lebanon"/>
    <s v="Malev Hungarian Airlines"/>
    <s v="Unknown"/>
    <s v="Budapest - Beirut, Lebanon"/>
    <x v="1293"/>
    <s v="HA-LCI"/>
    <n v="53"/>
    <n v="60"/>
    <n v="50"/>
    <n v="10"/>
    <n v="60"/>
    <n v="50"/>
    <n v="10"/>
    <n v="0"/>
    <s v="The aircraft crashed into the Mediterranean sea while on approach. The ILS localizer was down at the time but a visible approach was possible. Cause unknown."/>
    <n v="0"/>
    <n v="1"/>
    <x v="1"/>
  </r>
  <r>
    <n v="2804"/>
    <x v="2541"/>
    <x v="64"/>
    <x v="1"/>
    <s v="Unknown"/>
    <s v="Barranquilla, Colombia"/>
    <s v="AVIANCA"/>
    <s v="Unknown"/>
    <s v="Bogota - Barranquilla"/>
    <x v="1294"/>
    <s v="HK-1272"/>
    <s v="19525/439"/>
    <n v="4"/>
    <n v="0"/>
    <n v="4"/>
    <n v="4"/>
    <n v="0"/>
    <n v="4"/>
    <n v="0"/>
    <s v="No data available"/>
    <n v="0"/>
    <n v="1"/>
    <x v="1"/>
  </r>
  <r>
    <n v="2805"/>
    <x v="2542"/>
    <x v="64"/>
    <x v="1"/>
    <d v="1899-12-30T16:53:00"/>
    <s v="Novgorod, Russia"/>
    <s v="Aeroflot"/>
    <s v="098L"/>
    <s v="_x0009_Syktyvkar - Vologda - Novgorod - Riga"/>
    <x v="1146"/>
    <s v="CCCP-87458"/>
    <n v="9431736"/>
    <n v="6"/>
    <n v="2"/>
    <n v="4"/>
    <n v="6"/>
    <n v="2"/>
    <n v="4"/>
    <n v="5"/>
    <s v="The crew attempted a straight-in approach in fog but the plane went off course after passing the Outer Marker.  The crew descended until the undercarriage and wing contacted a building. Crew error. Attempted to land below minimumns."/>
    <n v="0"/>
    <n v="1"/>
    <x v="1"/>
  </r>
  <r>
    <n v="2806"/>
    <x v="2543"/>
    <x v="64"/>
    <x v="1"/>
    <d v="1899-12-30T19:28:00"/>
    <s v="Cairns Airport, Queensland, Australia"/>
    <s v="Connair"/>
    <s v="Unknown"/>
    <s v="Mount Isa - Cairns"/>
    <x v="1295"/>
    <s v="VH-CLS"/>
    <n v="14067"/>
    <n v="11"/>
    <n v="8"/>
    <n v="3"/>
    <n v="11"/>
    <n v="8"/>
    <n v="3"/>
    <n v="0"/>
    <s v="Improper approach during a storm. Crew error. Misalignment of the aircraft with the runway and abandonment of the landing approach. The pilot-in-command did not immediately initiate a climb to a safe altitude for reasons unknown."/>
    <n v="0"/>
    <n v="1"/>
    <x v="1"/>
  </r>
  <r>
    <n v="2807"/>
    <x v="2544"/>
    <x v="64"/>
    <x v="1"/>
    <d v="1899-12-30T06:45:00"/>
    <s v="Tomonoco, Bolivia"/>
    <s v="TAM (Bolivia)"/>
    <s v="Unknown"/>
    <s v="Tomonoco - La Paz"/>
    <x v="1296"/>
    <s v="TAM-44"/>
    <n v="328"/>
    <n v="67"/>
    <n v="63"/>
    <n v="4"/>
    <n v="67"/>
    <n v="63"/>
    <n v="4"/>
    <n v="0"/>
    <s v="The aircraft took off reaching a altitude of only 300 feet which was insufficient to clear the terrain surrounding the airport. Cause not determined. Overloaded."/>
    <n v="0"/>
    <n v="1"/>
    <x v="1"/>
  </r>
  <r>
    <n v="2808"/>
    <x v="2545"/>
    <x v="64"/>
    <x v="1"/>
    <d v="1899-12-30T09:20:00"/>
    <s v="Near Prague, Czechoslovakia"/>
    <s v="Inex Adria Aviopromet"/>
    <s v="Unknown"/>
    <s v="Tivat - Praha"/>
    <x v="1104"/>
    <s v="YU-AJO"/>
    <s v="47457/620"/>
    <n v="120"/>
    <n v="115"/>
    <n v="5"/>
    <n v="75"/>
    <n v="71"/>
    <n v="4"/>
    <n v="0"/>
    <s v="The aircraft landed short and hit high ground during an ILS approach in fog."/>
    <n v="45"/>
    <n v="0.625"/>
    <x v="0"/>
  </r>
  <r>
    <n v="2809"/>
    <x v="2546"/>
    <x v="64"/>
    <x v="1"/>
    <d v="1899-12-30T10:02:00"/>
    <s v="Gulf of Mexico"/>
    <s v="Petroleum Helicopter"/>
    <s v="Unknown"/>
    <s v="Unknown"/>
    <x v="1297"/>
    <s v="N90057"/>
    <s v="Unknown"/>
    <n v="9"/>
    <n v="8"/>
    <n v="1"/>
    <n v="9"/>
    <n v="8"/>
    <n v="1"/>
    <n v="0"/>
    <s v="The helicopter crashed after the main rotor failed. No occupants ever found."/>
    <n v="0"/>
    <n v="1"/>
    <x v="1"/>
  </r>
  <r>
    <n v="2810"/>
    <x v="2547"/>
    <x v="64"/>
    <x v="1"/>
    <d v="1899-12-30T22:14:00"/>
    <s v="Near Sukhumi, Georgia, USSR"/>
    <s v="Aeroflot"/>
    <n v="6274"/>
    <s v="Tbilisi - Sukhumi"/>
    <x v="968"/>
    <s v="CCCP-46467"/>
    <n v="27307905"/>
    <n v="38"/>
    <n v="33"/>
    <n v="5"/>
    <n v="38"/>
    <n v="33"/>
    <n v="5"/>
    <n v="0"/>
    <s v="The crew attempted to circumnavigate a thunderstorm but los track of their positon. They descended until the struck Mount Apshara at 2,250 meters."/>
    <n v="0"/>
    <n v="1"/>
    <x v="1"/>
  </r>
  <r>
    <n v="2811"/>
    <x v="2548"/>
    <x v="64"/>
    <x v="1"/>
    <s v="Unknown"/>
    <s v="Caoba, Guatemala"/>
    <s v="Aviateca"/>
    <s v="Unknown"/>
    <s v="Uaxactun - Flores"/>
    <x v="277"/>
    <s v="TG-AGA"/>
    <n v="6142"/>
    <n v="22"/>
    <n v="18"/>
    <n v="4"/>
    <n v="15"/>
    <n v="11"/>
    <n v="4"/>
    <n v="0"/>
    <s v="Crashed into mountainous jungle in poor visibility and heavy rain."/>
    <n v="7"/>
    <n v="0.68181818181818177"/>
    <x v="1"/>
  </r>
  <r>
    <n v="2812"/>
    <x v="2549"/>
    <x v="64"/>
    <x v="1"/>
    <d v="1899-12-30T19:38:00"/>
    <s v="Kharkov, Ukraine, USSR"/>
    <s v="Aeroflot"/>
    <n v="7950"/>
    <s v="_x0009_Rostov, Russia - _x0009_Kharkov, Ukraine"/>
    <x v="968"/>
    <s v="CCCP-46349"/>
    <n v="97305708"/>
    <n v="50"/>
    <n v="46"/>
    <n v="4"/>
    <n v="19"/>
    <n v="18"/>
    <n v="1"/>
    <n v="0"/>
    <s v="Crashed into trees on a slope of a hill near Kharkov Airport. Air traffic control reported a wrong QNH setting to the crew. Crew ignored ground proximity warnings."/>
    <n v="31"/>
    <n v="0.38"/>
    <x v="0"/>
  </r>
  <r>
    <n v="2813"/>
    <x v="2550"/>
    <x v="64"/>
    <x v="1"/>
    <s v="Unknown"/>
    <s v="Sofia, Bulgaria"/>
    <s v="Balkan Bulgarian Airlines"/>
    <s v="Unknown"/>
    <s v="Sofia - Varna"/>
    <x v="1009"/>
    <s v="LZ-ANA"/>
    <n v="67302707"/>
    <n v="48"/>
    <n v="45"/>
    <n v="3"/>
    <n v="3"/>
    <n v="2"/>
    <n v="1"/>
    <n v="0"/>
    <s v="Crashed shortly after takeoff. Stalled crashed. Icing."/>
    <n v="45"/>
    <n v="6.25E-2"/>
    <x v="2"/>
  </r>
  <r>
    <n v="2814"/>
    <x v="2551"/>
    <x v="64"/>
    <x v="1"/>
    <d v="1899-12-30T18:50:00"/>
    <s v="Near Bir Lahfan, Egypt"/>
    <s v="Military - Israel  Air Force"/>
    <s v="Unknown"/>
    <s v="Unknown"/>
    <x v="1298"/>
    <n v="11"/>
    <s v="Unknown"/>
    <n v="20"/>
    <n v="11"/>
    <n v="9"/>
    <n v="20"/>
    <n v="11"/>
    <n v="9"/>
    <n v="0"/>
    <s v="Crashed 15 ft. below the summit of cloud-obscured Jebel Hilal Mountain on the Israeli-occupied Sinai Peninsula."/>
    <n v="0"/>
    <n v="1"/>
    <x v="1"/>
  </r>
  <r>
    <n v="2815"/>
    <x v="2552"/>
    <x v="64"/>
    <x v="1"/>
    <s v="Unknown"/>
    <s v="Hertfordshire, England"/>
    <s v="Private"/>
    <s v="Unknown"/>
    <s v="Unknown"/>
    <x v="1299"/>
    <s v="N6645Y"/>
    <s v="27-3960"/>
    <n v="6"/>
    <n v="5"/>
    <n v="1"/>
    <n v="6"/>
    <n v="5"/>
    <n v="1"/>
    <n v="0"/>
    <s v="Race car driver Graham Hill, 46, was killed when the plane he was piloting got lost in fog and crashed near Elstree Airport."/>
    <n v="0"/>
    <n v="1"/>
    <x v="1"/>
  </r>
  <r>
    <n v="2816"/>
    <x v="2553"/>
    <x v="64"/>
    <x v="1"/>
    <d v="1899-12-30T14:49:00"/>
    <s v="Rollinsville, Colorado"/>
    <s v="Star Aviation"/>
    <s v="Unknown"/>
    <s v="Denver, CO - Grandby, CO"/>
    <x v="1300"/>
    <s v="N133MA"/>
    <s v="Unknown"/>
    <n v="9"/>
    <n v="8"/>
    <n v="1"/>
    <n v="9"/>
    <n v="8"/>
    <n v="1"/>
    <n v="0"/>
    <s v="Crashed into mountains. Continued VFR flight into adverse weather conditions."/>
    <n v="0"/>
    <n v="1"/>
    <x v="1"/>
  </r>
  <r>
    <n v="2817"/>
    <x v="2554"/>
    <x v="65"/>
    <x v="1"/>
    <d v="1899-12-30T05:30:00"/>
    <s v="Near Al Qaysumah, Saudi Arabia"/>
    <s v="Middle East Airlines"/>
    <n v="438"/>
    <s v="Beirut - Dubai"/>
    <x v="1301"/>
    <s v="OD-AFT"/>
    <s v="18020/165"/>
    <n v="82"/>
    <n v="67"/>
    <n v="15"/>
    <n v="82"/>
    <n v="67"/>
    <n v="15"/>
    <n v="0"/>
    <s v="The aircraft broke-up at FL 370 and crashed in the desert. Detonation of an explosive device in the forward cargo compartment."/>
    <n v="0"/>
    <n v="1"/>
    <x v="1"/>
  </r>
  <r>
    <n v="2818"/>
    <x v="2555"/>
    <x v="65"/>
    <x v="1"/>
    <d v="1899-12-30T17:58:00"/>
    <s v="Anchorage, Alaska"/>
    <s v="Winship Air"/>
    <s v="Unknown"/>
    <s v="Anchorage, AK - Deadhorse, AK"/>
    <x v="1302"/>
    <s v="N651LJ"/>
    <n v="125"/>
    <n v="6"/>
    <n v="4"/>
    <n v="2"/>
    <n v="6"/>
    <n v="4"/>
    <n v="2"/>
    <n v="0"/>
    <s v="Crashed short of the runway in fog. The pilot descended below published minimums because of low fuel.  Inadequate preflight planning. Improper IFR operation."/>
    <n v="0"/>
    <n v="1"/>
    <x v="1"/>
  </r>
  <r>
    <n v="2819"/>
    <x v="2555"/>
    <x v="65"/>
    <x v="1"/>
    <d v="1899-12-30T10:05:00"/>
    <s v="Moscow, Russia"/>
    <s v="Aeroflot"/>
    <n v="2003"/>
    <s v="Moscow - Vnukovo"/>
    <x v="935"/>
    <s v="CCCP-45036"/>
    <n v="3351001"/>
    <n v="61"/>
    <n v="56"/>
    <n v="5"/>
    <n v="61"/>
    <n v="56"/>
    <n v="5"/>
    <n v="1"/>
    <s v="After taking off the plane entered clouds. Both artificial horizons failed. The plane rolled to the left  until it reached an angle of 95 degrees, descended and crashed."/>
    <n v="0"/>
    <n v="1"/>
    <x v="1"/>
  </r>
  <r>
    <n v="2820"/>
    <x v="2556"/>
    <x v="65"/>
    <x v="1"/>
    <s v="Unknown"/>
    <s v="Mactan Island, Philippines"/>
    <s v="Philippine Aerotransport"/>
    <s v="Unknown"/>
    <s v="Unknown"/>
    <x v="1303"/>
    <s v="RP-C2135"/>
    <n v="439"/>
    <n v="7"/>
    <n v="6"/>
    <n v="1"/>
    <n v="7"/>
    <n v="6"/>
    <n v="1"/>
    <n v="0"/>
    <s v="Crashed under unknown circumstances."/>
    <n v="0"/>
    <n v="1"/>
    <x v="1"/>
  </r>
  <r>
    <n v="2821"/>
    <x v="2557"/>
    <x v="65"/>
    <x v="1"/>
    <d v="1899-12-30T15:44:00"/>
    <s v="Near San Borja, Bolivia"/>
    <s v="Frigorifico Maniqui"/>
    <s v="Unknown"/>
    <s v="Unknown"/>
    <x v="368"/>
    <s v="CP- 573"/>
    <n v="4682"/>
    <n v="10"/>
    <n v="7"/>
    <n v="3"/>
    <n v="7"/>
    <n v="4"/>
    <n v="3"/>
    <n v="0"/>
    <s v="The cargo plane was forced to return to San Borja after the No.2 engine failed.  After crossing the runway the plane crashed into trees 1.2 miles past the end of the runway. Malfunction or failure of the No. 2 engine, landing gear malfunction and an improper landing procedure."/>
    <n v="3"/>
    <n v="0.7"/>
    <x v="1"/>
  </r>
  <r>
    <n v="2822"/>
    <x v="2558"/>
    <x v="65"/>
    <x v="1"/>
    <d v="1899-12-30T07:15:00"/>
    <s v="Near Loja, Ecuador"/>
    <s v="TAME"/>
    <s v="Unknown"/>
    <s v="Loja - Guayaquil"/>
    <x v="1304"/>
    <s v="FAE-683"/>
    <n v="1683"/>
    <n v="42"/>
    <n v="36"/>
    <n v="6"/>
    <n v="34"/>
    <n v="28"/>
    <n v="6"/>
    <n v="0"/>
    <s v="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
    <n v="8"/>
    <n v="0.80952380952380953"/>
    <x v="1"/>
  </r>
  <r>
    <n v="2823"/>
    <x v="2559"/>
    <x v="65"/>
    <x v="1"/>
    <s v="Unknown"/>
    <s v="Near Shanghai, China"/>
    <s v="CAAC"/>
    <s v="Unknown"/>
    <s v="Guangzhou - Changsha"/>
    <x v="968"/>
    <s v="B-492"/>
    <s v="Unknown"/>
    <n v="40"/>
    <n v="36"/>
    <n v="4"/>
    <n v="40"/>
    <n v="36"/>
    <n v="4"/>
    <n v="0"/>
    <s v="Crashed during the approach. Reasons unknown."/>
    <n v="0"/>
    <n v="1"/>
    <x v="1"/>
  </r>
  <r>
    <n v="2824"/>
    <x v="2560"/>
    <x v="65"/>
    <x v="1"/>
    <s v="Unknown"/>
    <s v="Chapeco, Brazil"/>
    <s v="Transbrasil"/>
    <s v="Unknown"/>
    <s v="ChapecÃ³ - Erechim - Porto Alegre"/>
    <x v="1282"/>
    <s v="PT-TBD"/>
    <n v="110011"/>
    <n v="11"/>
    <n v="9"/>
    <n v="2"/>
    <n v="9"/>
    <n v="7"/>
    <n v="2"/>
    <n v="0"/>
    <s v="Crashed during takeoff."/>
    <n v="2"/>
    <n v="0.81818181818181823"/>
    <x v="1"/>
  </r>
  <r>
    <n v="2825"/>
    <x v="2561"/>
    <x v="65"/>
    <x v="1"/>
    <s v="Unknown"/>
    <s v="Off Santa Maria, Colombia"/>
    <s v="LAC Colombia"/>
    <s v="Unknown"/>
    <s v="Santa Maria - Curacao"/>
    <x v="681"/>
    <s v="HK-1389"/>
    <s v="43519/221"/>
    <n v="3"/>
    <n v="0"/>
    <n v="3"/>
    <n v="3"/>
    <n v="0"/>
    <n v="3"/>
    <n v="0"/>
    <s v="The cargo plane crashed into the ocean. Engine failure."/>
    <n v="0"/>
    <n v="1"/>
    <x v="1"/>
  </r>
  <r>
    <n v="2826"/>
    <x v="2562"/>
    <x v="65"/>
    <x v="1"/>
    <d v="1899-12-30T10:44:00"/>
    <s v="Van Nuys, California"/>
    <s v="Mercer Airlines"/>
    <s v="Unknown"/>
    <s v="Burbank - Ontario"/>
    <x v="528"/>
    <s v="N901MA"/>
    <n v="36326"/>
    <n v="6"/>
    <n v="1"/>
    <n v="5"/>
    <n v="3"/>
    <n v="1"/>
    <n v="2"/>
    <n v="0"/>
    <s v="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
    <n v="3"/>
    <n v="0.5"/>
    <x v="0"/>
  </r>
  <r>
    <n v="2827"/>
    <x v="2563"/>
    <x v="65"/>
    <x v="1"/>
    <d v="1899-12-30T08:15:00"/>
    <s v="Irkutsk, Russia"/>
    <s v="Aeroflot"/>
    <n v="3739"/>
    <s v="Irkutsk - Novosibirsk"/>
    <x v="808"/>
    <s v="CCCP-42327"/>
    <n v="66600201"/>
    <n v="124"/>
    <n v="104"/>
    <n v="10"/>
    <n v="24"/>
    <n v="15"/>
    <n v="9"/>
    <n v="0"/>
    <s v="After taking off the plane began to bank to the right until it crashed. Asymmetrical refueling of the plane. Pilot error."/>
    <n v="100"/>
    <n v="0.19354838709677419"/>
    <x v="2"/>
  </r>
  <r>
    <n v="2828"/>
    <x v="2564"/>
    <x v="65"/>
    <x v="1"/>
    <d v="1899-12-30T16:33:00"/>
    <s v="St. Croix, Virgin Islands"/>
    <s v="Antilles Air"/>
    <s v="Unknown"/>
    <s v="St. Thomas, VI - St. Croix, VI"/>
    <x v="1305"/>
    <s v="N4772C"/>
    <s v="B131"/>
    <n v="11"/>
    <n v="10"/>
    <n v="1"/>
    <n v="5"/>
    <n v="5"/>
    <n v="0"/>
    <n v="0"/>
    <s v="Crashed into the water and sank while attempting and emergency forced. Unscheduled feathering of right prop for undetermined reasons. Engine failure for undetermined reasons."/>
    <n v="6"/>
    <n v="0.45454545454545453"/>
    <x v="0"/>
  </r>
  <r>
    <n v="2829"/>
    <x v="2565"/>
    <x v="65"/>
    <x v="1"/>
    <s v="Unknown"/>
    <s v="Sibiu, Romania"/>
    <s v="Tarom"/>
    <s v="Unknown"/>
    <s v="Unknown"/>
    <x v="1306"/>
    <s v="YR-ILO"/>
    <n v="14803061"/>
    <n v="9"/>
    <n v="5"/>
    <n v="4"/>
    <n v="6"/>
    <n v="3"/>
    <n v="3"/>
    <n v="0"/>
    <s v="Crashed short of the runway."/>
    <n v="3"/>
    <n v="0.66666666666666663"/>
    <x v="1"/>
  </r>
  <r>
    <n v="2830"/>
    <x v="2566"/>
    <x v="65"/>
    <x v="1"/>
    <s v="Unknown"/>
    <s v="Southeastern Bolivia"/>
    <s v="TAM (Bolivia)"/>
    <s v="Unknown"/>
    <s v="Camiri - Itaguasurenda"/>
    <x v="1307"/>
    <s v="TAM-76"/>
    <n v="24"/>
    <n v="22"/>
    <n v="18"/>
    <n v="4"/>
    <n v="19"/>
    <n v="15"/>
    <n v="4"/>
    <n v="0"/>
    <s v="Crashed in the jungle while en route. Cause unknown"/>
    <n v="3"/>
    <n v="0.86363636363636365"/>
    <x v="1"/>
  </r>
  <r>
    <n v="2831"/>
    <x v="2567"/>
    <x v="65"/>
    <x v="1"/>
    <d v="1899-12-30T00:58:00"/>
    <s v="Near Voronezh, Russia"/>
    <s v="Aeroflot"/>
    <n v="909"/>
    <s v="Moscow - Yerevan"/>
    <x v="1308"/>
    <s v="CCCP-75408"/>
    <n v="186009201"/>
    <n v="111"/>
    <n v="100"/>
    <n v="11"/>
    <n v="111"/>
    <n v="100"/>
    <n v="11"/>
    <n v="7"/>
    <s v="The aircraft plunged to earth from FL 260 in darkness. Electrical power failure of compass, gyros and auto pilot caused the crew to lose control of the plane."/>
    <n v="0"/>
    <n v="1"/>
    <x v="1"/>
  </r>
  <r>
    <n v="2832"/>
    <x v="2568"/>
    <x v="65"/>
    <x v="1"/>
    <d v="1899-12-30T11:07:00"/>
    <s v="Igiugig, Alaska"/>
    <s v="Kodiak Western Alaska Airlines"/>
    <s v="Unknown"/>
    <s v="South Nanek, AK - Dillingham, AK"/>
    <x v="1309"/>
    <s v="N91142"/>
    <n v="20700089"/>
    <n v="4"/>
    <n v="3"/>
    <n v="1"/>
    <n v="4"/>
    <n v="3"/>
    <n v="1"/>
    <n v="0"/>
    <s v="Continued VFR flight in to adverse weather."/>
    <n v="0"/>
    <n v="1"/>
    <x v="1"/>
  </r>
  <r>
    <n v="2833"/>
    <x v="2569"/>
    <x v="65"/>
    <x v="1"/>
    <s v="Unknown"/>
    <s v="Near Puerto Asis, Colombia"/>
    <s v="SATENA"/>
    <s v="Unknown"/>
    <s v="Florencia - Puerto Asis"/>
    <x v="277"/>
    <s v="FAC-676"/>
    <s v="Unknown"/>
    <n v="16"/>
    <n v="14"/>
    <n v="2"/>
    <n v="5"/>
    <n v="4"/>
    <n v="1"/>
    <n v="0"/>
    <s v="Crashed into a lake while on approach in heavy rain."/>
    <n v="11"/>
    <n v="0.3125"/>
    <x v="2"/>
  </r>
  <r>
    <n v="2834"/>
    <x v="2570"/>
    <x v="65"/>
    <x v="1"/>
    <d v="1899-12-30T08:19:00"/>
    <s v="Ketchikan, Alaska"/>
    <s v="Alaska Airlines"/>
    <n v="60"/>
    <s v="Juneau - Ketchikan"/>
    <x v="1002"/>
    <s v="N124AS"/>
    <n v="18821"/>
    <n v="50"/>
    <n v="45"/>
    <n v="5"/>
    <n v="1"/>
    <n v="1"/>
    <n v="0"/>
    <n v="0"/>
    <s v="The plane overran the runway after landing at excessive speed. The captain's faulty judgement in initiating a go-around after he was committed to a full stop landing following an excessively long and fast touchdown from an unstabilized approach."/>
    <n v="49"/>
    <n v="0.02"/>
    <x v="2"/>
  </r>
  <r>
    <n v="2835"/>
    <x v="2571"/>
    <x v="65"/>
    <x v="1"/>
    <s v="Unknown"/>
    <s v="Neuquen, Argentina"/>
    <s v="Yacimientos Petroliferos Fiscales"/>
    <s v="Unknown"/>
    <s v="Unknown"/>
    <x v="1278"/>
    <s v="LV-HHB"/>
    <n v="1540"/>
    <n v="34"/>
    <n v="31"/>
    <n v="3"/>
    <n v="34"/>
    <n v="31"/>
    <n v="3"/>
    <n v="0"/>
    <s v="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
    <n v="0"/>
    <n v="1"/>
    <x v="1"/>
  </r>
  <r>
    <n v="2836"/>
    <x v="2572"/>
    <x v="65"/>
    <x v="1"/>
    <d v="1899-12-30T08:08:00"/>
    <s v="Gulf of Mexico"/>
    <s v="Petroleum Helicopter"/>
    <s v="Unknown"/>
    <s v="Unknown"/>
    <x v="1310"/>
    <s v="N8167J"/>
    <n v="30090"/>
    <n v="12"/>
    <n v="11"/>
    <n v="1"/>
    <n v="12"/>
    <n v="11"/>
    <n v="1"/>
    <n v="0"/>
    <s v="Fatigue fracture of tail boom fuselage attachment fitting. Pilot and 4 passengers not recovered."/>
    <n v="0"/>
    <n v="1"/>
    <x v="1"/>
  </r>
  <r>
    <n v="2837"/>
    <x v="2573"/>
    <x v="65"/>
    <x v="1"/>
    <d v="1899-12-30T15:10:00"/>
    <s v="St. Thomas, Virgin Islands"/>
    <s v="American Airlines"/>
    <n v="625"/>
    <s v="New York City - Saint Thomas"/>
    <x v="1311"/>
    <s v="N1963"/>
    <s v="19837/499"/>
    <n v="88"/>
    <n v="81"/>
    <n v="7"/>
    <n v="37"/>
    <n v="35"/>
    <n v="2"/>
    <n v="0"/>
    <s v="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
    <n v="51"/>
    <n v="0.42045454545454547"/>
    <x v="0"/>
  </r>
  <r>
    <n v="2838"/>
    <x v="2574"/>
    <x v="65"/>
    <x v="1"/>
    <s v="Unknown"/>
    <s v="Camuigan, Philippines"/>
    <s v="Philippine Aerotransport"/>
    <s v="Unknown"/>
    <s v="Unknown"/>
    <x v="1303"/>
    <s v="RP-C2140"/>
    <n v="450"/>
    <n v="10"/>
    <n v="8"/>
    <n v="2"/>
    <n v="4"/>
    <n v="4"/>
    <n v="0"/>
    <n v="0"/>
    <s v="Unknown cause."/>
    <n v="6"/>
    <n v="0.4"/>
    <x v="0"/>
  </r>
  <r>
    <n v="2839"/>
    <x v="2575"/>
    <x v="65"/>
    <x v="1"/>
    <d v="1899-12-30T16:30:00"/>
    <s v="Near Cuneca, Spain"/>
    <s v="Military - Imperial Iranian Air Force"/>
    <n v="228"/>
    <s v="Terhan, Iran - Madrid, Spain - McGuire AFB, New Jersey"/>
    <x v="1312"/>
    <s v="5-283"/>
    <s v="19677/73"/>
    <n v="17"/>
    <n v="7"/>
    <n v="10"/>
    <n v="17"/>
    <n v="7"/>
    <n v="10"/>
    <n v="0"/>
    <s v="The aircraft was struck by lightning while descending through FL100.  There was an explosion in the No. 1 fuel tank which caused the left wing to fail and the plane to crash. Ignition of fuel vapor in the No.1 tank in the vicinity of the motor drive fuel valve."/>
    <n v="0"/>
    <n v="1"/>
    <x v="1"/>
  </r>
  <r>
    <n v="2840"/>
    <x v="2576"/>
    <x v="65"/>
    <x v="1"/>
    <d v="1899-12-30T10:48:00"/>
    <s v="Chernigov, Ukraine, USSR"/>
    <s v="Aeroflot"/>
    <n v="1802"/>
    <s v="Unknown"/>
    <x v="968"/>
    <s v="CCCP-46534"/>
    <n v="57310108"/>
    <n v="52"/>
    <n v="46"/>
    <n v="6"/>
    <n v="52"/>
    <n v="46"/>
    <n v="6"/>
    <n v="0"/>
    <s v="After entering the wake turbulence of a MiG fighter plane, the rudder deflected sharply and both propellers feathered causing the plane to go into a spin and crash."/>
    <n v="0"/>
    <n v="1"/>
    <x v="1"/>
  </r>
  <r>
    <n v="2841"/>
    <x v="2577"/>
    <x v="65"/>
    <x v="1"/>
    <d v="1899-12-30T12:30:00"/>
    <s v="Zamboanga, Philipines"/>
    <s v="Philippine Air Lines"/>
    <s v="Unknown"/>
    <s v="Davao City - Manila"/>
    <x v="1313"/>
    <s v="RP-C1161"/>
    <n v="213"/>
    <n v="87"/>
    <n v="77"/>
    <n v="10"/>
    <n v="14"/>
    <n v="14"/>
    <n v="0"/>
    <n v="3"/>
    <s v="The aircraft was destroyed after a hijacker set off grenades in the cabin. All three hijackers were killed."/>
    <n v="73"/>
    <n v="0.16091954022988506"/>
    <x v="2"/>
  </r>
  <r>
    <n v="2842"/>
    <x v="2578"/>
    <x v="65"/>
    <x v="1"/>
    <d v="1899-12-30T07:48:00"/>
    <s v="Nacias Nguema, Equatorial Guinea"/>
    <s v="Aeroflot"/>
    <s v="SU-418"/>
    <s v="_x0009_Luanda - Malabo - Nâ€™Djamena - Tripoli - Moscow"/>
    <x v="1314"/>
    <s v="CCCP-85102"/>
    <n v="102"/>
    <n v="45"/>
    <n v="35"/>
    <n v="10"/>
    <n v="45"/>
    <n v="35"/>
    <n v="10"/>
    <n v="0"/>
    <s v="After takeoff from Malabo the aircraft collided with Mount San Carlos. Cause unknown. Possible failure of radar equipment."/>
    <n v="0"/>
    <n v="1"/>
    <x v="1"/>
  </r>
  <r>
    <n v="2843"/>
    <x v="2579"/>
    <x v="65"/>
    <x v="1"/>
    <d v="1899-12-30T00:47:00"/>
    <s v="Agana, Guam"/>
    <s v="Air Manila"/>
    <n v="702"/>
    <s v="Wake Island - Guam - Manila"/>
    <x v="820"/>
    <s v="RP-C1061"/>
    <n v="1007"/>
    <n v="45"/>
    <n v="33"/>
    <n v="12"/>
    <n v="45"/>
    <n v="33"/>
    <n v="12"/>
    <n v="1"/>
    <s v="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
    <n v="0"/>
    <n v="1"/>
    <x v="1"/>
  </r>
  <r>
    <n v="2844"/>
    <x v="2580"/>
    <x v="65"/>
    <x v="1"/>
    <d v="1899-12-30T15:41:00"/>
    <s v="Off Kota Kinabalu, Malaysia"/>
    <s v="Sabah Air"/>
    <s v="Unknown"/>
    <s v="Labuan - Kota Kinabalu"/>
    <x v="1315"/>
    <s v="9M-ATZ"/>
    <n v="14"/>
    <n v="11"/>
    <n v="10"/>
    <n v="1"/>
    <n v="11"/>
    <n v="10"/>
    <n v="1"/>
    <n v="0"/>
    <s v="Stalled and crashed into the sea during the approach two miles from the airport."/>
    <n v="0"/>
    <n v="1"/>
    <x v="1"/>
  </r>
  <r>
    <n v="2845"/>
    <x v="2581"/>
    <x v="65"/>
    <x v="1"/>
    <s v="Unknown"/>
    <s v="Entebbe, Uganda"/>
    <s v="Air France"/>
    <n v="139"/>
    <s v="Tel-Aviv - Athens - Paris"/>
    <x v="1316"/>
    <s v="F-BVGG"/>
    <n v="19"/>
    <n v="258"/>
    <s v="NULL"/>
    <s v="NULL"/>
    <n v="7"/>
    <s v="NULL"/>
    <s v="NULL"/>
    <n v="0"/>
    <s v="The plane was hijacked ,in Athens, by Palestinian terrorists and flown to Entebbe Uganda. Seven passengers were killed during a commando raid by Israeli armed forces to free the hostages."/>
    <n v="251"/>
    <n v="2.7131782945736434E-2"/>
    <x v="2"/>
  </r>
  <r>
    <n v="2846"/>
    <x v="2582"/>
    <x v="65"/>
    <x v="1"/>
    <s v="Unknown"/>
    <s v="Daiku, Burma"/>
    <s v="Military - Burma Air Force"/>
    <s v="Unknown"/>
    <s v="Unknown"/>
    <x v="368"/>
    <s v="Unknown"/>
    <s v="Unknown"/>
    <n v="17"/>
    <s v="NULL"/>
    <s v="NULL"/>
    <n v="17"/>
    <s v="NULL"/>
    <s v="NULL"/>
    <n v="0"/>
    <s v="Caught fire and exploded."/>
    <n v="0"/>
    <n v="1"/>
    <x v="1"/>
  </r>
  <r>
    <n v="2847"/>
    <x v="2583"/>
    <x v="65"/>
    <x v="1"/>
    <d v="1899-12-30T09:37:00"/>
    <s v="Bratislava, Czechoslovakia"/>
    <s v="Ceskoslovenske Aerolinie"/>
    <n v="1"/>
    <s v="Prague - Bratislava"/>
    <x v="1317"/>
    <s v="OK-NAB"/>
    <n v="189001605"/>
    <n v="79"/>
    <n v="73"/>
    <n v="6"/>
    <n v="76"/>
    <n v="70"/>
    <n v="6"/>
    <n v="0"/>
    <s v="The No. 3 engine failed during the approach and the No. 4 engine was feathered by mistake. The No. 4 engine was restarted but  the aircraft lost control and crashed into ZlatÃ© piesky lake after a decision to go-around was made."/>
    <n v="3"/>
    <n v="0.96202531645569622"/>
    <x v="1"/>
  </r>
  <r>
    <n v="2848"/>
    <x v="2584"/>
    <x v="65"/>
    <x v="1"/>
    <s v="Unknown"/>
    <s v="Near Tehran, Iran"/>
    <s v="Korean Airlines"/>
    <s v="Unknown"/>
    <s v="Tehran, Iran - Seoul, Korea"/>
    <x v="1318"/>
    <s v="HL7412"/>
    <s v="19715/642"/>
    <n v="5"/>
    <n v="0"/>
    <n v="5"/>
    <n v="5"/>
    <n v="0"/>
    <n v="5"/>
    <n v="0"/>
    <s v="Instead of turning on course the cargo plane continued straight and hit a mountain."/>
    <n v="0"/>
    <n v="1"/>
    <x v="1"/>
  </r>
  <r>
    <n v="2849"/>
    <x v="2585"/>
    <x v="65"/>
    <x v="1"/>
    <d v="1899-12-30T12:30:00"/>
    <s v="Moron AFB, Spain _x0009_ Moron AFB, Spain _x0009_ Moron AFB, Spain"/>
    <s v="Military - Spanish Air Force"/>
    <s v="Unknown"/>
    <s v="Moron - Canary Islands"/>
    <x v="1319"/>
    <s v="T4/11-352"/>
    <n v="27344"/>
    <n v="32"/>
    <n v="28"/>
    <n v="4"/>
    <n v="12"/>
    <n v="12"/>
    <n v="0"/>
    <n v="0"/>
    <s v="Crashed 15 minutes after taking off. An engine caught fire."/>
    <n v="20"/>
    <n v="0.375"/>
    <x v="0"/>
  </r>
  <r>
    <n v="2850"/>
    <x v="2586"/>
    <x v="65"/>
    <x v="1"/>
    <d v="1899-12-30T08:35:00"/>
    <s v="Andes Mountains, Ecuador"/>
    <s v="SAETA"/>
    <n v="232"/>
    <s v="Quito - Cuenca"/>
    <x v="950"/>
    <s v="HC-ARS"/>
    <n v="377"/>
    <n v="59"/>
    <n v="55"/>
    <n v="4"/>
    <n v="59"/>
    <n v="55"/>
    <n v="4"/>
    <n v="0"/>
    <s v="Crashed while en route. Struck the slope of Mt Chimborazo. Controlled filght into terrain."/>
    <n v="0"/>
    <n v="1"/>
    <x v="1"/>
  </r>
  <r>
    <n v="2851"/>
    <x v="2587"/>
    <x v="65"/>
    <x v="1"/>
    <s v="Unknown"/>
    <s v="Ho Chi Minh City, Vietnam"/>
    <s v="Air France"/>
    <s v="Unknown"/>
    <s v="Ho Chi Minh City - Bangkok"/>
    <x v="1320"/>
    <s v="F-BSGZ"/>
    <n v="83"/>
    <n v="20"/>
    <n v="15"/>
    <n v="5"/>
    <n v="1"/>
    <n v="1"/>
    <n v="0"/>
    <n v="0"/>
    <s v="A hijacker set off two grenades in the cabin and was killed."/>
    <n v="19"/>
    <n v="0.05"/>
    <x v="2"/>
  </r>
  <r>
    <n v="2852"/>
    <x v="2587"/>
    <x v="65"/>
    <x v="1"/>
    <d v="1899-12-30T12:40:00"/>
    <s v="Near Thorney, England"/>
    <s v="Military - U.S. Air Force"/>
    <s v="Unknown"/>
    <s v="McGuire AFB - Mildenhall RAF"/>
    <x v="1283"/>
    <s v="67-0006"/>
    <n v="6257"/>
    <n v="18"/>
    <n v="4"/>
    <n v="14"/>
    <n v="18"/>
    <n v="4"/>
    <n v="14"/>
    <n v="0"/>
    <s v="The aircraft suffered structural failure after flying into a severe thunderstorm. The starboard wing, horizontal stabilizer and vertical tail fin separated from the aircraft."/>
    <n v="0"/>
    <n v="1"/>
    <x v="1"/>
  </r>
  <r>
    <n v="2853"/>
    <x v="2588"/>
    <x v="65"/>
    <x v="1"/>
    <d v="1899-12-30T17:15:00"/>
    <s v="Hawk Inlet, Alaska"/>
    <s v="Temsco Helicopter - Air Taxi"/>
    <s v="Unknown"/>
    <s v="Unknown"/>
    <x v="1321"/>
    <s v="N9172F"/>
    <s v="Unknown"/>
    <n v="4"/>
    <n v="3"/>
    <n v="1"/>
    <n v="3"/>
    <n v="2"/>
    <n v="1"/>
    <n v="0"/>
    <s v="Crashed while climbing to cruise altitude. Failed to maintain adequate rotor speed."/>
    <n v="1"/>
    <n v="0.75"/>
    <x v="1"/>
  </r>
  <r>
    <n v="2854"/>
    <x v="2589"/>
    <x v="65"/>
    <x v="1"/>
    <d v="1899-12-30T21:45:00"/>
    <s v="Lajes, Azores, Portugal"/>
    <s v="Military - Venezuelan Air Force"/>
    <s v="Unknown"/>
    <s v="Caracas - Praira da Vitoria"/>
    <x v="1262"/>
    <n v="7772"/>
    <n v="4408"/>
    <n v="68"/>
    <n v="58"/>
    <n v="10"/>
    <n v="68"/>
    <n v="58"/>
    <n v="10"/>
    <n v="0"/>
    <s v="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
    <n v="0"/>
    <n v="1"/>
    <x v="1"/>
  </r>
  <r>
    <n v="2855"/>
    <x v="2590"/>
    <x v="65"/>
    <x v="1"/>
    <d v="1899-12-30T13:51:00"/>
    <s v="Off Adler, Russia"/>
    <s v="Aeroflot / Aeroflot"/>
    <s v="7957 /31"/>
    <s v="Donetsk - Sochi /Rostov na Donu - Kerch"/>
    <x v="1322"/>
    <s v="CCCP46518/87772"/>
    <s v="37308504 / 9030713"/>
    <n v="64"/>
    <n v="55"/>
    <n v="9"/>
    <n v="64"/>
    <n v="55"/>
    <n v="9"/>
    <n v="0"/>
    <s v="Midair collision at FL187.  ATC error. Forty-six deaths on the Antonov, 18 on the Yak. Violation of separation rules. Contributing causes were insufficient visual alertness on the part of both crews and a lack of situation analysis based on air/ground radio communications."/>
    <n v="0"/>
    <n v="1"/>
    <x v="1"/>
  </r>
  <r>
    <n v="2856"/>
    <x v="2591"/>
    <x v="65"/>
    <x v="1"/>
    <d v="1899-12-30T10:15:00"/>
    <s v="Near Gaj, Hrvatska, Yugoslavia"/>
    <s v="Inex Adria Aviopromet / British Airways"/>
    <s v="550/476"/>
    <s v="Split - Koln / London - Istanbul"/>
    <x v="1323"/>
    <s v="YU-AJR/G-AWZT"/>
    <s v="47649741 / 2320"/>
    <n v="176"/>
    <n v="162"/>
    <n v="14"/>
    <n v="176"/>
    <n v="162"/>
    <n v="14"/>
    <n v="0"/>
    <s v="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
    <n v="0"/>
    <n v="1"/>
    <x v="1"/>
  </r>
  <r>
    <n v="2857"/>
    <x v="2592"/>
    <x v="65"/>
    <x v="1"/>
    <d v="1899-12-30T23:15:00"/>
    <s v="Karatepe Mountains, Turkey"/>
    <s v="Turkish Airlines (THY)"/>
    <n v="452"/>
    <s v="Istanbul - Antalya"/>
    <x v="1324"/>
    <s v="TC-JBH"/>
    <s v="20982/1087"/>
    <n v="154"/>
    <n v="146"/>
    <n v="8"/>
    <n v="154"/>
    <n v="146"/>
    <n v="8"/>
    <n v="0"/>
    <s v="The aircraft struck Mt. Karatepa during an approach to land. The crew attempted to land at the wrong airport, landing at Isparta instead of Antalya."/>
    <n v="0"/>
    <n v="1"/>
    <x v="1"/>
  </r>
  <r>
    <n v="2858"/>
    <x v="2593"/>
    <x v="65"/>
    <x v="1"/>
    <d v="1899-12-30T08:30:00"/>
    <s v="Near Alpena, Michigan"/>
    <s v="Military - U.S. Air Force"/>
    <s v="Unknown"/>
    <s v="Kenneth Ingalls Sawyer - Oscoda-Wurtsmith"/>
    <x v="794"/>
    <s v="61-0296"/>
    <s v="18203/518"/>
    <n v="20"/>
    <n v="15"/>
    <n v="5"/>
    <n v="15"/>
    <n v="12"/>
    <n v="3"/>
    <n v="0"/>
    <s v="Crash-landed in rugged terrain broke up and landed in a swamp. Possilbe cabin pressure problem causing the plane to disintegrate in the air."/>
    <n v="5"/>
    <n v="0.75"/>
    <x v="1"/>
  </r>
  <r>
    <n v="2859"/>
    <x v="2594"/>
    <x v="65"/>
    <x v="1"/>
    <s v="Unknown"/>
    <s v="Nairobi, Kenya"/>
    <s v="Emirates Air Transport"/>
    <s v="Unknown"/>
    <s v="Sharjah - Djibouti City - Nairobi"/>
    <x v="931"/>
    <s v="TZ-ARC"/>
    <s v="45467/970"/>
    <n v="4"/>
    <n v="0"/>
    <n v="4"/>
    <n v="4"/>
    <n v="0"/>
    <n v="4"/>
    <n v="0"/>
    <s v="The cargo plane struck Mt. Kenya while descending to land. Descended prematurely."/>
    <n v="0"/>
    <n v="1"/>
    <x v="1"/>
  </r>
  <r>
    <n v="2860"/>
    <x v="2595"/>
    <x v="65"/>
    <x v="1"/>
    <d v="1899-12-30T13:24:00"/>
    <s v="Off Bridgetown, Barbados"/>
    <s v="Cubana de Aviacion"/>
    <n v="455"/>
    <s v="Bridgetown - Kingston"/>
    <x v="903"/>
    <s v="CU-T1201"/>
    <s v="45611/48"/>
    <n v="73"/>
    <n v="48"/>
    <n v="25"/>
    <n v="73"/>
    <n v="48"/>
    <n v="25"/>
    <n v="0"/>
    <s v="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
    <n v="0"/>
    <n v="1"/>
    <x v="1"/>
  </r>
  <r>
    <n v="2861"/>
    <x v="2596"/>
    <x v="65"/>
    <x v="1"/>
    <d v="1899-12-30T13:32:00"/>
    <s v="Santa Cruz, Bolivia"/>
    <s v="Lloyd AÃ©reo Boliviano"/>
    <s v="Unknown"/>
    <s v="Santa Cruz - Viru"/>
    <x v="1325"/>
    <s v="N730JP"/>
    <s v="17671/48"/>
    <n v="3"/>
    <n v="0"/>
    <n v="3"/>
    <n v="3"/>
    <n v="0"/>
    <n v="3"/>
    <n v="113"/>
    <s v="The cargo plane failed to climb and crashed into trees, poles and houses at the end of the runway and came to rest in a soccer field 560 meters beyond the runway. The failure of the crew to select enough thrust to achieve the necessary acceleration. Crew fatigue."/>
    <n v="0"/>
    <n v="1"/>
    <x v="1"/>
  </r>
  <r>
    <n v="2862"/>
    <x v="2596"/>
    <x v="65"/>
    <x v="1"/>
    <d v="1899-12-30T01:37:00"/>
    <s v="Near Bombay, India"/>
    <s v="Indian Airlines"/>
    <s v="Unknown"/>
    <s v="Mumbai - Chennai"/>
    <x v="1251"/>
    <s v="VT-DWN"/>
    <n v="231"/>
    <n v="95"/>
    <n v="89"/>
    <n v="6"/>
    <n v="95"/>
    <n v="89"/>
    <n v="6"/>
    <n v="0"/>
    <s v="The aircraft crash landed in flames during an emergency landing. The right engine failed during takeoff. A fatigue crack in compressor led to engine destruction, severing of fuel lines and fire. The fire spread because the crew did not shut off the fuel supply."/>
    <n v="0"/>
    <n v="1"/>
    <x v="1"/>
  </r>
  <r>
    <n v="2863"/>
    <x v="2597"/>
    <x v="65"/>
    <x v="1"/>
    <s v="Unknown"/>
    <s v="Near Petrolia, Brazil"/>
    <s v="Nordeste Linhas AÃ©reas"/>
    <s v="Unknown"/>
    <s v="Petrolina - Recife"/>
    <x v="1282"/>
    <s v="PT-TBA"/>
    <n v="110004"/>
    <n v="7"/>
    <n v="5"/>
    <n v="2"/>
    <n v="2"/>
    <n v="0"/>
    <n v="2"/>
    <n v="0"/>
    <s v="The airplane was seen to initiate a turn to the left when it stalled and crashed in a field."/>
    <n v="5"/>
    <n v="0.2857142857142857"/>
    <x v="2"/>
  </r>
  <r>
    <n v="2864"/>
    <x v="2598"/>
    <x v="65"/>
    <x v="1"/>
    <s v="Unknown"/>
    <s v="Banjarmasin, Indonesia"/>
    <s v="Bali International Air Service"/>
    <s v="Unknown"/>
    <s v="Manado -Gorontalo - Palu - Balikpapan - Banjarmasin"/>
    <x v="848"/>
    <s v="PK-KFR"/>
    <n v="10142"/>
    <n v="38"/>
    <n v="33"/>
    <n v="5"/>
    <n v="29"/>
    <n v="25"/>
    <n v="4"/>
    <n v="0"/>
    <s v="After overshooting the runway, a go-around was initiated but abrupt application of power made an engine autofeather after which the plane crashed."/>
    <n v="9"/>
    <n v="0.76315789473684215"/>
    <x v="1"/>
  </r>
  <r>
    <n v="2865"/>
    <x v="2599"/>
    <x v="65"/>
    <x v="1"/>
    <s v="Unknown"/>
    <s v="Atlantic Ocean"/>
    <s v="Inair Panama"/>
    <s v="Unknown"/>
    <s v="Curacao - Port-au-Prince"/>
    <x v="277"/>
    <s v="HP-671"/>
    <n v="43073"/>
    <n v="2"/>
    <n v="0"/>
    <n v="2"/>
    <n v="2"/>
    <n v="0"/>
    <n v="2"/>
    <n v="0"/>
    <s v="The cargo plane went missing between Curacao - Port-au-Prince."/>
    <n v="0"/>
    <n v="1"/>
    <x v="1"/>
  </r>
  <r>
    <n v="2866"/>
    <x v="2600"/>
    <x v="65"/>
    <x v="1"/>
    <d v="1899-12-30T09:45:00"/>
    <s v="Kozani, Greece"/>
    <s v="Olympic Airways"/>
    <s v="Unknown"/>
    <s v="Athens - Larisa"/>
    <x v="1326"/>
    <s v="SX-BBR"/>
    <n v="2156"/>
    <n v="50"/>
    <n v="46"/>
    <n v="4"/>
    <n v="50"/>
    <n v="46"/>
    <n v="4"/>
    <n v="0"/>
    <s v="The airliner crashed into mountainous terrain after being diverted to Kozani due to poor weather at Larissa. Controlled flight into terrain. Premature descent."/>
    <n v="0"/>
    <n v="1"/>
    <x v="1"/>
  </r>
  <r>
    <n v="2867"/>
    <x v="2601"/>
    <x v="65"/>
    <x v="1"/>
    <d v="1899-12-30T18:56:00"/>
    <s v="Moscow, Russia"/>
    <s v="Aeroflot"/>
    <n v="2415"/>
    <s v="Moscow - Leningrad"/>
    <x v="881"/>
    <s v="CCCP-42471"/>
    <n v="21204"/>
    <n v="73"/>
    <n v="67"/>
    <n v="6"/>
    <n v="73"/>
    <n v="67"/>
    <n v="6"/>
    <n v="0"/>
    <s v="After taking off an artificial horizon failure caused the crew to become disoriented and exceed bank angle limits and crash."/>
    <n v="0"/>
    <n v="1"/>
    <x v="1"/>
  </r>
  <r>
    <n v="2868"/>
    <x v="2602"/>
    <x v="65"/>
    <x v="1"/>
    <d v="1899-12-30T23:26:00"/>
    <s v="Cape May, New Jersey"/>
    <s v="Atlantic City Airlines"/>
    <n v="977"/>
    <s v="Atlantic City - Cap May"/>
    <x v="1220"/>
    <s v="N101AC"/>
    <n v="262"/>
    <n v="10"/>
    <n v="8"/>
    <n v="2"/>
    <n v="3"/>
    <n v="3"/>
    <n v="1"/>
    <n v="0"/>
    <s v="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
    <n v="7"/>
    <n v="0.3"/>
    <x v="2"/>
  </r>
  <r>
    <n v="2869"/>
    <x v="2603"/>
    <x v="65"/>
    <x v="1"/>
    <d v="1899-12-30T19:40:00"/>
    <s v="_x0009_Ust-Kut, Russia"/>
    <s v="Aeroflot"/>
    <s v="Unknown"/>
    <s v="Ust-Kut - Kirensk"/>
    <x v="1274"/>
    <s v="CCCP-88208"/>
    <s v="_x0009_ 9631349"/>
    <n v="7"/>
    <n v="4"/>
    <n v="3"/>
    <n v="7"/>
    <n v="4"/>
    <n v="3"/>
    <n v="0"/>
    <s v="The cargo plane crashed into trees on takeoff. Deviation in preparation for the flight by the crew and pilot error in the technique used during the takeoff."/>
    <n v="0"/>
    <n v="1"/>
    <x v="1"/>
  </r>
  <r>
    <n v="2870"/>
    <x v="2603"/>
    <x v="65"/>
    <x v="1"/>
    <d v="1899-12-30T21:30:00"/>
    <s v="Kiev, USSR"/>
    <s v="Aeroflot"/>
    <s v="H-36"/>
    <s v="_x0009_Chernivtsi - Kiev"/>
    <x v="1275"/>
    <s v="CCCP-46672"/>
    <n v="47309604"/>
    <n v="55"/>
    <n v="50"/>
    <n v="5"/>
    <n v="48"/>
    <n v="44"/>
    <n v="4"/>
    <n v="0"/>
    <s v="In heavy fog  the crew continued their descend below decision height, although they had not obtained visual contact with the runway. The fact that visibility had decreased below minima (700 m) was not reported to the crew."/>
    <n v="7"/>
    <n v="0.87272727272727268"/>
    <x v="1"/>
  </r>
  <r>
    <n v="2871"/>
    <x v="2604"/>
    <x v="65"/>
    <x v="1"/>
    <d v="1899-12-30T16:56:00"/>
    <s v="Nnear Yuzhno-Sakhalinsk, Russia"/>
    <s v="Aeroflot"/>
    <s v="Unknown"/>
    <s v="_x0009_Petropavlovsk-Kamchatsky - Yuzhno-Sakhalinsk"/>
    <x v="1327"/>
    <s v="CCCP-61752"/>
    <n v="147001247"/>
    <n v="8"/>
    <n v="3"/>
    <n v="5"/>
    <n v="8"/>
    <n v="3"/>
    <n v="5"/>
    <n v="0"/>
    <s v="The survey fllight deviated from the approach pattern and crashed into Mount Ostraya."/>
    <n v="0"/>
    <n v="1"/>
    <x v="1"/>
  </r>
  <r>
    <n v="2872"/>
    <x v="2605"/>
    <x v="65"/>
    <x v="1"/>
    <d v="1899-12-30T03:45:00"/>
    <s v="Near Bangkok, Thailand"/>
    <s v="EgyptAir"/>
    <n v="864"/>
    <s v="Cairo - Bangkok"/>
    <x v="1328"/>
    <s v="SU-AXA"/>
    <n v="20763"/>
    <n v="53"/>
    <n v="44"/>
    <n v="9"/>
    <n v="53"/>
    <n v="44"/>
    <n v="9"/>
    <n v="19"/>
    <s v="The aircraft crashed into an industrial area during a landing attempt. Lack of altitude awareness and disorientation leading to an uncontrolled descent. Crew did not make use of navigational aids."/>
    <n v="0"/>
    <n v="1"/>
    <x v="1"/>
  </r>
  <r>
    <n v="2873"/>
    <x v="2606"/>
    <x v="65"/>
    <x v="1"/>
    <s v="Unknown"/>
    <s v="Near Trujillo, Peru"/>
    <s v="Faucett"/>
    <s v="Unknown"/>
    <s v="Trujillo - Tarapoto"/>
    <x v="592"/>
    <s v="OB-R-247"/>
    <n v="7462"/>
    <n v="19"/>
    <n v="14"/>
    <n v="5"/>
    <n v="19"/>
    <n v="14"/>
    <n v="5"/>
    <n v="0"/>
    <s v="Struck the slope of Mt Pintado located 25 km north of the airport shortly after taking off from Trujillo."/>
    <n v="0"/>
    <n v="1"/>
    <x v="1"/>
  </r>
  <r>
    <n v="2874"/>
    <x v="2607"/>
    <x v="66"/>
    <x v="1"/>
    <d v="1899-12-30T17:05:00"/>
    <s v="Near Palm Springs, California"/>
    <s v="Jet Avia Charter"/>
    <s v="Unknown"/>
    <s v="Palm Springs - Las Vegas"/>
    <x v="1329"/>
    <s v="N12MK"/>
    <s v="24B-192"/>
    <n v="4"/>
    <n v="2"/>
    <n v="2"/>
    <n v="4"/>
    <n v="2"/>
    <n v="2"/>
    <n v="0"/>
    <s v="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quot;Dolly&quot; Sinatra, 82, mother of entertainer Frank Sinatra and her traveling companion were killed."/>
    <n v="0"/>
    <n v="1"/>
    <x v="1"/>
  </r>
  <r>
    <n v="2875"/>
    <x v="2608"/>
    <x v="66"/>
    <x v="1"/>
    <d v="1899-12-30T06:36:00"/>
    <s v="Anchorage, Alaska"/>
    <s v="Japan Air Lines"/>
    <s v="Unknown"/>
    <s v="Mosses Lake, WA - Tokyo, Japan"/>
    <x v="1330"/>
    <s v="JA8054"/>
    <s v="46148/553"/>
    <n v="5"/>
    <n v="0"/>
    <n v="5"/>
    <n v="5"/>
    <n v="0"/>
    <n v="5"/>
    <n v="0"/>
    <s v="The cargo plane crashed while attempting to take off. Alcoholic impairment of captain. Flightcrew members did not prevent captain from attempting to fly. Blood alcohol of 0.21."/>
    <n v="0"/>
    <n v="1"/>
    <x v="1"/>
  </r>
  <r>
    <n v="2876"/>
    <x v="2608"/>
    <x v="66"/>
    <x v="1"/>
    <d v="1899-12-30T18:14:00"/>
    <s v="Near Alma Ata,  Kazakastan, USSR"/>
    <s v="Aeroflot"/>
    <n v="3843"/>
    <s v="Novosibirsk - Alma Ata"/>
    <x v="808"/>
    <s v="CCCP-42369"/>
    <n v="86601203"/>
    <n v="90"/>
    <n v="82"/>
    <n v="8"/>
    <n v="90"/>
    <n v="82"/>
    <n v="8"/>
    <n v="0"/>
    <s v="The aircraft was preparing to land when it was informed by the tower that its left engine was on fire. Shortly thereafter, the plane exploded and crashed 2 miles short of the runway."/>
    <n v="0"/>
    <n v="1"/>
    <x v="1"/>
  </r>
  <r>
    <n v="2877"/>
    <x v="2609"/>
    <x v="66"/>
    <x v="1"/>
    <s v="Unknown"/>
    <s v="Terrace, BC, Canada"/>
    <s v="Northern Thunderbird Air Ltd."/>
    <s v="Unknown"/>
    <s v="Prince George - Prince Rupert"/>
    <x v="1220"/>
    <s v="C-GNTB"/>
    <n v="463"/>
    <n v="12"/>
    <n v="9"/>
    <n v="3"/>
    <n v="12"/>
    <n v="9"/>
    <n v="3"/>
    <n v="0"/>
    <s v="Crashed into Little Herman Mountain while on approach."/>
    <n v="0"/>
    <n v="1"/>
    <x v="1"/>
  </r>
  <r>
    <n v="2878"/>
    <x v="2610"/>
    <x v="66"/>
    <x v="1"/>
    <d v="1899-12-30T09:05:00"/>
    <s v="Kalvesta, Sweden"/>
    <s v="Skyline Sweden"/>
    <s v="Unknown"/>
    <s v="Malmo - Bromma"/>
    <x v="1331"/>
    <s v="SE-FOZ"/>
    <n v="372"/>
    <n v="22"/>
    <n v="19"/>
    <n v="3"/>
    <n v="22"/>
    <n v="19"/>
    <n v="3"/>
    <n v="0"/>
    <s v="The aircraft suddenly dove to the earth into an apartment parking lot from an altitude of 1,150 feet. Icing of the stabilizer leading to stabilizer stall. The No.2 and No.3 engines had been running with reduced power and the anti-icing system temperature was too low."/>
    <n v="0"/>
    <n v="1"/>
    <x v="1"/>
  </r>
  <r>
    <n v="2879"/>
    <x v="2611"/>
    <x v="66"/>
    <x v="1"/>
    <s v="Unknown"/>
    <m/>
    <s v="North Canada Air"/>
    <s v="Unknown"/>
    <s v="Unknown"/>
    <x v="886"/>
    <s v="C-FWAD"/>
    <n v="13253"/>
    <n v="2"/>
    <n v="0"/>
    <n v="2"/>
    <n v="1"/>
    <n v="0"/>
    <n v="1"/>
    <n v="0"/>
    <s v="The cargo plane stalled nearly vertical and crashed. Shifting cargo."/>
    <n v="1"/>
    <n v="0.5"/>
    <x v="0"/>
  </r>
  <r>
    <n v="2880"/>
    <x v="2612"/>
    <x v="66"/>
    <x v="1"/>
    <s v="Unknown"/>
    <s v="Bratislava, Slovakia"/>
    <s v="CeskoslovenskÃ© Aerolinie"/>
    <s v="Unknown"/>
    <s v="Unknown"/>
    <x v="1332"/>
    <s v="OK-OCA"/>
    <n v="190013167"/>
    <n v="5"/>
    <n v="2"/>
    <n v="3"/>
    <n v="4"/>
    <n v="2"/>
    <n v="2"/>
    <n v="0"/>
    <s v="The cargo plane crashed short of the runway while attempting to land. Failure to follow the prescribed flight path and decision height in marginal weather."/>
    <n v="1"/>
    <n v="0.8"/>
    <x v="1"/>
  </r>
  <r>
    <n v="2881"/>
    <x v="2613"/>
    <x v="66"/>
    <x v="1"/>
    <d v="1899-12-30T23:17:00"/>
    <s v="Mineralnye Vody, Russia"/>
    <s v="Aeroflot"/>
    <n v="5003"/>
    <s v="Tashkent - Mineralnyye Vody"/>
    <x v="925"/>
    <s v="CCCP-75520"/>
    <n v="183006703"/>
    <n v="98"/>
    <n v="92"/>
    <n v="6"/>
    <n v="77"/>
    <n v="76"/>
    <n v="1"/>
    <n v="0"/>
    <s v="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
    <n v="21"/>
    <n v="0.7857142857142857"/>
    <x v="1"/>
  </r>
  <r>
    <n v="2882"/>
    <x v="2614"/>
    <x v="66"/>
    <x v="1"/>
    <s v="Unknown"/>
    <s v="Near Saglouc, Canada"/>
    <s v="Survair"/>
    <s v="Unknown"/>
    <s v="Unknown"/>
    <x v="277"/>
    <s v="C-FNAR"/>
    <n v="13154"/>
    <n v="10"/>
    <n v="7"/>
    <n v="3"/>
    <n v="4"/>
    <n v="2"/>
    <n v="2"/>
    <n v="0"/>
    <s v="Crashed in whiteout conditions. Possible spatial disorientation on final."/>
    <n v="6"/>
    <n v="0.4"/>
    <x v="0"/>
  </r>
  <r>
    <n v="2883"/>
    <x v="2615"/>
    <x v="66"/>
    <x v="1"/>
    <s v="Unknown"/>
    <s v="Off Aden, Yemen"/>
    <s v="Alyemda"/>
    <s v="Unknown"/>
    <s v="Aden - Al Kari"/>
    <x v="277"/>
    <s v="7O-ABF"/>
    <n v="13475"/>
    <n v="21"/>
    <n v="17"/>
    <n v="3"/>
    <n v="19"/>
    <n v="16"/>
    <n v="3"/>
    <n v="0"/>
    <s v="Crashed into the ocean. Engine failure."/>
    <n v="2"/>
    <n v="0.90476190476190477"/>
    <x v="1"/>
  </r>
  <r>
    <n v="2884"/>
    <x v="2616"/>
    <x v="66"/>
    <x v="1"/>
    <d v="1899-12-30T15:00:00"/>
    <s v="Near Cascina, Italy"/>
    <s v="Military - Italian Air Force"/>
    <s v="Unknown"/>
    <s v="Training"/>
    <x v="1262"/>
    <s v="MM61995"/>
    <n v="4491"/>
    <n v="44"/>
    <n v="38"/>
    <n v="6"/>
    <n v="44"/>
    <n v="38"/>
    <n v="6"/>
    <n v="0"/>
    <s v="The aircraft crashed into cloud obscured  Mt. Serra shortly after taking off from San Giusto Airport at Pisa. The plane was seen making a evasive maneuver before slamming into the mountain peak."/>
    <n v="0"/>
    <n v="1"/>
    <x v="1"/>
  </r>
  <r>
    <n v="2885"/>
    <x v="2617"/>
    <x v="66"/>
    <x v="1"/>
    <d v="1899-12-30T03:35:00"/>
    <s v="Niamey, Niger"/>
    <s v="Overseas National Airways"/>
    <s v="Unknown"/>
    <s v="Paris, France - Niamey, Nigher"/>
    <x v="1147"/>
    <s v="N8635"/>
    <s v="46050/430"/>
    <n v="4"/>
    <n v="0"/>
    <n v="4"/>
    <n v="2"/>
    <n v="0"/>
    <n v="2"/>
    <n v="0"/>
    <s v="The cargo plane crashed short of the runway while attempting to land.  The crew continued the approach below the glide until impact with ground."/>
    <n v="2"/>
    <n v="0.5"/>
    <x v="0"/>
  </r>
  <r>
    <n v="2886"/>
    <x v="2618"/>
    <x v="66"/>
    <x v="1"/>
    <d v="1899-12-30T17:07:00"/>
    <s v="Tenerife, Canary Islands"/>
    <s v="Pan American World Airways / KLM"/>
    <s v="1736/4805"/>
    <s v="Tenerife - Las Palmas / Tenerife - Las Palmas"/>
    <x v="1333"/>
    <s v="N736PA/PH-BUF"/>
    <s v="19643/11 / 20400/157"/>
    <n v="644"/>
    <n v="614"/>
    <n v="30"/>
    <n v="583"/>
    <n v="560"/>
    <n v="23"/>
    <n v="0"/>
    <s v="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
    <n v="61"/>
    <n v="0.90527950310559002"/>
    <x v="1"/>
  </r>
  <r>
    <n v="2887"/>
    <x v="2619"/>
    <x v="66"/>
    <x v="1"/>
    <s v="Unknown"/>
    <s v="Bainaha Valley, Indonesia"/>
    <s v="Merpati Nusantara Airlines"/>
    <s v="Unknown"/>
    <s v="Palu - Toli Toli"/>
    <x v="1220"/>
    <s v="PK-NUP"/>
    <n v="486"/>
    <n v="23"/>
    <n v="20"/>
    <n v="3"/>
    <n v="15"/>
    <n v="13"/>
    <n v="2"/>
    <n v="0"/>
    <s v="After spotting a mountain in front of him, the pilot applied full power and went into a steep climb. The plane stalled and crashed into trees."/>
    <n v="8"/>
    <n v="0.65217391304347827"/>
    <x v="1"/>
  </r>
  <r>
    <n v="2888"/>
    <x v="2620"/>
    <x v="66"/>
    <x v="1"/>
    <d v="1899-12-30T08:39:00"/>
    <s v="Near Zhadanof, Russia"/>
    <s v="Aeroflot"/>
    <s v="H-925"/>
    <s v="_x0009_Dnepropetrovsk - _x0009_Zhdanov"/>
    <x v="1146"/>
    <s v="CCCP-87738"/>
    <n v="9010310"/>
    <n v="27"/>
    <n v="23"/>
    <n v="4"/>
    <n v="8"/>
    <n v="5"/>
    <n v="3"/>
    <n v="0"/>
    <s v="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
    <n v="19"/>
    <n v="0.29629629629629628"/>
    <x v="2"/>
  </r>
  <r>
    <n v="2889"/>
    <x v="2621"/>
    <x v="66"/>
    <x v="1"/>
    <d v="1899-12-30T16:19:00"/>
    <s v="New Hope, Georgia"/>
    <s v="Southern Airways"/>
    <n v="242"/>
    <s v="Huntsville - Atlanta"/>
    <x v="1153"/>
    <s v="N1335U"/>
    <s v="47393/608"/>
    <n v="85"/>
    <n v="81"/>
    <n v="4"/>
    <n v="62"/>
    <n v="60"/>
    <n v="2"/>
    <n v="8"/>
    <s v="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
    <n v="23"/>
    <n v="0.72941176470588232"/>
    <x v="1"/>
  </r>
  <r>
    <n v="2890"/>
    <x v="2622"/>
    <x v="66"/>
    <x v="1"/>
    <s v="Unknown"/>
    <s v="SW of Bogota, Colombia"/>
    <s v="El Venado"/>
    <s v="Unknown"/>
    <s v="Villavicencio - Bogota"/>
    <x v="1334"/>
    <s v="HK-556"/>
    <n v="4958"/>
    <n v="35"/>
    <n v="31"/>
    <n v="4"/>
    <n v="35"/>
    <n v="31"/>
    <n v="4"/>
    <n v="0"/>
    <s v="Crashed on the slopes of the Rio Guape mountains. Found 1 month later. Deviation from course."/>
    <n v="0"/>
    <n v="1"/>
    <x v="1"/>
  </r>
  <r>
    <n v="2891"/>
    <x v="2623"/>
    <x v="66"/>
    <x v="1"/>
    <s v="Unknown"/>
    <s v="Tapa AFB, Estonia"/>
    <s v="Military - Soviet Air Force"/>
    <s v="Unknown"/>
    <s v="Parnu - Tapa"/>
    <x v="968"/>
    <s v="Unknown"/>
    <s v="Unknown"/>
    <n v="21"/>
    <n v="15"/>
    <n v="6"/>
    <n v="21"/>
    <n v="15"/>
    <n v="6"/>
    <n v="0"/>
    <s v="Crashed into a building while attempting to land in snow and poor visibility."/>
    <n v="0"/>
    <n v="1"/>
    <x v="1"/>
  </r>
  <r>
    <n v="2892"/>
    <x v="2624"/>
    <x v="66"/>
    <x v="1"/>
    <s v="Unknown"/>
    <s v="Guatemala City, Guatemala"/>
    <s v="Aviateca"/>
    <s v="Unknown"/>
    <s v="Unknown"/>
    <x v="962"/>
    <s v="TG-ACA"/>
    <n v="143"/>
    <n v="28"/>
    <n v="22"/>
    <n v="6"/>
    <n v="28"/>
    <n v="22"/>
    <n v="6"/>
    <n v="0"/>
    <s v="Failure of the No. 1 engine due to lack of oil. Mantenance error. Incorrectly connected high pressure oil hose."/>
    <n v="0"/>
    <n v="1"/>
    <x v="1"/>
  </r>
  <r>
    <n v="2893"/>
    <x v="2625"/>
    <x v="66"/>
    <x v="1"/>
    <d v="1899-12-30T20:30:00"/>
    <s v="Near Jericho, Jordan"/>
    <s v="Military - Israel Air Force"/>
    <s v="Unknown"/>
    <s v="Unknown"/>
    <x v="1203"/>
    <n v="360"/>
    <s v="Unknown"/>
    <n v="54"/>
    <n v="50"/>
    <n v="4"/>
    <n v="54"/>
    <n v="50"/>
    <n v="4"/>
    <n v="0"/>
    <s v="Crashed and exploded in the desert shortly after taking off . Crew error. Flight at an unsafe altitude into an area of unfamiliar terrain."/>
    <n v="0"/>
    <n v="1"/>
    <x v="1"/>
  </r>
  <r>
    <n v="2894"/>
    <x v="2626"/>
    <x v="66"/>
    <x v="1"/>
    <d v="1899-12-30T08:45:00"/>
    <s v="Beiruit, Lebanon"/>
    <s v="LOT Polish Airlines"/>
    <s v="Unknown"/>
    <s v="Varna, Bulgaria  - Beiruit, Lebanon"/>
    <x v="1060"/>
    <s v="SP-LZA"/>
    <n v="6344307"/>
    <n v="9"/>
    <n v="0"/>
    <n v="9"/>
    <n v="9"/>
    <n v="0"/>
    <n v="9"/>
    <n v="0"/>
    <s v="The cargo plane struck power lines and trees while attempting to land."/>
    <n v="0"/>
    <n v="1"/>
    <x v="1"/>
  </r>
  <r>
    <n v="2895"/>
    <x v="2627"/>
    <x v="66"/>
    <x v="1"/>
    <d v="1899-12-30T09:33:00"/>
    <s v="Near Lusaka, Zambia"/>
    <s v="IAS Cargo"/>
    <s v="Unknown"/>
    <s v="Nairobi, Kenya  - Luskaka, Zambia"/>
    <x v="1223"/>
    <s v="G-BEBP"/>
    <s v="18579/332"/>
    <n v="6"/>
    <n v="1"/>
    <n v="5"/>
    <n v="6"/>
    <n v="1"/>
    <n v="5"/>
    <n v="0"/>
    <s v="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
    <n v="0"/>
    <n v="1"/>
    <x v="1"/>
  </r>
  <r>
    <n v="2896"/>
    <x v="2628"/>
    <x v="66"/>
    <x v="1"/>
    <d v="1899-12-30T17:35:00"/>
    <s v="New York, New York"/>
    <s v="New  York Helicopter"/>
    <s v="Unknown"/>
    <s v="Pan Am building - JFK Airport"/>
    <x v="1335"/>
    <s v="N619PA"/>
    <n v="61427"/>
    <n v="25"/>
    <n v="22"/>
    <n v="3"/>
    <n v="4"/>
    <n v="4"/>
    <n v="0"/>
    <n v="1"/>
    <s v="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
    <n v="21"/>
    <n v="0.16"/>
    <x v="2"/>
  </r>
  <r>
    <n v="2897"/>
    <x v="2629"/>
    <x v="66"/>
    <x v="1"/>
    <d v="1899-12-30T08:45:00"/>
    <s v="Havana, Cuba"/>
    <s v="Aeroflot"/>
    <s v="SU-331"/>
    <s v="Lisbon - Havana"/>
    <x v="1336"/>
    <s v="CCCP-86614"/>
    <n v="51903"/>
    <n v="69"/>
    <n v="59"/>
    <n v="10"/>
    <n v="67"/>
    <n v="57"/>
    <n v="10"/>
    <n v="0"/>
    <s v="Struck power lines and crashed 1 m from the runway while attempting to land."/>
    <n v="2"/>
    <n v="0.97101449275362317"/>
    <x v="1"/>
  </r>
  <r>
    <n v="2898"/>
    <x v="2630"/>
    <x v="66"/>
    <x v="1"/>
    <s v="Unknown"/>
    <s v="Natal, Brazil"/>
    <s v="Military - Brazilian Air Force"/>
    <s v="Unknown"/>
    <s v="Unknown"/>
    <x v="1337"/>
    <s v="FAB2157"/>
    <n v="110057"/>
    <n v="18"/>
    <n v="16"/>
    <n v="2"/>
    <n v="18"/>
    <n v="16"/>
    <n v="2"/>
    <n v="0"/>
    <s v="No data available"/>
    <n v="0"/>
    <n v="1"/>
    <x v="1"/>
  </r>
  <r>
    <n v="2899"/>
    <x v="2631"/>
    <x v="66"/>
    <x v="1"/>
    <s v="Unknown"/>
    <s v="Salto-Nueva Hesperides, Uruguay"/>
    <s v="Fuerza AÃ©rea Uruguaya"/>
    <s v="Unknown"/>
    <s v="Carrasco - Salto-Nueva Hesperides"/>
    <x v="1282"/>
    <s v="CX-BJE"/>
    <n v="110083"/>
    <n v="15"/>
    <n v="13"/>
    <n v="2"/>
    <n v="12"/>
    <n v="10"/>
    <n v="2"/>
    <n v="0"/>
    <s v="Crashed into trees while making an ILS approach."/>
    <n v="3"/>
    <n v="0.8"/>
    <x v="1"/>
  </r>
  <r>
    <n v="2900"/>
    <x v="2632"/>
    <x v="66"/>
    <x v="1"/>
    <d v="1899-12-30T22:30:00"/>
    <s v="Off Wake Island"/>
    <s v="Military - U.S. Navy"/>
    <s v="Unknown"/>
    <s v="Wake-Agana"/>
    <x v="1338"/>
    <n v="156176"/>
    <n v="4280"/>
    <n v="16"/>
    <n v="0"/>
    <n v="16"/>
    <n v="16"/>
    <n v="0"/>
    <n v="16"/>
    <n v="0"/>
    <s v="Crashed into the Pacific Ocean and exploded moments after taking off from Wake Island Air Base. The plane rose no higher than 400 ft. before crashing one mile from the end of the runway."/>
    <n v="0"/>
    <n v="1"/>
    <x v="1"/>
  </r>
  <r>
    <n v="2901"/>
    <x v="2633"/>
    <x v="66"/>
    <x v="1"/>
    <d v="1899-12-30T23:30:00"/>
    <s v="Saint Louis, Missouri"/>
    <s v="Fleming International Airways"/>
    <s v="Unknown"/>
    <s v="Saint Louis, MO - Detroit, MI"/>
    <x v="1289"/>
    <s v="N280F"/>
    <n v="1076"/>
    <n v="3"/>
    <n v="0"/>
    <n v="3"/>
    <n v="3"/>
    <n v="0"/>
    <n v="3"/>
    <n v="0"/>
    <s v="After taking off the cargo plane's No. 2 engine did not develop power, the plane rolled to the right and crashed. Attempted operation with known deficiencies in equipment. Failed to follow approved procedures. Inadequate maintenance and inspection."/>
    <n v="0"/>
    <n v="1"/>
    <x v="1"/>
  </r>
  <r>
    <n v="2902"/>
    <x v="2634"/>
    <x v="66"/>
    <x v="1"/>
    <s v="Unknown"/>
    <s v="Off Kirovograd, Ukraine"/>
    <s v="Aeroflot"/>
    <s v="Unknown"/>
    <s v="Unknown"/>
    <x v="968"/>
    <s v="CCCP-46847"/>
    <n v="27307505"/>
    <n v="7"/>
    <s v="NULL"/>
    <s v="NULL"/>
    <n v="6"/>
    <s v="NULL"/>
    <s v="NULL"/>
    <n v="0"/>
    <s v="Crashed into the Black Sea shortly after taking off from Kirovograd."/>
    <n v="1"/>
    <n v="0.8571428571428571"/>
    <x v="1"/>
  </r>
  <r>
    <n v="2903"/>
    <x v="2635"/>
    <x v="66"/>
    <x v="1"/>
    <d v="1899-12-30T12:30:00"/>
    <s v="Near Cuangar, Angola"/>
    <s v="Military - Angolan Air Force"/>
    <s v="Unknown"/>
    <s v="Unknown"/>
    <x v="1195"/>
    <s v="Unknown"/>
    <s v="Unknown"/>
    <n v="30"/>
    <n v="25"/>
    <n v="5"/>
    <n v="30"/>
    <n v="25"/>
    <n v="5"/>
    <n v="0"/>
    <s v="Shot down by rebels near the Namibia border as it took off."/>
    <n v="0"/>
    <n v="1"/>
    <x v="1"/>
  </r>
  <r>
    <n v="2904"/>
    <x v="2636"/>
    <x v="66"/>
    <x v="1"/>
    <s v="Unknown"/>
    <s v="_x0009_Vitim, Russia"/>
    <s v="Aeroflot"/>
    <s v="B-2"/>
    <s v="_x0009_Vitim - Irkutsk"/>
    <x v="1291"/>
    <s v="CCCP-52096"/>
    <n v="86806109"/>
    <n v="40"/>
    <n v="34"/>
    <n v="6"/>
    <n v="40"/>
    <n v="34"/>
    <n v="6"/>
    <n v="0"/>
    <s v="The crew attempted to take off in tailwind, stalled, contacted trees and crashed"/>
    <n v="0"/>
    <n v="1"/>
    <x v="1"/>
  </r>
  <r>
    <n v="2905"/>
    <x v="2636"/>
    <x v="66"/>
    <x v="1"/>
    <d v="1899-12-30T17:30:00"/>
    <s v="Jima, Ethiopia"/>
    <s v="Ethiopian Airlines"/>
    <s v="Unknown"/>
    <s v="Tippi - Jima"/>
    <x v="277"/>
    <s v="ET-ABF"/>
    <n v="6069"/>
    <n v="5"/>
    <n v="2"/>
    <n v="3"/>
    <n v="5"/>
    <n v="2"/>
    <n v="3"/>
    <n v="0"/>
    <s v="The cargo plane crashed into a mountainside in poor weather, visibility and rain showers."/>
    <n v="0"/>
    <n v="1"/>
    <x v="1"/>
  </r>
  <r>
    <n v="2906"/>
    <x v="2637"/>
    <x v="66"/>
    <x v="1"/>
    <d v="1899-12-30T19:00:00"/>
    <s v="Near Puerto Montt, Chile"/>
    <s v="Military - Chilean Air Force"/>
    <s v="Unknown"/>
    <s v="Punta Arenas - Santiago"/>
    <x v="626"/>
    <s v="FAC-989"/>
    <n v="45534"/>
    <n v="82"/>
    <n v="75"/>
    <n v="7"/>
    <n v="38"/>
    <n v="31"/>
    <n v="7"/>
    <n v="0"/>
    <s v="Crashed into a swamp and burst into flames as it attempted to land in heavy rain at night."/>
    <n v="44"/>
    <n v="0.46341463414634149"/>
    <x v="0"/>
  </r>
  <r>
    <n v="2907"/>
    <x v="2638"/>
    <x v="66"/>
    <x v="1"/>
    <d v="1899-12-30T08:00:00"/>
    <s v="Near Yoro, Honduras"/>
    <s v="Military - Honduran Air Force"/>
    <s v="Unknown"/>
    <s v="Yoro - Honduran"/>
    <x v="368"/>
    <s v="FAH-301"/>
    <n v="6096"/>
    <n v="40"/>
    <n v="36"/>
    <n v="4"/>
    <n v="25"/>
    <s v="NULL"/>
    <s v="NULL"/>
    <n v="0"/>
    <s v="The left engine exploded in flight and the plane crashed into mountainous terrain. Plane was overloaded with passengers."/>
    <n v="15"/>
    <n v="0.625"/>
    <x v="0"/>
  </r>
  <r>
    <n v="2908"/>
    <x v="2639"/>
    <x v="66"/>
    <x v="1"/>
    <d v="1899-12-30T12:36:00"/>
    <s v="Encino, California"/>
    <s v="Private KNBC Los Angeles"/>
    <s v="Unknown"/>
    <s v="Burbank - Santa Barbara"/>
    <x v="1339"/>
    <s v="N4TV"/>
    <s v="Unknown"/>
    <n v="2"/>
    <n v="1"/>
    <n v="1"/>
    <n v="2"/>
    <n v="1"/>
    <n v="1"/>
    <n v="0"/>
    <s v="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
    <n v="0"/>
    <n v="1"/>
    <x v="1"/>
  </r>
  <r>
    <n v="2909"/>
    <x v="2640"/>
    <x v="66"/>
    <x v="1"/>
    <d v="1899-12-30T21:06:00"/>
    <s v="San Jose, Costa Rica"/>
    <s v="Monarch Aviation"/>
    <s v="Unknown"/>
    <s v=" Catalina Island-Long Beach"/>
    <x v="847"/>
    <s v="N8817E"/>
    <s v="Unknown"/>
    <n v="3"/>
    <n v="0"/>
    <n v="3"/>
    <n v="3"/>
    <n v="0"/>
    <n v="3"/>
    <n v="0"/>
    <s v="The cargo plane took off struck trees, crashed and burned."/>
    <n v="0"/>
    <n v="1"/>
    <x v="1"/>
  </r>
  <r>
    <n v="2910"/>
    <x v="2641"/>
    <x v="66"/>
    <x v="1"/>
    <d v="1899-12-30T05:40:00"/>
    <s v="Kona, Hawaii"/>
    <s v="Island Airways"/>
    <s v="Unknown"/>
    <s v="Honolulu-Kailua Kona"/>
    <x v="1340"/>
    <s v="N4917"/>
    <s v="SH-1850"/>
    <n v="2"/>
    <n v="0"/>
    <n v="2"/>
    <n v="2"/>
    <n v="0"/>
    <n v="2"/>
    <n v="0"/>
    <s v="The cargo plane stalled, went into a spin and crashed short of the runway. Failure to maintain flying speed."/>
    <n v="0"/>
    <n v="1"/>
    <x v="1"/>
  </r>
  <r>
    <n v="2911"/>
    <x v="2642"/>
    <x v="66"/>
    <x v="1"/>
    <d v="1899-12-30T08:38:00"/>
    <s v="Off Hong Kong"/>
    <s v="Transmeridian Air Cargo"/>
    <n v="3751"/>
    <s v="Hong Kong-Bangkok"/>
    <x v="1341"/>
    <s v="G-ATZH"/>
    <n v="21"/>
    <n v="4"/>
    <n v="0"/>
    <n v="4"/>
    <n v="4"/>
    <n v="0"/>
    <n v="4"/>
    <n v="0"/>
    <s v="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
    <n v="0"/>
    <n v="1"/>
    <x v="1"/>
  </r>
  <r>
    <n v="2912"/>
    <x v="2643"/>
    <x v="66"/>
    <x v="1"/>
    <s v="Unknown"/>
    <s v="Near Cuenca, Ecuador"/>
    <s v="Servicios Aereos Nacionales Airways"/>
    <s v="Unknown"/>
    <s v="Guayaquil - Cuenca"/>
    <x v="1342"/>
    <s v="HC-BCL"/>
    <n v="185"/>
    <n v="33"/>
    <n v="29"/>
    <n v="4"/>
    <n v="33"/>
    <n v="29"/>
    <n v="4"/>
    <n v="0"/>
    <s v="Struck a mountain peak in the Cajas mountains  in poor weather . Flying VFR in IFR conditions."/>
    <n v="0"/>
    <n v="1"/>
    <x v="1"/>
  </r>
  <r>
    <n v="2913"/>
    <x v="2644"/>
    <x v="66"/>
    <x v="1"/>
    <d v="1899-12-30T14:52:00"/>
    <s v="Mt. Iliamna, Alaska"/>
    <s v="Alaska Aeronautical Industries"/>
    <n v="302"/>
    <s v="Iliamna - Anchorage"/>
    <x v="1095"/>
    <s v="N563MA"/>
    <n v="196"/>
    <n v="13"/>
    <n v="11"/>
    <n v="2"/>
    <n v="13"/>
    <n v="11"/>
    <n v="2"/>
    <n v="0"/>
    <s v="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
    <n v="0"/>
    <n v="1"/>
    <x v="1"/>
  </r>
  <r>
    <n v="2914"/>
    <x v="2645"/>
    <x v="66"/>
    <x v="1"/>
    <s v="Unknown"/>
    <s v="Mt. Loi Hsam Hsao, Burma"/>
    <s v="Burma Airways"/>
    <s v="Unknown"/>
    <s v="Mongasat - Keng Tung"/>
    <x v="1220"/>
    <s v="XY-AEH"/>
    <n v="540"/>
    <n v="19"/>
    <n v="16"/>
    <n v="3"/>
    <n v="19"/>
    <n v="16"/>
    <n v="3"/>
    <n v="0"/>
    <s v="Crashed in the jungles of eastern Burma."/>
    <n v="0"/>
    <n v="1"/>
    <x v="1"/>
  </r>
  <r>
    <n v="2915"/>
    <x v="2646"/>
    <x v="66"/>
    <x v="1"/>
    <d v="1899-12-30T00:12:00"/>
    <s v="Yakutat, Alaska"/>
    <s v="Safe Air Cargo"/>
    <s v="Unknown"/>
    <s v="Yakutat - Anchorage"/>
    <x v="1343"/>
    <s v="N6314J"/>
    <s v="45359/868"/>
    <n v="4"/>
    <n v="0"/>
    <n v="4"/>
    <n v="4"/>
    <n v="0"/>
    <n v="4"/>
    <n v="0"/>
    <s v="The cargo plane did not gain altitude after taking off and crashed into trees 2.5 miles from the runway. The aircraft was overloaded and lost an engine on takeoff."/>
    <n v="0"/>
    <n v="1"/>
    <x v="1"/>
  </r>
  <r>
    <n v="2916"/>
    <x v="2647"/>
    <x v="66"/>
    <x v="1"/>
    <d v="1899-12-30T23:48:00"/>
    <s v="Near Albuquerque, New Mexico"/>
    <s v="Military - U.S. Air Force"/>
    <s v="Unknown"/>
    <s v="Kirtland AFB - Nellis AFB"/>
    <x v="1344"/>
    <s v="62-3536"/>
    <s v="Unknown"/>
    <n v="20"/>
    <n v="0"/>
    <n v="20"/>
    <n v="20"/>
    <n v="0"/>
    <n v="20"/>
    <n v="0"/>
    <s v="Crashed into a mountain peak in the Manzano range shortly after taking off and making a right bank. The aircraft was observed flying too low and did not heed the controller's warnings. Fatigue may have played a part in the accident."/>
    <n v="0"/>
    <n v="1"/>
    <x v="1"/>
  </r>
  <r>
    <n v="2917"/>
    <x v="2648"/>
    <x v="66"/>
    <x v="1"/>
    <d v="1899-12-30T16:59:00"/>
    <s v="Bucharest, Romania"/>
    <s v="Malev Hungarian Airlines"/>
    <s v="Unknown"/>
    <s v="Istanbul - Bucharest"/>
    <x v="1292"/>
    <s v="HA-LBC"/>
    <n v="8350605"/>
    <n v="53"/>
    <n v="45"/>
    <n v="8"/>
    <n v="29"/>
    <n v="21"/>
    <n v="8"/>
    <n v="0"/>
    <s v="Crashed short of the runway. The aircraft was being flown at reduced power and went unnoticed by the crew until it struck the ground in level flight.."/>
    <n v="24"/>
    <n v="0.54716981132075471"/>
    <x v="0"/>
  </r>
  <r>
    <n v="2918"/>
    <x v="2649"/>
    <x v="66"/>
    <x v="1"/>
    <s v="Unknown"/>
    <s v="Kuala Lumpur,  Malaysia"/>
    <s v="Japan Air Lines"/>
    <n v="715"/>
    <s v="Tokyo-Hong Kong-Kuala Lumpur"/>
    <x v="1345"/>
    <s v="JA-8051"/>
    <s v="46152/550"/>
    <n v="79"/>
    <n v="69"/>
    <n v="10"/>
    <n v="34"/>
    <n v="26"/>
    <n v="8"/>
    <n v="0"/>
    <s v="The aircraft struck a hill 4 miles short of the runway while on  a VOR approach during a thunderstorm. Crew error. Descended below MDA."/>
    <n v="45"/>
    <n v="0.43037974683544306"/>
    <x v="0"/>
  </r>
  <r>
    <n v="2919"/>
    <x v="2650"/>
    <x v="66"/>
    <x v="1"/>
    <d v="1899-12-30T18:52:00"/>
    <s v="Near Gillsburg, Mississippi"/>
    <s v="L &amp; J Company"/>
    <s v="Unknown"/>
    <s v="Greenville - Baton Rouge"/>
    <x v="1346"/>
    <s v="N55VM"/>
    <n v="3"/>
    <n v="26"/>
    <n v="24"/>
    <n v="2"/>
    <n v="6"/>
    <n v="4"/>
    <n v="2"/>
    <n v="0"/>
    <s v="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
    <n v="20"/>
    <n v="0.23076923076923078"/>
    <x v="2"/>
  </r>
  <r>
    <n v="2920"/>
    <x v="2651"/>
    <x v="66"/>
    <x v="1"/>
    <d v="1899-12-30T10:30:00"/>
    <s v="Mindoro, Philippines"/>
    <s v="Military - U.S. Marine Corps"/>
    <s v="Unknown"/>
    <s v="Unknown"/>
    <x v="1347"/>
    <n v="157139"/>
    <s v="Unknown"/>
    <n v="37"/>
    <n v="33"/>
    <n v="4"/>
    <n v="24"/>
    <s v="NULL"/>
    <s v="NULL"/>
    <n v="0"/>
    <s v="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
    <n v="13"/>
    <n v="0.64864864864864868"/>
    <x v="0"/>
  </r>
  <r>
    <n v="2921"/>
    <x v="2652"/>
    <x v="66"/>
    <x v="1"/>
    <s v="Unknown"/>
    <s v="San Cristobal de las Casas, Mexico"/>
    <s v="Servicios Aereos Martinez Leon"/>
    <s v="Unknown"/>
    <s v="Palenque - San Cristobal de las Casas"/>
    <x v="1348"/>
    <s v="XA-FUA"/>
    <n v="388"/>
    <n v="13"/>
    <n v="12"/>
    <n v="1"/>
    <n v="13"/>
    <n v="12"/>
    <n v="1"/>
    <n v="0"/>
    <s v="Exploded, crashed and burned on approach."/>
    <n v="0"/>
    <n v="1"/>
    <x v="1"/>
  </r>
  <r>
    <n v="2922"/>
    <x v="2653"/>
    <x v="66"/>
    <x v="1"/>
    <d v="1899-12-30T04:12:00"/>
    <s v="Rome, Italy"/>
    <s v="Ethiopian Airlines"/>
    <s v="Unknown"/>
    <s v="Rome, Italy - Asmara, Ethiopia"/>
    <x v="1349"/>
    <s v="ET-ACD"/>
    <s v="19736/696"/>
    <n v="5"/>
    <n v="2"/>
    <n v="3"/>
    <n v="5"/>
    <n v="2"/>
    <n v="3"/>
    <n v="0"/>
    <s v="The cargo plane failed to gain altitude and crashed into trees."/>
    <n v="0"/>
    <n v="1"/>
    <x v="1"/>
  </r>
  <r>
    <n v="2923"/>
    <x v="2653"/>
    <x v="66"/>
    <x v="1"/>
    <d v="1899-12-30T21:48:00"/>
    <s v="Near Funchal, Island of Madeira, Portugal"/>
    <s v="TAP (Air Portugal)"/>
    <n v="425"/>
    <s v="Brussels - Funchal"/>
    <x v="1350"/>
    <s v="CS-TBR"/>
    <s v="20972/1096"/>
    <n v="164"/>
    <n v="156"/>
    <n v="8"/>
    <n v="131"/>
    <n v="125"/>
    <n v="6"/>
    <n v="0"/>
    <s v="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
    <n v="33"/>
    <n v="0.79878048780487809"/>
    <x v="1"/>
  </r>
  <r>
    <n v="2924"/>
    <x v="2654"/>
    <x v="66"/>
    <x v="1"/>
    <d v="1899-12-30T10:04:00"/>
    <s v="Near Bariloche, Argentina"/>
    <s v="Austral Lineas Aeras (Argentina)"/>
    <s v="Unknown"/>
    <s v="Buenos  Aires - San Carlos de Bariloche"/>
    <x v="1351"/>
    <s v="LV-JGY"/>
    <n v="155"/>
    <n v="79"/>
    <n v="74"/>
    <n v="5"/>
    <n v="46"/>
    <n v="41"/>
    <n v="5"/>
    <n v="0"/>
    <s v="The flight crashed into high ground after a second landing attempt. Procedural error by the crew during the final approach in that they abandoned the ILS procedure. This was influenced by the interruption of the VOR signal."/>
    <n v="33"/>
    <n v="0.58227848101265822"/>
    <x v="0"/>
  </r>
  <r>
    <n v="2925"/>
    <x v="2655"/>
    <x v="66"/>
    <x v="1"/>
    <d v="1899-12-30T02:30:00"/>
    <s v="Near Beziers, France"/>
    <s v="Military - French Air Force"/>
    <s v="Unknown"/>
    <s v="Mont-de-Marsan-HyÃ¨res"/>
    <x v="823"/>
    <n v="182"/>
    <n v="182"/>
    <n v="32"/>
    <n v="28"/>
    <n v="4"/>
    <n v="32"/>
    <n v="28"/>
    <n v="4"/>
    <n v="0"/>
    <s v="Crashed into mountains north of the city in fog and adverse weather conditions."/>
    <n v="0"/>
    <n v="1"/>
    <x v="1"/>
  </r>
  <r>
    <n v="2926"/>
    <x v="2656"/>
    <x v="66"/>
    <x v="1"/>
    <s v="Unknown"/>
    <s v="Near Al Bayda, Lebanon"/>
    <s v="Balkan Bulgarian Airlines"/>
    <s v="Unknown"/>
    <s v="Jeddah - Benghazi"/>
    <x v="1293"/>
    <s v="LZ-BTN"/>
    <n v="54"/>
    <n v="165"/>
    <n v="159"/>
    <n v="6"/>
    <n v="59"/>
    <n v="59"/>
    <n v="0"/>
    <n v="0"/>
    <s v="After not being able to land at the scheduled airport due to fog, the crew could not find the alternate airport, ran out of fuel and crashed."/>
    <n v="106"/>
    <n v="0.3575757575757576"/>
    <x v="0"/>
  </r>
  <r>
    <n v="2927"/>
    <x v="2657"/>
    <x v="66"/>
    <x v="1"/>
    <d v="1899-12-30T20:36:00"/>
    <s v="Straits of Johore, near Kampung Ladang, Malaysia"/>
    <s v="Malaysia Airlines"/>
    <n v="653"/>
    <s v="Penang - Kuala Lumpur"/>
    <x v="1352"/>
    <s v="9M-MBD"/>
    <s v="20585/306"/>
    <n v="100"/>
    <n v="93"/>
    <n v="7"/>
    <n v="100"/>
    <n v="93"/>
    <n v="7"/>
    <n v="0"/>
    <s v="During a hijacking and while descending from 21,000 to 7,000 feet, both pilots were shot and the aircraft crashed into a swamp."/>
    <n v="0"/>
    <n v="1"/>
    <x v="1"/>
  </r>
  <r>
    <n v="2928"/>
    <x v="2658"/>
    <x v="66"/>
    <x v="1"/>
    <d v="1899-12-30T12:00:00"/>
    <s v="Intracostal City, Louisiana"/>
    <s v="Petroleum Helicopter"/>
    <s v="Unknown"/>
    <s v="Unknown"/>
    <x v="1353"/>
    <s v="N4730S"/>
    <s v="Unknown"/>
    <n v="19"/>
    <n v="18"/>
    <n v="1"/>
    <n v="17"/>
    <n v="16"/>
    <n v="1"/>
    <n v="0"/>
    <s v="Collided with cable crane. Crane operator failed to park crane boom in stowed position."/>
    <n v="2"/>
    <n v="0.89473684210526316"/>
    <x v="1"/>
  </r>
  <r>
    <n v="2929"/>
    <x v="2659"/>
    <x v="66"/>
    <x v="1"/>
    <d v="1899-12-30T19:25:00"/>
    <s v="Tarko-Saley, USSR"/>
    <s v="Aeroflot"/>
    <n v="134"/>
    <s v="Tarko-Sale - Surgut"/>
    <x v="968"/>
    <s v="CCCP-47695"/>
    <n v="27307602"/>
    <n v="23"/>
    <n v="18"/>
    <n v="5"/>
    <n v="17"/>
    <n v="13"/>
    <n v="4"/>
    <n v="0"/>
    <s v="The plane took off at night and entered a steep attitude after the flaps were raised and crashed."/>
    <n v="6"/>
    <n v="0.73913043478260865"/>
    <x v="1"/>
  </r>
  <r>
    <n v="2930"/>
    <x v="2660"/>
    <x v="66"/>
    <x v="1"/>
    <d v="1899-12-30T11:20:00"/>
    <s v="Hierro, Canary Islands"/>
    <s v="Military - U.S. Navy"/>
    <s v="Unknown"/>
    <s v="Lajes-Lajes"/>
    <x v="1354"/>
    <n v="153428"/>
    <s v="185-5225"/>
    <n v="13"/>
    <n v="0"/>
    <n v="13"/>
    <n v="13"/>
    <n v="0"/>
    <n v="13"/>
    <n v="0"/>
    <s v="While on patrol the plane flew into a 4,200 ft. mountain at 1,200 ft."/>
    <n v="0"/>
    <n v="1"/>
    <x v="1"/>
  </r>
  <r>
    <n v="2931"/>
    <x v="2661"/>
    <x v="66"/>
    <x v="1"/>
    <d v="1899-12-30T19:22:00"/>
    <s v="Evansville, Indiana"/>
    <s v="National Jet Services Inc.,  (Air Indiana)"/>
    <n v="216"/>
    <s v="Evansville - Nashville"/>
    <x v="277"/>
    <s v="N51071"/>
    <n v="4837"/>
    <n v="29"/>
    <n v="26"/>
    <n v="3"/>
    <n v="29"/>
    <n v="26"/>
    <n v="3"/>
    <n v="0"/>
    <s v="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
    <n v="0"/>
    <n v="1"/>
    <x v="1"/>
  </r>
  <r>
    <n v="2932"/>
    <x v="2662"/>
    <x v="66"/>
    <x v="1"/>
    <d v="1899-12-30T01:38:00"/>
    <s v="Near Salt Lake City, Utah"/>
    <s v="United Air Lines"/>
    <n v="2860"/>
    <s v="San Francisco, CA - Salt Lake City, Utah"/>
    <x v="1041"/>
    <s v="N8047U"/>
    <s v="45880/275"/>
    <n v="3"/>
    <n v="0"/>
    <n v="3"/>
    <n v="3"/>
    <n v="0"/>
    <n v="3"/>
    <n v="0"/>
    <s v="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
    <n v="0"/>
    <n v="1"/>
    <x v="1"/>
  </r>
  <r>
    <n v="2933"/>
    <x v="2662"/>
    <x v="66"/>
    <x v="1"/>
    <d v="1899-12-30T20:14:00"/>
    <s v="Off Madeira, Portugal"/>
    <s v="SATA"/>
    <n v="730"/>
    <s v="Zurich-GenÃ¨ve-Funchal"/>
    <x v="1355"/>
    <s v="HB-ICK"/>
    <n v="200"/>
    <n v="57"/>
    <n v="52"/>
    <n v="5"/>
    <n v="36"/>
    <n v="35"/>
    <n v="1"/>
    <n v="0"/>
    <s v="Ditched into the ocean while on a second approach. Crew error. Sensory illusion."/>
    <n v="21"/>
    <n v="0.63157894736842102"/>
    <x v="0"/>
  </r>
  <r>
    <n v="2934"/>
    <x v="2663"/>
    <x v="66"/>
    <x v="1"/>
    <d v="1899-12-30T07:48:00"/>
    <s v="Vieques, Puerto Rico"/>
    <s v="Vieques Air Link"/>
    <s v="Unknown"/>
    <s v="St Croix, VI - Vieques, PR"/>
    <x v="1145"/>
    <s v="N862JA"/>
    <n v="184"/>
    <n v="10"/>
    <n v="9"/>
    <n v="1"/>
    <n v="5"/>
    <n v="5"/>
    <n v="0"/>
    <n v="0"/>
    <s v="The plane made a forced landing in the ocean. Fuel exhaustion. Inadequate preflight planning. Mismanagement of fuel."/>
    <n v="5"/>
    <n v="0.5"/>
    <x v="0"/>
  </r>
  <r>
    <n v="2935"/>
    <x v="2664"/>
    <x v="66"/>
    <x v="1"/>
    <s v="Unknown"/>
    <s v="Willemstad, Curacao, Netherlands Antilles"/>
    <s v="Valley Air Service"/>
    <s v="Unknown"/>
    <s v="Charlotte Amalie-Willemstad"/>
    <x v="1356"/>
    <s v="N9164Y"/>
    <s v="31-217"/>
    <n v="10"/>
    <n v="8"/>
    <n v="2"/>
    <n v="10"/>
    <n v="8"/>
    <n v="2"/>
    <n v="0"/>
    <s v="No data available"/>
    <n v="0"/>
    <n v="1"/>
    <x v="1"/>
  </r>
  <r>
    <n v="2936"/>
    <x v="2665"/>
    <x v="66"/>
    <x v="1"/>
    <s v="Unknown"/>
    <s v="Cuenca, Ecuador"/>
    <s v="Servicios Aereos Nacionales"/>
    <s v="Unknown"/>
    <s v="Guayaquil - Cuenca"/>
    <x v="1357"/>
    <s v="HC-BEM"/>
    <n v="183"/>
    <n v="24"/>
    <n v="20"/>
    <n v="4"/>
    <n v="24"/>
    <n v="20"/>
    <n v="4"/>
    <n v="0"/>
    <s v="Crashed into a hill while descending for a landing. Flying under VFR in IFR conditions."/>
    <n v="0"/>
    <n v="1"/>
    <x v="1"/>
  </r>
  <r>
    <n v="2937"/>
    <x v="2666"/>
    <x v="67"/>
    <x v="1"/>
    <d v="1899-12-30T20:41:00"/>
    <s v="Off Bandra, Maharashtra, India"/>
    <s v="Air India"/>
    <n v="855"/>
    <s v="Bombay - Dubai"/>
    <x v="1358"/>
    <s v="VT-EBD"/>
    <s v="19959/124"/>
    <n v="213"/>
    <n v="190"/>
    <n v="23"/>
    <n v="213"/>
    <n v="190"/>
    <n v="23"/>
    <n v="0"/>
    <s v="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
    <n v="0"/>
    <n v="1"/>
    <x v="1"/>
  </r>
  <r>
    <n v="2938"/>
    <x v="2667"/>
    <x v="67"/>
    <x v="1"/>
    <d v="1899-12-30T13:55:00"/>
    <s v="Near San Vincente, Colombia"/>
    <s v="SADELCA"/>
    <s v="Unknown"/>
    <s v="Neiva - San Vincente"/>
    <x v="277"/>
    <s v="HK-1351X"/>
    <n v="42958"/>
    <n v="14"/>
    <n v="10"/>
    <n v="4"/>
    <n v="14"/>
    <n v="10"/>
    <n v="4"/>
    <n v="0"/>
    <s v="Struck Cerro Granada, at 6800 feet in mountain fog."/>
    <n v="0"/>
    <n v="1"/>
    <x v="1"/>
  </r>
  <r>
    <n v="2939"/>
    <x v="2668"/>
    <x v="67"/>
    <x v="1"/>
    <s v="Unknown"/>
    <s v="Eirunepe, Brazil"/>
    <s v="TABA"/>
    <s v="Unknown"/>
    <s v="Unknown"/>
    <x v="1359"/>
    <s v="PT-GKW"/>
    <n v="110128"/>
    <n v="14"/>
    <n v="12"/>
    <n v="2"/>
    <n v="2"/>
    <n v="0"/>
    <n v="2"/>
    <n v="0"/>
    <s v="Crashed during takeoff."/>
    <n v="12"/>
    <n v="0.14285714285714285"/>
    <x v="2"/>
  </r>
  <r>
    <n v="2940"/>
    <x v="2669"/>
    <x v="67"/>
    <x v="1"/>
    <d v="1899-12-30T11:20:00"/>
    <s v="Near Artigas, Uruguay"/>
    <s v="Uruguayan Air Force"/>
    <s v="Unknown"/>
    <s v="Artigas - Montevideo"/>
    <x v="386"/>
    <s v="T511"/>
    <n v="19301"/>
    <n v="44"/>
    <n v="40"/>
    <n v="4"/>
    <n v="44"/>
    <n v="40"/>
    <n v="4"/>
    <n v="0"/>
    <s v="The passenger flight attempted to make an emergency landing at Artigas Airport when it had taken off from.  An engine failure was followed by a wide banking turn and crash to the ground bursting into flames."/>
    <n v="0"/>
    <n v="1"/>
    <x v="1"/>
  </r>
  <r>
    <n v="2941"/>
    <x v="2669"/>
    <x v="67"/>
    <x v="1"/>
    <d v="1899-12-30T16:50:00"/>
    <s v="Richland, Washington"/>
    <s v="Columbia Pacific Airlines"/>
    <n v="23"/>
    <s v="Richland, WA - Seattle, WA"/>
    <x v="1258"/>
    <s v="N199EA"/>
    <s v="U037"/>
    <n v="17"/>
    <n v="15"/>
    <n v="2"/>
    <n v="17"/>
    <n v="15"/>
    <n v="2"/>
    <n v="0"/>
    <s v="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
    <n v="0"/>
    <n v="1"/>
    <x v="1"/>
  </r>
  <r>
    <n v="2942"/>
    <x v="2670"/>
    <x v="67"/>
    <x v="1"/>
    <d v="1899-12-30T12:55:00"/>
    <s v="Cranbrook, British Columbia, Canada"/>
    <s v="Pacific Western Airlines"/>
    <n v="314"/>
    <s v="Calgary - Cranbrook"/>
    <x v="1360"/>
    <s v="C-FPWC"/>
    <s v="20142/253"/>
    <n v="49"/>
    <n v="44"/>
    <n v="5"/>
    <n v="42"/>
    <n v="38"/>
    <n v="4"/>
    <n v="0"/>
    <s v="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
    <n v="7"/>
    <n v="0.8571428571428571"/>
    <x v="1"/>
  </r>
  <r>
    <n v="2943"/>
    <x v="2671"/>
    <x v="67"/>
    <x v="1"/>
    <d v="1899-12-30T10:30:00"/>
    <s v="Solvang, California"/>
    <s v="Security Air"/>
    <s v="Unknown"/>
    <s v="Visalia - Santa Barbara - Santa Maria"/>
    <x v="1361"/>
    <s v="N6143X"/>
    <s v="500-0931-26"/>
    <n v="7"/>
    <n v="4"/>
    <n v="3"/>
    <n v="7"/>
    <n v="4"/>
    <n v="3"/>
    <n v="0"/>
    <s v="Continued VFR flight into adverse weather conditions."/>
    <n v="0"/>
    <n v="1"/>
    <x v="1"/>
  </r>
  <r>
    <n v="2944"/>
    <x v="2672"/>
    <x v="67"/>
    <x v="1"/>
    <d v="1899-12-30T09:25:00"/>
    <s v="LAX, Los Angeles, California"/>
    <s v="Continental Airlines"/>
    <n v="603"/>
    <s v="Los Angeles - Honolulu"/>
    <x v="1249"/>
    <s v="N68045"/>
    <n v="46904"/>
    <n v="200"/>
    <n v="186"/>
    <n v="14"/>
    <n v="2"/>
    <n v="2"/>
    <n v="0"/>
    <n v="0"/>
    <s v="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
    <n v="198"/>
    <n v="0.01"/>
    <x v="2"/>
  </r>
  <r>
    <n v="2945"/>
    <x v="2673"/>
    <x v="67"/>
    <x v="1"/>
    <d v="1899-12-30T12:43:00"/>
    <s v="Kano, Nigeria"/>
    <s v="Nigeria Airways"/>
    <s v="Unknown"/>
    <s v="Abuja - Kano"/>
    <x v="1362"/>
    <s v="5N-ANA / ?"/>
    <n v="11993"/>
    <n v="18"/>
    <n v="11"/>
    <n v="7"/>
    <n v="18"/>
    <n v="11"/>
    <n v="7"/>
    <n v="0"/>
    <s v="Midair collision. The Fokker collided with the MiG which was performing touch-and-go landings. Error by the MiG pilot. Sixteen killed on the Fokker and two on the MiG."/>
    <n v="0"/>
    <n v="1"/>
    <x v="1"/>
  </r>
  <r>
    <n v="2946"/>
    <x v="2674"/>
    <x v="67"/>
    <x v="1"/>
    <s v="Unknown"/>
    <s v="Off Caracas, Venezuela"/>
    <s v="LAV - Linea Aeropostal Venezolana"/>
    <s v="Unknown"/>
    <s v="Caracas - Cumana"/>
    <x v="1363"/>
    <s v="YV-45C"/>
    <n v="1744"/>
    <n v="47"/>
    <n v="43"/>
    <n v="4"/>
    <n v="47"/>
    <n v="43"/>
    <n v="4"/>
    <n v="0"/>
    <s v="The aircraft crashed into the ocean shortly after takeoff due to problems with the artificial horizon. The pilot radioed he was having an instrument failure. The plane the banked to the left and crashed into the sea."/>
    <n v="0"/>
    <n v="1"/>
    <x v="1"/>
  </r>
  <r>
    <n v="2947"/>
    <x v="2675"/>
    <x v="67"/>
    <x v="1"/>
    <d v="1899-12-30T13:00:00"/>
    <s v="Vrastsa, Bulgaria"/>
    <s v="Balkan Bulgarian Airlines"/>
    <s v="Unknown"/>
    <s v="Sofia - Warszawa"/>
    <x v="1292"/>
    <s v="LZ-TUB"/>
    <n v="8350501"/>
    <n v="73"/>
    <n v="66"/>
    <n v="7"/>
    <n v="73"/>
    <n v="66"/>
    <n v="7"/>
    <n v="0"/>
    <s v="Crashed shortly after takeoff. An undetermined emergency of some kind occurred during the climb after takeoff resulting in loss of control of the aircraft."/>
    <n v="0"/>
    <n v="1"/>
    <x v="1"/>
  </r>
  <r>
    <n v="2948"/>
    <x v="2676"/>
    <x v="67"/>
    <x v="1"/>
    <d v="1899-12-30T20:42:00"/>
    <s v="Near Riverside, California"/>
    <s v="Lake Havasu Air"/>
    <s v="Unknown"/>
    <s v="Santa Ana, CA - Lake Havasu, AZ"/>
    <x v="1364"/>
    <s v="N7354U"/>
    <s v="Unknown"/>
    <n v="6"/>
    <n v="5"/>
    <n v="1"/>
    <n v="6"/>
    <n v="5"/>
    <n v="1"/>
    <n v="0"/>
    <s v="Crashed into a mountain in fog.  Continued VFR flight into adverse weather conditions."/>
    <n v="0"/>
    <n v="1"/>
    <x v="1"/>
  </r>
  <r>
    <n v="2949"/>
    <x v="2677"/>
    <x v="67"/>
    <x v="1"/>
    <d v="1899-12-30T06:55:00"/>
    <s v="Okaraba, Burma"/>
    <s v="Burma Airways"/>
    <s v="Unknown"/>
    <s v="Yangon - Myitkyina"/>
    <x v="986"/>
    <s v="XY-ADK"/>
    <n v="10235"/>
    <n v="48"/>
    <n v="44"/>
    <n v="4"/>
    <n v="48"/>
    <n v="44"/>
    <n v="4"/>
    <n v="0"/>
    <s v="After an explosion, the aircraft went spinning into the ground and crashed into a field."/>
    <n v="0"/>
    <n v="1"/>
    <x v="1"/>
  </r>
  <r>
    <n v="2950"/>
    <x v="2678"/>
    <x v="67"/>
    <x v="1"/>
    <d v="1899-12-30T23:20:00"/>
    <s v="Off Galveston, Texas"/>
    <s v="Air Logistics"/>
    <s v="Unknown"/>
    <s v="Unknown"/>
    <x v="1297"/>
    <s v="N140AL"/>
    <s v="Unknown"/>
    <n v="6"/>
    <n v="4"/>
    <n v="2"/>
    <n v="3"/>
    <n v="3"/>
    <n v="0"/>
    <n v="0"/>
    <s v="The helicopter was attempting to land on an oil drilling platform. The co-pilot suffered spatial disorientation and stalled helicopter and crashed."/>
    <n v="3"/>
    <n v="0.5"/>
    <x v="0"/>
  </r>
  <r>
    <n v="2951"/>
    <x v="2679"/>
    <x v="67"/>
    <x v="1"/>
    <d v="1899-12-30T16:45:00"/>
    <s v="St. Thomas, Virgin Islands"/>
    <s v="Antilles Air"/>
    <s v="Unknown"/>
    <s v="St. John, VI - St. Croix, VI"/>
    <x v="1273"/>
    <s v="N877A"/>
    <n v="1152"/>
    <n v="9"/>
    <n v="7"/>
    <n v="2"/>
    <n v="2"/>
    <n v="0"/>
    <n v="2"/>
    <n v="0"/>
    <s v="Made a forced landing in water. Fuel starvation. Inattentiveness to fuel supply. Fuel selector positioned between tanks."/>
    <n v="7"/>
    <n v="0.22222222222222221"/>
    <x v="2"/>
  </r>
  <r>
    <n v="2952"/>
    <x v="2680"/>
    <x v="67"/>
    <x v="1"/>
    <d v="1899-12-30T22:17:00"/>
    <s v="Near Murmansk, Russia"/>
    <s v="Korean Airlines"/>
    <n v="902"/>
    <s v="Paris - Seoul"/>
    <x v="975"/>
    <s v="HL-7429"/>
    <s v="19363/623"/>
    <n v="109"/>
    <n v="97"/>
    <n v="12"/>
    <n v="2"/>
    <n v="2"/>
    <n v="0"/>
    <n v="0"/>
    <s v="The aircraft, which deviated off course, suffered rapid decompression after being fired upon by a Russian fighter. The aircraft made an emergency landing on a frozen lake."/>
    <n v="107"/>
    <n v="1.834862385321101E-2"/>
    <x v="2"/>
  </r>
  <r>
    <n v="2953"/>
    <x v="2681"/>
    <x v="67"/>
    <x v="1"/>
    <s v="Unknown"/>
    <s v="Bogota, Colombia"/>
    <s v="LAC Colombia"/>
    <s v="Unknown"/>
    <s v="Bogota - Barranquilla"/>
    <x v="738"/>
    <s v="HK-1705"/>
    <s v="43565/243"/>
    <n v="12"/>
    <n v="9"/>
    <n v="3"/>
    <n v="8"/>
    <n v="5"/>
    <n v="3"/>
    <n v="0"/>
    <s v="Crashed on farmland six miles outside of Bogota shortly after taking off."/>
    <n v="4"/>
    <n v="0.66666666666666663"/>
    <x v="1"/>
  </r>
  <r>
    <n v="2954"/>
    <x v="2682"/>
    <x v="67"/>
    <x v="1"/>
    <d v="1899-12-30T21:20:00"/>
    <s v="Pensacola, Florida"/>
    <s v="National Airlines"/>
    <n v="193"/>
    <s v="Miami, FL - Pensacola, FL - Mobile, AL"/>
    <x v="1365"/>
    <s v="N4744"/>
    <n v="19464"/>
    <n v="58"/>
    <n v="52"/>
    <n v="6"/>
    <n v="3"/>
    <n v="3"/>
    <n v="0"/>
    <n v="0"/>
    <s v="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
    <n v="55"/>
    <n v="5.1724137931034482E-2"/>
    <x v="2"/>
  </r>
  <r>
    <n v="2955"/>
    <x v="2683"/>
    <x v="67"/>
    <x v="1"/>
    <d v="1899-12-30T13:32:00"/>
    <s v="Pochinok, Russia"/>
    <s v="Aeroflot"/>
    <n v="6709"/>
    <s v="Baku - Leningrad"/>
    <x v="1293"/>
    <s v="CCCP-85169"/>
    <s v="76A-169"/>
    <n v="134"/>
    <n v="126"/>
    <n v="8"/>
    <n v="4"/>
    <n v="4"/>
    <n v="0"/>
    <n v="0"/>
    <s v="The flight engineer accidentally shut off the automatic transferring of fuel from the sump tank. Eventually all three engines stopped and the plane crashed. Fuel starvation."/>
    <n v="130"/>
    <n v="2.9850746268656716E-2"/>
    <x v="2"/>
  </r>
  <r>
    <n v="2956"/>
    <x v="2684"/>
    <x v="67"/>
    <x v="1"/>
    <s v="Unknown"/>
    <s v="Saint John's, Newfoundland"/>
    <s v="Gander Aviation"/>
    <s v="Unknown"/>
    <s v=" Saint John's - Saint Anthony"/>
    <x v="1366"/>
    <s v="C-GGAL"/>
    <s v="LD-233"/>
    <n v="10"/>
    <n v="8"/>
    <n v="2"/>
    <n v="10"/>
    <n v="8"/>
    <n v="2"/>
    <n v="0"/>
    <s v="Crashed in heavy fog while attempting to take off."/>
    <n v="0"/>
    <n v="1"/>
    <x v="1"/>
  </r>
  <r>
    <n v="2957"/>
    <x v="2685"/>
    <x v="67"/>
    <x v="1"/>
    <s v="Unknown"/>
    <s v="Off Bergen, Norway"/>
    <s v="Helikopter Service"/>
    <s v="Unknown"/>
    <s v="Bergen - Stratjford-A"/>
    <x v="1367"/>
    <s v="LN-OQS"/>
    <s v="Unknown"/>
    <n v="18"/>
    <n v="16"/>
    <n v="2"/>
    <n v="18"/>
    <n v="16"/>
    <n v="2"/>
    <n v="0"/>
    <s v="The helicopter crashed 87 miles northwest of Bergen on a ferry run to an oil drillilng platform."/>
    <n v="0"/>
    <n v="1"/>
    <x v="1"/>
  </r>
  <r>
    <n v="2958"/>
    <x v="2685"/>
    <x v="67"/>
    <x v="1"/>
    <d v="1899-12-30T08:08:00"/>
    <s v="Toronto, Canada"/>
    <s v="Air Canada"/>
    <n v="189"/>
    <s v="Toronto - Winnipeg"/>
    <x v="1104"/>
    <s v="C-FTLV"/>
    <s v="47179/289"/>
    <n v="107"/>
    <n v="102"/>
    <n v="5"/>
    <n v="2"/>
    <n v="2"/>
    <n v="0"/>
    <n v="0"/>
    <s v="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
    <n v="105"/>
    <n v="1.8691588785046728E-2"/>
    <x v="2"/>
  </r>
  <r>
    <n v="2959"/>
    <x v="2686"/>
    <x v="67"/>
    <x v="1"/>
    <s v="Unknown"/>
    <s v="Sogamoso, Bolivia"/>
    <s v="Aeropeca"/>
    <s v="Unknown"/>
    <s v="Bucaramanga-Leticia-La Paz"/>
    <x v="469"/>
    <s v="HK-1350"/>
    <n v="22557"/>
    <n v="18"/>
    <n v="15"/>
    <n v="3"/>
    <n v="18"/>
    <n v="15"/>
    <n v="3"/>
    <n v="0"/>
    <s v="The aircraft, flying VFR, collided with a mountain in deteriorating weather condtions after being blown off course which went unnoticed because of lacking navigational equipment."/>
    <n v="0"/>
    <n v="1"/>
    <x v="1"/>
  </r>
  <r>
    <n v="2960"/>
    <x v="2687"/>
    <x v="67"/>
    <x v="1"/>
    <s v="Unknown"/>
    <s v="Papun, Burma"/>
    <s v="Burma Airways"/>
    <s v="Unknown"/>
    <s v="Papun-Rangoon"/>
    <x v="1220"/>
    <s v="XY-AEI"/>
    <n v="541"/>
    <n v="14"/>
    <n v="11"/>
    <n v="3"/>
    <n v="14"/>
    <n v="11"/>
    <n v="3"/>
    <n v="0"/>
    <s v="Crashed shortly after taking off from runway 18."/>
    <n v="0"/>
    <n v="1"/>
    <x v="1"/>
  </r>
  <r>
    <n v="2961"/>
    <x v="2688"/>
    <x v="67"/>
    <x v="1"/>
    <d v="1899-12-30T07:47:00"/>
    <s v="Las Vegas, Nevada"/>
    <s v="Las Vegas Airlines"/>
    <s v="Unknown"/>
    <s v="Las Vegas, NV - Santa Ana, CA"/>
    <x v="1368"/>
    <s v="N44LV"/>
    <s v="Unknown"/>
    <n v="10"/>
    <n v="9"/>
    <n v="1"/>
    <n v="10"/>
    <n v="9"/>
    <n v="1"/>
    <n v="0"/>
    <s v="Crashed on takeoff. Down elevator control stop backed out, limiting down elevator travel to 1 1/2 degrees of normal 20 degrees."/>
    <n v="0"/>
    <n v="1"/>
    <x v="1"/>
  </r>
  <r>
    <n v="2962"/>
    <x v="2689"/>
    <x v="67"/>
    <x v="1"/>
    <s v="Unknown"/>
    <s v="Conakry, Guinea"/>
    <s v="Air Guinee"/>
    <s v="Unknown"/>
    <s v="Conakry - Bamako"/>
    <x v="837"/>
    <s v="3X-GAX"/>
    <n v="187009803"/>
    <n v="17"/>
    <n v="9"/>
    <n v="8"/>
    <n v="15"/>
    <n v="8"/>
    <n v="7"/>
    <n v="0"/>
    <s v="Crashed in a swamp."/>
    <n v="2"/>
    <n v="0.88235294117647056"/>
    <x v="1"/>
  </r>
  <r>
    <n v="2963"/>
    <x v="2689"/>
    <x v="67"/>
    <x v="1"/>
    <s v="Unknown"/>
    <s v="Coal Harbour, BC, Canada"/>
    <s v="AirWest Airlines"/>
    <s v="Unknown"/>
    <s v="Victoria harbor - Victoria Harbor Water Aerodome"/>
    <x v="1369"/>
    <s v="C-FAIV"/>
    <n v="215"/>
    <n v="13"/>
    <n v="11"/>
    <n v="2"/>
    <n v="11"/>
    <n v="9"/>
    <n v="2"/>
    <n v="0"/>
    <s v="While on approach, the aircraft yawed to the left and plunged into the ocean in a left-wing and nose-down attitude and sank. In-flight failure of the left-hand inboard flap control rod that led to a sudden retraction of the complete left-hand flap system and sudden loss of control."/>
    <n v="2"/>
    <n v="0.84615384615384615"/>
    <x v="1"/>
  </r>
  <r>
    <n v="2964"/>
    <x v="2689"/>
    <x v="67"/>
    <x v="1"/>
    <d v="1899-12-30T17:30:00"/>
    <s v="Near Kariba, Rhodesia (Zimbabwe)"/>
    <s v="Air Rhodesia"/>
    <n v="825"/>
    <s v="Kariba - Salisbury"/>
    <x v="1370"/>
    <s v="VP-WAS"/>
    <n v="297"/>
    <n v="56"/>
    <n v="52"/>
    <n v="4"/>
    <n v="38"/>
    <n v="34"/>
    <n v="4"/>
    <n v="0"/>
    <s v="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
    <n v="18"/>
    <n v="0.6785714285714286"/>
    <x v="1"/>
  </r>
  <r>
    <n v="2965"/>
    <x v="2690"/>
    <x v="67"/>
    <x v="1"/>
    <d v="1899-12-30T14:47:00"/>
    <s v="Wrangell, Alaska"/>
    <s v="Temesco Helicopter - Air Taxi"/>
    <s v="Unknown"/>
    <s v="Wrangell, AK - Return"/>
    <x v="1371"/>
    <s v="N5384V"/>
    <s v="Unknown"/>
    <n v="3"/>
    <n v="2"/>
    <n v="1"/>
    <n v="3"/>
    <n v="2"/>
    <n v="1"/>
    <n v="0"/>
    <s v="The helicopter experienced rotor failure. Undersized threads on anti-node bar."/>
    <n v="0"/>
    <n v="1"/>
    <x v="1"/>
  </r>
  <r>
    <n v="2966"/>
    <x v="2690"/>
    <x v="67"/>
    <x v="1"/>
    <s v="Unknown"/>
    <s v="Near Mexico City, Mexico"/>
    <s v="Lineas Areas del Centro"/>
    <s v="Unknown"/>
    <s v="Mexico City - Morelia"/>
    <x v="1034"/>
    <s v="XA-BOP"/>
    <n v="18"/>
    <n v="21"/>
    <n v="19"/>
    <n v="2"/>
    <n v="18"/>
    <n v="17"/>
    <n v="1"/>
    <n v="0"/>
    <s v="Flew into a mountain."/>
    <n v="3"/>
    <n v="0.8571428571428571"/>
    <x v="1"/>
  </r>
  <r>
    <n v="2967"/>
    <x v="2691"/>
    <x v="67"/>
    <x v="1"/>
    <d v="1899-12-30T11:30:00"/>
    <s v="Whittier, AK"/>
    <s v="Alaska Travel"/>
    <s v="Unknown"/>
    <s v="Anchorage, AK - Whittier, AK"/>
    <x v="1372"/>
    <s v="N37741"/>
    <n v="269"/>
    <n v="6"/>
    <n v="5"/>
    <n v="1"/>
    <n v="6"/>
    <n v="5"/>
    <n v="1"/>
    <n v="0"/>
    <s v="The float plane flew into a blind canyon and crashed into water. Continued VFR flight into adverse weather conditions."/>
    <n v="0"/>
    <n v="1"/>
    <x v="1"/>
  </r>
  <r>
    <n v="2968"/>
    <x v="2692"/>
    <x v="67"/>
    <x v="1"/>
    <d v="1899-12-30T14:50:00"/>
    <s v="Paranaque, Philippines"/>
    <s v="Philippine Air Force"/>
    <s v="Unknown"/>
    <s v="Laoag - Paranaque"/>
    <x v="986"/>
    <s v="PH-FKY"/>
    <n v="10328"/>
    <n v="28"/>
    <n v="24"/>
    <n v="4"/>
    <n v="21"/>
    <n v="17"/>
    <n v="4"/>
    <n v="12"/>
    <s v="The domestic flight crashed while attempting to land at Paranaque in thunderstorms with heavy rain and wind gusts. Possible lightning strike."/>
    <n v="7"/>
    <n v="0.75"/>
    <x v="1"/>
  </r>
  <r>
    <n v="2969"/>
    <x v="2693"/>
    <x v="67"/>
    <x v="1"/>
    <d v="1899-12-30T09:02:00"/>
    <s v="San Diego, California"/>
    <s v="Pacific Southwest Airlines / Private"/>
    <n v="182"/>
    <s v="Los Angeles - San Diego"/>
    <x v="1373"/>
    <s v="N533PS/N7711G"/>
    <s v="19688/589 / ?"/>
    <n v="137"/>
    <n v="128"/>
    <n v="9"/>
    <n v="137"/>
    <n v="128"/>
    <n v="9"/>
    <n v="7"/>
    <s v="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
    <n v="0"/>
    <n v="1"/>
    <x v="1"/>
  </r>
  <r>
    <n v="2970"/>
    <x v="2694"/>
    <x v="67"/>
    <x v="1"/>
    <s v="Unknown"/>
    <s v="Near Kuopio, Finland"/>
    <s v="Military - Finish Air Force"/>
    <s v="Unknown"/>
    <s v="Kuopio - Helsinki"/>
    <x v="501"/>
    <s v="DO-10"/>
    <n v="12050"/>
    <n v="15"/>
    <n v="12"/>
    <n v="3"/>
    <n v="15"/>
    <n v="12"/>
    <n v="3"/>
    <n v="0"/>
    <s v="After taking off, one of engines stalled due to a damaged #5 cylinder exhaust. The pilot attempted to return to to Kuopio. He turned  but the plane lost control and crashed into Lake Juurusvesi."/>
    <n v="0"/>
    <n v="1"/>
    <x v="1"/>
  </r>
  <r>
    <n v="2971"/>
    <x v="2694"/>
    <x v="67"/>
    <x v="1"/>
    <s v="Unknown"/>
    <s v="Near Mandalay, Myanmar"/>
    <s v="Burma Airways"/>
    <s v="Unknown"/>
    <s v="Unknown"/>
    <x v="1108"/>
    <s v="XY-ADY"/>
    <n v="10572"/>
    <n v="44"/>
    <n v="40"/>
    <n v="4"/>
    <n v="2"/>
    <n v="1"/>
    <n v="1"/>
    <n v="0"/>
    <s v="Lost both engines on climbout and made an emergency landing on a sandbank of the Irrawaddy River."/>
    <n v="42"/>
    <n v="4.5454545454545456E-2"/>
    <x v="2"/>
  </r>
  <r>
    <n v="2972"/>
    <x v="2695"/>
    <x v="67"/>
    <x v="1"/>
    <s v="Unknown"/>
    <s v="Santiago de Chile, Chile"/>
    <s v="Military - US Navy"/>
    <s v="Unknown"/>
    <s v="Military exercises"/>
    <x v="1374"/>
    <n v="131618"/>
    <s v="43721/375"/>
    <n v="18"/>
    <s v="NULL"/>
    <s v="NULL"/>
    <n v="18"/>
    <s v="NULL"/>
    <s v="NULL"/>
    <s v="NULL"/>
    <s v="The military transport crashed into a fog-shrouded hill, 20 miles south of the city."/>
    <n v="0"/>
    <n v="1"/>
    <x v="1"/>
  </r>
  <r>
    <n v="2973"/>
    <x v="2696"/>
    <x v="67"/>
    <x v="1"/>
    <s v="Unknown"/>
    <s v="Sverdlovsk, Russia"/>
    <s v="Aeroflot"/>
    <s v="Unknown"/>
    <s v="Sverdlovsk - _x0009_Kustanai"/>
    <x v="1146"/>
    <s v="CCCP-87437"/>
    <n v="9431335"/>
    <n v="38"/>
    <n v="34"/>
    <n v="4"/>
    <n v="38"/>
    <n v="34"/>
    <n v="4"/>
    <n v="0"/>
    <s v="Crashed after the left engine flamed out on takeoff."/>
    <n v="0"/>
    <n v="1"/>
    <x v="1"/>
  </r>
  <r>
    <n v="2974"/>
    <x v="2697"/>
    <x v="67"/>
    <x v="1"/>
    <d v="1899-12-30T09:25:00"/>
    <s v="Kenai, Alaska"/>
    <s v="Era Helicopter - Air Taxi"/>
    <s v="Unknown"/>
    <s v="Kenai, AK - Return"/>
    <x v="1375"/>
    <s v="N2215W"/>
    <s v="Unknown"/>
    <n v="7"/>
    <n v="6"/>
    <n v="1"/>
    <n v="2"/>
    <n v="2"/>
    <n v="0"/>
    <n v="0"/>
    <s v="The tail rotor pitch control system failed shortly after taking off. The helicopter tried to return and crashed."/>
    <n v="5"/>
    <n v="0.2857142857142857"/>
    <x v="2"/>
  </r>
  <r>
    <n v="2975"/>
    <x v="2698"/>
    <x v="67"/>
    <x v="1"/>
    <s v="Unknown"/>
    <s v="Off Bellona, Solomon Islands"/>
    <s v="Solomon Islands Airlines"/>
    <s v="Unknown"/>
    <s v="Unknown"/>
    <x v="1376"/>
    <s v="H4-AAC"/>
    <n v="613"/>
    <n v="11"/>
    <s v="NULL"/>
    <s v="NULL"/>
    <n v="11"/>
    <s v="NULL"/>
    <s v="NULL"/>
    <n v="0"/>
    <s v="No data available"/>
    <n v="0"/>
    <n v="1"/>
    <x v="1"/>
  </r>
  <r>
    <n v="2976"/>
    <x v="2699"/>
    <x v="67"/>
    <x v="1"/>
    <d v="1899-12-30T19:41:00"/>
    <s v="Gulf of Sivash, USSR"/>
    <s v="Aeroflot"/>
    <n v="6515"/>
    <s v="_x0009_Krasnodar - t:_x0009_Simferopol"/>
    <x v="1009"/>
    <s v="CCCP-46327"/>
    <n v="97305504"/>
    <n v="26"/>
    <n v="21"/>
    <n v="5"/>
    <n v="26"/>
    <n v="21"/>
    <n v="5"/>
    <n v="0"/>
    <s v="Crashed following engine flame out in icing conditions."/>
    <n v="0"/>
    <n v="1"/>
    <x v="1"/>
  </r>
  <r>
    <n v="2977"/>
    <x v="2700"/>
    <x v="67"/>
    <x v="1"/>
    <s v="Unknown"/>
    <s v="Off Alexandria, Egypt"/>
    <s v="Nile Delta Air Services"/>
    <s v="Unknown"/>
    <s v="Unknown"/>
    <x v="277"/>
    <s v="SU-AZM"/>
    <s v="Unknown"/>
    <n v="18"/>
    <s v="NULL"/>
    <s v="NULL"/>
    <n v="18"/>
    <s v="NULL"/>
    <s v="NULL"/>
    <n v="0"/>
    <s v="Crashed into the ocean."/>
    <n v="0"/>
    <n v="1"/>
    <x v="1"/>
  </r>
  <r>
    <n v="2978"/>
    <x v="2701"/>
    <x v="67"/>
    <x v="1"/>
    <d v="1899-12-30T23:30:00"/>
    <s v="Near Katunayake, Sri Lanka"/>
    <s v="Loftleidir Icelandic Airlines"/>
    <n v="1"/>
    <s v="Jeddah - Colombo"/>
    <x v="1377"/>
    <s v="TF-FLA"/>
    <s v="46020/415"/>
    <n v="262"/>
    <n v="249"/>
    <n v="13"/>
    <n v="183"/>
    <n v="175"/>
    <n v="8"/>
    <n v="0"/>
    <s v="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
    <n v="79"/>
    <n v="0.69847328244274809"/>
    <x v="1"/>
  </r>
  <r>
    <n v="2979"/>
    <x v="2702"/>
    <x v="67"/>
    <x v="1"/>
    <s v="Unknown"/>
    <s v="Off Marie Galante Island, West Indies"/>
    <s v="Air Guadeloupe"/>
    <s v="Unknown"/>
    <s v="Unknown"/>
    <x v="1220"/>
    <s v="F-OGHD"/>
    <n v="469"/>
    <n v="20"/>
    <n v="19"/>
    <n v="1"/>
    <n v="15"/>
    <n v="14"/>
    <n v="1"/>
    <n v="0"/>
    <s v="The aircraft sank in the sea after the left wing tip struck the water in heavy rain and wind."/>
    <n v="5"/>
    <n v="0.75"/>
    <x v="1"/>
  </r>
  <r>
    <n v="2980"/>
    <x v="2703"/>
    <x v="67"/>
    <x v="1"/>
    <d v="1899-12-30T11:00:00"/>
    <s v="Near Leh, India"/>
    <s v="Military - Indian Air Force"/>
    <s v="Unknown"/>
    <s v="Chandigarh - Leh"/>
    <x v="942"/>
    <s v="Unknown"/>
    <s v="Unknown"/>
    <n v="77"/>
    <n v="70"/>
    <n v="7"/>
    <n v="77"/>
    <n v="70"/>
    <n v="7"/>
    <n v="1"/>
    <s v="Crashed into a mountain and burned short of the runway after experiencing engine failure."/>
    <n v="0"/>
    <n v="1"/>
    <x v="1"/>
  </r>
  <r>
    <n v="2981"/>
    <x v="2704"/>
    <x v="67"/>
    <x v="1"/>
    <s v="Unknown"/>
    <s v="Near Rubio, Venezuela"/>
    <s v="Aereo el Venado"/>
    <s v="Unknown"/>
    <s v="Cucuta - Arauca"/>
    <x v="402"/>
    <s v="HK-1393"/>
    <n v="19053"/>
    <n v="27"/>
    <n v="24"/>
    <n v="3"/>
    <n v="27"/>
    <n v="24"/>
    <n v="3"/>
    <n v="0"/>
    <s v="Crashed in the Rubio mountains."/>
    <n v="0"/>
    <n v="1"/>
    <x v="1"/>
  </r>
  <r>
    <n v="2982"/>
    <x v="2705"/>
    <x v="67"/>
    <x v="1"/>
    <d v="1899-12-30T15:55:00"/>
    <s v="Hydaburg, Alaska"/>
    <s v="Tyee Airlines"/>
    <s v="Unknown"/>
    <s v="Ketchikan - Hydaburg"/>
    <x v="1372"/>
    <s v="N37906"/>
    <n v="600"/>
    <n v="5"/>
    <n v="4"/>
    <n v="1"/>
    <n v="5"/>
    <n v="4"/>
    <n v="1"/>
    <n v="0"/>
    <s v="Crashed in rain, fog and low ceiling. Continued VFR flight into deteriorating weather conditions."/>
    <n v="0"/>
    <n v="1"/>
    <x v="1"/>
  </r>
  <r>
    <n v="2983"/>
    <x v="2706"/>
    <x v="67"/>
    <x v="1"/>
    <d v="1899-12-30T19:45:00"/>
    <s v="Near Steamboat Springs, Coloado"/>
    <s v="Rocky Mountain Airways"/>
    <n v="217"/>
    <s v="Steamboat Springs - Denver"/>
    <x v="1220"/>
    <s v="N25RM"/>
    <n v="387"/>
    <n v="22"/>
    <n v="20"/>
    <n v="2"/>
    <n v="2"/>
    <n v="1"/>
    <n v="1"/>
    <n v="0"/>
    <s v="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
    <n v="20"/>
    <n v="9.0909090909090912E-2"/>
    <x v="2"/>
  </r>
  <r>
    <n v="2984"/>
    <x v="2707"/>
    <x v="67"/>
    <x v="1"/>
    <s v="Unknown"/>
    <s v="Selvapiana, Italy"/>
    <s v="Air 70"/>
    <s v="Unknown"/>
    <s v="Unknown"/>
    <x v="1378"/>
    <s v="I-ASON"/>
    <s v="Unknown"/>
    <n v="10"/>
    <n v="9"/>
    <n v="1"/>
    <n v="10"/>
    <n v="9"/>
    <n v="1"/>
    <n v="0"/>
    <s v="No data available"/>
    <n v="0"/>
    <n v="1"/>
    <x v="1"/>
  </r>
  <r>
    <n v="2985"/>
    <x v="2708"/>
    <x v="67"/>
    <x v="1"/>
    <s v="Unknown"/>
    <s v="Hyderabad, India"/>
    <s v="Indian Airlines"/>
    <s v="Unknown"/>
    <s v="Unknown"/>
    <x v="1232"/>
    <s v="VT-EAL"/>
    <s v="20485/277"/>
    <n v="132"/>
    <n v="126"/>
    <n v="6"/>
    <n v="1"/>
    <n v="1"/>
    <n v="0"/>
    <n v="3"/>
    <s v="Couldn't climb on takeoff due to non-availability of leading edge slats, overran the runway and killed one passenger and  3 maintenance workers on the ground cutting grass. Nonavailability of leading edge devices immediately after rotation during take off."/>
    <n v="131"/>
    <n v="7.575757575757576E-3"/>
    <x v="2"/>
  </r>
  <r>
    <n v="2986"/>
    <x v="2709"/>
    <x v="67"/>
    <x v="1"/>
    <d v="1899-12-30T00:39:00"/>
    <s v="Off Cinisi, Sicily, Italy"/>
    <s v="Alitalia"/>
    <n v="4128"/>
    <s v="Rome - Palermo"/>
    <x v="1104"/>
    <s v="I-DIKQ"/>
    <s v="47227/334"/>
    <n v="129"/>
    <n v="124"/>
    <n v="5"/>
    <n v="108"/>
    <n v="103"/>
    <n v="5"/>
    <n v="0"/>
    <s v="The aircraft crashed into ocean during a landing approach. Poor monitoring of altitudes and too early a transition from ILS to visual flight procedures."/>
    <n v="21"/>
    <n v="0.83720930232558144"/>
    <x v="1"/>
  </r>
  <r>
    <n v="2987"/>
    <x v="2710"/>
    <x v="67"/>
    <x v="1"/>
    <d v="1899-12-30T18:15:00"/>
    <s v="Portland, Oregon"/>
    <s v="United Air Lines"/>
    <n v="173"/>
    <s v="Denver - Portland"/>
    <x v="1379"/>
    <s v="N8082U"/>
    <s v="45972/357"/>
    <n v="189"/>
    <n v="181"/>
    <n v="8"/>
    <n v="10"/>
    <n v="8"/>
    <n v="2"/>
    <n v="0"/>
    <s v="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
    <n v="179"/>
    <n v="5.2910052910052907E-2"/>
    <x v="2"/>
  </r>
  <r>
    <n v="2988"/>
    <x v="2711"/>
    <x v="68"/>
    <x v="1"/>
    <d v="1899-12-30T13:05:00"/>
    <s v="Minsk, Russia"/>
    <s v="Aeroflot"/>
    <n v="7502"/>
    <s v="Tallinn - Minsk"/>
    <x v="1380"/>
    <s v="CCCP46807"/>
    <n v="67302207"/>
    <n v="13"/>
    <n v="9"/>
    <n v="5"/>
    <n v="13"/>
    <n v="8"/>
    <n v="5"/>
    <n v="0"/>
    <s v="The pilot switched off the de-icing system too early during the approach through clouds in icing conditions  which resulted in the aircraft losing longitudinal stability and pitching over and crashed."/>
    <n v="0"/>
    <n v="1"/>
    <x v="1"/>
  </r>
  <r>
    <n v="2989"/>
    <x v="2712"/>
    <x v="68"/>
    <x v="1"/>
    <d v="1899-12-30T19:40:00"/>
    <s v="Bechar, Algeria"/>
    <s v="Air Algerie"/>
    <s v="Unknown"/>
    <s v="Unknown"/>
    <x v="1381"/>
    <s v="7T-VSU"/>
    <n v="19"/>
    <n v="23"/>
    <n v="20"/>
    <n v="3"/>
    <n v="14"/>
    <n v="14"/>
    <n v="0"/>
    <n v="0"/>
    <s v="Crashed short of the runway on approach. Crew error. Non-compliance with proper procedure, lack of crew coordination, crew fatigue and faulty altimiter."/>
    <n v="9"/>
    <n v="0.60869565217391308"/>
    <x v="0"/>
  </r>
  <r>
    <n v="2990"/>
    <x v="2713"/>
    <x v="68"/>
    <x v="1"/>
    <d v="1899-12-30T17:26:00"/>
    <s v="Rodez, France"/>
    <s v="Air Rouergue"/>
    <s v="Unknown"/>
    <s v="Unknown"/>
    <x v="1161"/>
    <s v="F-BYAH"/>
    <n v="10570"/>
    <n v="6"/>
    <n v="4"/>
    <n v="2"/>
    <n v="5"/>
    <n v="3"/>
    <n v="2"/>
    <n v="0"/>
    <s v="Struck a mountain. Failure of the crew to level off at the prescribed altitude either due to inadequate monitoring or an altimeter setting error by confusion between QNH and QFE."/>
    <n v="1"/>
    <n v="0.83333333333333337"/>
    <x v="1"/>
  </r>
  <r>
    <n v="2991"/>
    <x v="2714"/>
    <x v="68"/>
    <x v="1"/>
    <s v="Unknown"/>
    <s v="125 miles ENE of Tokyo, Japan"/>
    <s v="Varig"/>
    <s v="Unknown"/>
    <s v="Tokyo-Los Angeles-Rio de Janeiro"/>
    <x v="1382"/>
    <s v="PP-VLU"/>
    <s v="19235/519"/>
    <n v="6"/>
    <n v="0"/>
    <n v="6"/>
    <n v="6"/>
    <n v="0"/>
    <n v="6"/>
    <n v="0"/>
    <s v="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
    <n v="0"/>
    <n v="1"/>
    <x v="1"/>
  </r>
  <r>
    <n v="2992"/>
    <x v="2715"/>
    <x v="68"/>
    <x v="1"/>
    <s v="Unknown"/>
    <s v="Near Agudos, Brazil"/>
    <s v="TAM Lineas AÃ©reas Regional"/>
    <s v="Unknown"/>
    <s v="Bauru - Sao Paulo"/>
    <x v="1282"/>
    <s v="PP-SBB"/>
    <s v="100-010"/>
    <n v="18"/>
    <n v="16"/>
    <n v="2"/>
    <n v="18"/>
    <n v="16"/>
    <n v="2"/>
    <n v="0"/>
    <s v="Hit trees and burst into flames shortly after taking off."/>
    <n v="0"/>
    <n v="1"/>
    <x v="1"/>
  </r>
  <r>
    <n v="2993"/>
    <x v="2716"/>
    <x v="68"/>
    <x v="1"/>
    <d v="1899-12-30T17:00:00"/>
    <s v="Near Kariba, Rhodesia"/>
    <s v="Air Rhodesia"/>
    <s v="Unknown"/>
    <s v="Kariba - Salisbury"/>
    <x v="795"/>
    <s v="VP-YND"/>
    <n v="101"/>
    <n v="59"/>
    <n v="54"/>
    <n v="5"/>
    <n v="59"/>
    <n v="54"/>
    <n v="5"/>
    <n v="0"/>
    <s v="Shot down by rebels with 2 surface-to-air missiles a few minutes after taking off from Kariba."/>
    <n v="0"/>
    <n v="1"/>
    <x v="1"/>
  </r>
  <r>
    <n v="2994"/>
    <x v="2716"/>
    <x v="68"/>
    <x v="1"/>
    <d v="1899-12-30T13:00:00"/>
    <s v="Clarksburg, West Virginia"/>
    <s v="Allegheny Airlines"/>
    <n v="561"/>
    <s v="Clarksburg - Washington DC"/>
    <x v="1383"/>
    <s v="N29824"/>
    <n v="48"/>
    <n v="25"/>
    <n v="22"/>
    <n v="3"/>
    <n v="2"/>
    <n v="1"/>
    <n v="1"/>
    <n v="0"/>
    <s v="The plane crashed  inverted shortly after lifting off the ground. The captain's decision to take off with snow on the aircraft's wing and empennage surfaces which resulted in a loss of lateral control and a loss of lift as the aircraft ascended out of ground effect."/>
    <n v="23"/>
    <n v="0.08"/>
    <x v="2"/>
  </r>
  <r>
    <n v="2995"/>
    <x v="2717"/>
    <x v="68"/>
    <x v="1"/>
    <d v="1899-12-30T13:05:00"/>
    <s v="Manakau Harbor, New Zealand"/>
    <s v="Air New Zealand"/>
    <s v="Unknown"/>
    <s v="Gisborne - Auckland -Training"/>
    <x v="1161"/>
    <s v="ZK-NFC"/>
    <n v="10456"/>
    <n v="4"/>
    <n v="2"/>
    <n v="2"/>
    <n v="2"/>
    <n v="1"/>
    <n v="1"/>
    <n v="0"/>
    <s v="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
    <n v="2"/>
    <n v="0.5"/>
    <x v="0"/>
  </r>
  <r>
    <n v="2996"/>
    <x v="2718"/>
    <x v="68"/>
    <x v="1"/>
    <s v="Unknown"/>
    <s v="Barentu, Ethiopia"/>
    <s v="Ethiopian Airlines"/>
    <s v="Unknown"/>
    <s v="Unknown"/>
    <x v="277"/>
    <s v="ET-AFW"/>
    <s v="16681/33429"/>
    <n v="5"/>
    <n v="2"/>
    <n v="3"/>
    <n v="5"/>
    <n v="2"/>
    <n v="3"/>
    <n v="0"/>
    <s v="The plane crashed after a bomb exploded aboard."/>
    <n v="0"/>
    <n v="1"/>
    <x v="1"/>
  </r>
  <r>
    <n v="2997"/>
    <x v="2719"/>
    <x v="68"/>
    <x v="1"/>
    <d v="1899-12-30T15:04:00"/>
    <s v="Gulfport, Mississippi"/>
    <s v="Universal Airways"/>
    <s v="Unknown"/>
    <s v="Houston - Gulfport - New Orleans"/>
    <x v="1384"/>
    <s v="N777AE"/>
    <s v="LB-034"/>
    <n v="8"/>
    <n v="7"/>
    <n v="1"/>
    <n v="8"/>
    <n v="7"/>
    <n v="1"/>
    <n v="0"/>
    <s v="The plane failed to maintain flying speed and crashed while attempting to take off.  Improperly loaded aircraft. Nose baggage door opened during takeoff. Flaps inoperative. Improper emergency procedures. Inadequate emergency training."/>
    <n v="0"/>
    <n v="1"/>
    <x v="1"/>
  </r>
  <r>
    <n v="2998"/>
    <x v="2720"/>
    <x v="68"/>
    <x v="1"/>
    <d v="1899-12-30T17:52:00"/>
    <s v="Off Marina del Rey, California"/>
    <s v="Swift Aire Lines Inc."/>
    <n v="235"/>
    <s v="New York - Santa Monica"/>
    <x v="1385"/>
    <s v="N418SA"/>
    <n v="41"/>
    <n v="7"/>
    <n v="4"/>
    <n v="3"/>
    <n v="3"/>
    <n v="1"/>
    <n v="2"/>
    <n v="0"/>
    <s v="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
    <n v="4"/>
    <n v="0.42857142857142855"/>
    <x v="0"/>
  </r>
  <r>
    <n v="2999"/>
    <x v="2721"/>
    <x v="68"/>
    <x v="1"/>
    <d v="1899-12-30T08:52:00"/>
    <s v="Bejing, China"/>
    <s v="CAAC"/>
    <s v="Unknown"/>
    <s v="Unknown"/>
    <x v="1386"/>
    <s v="B-274"/>
    <n v="2172"/>
    <n v="12"/>
    <n v="0"/>
    <n v="12"/>
    <n v="12"/>
    <n v="0"/>
    <n v="12"/>
    <n v="32"/>
    <s v="The aircraft crashed into a factory after being stolen and flown by pilot who was not qualified to fly."/>
    <n v="0"/>
    <n v="1"/>
    <x v="1"/>
  </r>
  <r>
    <n v="3000"/>
    <x v="2721"/>
    <x v="68"/>
    <x v="1"/>
    <d v="1899-12-30T23:40:00"/>
    <s v="Near Doha Airport, Qatar"/>
    <s v="Alia Royal Jordanian Airlines"/>
    <n v="600"/>
    <s v="Amman - Doha"/>
    <x v="1387"/>
    <s v="JY-ADU"/>
    <s v="20886/1061"/>
    <n v="64"/>
    <n v="49"/>
    <n v="15"/>
    <n v="45"/>
    <n v="41"/>
    <n v="4"/>
    <n v="0"/>
    <s v="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quot;The City of Petra.&quot;"/>
    <n v="19"/>
    <n v="0.703125"/>
    <x v="1"/>
  </r>
  <r>
    <n v="3001"/>
    <x v="2722"/>
    <x v="68"/>
    <x v="1"/>
    <d v="1899-12-30T19:44:00"/>
    <s v="Near Moscow, Russia"/>
    <s v="Aeroflot"/>
    <n v="1691"/>
    <s v="Moscow - Odessa"/>
    <x v="881"/>
    <s v="CCCP-42444"/>
    <n v="921001"/>
    <n v="119"/>
    <n v="113"/>
    <n v="6"/>
    <n v="58"/>
    <n v="57"/>
    <n v="1"/>
    <n v="0"/>
    <s v="The aircarft crashed in freezing rain and fog shortly after taking off. The aircraft was overloaded. The pilot had very little experience flying the aircraft type."/>
    <n v="61"/>
    <n v="0.48739495798319327"/>
    <x v="0"/>
  </r>
  <r>
    <n v="3002"/>
    <x v="2723"/>
    <x v="68"/>
    <x v="1"/>
    <s v="Unknown"/>
    <s v="Luanda, Angola"/>
    <s v="Interflug"/>
    <s v="Unknown"/>
    <s v="Luanda-Berlin"/>
    <x v="913"/>
    <s v="DM-STL"/>
    <n v="186009402"/>
    <n v="10"/>
    <n v="6"/>
    <n v="4"/>
    <n v="10"/>
    <n v="6"/>
    <n v="4"/>
    <n v="0"/>
    <s v="The cargo plane lost the No. 2 engine on takeoff, overran the runway, crashed into the ILS localizer antenna, broke up and caught fire."/>
    <n v="0"/>
    <n v="1"/>
    <x v="1"/>
  </r>
  <r>
    <n v="3003"/>
    <x v="2724"/>
    <x v="68"/>
    <x v="1"/>
    <s v="Unknown"/>
    <s v="Ste. Foy, PQ, Canada"/>
    <s v="Quebecair"/>
    <n v="255"/>
    <s v="Quebec - Montreal"/>
    <x v="896"/>
    <s v="CF-QBL"/>
    <n v="47"/>
    <n v="24"/>
    <n v="21"/>
    <n v="3"/>
    <n v="17"/>
    <n v="14"/>
    <n v="3"/>
    <n v="0"/>
    <s v="Engine failure shortly after takeoff caused damage so the landing gear could not be retracted and increasing drag during the critical climbout phase. Airspeed slowed until the aircraft crashed."/>
    <n v="7"/>
    <n v="0.70833333333333337"/>
    <x v="1"/>
  </r>
  <r>
    <n v="3004"/>
    <x v="2725"/>
    <x v="68"/>
    <x v="1"/>
    <s v="Unknown"/>
    <s v="Off Avalon, California"/>
    <s v="Catalina Airlines"/>
    <s v="Unknown"/>
    <s v="San Pedro, CA - Catalina, CA"/>
    <x v="355"/>
    <s v="N11CS"/>
    <n v="1166"/>
    <n v="11"/>
    <n v="10"/>
    <n v="1"/>
    <n v="1"/>
    <n v="1"/>
    <n v="0"/>
    <n v="0"/>
    <s v="During an attempted go-around, the plane struck boat wakes and crashed. One passenger drowned."/>
    <n v="10"/>
    <n v="9.0909090909090912E-2"/>
    <x v="2"/>
  </r>
  <r>
    <n v="3005"/>
    <x v="2726"/>
    <x v="68"/>
    <x v="1"/>
    <d v="1899-12-30T18:23:00"/>
    <s v="Newark, New Jersey"/>
    <s v="New York Airways"/>
    <s v="Unknown"/>
    <s v="Newark, NJ - Flushing, NY"/>
    <x v="1388"/>
    <s v="N618PA"/>
    <n v="61426"/>
    <n v="18"/>
    <n v="15"/>
    <n v="3"/>
    <n v="3"/>
    <n v="3"/>
    <n v="0"/>
    <n v="0"/>
    <s v="Tail rotor separated in flight shortly after takeoff. The helicopter autorotated and crashed. Fatigue fracture in tail rotor."/>
    <n v="15"/>
    <n v="0.16666666666666666"/>
    <x v="2"/>
  </r>
  <r>
    <n v="3006"/>
    <x v="2727"/>
    <x v="68"/>
    <x v="1"/>
    <s v="Unknown"/>
    <s v="Near Cuenca, Ecuador"/>
    <s v="SAETA"/>
    <s v="Unknown"/>
    <s v="Quito - Cuenca"/>
    <x v="950"/>
    <s v="HC-AVP"/>
    <n v="329"/>
    <n v="57"/>
    <n v="52"/>
    <n v="5"/>
    <n v="57"/>
    <n v="52"/>
    <n v="5"/>
    <n v="0"/>
    <s v="The aircraft disappeared while en route. Wreckage was not discovered for over 5 years."/>
    <n v="0"/>
    <n v="1"/>
    <x v="1"/>
  </r>
  <r>
    <n v="3007"/>
    <x v="2728"/>
    <x v="68"/>
    <x v="1"/>
    <d v="1899-12-30T20:40:00"/>
    <s v="Bullen Point, Alaska"/>
    <s v="Sea Airmotive"/>
    <s v="Unknown"/>
    <s v="Bullen Point - Deadhorse"/>
    <x v="1389"/>
    <s v="N581PA"/>
    <n v="253"/>
    <n v="3"/>
    <n v="0"/>
    <n v="3"/>
    <n v="3"/>
    <n v="0"/>
    <n v="3"/>
    <n v="0"/>
    <s v="The cargo plane crashed in heavy crosswind while attempting to takeoff. Inadequate preflight preparation and/or planning. Pilot in command failed to follow approved procedures,directives,etc. Cargo shifted."/>
    <n v="0"/>
    <n v="1"/>
    <x v="1"/>
  </r>
  <r>
    <n v="3008"/>
    <x v="2728"/>
    <x v="68"/>
    <x v="1"/>
    <d v="1899-12-30T15:04:00"/>
    <s v="Chicago O'Hare, Illinois"/>
    <s v="American Airlines"/>
    <n v="191"/>
    <s v="Chicago, IL- Los Angeles, CA"/>
    <x v="1249"/>
    <s v="N110AA"/>
    <s v="46510/22"/>
    <n v="271"/>
    <n v="258"/>
    <n v="13"/>
    <n v="271"/>
    <n v="258"/>
    <n v="13"/>
    <n v="2"/>
    <s v="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
    <n v="0"/>
    <n v="1"/>
    <x v="1"/>
  </r>
  <r>
    <n v="3009"/>
    <x v="2729"/>
    <x v="68"/>
    <x v="1"/>
    <s v="Unknown"/>
    <s v="Off Dakar, Senegal"/>
    <s v="Military - Mauritanian Air Force"/>
    <s v="Unknown"/>
    <s v="Bouceif - Dakar"/>
    <x v="1390"/>
    <s v="5T-MAX"/>
    <n v="88"/>
    <n v="12"/>
    <n v="7"/>
    <n v="5"/>
    <n v="12"/>
    <n v="7"/>
    <n v="5"/>
    <n v="0"/>
    <s v="Crashed into the Atlantic Ocean during a blinding sandstorm. The pilot, unable to land due to the sandstorm headed out to sea for another approach when the accident occurred."/>
    <n v="0"/>
    <n v="1"/>
    <x v="1"/>
  </r>
  <r>
    <n v="3010"/>
    <x v="2730"/>
    <x v="68"/>
    <x v="1"/>
    <d v="1899-12-30T20:55:00"/>
    <s v="Rockland, Maine"/>
    <s v="Downeast Airlines"/>
    <n v="46"/>
    <s v="Boston - Rockland"/>
    <x v="1391"/>
    <s v="N68DE"/>
    <n v="229"/>
    <n v="18"/>
    <n v="16"/>
    <n v="2"/>
    <n v="17"/>
    <n v="15"/>
    <n v="2"/>
    <n v="0"/>
    <s v="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
    <n v="1"/>
    <n v="0.94444444444444442"/>
    <x v="1"/>
  </r>
  <r>
    <n v="3011"/>
    <x v="2731"/>
    <x v="68"/>
    <x v="1"/>
    <d v="1899-12-30T11:00:00"/>
    <s v="Near Leh, India"/>
    <s v="Military - Indian Air Force"/>
    <s v="Unknown"/>
    <s v="Unknown"/>
    <x v="1392"/>
    <s v="H2178"/>
    <n v="572"/>
    <n v="27"/>
    <n v="0"/>
    <n v="27"/>
    <n v="27"/>
    <n v="0"/>
    <n v="27"/>
    <n v="0"/>
    <s v="Crashed near the Karmwal Pass at 16,000 ft. mountain 10 minutes after taking off from Leh."/>
    <n v="0"/>
    <n v="1"/>
    <x v="1"/>
  </r>
  <r>
    <n v="3012"/>
    <x v="2732"/>
    <x v="68"/>
    <x v="1"/>
    <d v="1899-12-30T22:48:00"/>
    <s v="Hyannis, Massachusetts"/>
    <s v="Air New England"/>
    <n v="248"/>
    <s v="New York, NY - Hyannis, MA"/>
    <x v="1220"/>
    <s v="N383EX"/>
    <n v="245"/>
    <n v="10"/>
    <n v="8"/>
    <n v="2"/>
    <n v="1"/>
    <n v="0"/>
    <n v="1"/>
    <n v="0"/>
    <s v="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
    <n v="9"/>
    <n v="0.1"/>
    <x v="2"/>
  </r>
  <r>
    <n v="3013"/>
    <x v="2733"/>
    <x v="68"/>
    <x v="1"/>
    <d v="1899-12-30T19:00:00"/>
    <s v="Near Medan Airfield, Indonesia"/>
    <s v="Garuda Indonesia Airlines"/>
    <s v="Unknown"/>
    <s v="Talang Betutu - Medan"/>
    <x v="1221"/>
    <s v="PK-GVE"/>
    <n v="11055"/>
    <n v="61"/>
    <n v="57"/>
    <n v="4"/>
    <n v="61"/>
    <n v="57"/>
    <n v="4"/>
    <n v="0"/>
    <s v="Struck Mt. Sebayak at 5,500 ft. during its approach. Pilot error.The plane was named &quot;Mamberamo.&quot;"/>
    <n v="0"/>
    <n v="1"/>
    <x v="1"/>
  </r>
  <r>
    <n v="3014"/>
    <x v="2734"/>
    <x v="68"/>
    <x v="1"/>
    <d v="1899-12-30T10:20:00"/>
    <s v="Bua, Fiji"/>
    <s v="Fiji Air Services"/>
    <s v="Unknown"/>
    <s v="Suva-Nausori - Bua-Dama"/>
    <x v="1376"/>
    <s v="DQ-FBO"/>
    <n v="195"/>
    <n v="9"/>
    <n v="8"/>
    <n v="1"/>
    <n v="9"/>
    <n v="8"/>
    <n v="1"/>
    <n v="0"/>
    <s v="Crashed into a rain forest. Pilot-in-command continuing the flight into conditions where he lost visual reference with the ground which resulted in the aircraft colliding with terrain."/>
    <n v="0"/>
    <n v="1"/>
    <x v="1"/>
  </r>
  <r>
    <n v="3015"/>
    <x v="2734"/>
    <x v="68"/>
    <x v="1"/>
    <d v="1899-12-30T09:32:00"/>
    <s v="Anchorage, Alaska"/>
    <s v="Soldotna Air Services"/>
    <s v="Unknown"/>
    <s v="Anchorage, AK - Kenai, AK"/>
    <x v="1393"/>
    <s v="N402TH"/>
    <s v="402B1034"/>
    <n v="7"/>
    <n v="6"/>
    <n v="1"/>
    <n v="7"/>
    <n v="6"/>
    <n v="1"/>
    <n v="0"/>
    <s v="Crashed in low ceiling and rain. Fluxgate compass inoperative because of chafed wires."/>
    <n v="0"/>
    <n v="1"/>
    <x v="1"/>
  </r>
  <r>
    <n v="3016"/>
    <x v="2735"/>
    <x v="68"/>
    <x v="1"/>
    <s v="Unknown"/>
    <s v="Beirut, Lebanon"/>
    <s v="Trans Mediterranean Airways"/>
    <s v="Unknown"/>
    <s v="Training"/>
    <x v="1234"/>
    <s v="OD-AFX"/>
    <s v="19107/507"/>
    <n v="6"/>
    <n v="0"/>
    <n v="6"/>
    <n v="6"/>
    <n v="0"/>
    <n v="6"/>
    <n v="0"/>
    <s v="On a third practice touch-and-go landing, the plane yawed to the right, stalled and crashed in an inverted attitude."/>
    <n v="0"/>
    <n v="1"/>
    <x v="1"/>
  </r>
  <r>
    <n v="3017"/>
    <x v="2736"/>
    <x v="68"/>
    <x v="1"/>
    <d v="1899-12-30T09:22:00"/>
    <s v="St. Croix, Virgin Islands"/>
    <s v="Prinair"/>
    <n v="610"/>
    <s v="St. Croix - St. Kitts"/>
    <x v="773"/>
    <s v="N575PR"/>
    <n v="14125"/>
    <n v="21"/>
    <n v="19"/>
    <n v="2"/>
    <n v="8"/>
    <n v="7"/>
    <n v="1"/>
    <n v="0"/>
    <s v="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
    <n v="13"/>
    <n v="0.38095238095238093"/>
    <x v="0"/>
  </r>
  <r>
    <n v="3018"/>
    <x v="2737"/>
    <x v="68"/>
    <x v="1"/>
    <d v="1899-12-30T16:01:00"/>
    <s v="Off Sumburgh, Shetlands, Scotland"/>
    <s v="Dan Air Services"/>
    <s v="Unknown"/>
    <s v="Unknown"/>
    <x v="1394"/>
    <s v="G-BEKF"/>
    <n v="1542"/>
    <n v="47"/>
    <n v="44"/>
    <n v="3"/>
    <n v="17"/>
    <n v="15"/>
    <n v="2"/>
    <n v="0"/>
    <s v="Crashed into the sea after overrunning the runway while taking off. Locked condition of the elevators which prevented the rotation of the aircraft into a flying attitude. Gust lock became re-engaged during pre- flight check."/>
    <n v="30"/>
    <n v="0.36170212765957449"/>
    <x v="0"/>
  </r>
  <r>
    <n v="3019"/>
    <x v="2738"/>
    <x v="68"/>
    <x v="1"/>
    <s v="Unknown"/>
    <s v="Canton, Ohio"/>
    <s v="Private"/>
    <s v="Unknown"/>
    <s v="Unknown"/>
    <x v="1395"/>
    <s v="N15NY"/>
    <n v="110"/>
    <n v="3"/>
    <n v="2"/>
    <n v="1"/>
    <n v="1"/>
    <n v="0"/>
    <n v="1"/>
    <n v="0"/>
    <s v="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
    <n v="2"/>
    <n v="0.33333333333333331"/>
    <x v="2"/>
  </r>
  <r>
    <n v="3020"/>
    <x v="2739"/>
    <x v="68"/>
    <x v="1"/>
    <s v="Unknown"/>
    <s v="Leningrad, USSR"/>
    <s v="Aeroflot"/>
    <s v="Unknown"/>
    <s v="Smolensk -_x0009_Leningrad ("/>
    <x v="1396"/>
    <s v="CCCP-67206"/>
    <n v="760509"/>
    <n v="14"/>
    <n v="12"/>
    <n v="2"/>
    <n v="14"/>
    <n v="12"/>
    <n v="2"/>
    <n v="0"/>
    <s v="Crashed due to engine failure on approach."/>
    <n v="0"/>
    <n v="1"/>
    <x v="1"/>
  </r>
  <r>
    <n v="3021"/>
    <x v="2740"/>
    <x v="68"/>
    <x v="1"/>
    <s v="Unknown"/>
    <s v="Near Panvel, India"/>
    <s v="Indian Airlines"/>
    <s v="Unknown"/>
    <s v="Pune-Bombay"/>
    <x v="1397"/>
    <s v="VT-DXJ"/>
    <n v="515"/>
    <n v="45"/>
    <n v="40"/>
    <n v="5"/>
    <n v="45"/>
    <n v="40"/>
    <n v="5"/>
    <n v="0"/>
    <s v="Crashed into the Kiroli Hills while on approach to Bombay at night. Momentary/intermittent loss of electrical contact in the G/S system of aircraft which gave the pilot an erroneous impression of the interception of the glide slope."/>
    <n v="0"/>
    <n v="1"/>
    <x v="1"/>
  </r>
  <r>
    <n v="3022"/>
    <x v="2741"/>
    <x v="68"/>
    <x v="1"/>
    <d v="1899-12-30T13:35:00"/>
    <s v="Near Volgograd, Russia"/>
    <s v="Aeroflot / Aeroflot"/>
    <s v="7880/7628"/>
    <s v="Tashkent - Donetsk - Minsk /Chelyabinsk to Kishinev"/>
    <x v="1398"/>
    <s v="65735/65816"/>
    <s v="2351516 / 05040"/>
    <n v="178"/>
    <n v="155"/>
    <n v="13"/>
    <n v="178"/>
    <n v="155"/>
    <n v="13"/>
    <n v="0"/>
    <s v="Midair collision at 27,200 ft. Separation error by air traffic controller. Eight-four killed on the 65735 and 94 on the 65816. Fourteen players and 3 staff members of the Russian soccer team, Pakhtakor Tashkent were killed."/>
    <n v="0"/>
    <n v="1"/>
    <x v="1"/>
  </r>
  <r>
    <n v="3023"/>
    <x v="2742"/>
    <x v="68"/>
    <x v="1"/>
    <s v="Unknown"/>
    <s v="Near Enisseysk, USSR"/>
    <s v="Aeroflot"/>
    <s v="Unknown"/>
    <s v="Norisk - Krasnoyarsk"/>
    <x v="942"/>
    <s v="CCCP-12963"/>
    <n v="9346407"/>
    <n v="16"/>
    <n v="10"/>
    <n v="6"/>
    <n v="11"/>
    <n v="5"/>
    <n v="6"/>
    <n v="0"/>
    <s v="Crashed into a wooded area after all four engines flamed out. Fuel contamination."/>
    <n v="5"/>
    <n v="0.6875"/>
    <x v="1"/>
  </r>
  <r>
    <n v="3024"/>
    <x v="2743"/>
    <x v="68"/>
    <x v="1"/>
    <d v="1899-12-30T00:26:00"/>
    <s v="Near Kirsanov, Russia"/>
    <s v="Aeroflot"/>
    <s v="Unknown"/>
    <s v="_x0009_Kiev - Kazan"/>
    <x v="935"/>
    <s v="CCCP-45038"/>
    <n v="3351003"/>
    <n v="63"/>
    <n v="58"/>
    <n v="5"/>
    <n v="63"/>
    <n v="58"/>
    <n v="5"/>
    <n v="0"/>
    <s v="The aircraft lost control went into a spin and crashed after an uncommanded flap extension at FL270."/>
    <n v="0"/>
    <n v="1"/>
    <x v="1"/>
  </r>
  <r>
    <n v="3025"/>
    <x v="2744"/>
    <x v="68"/>
    <x v="1"/>
    <d v="1899-12-30T01:01:00"/>
    <s v="Andema, Russia"/>
    <s v="Aeroflot"/>
    <s v="A-513"/>
    <s v="Arkhangelsk - _x0009_Amderma"/>
    <x v="968"/>
    <s v="CCCP-46269"/>
    <n v="77303602"/>
    <n v="44"/>
    <n v="37"/>
    <n v="7"/>
    <n v="40"/>
    <n v="35"/>
    <n v="5"/>
    <n v="0"/>
    <s v="The plane undershot the runway and crashed."/>
    <n v="4"/>
    <n v="0.90909090909090906"/>
    <x v="1"/>
  </r>
  <r>
    <n v="3026"/>
    <x v="2745"/>
    <x v="68"/>
    <x v="1"/>
    <s v="Unknown"/>
    <s v="Off Taipei, Taiwan"/>
    <s v="China Airlines (Taiwan)"/>
    <s v="Unknown"/>
    <s v="Training"/>
    <x v="1399"/>
    <s v="B-1834"/>
    <s v="18887/431"/>
    <n v="6"/>
    <n v="0"/>
    <n v="6"/>
    <n v="6"/>
    <n v="0"/>
    <n v="6"/>
    <n v="0"/>
    <s v="Crashed into the sea after taking off."/>
    <n v="0"/>
    <n v="1"/>
    <x v="1"/>
  </r>
  <r>
    <n v="3027"/>
    <x v="2746"/>
    <x v="68"/>
    <x v="1"/>
    <d v="1899-12-30T20:47:00"/>
    <s v="Near Klamath Falls, Oregon"/>
    <s v="Butler Aviation Inc."/>
    <s v="-"/>
    <s v="Redmond - Klamath Falls - Medford"/>
    <x v="924"/>
    <s v="N455SW"/>
    <n v="44287"/>
    <n v="12"/>
    <n v="10"/>
    <n v="2"/>
    <n v="12"/>
    <n v="10"/>
    <n v="2"/>
    <n v="0"/>
    <s v="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
    <n v="0"/>
    <n v="1"/>
    <x v="1"/>
  </r>
  <r>
    <n v="3028"/>
    <x v="2746"/>
    <x v="68"/>
    <x v="1"/>
    <d v="1899-12-30T00:07:00"/>
    <s v="Near Sarroch,  Italy"/>
    <s v="Aero Transporti Italiani"/>
    <s v="Unknown"/>
    <s v="Alghero - Cagliari"/>
    <x v="1104"/>
    <s v="I-ATJC"/>
    <s v="47667/776"/>
    <n v="31"/>
    <n v="27"/>
    <n v="4"/>
    <n v="31"/>
    <n v="27"/>
    <n v="4"/>
    <n v="0"/>
    <s v="The aircraft hit a mountain at an altitude of 2,000 ft. during an approach in poor weather. Crew's misjudgement in selection of a low altitude flight profile and inadequate ATC assistance."/>
    <n v="0"/>
    <n v="1"/>
    <x v="1"/>
  </r>
  <r>
    <n v="3029"/>
    <x v="2747"/>
    <x v="68"/>
    <x v="1"/>
    <s v="Unknown"/>
    <s v="Blink Horn Point, Canada"/>
    <s v="Pacific Coastal Airlines"/>
    <s v="Unknown"/>
    <s v=":  Comox-Port Hardy"/>
    <x v="1400"/>
    <s v="C-FZVV"/>
    <n v="238"/>
    <n v="9"/>
    <n v="8"/>
    <n v="1"/>
    <n v="4"/>
    <n v="8"/>
    <n v="1"/>
    <n v="0"/>
    <s v="Struck high ground in thick fog."/>
    <n v="5"/>
    <n v="0.44444444444444442"/>
    <x v="0"/>
  </r>
  <r>
    <n v="3030"/>
    <x v="2748"/>
    <x v="68"/>
    <x v="1"/>
    <s v="Unknown"/>
    <s v="Merced, California"/>
    <s v="Military - U.S. Air Force"/>
    <s v="Unknown"/>
    <s v="Training"/>
    <x v="794"/>
    <s v="58-0127"/>
    <s v="17872/342"/>
    <n v="5"/>
    <n v="0"/>
    <n v="5"/>
    <n v="5"/>
    <n v="0"/>
    <n v="5"/>
    <n v="0"/>
    <s v="Crashed while attempting touch and go landings."/>
    <n v="0"/>
    <n v="1"/>
    <x v="1"/>
  </r>
  <r>
    <n v="3031"/>
    <x v="2749"/>
    <x v="68"/>
    <x v="1"/>
    <d v="1899-12-30T13:00:00"/>
    <s v="Porpoise Bay, British Columbia Canada"/>
    <s v="West Coast Air"/>
    <s v="Unknown"/>
    <s v="Vancouver - Sechelt"/>
    <x v="1095"/>
    <s v="C-FWAF"/>
    <n v="122"/>
    <n v="16"/>
    <n v="14"/>
    <n v="2"/>
    <n v="2"/>
    <n v="1"/>
    <n v="1"/>
    <n v="0"/>
    <s v="The aircraft was on finals when it suddenly turned right and descended in a right wing-down attitude, striking the ground and cartwheeling into trees."/>
    <n v="14"/>
    <n v="0.125"/>
    <x v="2"/>
  </r>
  <r>
    <n v="3032"/>
    <x v="2750"/>
    <x v="68"/>
    <x v="1"/>
    <d v="1899-12-30T22:15:00"/>
    <s v="Athens, Greece"/>
    <s v="Swissair"/>
    <s v="SR316"/>
    <s v="Zurich - Geneva - Athens - Bombay - Beijing"/>
    <x v="1094"/>
    <s v="HB-IDE"/>
    <s v="45919/312"/>
    <n v="156"/>
    <n v="145"/>
    <n v="11"/>
    <n v="14"/>
    <n v="14"/>
    <n v="0"/>
    <n v="0"/>
    <s v="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
    <n v="142"/>
    <n v="8.9743589743589744E-2"/>
    <x v="2"/>
  </r>
  <r>
    <n v="3033"/>
    <x v="2751"/>
    <x v="68"/>
    <x v="1"/>
    <d v="1899-12-30T10:08:00"/>
    <s v="Covington, Kentucky"/>
    <s v="Comair"/>
    <s v="Unknown"/>
    <s v="Covington, KY - Nashville, TN"/>
    <x v="1175"/>
    <s v="N6642L"/>
    <s v="31-580"/>
    <n v="8"/>
    <n v="7"/>
    <n v="1"/>
    <n v="8"/>
    <n v="7"/>
    <n v="1"/>
    <n v="0"/>
    <s v="The plane crashed after engine failure for undetermined reasons. Improper flap configueration. Plane overloaded. Hurried departure. Inadequate flight training."/>
    <n v="0"/>
    <n v="1"/>
    <x v="1"/>
  </r>
  <r>
    <n v="3034"/>
    <x v="2752"/>
    <x v="68"/>
    <x v="1"/>
    <d v="1899-12-30T07:15:00"/>
    <s v="Lensk, Russia"/>
    <s v="Aeroflot"/>
    <s v="Unknown"/>
    <s v="_x0009_Lensk -_x0009_Peleduy"/>
    <x v="1401"/>
    <s v="CCCP-32322"/>
    <s v="1G97-34"/>
    <n v="12"/>
    <n v="10"/>
    <n v="2"/>
    <n v="3"/>
    <n v="2"/>
    <n v="1"/>
    <n v="0"/>
    <s v="The cargo plane crashed on takeoff. Improper loading."/>
    <n v="9"/>
    <n v="0.25"/>
    <x v="2"/>
  </r>
  <r>
    <n v="3035"/>
    <x v="2753"/>
    <x v="68"/>
    <x v="1"/>
    <d v="1899-12-30T05:42:00"/>
    <s v="Mexico City, Mexico"/>
    <s v="Western Airlines"/>
    <n v="2605"/>
    <s v="Los Angeles  - Mexico City"/>
    <x v="1249"/>
    <s v="N903WA"/>
    <s v="46929/107"/>
    <n v="88"/>
    <n v="77"/>
    <n v="11"/>
    <n v="72"/>
    <n v="63"/>
    <n v="9"/>
    <n v="1"/>
    <s v="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
    <n v="16"/>
    <n v="0.81818181818181823"/>
    <x v="1"/>
  </r>
  <r>
    <n v="3036"/>
    <x v="2754"/>
    <x v="68"/>
    <x v="1"/>
    <d v="1899-12-30T12:00:00"/>
    <s v="Near Chicago, Illinois"/>
    <s v="American Airlines"/>
    <n v="444"/>
    <s v="Chicago - Washington D.C."/>
    <x v="1402"/>
    <s v="Unknown"/>
    <s v="Unknown"/>
    <n v="78"/>
    <n v="72"/>
    <n v="6"/>
    <n v="0"/>
    <n v="0"/>
    <n v="0"/>
    <n v="0"/>
    <s v="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
    <n v="78"/>
    <n v="0"/>
    <x v="2"/>
  </r>
  <r>
    <n v="3037"/>
    <x v="2755"/>
    <x v="68"/>
    <x v="1"/>
    <d v="1899-12-30T18:40:00"/>
    <s v="Vologda, Russia"/>
    <s v="Aeroflot"/>
    <s v="Unknown"/>
    <s v="Positioning"/>
    <x v="1146"/>
    <s v="CCCP-87454"/>
    <n v="9431136"/>
    <n v="5"/>
    <n v="0"/>
    <n v="5"/>
    <n v="3"/>
    <n v="0"/>
    <n v="3"/>
    <n v="0"/>
    <s v="The cargo plane descended below the decision height without having established ground contact and crashed into a wooded area."/>
    <n v="2"/>
    <n v="0.6"/>
    <x v="0"/>
  </r>
  <r>
    <n v="3038"/>
    <x v="2756"/>
    <x v="68"/>
    <x v="1"/>
    <d v="1899-12-30T04:56:00"/>
    <s v="Granger, Utah"/>
    <s v="Transamerica Airlines"/>
    <s v="Unknown"/>
    <s v="Ogden, UT - Las Vegas, NV"/>
    <x v="1403"/>
    <s v="N859U"/>
    <n v="2016"/>
    <n v="3"/>
    <n v="0"/>
    <n v="3"/>
    <n v="3"/>
    <n v="0"/>
    <n v="3"/>
    <n v="0"/>
    <s v="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
    <n v="0"/>
    <n v="1"/>
    <x v="1"/>
  </r>
  <r>
    <n v="3039"/>
    <x v="2757"/>
    <x v="68"/>
    <x v="1"/>
    <d v="1899-12-30T02:03:00"/>
    <s v="Near At Ta'if, Jeddah, Saudi Arabia"/>
    <s v="Pakistan International Airlines"/>
    <n v="740"/>
    <s v="Jeddah - Karachi"/>
    <x v="1404"/>
    <s v="AP-AWZ"/>
    <s v="20275/844"/>
    <n v="156"/>
    <n v="145"/>
    <n v="11"/>
    <n v="156"/>
    <n v="145"/>
    <n v="11"/>
    <n v="0"/>
    <s v="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
    <n v="0"/>
    <n v="1"/>
    <x v="1"/>
  </r>
  <r>
    <n v="3040"/>
    <x v="2758"/>
    <x v="68"/>
    <x v="1"/>
    <d v="1899-12-30T12:49:00"/>
    <s v="Near Mt. Erebus, Ross Ice Shelf, Antarctica"/>
    <s v="Air New Zealand"/>
    <n v="901"/>
    <s v="Auckland - Christchurch"/>
    <x v="1405"/>
    <s v="ZK-NZP"/>
    <s v="46910/182"/>
    <n v="257"/>
    <n v="237"/>
    <n v="20"/>
    <n v="257"/>
    <n v="237"/>
    <n v="20"/>
    <n v="0"/>
    <s v="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
    <n v="0"/>
    <n v="1"/>
    <x v="1"/>
  </r>
  <r>
    <n v="3041"/>
    <x v="2759"/>
    <x v="68"/>
    <x v="1"/>
    <s v="Unknown"/>
    <s v="San Andres Island, Colombia"/>
    <s v="Aerolineas La Gaviola"/>
    <s v="Unknown"/>
    <s v="Unknown"/>
    <x v="355"/>
    <s v="HK-2059"/>
    <n v="1019"/>
    <n v="9"/>
    <n v="7"/>
    <n v="2"/>
    <n v="9"/>
    <n v="7"/>
    <n v="2"/>
    <n v="0"/>
    <s v="No data available"/>
    <n v="0"/>
    <n v="1"/>
    <x v="1"/>
  </r>
  <r>
    <n v="3042"/>
    <x v="2760"/>
    <x v="68"/>
    <x v="1"/>
    <s v="Unknown"/>
    <s v="Cherskiy, Russia"/>
    <s v="Aeroflot"/>
    <s v="Unknown"/>
    <s v="Unknown"/>
    <x v="1195"/>
    <s v="CCCP-26547"/>
    <n v="2810"/>
    <n v="7"/>
    <n v="2"/>
    <n v="5"/>
    <n v="7"/>
    <n v="2"/>
    <n v="5"/>
    <n v="0"/>
    <s v="Shifting cargo caused the pilot to lose control and crash into a hotel."/>
    <n v="0"/>
    <n v="1"/>
    <x v="1"/>
  </r>
  <r>
    <n v="3043"/>
    <x v="2761"/>
    <x v="68"/>
    <x v="1"/>
    <s v="Unknown"/>
    <s v="Apolo, Bolivia"/>
    <s v="CAMBA"/>
    <s v="Unknown"/>
    <s v="Unknown"/>
    <x v="714"/>
    <s v="CP-1440"/>
    <n v="14114"/>
    <n v="11"/>
    <s v="NULL"/>
    <s v="NULL"/>
    <n v="10"/>
    <s v="NULL"/>
    <s v="NULL"/>
    <n v="0"/>
    <s v="No data available"/>
    <n v="1"/>
    <n v="0.90909090909090906"/>
    <x v="1"/>
  </r>
  <r>
    <n v="3044"/>
    <x v="2762"/>
    <x v="68"/>
    <x v="1"/>
    <s v="Unknown"/>
    <s v="Cerro Toledo Mountain, Colombia"/>
    <s v="SATENA"/>
    <s v="Unknown"/>
    <s v="Arauca - Bogota"/>
    <x v="1406"/>
    <s v="FAC-1106"/>
    <n v="10853"/>
    <n v="21"/>
    <n v="16"/>
    <n v="5"/>
    <n v="21"/>
    <n v="16"/>
    <n v="5"/>
    <n v="0"/>
    <s v="Impacted a mountainside at an altitude of 3400 m."/>
    <n v="0"/>
    <n v="1"/>
    <x v="1"/>
  </r>
  <r>
    <n v="3045"/>
    <x v="2763"/>
    <x v="68"/>
    <x v="1"/>
    <d v="1899-12-30T14:00:00"/>
    <s v="Near Puerto Esperanza, Peru"/>
    <s v="Fuerza AÃ©rea del Peru"/>
    <s v="Unknown"/>
    <s v="Pucallpa - Puerto Esperanza"/>
    <x v="1407"/>
    <s v="FAP-348"/>
    <n v="55"/>
    <n v="29"/>
    <n v="24"/>
    <n v="5"/>
    <n v="29"/>
    <n v="24"/>
    <n v="5"/>
    <n v="0"/>
    <s v="Crashed into the jungle on a domestic flight 20 miles from its destination. Severe thunderstorms associated with windshear and  a hurricane is believed to have caused the crash."/>
    <n v="0"/>
    <n v="1"/>
    <x v="1"/>
  </r>
  <r>
    <n v="3046"/>
    <x v="2764"/>
    <x v="68"/>
    <x v="1"/>
    <s v="Unknown"/>
    <s v="Ankara, Turkey"/>
    <s v="Turkish Airlines (THY)"/>
    <s v="Unknown"/>
    <s v="Ankara - Samsun"/>
    <x v="1221"/>
    <s v="TC-JAT"/>
    <n v="11071"/>
    <n v="45"/>
    <n v="41"/>
    <n v="4"/>
    <n v="41"/>
    <n v="38"/>
    <n v="3"/>
    <n v="0"/>
    <s v="Crashed into Cubuk Hill in fog, two minutes away from landing at the airport.  The crew had deviated from the localizer course while on an ILS approach in poor weather conditions.The aircraft was named &quot;Trabzon.&quot;"/>
    <n v="4"/>
    <n v="0.91111111111111109"/>
    <x v="1"/>
  </r>
  <r>
    <n v="3047"/>
    <x v="2764"/>
    <x v="68"/>
    <x v="1"/>
    <s v="Unknown"/>
    <s v="Menari, Papua New Guinea"/>
    <s v="Douglas Airways"/>
    <s v="Unknown"/>
    <s v="Port Morsbey - Maanari"/>
    <x v="1408"/>
    <s v="P2-DNL"/>
    <n v="39"/>
    <n v="16"/>
    <n v="14"/>
    <n v="2"/>
    <n v="16"/>
    <n v="14"/>
    <n v="2"/>
    <n v="0"/>
    <s v="Crashed into the side of a hill after a go-around."/>
    <n v="0"/>
    <n v="1"/>
    <x v="1"/>
  </r>
  <r>
    <n v="3048"/>
    <x v="2765"/>
    <x v="69"/>
    <x v="2"/>
    <s v="Unknown"/>
    <s v="Haiti"/>
    <s v="HaÃ¯ti Air Inter"/>
    <s v="Unknown"/>
    <s v="Port au Prince - Cape Haitien"/>
    <x v="1409"/>
    <s v="HH-CNC"/>
    <n v="474"/>
    <n v="9"/>
    <n v="8"/>
    <n v="1"/>
    <n v="9"/>
    <n v="8"/>
    <n v="1"/>
    <n v="0"/>
    <s v="Struck high ground in poor visibility while en route."/>
    <n v="0"/>
    <n v="1"/>
    <x v="1"/>
  </r>
  <r>
    <n v="3049"/>
    <x v="2766"/>
    <x v="69"/>
    <x v="2"/>
    <d v="1899-12-30T01:23:00"/>
    <s v="Over the Atlantic Ocean"/>
    <s v="Private charter"/>
    <s v="Unknown"/>
    <s v="Shreveport - Baton Rouge"/>
    <x v="1410"/>
    <s v="N442NC"/>
    <s v="Unknown"/>
    <n v="2"/>
    <n v="1"/>
    <n v="1"/>
    <n v="2"/>
    <n v="1"/>
    <n v="1"/>
    <n v="0"/>
    <s v="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quot;Bo&quot; Rein, 34, was killed."/>
    <n v="0"/>
    <n v="1"/>
    <x v="1"/>
  </r>
  <r>
    <n v="3050"/>
    <x v="2767"/>
    <x v="69"/>
    <x v="2"/>
    <d v="1899-12-30T14:00:00"/>
    <s v="Shungnak, Alaska"/>
    <s v="Ambler Air Service"/>
    <s v="Unknown"/>
    <s v="Ambler, AK - Kobuk, AK"/>
    <x v="1411"/>
    <s v="N1690Z"/>
    <s v="185-0490"/>
    <n v="9"/>
    <n v="8"/>
    <n v="1"/>
    <n v="7"/>
    <n v="6"/>
    <n v="1"/>
    <n v="0"/>
    <s v="Crashed. Continued VFR flight into adverse weather conditions."/>
    <n v="2"/>
    <n v="0.77777777777777779"/>
    <x v="1"/>
  </r>
  <r>
    <n v="3051"/>
    <x v="2768"/>
    <x v="69"/>
    <x v="2"/>
    <d v="1899-12-30T19:10:00"/>
    <s v="Elburz Mtns., near Tehran, Iran"/>
    <s v="Iran Air"/>
    <s v="Unknown"/>
    <s v="Babol Sar - Tehran"/>
    <x v="1412"/>
    <s v="EP-IRD"/>
    <s v="19817/537"/>
    <n v="128"/>
    <n v="120"/>
    <n v="8"/>
    <n v="128"/>
    <n v="120"/>
    <n v="8"/>
    <n v="0"/>
    <s v="The aircraft crashed into a mountain during a landing attempt in fog and snow. Inoperative ground radar, inoperative ILS. The aircraft was named &quot;Shiraz.&quot;"/>
    <n v="0"/>
    <n v="1"/>
    <x v="1"/>
  </r>
  <r>
    <n v="3052"/>
    <x v="2769"/>
    <x v="69"/>
    <x v="2"/>
    <s v="Unknown"/>
    <s v="Mt. Cemonyet,  Indonesia"/>
    <s v="Pelita Air Service"/>
    <s v="Unknown"/>
    <s v="Bandung - Jakarta"/>
    <x v="1413"/>
    <s v="PK-PCX"/>
    <s v="45/3N"/>
    <n v="13"/>
    <n v="10"/>
    <n v="3"/>
    <n v="13"/>
    <n v="10"/>
    <n v="3"/>
    <n v="0"/>
    <s v="Hit high ground at 2,700 ft. in poor weather while on approach."/>
    <n v="0"/>
    <n v="1"/>
    <x v="1"/>
  </r>
  <r>
    <n v="3053"/>
    <x v="2770"/>
    <x v="69"/>
    <x v="2"/>
    <d v="1899-12-30T06:20:00"/>
    <s v="Near Mandalay, Burma"/>
    <s v="Military - Union of Burma Air Force"/>
    <s v="Unknown"/>
    <s v="Mandalay - Rangoon"/>
    <x v="1414"/>
    <n v="5003"/>
    <n v="545"/>
    <n v="44"/>
    <s v="NULL"/>
    <s v="NULL"/>
    <n v="43"/>
    <s v="NULL"/>
    <s v="NULL"/>
    <n v="0"/>
    <s v="Crashed into a building while attempting an emergency landing following the loss of one engine."/>
    <n v="1"/>
    <n v="0.97727272727272729"/>
    <x v="1"/>
  </r>
  <r>
    <n v="3054"/>
    <x v="2771"/>
    <x v="69"/>
    <x v="2"/>
    <s v="Unknown"/>
    <s v="Baracoa, Cuba"/>
    <s v="Cubana de Aviacon"/>
    <s v="Unknown"/>
    <s v="Moa - Baracoa"/>
    <x v="1146"/>
    <s v="CU-T1219"/>
    <n v="9840959"/>
    <n v="37"/>
    <n v="33"/>
    <n v="4"/>
    <n v="1"/>
    <n v="1"/>
    <n v="0"/>
    <n v="0"/>
    <s v="Crashed while attemping to land."/>
    <n v="36"/>
    <n v="2.7027027027027029E-2"/>
    <x v="2"/>
  </r>
  <r>
    <n v="3055"/>
    <x v="2772"/>
    <x v="69"/>
    <x v="2"/>
    <d v="1899-12-30T08:50:00"/>
    <s v="Leeville, Louisiana"/>
    <s v="Rotor Airs Inc - Air Taxi"/>
    <s v="Unknown"/>
    <s v="Leeville, LA - Grand Isle, LA"/>
    <x v="1415"/>
    <s v="N442Y"/>
    <n v="62033"/>
    <n v="7"/>
    <n v="6"/>
    <n v="1"/>
    <n v="6"/>
    <n v="6"/>
    <n v="0"/>
    <n v="0"/>
    <s v="The helicopter experienced uncontrollable overspeeding, became airborne, lost power and crashed."/>
    <n v="1"/>
    <n v="0.8571428571428571"/>
    <x v="1"/>
  </r>
  <r>
    <n v="3056"/>
    <x v="2772"/>
    <x v="69"/>
    <x v="2"/>
    <d v="1899-12-30T19:09:00"/>
    <s v="Sydney, NSW, Australia"/>
    <s v="Advance Airlines"/>
    <s v="Unknown"/>
    <s v="Sydney - Tomora"/>
    <x v="1416"/>
    <s v="VH-AAV"/>
    <s v="BB-0245"/>
    <n v="13"/>
    <n v="12"/>
    <n v="1"/>
    <n v="13"/>
    <n v="12"/>
    <n v="1"/>
    <n v="0"/>
    <s v="Crashed into a sea wall just 2 feet short of the runway while attemping an emergency landing."/>
    <n v="0"/>
    <n v="1"/>
    <x v="1"/>
  </r>
  <r>
    <n v="3057"/>
    <x v="2773"/>
    <x v="69"/>
    <x v="2"/>
    <s v="Unknown"/>
    <s v="Near Agra, India"/>
    <s v="Military - Indian Air Force"/>
    <s v="Unknown"/>
    <s v="Unknown"/>
    <x v="853"/>
    <s v="Unknown"/>
    <s v="Unknown"/>
    <n v="47"/>
    <s v="NULL"/>
    <s v="NULL"/>
    <n v="46"/>
    <s v="NULL"/>
    <s v="NULL"/>
    <n v="1"/>
    <s v="A bicyclist riding on the runway led the pilot to initiate a premature liftoff resulting in a stall. The plane was carrying paratroopers."/>
    <n v="1"/>
    <n v="0.97872340425531912"/>
    <x v="1"/>
  </r>
  <r>
    <n v="3058"/>
    <x v="2774"/>
    <x v="69"/>
    <x v="2"/>
    <d v="1899-12-30T06:00:00"/>
    <s v="Manila, Philippines"/>
    <s v="China Airlines (Taiwan)"/>
    <s v="Unknown"/>
    <s v="Taipei - Manila"/>
    <x v="1417"/>
    <s v="B-1826"/>
    <s v="20262/830"/>
    <n v="135"/>
    <n v="124"/>
    <n v="11"/>
    <n v="2"/>
    <n v="2"/>
    <n v="0"/>
    <n v="0"/>
    <s v="The aircraft undershot the runway and bounced twice. The two outboard engines broke loose and the wingtips were ripped off. A fire broke out and spread rapidly. Pilot error."/>
    <n v="133"/>
    <n v="1.4814814814814815E-2"/>
    <x v="2"/>
  </r>
  <r>
    <n v="3059"/>
    <x v="2775"/>
    <x v="69"/>
    <x v="2"/>
    <d v="1899-12-30T11:00:00"/>
    <s v="Near Warsaw, Poland"/>
    <s v="LOT Polish Airlines"/>
    <n v="7"/>
    <s v="New York City - Warsaw"/>
    <x v="1205"/>
    <s v="SP-LAA"/>
    <n v="11004"/>
    <n v="87"/>
    <n v="77"/>
    <n v="10"/>
    <n v="87"/>
    <n v="77"/>
    <n v="10"/>
    <n v="0"/>
    <s v="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
    <n v="0"/>
    <n v="1"/>
    <x v="1"/>
  </r>
  <r>
    <n v="3060"/>
    <x v="2775"/>
    <x v="69"/>
    <x v="2"/>
    <d v="1899-12-30T15:00:00"/>
    <s v="Near Yenice, Turkey"/>
    <s v="Military - U.S. Air Force"/>
    <s v="Unknown"/>
    <s v="Training"/>
    <x v="1262"/>
    <s v="74-2064"/>
    <n v="4659"/>
    <n v="18"/>
    <n v="12"/>
    <n v="6"/>
    <n v="18"/>
    <n v="12"/>
    <n v="6"/>
    <n v="0"/>
    <s v="Crashed into hilly terrain after the left wing exploded. Cause unknown. The plane was returning to Incirlik Air Base."/>
    <n v="0"/>
    <n v="1"/>
    <x v="1"/>
  </r>
  <r>
    <n v="3061"/>
    <x v="2776"/>
    <x v="69"/>
    <x v="2"/>
    <d v="1899-12-30T19:49:00"/>
    <s v="Houston, Texas"/>
    <s v="Eagle Commuter"/>
    <s v="Unknown"/>
    <s v="Houston - Brownwood"/>
    <x v="1418"/>
    <s v="N55932"/>
    <s v="28-7305503"/>
    <n v="10"/>
    <n v="8"/>
    <n v="2"/>
    <n v="7"/>
    <n v="5"/>
    <n v="2"/>
    <n v="0"/>
    <s v="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
    <n v="3"/>
    <n v="0.7"/>
    <x v="1"/>
  </r>
  <r>
    <n v="3062"/>
    <x v="2776"/>
    <x v="69"/>
    <x v="2"/>
    <s v="Unknown"/>
    <s v="Off Macae, Brazil"/>
    <s v="VOTEC"/>
    <s v="Unknown"/>
    <s v="Unknown"/>
    <x v="1419"/>
    <s v="PT-HKB"/>
    <n v="760008"/>
    <n v="14"/>
    <s v="NULL"/>
    <s v="NULL"/>
    <n v="14"/>
    <s v="NULL"/>
    <s v="NULL"/>
    <n v="0"/>
    <s v="Crashed into the sea. Fatigue fracture of the main rotor."/>
    <n v="0"/>
    <n v="1"/>
    <x v="1"/>
  </r>
  <r>
    <n v="3063"/>
    <x v="2777"/>
    <x v="69"/>
    <x v="2"/>
    <d v="1899-12-30T20:40:00"/>
    <s v="Florianopolis, Brazil"/>
    <s v="Transbrasil"/>
    <n v="303"/>
    <s v="Sao Paulo - Florianopolis"/>
    <x v="1420"/>
    <s v="PT-TYS"/>
    <s v="19111/297"/>
    <n v="58"/>
    <n v="50"/>
    <n v="8"/>
    <n v="55"/>
    <n v="47"/>
    <n v="8"/>
    <n v="0"/>
    <s v="The plane crashed into a hill while landing during a thunderstorm. The pilot misjudged his speed and distance and failed to initiate a go-around. Improper flight supervision and control of the engines."/>
    <n v="3"/>
    <n v="0.94827586206896552"/>
    <x v="1"/>
  </r>
  <r>
    <n v="3064"/>
    <x v="2778"/>
    <x v="69"/>
    <x v="2"/>
    <d v="1899-12-30T20:05:00"/>
    <s v="_x0009_Krasnoyarsk, Russia"/>
    <s v="Aeroflot"/>
    <n v="151"/>
    <s v="_x0009_Krasnoyarsk - Yeniseisk"/>
    <x v="1009"/>
    <s v="CCCP-47732"/>
    <n v="69900905"/>
    <n v="53"/>
    <n v="49"/>
    <n v="4"/>
    <n v="2"/>
    <n v="2"/>
    <n v="0"/>
    <n v="0"/>
    <s v="The plane crashed when attempting an emergency landing after the starboard main gear broke on take-off."/>
    <n v="51"/>
    <n v="3.7735849056603772E-2"/>
    <x v="2"/>
  </r>
  <r>
    <n v="3065"/>
    <x v="2779"/>
    <x v="69"/>
    <x v="2"/>
    <s v="Unknown"/>
    <s v="Posht-i-Badam, Iran"/>
    <s v="Military - U.S. Air Force"/>
    <s v="Unknown"/>
    <s v="Unknown"/>
    <x v="1421"/>
    <s v="62-1809"/>
    <n v="3770"/>
    <n v="7"/>
    <n v="0"/>
    <n v="7"/>
    <n v="5"/>
    <n v="0"/>
    <n v="5"/>
    <n v="0"/>
    <s v="Hit by  a U.S. Marine Corps RH-53D Sea Stallion helicopter during a hostage rescue operation while on the ground."/>
    <n v="2"/>
    <n v="0.7142857142857143"/>
    <x v="1"/>
  </r>
  <r>
    <n v="3066"/>
    <x v="2780"/>
    <x v="69"/>
    <x v="2"/>
    <d v="1899-12-30T13:21:00"/>
    <s v="Tenerife, Canary Islands"/>
    <s v="Dan Air Services"/>
    <n v="1008"/>
    <s v="Manchester - Tenerife"/>
    <x v="1109"/>
    <s v="G-BDAN"/>
    <s v="19279/288"/>
    <n v="146"/>
    <n v="138"/>
    <n v="8"/>
    <n v="146"/>
    <n v="138"/>
    <n v="8"/>
    <n v="0"/>
    <s v="The plane crashed into a mountain 5,500 ft. high at 300 mph during an approach to Tenerife. The pilot, while in a holding pattern, took the aircraft in an area of high ground not maintaining the correct altitude. Lack of communication between the pilot and co-pilot."/>
    <n v="0"/>
    <n v="1"/>
    <x v="1"/>
  </r>
  <r>
    <n v="3067"/>
    <x v="2781"/>
    <x v="69"/>
    <x v="2"/>
    <d v="1899-12-30T06:55:00"/>
    <s v="Don Muang, Thailand"/>
    <s v="Thai Airways"/>
    <n v="231"/>
    <s v="Khon Kaen - Bangkok"/>
    <x v="1422"/>
    <s v="HS-THB"/>
    <n v="1568"/>
    <n v="53"/>
    <n v="49"/>
    <n v="4"/>
    <n v="44"/>
    <n v="40"/>
    <n v="4"/>
    <n v="0"/>
    <s v="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
    <n v="9"/>
    <n v="0.83018867924528306"/>
    <x v="1"/>
  </r>
  <r>
    <n v="3068"/>
    <x v="2782"/>
    <x v="69"/>
    <x v="2"/>
    <s v="Unknown"/>
    <s v="Near Yachiba, Bolivia"/>
    <s v="Lloyd Aereo Boliviano"/>
    <s v="Unknown"/>
    <s v="Cochabamba-Yacuiba"/>
    <x v="1423"/>
    <s v="CP-1117"/>
    <n v="118"/>
    <n v="13"/>
    <n v="10"/>
    <n v="3"/>
    <n v="13"/>
    <n v="10"/>
    <n v="3"/>
    <n v="0"/>
    <s v="Crashed in the Tapecua mountains."/>
    <n v="0"/>
    <n v="1"/>
    <x v="1"/>
  </r>
  <r>
    <n v="3069"/>
    <x v="2783"/>
    <x v="69"/>
    <x v="2"/>
    <d v="1899-12-30T15:32:00"/>
    <s v="Near Matala, Angola"/>
    <s v="Lineas Aereas de Angola"/>
    <s v="Unknown"/>
    <s v="Jamba-Lubango"/>
    <x v="1146"/>
    <s v="D2-TYC"/>
    <n v="9721753"/>
    <n v="29"/>
    <n v="25"/>
    <n v="4"/>
    <n v="29"/>
    <n v="25"/>
    <n v="4"/>
    <n v="0"/>
    <s v="Accidentally shot down by anti-aircraft fire."/>
    <n v="0"/>
    <n v="1"/>
    <x v="1"/>
  </r>
  <r>
    <n v="3070"/>
    <x v="2784"/>
    <x v="69"/>
    <x v="2"/>
    <d v="1899-12-30T13:44:00"/>
    <s v="Near Dushanbe, Russia"/>
    <s v="Aeroflot"/>
    <s v="Unknown"/>
    <s v="Leningrad - Dushanbe"/>
    <x v="1146"/>
    <s v="CCCP-87689"/>
    <n v="9910403"/>
    <n v="29"/>
    <n v="25"/>
    <n v="4"/>
    <n v="29"/>
    <n v="25"/>
    <n v="4"/>
    <n v="0"/>
    <s v="Deviated from their course to avoid a thunderstorm and crashed into a cloud covered mountain."/>
    <n v="0"/>
    <n v="1"/>
    <x v="1"/>
  </r>
  <r>
    <n v="3071"/>
    <x v="2784"/>
    <x v="69"/>
    <x v="2"/>
    <d v="1899-12-30T15:46:00"/>
    <s v="Valley, Nebraska"/>
    <s v="Air Wisconsin"/>
    <n v="965"/>
    <s v="Appleton, WI - Minneapolis, MN, - Lincoln, NE"/>
    <x v="1424"/>
    <s v="N6505"/>
    <s v="TC-228"/>
    <n v="15"/>
    <n v="13"/>
    <n v="2"/>
    <n v="13"/>
    <n v="11"/>
    <n v="2"/>
    <n v="0"/>
    <s v="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
    <n v="2"/>
    <n v="0.8666666666666667"/>
    <x v="1"/>
  </r>
  <r>
    <n v="3072"/>
    <x v="2785"/>
    <x v="69"/>
    <x v="2"/>
    <d v="1899-12-30T20:59:00"/>
    <s v="Tyrrhenian Sea,  off Ustica, Italy"/>
    <s v="Itavia"/>
    <n v="870"/>
    <s v="Bologna - Palermo"/>
    <x v="1235"/>
    <s v="I-TIGI"/>
    <s v="45724/22"/>
    <n v="81"/>
    <n v="77"/>
    <n v="4"/>
    <n v="81"/>
    <n v="77"/>
    <n v="4"/>
    <n v="0"/>
    <s v="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
    <n v="0"/>
    <n v="1"/>
    <x v="1"/>
  </r>
  <r>
    <n v="3073"/>
    <x v="2786"/>
    <x v="69"/>
    <x v="2"/>
    <d v="1899-12-30T00:39:00"/>
    <s v="Near Alma-Ata, Kazakhstan, USSR"/>
    <s v="Aeroflot"/>
    <n v="4225"/>
    <s v="Alma Ata - Simferopol"/>
    <x v="1293"/>
    <s v="CCCP-85355"/>
    <n v="355"/>
    <n v="166"/>
    <n v="156"/>
    <n v="10"/>
    <n v="166"/>
    <n v="156"/>
    <n v="10"/>
    <n v="0"/>
    <s v="The aircraft crashed and burned in a field, two minutes after takeoff reaching a height of only 500 ft. Windshear."/>
    <n v="0"/>
    <n v="1"/>
    <x v="1"/>
  </r>
  <r>
    <n v="3074"/>
    <x v="2787"/>
    <x v="69"/>
    <x v="2"/>
    <s v="Unknown"/>
    <s v="Cerro Lilio, Mexico"/>
    <s v="Aeronaves del Peru"/>
    <s v="Unknown"/>
    <s v="Lima, Peu - Mexico City, Mexico"/>
    <x v="1425"/>
    <s v="OB-R-1143"/>
    <s v="45598/57"/>
    <n v="7"/>
    <n v="0"/>
    <n v="7"/>
    <n v="3"/>
    <n v="0"/>
    <n v="3"/>
    <n v="0"/>
    <s v="The cargo plane crashed into a mountain in poor visibility."/>
    <n v="4"/>
    <n v="0.42857142857142855"/>
    <x v="0"/>
  </r>
  <r>
    <n v="3075"/>
    <x v="2788"/>
    <x v="69"/>
    <x v="2"/>
    <d v="1899-12-30T17:40:00"/>
    <s v="Houma, Louisiana"/>
    <s v="Air Logistics"/>
    <s v="Unknown"/>
    <s v="Oil Platform SS-224 - Houma LA"/>
    <x v="1426"/>
    <s v="N95AL"/>
    <n v="30203"/>
    <n v="13"/>
    <n v="12"/>
    <n v="1"/>
    <n v="13"/>
    <n v="12"/>
    <n v="1"/>
    <n v="0"/>
    <s v="Crashed after continued VFR flight into adverse weather conditions. No windshield wipers, unreliable attitude indicator and inoperative turn needle."/>
    <n v="0"/>
    <n v="1"/>
    <x v="1"/>
  </r>
  <r>
    <n v="3076"/>
    <x v="2789"/>
    <x v="69"/>
    <x v="2"/>
    <d v="1899-12-30T03:00:00"/>
    <s v="Nouadhibou, Mauretania"/>
    <s v="Tarom"/>
    <s v="Unknown"/>
    <s v="Bucurest  - Nouadhibou"/>
    <x v="1427"/>
    <s v="YR-TPH"/>
    <n v="277"/>
    <n v="168"/>
    <n v="152"/>
    <n v="16"/>
    <n v="1"/>
    <n v="1"/>
    <n v="0"/>
    <n v="0"/>
    <s v="The aircraft touched down in water 1,000 ft. short of the runway."/>
    <n v="167"/>
    <n v="5.9523809523809521E-3"/>
    <x v="2"/>
  </r>
  <r>
    <n v="3077"/>
    <x v="2790"/>
    <x v="69"/>
    <x v="2"/>
    <d v="1899-12-30T19:08:00"/>
    <s v="Riyadh, Saudi Arabia"/>
    <s v="Saudi Arabian Airlines"/>
    <n v="163"/>
    <s v="Riyadh - Jeddah"/>
    <x v="1428"/>
    <s v="HZ-AHK"/>
    <n v="1169"/>
    <n v="301"/>
    <n v="287"/>
    <n v="14"/>
    <n v="301"/>
    <n v="287"/>
    <n v="14"/>
    <n v="0"/>
    <s v="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
    <n v="0"/>
    <n v="1"/>
    <x v="1"/>
  </r>
  <r>
    <n v="3078"/>
    <x v="2791"/>
    <x v="69"/>
    <x v="2"/>
    <d v="1899-12-30T06:29:00"/>
    <s v="Near Jakarta, Indonesia"/>
    <s v="Bouraq Indonesia Airlines"/>
    <s v="Unknown"/>
    <s v="Banjarmasin-Sjamsudin Noor  -  Jakarta"/>
    <x v="920"/>
    <s v="PK-IVS"/>
    <n v="353"/>
    <n v="37"/>
    <n v="31"/>
    <n v="6"/>
    <n v="37"/>
    <n v="31"/>
    <n v="6"/>
    <n v="0"/>
    <s v="A section of the tail separated in flight and the aircraft crashed into a swamp. Broken spigot fitting, which is part of  the elevator torque tube assembly. The part was not repaced as required."/>
    <n v="0"/>
    <n v="1"/>
    <x v="1"/>
  </r>
  <r>
    <n v="3079"/>
    <x v="2792"/>
    <x v="69"/>
    <x v="2"/>
    <s v="Unknown"/>
    <s v="Near Montelimar, France"/>
    <s v="Military - Kuwait Air Force"/>
    <s v="Unknown"/>
    <s v="Unknown"/>
    <x v="1152"/>
    <s v="KAF317"/>
    <n v="4350"/>
    <n v="8"/>
    <n v="0"/>
    <n v="8"/>
    <n v="8"/>
    <n v="0"/>
    <n v="8"/>
    <n v="0"/>
    <s v="Crashed after being struck by lightning"/>
    <n v="0"/>
    <n v="1"/>
    <x v="1"/>
  </r>
  <r>
    <n v="3080"/>
    <x v="2793"/>
    <x v="69"/>
    <x v="2"/>
    <s v="Unknown"/>
    <s v="Puerto Olaya, Colombia"/>
    <s v="Aeronorte Colombia"/>
    <s v="Unknown"/>
    <s v="Barranquilla - Bogota"/>
    <x v="368"/>
    <s v="HK-329"/>
    <n v="4404"/>
    <n v="3"/>
    <n v="0"/>
    <n v="3"/>
    <n v="3"/>
    <n v="0"/>
    <n v="3"/>
    <n v="0"/>
    <s v="While en route a wing separated from the cargo plane which led to loss of control.  The wing attachment bolts failed in turbulence."/>
    <n v="0"/>
    <n v="1"/>
    <x v="1"/>
  </r>
  <r>
    <n v="3081"/>
    <x v="2794"/>
    <x v="69"/>
    <x v="2"/>
    <d v="1899-12-30T20:58:00"/>
    <s v="Off Freeport, Bahamas"/>
    <s v="Florida Commuter Airlines"/>
    <s v="Unknown"/>
    <s v="West Palm Beach - Freeport Grand Bahama Islands"/>
    <x v="277"/>
    <s v="N75KW"/>
    <n v="4861"/>
    <n v="34"/>
    <n v="30"/>
    <n v="4"/>
    <n v="34"/>
    <n v="30"/>
    <n v="4"/>
    <n v="0"/>
    <s v="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
    <n v="0"/>
    <n v="1"/>
    <x v="1"/>
  </r>
  <r>
    <n v="3082"/>
    <x v="2795"/>
    <x v="69"/>
    <x v="2"/>
    <s v="Unknown"/>
    <s v="Kindu, Zaire"/>
    <s v="Military - Force AÃ©rienne ZaÃ¯roise"/>
    <s v="Unknown"/>
    <s v="Kindu-Kinshasa"/>
    <x v="1429"/>
    <s v="9T-TCE"/>
    <n v="4569"/>
    <n v="36"/>
    <n v="31"/>
    <n v="5"/>
    <n v="36"/>
    <n v="31"/>
    <n v="5"/>
    <n v="0"/>
    <s v="Crashed on takeoff after losing one engine."/>
    <n v="0"/>
    <n v="1"/>
    <x v="1"/>
  </r>
  <r>
    <n v="3083"/>
    <x v="2796"/>
    <x v="69"/>
    <x v="2"/>
    <d v="1899-12-30T00:05:00"/>
    <s v="Near Medina, Saudi Arabia"/>
    <s v="Military - Royal Saudi Air Force"/>
    <s v="RSAF453"/>
    <s v="Unknown"/>
    <x v="1150"/>
    <n v="453"/>
    <n v="4128"/>
    <n v="89"/>
    <n v="81"/>
    <n v="8"/>
    <n v="89"/>
    <n v="81"/>
    <n v="8"/>
    <n v="0"/>
    <s v="Crashed into the desert after taking off. Report of an in-flight fire."/>
    <n v="0"/>
    <n v="1"/>
    <x v="1"/>
  </r>
  <r>
    <n v="3084"/>
    <x v="2797"/>
    <x v="69"/>
    <x v="2"/>
    <s v="Unknown"/>
    <s v="Near Kindu, Zaire"/>
    <s v="Military - Zairean Air Force"/>
    <s v="Unknown"/>
    <s v="Unknown"/>
    <x v="1430"/>
    <s v="9T-CBA"/>
    <n v="60"/>
    <n v="36"/>
    <n v="34"/>
    <n v="2"/>
    <n v="36"/>
    <n v="34"/>
    <n v="2"/>
    <n v="0"/>
    <s v="Crashed shortly after taking off."/>
    <n v="0"/>
    <n v="1"/>
    <x v="1"/>
  </r>
  <r>
    <n v="3085"/>
    <x v="2798"/>
    <x v="69"/>
    <x v="2"/>
    <s v="Unknown"/>
    <s v="Badakshan, Afghanistan"/>
    <s v="Military - Soviet Air Force"/>
    <s v="Unknown"/>
    <s v="Unknown"/>
    <x v="1247"/>
    <s v="CCCP-11104"/>
    <n v="1347710"/>
    <n v="45"/>
    <s v="NULL"/>
    <s v="NULL"/>
    <n v="45"/>
    <s v="NULL"/>
    <s v="NULL"/>
    <n v="0"/>
    <s v="Shot down by Afghan guerrilla forces as it prepared to land."/>
    <n v="0"/>
    <n v="1"/>
    <x v="1"/>
  </r>
  <r>
    <n v="3086"/>
    <x v="2799"/>
    <x v="69"/>
    <x v="2"/>
    <d v="1899-12-30T23:53:00"/>
    <s v="Near Cairo, Egypt"/>
    <s v="Military - U.S. Air Force"/>
    <s v="Unknown"/>
    <s v="Ramstein AB - Cairo"/>
    <x v="1241"/>
    <s v="67-0030"/>
    <n v="6281"/>
    <n v="13"/>
    <n v="7"/>
    <n v="6"/>
    <n v="13"/>
    <n v="7"/>
    <n v="6"/>
    <n v="0"/>
    <s v="Descended at an excessive sink rate at a banked angle until it crashed to the ground as it prepared to land at Cairo Airport."/>
    <n v="0"/>
    <n v="1"/>
    <x v="1"/>
  </r>
  <r>
    <n v="3087"/>
    <x v="2800"/>
    <x v="69"/>
    <x v="2"/>
    <d v="1899-12-30T07:25:00"/>
    <s v="Seoul, South Korea"/>
    <s v="Korean Airlines"/>
    <s v="Unknown"/>
    <s v="Los Angeles-Anchorage-SÃ©oul"/>
    <x v="1431"/>
    <s v="HL-7445"/>
    <s v="21773/366"/>
    <n v="226"/>
    <n v="212"/>
    <n v="14"/>
    <n v="15"/>
    <n v="9"/>
    <n v="6"/>
    <n v="0"/>
    <s v="Undershot runway and crashed while landing in fog. Crew error."/>
    <n v="211"/>
    <n v="6.637168141592921E-2"/>
    <x v="2"/>
  </r>
  <r>
    <n v="3088"/>
    <x v="2801"/>
    <x v="69"/>
    <x v="2"/>
    <s v="Unknown"/>
    <s v="Near Medellin, Colombia"/>
    <s v="F.R. de la Direccion General de Ados"/>
    <s v="Unknown"/>
    <s v="Bogota-Medellin"/>
    <x v="643"/>
    <s v="HK-1221G"/>
    <n v="9703"/>
    <n v="20"/>
    <n v="3"/>
    <n v="17"/>
    <n v="20"/>
    <n v="3"/>
    <n v="17"/>
    <n v="0"/>
    <s v="The aircraft crashed into a mountain at 9,500 ft. while descending to land. Continued VFR flight in deteriorating weather at low altitude in a mountainous area."/>
    <n v="0"/>
    <n v="1"/>
    <x v="1"/>
  </r>
  <r>
    <n v="3089"/>
    <x v="2802"/>
    <x v="69"/>
    <x v="2"/>
    <d v="1899-12-30T21:35:00"/>
    <s v="Pecos City, Texas"/>
    <s v="Central Air Services"/>
    <s v="Unknown"/>
    <s v="Unknown"/>
    <x v="836"/>
    <s v="N816D"/>
    <s v="45085/714"/>
    <n v="2"/>
    <n v="0"/>
    <n v="2"/>
    <n v="2"/>
    <n v="0"/>
    <n v="2"/>
    <n v="0"/>
    <s v="The cargo plane entered a steep bank shortly after takeoff and crashed. Complete engine failure/flameout No.1 engine. Powerplant failure for undetermined reasons. Pilot-in-command  failed to obtain/maintain flying speed. Improper emergency procedures"/>
    <n v="0"/>
    <n v="1"/>
    <x v="1"/>
  </r>
  <r>
    <n v="3090"/>
    <x v="2803"/>
    <x v="69"/>
    <x v="2"/>
    <s v="Unknown"/>
    <s v="Dar es Salaam, Tanzania"/>
    <s v="Tanzania Aviation"/>
    <s v="Unknown"/>
    <s v="Dodoma - Dar es Salaam"/>
    <x v="1432"/>
    <s v="5H-TAL"/>
    <s v="31-7652016"/>
    <n v="10"/>
    <n v="9"/>
    <n v="1"/>
    <n v="10"/>
    <n v="9"/>
    <n v="1"/>
    <n v="0"/>
    <s v="The aircraft broke-up in flight in bad weather."/>
    <n v="0"/>
    <n v="1"/>
    <x v="1"/>
  </r>
  <r>
    <n v="3091"/>
    <x v="2804"/>
    <x v="69"/>
    <x v="2"/>
    <d v="1899-12-30T14:23:00"/>
    <s v="Near Rio Hacha, Colombia"/>
    <s v="Transportes Aereos del Caribe"/>
    <s v="Unknown"/>
    <s v="Rio Hacha - Medellin"/>
    <x v="1433"/>
    <s v="HK-1810"/>
    <n v="165"/>
    <n v="70"/>
    <n v="63"/>
    <n v="7"/>
    <n v="70"/>
    <n v="63"/>
    <n v="7"/>
    <n v="0"/>
    <s v="A fire and explosion took place 5 minutes after taking off. The explosion was possibly caused by a bomb placed in the rear section of the aircraft."/>
    <n v="0"/>
    <n v="1"/>
    <x v="1"/>
  </r>
  <r>
    <n v="3092"/>
    <x v="2805"/>
    <x v="69"/>
    <x v="2"/>
    <d v="1899-12-30T23:12:00"/>
    <s v="Qatar, Qatar"/>
    <s v="Saudi Arabian Airlines"/>
    <s v="Unknown"/>
    <s v="Dhahran - Karachi"/>
    <x v="1434"/>
    <s v="HZ-AHJ"/>
    <n v="1161"/>
    <n v="291"/>
    <n v="271"/>
    <n v="20"/>
    <n v="2"/>
    <n v="2"/>
    <n v="0"/>
    <n v="0"/>
    <s v="Two passengers were sucked out of the plane after a tire exploded in the wheel well causing damage to the fuselage."/>
    <n v="289"/>
    <n v="6.8728522336769758E-3"/>
    <x v="2"/>
  </r>
  <r>
    <n v="3093"/>
    <x v="2806"/>
    <x v="70"/>
    <x v="2"/>
    <d v="1899-12-30T09:20:00"/>
    <s v="Ramstein AFB, West Germany"/>
    <s v="Military - U.S. Air Force"/>
    <s v="Unknown"/>
    <s v="Ramstein AFB - Oslo, Norway"/>
    <x v="1435"/>
    <s v="69-6581"/>
    <n v="4357"/>
    <n v="11"/>
    <n v="2"/>
    <n v="7"/>
    <n v="11"/>
    <n v="2"/>
    <n v="7"/>
    <n v="0"/>
    <s v="Stalled, crashed shortly after taking off."/>
    <n v="0"/>
    <n v="1"/>
    <x v="1"/>
  </r>
  <r>
    <n v="3094"/>
    <x v="2807"/>
    <x v="70"/>
    <x v="2"/>
    <d v="1899-12-30T11:27:00"/>
    <s v="Spokane, Washington"/>
    <s v="Cascade Airways"/>
    <n v="201"/>
    <s v="Moses Lake - Spokane"/>
    <x v="1252"/>
    <s v="N390CA"/>
    <s v="U-101"/>
    <n v="9"/>
    <n v="7"/>
    <n v="2"/>
    <n v="7"/>
    <n v="5"/>
    <n v="2"/>
    <n v="0"/>
    <s v="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
    <n v="2"/>
    <n v="0.77777777777777779"/>
    <x v="1"/>
  </r>
  <r>
    <n v="3095"/>
    <x v="2808"/>
    <x v="70"/>
    <x v="2"/>
    <d v="1899-12-30T18:00:00"/>
    <s v="Near Leningrad, Russia"/>
    <s v="Military - Soviet Navy"/>
    <s v="Unknown"/>
    <s v="Leningrad-Vladivostok"/>
    <x v="808"/>
    <s v="CCCP-42332"/>
    <n v="7660402"/>
    <n v="52"/>
    <n v="46"/>
    <n v="6"/>
    <n v="52"/>
    <n v="46"/>
    <n v="6"/>
    <n v="0"/>
    <s v="Crashed shortly after taking off approximately 10 miles north of Leningrad."/>
    <n v="0"/>
    <n v="1"/>
    <x v="1"/>
  </r>
  <r>
    <n v="3096"/>
    <x v="2809"/>
    <x v="70"/>
    <x v="2"/>
    <d v="1899-12-30T18:40:00"/>
    <s v="White Plains, New York"/>
    <s v="Private - Corporate"/>
    <s v="Unknown"/>
    <s v="White Plains, NY - Toronto, Canada - White Plains, NY"/>
    <x v="1436"/>
    <s v="N520S"/>
    <s v="Unknown"/>
    <n v="8"/>
    <n v="6"/>
    <n v="2"/>
    <n v="8"/>
    <n v="6"/>
    <n v="2"/>
    <n v="0"/>
    <s v="Crashed in rain, fog, windshear.  Pilot distracted as a result of a major electrical system failure. Undetected deviation from flightpath."/>
    <n v="0"/>
    <n v="1"/>
    <x v="1"/>
  </r>
  <r>
    <n v="3097"/>
    <x v="2810"/>
    <x v="70"/>
    <x v="2"/>
    <d v="1899-12-30T11:20:00"/>
    <s v="Avalon, California"/>
    <s v="Helicopter - Air Taxi"/>
    <s v="Unknown"/>
    <s v="San Pedro, CA - Avalon, CA"/>
    <x v="1415"/>
    <s v="N324Y"/>
    <n v="62012"/>
    <n v="8"/>
    <n v="7"/>
    <n v="1"/>
    <n v="2"/>
    <n v="2"/>
    <n v="0"/>
    <n v="0"/>
    <s v="The main rotor disk failed from a fatigue fracture while attempting to land."/>
    <n v="6"/>
    <n v="0.25"/>
    <x v="2"/>
  </r>
  <r>
    <n v="3098"/>
    <x v="2811"/>
    <x v="70"/>
    <x v="2"/>
    <s v="Unknown"/>
    <s v="Belem, Brazil"/>
    <s v="VOTEC"/>
    <s v="Unknown"/>
    <s v="Tucurui - Belem"/>
    <x v="1359"/>
    <s v="PT-GLB"/>
    <s v="110-144"/>
    <n v="14"/>
    <n v="12"/>
    <n v="2"/>
    <n v="11"/>
    <n v="9"/>
    <n v="2"/>
    <n v="0"/>
    <s v="Crashed into a tug boat and barges while on approach in heavy rain and wind and broke in two."/>
    <n v="3"/>
    <n v="0.7857142857142857"/>
    <x v="1"/>
  </r>
  <r>
    <n v="3099"/>
    <x v="2812"/>
    <x v="70"/>
    <x v="2"/>
    <d v="1899-12-30T05:25:00"/>
    <s v="Off Tabones Island  Philippines"/>
    <s v="Military - U.S. Air Force"/>
    <s v="Unknown"/>
    <s v="Training"/>
    <x v="1437"/>
    <s v="64-0564"/>
    <n v="4074"/>
    <n v="24"/>
    <n v="15"/>
    <n v="9"/>
    <n v="23"/>
    <n v="15"/>
    <n v="8"/>
    <n v="0"/>
    <s v="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
    <n v="1"/>
    <n v="0.95833333333333337"/>
    <x v="1"/>
  </r>
  <r>
    <n v="3100"/>
    <x v="2813"/>
    <x v="70"/>
    <x v="2"/>
    <d v="1899-12-30T05:00:00"/>
    <s v="Moroni, Comoro Islands"/>
    <s v="Military - French Naval Aviation"/>
    <s v="Unknown"/>
    <s v="Moroni-Saint-Denis de la RÃ©union"/>
    <x v="1438"/>
    <n v="29"/>
    <n v="29"/>
    <n v="18"/>
    <n v="14"/>
    <n v="4"/>
    <n v="18"/>
    <n v="14"/>
    <n v="4"/>
    <n v="0"/>
    <s v="As the plane was taking off, one of the engines failed and after climbing to 500 ft., the aircraft plunged to earth and exploded in flames."/>
    <n v="0"/>
    <n v="1"/>
    <x v="1"/>
  </r>
  <r>
    <n v="3101"/>
    <x v="2814"/>
    <x v="70"/>
    <x v="2"/>
    <d v="1899-12-31T00:05:00"/>
    <s v="Shemya AFB, Alaska"/>
    <s v="Military - U.S. Air Force"/>
    <s v="Unknown"/>
    <s v="Eielson AFB-Shemya AFB"/>
    <x v="1439"/>
    <s v="61-2664"/>
    <n v="18340"/>
    <n v="24"/>
    <s v="NULL"/>
    <s v="NULL"/>
    <n v="6"/>
    <s v="NULL"/>
    <s v="NULL"/>
    <n v="0"/>
    <s v="Hit the ground short of the runway in snow and fog."/>
    <n v="18"/>
    <n v="0.25"/>
    <x v="2"/>
  </r>
  <r>
    <n v="3102"/>
    <x v="2815"/>
    <x v="70"/>
    <x v="2"/>
    <s v="Unknown"/>
    <s v="Redzikowo, Poland"/>
    <s v="LOT Polish Airlines"/>
    <s v="Unknown"/>
    <s v="Varsovie-Slupsk"/>
    <x v="1009"/>
    <s v="SP-LTU"/>
    <n v="7306007"/>
    <n v="52"/>
    <n v="47"/>
    <n v="5"/>
    <n v="1"/>
    <n v="1"/>
    <n v="0"/>
    <n v="0"/>
    <s v="Separation of a propeller blade caused a forced landing resulting the the plane crashing and burining."/>
    <n v="51"/>
    <n v="1.9230769230769232E-2"/>
    <x v="2"/>
  </r>
  <r>
    <n v="3103"/>
    <x v="2816"/>
    <x v="70"/>
    <x v="2"/>
    <s v="Unknown"/>
    <s v="Laguna Soliz, Bolivia"/>
    <s v="Urcupina"/>
    <s v="Unknown"/>
    <s v="Unknown"/>
    <x v="402"/>
    <s v="CP-1470"/>
    <n v="19395"/>
    <n v="7"/>
    <n v="4"/>
    <n v="3"/>
    <n v="7"/>
    <n v="4"/>
    <n v="3"/>
    <n v="0"/>
    <s v="The cargo plane flew into the ground while trying to avoid bad weather."/>
    <n v="0"/>
    <n v="1"/>
    <x v="1"/>
  </r>
  <r>
    <n v="3104"/>
    <x v="2817"/>
    <x v="70"/>
    <x v="2"/>
    <d v="1899-12-30T11:36:00"/>
    <s v="Cincinnati, Ohio"/>
    <s v="Freedom International"/>
    <s v="Unknown"/>
    <s v="Cincinnati - Detroit"/>
    <x v="991"/>
    <s v="N400PG"/>
    <s v="23-068"/>
    <n v="2"/>
    <n v="0"/>
    <n v="2"/>
    <n v="1"/>
    <n v="0"/>
    <n v="1"/>
    <n v="0"/>
    <s v="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
    <n v="1"/>
    <n v="0.5"/>
    <x v="0"/>
  </r>
  <r>
    <n v="3105"/>
    <x v="2818"/>
    <x v="70"/>
    <x v="2"/>
    <d v="1899-12-30T16:01:00"/>
    <s v="Loveland, Colorado"/>
    <s v="Air US / Private"/>
    <s v="716 / -"/>
    <s v="Denver, CO - Gillette, WY"/>
    <x v="1440"/>
    <s v="N11360 / N4862F"/>
    <n v="238"/>
    <n v="19"/>
    <n v="15"/>
    <n v="4"/>
    <n v="15"/>
    <n v="12"/>
    <n v="3"/>
    <n v="0"/>
    <s v="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
    <n v="4"/>
    <n v="0.78947368421052633"/>
    <x v="1"/>
  </r>
  <r>
    <n v="3106"/>
    <x v="2819"/>
    <x v="70"/>
    <x v="2"/>
    <d v="1899-12-30T07:45:00"/>
    <s v="Pekanbaru, Indonesia"/>
    <s v="Private - Airfast Indonesia"/>
    <s v="Unknown"/>
    <s v="Singapour-Pekanbaru"/>
    <x v="1441"/>
    <s v="PK-OBK"/>
    <n v="12209"/>
    <n v="17"/>
    <n v="13"/>
    <n v="4"/>
    <n v="15"/>
    <n v="11"/>
    <n v="4"/>
    <n v="0"/>
    <s v="Crashed during final approach. Hudbay Oil Co. charter."/>
    <n v="2"/>
    <n v="0.88235294117647056"/>
    <x v="1"/>
  </r>
  <r>
    <n v="3107"/>
    <x v="2819"/>
    <x v="70"/>
    <x v="2"/>
    <d v="1899-12-30T12:31:00"/>
    <s v="_x0009_Batagay, Russia"/>
    <s v="Aeroflot"/>
    <s v="Unknown"/>
    <s v="_x0009_Batagay - _x0009_Lazo"/>
    <x v="1401"/>
    <s v="_x0009_ CCCP-92864"/>
    <s v="1G53-16"/>
    <n v="12"/>
    <n v="10"/>
    <n v="2"/>
    <n v="12"/>
    <n v="10"/>
    <n v="2"/>
    <n v="0"/>
    <s v="Crashed into a mountainside. Icing."/>
    <n v="0"/>
    <n v="1"/>
    <x v="1"/>
  </r>
  <r>
    <n v="3108"/>
    <x v="2820"/>
    <x v="70"/>
    <x v="2"/>
    <d v="1899-12-30T10:50:00"/>
    <s v="Near Fredrick, Maryland"/>
    <s v="Military - U.S. Air Force"/>
    <s v="Unknown"/>
    <s v="Training"/>
    <x v="1442"/>
    <s v="61-0328"/>
    <n v="18235"/>
    <n v="21"/>
    <n v="3"/>
    <n v="18"/>
    <n v="21"/>
    <n v="3"/>
    <n v="18"/>
    <n v="0"/>
    <s v="While cruising at FL 210, the pitch trim moved to the full nose-down position. Gravational forces from the resulting dive led to the break-up of the aircraft."/>
    <n v="0"/>
    <n v="1"/>
    <x v="1"/>
  </r>
  <r>
    <n v="3109"/>
    <x v="2821"/>
    <x v="70"/>
    <x v="2"/>
    <d v="1899-12-30T10:53:00"/>
    <s v="Rio de la Plata, Argentina"/>
    <s v="Austral Lineas Aeras (Argentina)"/>
    <n v="901"/>
    <s v="Tucuman - Buenos Aires"/>
    <x v="1443"/>
    <s v="LV-LOX"/>
    <n v="212"/>
    <n v="31"/>
    <n v="26"/>
    <n v="5"/>
    <n v="31"/>
    <n v="26"/>
    <n v="5"/>
    <n v="0"/>
    <s v="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
    <n v="0"/>
    <n v="1"/>
    <x v="1"/>
  </r>
  <r>
    <n v="3110"/>
    <x v="2822"/>
    <x v="70"/>
    <x v="2"/>
    <s v="Unknown"/>
    <s v="Near Menongue, Angola"/>
    <s v="TAAG Angola Airlines"/>
    <s v="Unknown"/>
    <s v="Unknown"/>
    <x v="1152"/>
    <s v="D2-EAS"/>
    <n v="4830"/>
    <n v="4"/>
    <n v="0"/>
    <n v="4"/>
    <n v="4"/>
    <n v="0"/>
    <n v="4"/>
    <n v="0"/>
    <s v="Shot down by a surface-to-air missile."/>
    <n v="0"/>
    <n v="1"/>
    <x v="1"/>
  </r>
  <r>
    <n v="3111"/>
    <x v="2823"/>
    <x v="70"/>
    <x v="2"/>
    <s v="Unknown"/>
    <s v=" Pinarete Mountain, Mexico"/>
    <s v="Lineas Aereas"/>
    <s v="Unknown"/>
    <s v="Puerto Escondido-Oaxaca"/>
    <x v="739"/>
    <s v="XA-KEH"/>
    <n v="327"/>
    <n v="24"/>
    <n v="21"/>
    <n v="3"/>
    <n v="24"/>
    <n v="21"/>
    <n v="3"/>
    <n v="0"/>
    <s v="Crashed into a mountain at 8,800 feet obscured by clouds."/>
    <n v="0"/>
    <n v="1"/>
    <x v="1"/>
  </r>
  <r>
    <n v="3112"/>
    <x v="2824"/>
    <x v="70"/>
    <x v="2"/>
    <d v="1899-12-30T15:00:00"/>
    <s v="Near Zumba, Ecuador"/>
    <s v="TAME"/>
    <s v="Unknown"/>
    <s v="Quito-Macara"/>
    <x v="1220"/>
    <s v="HC-BAX"/>
    <n v="457"/>
    <n v="18"/>
    <n v="15"/>
    <n v="3"/>
    <n v="18"/>
    <n v="15"/>
    <n v="3"/>
    <n v="0"/>
    <s v="Crashed into a mountain in fog."/>
    <n v="0"/>
    <n v="1"/>
    <x v="1"/>
  </r>
  <r>
    <n v="3113"/>
    <x v="2825"/>
    <x v="70"/>
    <x v="2"/>
    <s v="Unknown"/>
    <s v="Cairo, Egypt"/>
    <s v="Military - Egyptian Air Force"/>
    <s v="Unknown"/>
    <s v="Unknown"/>
    <x v="1444"/>
    <s v="SU-BAH"/>
    <n v="4792"/>
    <n v="17"/>
    <n v="11"/>
    <n v="6"/>
    <n v="17"/>
    <n v="11"/>
    <n v="6"/>
    <n v="0"/>
    <s v="The aircraft hit the ground shortly after takeoff."/>
    <n v="0"/>
    <n v="1"/>
    <x v="1"/>
  </r>
  <r>
    <n v="3114"/>
    <x v="2826"/>
    <x v="70"/>
    <x v="2"/>
    <d v="1899-12-30T16:22:00"/>
    <s v="Ust-Barguzin, Russia"/>
    <s v="Aeroflot"/>
    <n v="498"/>
    <s v="Ulan - Severomuysk"/>
    <x v="813"/>
    <s v="CCCP-41838"/>
    <n v="147001141"/>
    <n v="48"/>
    <n v="44"/>
    <n v="4"/>
    <n v="48"/>
    <n v="44"/>
    <n v="4"/>
    <n v="0"/>
    <s v="The crew informed ATC they could see the field but crashed 30 km from the airport."/>
    <n v="0"/>
    <n v="1"/>
    <x v="1"/>
  </r>
  <r>
    <n v="3115"/>
    <x v="2827"/>
    <x v="70"/>
    <x v="2"/>
    <d v="1899-12-30T18:11:00"/>
    <s v="Nailstone, England"/>
    <s v="Dan Air Services"/>
    <s v="Unknown"/>
    <s v="London - East Midlands"/>
    <x v="1445"/>
    <s v="G-ASPL"/>
    <n v="1560"/>
    <n v="3"/>
    <n v="0"/>
    <n v="3"/>
    <n v="3"/>
    <n v="0"/>
    <n v="3"/>
    <n v="0"/>
    <s v="The the right rear door  of the cargo plane detached and struck the horizontal tail plane and became lodged on the leading edge. Control was lost, and the aircraft entered a steep dive. During the dive, the wings and tail plane failed due to overstressing."/>
    <n v="0"/>
    <n v="1"/>
    <x v="1"/>
  </r>
  <r>
    <n v="3116"/>
    <x v="2828"/>
    <x v="70"/>
    <x v="2"/>
    <d v="1899-12-30T15:44:00"/>
    <s v="Near Yerevan, Armenia"/>
    <s v="TAR"/>
    <s v="Unknown"/>
    <s v="Tehran, Iran - Larnaca, Cyprus"/>
    <x v="1446"/>
    <s v="LV-JTN"/>
    <n v="34"/>
    <n v="4"/>
    <n v="1"/>
    <n v="3"/>
    <n v="4"/>
    <n v="1"/>
    <n v="3"/>
    <n v="0"/>
    <s v="The cargo plane was brought down after a Soviet fighter jet crashed into the tail of the Canadair. The plane had strayed into Soviet airspace."/>
    <n v="0"/>
    <n v="1"/>
    <x v="1"/>
  </r>
  <r>
    <n v="3117"/>
    <x v="2829"/>
    <x v="70"/>
    <x v="2"/>
    <s v="Unknown"/>
    <s v="Mogadishu, Somalia"/>
    <s v="Somali Airlines"/>
    <s v="Unknown"/>
    <s v="Mogadishu- Hargeisa"/>
    <x v="1447"/>
    <s v="6O-SAY"/>
    <n v="10557"/>
    <n v="50"/>
    <n v="44"/>
    <n v="6"/>
    <n v="50"/>
    <n v="44"/>
    <n v="6"/>
    <n v="0"/>
    <s v="Part of the right wing separated from the plane after the aircraft entered an area of heavy rain and severe turbulence and went into a spiral dive 8 minutes after takeoff."/>
    <n v="0"/>
    <n v="1"/>
    <x v="1"/>
  </r>
  <r>
    <n v="3118"/>
    <x v="2830"/>
    <x v="70"/>
    <x v="2"/>
    <s v="Unknown"/>
    <s v="Madagascar"/>
    <s v="Air Madagascar"/>
    <n v="112"/>
    <s v="Toamasina-Andapa"/>
    <x v="1220"/>
    <s v="5R-MGB"/>
    <n v="327"/>
    <n v="19"/>
    <n v="17"/>
    <n v="2"/>
    <n v="19"/>
    <n v="17"/>
    <n v="2"/>
    <n v="0"/>
    <s v="Flew into a mountain. Controlled flight into terrain."/>
    <n v="0"/>
    <n v="1"/>
    <x v="1"/>
  </r>
  <r>
    <n v="3119"/>
    <x v="2831"/>
    <x v="70"/>
    <x v="2"/>
    <s v="Unknown"/>
    <s v="Caruru, Colombia"/>
    <s v="Transamazonica"/>
    <s v="Unknown"/>
    <s v="Unknown"/>
    <x v="394"/>
    <s v="HK- 772"/>
    <n v="11743"/>
    <n v="9"/>
    <n v="5"/>
    <n v="4"/>
    <n v="5"/>
    <n v="5"/>
    <n v="0"/>
    <n v="0"/>
    <s v="The aircraft crashed short of the runway while attempting to land after a severe vibration required the crew to shut down the engine and feather the propeller."/>
    <n v="4"/>
    <n v="0.55555555555555558"/>
    <x v="0"/>
  </r>
  <r>
    <n v="3120"/>
    <x v="2832"/>
    <x v="70"/>
    <x v="2"/>
    <s v="Unknown"/>
    <s v="Chihuahua, Mexico"/>
    <s v="Aeromexico"/>
    <n v="230"/>
    <s v="Monterey - Chihuahua"/>
    <x v="1104"/>
    <s v="XA-DEN"/>
    <s v="47621/729"/>
    <n v="66"/>
    <n v="60"/>
    <n v="6"/>
    <n v="32"/>
    <n v="30"/>
    <n v="2"/>
    <n v="0"/>
    <s v="While landing in adverse weather conditions, the aircraft landed right of the runway, bounced and struck the ground. The fuselage broke in two and caught fire. Thunderstorms and strong turbulence in the area associated with a tropical air mass."/>
    <n v="34"/>
    <n v="0.48484848484848486"/>
    <x v="0"/>
  </r>
  <r>
    <n v="3121"/>
    <x v="2833"/>
    <x v="70"/>
    <x v="2"/>
    <d v="1899-12-30T10:00:00"/>
    <s v="Near Sanyi, Miao-li, Taiwan"/>
    <s v="Far Eastern Air Transport"/>
    <n v="103"/>
    <s v="Taipei - Kaohsiung"/>
    <x v="1218"/>
    <s v="B-2603"/>
    <s v="19939/151"/>
    <n v="110"/>
    <n v="104"/>
    <n v="6"/>
    <n v="110"/>
    <n v="104"/>
    <n v="6"/>
    <n v="0"/>
    <s v="The aircraft experienced in-flight structural failure. Severe corrosion in belly of plane led to a pressure hull rupture and disintegration of the plane."/>
    <n v="0"/>
    <n v="1"/>
    <x v="1"/>
  </r>
  <r>
    <n v="3122"/>
    <x v="2834"/>
    <x v="70"/>
    <x v="2"/>
    <d v="1899-12-30T09:21:00"/>
    <s v="Near Zavitinsk, Russia"/>
    <s v="Aeroflot / Military - Russian Air Force"/>
    <n v="811"/>
    <s v="Komsomol'sk-na-Amure - Blagoveshchensk"/>
    <x v="1448"/>
    <s v="CCCP-46653"/>
    <n v="47309204"/>
    <n v="32"/>
    <n v="27"/>
    <n v="5"/>
    <n v="31"/>
    <n v="26"/>
    <n v="5"/>
    <n v="0"/>
    <s v="Midair collision with a Soviet Air Force TU-16. The only surviving passenger, a 20 year old woman was found in a forest 3 days later. Poor communication between civilian and military ATCs."/>
    <n v="1"/>
    <n v="0.96875"/>
    <x v="1"/>
  </r>
  <r>
    <n v="3123"/>
    <x v="2835"/>
    <x v="70"/>
    <x v="2"/>
    <d v="1899-12-30T15:45:00"/>
    <s v="Mt. Elena, Colombia"/>
    <s v="Aeropesca Colombia"/>
    <s v="Unknown"/>
    <s v="Florence - Neiva"/>
    <x v="789"/>
    <s v="HK-1320"/>
    <n v="112"/>
    <n v="50"/>
    <n v="44"/>
    <n v="6"/>
    <n v="50"/>
    <n v="44"/>
    <n v="6"/>
    <n v="0"/>
    <s v="Crashed in the jungle on a mountain peak. Flying VFR in meteorological conditions below minima."/>
    <n v="0"/>
    <n v="1"/>
    <x v="1"/>
  </r>
  <r>
    <n v="3124"/>
    <x v="2836"/>
    <x v="70"/>
    <x v="2"/>
    <d v="1899-12-30T20:30:00"/>
    <s v="Zeya, Russia"/>
    <s v="Aeroflot"/>
    <n v="674"/>
    <s v="Chita - Zeya"/>
    <x v="1146"/>
    <s v="CCCP-87346"/>
    <n v="9511539"/>
    <n v="34"/>
    <n v="29"/>
    <n v="5"/>
    <n v="3"/>
    <n v="1"/>
    <n v="2"/>
    <n v="0"/>
    <s v="Flew into trees short and to the right of the runway, crashed and caught fire. Crew descended below minimums without visual contact with the ground."/>
    <n v="31"/>
    <n v="8.8235294117647065E-2"/>
    <x v="2"/>
  </r>
  <r>
    <n v="3125"/>
    <x v="2837"/>
    <x v="70"/>
    <x v="2"/>
    <s v="Unknown"/>
    <s v="Paipa, Colombia"/>
    <s v="Aereo el Venado"/>
    <s v="Unknown"/>
    <s v="Paipa - Cartagena"/>
    <x v="1449"/>
    <s v="HK-2651"/>
    <n v="110206"/>
    <n v="22"/>
    <n v="19"/>
    <n v="3"/>
    <n v="21"/>
    <n v="18"/>
    <n v="3"/>
    <n v="0"/>
    <s v="The aircraft was unable to gain altitude upon taking off. After turning left the plane struck a hill. Overloaded."/>
    <n v="1"/>
    <n v="0.95454545454545459"/>
    <x v="1"/>
  </r>
  <r>
    <n v="3126"/>
    <x v="2838"/>
    <x v="70"/>
    <x v="2"/>
    <d v="1899-12-30T07:13:00"/>
    <s v="Zeleznogorsk, Russian"/>
    <s v="Aeroflot /Military - Russian"/>
    <s v="V-652"/>
    <s v="Irkutsk - Zeleznogorsk"/>
    <x v="1450"/>
    <s v="CCCP-87455"/>
    <n v="9431236"/>
    <n v="40"/>
    <n v="29"/>
    <n v="11"/>
    <n v="40"/>
    <n v="29"/>
    <n v="11"/>
    <n v="0"/>
    <s v="Midair collision with a military Mi-8 helicopter (CCCP-22268). Thirty-three killed aboard the Yak-40."/>
    <n v="0"/>
    <n v="1"/>
    <x v="1"/>
  </r>
  <r>
    <n v="3127"/>
    <x v="2839"/>
    <x v="70"/>
    <x v="2"/>
    <s v="Unknown"/>
    <s v="Nellis AFB, Nevada"/>
    <s v="Military - U.S. Air Force"/>
    <s v="USAF672"/>
    <s v="Fort Lewis, WA - Indian springs, NV"/>
    <x v="1444"/>
    <s v="74-1672"/>
    <n v="4623"/>
    <n v="70"/>
    <n v="61"/>
    <n v="9"/>
    <n v="7"/>
    <n v="7"/>
    <n v="0"/>
    <n v="0"/>
    <s v="Crashed short of the runway. The plane was carrying infantry troops."/>
    <n v="63"/>
    <n v="0.1"/>
    <x v="2"/>
  </r>
  <r>
    <n v="3128"/>
    <x v="2840"/>
    <x v="70"/>
    <x v="2"/>
    <d v="1899-12-30T12:00:00"/>
    <s v="Near Babaeski, Turkey"/>
    <s v="Military - Turkish Air Force"/>
    <s v="Unknown"/>
    <s v="Unknown"/>
    <x v="1451"/>
    <s v="Unknown"/>
    <s v="Unknown"/>
    <n v="0"/>
    <n v="0"/>
    <n v="0"/>
    <n v="0"/>
    <n v="0"/>
    <n v="0"/>
    <n v="40"/>
    <s v="The fighter crashed into a village after the pilot ejected from the plane."/>
    <n v="0"/>
    <n v="0"/>
    <x v="2"/>
  </r>
  <r>
    <n v="3129"/>
    <x v="2841"/>
    <x v="70"/>
    <x v="2"/>
    <d v="1899-12-30T19:00:00"/>
    <s v="Tehran, Iran"/>
    <s v="Military - Iranian Air Force"/>
    <s v="IIAF552"/>
    <s v="Ahwaz - Tehran"/>
    <x v="1262"/>
    <s v="5-158-8552"/>
    <n v="4594"/>
    <n v="80"/>
    <n v="75"/>
    <n v="5"/>
    <n v="60"/>
    <n v="75"/>
    <n v="5"/>
    <n v="20"/>
    <s v="Crashed into Tir Square while on approach to land. Killed were Iran's Defense Minister and other military officals."/>
    <n v="20"/>
    <n v="0.75"/>
    <x v="1"/>
  </r>
  <r>
    <n v="3130"/>
    <x v="2842"/>
    <x v="70"/>
    <x v="2"/>
    <d v="1899-12-30T15:00:00"/>
    <s v="Casper, Wyoming"/>
    <s v="Sky Train Air"/>
    <s v="Unknown"/>
    <s v="Casper, WY - McAllen, TX"/>
    <x v="1452"/>
    <s v="N44CJ"/>
    <s v="24-146"/>
    <n v="3"/>
    <n v="1"/>
    <n v="2"/>
    <n v="3"/>
    <n v="1"/>
    <n v="2"/>
    <n v="0"/>
    <s v="A loss of control, possibly initiated by an unexpected encounter with moderate to severe clear air turbulence, which caused the aircraft to depart the narrow flight envelope boundaries in which it was operating and from which recovery was not effected."/>
    <n v="0"/>
    <n v="1"/>
    <x v="1"/>
  </r>
  <r>
    <n v="3131"/>
    <x v="2843"/>
    <x v="70"/>
    <x v="2"/>
    <d v="1899-12-30T17:12:00"/>
    <s v="Moerdijk, Netherlands"/>
    <s v="NLM (Nederlandse Luchtvaart Maatschappij)"/>
    <s v="HN431"/>
    <s v="Rotterdam - Eindhoven - Hamburgh"/>
    <x v="1453"/>
    <s v="PH-CHI"/>
    <n v="11141"/>
    <n v="17"/>
    <n v="13"/>
    <n v="4"/>
    <n v="17"/>
    <n v="13"/>
    <n v="4"/>
    <n v="0"/>
    <s v="The aircraft entered an area of severe turbulence and a tornado which resulted in the separation of the right wing and in-flight break up."/>
    <n v="0"/>
    <n v="1"/>
    <x v="1"/>
  </r>
  <r>
    <n v="3132"/>
    <x v="2844"/>
    <x v="70"/>
    <x v="2"/>
    <s v="Unknown"/>
    <s v="Kufstein, Austria"/>
    <s v="Oefag Flugdienst"/>
    <s v="Unknown"/>
    <s v="Salzbourg-Olbia"/>
    <x v="1454"/>
    <s v="OE-FCT"/>
    <s v="404-0680"/>
    <n v="9"/>
    <s v="NULL"/>
    <s v="NULL"/>
    <n v="9"/>
    <s v="NULL"/>
    <s v="NULL"/>
    <n v="0"/>
    <s v="Crashed into a mountain."/>
    <n v="0"/>
    <n v="1"/>
    <x v="1"/>
  </r>
  <r>
    <n v="3133"/>
    <x v="2845"/>
    <x v="70"/>
    <x v="2"/>
    <d v="1899-12-30T18:24:00"/>
    <s v="St. Thomas, U.S. Virgin Islands"/>
    <s v="Aerolineas Argo"/>
    <s v="Unknown"/>
    <s v="Saint Croix - Saint Thomas"/>
    <x v="887"/>
    <s v="HI-328"/>
    <n v="2607"/>
    <n v="5"/>
    <n v="2"/>
    <n v="3"/>
    <n v="5"/>
    <n v="2"/>
    <n v="3"/>
    <n v="0"/>
    <s v="After executing a turn to avoid traffic the cargo plane struck the ocean. Pilot misjudged the altitude and clearance."/>
    <n v="0"/>
    <n v="1"/>
    <x v="1"/>
  </r>
  <r>
    <n v="3134"/>
    <x v="2846"/>
    <x v="70"/>
    <x v="2"/>
    <s v="Unknown"/>
    <s v="Bafoussam, Cameroon"/>
    <s v="Cameroon Airlines"/>
    <s v="Unknown"/>
    <s v="Unknown"/>
    <x v="1220"/>
    <s v="TJ-CBC"/>
    <n v="416"/>
    <n v="24"/>
    <n v="22"/>
    <n v="2"/>
    <n v="1"/>
    <n v="1"/>
    <n v="0"/>
    <n v="0"/>
    <s v="The aircraft took off, lost altitude, settled back on the runway and overshot the runway. The aircraft was overloaded. Other factors were the pilot misjudged the distance and speed during the takeoff and lack of proper pre-flight planning."/>
    <n v="23"/>
    <n v="4.1666666666666664E-2"/>
    <x v="2"/>
  </r>
  <r>
    <n v="3135"/>
    <x v="2847"/>
    <x v="70"/>
    <x v="2"/>
    <s v="Unknown"/>
    <s v="Sierra de Guerro, Mexico"/>
    <s v="Aeromexico"/>
    <s v="Unknown"/>
    <s v="Acapulco - Guadalajara"/>
    <x v="1104"/>
    <s v="XA-DEO"/>
    <s v="47622/753"/>
    <n v="18"/>
    <n v="12"/>
    <n v="6"/>
    <n v="18"/>
    <n v="12"/>
    <n v="6"/>
    <n v="0"/>
    <s v="The flight struck a mountain during an emergency descent due to explosive decompression. Crew's failure to follow approved emergency procedures."/>
    <n v="0"/>
    <n v="1"/>
    <x v="1"/>
  </r>
  <r>
    <n v="3136"/>
    <x v="2848"/>
    <x v="70"/>
    <x v="2"/>
    <d v="1899-12-30T19:30:00"/>
    <s v="Norilsk, Russia"/>
    <s v="Aeroflot"/>
    <s v="Unknown"/>
    <s v="Krasnoyarsk - Norilsk"/>
    <x v="1455"/>
    <s v="CCCP-85480"/>
    <s v="81A-480"/>
    <n v="167"/>
    <n v="160"/>
    <n v="7"/>
    <n v="99"/>
    <n v="95"/>
    <n v="4"/>
    <n v="0"/>
    <s v="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
    <n v="68"/>
    <n v="0.59281437125748504"/>
    <x v="0"/>
  </r>
  <r>
    <n v="3137"/>
    <x v="2849"/>
    <x v="70"/>
    <x v="2"/>
    <s v="Unknown"/>
    <s v="Biratnagar, Nepal"/>
    <s v="Royal Nepal Airlines"/>
    <s v="Unknown"/>
    <s v="Biratnagar-Katmandou"/>
    <x v="1456"/>
    <s v="9N-ABJ"/>
    <n v="746"/>
    <n v="10"/>
    <n v="9"/>
    <n v="1"/>
    <n v="10"/>
    <n v="9"/>
    <n v="1"/>
    <n v="0"/>
    <s v="Crashed after takeoff."/>
    <n v="0"/>
    <n v="1"/>
    <x v="1"/>
  </r>
  <r>
    <n v="3138"/>
    <x v="2850"/>
    <x v="70"/>
    <x v="2"/>
    <s v="Unknown"/>
    <s v="Castries, Saint Lucia Island"/>
    <s v="Guyana Airways"/>
    <s v="Unknown"/>
    <s v="Castries-Miami"/>
    <x v="681"/>
    <s v="N3486F"/>
    <s v="43683/305"/>
    <n v="3"/>
    <n v="0"/>
    <n v="3"/>
    <n v="3"/>
    <n v="0"/>
    <n v="3"/>
    <n v="0"/>
    <s v="Engine failed during takeoff. The cargo plane crashed while returning to the field."/>
    <n v="0"/>
    <n v="1"/>
    <x v="1"/>
  </r>
  <r>
    <n v="3139"/>
    <x v="2851"/>
    <x v="70"/>
    <x v="2"/>
    <d v="1899-12-30T08:53:00"/>
    <s v="Mt. San Pietro, near Ajaccio, Corsica, France"/>
    <s v="Inex Adria Aviopromet (Yugoslavia)"/>
    <s v="JP1308"/>
    <s v="Ljubljana - Ajaccio"/>
    <x v="1457"/>
    <s v="YU-ANA"/>
    <s v="48047/998"/>
    <n v="180"/>
    <n v="173"/>
    <n v="7"/>
    <n v="180"/>
    <n v="173"/>
    <n v="7"/>
    <n v="0"/>
    <s v="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
    <n v="0"/>
    <n v="1"/>
    <x v="1"/>
  </r>
  <r>
    <n v="3140"/>
    <x v="2852"/>
    <x v="70"/>
    <x v="2"/>
    <d v="1899-12-30T19:08:00"/>
    <s v="Honolulu, Hawaii"/>
    <s v="Private - Parajump air show"/>
    <s v="Unknown"/>
    <s v="Haliive, HI  - Honolulu, HI"/>
    <x v="1458"/>
    <s v="N8185H"/>
    <s v="AF-381"/>
    <n v="12"/>
    <n v="11"/>
    <n v="1"/>
    <n v="11"/>
    <n v="10"/>
    <n v="1"/>
    <n v="0"/>
    <s v="Crashed into the water. Improperly loaded aircraft, weight and center of gravity."/>
    <n v="1"/>
    <n v="0.91666666666666663"/>
    <x v="1"/>
  </r>
  <r>
    <n v="3141"/>
    <x v="2853"/>
    <x v="70"/>
    <x v="2"/>
    <s v="Unknown"/>
    <s v="Kuala Belait, Brunei"/>
    <s v="Bristow Helicopters"/>
    <s v="Unknown"/>
    <s v="Unknown"/>
    <x v="1459"/>
    <s v="9M-SSC"/>
    <n v="1481"/>
    <n v="12"/>
    <s v="NULL"/>
    <s v="NULL"/>
    <n v="12"/>
    <s v="NULL"/>
    <s v="NULL"/>
    <n v="0"/>
    <s v="Crashed into the sea."/>
    <n v="0"/>
    <n v="1"/>
    <x v="1"/>
  </r>
  <r>
    <n v="3142"/>
    <x v="2854"/>
    <x v="70"/>
    <x v="2"/>
    <d v="1899-12-30T13:06:00"/>
    <s v="Near Covenas, Colombia"/>
    <s v="ACES Colombia"/>
    <s v="Unknown"/>
    <s v="Medellin-Monteria-Covenas"/>
    <x v="1220"/>
    <s v="HK-2217"/>
    <n v="609"/>
    <n v="13"/>
    <n v="11"/>
    <n v="2"/>
    <n v="13"/>
    <n v="11"/>
    <n v="2"/>
    <n v="0"/>
    <s v="Struck high ground."/>
    <n v="0"/>
    <n v="1"/>
    <x v="1"/>
  </r>
  <r>
    <n v="3143"/>
    <x v="2855"/>
    <x v="71"/>
    <x v="2"/>
    <s v="Unknown"/>
    <s v="Near Gelendzhik, USSR"/>
    <s v="Aeroflot"/>
    <s v="Unknown"/>
    <s v="Novorossiysk - Sukhumi"/>
    <x v="1396"/>
    <s v="CCCP-67290"/>
    <n v="781101"/>
    <n v="18"/>
    <n v="16"/>
    <n v="2"/>
    <n v="18"/>
    <n v="16"/>
    <n v="2"/>
    <n v="0"/>
    <s v="The aircraft crashed into high ground 22 km from the airport. Continued VFR flight into IFR condtions."/>
    <n v="0"/>
    <n v="1"/>
    <x v="1"/>
  </r>
  <r>
    <n v="3144"/>
    <x v="2856"/>
    <x v="71"/>
    <x v="2"/>
    <d v="1899-12-30T16:01:00"/>
    <s v="Washington, D.C."/>
    <s v="Air Florida"/>
    <n v="90"/>
    <s v="Washington D.C. - Fort Lauderdale, FL"/>
    <x v="1218"/>
    <s v="N62AF"/>
    <s v="19556/130"/>
    <n v="79"/>
    <n v="74"/>
    <n v="5"/>
    <n v="74"/>
    <n v="70"/>
    <n v="4"/>
    <n v="4"/>
    <s v="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
    <n v="5"/>
    <n v="0.93670886075949367"/>
    <x v="1"/>
  </r>
  <r>
    <n v="3145"/>
    <x v="2857"/>
    <x v="71"/>
    <x v="2"/>
    <s v="Unknown"/>
    <s v="Near Addis Ababa, Ethiopia"/>
    <s v="Military - Ethiopian Air Force"/>
    <s v="Unknown"/>
    <s v="Unknown"/>
    <x v="1195"/>
    <n v="71383"/>
    <s v="Unknown"/>
    <n v="73"/>
    <n v="67"/>
    <n v="6"/>
    <n v="73"/>
    <n v="67"/>
    <n v="6"/>
    <n v="0"/>
    <s v="Shot down by rebel forces."/>
    <n v="0"/>
    <n v="1"/>
    <x v="1"/>
  </r>
  <r>
    <n v="3146"/>
    <x v="2858"/>
    <x v="71"/>
    <x v="2"/>
    <d v="1899-12-30T19:36:00"/>
    <s v="Logan Airport,  Boston, Massachusetts"/>
    <s v="World Airways"/>
    <s v="30H"/>
    <s v="Newark - Boston"/>
    <x v="1460"/>
    <s v="N113WA"/>
    <s v="47821/320"/>
    <n v="212"/>
    <n v="200"/>
    <n v="12"/>
    <n v="2"/>
    <n v="2"/>
    <n v="0"/>
    <n v="0"/>
    <s v="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
    <n v="210"/>
    <n v="9.433962264150943E-3"/>
    <x v="2"/>
  </r>
  <r>
    <n v="3147"/>
    <x v="2859"/>
    <x v="71"/>
    <x v="2"/>
    <s v="Unknown"/>
    <s v="Constanta, Romania"/>
    <s v="Tarom"/>
    <s v="Unknown"/>
    <s v="Training"/>
    <x v="1275"/>
    <s v="YR-BMD"/>
    <n v="57310202"/>
    <n v="7"/>
    <n v="0"/>
    <n v="7"/>
    <n v="7"/>
    <n v="0"/>
    <n v="7"/>
    <n v="0"/>
    <s v="A malfunction of the No. 1 engine feathering system caused the aircraft to lose control and crash."/>
    <n v="0"/>
    <n v="1"/>
    <x v="1"/>
  </r>
  <r>
    <n v="3148"/>
    <x v="2860"/>
    <x v="71"/>
    <x v="2"/>
    <d v="1899-12-30T07:30:00"/>
    <s v="Djibouti, Djbouti"/>
    <s v="Military - French Air Force"/>
    <s v="Unknown"/>
    <s v="Training"/>
    <x v="823"/>
    <s v="140/88JA"/>
    <n v="140"/>
    <n v="35"/>
    <n v="30"/>
    <n v="5"/>
    <n v="35"/>
    <n v="30"/>
    <n v="5"/>
    <n v="0"/>
    <s v="Crashed into a mountain before a planned paratroop drop."/>
    <n v="0"/>
    <n v="1"/>
    <x v="1"/>
  </r>
  <r>
    <n v="3149"/>
    <x v="2861"/>
    <x v="71"/>
    <x v="2"/>
    <d v="1899-12-30T15:00:00"/>
    <s v="Island of Cheju, South Korea"/>
    <s v="Military - Republic of South Korea Air Force"/>
    <s v="Unknown"/>
    <s v="Seoul - Jeju"/>
    <x v="964"/>
    <s v="Unknown"/>
    <s v="Unknown"/>
    <n v="53"/>
    <n v="47"/>
    <n v="6"/>
    <n v="53"/>
    <n v="47"/>
    <n v="6"/>
    <n v="0"/>
    <s v="Crashed into Mt. Halla while on approach to land in poor weather. Possible microburst windshear."/>
    <n v="0"/>
    <n v="1"/>
    <x v="1"/>
  </r>
  <r>
    <n v="3150"/>
    <x v="2862"/>
    <x v="71"/>
    <x v="2"/>
    <s v="Unknown"/>
    <s v="Near Srinagar, India"/>
    <s v="Military - Indian Air Force"/>
    <s v="Unknown"/>
    <s v="Pathankot-Srinagar"/>
    <x v="853"/>
    <s v="Unknown"/>
    <s v="Unknown"/>
    <n v="23"/>
    <n v="18"/>
    <n v="5"/>
    <n v="23"/>
    <n v="18"/>
    <n v="5"/>
    <n v="0"/>
    <s v="Crashed in dirzzle and snow while en route."/>
    <n v="0"/>
    <n v="1"/>
    <x v="1"/>
  </r>
  <r>
    <n v="3151"/>
    <x v="2863"/>
    <x v="71"/>
    <x v="2"/>
    <s v="Unknown"/>
    <s v="Mt. Ipao, Philippines"/>
    <s v="Trans Air Services"/>
    <s v="Unknown"/>
    <s v="Manila - Sicogon"/>
    <x v="1461"/>
    <s v="RP-C141"/>
    <n v="19251"/>
    <n v="32"/>
    <n v="29"/>
    <n v="3"/>
    <n v="3"/>
    <n v="1"/>
    <n v="2"/>
    <n v="0"/>
    <s v="Struck Mt. Ipao on Panay Island."/>
    <n v="29"/>
    <n v="9.375E-2"/>
    <x v="2"/>
  </r>
  <r>
    <n v="3152"/>
    <x v="2863"/>
    <x v="71"/>
    <x v="2"/>
    <d v="1899-12-30T08:47:00"/>
    <s v="Tokyo, Japan"/>
    <s v="Japan Air Lines"/>
    <n v="350"/>
    <s v="Fukuoka - Tokyo"/>
    <x v="1379"/>
    <s v="JA-8061"/>
    <s v="45889/291"/>
    <n v="174"/>
    <n v="166"/>
    <n v="8"/>
    <n v="24"/>
    <n v="24"/>
    <n v="0"/>
    <n v="0"/>
    <s v="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
    <n v="150"/>
    <n v="0.13793103448275862"/>
    <x v="2"/>
  </r>
  <r>
    <n v="3153"/>
    <x v="2864"/>
    <x v="71"/>
    <x v="2"/>
    <s v="Unknown"/>
    <s v="Cerro el Tablazo, Colombia"/>
    <s v="LAC Columbia"/>
    <s v="Unknown"/>
    <s v="Unknown"/>
    <x v="1280"/>
    <s v="HK-1706"/>
    <s v="44168/431"/>
    <n v="4"/>
    <n v="0"/>
    <n v="4"/>
    <n v="4"/>
    <n v="0"/>
    <n v="4"/>
    <n v="0"/>
    <s v="The cargo plane crashed into high ground while on apporach to land."/>
    <n v="0"/>
    <n v="1"/>
    <x v="1"/>
  </r>
  <r>
    <n v="3154"/>
    <x v="2865"/>
    <x v="71"/>
    <x v="2"/>
    <d v="1899-12-30T15:33:00"/>
    <s v="Providence, Rhode Island"/>
    <s v="Pilgrim Airlines"/>
    <n v="458"/>
    <s v=" New York City - Bridgeport - New Haven - Groton - Boston"/>
    <x v="1462"/>
    <s v="N127PM"/>
    <n v="105"/>
    <n v="12"/>
    <n v="10"/>
    <n v="2"/>
    <n v="1"/>
    <n v="1"/>
    <n v="0"/>
    <n v="0"/>
    <s v="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
    <n v="11"/>
    <n v="8.3333333333333329E-2"/>
    <x v="2"/>
  </r>
  <r>
    <n v="3155"/>
    <x v="2866"/>
    <x v="71"/>
    <x v="2"/>
    <d v="1899-12-30T13:26:00"/>
    <s v="Mehamn, Norway"/>
    <s v="Wideroe's Flyveselksap"/>
    <n v="933"/>
    <s v="Berlevag - Mehamn"/>
    <x v="1220"/>
    <s v="LN-BNK"/>
    <n v="568"/>
    <n v="15"/>
    <n v="13"/>
    <n v="2"/>
    <n v="15"/>
    <n v="13"/>
    <n v="2"/>
    <n v="0"/>
    <s v="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
    <n v="0"/>
    <n v="1"/>
    <x v="1"/>
  </r>
  <r>
    <n v="3156"/>
    <x v="2867"/>
    <x v="71"/>
    <x v="2"/>
    <d v="1899-12-30T21:10:00"/>
    <s v="Near Woodstock, Illinois"/>
    <s v="Military - U.S. Air Force"/>
    <s v="Unknown"/>
    <s v="Sawyer-Chicago"/>
    <x v="1463"/>
    <s v="58-0031"/>
    <n v="17776"/>
    <n v="27"/>
    <n v="23"/>
    <n v="4"/>
    <n v="27"/>
    <n v="23"/>
    <n v="4"/>
    <n v="0"/>
    <s v="Crashed 40 miles northwest of Chicago O'Hare Airport where it was to have landed. Exploded and dove in an almost vertical attitude from a height of 13,700 ft. into a wooded area, exploded and burned. Most probably overpressurization under the cargo floor and ignition of fuel vapor."/>
    <n v="0"/>
    <n v="1"/>
    <x v="1"/>
  </r>
  <r>
    <n v="3157"/>
    <x v="2867"/>
    <x v="71"/>
    <x v="2"/>
    <d v="1899-12-30T10:30:00"/>
    <s v="Leesburg, Florida"/>
    <s v="Private"/>
    <s v="Unknown"/>
    <s v="None"/>
    <x v="1464"/>
    <s v="N567LT"/>
    <s v="D-4114"/>
    <n v="3"/>
    <n v="2"/>
    <n v="1"/>
    <n v="3"/>
    <n v="2"/>
    <n v="1"/>
    <n v="0"/>
    <s v="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
    <n v="0"/>
    <n v="1"/>
    <x v="1"/>
  </r>
  <r>
    <n v="3158"/>
    <x v="2868"/>
    <x v="71"/>
    <x v="2"/>
    <s v="Unknown"/>
    <s v="Branti Airport, Indonesia"/>
    <s v="Garuda Indonesia Airlines"/>
    <s v="Unknown"/>
    <s v="Bogota-Saravena"/>
    <x v="1221"/>
    <s v="PK-GVK"/>
    <n v="11078"/>
    <n v="27"/>
    <n v="23"/>
    <n v="4"/>
    <n v="27"/>
    <n v="23"/>
    <n v="4"/>
    <n v="0"/>
    <s v="The plane overran the runway in heavy rain, crashed into a field and burned while attemping to land."/>
    <n v="0"/>
    <n v="1"/>
    <x v="1"/>
  </r>
  <r>
    <n v="3159"/>
    <x v="2869"/>
    <x v="71"/>
    <x v="2"/>
    <s v="Unknown"/>
    <s v="Queate, Colombia"/>
    <s v="Aeropesca Colombia"/>
    <s v="Unknown"/>
    <s v="Villavicencio - Bogota"/>
    <x v="789"/>
    <s v="HK-2382"/>
    <n v="212"/>
    <n v="21"/>
    <n v="15"/>
    <n v="6"/>
    <n v="21"/>
    <n v="15"/>
    <n v="6"/>
    <n v="0"/>
    <s v="Crashed into a mountain during poor weather conditions."/>
    <n v="0"/>
    <n v="1"/>
    <x v="1"/>
  </r>
  <r>
    <n v="3160"/>
    <x v="2870"/>
    <x v="71"/>
    <x v="2"/>
    <d v="1899-12-30T17:35:00"/>
    <s v="Near Tanana, Alaska"/>
    <s v="Air Taxi - Tundra Copters"/>
    <s v="Unknown"/>
    <s v="Banddanack - Fairbanks"/>
    <x v="1465"/>
    <s v="N11058"/>
    <s v="210901D"/>
    <n v="3"/>
    <n v="2"/>
    <n v="1"/>
    <n v="3"/>
    <n v="2"/>
    <n v="1"/>
    <n v="0"/>
    <s v="The helicopter crashed on a snow covered mountain slope in a steep left bank in overcast and snow showers. Continued VFR flight into IFR conditons."/>
    <n v="0"/>
    <n v="1"/>
    <x v="1"/>
  </r>
  <r>
    <n v="3161"/>
    <x v="2871"/>
    <x v="71"/>
    <x v="2"/>
    <d v="1899-12-30T14:40:00"/>
    <s v="Near Erzurum, Turkey"/>
    <s v="Military - U.S. Air Force"/>
    <s v="Unknown"/>
    <s v="Erzurum - Incirlik"/>
    <x v="1262"/>
    <s v="74-1678"/>
    <n v="4645"/>
    <n v="27"/>
    <n v="19"/>
    <n v="8"/>
    <n v="27"/>
    <n v="19"/>
    <n v="8"/>
    <n v="0"/>
    <s v="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
    <n v="0"/>
    <n v="1"/>
    <x v="1"/>
  </r>
  <r>
    <n v="3162"/>
    <x v="2872"/>
    <x v="71"/>
    <x v="2"/>
    <d v="1899-12-30T16:45:00"/>
    <s v="Near Yangshuo, Guangxi, China"/>
    <s v="CAAC"/>
    <n v="3303"/>
    <s v="Guangzhou - Guilin"/>
    <x v="1386"/>
    <s v="B-266"/>
    <n v="2170"/>
    <n v="112"/>
    <n v="104"/>
    <n v="8"/>
    <n v="112"/>
    <n v="104"/>
    <n v="8"/>
    <n v="0"/>
    <s v="The aircraft struck a mountain in heavy rain during a landing attempt."/>
    <n v="0"/>
    <n v="1"/>
    <x v="1"/>
  </r>
  <r>
    <n v="3163"/>
    <x v="2873"/>
    <x v="71"/>
    <x v="2"/>
    <s v="Unknown"/>
    <s v="Gulf of Thailand"/>
    <s v="Okanagan Helicopters"/>
    <s v="Unknown"/>
    <s v="Unknown"/>
    <x v="1419"/>
    <s v="C-GIMF"/>
    <n v="760038"/>
    <n v="13"/>
    <s v="NULL"/>
    <s v="NULL"/>
    <n v="13"/>
    <s v="NULL"/>
    <s v="NULL"/>
    <n v="0"/>
    <s v="The helicopter crashed under unknown circumstances."/>
    <n v="0"/>
    <n v="1"/>
    <x v="1"/>
  </r>
  <r>
    <n v="3164"/>
    <x v="2874"/>
    <x v="71"/>
    <x v="2"/>
    <s v="Unknown"/>
    <s v="Off Aden, Yemen"/>
    <s v="Alyemda"/>
    <s v="Unknown"/>
    <s v="Mukalla - Aden"/>
    <x v="1466"/>
    <s v="7O-ACK"/>
    <n v="15"/>
    <n v="49"/>
    <n v="45"/>
    <n v="4"/>
    <n v="47"/>
    <n v="45"/>
    <n v="2"/>
    <n v="0"/>
    <s v="Crashed into the ocean during an approach 2 km short of the runway."/>
    <n v="2"/>
    <n v="0.95918367346938771"/>
    <x v="1"/>
  </r>
  <r>
    <n v="3165"/>
    <x v="2875"/>
    <x v="71"/>
    <x v="2"/>
    <s v="Unknown"/>
    <s v="Judsonia, Arkansas"/>
    <s v="Military - U.S. Air Force"/>
    <s v="Unknown"/>
    <s v="Training"/>
    <x v="1435"/>
    <s v="64-0543"/>
    <n v="4033"/>
    <n v="7"/>
    <n v="0"/>
    <n v="7"/>
    <n v="7"/>
    <n v="0"/>
    <n v="7"/>
    <n v="0"/>
    <s v="Lost a wing and crashed."/>
    <n v="0"/>
    <n v="1"/>
    <x v="1"/>
  </r>
  <r>
    <n v="3166"/>
    <x v="2876"/>
    <x v="71"/>
    <x v="2"/>
    <d v="1899-12-30T19:15:00"/>
    <s v="South Atlantic Ocean"/>
    <s v="Military - Royal British Navy"/>
    <s v="Unknown"/>
    <s v="Unknown"/>
    <x v="1467"/>
    <s v="ZA-294"/>
    <s v="Unknown"/>
    <n v="30"/>
    <s v="NULL"/>
    <s v="NULL"/>
    <n v="21"/>
    <s v="NULL"/>
    <s v="NULL"/>
    <n v="0"/>
    <s v="The helicopter, carrying troops from one ship to another during the Falkland Islands war, crashed into the Atlantic Ocean. Possible bird strike or component failure."/>
    <n v="9"/>
    <n v="0.7"/>
    <x v="1"/>
  </r>
  <r>
    <n v="3167"/>
    <x v="2877"/>
    <x v="71"/>
    <x v="2"/>
    <s v="Unknown"/>
    <s v="Brazilia, Brazil"/>
    <s v="VASP"/>
    <s v="Unknown"/>
    <s v="Sao Paulo - Brasilia"/>
    <x v="1468"/>
    <s v="PP-SMY"/>
    <n v="20907"/>
    <n v="118"/>
    <n v="112"/>
    <n v="6"/>
    <n v="2"/>
    <n v="2"/>
    <n v="0"/>
    <n v="0"/>
    <s v="The aircraft broke in two after a hard landing. The pilot's misuse of rain repellant caused an optical illusion."/>
    <n v="116"/>
    <n v="1.6949152542372881E-2"/>
    <x v="2"/>
  </r>
  <r>
    <n v="3168"/>
    <x v="2878"/>
    <x v="71"/>
    <x v="2"/>
    <s v="Unknown"/>
    <s v="Off Natuma Island, Indonesia"/>
    <s v="Pelita Air Service"/>
    <s v="Unknown"/>
    <s v="Unknown"/>
    <x v="1469"/>
    <s v="PK-PDU"/>
    <n v="1258"/>
    <n v="10"/>
    <s v="NULL"/>
    <s v="NULL"/>
    <n v="10"/>
    <s v="NULL"/>
    <s v="NULL"/>
    <n v="0"/>
    <s v="The helicopter crashed into the sea."/>
    <n v="0"/>
    <n v="1"/>
    <x v="1"/>
  </r>
  <r>
    <n v="3169"/>
    <x v="2879"/>
    <x v="71"/>
    <x v="2"/>
    <d v="1899-12-30T14:40:00"/>
    <s v="Near Songnam-si, South Korea"/>
    <s v="Military - Republic of South Korea Air Force"/>
    <s v="Unknown"/>
    <s v="Training"/>
    <x v="964"/>
    <s v="56-4391"/>
    <s v="Unknown"/>
    <n v="53"/>
    <n v="49"/>
    <n v="4"/>
    <n v="53"/>
    <n v="49"/>
    <n v="4"/>
    <n v="0"/>
    <s v="Crashed in poor weather conditions after taking off with paratroopers."/>
    <n v="0"/>
    <n v="1"/>
    <x v="1"/>
  </r>
  <r>
    <n v="3170"/>
    <x v="2880"/>
    <x v="71"/>
    <x v="2"/>
    <d v="1899-12-30T02:25:00"/>
    <s v="Near Pacatuba, Brazil"/>
    <s v="VASP"/>
    <n v="168"/>
    <s v="Rio de Janerio - Fortaleza"/>
    <x v="1470"/>
    <s v="PP-SRK"/>
    <s v="21347/1282"/>
    <n v="137"/>
    <n v="128"/>
    <n v="9"/>
    <n v="137"/>
    <n v="128"/>
    <n v="9"/>
    <n v="0"/>
    <s v="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
    <n v="0"/>
    <n v="1"/>
    <x v="1"/>
  </r>
  <r>
    <n v="3171"/>
    <x v="2881"/>
    <x v="71"/>
    <x v="2"/>
    <s v="Unknown"/>
    <s v="Tabatinga, Brazil"/>
    <s v="TABA"/>
    <s v="Unknown"/>
    <s v="Eirunepe - Tabatinga"/>
    <x v="1471"/>
    <s v="PT-LBV"/>
    <n v="536"/>
    <n v="44"/>
    <n v="40"/>
    <n v="4"/>
    <n v="44"/>
    <n v="40"/>
    <n v="4"/>
    <n v="0"/>
    <s v="The plane crashed into the tower during an approach in adverse weather conditions."/>
    <n v="0"/>
    <n v="1"/>
    <x v="1"/>
  </r>
  <r>
    <n v="3172"/>
    <x v="2882"/>
    <x v="71"/>
    <x v="2"/>
    <d v="1899-12-30T04:34:00"/>
    <s v="Bombay, India"/>
    <s v="Air India"/>
    <s v="Unknown"/>
    <s v="Kuala Lumpur - Mumbai"/>
    <x v="999"/>
    <s v="VT-DJJ"/>
    <s v="17723/100"/>
    <n v="111"/>
    <n v="99"/>
    <n v="12"/>
    <n v="17"/>
    <n v="15"/>
    <n v="2"/>
    <n v="0"/>
    <s v="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quot;Gaurishankar.&quot;"/>
    <n v="94"/>
    <n v="0.15315315315315314"/>
    <x v="2"/>
  </r>
  <r>
    <n v="3173"/>
    <x v="2883"/>
    <x v="71"/>
    <x v="2"/>
    <d v="1899-12-30T20:44:00"/>
    <s v="Mount Galunggung, Indonesia"/>
    <s v="British Airways"/>
    <n v="9"/>
    <s v="Kuala Lampur - Perth"/>
    <x v="1254"/>
    <s v="G-BDXH"/>
    <s v="21635/365"/>
    <n v="257"/>
    <n v="247"/>
    <n v="10"/>
    <n v="0"/>
    <n v="0"/>
    <n v="0"/>
    <n v="0"/>
    <s v="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quot;City of Edinburgh.&quot;"/>
    <n v="257"/>
    <n v="0"/>
    <x v="2"/>
  </r>
  <r>
    <n v="3174"/>
    <x v="2884"/>
    <x v="71"/>
    <x v="2"/>
    <d v="1899-12-30T10:49:00"/>
    <s v="Southern Belarus, USSR"/>
    <s v="Aeroflot"/>
    <n v="8641"/>
    <s v="Leningrad - Kiev"/>
    <x v="1472"/>
    <s v="CCCP-42529"/>
    <n v="8040104"/>
    <n v="132"/>
    <n v="124"/>
    <n v="8"/>
    <n v="132"/>
    <n v="124"/>
    <n v="8"/>
    <n v="0"/>
    <s v="From an altitude of 30,000 ft., a malfunction occurred causing the aircraft to crash 125 miles from its destination. In-flight failure and jamming of stabilizer screw-jack mechanism due to wear."/>
    <n v="0"/>
    <n v="1"/>
    <x v="1"/>
  </r>
  <r>
    <n v="3175"/>
    <x v="2885"/>
    <x v="71"/>
    <x v="2"/>
    <s v="Unknown"/>
    <s v="Oganda, Gabon"/>
    <s v="Air Affaires Gabon"/>
    <s v="Unknown"/>
    <s v="BoouÃ©-NdjolÃ©-Libreville"/>
    <x v="1454"/>
    <s v="TR-LYQ"/>
    <s v="404--425"/>
    <n v="12"/>
    <s v="NULL"/>
    <s v="NULL"/>
    <n v="12"/>
    <s v="NULL"/>
    <s v="NULL"/>
    <n v="0"/>
    <s v="No data available"/>
    <n v="0"/>
    <n v="1"/>
    <x v="1"/>
  </r>
  <r>
    <n v="3176"/>
    <x v="2886"/>
    <x v="71"/>
    <x v="2"/>
    <d v="1899-12-30T00:35:00"/>
    <s v="Near Moscow, Russia"/>
    <s v="Aeroflot"/>
    <n v="411"/>
    <s v="_x0009_Moscow - _x0009_Dakar"/>
    <x v="1336"/>
    <s v="CCCP-86513"/>
    <n v="4037536"/>
    <n v="90"/>
    <n v="80"/>
    <n v="10"/>
    <n v="90"/>
    <n v="80"/>
    <n v="10"/>
    <n v="0"/>
    <s v="The aircraft crashed and burned in field shortly after takeoff. Failure of the aircraft's power plant fire warning system due to design deficiencies which resulted in false fire indications in both engines."/>
    <n v="0"/>
    <n v="1"/>
    <x v="1"/>
  </r>
  <r>
    <n v="3177"/>
    <x v="2887"/>
    <x v="71"/>
    <x v="2"/>
    <d v="1899-12-30T16:09:00"/>
    <s v="Kenner, Louisiana"/>
    <s v="Pan American World Airways"/>
    <n v="759"/>
    <s v="New Orleans - Las Vegas"/>
    <x v="1365"/>
    <s v="N4737"/>
    <s v="19457/518"/>
    <n v="145"/>
    <n v="138"/>
    <n v="7"/>
    <n v="145"/>
    <n v="138"/>
    <n v="7"/>
    <n v="8"/>
    <s v="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quot;Clipper Defiance.&quot;"/>
    <n v="0"/>
    <n v="1"/>
    <x v="1"/>
  </r>
  <r>
    <n v="3178"/>
    <x v="2888"/>
    <x v="71"/>
    <x v="2"/>
    <s v="Unknown"/>
    <s v="Jolo, Philippines"/>
    <s v="Philippine Air Lines"/>
    <n v="480"/>
    <s v=" Jolo-Kota Kinabalu"/>
    <x v="1473"/>
    <s v="RP-C1014"/>
    <n v="1636"/>
    <n v="30"/>
    <n v="25"/>
    <n v="5"/>
    <n v="4"/>
    <n v="3"/>
    <n v="1"/>
    <n v="0"/>
    <s v="Takeoff was aborted at V1 when the crew heard unusual sounds from the No.1 engine. The aircraft overran the runway and came to rest against a wall and some vehicles. Misjudged speed and distance and delayed action in aborting the takeoff."/>
    <n v="26"/>
    <n v="0.13333333333333333"/>
    <x v="2"/>
  </r>
  <r>
    <n v="3179"/>
    <x v="2889"/>
    <x v="71"/>
    <x v="2"/>
    <d v="1899-12-30T02:30:00"/>
    <s v="Castaic, California"/>
    <s v="Western Helicopter"/>
    <s v="Unknown"/>
    <s v="Movie set"/>
    <x v="1474"/>
    <s v="N87701"/>
    <n v="6414038"/>
    <n v="1"/>
    <n v="0"/>
    <n v="1"/>
    <n v="0"/>
    <n v="0"/>
    <n v="0"/>
    <n v="3"/>
    <s v="During the filming of &quot;Twilight Zone, The Movie&quot;,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
    <n v="1"/>
    <n v="0"/>
    <x v="2"/>
  </r>
  <r>
    <n v="3180"/>
    <x v="2890"/>
    <x v="71"/>
    <x v="2"/>
    <s v="Unknown"/>
    <s v="Pacific Ocean"/>
    <s v="Pan American World Airways"/>
    <s v="PA830"/>
    <s v="Tokyo - Honolulu"/>
    <x v="1173"/>
    <s v="N754PA"/>
    <s v="19658/47"/>
    <n v="285"/>
    <n v="270"/>
    <n v="25"/>
    <n v="1"/>
    <n v="1"/>
    <n v="0"/>
    <n v="0"/>
    <s v="A sixteen-year-old boy was killed when a bomb detonated under a seat cushion. The explosion caused minor damage and the plane landed safely at Honolulu. The bomb was placed onboard by Mohammed Rashed, a Jordanian terrorist with the May 15 Organization."/>
    <n v="284"/>
    <n v="3.5087719298245615E-3"/>
    <x v="2"/>
  </r>
  <r>
    <n v="3181"/>
    <x v="2891"/>
    <x v="71"/>
    <x v="2"/>
    <s v="Unknown"/>
    <s v="Mindat, Myanmar"/>
    <s v="Burma Airways"/>
    <s v="Unknown"/>
    <s v="Unknown"/>
    <x v="1220"/>
    <s v="XY-AEB"/>
    <n v="501"/>
    <n v="8"/>
    <n v="5"/>
    <n v="3"/>
    <n v="8"/>
    <n v="5"/>
    <n v="3"/>
    <n v="0"/>
    <s v="Hit high ground in poor weather."/>
    <n v="0"/>
    <n v="1"/>
    <x v="1"/>
  </r>
  <r>
    <n v="3182"/>
    <x v="2892"/>
    <x v="71"/>
    <x v="2"/>
    <d v="1899-12-30T09:00:00"/>
    <s v="Near Managua, Nicaragua"/>
    <s v="Military - Nicaraguan Air Force"/>
    <s v="Unknown"/>
    <s v="Managua - El Rodeo"/>
    <x v="1475"/>
    <n v="223"/>
    <n v="6"/>
    <n v="20"/>
    <n v="18"/>
    <n v="2"/>
    <n v="20"/>
    <n v="18"/>
    <n v="2"/>
    <n v="0"/>
    <s v="Rolled to the right and crashed from an altitude of 500 ft. shortly after becoming airborne."/>
    <n v="0"/>
    <n v="1"/>
    <x v="1"/>
  </r>
  <r>
    <n v="3183"/>
    <x v="2892"/>
    <x v="71"/>
    <x v="2"/>
    <d v="1899-12-30T17:07:00"/>
    <s v="Sukhumi, Georgia, USSR"/>
    <s v="Aeroflot / Aeroflot"/>
    <s v="Unknown"/>
    <s v="Sukhumi - Kutaisi"/>
    <x v="1476"/>
    <s v="67191 / 65836"/>
    <s v="781120 / 17113"/>
    <n v="11"/>
    <n v="9"/>
    <n v="2"/>
    <n v="11"/>
    <n v="9"/>
    <n v="2"/>
    <n v="0"/>
    <s v="Ground collision. Eleven killed on the LET and none on the Tupolev."/>
    <n v="0"/>
    <n v="1"/>
    <x v="1"/>
  </r>
  <r>
    <n v="3184"/>
    <x v="2893"/>
    <x v="71"/>
    <x v="2"/>
    <s v="Unknown"/>
    <s v="Near Valladolid, Ecuador"/>
    <s v="Aerolineas Condor"/>
    <s v="Unknown"/>
    <s v="Zumba - Loja"/>
    <x v="1389"/>
    <s v="HC-BHZ"/>
    <n v="249"/>
    <n v="44"/>
    <n v="41"/>
    <n v="3"/>
    <n v="44"/>
    <n v="41"/>
    <n v="3"/>
    <n v="0"/>
    <s v="Flew into a mountain in the Andes after the pilot became disoriented in a low ceiling."/>
    <n v="0"/>
    <n v="1"/>
    <x v="1"/>
  </r>
  <r>
    <n v="3185"/>
    <x v="2894"/>
    <x v="71"/>
    <x v="2"/>
    <s v="Unknown"/>
    <s v="Rio Branco, Brazil"/>
    <s v="Cia Brasiliera de Tratores"/>
    <s v="Unknown"/>
    <s v="Porto Velho - Rio Branco"/>
    <x v="1477"/>
    <s v="PT-JBQ"/>
    <s v="25B-119"/>
    <n v="10"/>
    <n v="8"/>
    <n v="2"/>
    <n v="10"/>
    <n v="8"/>
    <n v="2"/>
    <n v="0"/>
    <s v="The plane ran out of fuel on the third approach in poor weather."/>
    <n v="0"/>
    <n v="1"/>
    <x v="1"/>
  </r>
  <r>
    <n v="3186"/>
    <x v="2895"/>
    <x v="71"/>
    <x v="2"/>
    <d v="1899-12-30T12:50:00"/>
    <s v="Near Mannheim, West Germany"/>
    <s v="Military - U.S. Army"/>
    <s v="Unknown"/>
    <s v="Unknown"/>
    <x v="1478"/>
    <s v="74-22292"/>
    <s v="Unknown"/>
    <n v="46"/>
    <n v="42"/>
    <n v="4"/>
    <n v="46"/>
    <n v="42"/>
    <n v="4"/>
    <n v="0"/>
    <s v="Crashed helicopter experiencing catastrophic mechanical failure and separation of one of the rotors. The aircraft was carrying French and German sky divers as part of Mannheim's 375 birthday celebration. Bearing failure in the forward transmission pack."/>
    <n v="0"/>
    <n v="1"/>
    <x v="1"/>
  </r>
  <r>
    <n v="3187"/>
    <x v="2896"/>
    <x v="71"/>
    <x v="2"/>
    <d v="1899-12-30T12:00:00"/>
    <s v="Near Malaga, Spain"/>
    <s v="Spantax"/>
    <n v="995"/>
    <s v="Malaga - New York City"/>
    <x v="1460"/>
    <s v="EC-DEG"/>
    <s v="46962/238"/>
    <n v="394"/>
    <n v="381"/>
    <n v="13"/>
    <n v="50"/>
    <n v="47"/>
    <n v="3"/>
    <n v="0"/>
    <s v="The aircraft crashed during takeoff after intense vibration caused by a blown retreaded tire. The crew aborted the takeoff above VR and overran the runway. They also  failed to apply reverse thrust symmetrically."/>
    <n v="344"/>
    <n v="0.12690355329949238"/>
    <x v="2"/>
  </r>
  <r>
    <n v="3188"/>
    <x v="2897"/>
    <x v="71"/>
    <x v="2"/>
    <d v="1899-12-30T19:23:00"/>
    <s v="Luxembourg, Luxembourg"/>
    <s v="Aeroflot"/>
    <n v="343"/>
    <s v="Moscou-Luxembourg-La Havane-Lima"/>
    <x v="1336"/>
    <s v="CCCP-86470"/>
    <n v="72503"/>
    <n v="77"/>
    <n v="66"/>
    <n v="11"/>
    <n v="7"/>
    <s v="NULL"/>
    <s v="NULL"/>
    <n v="0"/>
    <s v="The aircraft swerved to the right after landing, sideswiped a water tower, crashed into a building and continued into a revine where it exploded and burned. Failure of the control mechanism on the No.1 engine reverser."/>
    <n v="70"/>
    <n v="9.0909090909090912E-2"/>
    <x v="2"/>
  </r>
  <r>
    <n v="3189"/>
    <x v="2898"/>
    <x v="71"/>
    <x v="2"/>
    <s v="Unknown"/>
    <s v="Off Taiwan"/>
    <s v="Far Eastern Air Transport"/>
    <s v="Unknown"/>
    <s v="Unknown"/>
    <x v="1297"/>
    <s v="B-2311"/>
    <n v="30575"/>
    <n v="15"/>
    <s v="NULL"/>
    <s v="NULL"/>
    <n v="15"/>
    <s v="NULL"/>
    <s v="NULL"/>
    <n v="0"/>
    <s v="The helicopter crashed into the sea."/>
    <n v="0"/>
    <n v="1"/>
    <x v="1"/>
  </r>
  <r>
    <n v="3190"/>
    <x v="2899"/>
    <x v="71"/>
    <x v="2"/>
    <s v="Unknown"/>
    <s v="Lubango, Angola"/>
    <s v="TAAG Angola Airlines"/>
    <s v="Unknown"/>
    <s v="Unknown"/>
    <x v="1195"/>
    <s v="D2-TAB"/>
    <n v="4607"/>
    <n v="15"/>
    <n v="9"/>
    <n v="6"/>
    <n v="15"/>
    <n v="9"/>
    <n v="6"/>
    <n v="0"/>
    <s v="Flew into a mountain while descending for a landing."/>
    <n v="0"/>
    <n v="1"/>
    <x v="1"/>
  </r>
  <r>
    <n v="3191"/>
    <x v="2899"/>
    <x v="71"/>
    <x v="2"/>
    <s v="Unknown"/>
    <s v="Quetame, Colombia"/>
    <s v="Aerolineas Centrales de Colombia"/>
    <s v="Unknown"/>
    <s v="San Jose del Guaviare - BogotÃ¡"/>
    <x v="1479"/>
    <s v="HK-2536"/>
    <n v="713"/>
    <n v="22"/>
    <n v="20"/>
    <n v="2"/>
    <n v="22"/>
    <n v="20"/>
    <n v="2"/>
    <n v="0"/>
    <s v="Crashed into a mountain. Flying under VFR in IFR conditions, navigation error and lack of adequate training."/>
    <n v="0"/>
    <n v="1"/>
    <x v="1"/>
  </r>
  <r>
    <n v="3192"/>
    <x v="2900"/>
    <x v="71"/>
    <x v="2"/>
    <d v="1899-12-30T19:07:00"/>
    <s v="Near Pueblo, Colorado"/>
    <s v="Pioneer Airlines"/>
    <s v="Unknown"/>
    <s v="Sante Fe, NM - Pueblo, CO"/>
    <x v="1480"/>
    <s v="N30093"/>
    <s v="AC-449"/>
    <n v="2"/>
    <n v="0"/>
    <n v="2"/>
    <n v="2"/>
    <n v="0"/>
    <n v="2"/>
    <n v="0"/>
    <s v="The cargo plane flew into a hill while descending to land. The pilot may have had a physical imparement."/>
    <n v="0"/>
    <n v="1"/>
    <x v="1"/>
  </r>
  <r>
    <n v="3193"/>
    <x v="2901"/>
    <x v="71"/>
    <x v="2"/>
    <d v="1899-12-30T13:27:00"/>
    <s v="La Serena, Chile"/>
    <s v="Aeronor Chile"/>
    <n v="304"/>
    <s v="Santiago - La Serena"/>
    <x v="1423"/>
    <s v="CC-CJE"/>
    <n v="63"/>
    <n v="46"/>
    <n v="42"/>
    <n v="4"/>
    <n v="46"/>
    <n v="42"/>
    <n v="4"/>
    <n v="0"/>
    <s v="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
    <n v="0"/>
    <n v="1"/>
    <x v="1"/>
  </r>
  <r>
    <n v="3194"/>
    <x v="2901"/>
    <x v="71"/>
    <x v="2"/>
    <d v="1899-12-30T14:30:00"/>
    <s v="Near San Andres de Bocay, Nicaragua"/>
    <s v="Military - Nicaraguan Air Force"/>
    <s v="Unknown"/>
    <s v="Unknown"/>
    <x v="1481"/>
    <n v="265"/>
    <s v="Unknown"/>
    <n v="88"/>
    <n v="84"/>
    <n v="4"/>
    <n v="84"/>
    <n v="84"/>
    <n v="0"/>
    <n v="0"/>
    <s v="The helicopter was shot down by Sandinistan rebels."/>
    <n v="4"/>
    <n v="0.95454545454545459"/>
    <x v="1"/>
  </r>
  <r>
    <n v="3195"/>
    <x v="2902"/>
    <x v="71"/>
    <x v="2"/>
    <d v="1899-12-30T20:44:00"/>
    <s v="Rostov-on-Don, Russia"/>
    <s v="Aeroflot"/>
    <s v="Unknown"/>
    <s v="Rostov-on-Don - Krasnovodsk"/>
    <x v="1195"/>
    <s v="CCCP-26627"/>
    <n v="5208"/>
    <n v="16"/>
    <n v="0"/>
    <n v="16"/>
    <n v="16"/>
    <n v="0"/>
    <n v="16"/>
    <n v="0"/>
    <s v="Inadequate and untimely actions of the crew in retracting  the flaps after takeoff, which resulted in severe loss of height and collision with obstacles. Overloaded,"/>
    <n v="0"/>
    <n v="1"/>
    <x v="1"/>
  </r>
  <r>
    <n v="3196"/>
    <x v="2903"/>
    <x v="71"/>
    <x v="2"/>
    <d v="1899-12-30T17:10:00"/>
    <s v="Guangzhou, China"/>
    <s v="CAAC"/>
    <s v="Unknown"/>
    <s v="Changsha-Canton"/>
    <x v="855"/>
    <s v="B-202"/>
    <n v="189001401"/>
    <n v="69"/>
    <n v="58"/>
    <n v="11"/>
    <n v="25"/>
    <n v="25"/>
    <n v="0"/>
    <n v="0"/>
    <s v="A passenger's cigarette caused a fire in the cabin which led to an oxygen tank exploding."/>
    <n v="44"/>
    <n v="0.36231884057971014"/>
    <x v="0"/>
  </r>
  <r>
    <n v="3197"/>
    <x v="2904"/>
    <x v="72"/>
    <x v="2"/>
    <s v="Unknown"/>
    <s v="Brainerd, Minnesota"/>
    <s v="46826/109"/>
    <n v="927"/>
    <s v="Minneapolis-St Paul - Brainerd"/>
    <x v="1482"/>
    <s v="N844H"/>
    <s v="327A"/>
    <n v="33"/>
    <n v="30"/>
    <n v="3"/>
    <n v="1"/>
    <n v="1"/>
    <n v="0"/>
    <n v="0"/>
    <s v="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
    <n v="32"/>
    <n v="3.0303030303030304E-2"/>
    <x v="2"/>
  </r>
  <r>
    <n v="3198"/>
    <x v="2905"/>
    <x v="72"/>
    <x v="2"/>
    <d v="1899-12-30T02:50:00"/>
    <s v="Detroit, Michigan"/>
    <s v="United Air Lines"/>
    <n v="2885"/>
    <s v="Detroit - Los Angeles"/>
    <x v="1483"/>
    <s v="N8053U"/>
    <s v="46010/406"/>
    <n v="3"/>
    <n v="0"/>
    <n v="3"/>
    <n v="3"/>
    <n v="0"/>
    <n v="3"/>
    <n v="0"/>
    <s v="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
    <n v="0"/>
    <n v="1"/>
    <x v="1"/>
  </r>
  <r>
    <n v="3199"/>
    <x v="2906"/>
    <x v="72"/>
    <x v="2"/>
    <d v="1899-12-30T22:30:00"/>
    <s v="Ankara, Turkey"/>
    <s v="Turkish Airlines (THY)"/>
    <s v="Unknown"/>
    <s v="Paris-Tripoli-Istanbul-Ankara"/>
    <x v="1324"/>
    <s v="TC-JBR"/>
    <s v="21603/1389"/>
    <n v="67"/>
    <n v="60"/>
    <n v="7"/>
    <n v="47"/>
    <n v="47"/>
    <n v="0"/>
    <n v="0"/>
    <s v="The flight originated in Tripoli and stopped in Istanbul before beginning a 40-minute flight to Ankara's Esenboga Airport. The aircraft crashed short of the runway in fog, snow and poor visibility. Windshear."/>
    <n v="20"/>
    <n v="0.70149253731343286"/>
    <x v="1"/>
  </r>
  <r>
    <n v="3200"/>
    <x v="2907"/>
    <x v="72"/>
    <x v="2"/>
    <s v="Unknown"/>
    <s v="Fayetteville, North Carolina"/>
    <s v="Military - U.S. Air Force"/>
    <s v="Unknown"/>
    <s v="Unknown"/>
    <x v="1444"/>
    <s v="74-1693"/>
    <n v="4693"/>
    <n v="6"/>
    <n v="0"/>
    <n v="6"/>
    <n v="6"/>
    <n v="0"/>
    <n v="6"/>
    <n v="0"/>
    <s v="An overheated APU led to a fire and loss of control of the aircraft."/>
    <n v="0"/>
    <n v="1"/>
    <x v="1"/>
  </r>
  <r>
    <n v="3201"/>
    <x v="2908"/>
    <x v="72"/>
    <x v="2"/>
    <s v="Unknown"/>
    <s v="Off Macae, Brazil"/>
    <s v="Aeroleo Taxi Aereo"/>
    <s v="Unknown"/>
    <s v="Unknown"/>
    <x v="1297"/>
    <s v="PT-HJN"/>
    <n v="30761"/>
    <n v="11"/>
    <s v="NULL"/>
    <s v="NULL"/>
    <n v="11"/>
    <s v="NULL"/>
    <s v="NULL"/>
    <n v="0"/>
    <s v="Crashed into the sea."/>
    <n v="0"/>
    <n v="1"/>
    <x v="1"/>
  </r>
  <r>
    <n v="3202"/>
    <x v="2909"/>
    <x v="72"/>
    <x v="2"/>
    <s v="Unknown"/>
    <s v="Near Shach Goan, Afghanistan"/>
    <s v="Bakhtar Afghan Airlines"/>
    <s v="Unknown"/>
    <s v="Uruzgan-Kaboul"/>
    <x v="1220"/>
    <s v="YA-GAZ"/>
    <n v="395"/>
    <n v="19"/>
    <n v="17"/>
    <n v="2"/>
    <n v="19"/>
    <n v="17"/>
    <n v="2"/>
    <n v="0"/>
    <s v="Pilot decided to climb and continue to fly VFR in deteriorating weather. The plane crashed in an area of rain, turbulence and thunderstorms. Continued VFR flight in poor weather and a physical impairment due to lack of oxygen when flying at high altitude."/>
    <n v="0"/>
    <n v="1"/>
    <x v="1"/>
  </r>
  <r>
    <n v="3203"/>
    <x v="2910"/>
    <x v="72"/>
    <x v="2"/>
    <d v="1899-12-30T07:00:00"/>
    <s v="Barquisimeto Venezuela"/>
    <s v="Avensa"/>
    <s v="Unknown"/>
    <s v="Caracas - Barquisimeto"/>
    <x v="1104"/>
    <s v="YV-67C"/>
    <s v="47025/106"/>
    <n v="50"/>
    <n v="45"/>
    <n v="5"/>
    <n v="23"/>
    <n v="22"/>
    <n v="1"/>
    <n v="0"/>
    <s v="The aircraft landed past the runway threshold, experienced a hard landing in fog, slid off the runway and broke up. Improper in-flight decisions and inadequate supervision of the flight."/>
    <n v="27"/>
    <n v="0.46"/>
    <x v="0"/>
  </r>
  <r>
    <n v="3204"/>
    <x v="2911"/>
    <x v="72"/>
    <x v="2"/>
    <d v="1899-12-30T05:14:00"/>
    <s v="Newark, New Jersey"/>
    <s v="Central Airlines"/>
    <s v="Unknown"/>
    <s v="Chicago - Newark"/>
    <x v="1484"/>
    <s v="N51CA"/>
    <s v="25-030"/>
    <n v="2"/>
    <n v="0"/>
    <n v="2"/>
    <n v="2"/>
    <n v="0"/>
    <n v="2"/>
    <n v="0"/>
    <s v="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
    <n v="0"/>
    <n v="1"/>
    <x v="1"/>
  </r>
  <r>
    <n v="3205"/>
    <x v="2912"/>
    <x v="72"/>
    <x v="2"/>
    <d v="1899-12-30T14:55:00"/>
    <s v="Selawik, Alaska"/>
    <s v="Munz Northern Airlines"/>
    <n v="601"/>
    <s v="Nome - Ambler"/>
    <x v="1485"/>
    <s v="N37MN"/>
    <n v="558"/>
    <n v="3"/>
    <n v="2"/>
    <n v="1"/>
    <n v="2"/>
    <n v="1"/>
    <n v="1"/>
    <n v="0"/>
    <s v="Lost control of the aircraft and crashed in a snow storm. Continued VFR flight in IFR conditions."/>
    <n v="1"/>
    <n v="0.66666666666666663"/>
    <x v="1"/>
  </r>
  <r>
    <n v="3206"/>
    <x v="2913"/>
    <x v="72"/>
    <x v="2"/>
    <s v="Unknown"/>
    <s v="Near Khartoum, Sudan"/>
    <s v="Air Liberia"/>
    <s v="Unknown"/>
    <s v="Khartoum-Monrovia"/>
    <x v="1486"/>
    <s v="EL-AIH"/>
    <n v="1755"/>
    <n v="9"/>
    <n v="6"/>
    <n v="3"/>
    <n v="8"/>
    <n v="5"/>
    <n v="3"/>
    <n v="9"/>
    <s v="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
    <n v="1"/>
    <n v="0.88888888888888884"/>
    <x v="1"/>
  </r>
  <r>
    <n v="3207"/>
    <x v="2914"/>
    <x v="72"/>
    <x v="2"/>
    <d v="1899-12-30T18:09:00"/>
    <s v="Leninakan, Russia"/>
    <s v="Aeroflot"/>
    <s v="E-46"/>
    <s v="Nalchik - Leninakan"/>
    <x v="1146"/>
    <s v="CCCP-87291"/>
    <n v="9320628"/>
    <n v="21"/>
    <n v="17"/>
    <n v="4"/>
    <n v="21"/>
    <n v="17"/>
    <n v="4"/>
    <n v="0"/>
    <s v="The crew deviated from course while descending to land. Navigational error. ATC procedural error in not identifying the planes position."/>
    <n v="0"/>
    <n v="1"/>
    <x v="1"/>
  </r>
  <r>
    <n v="3208"/>
    <x v="2914"/>
    <x v="72"/>
    <x v="2"/>
    <d v="1899-12-30T07:20:00"/>
    <s v="Near Toba, Japan"/>
    <s v="Japan Air Self-Defence Force"/>
    <s v="Unknown"/>
    <s v="Training"/>
    <x v="1487"/>
    <s v="58-1009/68-1015"/>
    <s v="8009/8015"/>
    <n v="14"/>
    <s v="NULL"/>
    <s v="NULL"/>
    <n v="14"/>
    <s v="NULL"/>
    <s v="NULL"/>
    <n v="0"/>
    <s v="Both aircraft, flying in tandem, crashed into the side of a mountain. A third aircraft brushed trees and managed to remain airborne."/>
    <n v="0"/>
    <n v="1"/>
    <x v="1"/>
  </r>
  <r>
    <n v="3209"/>
    <x v="2915"/>
    <x v="72"/>
    <x v="2"/>
    <d v="1899-12-30T17:37:00"/>
    <s v="Iwakuni AB, Japan"/>
    <s v="Military - Japan Maritime Self Defense Force"/>
    <s v="NKJ801"/>
    <s v="Training"/>
    <x v="1488"/>
    <n v="5801"/>
    <n v="1001"/>
    <n v="14"/>
    <n v="0"/>
    <n v="14"/>
    <n v="11"/>
    <n v="0"/>
    <n v="11"/>
    <n v="0"/>
    <s v="Crashed near an ammo depot."/>
    <n v="3"/>
    <n v="0.7857142857142857"/>
    <x v="1"/>
  </r>
  <r>
    <n v="3210"/>
    <x v="2916"/>
    <x v="72"/>
    <x v="2"/>
    <d v="1899-12-30T15:10:00"/>
    <s v="Guayaquil, Ecuador"/>
    <s v="SAN Ecuador"/>
    <n v="832"/>
    <s v="Guayaquil - Quito"/>
    <x v="1489"/>
    <s v="HC-BAT"/>
    <n v="125"/>
    <n v="100"/>
    <n v="94"/>
    <n v="6"/>
    <n v="8"/>
    <n v="7"/>
    <n v="1"/>
    <n v="0"/>
    <s v="One of the aircraft's engines failed shortly after takeoff and the plane landed heavily on muddy ground and broke in three."/>
    <n v="92"/>
    <n v="0.08"/>
    <x v="2"/>
  </r>
  <r>
    <n v="3211"/>
    <x v="2917"/>
    <x v="72"/>
    <x v="2"/>
    <d v="1899-12-30T12:09:00"/>
    <s v="Jacksonville, Florida"/>
    <s v="Military - United States Navy"/>
    <s v="Unknown"/>
    <s v="Jacksonville NAS - Guantanamo Bay, Cuba"/>
    <x v="712"/>
    <n v="141010"/>
    <n v="293"/>
    <n v="15"/>
    <n v="9"/>
    <n v="6"/>
    <n v="15"/>
    <n v="98"/>
    <n v="6"/>
    <n v="0"/>
    <s v="Crashed into St. John's River just shy of the Jacksonville Naval Air Station's main runway. Shortly after takeoff, one of the engines burst into flames and the crew was trying to make it back to the air station."/>
    <n v="0"/>
    <n v="1"/>
    <x v="1"/>
  </r>
  <r>
    <n v="3212"/>
    <x v="2918"/>
    <x v="72"/>
    <x v="2"/>
    <d v="1899-12-30T10:20:00"/>
    <s v="Near Ban Ta Khli, Thailand"/>
    <s v="Military - Royal Thai Air Force"/>
    <s v="Unknown"/>
    <s v="Unknown"/>
    <x v="1062"/>
    <s v="L4K-12/18"/>
    <n v="20227"/>
    <n v="30"/>
    <n v="24"/>
    <n v="6"/>
    <n v="30"/>
    <n v="24"/>
    <n v="6"/>
    <n v="0"/>
    <s v="The aircraft was preparing to land at Ban ta Khli Air Base when it was waved off because the runway was not clear. The plane plunged to earth 700 ft. past the runway. Engine failure was suspected."/>
    <n v="0"/>
    <n v="1"/>
    <x v="1"/>
  </r>
  <r>
    <n v="3213"/>
    <x v="2918"/>
    <x v="72"/>
    <x v="2"/>
    <d v="1899-12-30T09:15:00"/>
    <s v="En route Miami, FL - Nassau, Bahamas"/>
    <s v="Eastern Air Lines"/>
    <n v="855"/>
    <s v="Miami, FL - Nassau, Bahamas"/>
    <x v="1490"/>
    <s v="N334EA"/>
    <n v="1141"/>
    <n v="172"/>
    <n v="162"/>
    <n v="10"/>
    <n v="0"/>
    <n v="0"/>
    <n v="0"/>
    <n v="0"/>
    <s v="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
    <n v="172"/>
    <n v="0"/>
    <x v="2"/>
  </r>
  <r>
    <n v="3214"/>
    <x v="2919"/>
    <x v="72"/>
    <x v="2"/>
    <s v="Unknown"/>
    <s v="Klyuchi, Russia"/>
    <s v="Military - Soviet Air Force"/>
    <s v="Unknown"/>
    <s v="Petropavlovsk-Kamchatsky - Klyuchi"/>
    <x v="1195"/>
    <s v="Unknown"/>
    <s v="Unknown"/>
    <n v="37"/>
    <n v="31"/>
    <n v="6"/>
    <n v="33"/>
    <n v="37"/>
    <n v="6"/>
    <n v="0"/>
    <s v="The flight tried to land at Klyuchi Air Base in below-minima weather conditions with heavy snowfall at night."/>
    <n v="4"/>
    <n v="0.89189189189189189"/>
    <x v="1"/>
  </r>
  <r>
    <n v="3215"/>
    <x v="2920"/>
    <x v="72"/>
    <x v="2"/>
    <d v="1899-12-30T08:50:00"/>
    <s v="Tanjung Karang, Indonesia"/>
    <s v="Garuda Indonesia Airlines"/>
    <s v="Unknown"/>
    <s v="Bandar Lampung-Djakarta"/>
    <x v="1491"/>
    <s v="PK-GFV"/>
    <n v="11132"/>
    <n v="61"/>
    <n v="57"/>
    <n v="4"/>
    <n v="3"/>
    <n v="1"/>
    <n v="2"/>
    <n v="0"/>
    <s v="The aircraft failed to gain altitude and overran the runway. Crew did not follow checklist procedures."/>
    <n v="58"/>
    <n v="4.9180327868852458E-2"/>
    <x v="2"/>
  </r>
  <r>
    <n v="3216"/>
    <x v="2920"/>
    <x v="72"/>
    <x v="2"/>
    <d v="1899-12-30T19:20:00"/>
    <s v="Cincinnati International Airport, Covington/Hebron, Kentucky"/>
    <s v="Air Canada"/>
    <n v="797"/>
    <s v="Dallas-Fort Worth - Toronto"/>
    <x v="1104"/>
    <s v="C-FTLU"/>
    <s v="47196/278"/>
    <n v="46"/>
    <n v="41"/>
    <n v="5"/>
    <n v="23"/>
    <n v="23"/>
    <n v="0"/>
    <n v="0"/>
    <s v="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
    <n v="23"/>
    <n v="0.5"/>
    <x v="0"/>
  </r>
  <r>
    <n v="3217"/>
    <x v="2921"/>
    <x v="72"/>
    <x v="2"/>
    <d v="1899-12-30T12:40:00"/>
    <s v="Off Quemoy, Taiwan"/>
    <s v="Military - Republic of China Air Force"/>
    <s v="Unknown"/>
    <s v="Kinmen-Taipei"/>
    <x v="1492"/>
    <s v="Unknown"/>
    <s v="Unknown"/>
    <n v="47"/>
    <n v="39"/>
    <n v="8"/>
    <n v="47"/>
    <n v="39"/>
    <n v="8"/>
    <n v="0"/>
    <s v="The domestic flight crashed into the Formosa Strait after the right engine caught fire shortly after taking off."/>
    <n v="0"/>
    <n v="1"/>
    <x v="1"/>
  </r>
  <r>
    <n v="3218"/>
    <x v="2922"/>
    <x v="72"/>
    <x v="2"/>
    <d v="1899-12-30T13:55:00"/>
    <s v="Near Cold Bay, Alaska"/>
    <s v="Reeve Aleutian Airways"/>
    <n v="8"/>
    <s v="Cold Bay, Alaska - Seattle, Washington"/>
    <x v="880"/>
    <s v="N1968R"/>
    <n v="2007"/>
    <n v="15"/>
    <n v="10"/>
    <n v="5"/>
    <n v="0"/>
    <n v="0"/>
    <n v="0"/>
    <n v="0"/>
    <s v="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
    <n v="15"/>
    <n v="0"/>
    <x v="2"/>
  </r>
  <r>
    <n v="3219"/>
    <x v="2923"/>
    <x v="72"/>
    <x v="2"/>
    <d v="1899-12-30T04:00:00"/>
    <s v="Kauai, Hawaii"/>
    <s v="Military - U.S. Navy"/>
    <s v="Unknown"/>
    <s v="Brabers Point-Barbers Point"/>
    <x v="1354"/>
    <n v="152720"/>
    <s v="185-5160"/>
    <n v="14"/>
    <n v="0"/>
    <n v="14"/>
    <n v="14"/>
    <n v="0"/>
    <n v="14"/>
    <n v="0"/>
    <s v="Crashed into a mountain"/>
    <n v="0"/>
    <n v="1"/>
    <x v="1"/>
  </r>
  <r>
    <n v="3220"/>
    <x v="2924"/>
    <x v="72"/>
    <x v="2"/>
    <s v="Unknown"/>
    <s v="Niela, Mali"/>
    <s v="Air Mali"/>
    <s v="Unknown"/>
    <s v="Unknown"/>
    <x v="1220"/>
    <s v="TZ-ACH"/>
    <n v="394"/>
    <n v="7"/>
    <n v="5"/>
    <n v="2"/>
    <n v="7"/>
    <n v="5"/>
    <n v="2"/>
    <n v="0"/>
    <s v="Crashed under unknown circumstances"/>
    <n v="0"/>
    <n v="1"/>
    <x v="1"/>
  </r>
  <r>
    <n v="3221"/>
    <x v="2925"/>
    <x v="72"/>
    <x v="2"/>
    <d v="1899-12-30T12:10:00"/>
    <s v="Las Vegas, Nevada"/>
    <s v="Military - U.S. Air Force"/>
    <s v="Unknown"/>
    <s v="Training"/>
    <x v="1444"/>
    <s v="74-2068"/>
    <n v="4694"/>
    <n v="6"/>
    <n v="1"/>
    <n v="5"/>
    <n v="6"/>
    <n v="1"/>
    <n v="5"/>
    <n v="0"/>
    <s v="While flying at a low level during the aircraft stalled and crashed."/>
    <n v="0"/>
    <n v="1"/>
    <x v="1"/>
  </r>
  <r>
    <n v="3222"/>
    <x v="2926"/>
    <x v="72"/>
    <x v="2"/>
    <s v="Unknown"/>
    <s v="Labe, Guinea"/>
    <s v="CAAK"/>
    <s v="Unknown"/>
    <s v="Pyongyang - Conakry"/>
    <x v="1336"/>
    <s v="B-889"/>
    <n v="21391"/>
    <n v="23"/>
    <s v="NULL"/>
    <s v="NULL"/>
    <n v="23"/>
    <s v="NULL"/>
    <s v="NULL"/>
    <n v="0"/>
    <s v="Crashed into Fouta Djall Mountain."/>
    <n v="0"/>
    <n v="1"/>
    <x v="1"/>
  </r>
  <r>
    <n v="3223"/>
    <x v="2927"/>
    <x v="72"/>
    <x v="2"/>
    <d v="1899-12-30T07:40:00"/>
    <s v="Near Cuenca, Azuay, Ecuador"/>
    <s v="TAME"/>
    <s v="Unknown"/>
    <s v="Quito - Cuenca"/>
    <x v="1493"/>
    <s v="HC-BIG"/>
    <s v="22607/775"/>
    <n v="119"/>
    <n v="111"/>
    <n v="8"/>
    <n v="119"/>
    <n v="111"/>
    <n v="8"/>
    <n v="0"/>
    <s v="The jetliner scraped a mountian peak, exploded in flames and slid down a ravine coming to rest at the foot of a mountain. The plane was attempting to land in the Andean city of Cuenca. Under-qualification of pilot."/>
    <n v="0"/>
    <n v="1"/>
    <x v="1"/>
  </r>
  <r>
    <n v="3224"/>
    <x v="2928"/>
    <x v="72"/>
    <x v="2"/>
    <s v="Unknown"/>
    <s v="Off Scilly Islands, UK"/>
    <s v="British Airways Helicopters"/>
    <s v="Unknown"/>
    <s v="Penzance - Scilly Islands"/>
    <x v="1494"/>
    <s v="G-BEON"/>
    <s v="61-770"/>
    <n v="26"/>
    <n v="23"/>
    <n v="3"/>
    <n v="20"/>
    <n v="19"/>
    <n v="1"/>
    <n v="0"/>
    <s v="Crashed into the English Channel."/>
    <n v="6"/>
    <n v="0.76923076923076927"/>
    <x v="1"/>
  </r>
  <r>
    <n v="3225"/>
    <x v="2929"/>
    <x v="72"/>
    <x v="2"/>
    <d v="1899-12-30T19:30:00"/>
    <s v="Gimli, Manitoba, Canada"/>
    <s v="Air Canada"/>
    <n v="143"/>
    <s v="Montreal - Edmonton"/>
    <x v="1495"/>
    <s v="C-GAUN"/>
    <s v="22520/47"/>
    <n v="69"/>
    <n v="61"/>
    <n v="8"/>
    <n v="0"/>
    <n v="0"/>
    <n v="0"/>
    <n v="0"/>
    <s v="The aircraft took off from Montreal bound for Edmonton with less than half the fuel required to make the trip. A computer known as the &quot;Fuel Quantity Information System Processor&quot;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quot;Gimli Glider.&quot;  The TV movie Falling from the Sky: Flight 174 was made about this incident in 1995."/>
    <n v="69"/>
    <n v="0"/>
    <x v="2"/>
  </r>
  <r>
    <n v="3226"/>
    <x v="2930"/>
    <x v="72"/>
    <x v="2"/>
    <d v="1899-12-30T12:27:00"/>
    <s v="Grand Canyon, Arizona"/>
    <s v="Las Vegas Airlines"/>
    <s v="Unknown"/>
    <s v="Las Vegas, NV  - Grand Canyon, AZ"/>
    <x v="1368"/>
    <s v="N88LV"/>
    <s v="31-7752118"/>
    <n v="10"/>
    <n v="9"/>
    <n v="1"/>
    <n v="10"/>
    <n v="9"/>
    <n v="1"/>
    <n v="0"/>
    <s v="Crashed into a cliff in the Grand Canyon on a sightseeing flight."/>
    <n v="0"/>
    <n v="1"/>
    <x v="1"/>
  </r>
  <r>
    <n v="3227"/>
    <x v="2931"/>
    <x v="72"/>
    <x v="2"/>
    <d v="1899-12-30T23:17:00"/>
    <s v="Near Alma-Ata, Kazakastan, USSR"/>
    <s v="Aeroflot"/>
    <n v="5463"/>
    <s v="Kazan - Chelyabinsk - Alma-Ata"/>
    <x v="1166"/>
    <s v="CCCP-65129"/>
    <n v="60630"/>
    <n v="90"/>
    <n v="84"/>
    <n v="6"/>
    <n v="90"/>
    <n v="84"/>
    <n v="6"/>
    <n v="0"/>
    <s v="Crashed an burned after striking mountain  while attempting to land. Procedural errors."/>
    <n v="0"/>
    <n v="1"/>
    <x v="1"/>
  </r>
  <r>
    <n v="3228"/>
    <x v="2932"/>
    <x v="72"/>
    <x v="2"/>
    <d v="1899-12-30T18:26:00"/>
    <s v="Near Sakhalin Island, Russia"/>
    <s v="Korean Airlines"/>
    <n v="7"/>
    <s v="Anchorage - Seoul"/>
    <x v="1496"/>
    <s v="HL-7442"/>
    <s v="20559/186"/>
    <n v="269"/>
    <n v="246"/>
    <n v="23"/>
    <n v="269"/>
    <n v="246"/>
    <n v="23"/>
    <n v="0"/>
    <s v="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
    <n v="0"/>
    <n v="1"/>
    <x v="1"/>
  </r>
  <r>
    <n v="3229"/>
    <x v="2933"/>
    <x v="72"/>
    <x v="2"/>
    <s v="Unknown"/>
    <s v="Near Smithers, British Columbia, Canada"/>
    <s v="Central Mountain Air Services"/>
    <s v="Unknown"/>
    <s v="Campbell River - Smithers"/>
    <x v="1303"/>
    <s v="C-GIPF"/>
    <n v="274"/>
    <n v="9"/>
    <s v="NULL"/>
    <s v="NULL"/>
    <n v="9"/>
    <s v="NULL"/>
    <s v="NULL"/>
    <n v="0"/>
    <s v="Crashed en route. NY industrialist Georgel Cogar, 51, among those killed."/>
    <n v="0"/>
    <n v="1"/>
    <x v="1"/>
  </r>
  <r>
    <n v="3230"/>
    <x v="2934"/>
    <x v="72"/>
    <x v="2"/>
    <d v="1899-12-30T09:34:00"/>
    <s v="Guilin, China"/>
    <s v="CAAC"/>
    <s v="Unknown"/>
    <s v="Guilin - Beijing"/>
    <x v="1497"/>
    <s v="B-264 / ?"/>
    <s v="2169 / ?"/>
    <n v="106"/>
    <n v="100"/>
    <n v="6"/>
    <n v="11"/>
    <n v="11"/>
    <n v="0"/>
    <n v="0"/>
    <s v="Collided with a Chinese Air Force aircraft while taxing."/>
    <n v="95"/>
    <n v="0.10377358490566038"/>
    <x v="2"/>
  </r>
  <r>
    <n v="3231"/>
    <x v="2935"/>
    <x v="72"/>
    <x v="2"/>
    <d v="1899-12-30T15:30:00"/>
    <s v="Near Mina Jebel Ali, UAE"/>
    <s v="Gulf Air"/>
    <n v="771"/>
    <s v="Karachi - Abu Dhabi"/>
    <x v="1498"/>
    <s v="A40-BK"/>
    <s v="21734/566"/>
    <n v="112"/>
    <n v="107"/>
    <n v="5"/>
    <n v="112"/>
    <n v="107"/>
    <n v="5"/>
    <n v="0"/>
    <s v="Crashed  into the desert after a distress message and during an emergency landing attempt. Detonation of an explosive device in the baggage compartment."/>
    <n v="0"/>
    <n v="1"/>
    <x v="1"/>
  </r>
  <r>
    <n v="3232"/>
    <x v="2936"/>
    <x v="72"/>
    <x v="2"/>
    <s v="Unknown"/>
    <s v="Off Lanyu Island, Taiwan"/>
    <s v="Taiwan Airlines"/>
    <s v="Unknown"/>
    <s v="Taitung-Lanyu Island"/>
    <x v="1499"/>
    <s v="B-11109"/>
    <n v="518"/>
    <n v="10"/>
    <n v="9"/>
    <n v="1"/>
    <n v="10"/>
    <n v="9"/>
    <n v="1"/>
    <n v="0"/>
    <s v="Crashed into the sea."/>
    <n v="0"/>
    <n v="1"/>
    <x v="1"/>
  </r>
  <r>
    <n v="3233"/>
    <x v="2937"/>
    <x v="72"/>
    <x v="2"/>
    <s v="Unknown"/>
    <s v="Aracatuba, Brazil"/>
    <s v="TAM Lineas AÃ©reas Regional"/>
    <s v="Unknown"/>
    <s v="Campo Grande - AraÃ§atuba"/>
    <x v="1282"/>
    <s v="PP-SBH"/>
    <n v="110026"/>
    <n v="15"/>
    <n v="13"/>
    <n v="2"/>
    <n v="7"/>
    <n v="5"/>
    <n v="2"/>
    <n v="0"/>
    <s v="After two missed IFR approaches the aircraft struck the ground short of the runway threshold during a third VFR approach."/>
    <n v="8"/>
    <n v="0.46666666666666667"/>
    <x v="0"/>
  </r>
  <r>
    <n v="3234"/>
    <x v="2938"/>
    <x v="72"/>
    <x v="2"/>
    <s v="Unknown"/>
    <s v="Near Lonkin, Myanmar"/>
    <s v="Burma Airways"/>
    <s v="Unknown"/>
    <s v="Lonkin - Myitkyina"/>
    <x v="1220"/>
    <s v="XY-AEE"/>
    <n v="512"/>
    <n v="14"/>
    <n v="11"/>
    <n v="3"/>
    <n v="9"/>
    <n v="6"/>
    <n v="3"/>
    <n v="0"/>
    <s v="Struck trees on high ground after losing the No.1 engine during take off."/>
    <n v="5"/>
    <n v="0.6428571428571429"/>
    <x v="0"/>
  </r>
  <r>
    <n v="3235"/>
    <x v="2939"/>
    <x v="72"/>
    <x v="2"/>
    <d v="1899-12-30T20:53:00"/>
    <s v="Pinckneyville, Illinois"/>
    <s v="Air Illinois"/>
    <n v="701"/>
    <s v="Springfield, Il - Carbondale, IL"/>
    <x v="1500"/>
    <s v="N748LL"/>
    <n v="1716"/>
    <n v="10"/>
    <n v="7"/>
    <n v="3"/>
    <n v="10"/>
    <n v="7"/>
    <n v="3"/>
    <n v="0"/>
    <s v="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
    <n v="0"/>
    <n v="1"/>
    <x v="1"/>
  </r>
  <r>
    <n v="3236"/>
    <x v="2940"/>
    <x v="72"/>
    <x v="2"/>
    <d v="1899-12-30T13:35:00"/>
    <s v="Middletown, Pennsylvania"/>
    <s v="Pennsylvania Airlines"/>
    <s v="Unknown"/>
    <s v="Middletown - Washington DC"/>
    <x v="1501"/>
    <s v="N26288"/>
    <s v="SH3074"/>
    <n v="30"/>
    <n v="27"/>
    <n v="3"/>
    <n v="1"/>
    <n v="1"/>
    <n v="0"/>
    <n v="0"/>
    <s v="A passenger committed suicide by opening the right rear door and jumping out at 3,500 ft."/>
    <n v="29"/>
    <n v="3.3333333333333333E-2"/>
    <x v="2"/>
  </r>
  <r>
    <n v="3237"/>
    <x v="2941"/>
    <x v="72"/>
    <x v="2"/>
    <d v="1899-12-30T15:20:00"/>
    <s v="Lubango, Huila, Angola"/>
    <s v="TAAG Angola Airlines"/>
    <s v="Unknown"/>
    <s v="Lubango - Luanda"/>
    <x v="1468"/>
    <s v="D2-TBN"/>
    <n v="22775"/>
    <n v="130"/>
    <n v="126"/>
    <n v="4"/>
    <n v="130"/>
    <n v="126"/>
    <n v="4"/>
    <n v="0"/>
    <s v="The airliner crashed immediately after takeoff.  Shot down by rebels with a surface to air missile."/>
    <n v="0"/>
    <n v="1"/>
    <x v="1"/>
  </r>
  <r>
    <n v="3238"/>
    <x v="2942"/>
    <x v="72"/>
    <x v="2"/>
    <s v="Unknown"/>
    <s v="Landsdowne House, Canada"/>
    <s v="Austin Airways"/>
    <s v="Unknown"/>
    <s v="Unknown"/>
    <x v="1220"/>
    <s v="C-GTLA"/>
    <n v="632"/>
    <n v="7"/>
    <n v="5"/>
    <n v="2"/>
    <n v="4"/>
    <n v="4"/>
    <n v="0"/>
    <n v="0"/>
    <s v="The aircraft touched down short of the runway while on a VFR approach in a snowstorm. The nosegear and one of the main landing gear legs broke away from the fuselage and the aircraft caught fire."/>
    <n v="3"/>
    <n v="0.5714285714285714"/>
    <x v="0"/>
  </r>
  <r>
    <n v="3239"/>
    <x v="2943"/>
    <x v="72"/>
    <x v="2"/>
    <d v="1899-12-30T10:06:00"/>
    <s v="Madrid-Barajas, Spain"/>
    <s v="AVIANCA"/>
    <n v="11"/>
    <s v="Paris - Madrid - Bogota"/>
    <x v="1502"/>
    <s v="HK-2910"/>
    <n v="21381"/>
    <n v="192"/>
    <n v="169"/>
    <n v="23"/>
    <n v="181"/>
    <n v="158"/>
    <n v="23"/>
    <n v="0"/>
    <s v="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quot;Magnus Viking,&quot; LN-RNA and dry-leased from SAS."/>
    <n v="11"/>
    <n v="0.94270833333333337"/>
    <x v="1"/>
  </r>
  <r>
    <n v="3240"/>
    <x v="2944"/>
    <x v="72"/>
    <x v="2"/>
    <d v="1899-12-30T11:13:00"/>
    <s v="Near Enugu, Nigeria"/>
    <s v="Nigeria Airways"/>
    <s v="Unknown"/>
    <s v="Calabar-Enugu"/>
    <x v="1503"/>
    <s v="5N-ANF"/>
    <n v="11090"/>
    <n v="72"/>
    <n v="66"/>
    <n v="6"/>
    <n v="53"/>
    <n v="51"/>
    <n v="2"/>
    <n v="0"/>
    <s v="The aircraft crashed 18 nm short of the runway after attaining a nose-high attitude in poor visibility and caught fire. Crew may have been preoccupied with landing gear trouble."/>
    <n v="19"/>
    <n v="0.73611111111111116"/>
    <x v="1"/>
  </r>
  <r>
    <n v="3241"/>
    <x v="2945"/>
    <x v="72"/>
    <x v="2"/>
    <d v="1899-12-30T09:40:00"/>
    <s v="Near Madrid, Spain"/>
    <s v="Iberia Airlines / Aviaco"/>
    <s v="350/134"/>
    <s v="Madrid - Rome"/>
    <x v="1504"/>
    <s v="EC-CFJ/EC-CGS"/>
    <s v="20820 / 47645"/>
    <n v="135"/>
    <n v="120"/>
    <n v="15"/>
    <n v="93"/>
    <n v="87"/>
    <n v="6"/>
    <n v="0"/>
    <s v="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quot;Fanny Cano&quot; DamiÃ¡n, 39, among those killed."/>
    <n v="42"/>
    <n v="0.68888888888888888"/>
    <x v="1"/>
  </r>
  <r>
    <n v="3242"/>
    <x v="2946"/>
    <x v="72"/>
    <x v="2"/>
    <d v="1899-12-30T15:30:00"/>
    <s v="Near Medellin, Colombia"/>
    <s v="TAMPA Colombia"/>
    <s v="Unknown"/>
    <s v="Medellin - Miami"/>
    <x v="1505"/>
    <s v="HK-2401"/>
    <s v="18707/349"/>
    <n v="3"/>
    <n v="0"/>
    <n v="3"/>
    <n v="3"/>
    <n v="0"/>
    <n v="3"/>
    <n v="22"/>
    <s v="After liftoff, the aircraft entered a 90 degree bank, struck power lines and crashed into buildings. Failure of the No.3 engine during a climb out with the No.4 engine operating at idle."/>
    <n v="0"/>
    <n v="1"/>
    <x v="1"/>
  </r>
  <r>
    <n v="3243"/>
    <x v="2947"/>
    <x v="72"/>
    <x v="2"/>
    <d v="1899-12-30T13:10:00"/>
    <s v="Paulatuk, Northwest Territory, Canada"/>
    <s v="Inuvik Coastal Airways"/>
    <s v="Unknown"/>
    <s v="Inuvik - Paulatuk"/>
    <x v="1095"/>
    <s v="C-FGJK"/>
    <n v="213"/>
    <n v="12"/>
    <n v="10"/>
    <n v="2"/>
    <n v="2"/>
    <n v="1"/>
    <n v="1"/>
    <n v="0"/>
    <s v="The left wing contacted the ground after the pilot attempted a go-around. The plane cartwheeled and crashed. Runway is not oriented to correspond with the prevailing winds. The aircraft was overloaded by 840 lbs and was below that prescribed to take off. Lack of weather forcast."/>
    <n v="10"/>
    <n v="0.16666666666666666"/>
    <x v="2"/>
  </r>
  <r>
    <n v="3244"/>
    <x v="2948"/>
    <x v="72"/>
    <x v="2"/>
    <d v="1899-12-30T08:53:00"/>
    <s v="Leshukonskoye, Russia"/>
    <s v="Aeroflot"/>
    <n v="601"/>
    <s v="Arkhangelsk - Leshukonskoye"/>
    <x v="968"/>
    <s v="CCCP-46617"/>
    <n v="37308704"/>
    <n v="49"/>
    <n v="44"/>
    <n v="5"/>
    <n v="44"/>
    <n v="39"/>
    <n v="5"/>
    <n v="0"/>
    <s v="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
    <n v="5"/>
    <n v="0.89795918367346939"/>
    <x v="1"/>
  </r>
  <r>
    <n v="3245"/>
    <x v="2949"/>
    <x v="73"/>
    <x v="2"/>
    <s v="Unknown"/>
    <s v="Amman, Jordan"/>
    <s v="Military - Royal Jordanian Air Force"/>
    <s v="Unknown"/>
    <s v="Unknown"/>
    <x v="1506"/>
    <n v="324"/>
    <n v="55"/>
    <n v="13"/>
    <s v="NULL"/>
    <s v="NULL"/>
    <n v="13"/>
    <s v="NULL"/>
    <s v="NULL"/>
    <n v="0"/>
    <s v="Crashed due to mechanical problems."/>
    <n v="0"/>
    <n v="1"/>
    <x v="1"/>
  </r>
  <r>
    <n v="3246"/>
    <x v="2950"/>
    <x v="73"/>
    <x v="2"/>
    <s v="Unknown"/>
    <s v=" Novoagansk, Russia"/>
    <s v="Aeroflot"/>
    <s v="Unknown"/>
    <s v="Unknown"/>
    <x v="1507"/>
    <s v="CCCP-21006"/>
    <n v="239"/>
    <n v="76"/>
    <n v="71"/>
    <n v="5"/>
    <n v="38"/>
    <n v="38"/>
    <n v="0"/>
    <n v="0"/>
    <s v="The helicopter crashed on takeoff. Crew error."/>
    <n v="38"/>
    <n v="0.5"/>
    <x v="0"/>
  </r>
  <r>
    <n v="3247"/>
    <x v="2951"/>
    <x v="73"/>
    <x v="2"/>
    <d v="1899-12-30T22:30:00"/>
    <s v="Saint Louis, Missouri"/>
    <s v="Skycraft Air Transport"/>
    <s v="Unknown"/>
    <s v="Saint Louis, MO - Toronto, Canada"/>
    <x v="277"/>
    <s v="C-GSCA"/>
    <s v="15745/27190"/>
    <n v="2"/>
    <n v="0"/>
    <n v="2"/>
    <n v="1"/>
    <n v="0"/>
    <n v="1"/>
    <n v="0"/>
    <s v="The attempts at taking off failed because of poor engine performance. On the third try power was lost in both engines and an emergency landing was attempted on a highway. The left wing struck a light pole. Jet-A fuel was used when refueling the aircraft, instead of aviation gas."/>
    <n v="1"/>
    <n v="0.5"/>
    <x v="0"/>
  </r>
  <r>
    <n v="3248"/>
    <x v="2952"/>
    <x v="73"/>
    <x v="2"/>
    <s v="Unknown"/>
    <s v="Sofia, Bulgaria"/>
    <s v="Balkan Bulgarian Airlines"/>
    <s v="Unknown"/>
    <s v="Berlin - Sofia"/>
    <x v="1166"/>
    <s v="LZ-TUR"/>
    <n v="4352308"/>
    <n v="50"/>
    <n v="45"/>
    <n v="5"/>
    <n v="50"/>
    <n v="45"/>
    <n v="5"/>
    <n v="0"/>
    <s v="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
    <n v="0"/>
    <n v="1"/>
    <x v="1"/>
  </r>
  <r>
    <n v="3249"/>
    <x v="2953"/>
    <x v="73"/>
    <x v="2"/>
    <s v="Unknown"/>
    <s v="Cochabamba, Bolivia"/>
    <s v="North East Bolivian Airways"/>
    <s v="Unknown"/>
    <s v="Cochabamba-La Paz"/>
    <x v="1508"/>
    <s v="CP-1090"/>
    <n v="36036"/>
    <n v="3"/>
    <n v="0"/>
    <n v="3"/>
    <n v="1"/>
    <n v="0"/>
    <n v="1"/>
    <n v="0"/>
    <s v="After the No. 2 engine failed on takeoff, the pilot  tried to land but the propellers struck the runway and the aircraft ran off the runway into a ditch."/>
    <n v="2"/>
    <n v="0.33333333333333331"/>
    <x v="2"/>
  </r>
  <r>
    <n v="3250"/>
    <x v="2954"/>
    <x v="73"/>
    <x v="2"/>
    <s v="Unknown"/>
    <s v="Izhevsk, Russia"/>
    <s v="Aeroflot"/>
    <s v="Unknown"/>
    <s v="Kuibyshev - Izhevsk"/>
    <x v="1275"/>
    <s v="CCCP-47358"/>
    <n v="67310607"/>
    <n v="51"/>
    <n v="47"/>
    <n v="4"/>
    <n v="4"/>
    <n v="3"/>
    <n v="1"/>
    <n v="0"/>
    <s v="The aircraft crashed after the elevator failed. Disconnection of the linkage of the elevators control rod."/>
    <n v="47"/>
    <n v="7.8431372549019607E-2"/>
    <x v="2"/>
  </r>
  <r>
    <n v="3251"/>
    <x v="2955"/>
    <x v="73"/>
    <x v="2"/>
    <d v="1899-12-30T06:30:00"/>
    <s v="Terre Haute, Indiana"/>
    <s v="Britt Airways"/>
    <s v="Unknown"/>
    <s v="Training"/>
    <x v="1509"/>
    <s v="N63Z"/>
    <s v="TC-240"/>
    <n v="3"/>
    <n v="1"/>
    <n v="2"/>
    <n v="3"/>
    <n v="1"/>
    <n v="2"/>
    <n v="0"/>
    <s v="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
    <n v="0"/>
    <n v="1"/>
    <x v="1"/>
  </r>
  <r>
    <n v="3252"/>
    <x v="2956"/>
    <x v="73"/>
    <x v="2"/>
    <s v="Unknown"/>
    <s v="Near Debre Zelt, Ethiopia"/>
    <s v="Military - Ethiopian Air Force"/>
    <s v="Unknown"/>
    <s v="Unknown"/>
    <x v="942"/>
    <n v="1506"/>
    <n v="4342002"/>
    <n v="38"/>
    <n v="33"/>
    <n v="5"/>
    <n v="26"/>
    <s v="NULL"/>
    <s v="NULL"/>
    <n v="0"/>
    <s v="The aircraft crashed after a hijacker detonated a hand grenade when the pilot tried to land."/>
    <n v="12"/>
    <n v="0.68421052631578949"/>
    <x v="1"/>
  </r>
  <r>
    <n v="3253"/>
    <x v="2957"/>
    <x v="73"/>
    <x v="2"/>
    <s v="Unknown"/>
    <s v="Near San Gerardo, El Salvador"/>
    <s v="Military - Salvadoran Air Force"/>
    <s v="Unknown"/>
    <s v="Unknown"/>
    <x v="1510"/>
    <s v="Unknown"/>
    <s v="Unknown"/>
    <n v="28"/>
    <s v="NULL"/>
    <s v="NULL"/>
    <n v="28"/>
    <s v="NULL"/>
    <s v="NULL"/>
    <n v="0"/>
    <s v="One of the helicopters was hit by guerrilla mortar fire and lost control, crashing into the other helicopter."/>
    <n v="0"/>
    <n v="1"/>
    <x v="1"/>
  </r>
  <r>
    <n v="3254"/>
    <x v="2958"/>
    <x v="73"/>
    <x v="2"/>
    <d v="1899-12-30T16:16:00"/>
    <s v="JFK Airport, New York, New York"/>
    <s v="Scandinavian Airlines (SAS)"/>
    <n v="901"/>
    <s v="Oslo, Norway, New York, NY"/>
    <x v="1405"/>
    <s v="LN-RKB"/>
    <n v="46871"/>
    <n v="177"/>
    <n v="163"/>
    <n v="14"/>
    <n v="0"/>
    <n v="0"/>
    <n v="0"/>
    <n v="0"/>
    <s v="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
    <n v="177"/>
    <n v="0"/>
    <x v="2"/>
  </r>
  <r>
    <n v="3255"/>
    <x v="2959"/>
    <x v="73"/>
    <x v="2"/>
    <d v="1899-12-30T07:47:00"/>
    <s v="Barranquilla, Colombia"/>
    <s v="Aerosucre Colombia"/>
    <s v="Unknown"/>
    <s v="Barranquilla - Bogota"/>
    <x v="425"/>
    <s v="HK-1322P"/>
    <n v="444"/>
    <n v="6"/>
    <n v="2"/>
    <n v="4"/>
    <n v="4"/>
    <n v="1"/>
    <n v="3"/>
    <n v="0"/>
    <s v="Tried to make an emergency landing. Touched down, lifted off, stalled and crashed."/>
    <n v="2"/>
    <n v="0.66666666666666663"/>
    <x v="1"/>
  </r>
  <r>
    <n v="3256"/>
    <x v="2960"/>
    <x v="73"/>
    <x v="2"/>
    <s v="Unknown"/>
    <s v="San Borja, Bolivia"/>
    <s v="Lloyd Aereo Boliviano"/>
    <s v="Unknown"/>
    <s v="Trinidad-San Borja"/>
    <x v="1511"/>
    <s v="CP-862"/>
    <s v="BL-52"/>
    <n v="23"/>
    <n v="20"/>
    <n v="3"/>
    <n v="23"/>
    <n v="20"/>
    <n v="3"/>
    <n v="0"/>
    <s v="Crashed into the jungle."/>
    <n v="0"/>
    <n v="1"/>
    <x v="1"/>
  </r>
  <r>
    <n v="3257"/>
    <x v="2961"/>
    <x v="73"/>
    <x v="2"/>
    <s v="Unknown"/>
    <s v="Near Rurrenabaque, Bolivia"/>
    <s v="Frigorifico Reyes"/>
    <s v="Unknown"/>
    <s v="Unknown"/>
    <x v="450"/>
    <s v="CP-1206"/>
    <n v="10559"/>
    <n v="5"/>
    <n v="2"/>
    <n v="3"/>
    <n v="5"/>
    <n v="2"/>
    <n v="3"/>
    <n v="0"/>
    <s v="Shortly after the cargo plane took off, the engines began to backfire, the plane lost altitude, the right wing clipped trees and the plane crashed."/>
    <n v="0"/>
    <n v="1"/>
    <x v="1"/>
  </r>
  <r>
    <n v="3258"/>
    <x v="2961"/>
    <x v="73"/>
    <x v="2"/>
    <d v="1899-12-30T04:00:00"/>
    <s v="Near Hunghae, South Korea"/>
    <s v="Military - U.S. Marine Corps"/>
    <s v="Unknown"/>
    <s v="Pohang - Kannung"/>
    <x v="1512"/>
    <n v="157132"/>
    <s v="Unknown"/>
    <n v="29"/>
    <s v="NULL"/>
    <s v="NULL"/>
    <n v="29"/>
    <s v="NULL"/>
    <s v="NULL"/>
    <n v="0"/>
    <s v="Crashed into a wooded mountainside while flying VFR. Pilot error."/>
    <n v="0"/>
    <n v="1"/>
    <x v="1"/>
  </r>
  <r>
    <n v="3259"/>
    <x v="2962"/>
    <x v="73"/>
    <x v="2"/>
    <d v="1899-12-30T08:30:00"/>
    <s v="Off  Bimini"/>
    <s v="State Airlines"/>
    <s v="Unknown"/>
    <s v="Ft. Lauderdale - Bimini"/>
    <x v="1393"/>
    <s v="N44NC"/>
    <s v="402B-0852"/>
    <n v="6"/>
    <n v="5"/>
    <n v="1"/>
    <n v="6"/>
    <n v="5"/>
    <n v="1"/>
    <n v="0"/>
    <s v="Slowed to 90 knts and soon after began to descent at 5,400 fpm and disappeared from radar and crashed into the sea. The wreckage was never found."/>
    <n v="0"/>
    <n v="1"/>
    <x v="1"/>
  </r>
  <r>
    <n v="3260"/>
    <x v="2963"/>
    <x v="73"/>
    <x v="2"/>
    <s v="Unknown"/>
    <s v=" Imperatriz, Brazil"/>
    <s v="VOTEC / VOTEC"/>
    <s v="Unknown"/>
    <s v="Unknown"/>
    <x v="1513"/>
    <s v="PT-GJZ/PT-GKL"/>
    <s v="110088 / 110170"/>
    <n v="35"/>
    <n v="31"/>
    <n v="4"/>
    <n v="19"/>
    <n v="17"/>
    <n v="2"/>
    <n v="0"/>
    <s v="Midair collision.  Same aircraft type, same airline. One of 17 killed aboard PT-GKL and all 18 aboard PT-GJZ were killed. PT-GJZ crashed out of control but PT-GKL was able to make a forced landing without its No.1 engine on a river after which it sank."/>
    <n v="16"/>
    <n v="0.54285714285714282"/>
    <x v="0"/>
  </r>
  <r>
    <n v="3261"/>
    <x v="2964"/>
    <x v="73"/>
    <x v="2"/>
    <s v="Unknown"/>
    <s v="Elbet Beni Salama, Egypt"/>
    <s v="Military - Egyptian Air Force"/>
    <s v="Unknown"/>
    <s v="Unknown"/>
    <x v="1514"/>
    <s v="Unknown"/>
    <s v="Unknown"/>
    <n v="2"/>
    <n v="0"/>
    <n v="2"/>
    <n v="2"/>
    <n v="0"/>
    <n v="2"/>
    <n v="19"/>
    <s v="Crashed into a village approximately 80 miles from Cairo, killing 19 on the ground."/>
    <n v="0"/>
    <n v="1"/>
    <x v="1"/>
  </r>
  <r>
    <n v="3262"/>
    <x v="2965"/>
    <x v="73"/>
    <x v="2"/>
    <d v="1899-12-30T01:45:00"/>
    <s v="Chalkhill, Pennsylvania"/>
    <s v="Zantop International Airlines"/>
    <s v="Unknown"/>
    <s v="Baltimore - Detroit"/>
    <x v="1289"/>
    <s v="N5523"/>
    <n v="1034"/>
    <n v="4"/>
    <n v="1"/>
    <n v="3"/>
    <n v="4"/>
    <n v="1"/>
    <n v="3"/>
    <n v="0"/>
    <s v="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
    <n v="0"/>
    <n v="1"/>
    <x v="1"/>
  </r>
  <r>
    <n v="3263"/>
    <x v="2966"/>
    <x v="73"/>
    <x v="2"/>
    <d v="1899-12-30T23:41:00"/>
    <s v="Windsor Locks, Connecticut"/>
    <s v="Air Continental"/>
    <s v="Unknown"/>
    <s v="Syracuse-Windsor Locks"/>
    <x v="1515"/>
    <s v="N101PP"/>
    <s v="23-085"/>
    <n v="3"/>
    <n v="1"/>
    <n v="2"/>
    <n v="3"/>
    <n v="1"/>
    <n v="2"/>
    <n v="0"/>
    <s v="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
    <n v="0"/>
    <n v="1"/>
    <x v="1"/>
  </r>
  <r>
    <n v="3264"/>
    <x v="2967"/>
    <x v="73"/>
    <x v="2"/>
    <d v="1899-12-30T02:55:00"/>
    <s v="Island Beach, New Jersey"/>
    <s v="Air Taxi - Raco Helicopters Corp."/>
    <s v="Unknown"/>
    <s v="Unknown"/>
    <x v="1516"/>
    <s v="N5784M"/>
    <s v="Unknown"/>
    <n v="3"/>
    <n v="1"/>
    <n v="2"/>
    <n v="3"/>
    <n v="1"/>
    <n v="2"/>
    <n v="0"/>
    <s v="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
    <n v="0"/>
    <n v="1"/>
    <x v="1"/>
  </r>
  <r>
    <n v="3265"/>
    <x v="2968"/>
    <x v="73"/>
    <x v="2"/>
    <s v="Unknown"/>
    <s v="Near Sao Pedro d' Aldeia, Brazil"/>
    <s v="TAM Lineas AÃ©reas Regional"/>
    <s v="Unknown"/>
    <s v="Rio de Janeiro - MacaÃ©"/>
    <x v="1282"/>
    <s v="PP-SBC"/>
    <s v="110-013"/>
    <n v="18"/>
    <n v="16"/>
    <n v="2"/>
    <n v="18"/>
    <n v="16"/>
    <n v="2"/>
    <n v="0"/>
    <s v="The aircraft flew into heavy rain and a cloud shrouded hill after the pilot abandoned IFR and descended VFR. The plane was carrying journalists."/>
    <n v="0"/>
    <n v="1"/>
    <x v="1"/>
  </r>
  <r>
    <n v="3266"/>
    <x v="2969"/>
    <x v="73"/>
    <x v="2"/>
    <s v="Unknown"/>
    <s v="Off Buenavista, Philippines"/>
    <s v="Military - Philippine Air Force"/>
    <s v="Unknown"/>
    <s v="Unknown"/>
    <x v="1517"/>
    <s v="Unknown"/>
    <s v="Unknown"/>
    <n v="30"/>
    <s v="NULL"/>
    <s v="NULL"/>
    <n v="30"/>
    <s v="NULL"/>
    <s v="NULL"/>
    <n v="0"/>
    <s v="Crashed into the Pacific Ocean off the coast of Marinduque Island."/>
    <n v="0"/>
    <n v="1"/>
    <x v="1"/>
  </r>
  <r>
    <n v="3267"/>
    <x v="2970"/>
    <x v="73"/>
    <x v="2"/>
    <s v="Unknown"/>
    <s v="Sigonella AFB, Italy"/>
    <s v="Military - U.S. Air Force"/>
    <s v="Unknown"/>
    <s v="Sigonella - Diego Garcia"/>
    <x v="1518"/>
    <s v="64-0624"/>
    <s v="300-6037"/>
    <n v="9"/>
    <n v="1"/>
    <n v="8"/>
    <n v="9"/>
    <n v="1"/>
    <n v="8"/>
    <n v="0"/>
    <s v="Failure of the No. 4 engine caused the No. 3 engine to failue due to debris. Debris also started a fire in the cargo hatch. The crew was overcome by smoke and cyanide, lost control and crashed."/>
    <n v="0"/>
    <n v="1"/>
    <x v="1"/>
  </r>
  <r>
    <n v="3268"/>
    <x v="2971"/>
    <x v="73"/>
    <x v="2"/>
    <d v="1899-12-30T13:40:00"/>
    <s v="Tau Island, American Samoa"/>
    <s v="South Pacific Island Airways"/>
    <s v="Unknown"/>
    <s v="Pango Pango - Tau Island"/>
    <x v="1220"/>
    <s v="N43SP"/>
    <n v="669"/>
    <n v="14"/>
    <n v="11"/>
    <n v="3"/>
    <n v="1"/>
    <n v="1"/>
    <n v="0"/>
    <n v="0"/>
    <s v="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
    <n v="13"/>
    <n v="7.1428571428571425E-2"/>
    <x v="2"/>
  </r>
  <r>
    <n v="3269"/>
    <x v="2972"/>
    <x v="73"/>
    <x v="2"/>
    <d v="1899-12-30T08:05:00"/>
    <s v="Vieques, Puerto Rico"/>
    <s v="Vieques Air Link"/>
    <s v="Unknown"/>
    <s v="Vieques, PR - St. Croix, VI"/>
    <x v="1145"/>
    <s v="N589SA"/>
    <n v="38"/>
    <n v="9"/>
    <n v="8"/>
    <n v="1"/>
    <n v="9"/>
    <n v="8"/>
    <n v="1"/>
    <n v="0"/>
    <s v="Banked to the left shortly after taking off and crashed into the ocean. Aircraft overloaded and improperly loaded. Inexperienced pilot. Water contamination of fuel."/>
    <n v="0"/>
    <n v="1"/>
    <x v="1"/>
  </r>
  <r>
    <n v="3270"/>
    <x v="2973"/>
    <x v="73"/>
    <x v="2"/>
    <s v="Unknown"/>
    <s v="Nawabshah, Pakistan"/>
    <s v="Aeroflot"/>
    <s v="Unknown"/>
    <s v="Aden - Karachi - Tashkent"/>
    <x v="1060"/>
    <s v="CCCP-10232"/>
    <s v=" 3 3 411 07"/>
    <n v="24"/>
    <n v="15"/>
    <n v="9"/>
    <n v="24"/>
    <n v="15"/>
    <n v="9"/>
    <n v="0"/>
    <s v="The plane flew into severe weather and hail penetrated the oil radiatiors. Power was lost in all four engines and load limits were exceeded during an emergency descent. The plane broke up and crashed."/>
    <n v="0"/>
    <n v="1"/>
    <x v="1"/>
  </r>
  <r>
    <n v="3271"/>
    <x v="2974"/>
    <x v="73"/>
    <x v="2"/>
    <s v="Unknown"/>
    <s v="Dacca, Bangladesh"/>
    <s v="Bangladesh Biman"/>
    <s v="Unknown"/>
    <s v="Chittagong-Patenga - Dhaka"/>
    <x v="1108"/>
    <s v="S2-ABJ"/>
    <n v="10453"/>
    <n v="49"/>
    <n v="45"/>
    <n v="4"/>
    <n v="49"/>
    <n v="45"/>
    <n v="4"/>
    <n v="0"/>
    <s v="Crashed in the water, 1,800 ft. short of the runway on a second landing attempt after a go-around on a VOR approach."/>
    <n v="0"/>
    <n v="1"/>
    <x v="1"/>
  </r>
  <r>
    <n v="3272"/>
    <x v="2975"/>
    <x v="73"/>
    <x v="2"/>
    <d v="1899-12-30T01:00:00"/>
    <s v="Near Memphis, Tennessee"/>
    <s v="Aviation Enterprises"/>
    <s v="Unknown"/>
    <s v="Memphis - Chicago"/>
    <x v="277"/>
    <s v="N70003"/>
    <n v="12938"/>
    <n v="3"/>
    <n v="1"/>
    <n v="2"/>
    <n v="3"/>
    <n v="1"/>
    <n v="2"/>
    <n v="0"/>
    <s v="During takeoff the crew lost the No. 1 engine. The plane struck utility poles and crashed through the roof of a building. Missing spark plug from the No. 1 engine in the No. 14 cylinder."/>
    <n v="0"/>
    <n v="1"/>
    <x v="1"/>
  </r>
  <r>
    <n v="3273"/>
    <x v="2976"/>
    <x v="73"/>
    <x v="2"/>
    <s v="Unknown"/>
    <s v="Near Wamena, Indonesia"/>
    <s v="Airfast Indonesia"/>
    <s v="Unknown"/>
    <s v="Wamena-Jayapura"/>
    <x v="402"/>
    <s v="PK-OBC"/>
    <n v="12485"/>
    <n v="3"/>
    <n v="1"/>
    <n v="2"/>
    <n v="2"/>
    <n v="1"/>
    <n v="1"/>
    <n v="0"/>
    <s v="Crashed into a mountain while en route."/>
    <n v="1"/>
    <n v="0.66666666666666663"/>
    <x v="1"/>
  </r>
  <r>
    <n v="3274"/>
    <x v="2977"/>
    <x v="73"/>
    <x v="2"/>
    <d v="1899-12-30T11:18:00"/>
    <s v="San Luis Obispo, California"/>
    <s v="Wings West Airlines / Private"/>
    <n v="628"/>
    <s v="San Luis Obispo - San Fransisco"/>
    <x v="1519"/>
    <s v="N6399U/N112SM"/>
    <s v="U187 /"/>
    <n v="17"/>
    <n v="13"/>
    <n v="4"/>
    <n v="17"/>
    <n v="13"/>
    <n v="4"/>
    <n v="0"/>
    <s v="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
    <n v="0"/>
    <n v="1"/>
    <x v="1"/>
  </r>
  <r>
    <n v="3275"/>
    <x v="2978"/>
    <x v="73"/>
    <x v="2"/>
    <s v="Unknown"/>
    <s v="Douala, Cameroon"/>
    <s v="Cameroon Airlines"/>
    <n v="786"/>
    <s v="Douala - Yaounde"/>
    <x v="1520"/>
    <s v="TJ-CBD"/>
    <s v="21295/484"/>
    <n v="116"/>
    <n v="109"/>
    <n v="7"/>
    <n v="2"/>
    <n v="2"/>
    <n v="0"/>
    <n v="0"/>
    <s v="When taxing tin preperation to takeoff, a compressor disc in the No.2 engine failed. Debris punctured the wing and fuel tank causing an uncontrollable fire that destroyed the aircraft."/>
    <n v="114"/>
    <n v="1.7241379310344827E-2"/>
    <x v="2"/>
  </r>
  <r>
    <n v="3276"/>
    <x v="2979"/>
    <x v="73"/>
    <x v="2"/>
    <s v="Unknown"/>
    <s v="Mt. Musaka, Papua, New Guinea"/>
    <s v="Talair"/>
    <s v="Unknown"/>
    <s v="Wewak-Tabubil-Telefomin-Kiunga"/>
    <x v="1521"/>
    <s v="P2-ISG"/>
    <n v="756"/>
    <n v="11"/>
    <n v="9"/>
    <n v="2"/>
    <n v="9"/>
    <n v="7"/>
    <n v="2"/>
    <n v="0"/>
    <s v="Crashed into Mt. Musaka."/>
    <n v="2"/>
    <n v="0.81818181818181823"/>
    <x v="1"/>
  </r>
  <r>
    <n v="3277"/>
    <x v="2980"/>
    <x v="73"/>
    <x v="2"/>
    <d v="1899-12-30T21:10:00"/>
    <s v="Near Naples, Florida"/>
    <s v="Provincetown - Boston Airlines"/>
    <s v="Unknown"/>
    <s v="Naples, FL - Tampa, FL"/>
    <x v="1522"/>
    <s v="N89PB"/>
    <s v="402C-06550"/>
    <n v="6"/>
    <n v="5"/>
    <n v="1"/>
    <n v="1"/>
    <n v="1"/>
    <n v="0"/>
    <n v="0"/>
    <s v="Lost both engines while taking off and crashed  wheels up in a field. Fueled with jet fuel by accident."/>
    <n v="5"/>
    <n v="0.16666666666666666"/>
    <x v="2"/>
  </r>
  <r>
    <n v="3278"/>
    <x v="2981"/>
    <x v="73"/>
    <x v="2"/>
    <s v="Unknown"/>
    <s v="Near the Kwango River, Zaire"/>
    <s v="MMM Aero Services"/>
    <s v="Unknown"/>
    <s v="Kinshasa - Tshikapa"/>
    <x v="1523"/>
    <s v="9Q-CAH"/>
    <n v="303"/>
    <n v="30"/>
    <n v="25"/>
    <n v="5"/>
    <n v="30"/>
    <n v="25"/>
    <n v="5"/>
    <n v="0"/>
    <s v="After an engine failed in flight. The crew tried to make an emergency landing but over shot the runway and crashed."/>
    <n v="0"/>
    <n v="1"/>
    <x v="1"/>
  </r>
  <r>
    <n v="3279"/>
    <x v="2982"/>
    <x v="73"/>
    <x v="2"/>
    <s v="Unknown"/>
    <s v="Opole, Poland"/>
    <s v="APRL"/>
    <s v="Unknown"/>
    <s v="Airshow"/>
    <x v="1524"/>
    <s v="SP-AMK"/>
    <s v="1G168-04"/>
    <n v="25"/>
    <n v="22"/>
    <n v="3"/>
    <n v="11"/>
    <n v="11"/>
    <n v="0"/>
    <n v="0"/>
    <s v="Crashed during takeoff. Overloaded"/>
    <n v="14"/>
    <n v="0.44"/>
    <x v="0"/>
  </r>
  <r>
    <n v="3280"/>
    <x v="2983"/>
    <x v="73"/>
    <x v="2"/>
    <d v="1899-12-30T11:04:00"/>
    <s v="Quito, Ecuador"/>
    <s v="AECA Cargo"/>
    <s v="767-103"/>
    <s v="Quito - Guayaquil"/>
    <x v="1525"/>
    <s v="HC-BKN"/>
    <s v="45754/224"/>
    <n v="4"/>
    <n v="0"/>
    <n v="4"/>
    <n v="4"/>
    <n v="0"/>
    <n v="4"/>
    <n v="49"/>
    <s v="While taking off, the cargo plane was unable to gain altitude and crashed into buildings at the end of the runway. Improper calculation of center of gravity, load distribution and maximum takeoff weight for existing runway and weather conditions."/>
    <n v="0"/>
    <n v="1"/>
    <x v="1"/>
  </r>
  <r>
    <n v="3281"/>
    <x v="2984"/>
    <x v="73"/>
    <x v="2"/>
    <s v="Unknown"/>
    <s v="Near Sarakchar, Afghanistan"/>
    <s v="Military - Russian Air Force"/>
    <s v="Unknown"/>
    <s v="Unknown"/>
    <x v="942"/>
    <s v="Unknown"/>
    <s v="Unknown"/>
    <n v="50"/>
    <n v="45"/>
    <n v="5"/>
    <n v="50"/>
    <n v="45"/>
    <n v="5"/>
    <n v="0"/>
    <s v="Shot down by Afghan rebels."/>
    <n v="0"/>
    <n v="1"/>
    <x v="1"/>
  </r>
  <r>
    <n v="3282"/>
    <x v="2985"/>
    <x v="73"/>
    <x v="2"/>
    <s v="Unknown"/>
    <s v="Fort Franklin, Canada"/>
    <s v="Nahanni Air Services"/>
    <s v="Unknown"/>
    <s v="Fort Norman - Fort Franklin"/>
    <x v="1034"/>
    <s v="C-FPPL"/>
    <n v="115"/>
    <n v="7"/>
    <n v="6"/>
    <n v="1"/>
    <n v="7"/>
    <n v="6"/>
    <n v="1"/>
    <n v="0"/>
    <s v="Struck a tower while on approach in fog.  Weather was below VFR minima and not reported to the pilot because of a lack of observation and communications facilities at Fort Franklin. The decision of the pilot to continue the approach in fog."/>
    <n v="0"/>
    <n v="1"/>
    <x v="1"/>
  </r>
  <r>
    <n v="3283"/>
    <x v="2986"/>
    <x v="73"/>
    <x v="2"/>
    <d v="1899-12-30T05:40:00"/>
    <s v="Near Omsk, Russia"/>
    <s v="Aeroflot"/>
    <n v="3352"/>
    <s v="Krasnodar - Omsk"/>
    <x v="1293"/>
    <s v="CCCP-85243"/>
    <n v="243"/>
    <n v="179"/>
    <n v="170"/>
    <n v="9"/>
    <n v="174"/>
    <n v="169"/>
    <n v="5"/>
    <n v="4"/>
    <s v="While landing, the crew noticed something on the runway, took evasive action and crashed into two cleaning vehicles. The flying control officer (ATC)  fell asleep and did not inform the controllers cleaning vehicles were on the runway."/>
    <n v="5"/>
    <n v="0.97206703910614523"/>
    <x v="1"/>
  </r>
  <r>
    <n v="3284"/>
    <x v="2986"/>
    <x v="73"/>
    <x v="2"/>
    <d v="1899-12-30T17:37:00"/>
    <s v="Goose Bay, Newfoundland, Canada"/>
    <s v="Labradore Airways"/>
    <s v="Unknown"/>
    <s v="St. Anthony - Goose Bay"/>
    <x v="1034"/>
    <s v="C-FAUS"/>
    <n v="34"/>
    <n v="4"/>
    <n v="2"/>
    <n v="2"/>
    <n v="4"/>
    <n v="2"/>
    <n v="2"/>
    <n v="0"/>
    <s v="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
    <n v="0"/>
    <n v="1"/>
    <x v="1"/>
  </r>
  <r>
    <n v="3285"/>
    <x v="2987"/>
    <x v="73"/>
    <x v="2"/>
    <s v="Unknown"/>
    <s v="Near Kabul, Afghanistan"/>
    <s v="Mililtary - Soviet Air Force"/>
    <s v="Unknown"/>
    <s v="Tachkent-Kaboul"/>
    <x v="1526"/>
    <s v="CCCP-86739"/>
    <n v="83412354"/>
    <n v="11"/>
    <n v="7"/>
    <n v="4"/>
    <n v="11"/>
    <n v="7"/>
    <n v="4"/>
    <n v="0"/>
    <s v="Shot down by enemy fire."/>
    <n v="0"/>
    <n v="1"/>
    <x v="1"/>
  </r>
  <r>
    <n v="3286"/>
    <x v="2988"/>
    <x v="73"/>
    <x v="2"/>
    <s v="Unknown"/>
    <s v="Off Davao, Philippines"/>
    <s v="Village Airways"/>
    <s v="Unknown"/>
    <s v="Davao - Manila"/>
    <x v="443"/>
    <s v="RP-C138"/>
    <n v="20811"/>
    <n v="4"/>
    <n v="0"/>
    <n v="4"/>
    <n v="4"/>
    <n v="0"/>
    <n v="4"/>
    <n v="0"/>
    <s v="The cargo plane went missing in the Pacific Ocean while en route."/>
    <n v="0"/>
    <n v="1"/>
    <x v="1"/>
  </r>
  <r>
    <n v="3287"/>
    <x v="2989"/>
    <x v="73"/>
    <x v="2"/>
    <s v="Unknown"/>
    <s v="Loja, Peru"/>
    <s v="TAME"/>
    <s v="Unknown"/>
    <s v="Loja - Zumba"/>
    <x v="1220"/>
    <s v="FAE-446"/>
    <n v="446"/>
    <n v="14"/>
    <n v="12"/>
    <n v="2"/>
    <n v="14"/>
    <n v="12"/>
    <n v="2"/>
    <n v="0"/>
    <s v="Crashed into high terrain."/>
    <n v="0"/>
    <n v="1"/>
    <x v="1"/>
  </r>
  <r>
    <n v="3288"/>
    <x v="2990"/>
    <x v="73"/>
    <x v="2"/>
    <s v="Unknown"/>
    <s v="Near Kostroma, USSR"/>
    <s v="Aeroflot"/>
    <s v="Unknown"/>
    <s v="Kostroma -Kvanovo"/>
    <x v="1527"/>
    <s v="CCCP-67225"/>
    <n v="770706"/>
    <n v="17"/>
    <n v="15"/>
    <n v="2"/>
    <n v="17"/>
    <n v="15"/>
    <n v="2"/>
    <n v="0"/>
    <s v="Spatial orientation caused by failure of the artificial horizon."/>
    <n v="0"/>
    <n v="1"/>
    <x v="1"/>
  </r>
  <r>
    <n v="3289"/>
    <x v="2991"/>
    <x v="73"/>
    <x v="2"/>
    <d v="1899-12-30T18:14:00"/>
    <s v="Jacksonville, Florida"/>
    <s v="Provincetown - Boston Airlines"/>
    <n v="1039"/>
    <s v="Jacksonville - Tampa"/>
    <x v="1449"/>
    <s v="N96PB"/>
    <s v="110-365"/>
    <n v="13"/>
    <n v="11"/>
    <n v="2"/>
    <n v="13"/>
    <n v="11"/>
    <n v="2"/>
    <n v="0"/>
    <s v="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
    <n v="0"/>
    <n v="1"/>
    <x v="1"/>
  </r>
  <r>
    <n v="3290"/>
    <x v="2992"/>
    <x v="73"/>
    <x v="2"/>
    <d v="1899-12-30T14:00:00"/>
    <s v="Near Jaen, Peru"/>
    <s v="Military - Fuerza AÃ©rea del Peru"/>
    <s v="Unknown"/>
    <s v="Unknown"/>
    <x v="1220"/>
    <s v="FAP-307"/>
    <n v="317"/>
    <n v="21"/>
    <n v="18"/>
    <n v="3"/>
    <n v="21"/>
    <n v="18"/>
    <n v="3"/>
    <n v="0"/>
    <s v="Crashed in flames, two minutes after taking off from a military base."/>
    <n v="0"/>
    <n v="1"/>
    <x v="1"/>
  </r>
  <r>
    <n v="3291"/>
    <x v="2993"/>
    <x v="73"/>
    <x v="2"/>
    <s v="Unknown"/>
    <s v="Near Bhojpur, Nepal"/>
    <s v="Royal Nepal Airlines"/>
    <s v="Unknown"/>
    <s v="Katmandou-Bhojpur"/>
    <x v="1220"/>
    <s v="9N-ABH"/>
    <n v="376"/>
    <n v="23"/>
    <n v="20"/>
    <n v="3"/>
    <n v="15"/>
    <n v="12"/>
    <n v="3"/>
    <n v="0"/>
    <s v="Crashed into mountain in poor weather off the intended course."/>
    <n v="8"/>
    <n v="0.65217391304347827"/>
    <x v="1"/>
  </r>
  <r>
    <n v="3292"/>
    <x v="2994"/>
    <x v="73"/>
    <x v="2"/>
    <d v="1899-12-30T14:15:00"/>
    <s v="Near Kranoyarsk, Russia"/>
    <s v="Aeroflot"/>
    <n v="3519"/>
    <s v="Krasnoyarsk - Irkutsk"/>
    <x v="1455"/>
    <s v="CCCP-85338"/>
    <n v="338"/>
    <n v="111"/>
    <n v="104"/>
    <n v="7"/>
    <n v="110"/>
    <n v="103"/>
    <n v="7"/>
    <n v="0"/>
    <s v="The aircraft crashed while attempting an emergency landing after the No. 3 engine caught fire. Failure of a  compressor."/>
    <n v="1"/>
    <n v="0.99099099099099097"/>
    <x v="1"/>
  </r>
  <r>
    <n v="3293"/>
    <x v="2995"/>
    <x v="74"/>
    <x v="2"/>
    <d v="1899-12-30T20:30:00"/>
    <s v="Near La Paz, Bolivia"/>
    <s v="Eastern Air Lines"/>
    <n v="980"/>
    <s v="Asuncion, Paraguay - La Paz, Bolivia"/>
    <x v="1528"/>
    <s v="N819EA"/>
    <s v="22556/1793"/>
    <n v="29"/>
    <n v="19"/>
    <n v="10"/>
    <n v="29"/>
    <n v="19"/>
    <n v="10"/>
    <n v="0"/>
    <s v="The aircraft hit Mt. Illimani at an altitude of 19,600 feet after being cleared to descend during an approach to La Paz. The crew did not follow the prescribed airway. Navigation error. Controlled flight into terrain."/>
    <n v="0"/>
    <n v="1"/>
    <x v="1"/>
  </r>
  <r>
    <n v="3294"/>
    <x v="2996"/>
    <x v="74"/>
    <x v="2"/>
    <d v="1899-12-30T07:00:00"/>
    <s v="Kansas City, Kansas"/>
    <s v="TPI International Airways"/>
    <s v="Unknown"/>
    <s v="Detroit - Kansas City"/>
    <x v="1289"/>
    <s v="N357Q"/>
    <n v="1044"/>
    <n v="3"/>
    <n v="0"/>
    <n v="3"/>
    <n v="3"/>
    <n v="0"/>
    <n v="3"/>
    <n v="0"/>
    <s v="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
    <n v="0"/>
    <n v="1"/>
    <x v="1"/>
  </r>
  <r>
    <n v="3295"/>
    <x v="2997"/>
    <x v="74"/>
    <x v="2"/>
    <s v="Unknown"/>
    <s v="Jinan, China"/>
    <s v="CAAC"/>
    <n v="5109"/>
    <s v="Nanjing - Jinan"/>
    <x v="1009"/>
    <s v="B-434"/>
    <n v="27308110"/>
    <n v="41"/>
    <n v="34"/>
    <n v="7"/>
    <n v="38"/>
    <n v="31"/>
    <n v="7"/>
    <n v="0"/>
    <s v="Crashed after overshooting the runway in rain and fog."/>
    <n v="3"/>
    <n v="0.92682926829268297"/>
    <x v="1"/>
  </r>
  <r>
    <n v="3296"/>
    <x v="2998"/>
    <x v="74"/>
    <x v="2"/>
    <d v="1899-12-30T08:22:00"/>
    <s v="Havana, Cuba"/>
    <s v="Cubana de Aviacion"/>
    <s v="Unknown"/>
    <s v="Havana - Managua"/>
    <x v="913"/>
    <s v="CU-T899"/>
    <n v="188011102"/>
    <n v="38"/>
    <n v="33"/>
    <n v="5"/>
    <n v="38"/>
    <n v="33"/>
    <n v="5"/>
    <n v="0"/>
    <s v="The airliner crashed after takeoff. Failure of the artificial horizon and obstruction of aileron control due to shifted cargo."/>
    <n v="0"/>
    <n v="1"/>
    <x v="1"/>
  </r>
  <r>
    <n v="3297"/>
    <x v="2999"/>
    <x v="74"/>
    <x v="2"/>
    <d v="1899-12-30T23:15:00"/>
    <s v="Carson, New Mexico"/>
    <s v="Air Taxi - EMS"/>
    <s v="Unknown"/>
    <s v="Albuquerque, NM - Taos, NM -"/>
    <x v="1529"/>
    <s v="N40TE"/>
    <n v="45712"/>
    <n v="3"/>
    <n v="2"/>
    <n v="1"/>
    <n v="3"/>
    <n v="2"/>
    <n v="1"/>
    <n v="0"/>
    <s v="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
    <n v="0"/>
    <n v="1"/>
    <x v="1"/>
  </r>
  <r>
    <n v="3298"/>
    <x v="3000"/>
    <x v="74"/>
    <x v="2"/>
    <d v="1899-12-30T01:04:00"/>
    <s v="Reno, Nevada"/>
    <s v="Galaxy Airlines"/>
    <n v="203"/>
    <s v="Reno, NV - Minneapolis-St. Paul, MN"/>
    <x v="1240"/>
    <s v="N5532"/>
    <n v="1121"/>
    <n v="71"/>
    <n v="65"/>
    <n v="6"/>
    <n v="70"/>
    <n v="64"/>
    <n v="6"/>
    <n v="0"/>
    <s v="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
    <n v="1"/>
    <n v="0.9859154929577465"/>
    <x v="1"/>
  </r>
  <r>
    <n v="3299"/>
    <x v="3001"/>
    <x v="74"/>
    <x v="2"/>
    <d v="1899-12-30T09:35:00"/>
    <s v="Off Puerto Castilla, Honduras"/>
    <s v="Military - U.S. Air Force"/>
    <s v="Unknown"/>
    <s v="Howard AFB - Trujillo AP"/>
    <x v="1530"/>
    <s v="56-0501"/>
    <n v="3109"/>
    <n v="21"/>
    <n v="16"/>
    <n v="5"/>
    <n v="21"/>
    <n v="16"/>
    <n v="5"/>
    <n v="0"/>
    <s v="Crashed into the Caribbean sea, 8 miles northwest of the airport where it was scheduled to land."/>
    <n v="0"/>
    <n v="1"/>
    <x v="1"/>
  </r>
  <r>
    <n v="3300"/>
    <x v="3002"/>
    <x v="74"/>
    <x v="2"/>
    <d v="1899-12-30T10:35:00"/>
    <s v="Cerro el Plateado, Colombia"/>
    <s v="Aerolineas Centrales de Colombia"/>
    <s v="Unknown"/>
    <s v="Medellin - Quibdo"/>
    <x v="1220"/>
    <s v="HK-1910"/>
    <n v="497"/>
    <n v="23"/>
    <n v="21"/>
    <n v="2"/>
    <n v="23"/>
    <n v="21"/>
    <n v="2"/>
    <n v="0"/>
    <s v="Crashed into a mountain at 11,500 ft.  In rainand fog.  Flying under VFR when conditions changed to IFR."/>
    <n v="0"/>
    <n v="1"/>
    <x v="1"/>
  </r>
  <r>
    <n v="3301"/>
    <x v="3002"/>
    <x v="74"/>
    <x v="2"/>
    <d v="1899-12-30T10:35:00"/>
    <s v="Near Buga, Colombia"/>
    <s v="AIRES Colombia"/>
    <n v="585"/>
    <s v="Florencia - Cali"/>
    <x v="1449"/>
    <s v="HK-2638"/>
    <n v="110341"/>
    <n v="17"/>
    <n v="15"/>
    <n v="2"/>
    <n v="17"/>
    <n v="15"/>
    <n v="2"/>
    <n v="0"/>
    <s v="The aircraft crashed into a mountain at 8,500 ft. while descending to land at Buga. Continued VFR flight into deteriorating weather conditions."/>
    <n v="0"/>
    <n v="1"/>
    <x v="1"/>
  </r>
  <r>
    <n v="3302"/>
    <x v="3003"/>
    <x v="74"/>
    <x v="2"/>
    <d v="1899-12-30T08:01:00"/>
    <s v="Minsk, Belarus, USSR"/>
    <s v="Aeroflot"/>
    <n v="7841"/>
    <s v="Minsk - Leningrad"/>
    <x v="1166"/>
    <s v="CCCP-65910"/>
    <n v="63971"/>
    <n v="80"/>
    <n v="74"/>
    <n v="6"/>
    <n v="58"/>
    <n v="55"/>
    <n v="3"/>
    <n v="0"/>
    <s v="The aircraft crashed shortly after taking off from Minsk.Double engine failure due to ice ingestion."/>
    <n v="22"/>
    <n v="0.72499999999999998"/>
    <x v="1"/>
  </r>
  <r>
    <n v="3303"/>
    <x v="3004"/>
    <x v="74"/>
    <x v="2"/>
    <d v="1899-12-30T19:51:00"/>
    <s v="Soldotna, Alaska"/>
    <s v="North Pacific Airlines"/>
    <s v="-"/>
    <s v="Anchorage, AK - Anchorage, AK"/>
    <x v="1531"/>
    <s v="N50NP"/>
    <s v="LD-231"/>
    <n v="9"/>
    <n v="8"/>
    <n v="1"/>
    <n v="9"/>
    <n v="8"/>
    <n v="1"/>
    <n v="0"/>
    <s v="Crashed into trees while attempting a go-around in poor weather. Improper minimum descent atlitiude and missed approach. Improper inflight decision. Improper missed approach. Minimum descent altitude not maintained."/>
    <n v="0"/>
    <n v="1"/>
    <x v="1"/>
  </r>
  <r>
    <n v="3304"/>
    <x v="3005"/>
    <x v="74"/>
    <x v="2"/>
    <d v="1899-12-30T10:15:00"/>
    <s v="300 nm NW of San Francisco, California"/>
    <s v="China Airlines (Taiwan)"/>
    <n v="6"/>
    <s v="Taipei - Los Angeles"/>
    <x v="1532"/>
    <s v="N4522V"/>
    <s v="22805/564"/>
    <n v="274"/>
    <n v="251"/>
    <n v="23"/>
    <n v="0"/>
    <n v="0"/>
    <n v="0"/>
    <n v="0"/>
    <s v="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
    <n v="274"/>
    <n v="0"/>
    <x v="2"/>
  </r>
  <r>
    <n v="3305"/>
    <x v="3005"/>
    <x v="74"/>
    <x v="2"/>
    <d v="1899-12-30T09:27:00"/>
    <s v="Near Durango, Vizcaya, Spain"/>
    <s v="Iberia Airlines"/>
    <n v="610"/>
    <s v="Madrid - Bilbao"/>
    <x v="1533"/>
    <s v="EC-DDU"/>
    <s v="21777/1487"/>
    <n v="148"/>
    <n v="141"/>
    <n v="7"/>
    <n v="148"/>
    <n v="141"/>
    <n v="7"/>
    <n v="0"/>
    <s v="The aircraft crashed into an antenna on Mt. Oiz. Incorrect interpretation of Ground Proximity Warning System. The captain was heard shouting &quot;shut up&quot; at the GPWS as it announced &quot;pull up.&quot;  Overconfidence in altitude alert system. Incorrect interpretation of its warnings."/>
    <n v="0"/>
    <n v="1"/>
    <x v="1"/>
  </r>
  <r>
    <n v="3306"/>
    <x v="3006"/>
    <x v="74"/>
    <x v="2"/>
    <s v="Unknown"/>
    <s v="Timbuktu, Mali"/>
    <s v="Air Mali"/>
    <s v="Unknown"/>
    <s v="Tombouctou - Bamako"/>
    <x v="1086"/>
    <s v="TZ-ACT"/>
    <n v="87304104"/>
    <n v="51"/>
    <n v="49"/>
    <n v="2"/>
    <n v="50"/>
    <n v="48"/>
    <n v="2"/>
    <n v="0"/>
    <s v="Crashed after taking off. The plane was not able to return to the airport after experiencing an engine failure."/>
    <n v="1"/>
    <n v="0.98039215686274506"/>
    <x v="1"/>
  </r>
  <r>
    <n v="3307"/>
    <x v="3007"/>
    <x v="74"/>
    <x v="2"/>
    <s v="Unknown"/>
    <s v="Near Valdez, Alaska"/>
    <s v="Military - U.S. Air Force"/>
    <s v="Unknown"/>
    <s v="Eielson-Valdez-Eielson"/>
    <x v="1534"/>
    <s v="55-3121"/>
    <s v="17237/4"/>
    <n v="3"/>
    <n v="0"/>
    <n v="3"/>
    <n v="3"/>
    <n v="0"/>
    <n v="3"/>
    <n v="0"/>
    <s v="Struck a mountain in poor weather during a third practice approach."/>
    <n v="0"/>
    <n v="1"/>
    <x v="1"/>
  </r>
  <r>
    <n v="3308"/>
    <x v="3008"/>
    <x v="74"/>
    <x v="2"/>
    <s v="Unknown"/>
    <s v="Fort Hood, Texas"/>
    <s v="Military - U.S. Air Force"/>
    <s v="Unknown"/>
    <s v="Training"/>
    <x v="1435"/>
    <s v="64-0549"/>
    <n v="4044"/>
    <n v="6"/>
    <n v="0"/>
    <n v="6"/>
    <n v="6"/>
    <n v="0"/>
    <n v="6"/>
    <n v="0"/>
    <s v="Stalled during a training exercise and crashed."/>
    <n v="0"/>
    <n v="1"/>
    <x v="1"/>
  </r>
  <r>
    <n v="3309"/>
    <x v="3009"/>
    <x v="74"/>
    <x v="2"/>
    <d v="1899-12-30T09:50:00"/>
    <s v="Near Florencia, Colombia"/>
    <s v="SATENA"/>
    <s v="Unknown"/>
    <s v="Bogota - San Vicente del CaguÃ¡n - Florencia"/>
    <x v="1535"/>
    <s v="FAC-1140"/>
    <n v="11165"/>
    <n v="46"/>
    <n v="40"/>
    <n v="6"/>
    <n v="46"/>
    <n v="40"/>
    <n v="6"/>
    <n v="0"/>
    <s v="The domestic flight crashed into a mountain while attempting to land at Florencia in rain and dense fog."/>
    <n v="0"/>
    <n v="1"/>
    <x v="1"/>
  </r>
  <r>
    <n v="3310"/>
    <x v="3010"/>
    <x v="74"/>
    <x v="2"/>
    <s v="Unknown"/>
    <s v="Salta, Argentina"/>
    <s v="YPF"/>
    <s v="Unknown"/>
    <s v="Buenos Aires - Salta"/>
    <x v="1536"/>
    <s v="LV-ALW"/>
    <n v="257133"/>
    <n v="7"/>
    <n v="5"/>
    <n v="2"/>
    <n v="7"/>
    <n v="5"/>
    <n v="2"/>
    <n v="0"/>
    <s v="After an aborted landing attempt the aircraft struck a mountain in poor weather conditions."/>
    <n v="0"/>
    <n v="1"/>
    <x v="1"/>
  </r>
  <r>
    <n v="3311"/>
    <x v="3011"/>
    <x v="74"/>
    <x v="2"/>
    <d v="1899-12-30T23:30:00"/>
    <s v="Near Phuket, Thailand"/>
    <s v="Thai Airways"/>
    <s v="Unknown"/>
    <s v="Bangkok - Phuket"/>
    <x v="1468"/>
    <s v="HS-TBB"/>
    <s v="21810/604"/>
    <n v="11"/>
    <n v="4"/>
    <n v="7"/>
    <n v="11"/>
    <n v="4"/>
    <n v="7"/>
    <n v="0"/>
    <s v="The aircraft hit high ground during good weather conditions and after transmitting an emergency message that they had lost both engines."/>
    <n v="0"/>
    <n v="1"/>
    <x v="1"/>
  </r>
  <r>
    <n v="3312"/>
    <x v="3012"/>
    <x v="74"/>
    <x v="2"/>
    <d v="1899-12-30T11:37:00"/>
    <s v="Las Cruces, New Mexico"/>
    <s v="American Airlines"/>
    <s v="Unknown"/>
    <s v="Dallas, TX - San Diego, CA"/>
    <x v="1537"/>
    <s v="N718AA"/>
    <s v="20611/894"/>
    <n v="89"/>
    <n v="81"/>
    <n v="8"/>
    <n v="0"/>
    <n v="0"/>
    <n v="0"/>
    <n v="0"/>
    <s v="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
    <n v="89"/>
    <n v="0"/>
    <x v="2"/>
  </r>
  <r>
    <n v="3313"/>
    <x v="3013"/>
    <x v="74"/>
    <x v="2"/>
    <s v="Unknown"/>
    <s v="Santa Rosa, Bolivia"/>
    <s v="Carga Aereo Transportada"/>
    <s v="Unknown"/>
    <s v="Unknown"/>
    <x v="962"/>
    <s v="CP-1489"/>
    <n v="319"/>
    <n v="4"/>
    <n v="1"/>
    <n v="3"/>
    <n v="4"/>
    <n v="1"/>
    <n v="3"/>
    <n v="0"/>
    <s v="The cargo plane lost an engine on talkeoff nosed down and crashed."/>
    <n v="0"/>
    <n v="1"/>
    <x v="1"/>
  </r>
  <r>
    <n v="3314"/>
    <x v="3013"/>
    <x v="74"/>
    <x v="2"/>
    <s v="Unknown"/>
    <s v="Kulusuk, Greenland"/>
    <s v="Aeronica"/>
    <s v="Unknown"/>
    <s v="Positioning"/>
    <x v="848"/>
    <s v="YN-BZF"/>
    <n v="10118"/>
    <n v="5"/>
    <n v="0"/>
    <n v="5"/>
    <n v="2"/>
    <n v="0"/>
    <n v="2"/>
    <n v="0"/>
    <s v="After a fuel transfer problem the plane crashed while trying to make an emergency landing in snow. Poor weather and failure of the crew to follow proper procedures with the auxiliary fuel system."/>
    <n v="3"/>
    <n v="0.4"/>
    <x v="0"/>
  </r>
  <r>
    <n v="3315"/>
    <x v="3014"/>
    <x v="74"/>
    <x v="2"/>
    <d v="1899-12-30T12:13:00"/>
    <s v="Near L'vov, Ukraine, USSR"/>
    <s v="Aeroflot / Soviet Air Force"/>
    <n v="8381"/>
    <s v="Tallin - L'vov"/>
    <x v="1538"/>
    <s v="CCCP65856/26492"/>
    <s v="23253 /"/>
    <n v="76"/>
    <n v="73"/>
    <n v="3"/>
    <n v="76"/>
    <n v="73"/>
    <n v="3"/>
    <n v="0"/>
    <s v="Midair collision as the Tupolev-134A prepared to land and the Antonov An-26 just took off.  Violations by the civil approach and military controllers. Misidentification of both aircraft. Seventy-one killed on the TU134 and twenty-three on the Antonov."/>
    <n v="0"/>
    <n v="1"/>
    <x v="1"/>
  </r>
  <r>
    <n v="3316"/>
    <x v="3015"/>
    <x v="74"/>
    <x v="2"/>
    <d v="1899-12-30T12:50:00"/>
    <s v="Off Tanegashima, Japan"/>
    <s v="Military - U.S. Marine Corps"/>
    <s v="Unknown"/>
    <s v="Iwakuni - Fulemma, Okinawa"/>
    <x v="1539"/>
    <n v="157138"/>
    <s v="65-264"/>
    <n v="17"/>
    <n v="15"/>
    <n v="2"/>
    <n v="17"/>
    <n v="15"/>
    <n v="2"/>
    <n v="0"/>
    <s v="The helicopter crashed into the East China Sea."/>
    <n v="0"/>
    <n v="1"/>
    <x v="1"/>
  </r>
  <r>
    <n v="3317"/>
    <x v="3016"/>
    <x v="74"/>
    <x v="2"/>
    <s v="Unknown"/>
    <s v="Cabimas, Venezuela"/>
    <s v="Avensa"/>
    <s v="Unknown"/>
    <s v="Cabimas - Caracas"/>
    <x v="1030"/>
    <s v="YV-84C"/>
    <n v="157"/>
    <n v="13"/>
    <n v="8"/>
    <n v="5"/>
    <n v="2"/>
    <n v="0"/>
    <n v="2"/>
    <n v="0"/>
    <s v="The aircraft's tail struck a hill 1,500 feet from the end of the runway after which an emergency crash landing was made."/>
    <n v="11"/>
    <n v="0.15384615384615385"/>
    <x v="2"/>
  </r>
  <r>
    <n v="3318"/>
    <x v="3017"/>
    <x v="74"/>
    <x v="2"/>
    <d v="1899-12-30T23:00:00"/>
    <s v="Nashville, Tennessee"/>
    <s v="General Aviation Inc."/>
    <n v="115"/>
    <s v="Nashville - Indianapolis"/>
    <x v="1540"/>
    <s v="N181TG"/>
    <n v="181"/>
    <n v="2"/>
    <n v="0"/>
    <n v="2"/>
    <n v="2"/>
    <n v="0"/>
    <n v="2"/>
    <n v="0"/>
    <s v="The cargo plane crashed after losing the No. 1 engine. Fuel starvation. Pilot had the fuel selector for the No. 1 engine in the off and feathered position."/>
    <n v="0"/>
    <n v="1"/>
    <x v="1"/>
  </r>
  <r>
    <n v="3319"/>
    <x v="3018"/>
    <x v="74"/>
    <x v="2"/>
    <s v="Unknown"/>
    <s v="Athens, Greece"/>
    <s v="Trans World Airlines"/>
    <n v="847"/>
    <s v="Athens - Rome"/>
    <x v="1269"/>
    <s v="N64339"/>
    <s v="20844/1065"/>
    <n v="153"/>
    <n v="145"/>
    <n v="8"/>
    <n v="1"/>
    <n v="1"/>
    <n v="0"/>
    <n v="0"/>
    <s v="The aircraft was hijacked while en route from Athens to Rome over Italian airspace. U.S. Navy diver Robert Stethem was murdered aboard."/>
    <n v="152"/>
    <n v="6.5359477124183009E-3"/>
    <x v="2"/>
  </r>
  <r>
    <n v="3320"/>
    <x v="3019"/>
    <x v="74"/>
    <x v="2"/>
    <s v="Unknown"/>
    <s v="Juara, Brazil"/>
    <s v="TABA"/>
    <s v="Unknown"/>
    <s v="Juara - Cuiaba"/>
    <x v="1359"/>
    <s v="PT-GJN"/>
    <s v="110-063"/>
    <n v="17"/>
    <n v="15"/>
    <n v="2"/>
    <n v="17"/>
    <n v="15"/>
    <n v="2"/>
    <n v="0"/>
    <s v="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
    <n v="0"/>
    <n v="1"/>
    <x v="1"/>
  </r>
  <r>
    <n v="3321"/>
    <x v="3019"/>
    <x v="74"/>
    <x v="2"/>
    <d v="1899-12-30T07:15:00"/>
    <s v="Atlantic Ocean, 110 miles West of Ireland"/>
    <s v="Air India"/>
    <n v="182"/>
    <s v="Montreal - London"/>
    <x v="1358"/>
    <s v="VT-EFO"/>
    <s v="21473/330"/>
    <n v="329"/>
    <n v="307"/>
    <n v="22"/>
    <n v="329"/>
    <n v="307"/>
    <n v="22"/>
    <n v="0"/>
    <s v="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quot; Emperor Kanishka.&quot;"/>
    <n v="0"/>
    <n v="1"/>
    <x v="1"/>
  </r>
  <r>
    <n v="3322"/>
    <x v="3020"/>
    <x v="74"/>
    <x v="2"/>
    <d v="1899-12-30T23:46:00"/>
    <s v="Near Uchuduk, Uzbekistan, USSR"/>
    <s v="Aeroflot"/>
    <n v="7425"/>
    <s v="Karshi - Leningrad"/>
    <x v="1455"/>
    <s v="CCCP-85311"/>
    <n v="311"/>
    <n v="200"/>
    <n v="191"/>
    <n v="9"/>
    <n v="200"/>
    <n v="191"/>
    <n v="9"/>
    <n v="0"/>
    <s v="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
    <n v="0"/>
    <n v="1"/>
    <x v="1"/>
  </r>
  <r>
    <n v="3323"/>
    <x v="3021"/>
    <x v="74"/>
    <x v="2"/>
    <d v="1899-12-30T17:00:00"/>
    <s v="Leticia, Colombia"/>
    <s v="Fuerza AÃ©rea Colombiana"/>
    <s v="Unknown"/>
    <s v="Leticia - Bogota"/>
    <x v="626"/>
    <s v="FAC-902"/>
    <s v="45067/709"/>
    <n v="80"/>
    <n v="76"/>
    <n v="4"/>
    <n v="80"/>
    <n v="76"/>
    <n v="4"/>
    <n v="0"/>
    <s v="Crashed into the Amazon jungle in poor weather, after the crew reported a fire in the No. 3 engine. The last words from the aircraft was &quot;We're falling.&quot;"/>
    <n v="0"/>
    <n v="1"/>
    <x v="1"/>
  </r>
  <r>
    <n v="3324"/>
    <x v="3022"/>
    <x v="74"/>
    <x v="2"/>
    <d v="1899-12-30T18:06:00"/>
    <s v="Ft. Worth-Dallas, Texas"/>
    <s v="Delta Air Lines"/>
    <n v="191"/>
    <s v="Fort Lauderdale - Dallas-Fort Worth"/>
    <x v="1541"/>
    <s v="N726DA"/>
    <n v="1163"/>
    <n v="163"/>
    <n v="152"/>
    <n v="11"/>
    <n v="134"/>
    <n v="126"/>
    <n v="8"/>
    <n v="1"/>
    <s v="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
    <n v="29"/>
    <n v="0.82208588957055218"/>
    <x v="1"/>
  </r>
  <r>
    <n v="3325"/>
    <x v="3023"/>
    <x v="74"/>
    <x v="2"/>
    <d v="1899-12-30T18:56:00"/>
    <s v="Mt. Osutaka, near Ueno Village, Japan"/>
    <s v="Japan Air Lines"/>
    <n v="123"/>
    <s v="Tokyo - Osaka"/>
    <x v="1542"/>
    <s v="JA8119"/>
    <s v="20783/230"/>
    <n v="524"/>
    <n v="509"/>
    <n v="15"/>
    <n v="520"/>
    <n v="505"/>
    <n v="15"/>
    <n v="0"/>
    <s v="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quot;Sukiyaki&quot; was killed in the accident."/>
    <n v="4"/>
    <n v="0.99236641221374045"/>
    <x v="1"/>
  </r>
  <r>
    <n v="3326"/>
    <x v="3023"/>
    <x v="74"/>
    <x v="2"/>
    <s v="Unknown"/>
    <s v="Mulia, Indonesia"/>
    <s v="Merpati Nusantara Airlines"/>
    <s v="Unknown"/>
    <s v="Unknown"/>
    <x v="1220"/>
    <s v="PK-NUG"/>
    <n v="346"/>
    <n v="19"/>
    <n v="16"/>
    <n v="3"/>
    <n v="8"/>
    <n v="8"/>
    <n v="0"/>
    <n v="0"/>
    <s v="Unknown circumstances."/>
    <n v="11"/>
    <n v="0.42105263157894735"/>
    <x v="0"/>
  </r>
  <r>
    <n v="3327"/>
    <x v="3024"/>
    <x v="74"/>
    <x v="2"/>
    <s v="Unknown"/>
    <s v="Aden, Yemen"/>
    <s v="Alyemda Airlines"/>
    <s v="Unknown"/>
    <s v="Aden - Abu Dahbi"/>
    <x v="1543"/>
    <s v="7O-ACO"/>
    <s v="20374/838"/>
    <n v="73"/>
    <n v="65"/>
    <n v="8"/>
    <n v="3"/>
    <n v="1"/>
    <n v="2"/>
    <n v="0"/>
    <s v="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
    <n v="70"/>
    <n v="4.1095890410958902E-2"/>
    <x v="2"/>
  </r>
  <r>
    <n v="3328"/>
    <x v="3025"/>
    <x v="74"/>
    <x v="2"/>
    <d v="1899-12-30T06:13:00"/>
    <s v="Manchester, England"/>
    <s v="British Airtours"/>
    <s v="28M"/>
    <s v="Manchester - Kerkira"/>
    <x v="1544"/>
    <s v="G-BGJL"/>
    <s v="22033/743"/>
    <n v="137"/>
    <n v="131"/>
    <n v="6"/>
    <n v="55"/>
    <n v="53"/>
    <n v="2"/>
    <n v="0"/>
    <s v="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quot;River Orrin.&quot;"/>
    <n v="82"/>
    <n v="0.40145985401459855"/>
    <x v="0"/>
  </r>
  <r>
    <n v="3329"/>
    <x v="3026"/>
    <x v="74"/>
    <x v="2"/>
    <d v="1899-12-30T22:05:00"/>
    <s v="Auburn, Maine"/>
    <s v="Bar Harbor Airlines"/>
    <n v="1808"/>
    <s v="Boston, MA - Auburn, ME"/>
    <x v="1258"/>
    <s v="N300WP"/>
    <s v="U-22"/>
    <n v="8"/>
    <n v="6"/>
    <n v="2"/>
    <n v="8"/>
    <n v="6"/>
    <n v="2"/>
    <n v="0"/>
    <s v="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
    <n v="0"/>
    <n v="1"/>
    <x v="1"/>
  </r>
  <r>
    <n v="3330"/>
    <x v="3027"/>
    <x v="74"/>
    <x v="2"/>
    <s v="Unknown"/>
    <s v="Beale AFB, California"/>
    <s v="Military - U.S. Air Force"/>
    <s v="Unknown"/>
    <s v="Training"/>
    <x v="794"/>
    <s v="59-1443"/>
    <n v="17931"/>
    <n v="7"/>
    <n v="0"/>
    <n v="7"/>
    <n v="7"/>
    <n v="0"/>
    <n v="7"/>
    <n v="0"/>
    <s v="Crashed while trying to land with 3 engines."/>
    <n v="0"/>
    <n v="1"/>
    <x v="1"/>
  </r>
  <r>
    <n v="3331"/>
    <x v="3028"/>
    <x v="74"/>
    <x v="2"/>
    <d v="1899-12-30T11:00:00"/>
    <s v="Near Kandahar, Afghanistan"/>
    <s v="Ariana Afghan Airlines"/>
    <s v="Unknown"/>
    <s v="Kandahar - Farah"/>
    <x v="1195"/>
    <s v="YA-BAM"/>
    <n v="57314106"/>
    <n v="52"/>
    <n v="47"/>
    <n v="5"/>
    <n v="52"/>
    <n v="47"/>
    <n v="5"/>
    <n v="0"/>
    <s v="Shot down by rebels with a ground-to-air missile while flying at FL130."/>
    <n v="0"/>
    <n v="1"/>
    <x v="1"/>
  </r>
  <r>
    <n v="3332"/>
    <x v="3029"/>
    <x v="74"/>
    <x v="2"/>
    <d v="1899-12-30T15:21:00"/>
    <s v="Milwaukee, Wisconsin"/>
    <s v="Midwest Express"/>
    <n v="105"/>
    <s v="Milwaukee - Atlanta"/>
    <x v="1020"/>
    <s v="N100ME"/>
    <s v="47309/393"/>
    <n v="31"/>
    <n v="27"/>
    <n v="4"/>
    <n v="31"/>
    <n v="27"/>
    <n v="4"/>
    <n v="0"/>
    <s v="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
    <n v="0"/>
    <n v="1"/>
    <x v="1"/>
  </r>
  <r>
    <n v="3333"/>
    <x v="3030"/>
    <x v="74"/>
    <x v="2"/>
    <s v="Unknown"/>
    <s v="Afghanistan"/>
    <s v="Military - Soviet Air Force"/>
    <s v="Unknown"/>
    <s v="Unknown"/>
    <x v="942"/>
    <s v="Unknown"/>
    <s v="Unknown"/>
    <n v="26"/>
    <n v="22"/>
    <n v="4"/>
    <n v="26"/>
    <n v="22"/>
    <n v="4"/>
    <n v="0"/>
    <s v="Shot down by Afghan rebels."/>
    <n v="0"/>
    <n v="1"/>
    <x v="1"/>
  </r>
  <r>
    <n v="3334"/>
    <x v="3031"/>
    <x v="74"/>
    <x v="2"/>
    <s v="Unknown"/>
    <s v="Near Kharkov, Ukraine"/>
    <s v="MAP"/>
    <s v="Unknown"/>
    <s v="Dnepropetrovsk - Moscow"/>
    <x v="942"/>
    <s v="CCCP-69321"/>
    <n v="1901708"/>
    <n v="9"/>
    <n v="4"/>
    <n v="5"/>
    <n v="9"/>
    <n v="4"/>
    <n v="5"/>
    <n v="0"/>
    <s v="The plane crashed en route after a fire in the No. 1 engine which led to the seperation of the outer wing."/>
    <n v="0"/>
    <n v="1"/>
    <x v="1"/>
  </r>
  <r>
    <n v="3335"/>
    <x v="3032"/>
    <x v="74"/>
    <x v="2"/>
    <d v="1899-12-30T12:30:00"/>
    <s v="Jenkinsburg, Georgia"/>
    <s v="Air Carriers Express Services Inc"/>
    <s v="Unknown"/>
    <s v="Parachuting"/>
    <x v="1545"/>
    <s v="N551CC"/>
    <s v="208-00017"/>
    <n v="17"/>
    <n v="16"/>
    <n v="1"/>
    <n v="17"/>
    <n v="16"/>
    <n v="1"/>
    <n v="0"/>
    <s v="Lost power and spiraled into the ground after takeoff. Contaminated fuel. Overloaded."/>
    <n v="0"/>
    <n v="1"/>
    <x v="1"/>
  </r>
  <r>
    <n v="3336"/>
    <x v="3033"/>
    <x v="74"/>
    <x v="2"/>
    <d v="1899-12-30T19:00:00"/>
    <s v="VitÃ³ria da Conquista, Brazil"/>
    <s v="Nordeste Linhas AÃ©reas"/>
    <s v="Unknown"/>
    <s v="VitÃ³ria da Conquista - Salvador"/>
    <x v="1282"/>
    <s v="PT-GKA"/>
    <n v="110090"/>
    <n v="2"/>
    <n v="0"/>
    <n v="2"/>
    <n v="2"/>
    <n v="0"/>
    <n v="2"/>
    <n v="0"/>
    <s v="The pilot of the cargo plane stayed at a low altitude after taking off in IMC conditons and crashed."/>
    <n v="0"/>
    <n v="1"/>
    <x v="1"/>
  </r>
  <r>
    <n v="3337"/>
    <x v="3034"/>
    <x v="74"/>
    <x v="2"/>
    <d v="1899-12-30T01:00:00"/>
    <s v="Off South Head, Australia"/>
    <s v="Pel Air"/>
    <s v="Unknown"/>
    <s v="Sidney - Brisbane"/>
    <x v="1546"/>
    <s v="VH-IWJ"/>
    <n v="371"/>
    <n v="2"/>
    <n v="0"/>
    <n v="2"/>
    <n v="2"/>
    <n v="0"/>
    <n v="2"/>
    <n v="0"/>
    <s v="After attaining 5,000 ft. the cargo plane lost control crashed into Botany Bay after taking off from Sydney."/>
    <n v="0"/>
    <n v="1"/>
    <x v="1"/>
  </r>
  <r>
    <n v="3338"/>
    <x v="3035"/>
    <x v="74"/>
    <x v="2"/>
    <d v="1899-12-30T10:09:00"/>
    <s v="Near Kutayissi, USSR"/>
    <s v="Aeroflot"/>
    <s v="F-7"/>
    <s v="Kutaisi - Poti"/>
    <x v="1146"/>
    <s v="CCCP-87803"/>
    <n v="9230923"/>
    <n v="14"/>
    <n v="10"/>
    <n v="4"/>
    <n v="14"/>
    <n v="10"/>
    <n v="4"/>
    <n v="0"/>
    <s v="Crashed into a mountain slope after taking off in bad weather. Instructions to climb normally were delayed because of traffic."/>
    <n v="0"/>
    <n v="1"/>
    <x v="1"/>
  </r>
  <r>
    <n v="3339"/>
    <x v="3035"/>
    <x v="74"/>
    <x v="2"/>
    <s v="Unknown"/>
    <s v="Near Beni, Bolivia"/>
    <s v="Sabeni"/>
    <s v="Unknown"/>
    <s v="Beni - La Paz"/>
    <x v="438"/>
    <s v="CP-1593"/>
    <n v="32936"/>
    <n v="2"/>
    <n v="0"/>
    <n v="2"/>
    <n v="2"/>
    <n v="0"/>
    <n v="2"/>
    <n v="0"/>
    <s v="The cargo plane crashed into mountains while en route."/>
    <n v="0"/>
    <n v="1"/>
    <x v="1"/>
  </r>
  <r>
    <n v="3340"/>
    <x v="3035"/>
    <x v="74"/>
    <x v="2"/>
    <d v="1899-12-30T21:40:00"/>
    <s v="Homer City, Pennsylvania"/>
    <s v="Mountain Air Cargo"/>
    <s v="Unknown"/>
    <s v="State College - Pittsburgh"/>
    <x v="1095"/>
    <s v="N3257"/>
    <n v="192"/>
    <n v="1"/>
    <n v="0"/>
    <n v="1"/>
    <n v="1"/>
    <n v="0"/>
    <n v="1"/>
    <n v="0"/>
    <s v="The cargo plane struck high ground while en route. Pilot error. Altitude not maintained. Improper clearance."/>
    <n v="0"/>
    <n v="1"/>
    <x v="1"/>
  </r>
  <r>
    <n v="3341"/>
    <x v="3036"/>
    <x v="74"/>
    <x v="2"/>
    <s v="Unknown"/>
    <s v="Putao, Myanmar"/>
    <s v="Burma Airways"/>
    <s v="Unknown"/>
    <s v="Unknown"/>
    <x v="1108"/>
    <s v="XY-ADS"/>
    <n v="10501"/>
    <n v="4"/>
    <n v="2"/>
    <n v="2"/>
    <n v="4"/>
    <n v="2"/>
    <n v="2"/>
    <n v="0"/>
    <s v="The cargo plane overfew the runway and crashed one mile beyond the end."/>
    <n v="0"/>
    <n v="1"/>
    <x v="1"/>
  </r>
  <r>
    <n v="3342"/>
    <x v="3037"/>
    <x v="74"/>
    <x v="2"/>
    <s v="Unknown"/>
    <s v="Dothan, Alabama"/>
    <s v="Military - U.S. Air Force"/>
    <s v="Unknown"/>
    <s v="Test flight"/>
    <x v="712"/>
    <s v="54-2817"/>
    <n v="221"/>
    <n v="4"/>
    <n v="0"/>
    <n v="4"/>
    <n v="4"/>
    <n v="0"/>
    <n v="4"/>
    <n v="0"/>
    <s v="Crashed during a test flight. The elevators locked soon after takeoff."/>
    <n v="0"/>
    <n v="1"/>
    <x v="1"/>
  </r>
  <r>
    <n v="3343"/>
    <x v="3038"/>
    <x v="74"/>
    <x v="2"/>
    <s v="Unknown"/>
    <s v="Near Sibyak, Indonesia"/>
    <s v="Military - Indonesian Air Force"/>
    <s v="Unknown"/>
    <s v="Unknown"/>
    <x v="1444"/>
    <s v="A-1322"/>
    <n v="4898"/>
    <n v="11"/>
    <n v="0"/>
    <n v="11"/>
    <n v="11"/>
    <n v="0"/>
    <n v="11"/>
    <n v="0"/>
    <s v="Crashed into Mt. Sibayak."/>
    <n v="0"/>
    <n v="1"/>
    <x v="1"/>
  </r>
  <r>
    <n v="3344"/>
    <x v="3039"/>
    <x v="74"/>
    <x v="2"/>
    <d v="1899-12-30T20:15:00"/>
    <s v="Luqa, Malta"/>
    <s v="EgyptAir"/>
    <n v="648"/>
    <s v="Athens - Cairo"/>
    <x v="1547"/>
    <s v="SU-AYH"/>
    <s v="21191/450"/>
    <n v="103"/>
    <n v="97"/>
    <n v="6"/>
    <n v="60"/>
    <s v="NULL"/>
    <s v="NULL"/>
    <n v="0"/>
    <s v="Hijacking. While on the ground at Malta to refuel the aircraft was stormed by Egyptian forces. During the fight, several hand grenades were thrown into the cabin causing a fire."/>
    <n v="43"/>
    <n v="0.58252427184466016"/>
    <x v="0"/>
  </r>
  <r>
    <n v="3345"/>
    <x v="3040"/>
    <x v="74"/>
    <x v="2"/>
    <s v="Unknown"/>
    <s v="Near Luassingua, Angola"/>
    <s v="Military - Angolan Air Force"/>
    <s v="Unknown"/>
    <s v="Cuito - Menongue"/>
    <x v="1195"/>
    <s v="CCCP-11747"/>
    <n v="5343609"/>
    <n v="22"/>
    <s v="NULL"/>
    <s v="NULL"/>
    <n v="22"/>
    <s v="NULL"/>
    <s v="NULL"/>
    <n v="0"/>
    <s v="Shot down by South African anti-aircraft fire."/>
    <n v="0"/>
    <n v="1"/>
    <x v="1"/>
  </r>
  <r>
    <n v="3346"/>
    <x v="3041"/>
    <x v="74"/>
    <x v="2"/>
    <d v="1899-12-30T06:45:00"/>
    <s v="Gander, Newfoundland, Canada"/>
    <s v="Arrow Airways"/>
    <s v="MF1285R"/>
    <s v="Gander - Fort Campbell, KY"/>
    <x v="1548"/>
    <s v="N950JW"/>
    <s v="46058/433"/>
    <n v="256"/>
    <n v="248"/>
    <n v="8"/>
    <n v="256"/>
    <n v="248"/>
    <n v="8"/>
    <n v="0"/>
    <s v="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
    <n v="0"/>
    <n v="1"/>
    <x v="1"/>
  </r>
  <r>
    <n v="3347"/>
    <x v="3042"/>
    <x v="74"/>
    <x v="2"/>
    <s v="Unknown"/>
    <s v="Near Dhangadhi, Nepal"/>
    <s v="Military - Royal Nepalese Air Force"/>
    <s v="Unknown"/>
    <s v="Unknown"/>
    <x v="1549"/>
    <s v="RAN-23"/>
    <s v="SH-1978"/>
    <n v="25"/>
    <n v="22"/>
    <n v="3"/>
    <n v="25"/>
    <n v="22"/>
    <n v="3"/>
    <n v="0"/>
    <s v="Crashed into a forest."/>
    <n v="0"/>
    <n v="1"/>
    <x v="1"/>
  </r>
  <r>
    <n v="3348"/>
    <x v="3043"/>
    <x v="74"/>
    <x v="2"/>
    <d v="1899-12-30T17:14:00"/>
    <s v="De Kalb, Texas"/>
    <s v="Private"/>
    <s v="Unknown"/>
    <s v="Guntersville - Dallas/Ft. Worth"/>
    <x v="277"/>
    <s v="N711Y"/>
    <n v="13658"/>
    <n v="9"/>
    <n v="7"/>
    <n v="2"/>
    <n v="7"/>
    <n v="7"/>
    <n v="0"/>
    <n v="0"/>
    <s v="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
    <n v="2"/>
    <n v="0.77777777777777779"/>
    <x v="1"/>
  </r>
  <r>
    <n v="3349"/>
    <x v="3044"/>
    <x v="75"/>
    <x v="2"/>
    <d v="1899-12-30T08:00:00"/>
    <s v="Near Peten, Guatemala"/>
    <s v="Aerovias de Guatemala SA"/>
    <s v="Unknown"/>
    <s v="Guatemala City-Santa Elena"/>
    <x v="1251"/>
    <s v="HC-BAE"/>
    <n v="40"/>
    <n v="94"/>
    <n v="88"/>
    <n v="6"/>
    <n v="94"/>
    <n v="88"/>
    <n v="6"/>
    <n v="0"/>
    <s v="After initiating an overshoot and attempting to land for a second time, the plane crashed into a hilly area in the jungle. There were low lying clouds in the area."/>
    <n v="0"/>
    <n v="1"/>
    <x v="1"/>
  </r>
  <r>
    <n v="3350"/>
    <x v="3045"/>
    <x v="75"/>
    <x v="2"/>
    <d v="1899-12-30T04:25:00"/>
    <s v="Ellendale, Minnesota"/>
    <s v="Air Taxi"/>
    <s v="Unknown"/>
    <s v="Unknown"/>
    <x v="1550"/>
    <s v="N1498W"/>
    <n v="425"/>
    <n v="3"/>
    <n v="2"/>
    <n v="1"/>
    <n v="3"/>
    <n v="2"/>
    <n v="1"/>
    <n v="0"/>
    <s v="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
    <n v="0"/>
    <n v="1"/>
    <x v="1"/>
  </r>
  <r>
    <n v="3351"/>
    <x v="3046"/>
    <x v="75"/>
    <x v="2"/>
    <d v="1899-12-30T07:45:00"/>
    <s v="Sao Paulo, Brazil"/>
    <s v="VASP"/>
    <s v="Unknown"/>
    <s v="Sao Paulo - Belo Horizonte"/>
    <x v="1551"/>
    <s v="PP-SME"/>
    <s v="20096/190"/>
    <n v="72"/>
    <n v="67"/>
    <n v="5"/>
    <n v="1"/>
    <n v="1"/>
    <n v="0"/>
    <n v="0"/>
    <s v="The crew accidently tried to take off from a taxiway. The takeoff was aborted but the aircraft overran the runway and collided with a embankment and broke in two. There was heavy fog in the area."/>
    <n v="71"/>
    <n v="1.3888888888888888E-2"/>
    <x v="2"/>
  </r>
  <r>
    <n v="3352"/>
    <x v="3047"/>
    <x v="75"/>
    <x v="2"/>
    <s v="Unknown"/>
    <s v="Las Lomitas, Mexico"/>
    <s v="Aerocalifornia"/>
    <s v="Unknown"/>
    <s v="Villa Constitucion - Los Mochis"/>
    <x v="1552"/>
    <s v="XA-IOR"/>
    <n v="1547"/>
    <n v="21"/>
    <n v="18"/>
    <n v="3"/>
    <n v="21"/>
    <n v="18"/>
    <n v="3"/>
    <n v="0"/>
    <s v="The plane tried to land at Los Mochis but had to divert to Las Lomitas because of fog. The airport was not approved for commercial flights and the plane crashed into a hill near the airport while attempting to land."/>
    <n v="0"/>
    <n v="1"/>
    <x v="1"/>
  </r>
  <r>
    <n v="3353"/>
    <x v="3048"/>
    <x v="75"/>
    <x v="2"/>
    <s v="Unknown"/>
    <s v="Kasongo, Zaire"/>
    <s v="GLM Aviation"/>
    <s v="Unknown"/>
    <s v="Kasonga-Kinshasa"/>
    <x v="1289"/>
    <s v="9Q-CWT"/>
    <n v="1045"/>
    <n v="14"/>
    <n v="10"/>
    <n v="4"/>
    <n v="2"/>
    <n v="2"/>
    <n v="0"/>
    <n v="0"/>
    <s v="The cargo plane crashed while attempting to make a forced landing."/>
    <n v="12"/>
    <n v="0.14285714285714285"/>
    <x v="2"/>
  </r>
  <r>
    <n v="3354"/>
    <x v="3049"/>
    <x v="75"/>
    <x v="2"/>
    <d v="1899-12-30T18:50:00"/>
    <s v="Off Makung, Taiwan"/>
    <s v="China Airlines (Taiwan)"/>
    <s v="Unknown"/>
    <s v="Taipei - Makung"/>
    <x v="1553"/>
    <s v="B-1870"/>
    <s v="20226/168"/>
    <n v="13"/>
    <n v="6"/>
    <n v="7"/>
    <n v="13"/>
    <n v="6"/>
    <n v="7"/>
    <n v="0"/>
    <s v="The aircraft crashed into the sea during an attempted go-around after a missed landing attempt due to a burst nose gear tire."/>
    <n v="0"/>
    <n v="1"/>
    <x v="1"/>
  </r>
  <r>
    <n v="3355"/>
    <x v="3050"/>
    <x v="75"/>
    <x v="2"/>
    <d v="1899-12-30T03:03:00"/>
    <s v="Near Bugulma, Russia"/>
    <s v="Aeroflot"/>
    <s v="Unknown"/>
    <s v="Cheboksary - Bugulma"/>
    <x v="1009"/>
    <s v="CCCP-46423"/>
    <n v="7304108"/>
    <n v="38"/>
    <n v="34"/>
    <n v="4"/>
    <n v="38"/>
    <n v="34"/>
    <n v="4"/>
    <n v="0"/>
    <s v="The aircraft entered a left bank and turn, stalled and crashed 5 miles short of the runway. Failure of the autofeather sensor circuit breaker caused propellers to feather."/>
    <n v="0"/>
    <n v="1"/>
    <x v="1"/>
  </r>
  <r>
    <n v="3356"/>
    <x v="3051"/>
    <x v="75"/>
    <x v="2"/>
    <d v="1899-12-30T22:15:00"/>
    <s v="Alpena, Michigan"/>
    <s v="Simmons Airlines"/>
    <n v="1746"/>
    <s v="Detroit, MI - Alpena, MI"/>
    <x v="1449"/>
    <s v="N1356P"/>
    <n v="110370"/>
    <n v="9"/>
    <n v="7"/>
    <n v="2"/>
    <n v="3"/>
    <n v="2"/>
    <n v="1"/>
    <n v="0"/>
    <s v="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
    <n v="6"/>
    <n v="0.33333333333333331"/>
    <x v="2"/>
  </r>
  <r>
    <n v="3357"/>
    <x v="3052"/>
    <x v="75"/>
    <x v="2"/>
    <s v="Unknown"/>
    <s v="Near Naha, Indonesia"/>
    <s v="Merpati Nusantara Airlines"/>
    <s v="Unknown"/>
    <s v="Manado - Naha"/>
    <x v="1413"/>
    <s v="PK-NCF"/>
    <s v="108/15N"/>
    <n v="16"/>
    <n v="14"/>
    <n v="2"/>
    <n v="2"/>
    <n v="0"/>
    <n v="2"/>
    <n v="0"/>
    <s v="Crashed into high ground at 1, 900 ft. while flying IFR in rain."/>
    <n v="14"/>
    <n v="0.125"/>
    <x v="2"/>
  </r>
  <r>
    <n v="3358"/>
    <x v="3053"/>
    <x v="75"/>
    <x v="2"/>
    <d v="1899-12-30T09:55:00"/>
    <s v="Goose Bay, Newfoundland, Canada"/>
    <s v="Goose Bay Air Services"/>
    <s v="Unknown"/>
    <s v="Snegamook Lake - Goose Bay"/>
    <x v="781"/>
    <s v="C-FAGM"/>
    <n v="400"/>
    <n v="5"/>
    <n v="4"/>
    <n v="1"/>
    <n v="4"/>
    <n v="3"/>
    <n v="1"/>
    <n v="0"/>
    <s v="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
    <n v="1"/>
    <n v="0.8"/>
    <x v="1"/>
  </r>
  <r>
    <n v="3359"/>
    <x v="3054"/>
    <x v="75"/>
    <x v="2"/>
    <s v="Unknown"/>
    <s v="Omsk, Soviet Union"/>
    <s v="Ministerstvo Obshchestvo Mashinostroyeniya"/>
    <s v="Unknown"/>
    <s v="Unknown"/>
    <x v="1554"/>
    <s v="CCCP-11795"/>
    <n v="1400103"/>
    <n v="9"/>
    <n v="3"/>
    <n v="6"/>
    <n v="9"/>
    <n v="3"/>
    <n v="6"/>
    <n v="0"/>
    <s v="The cargo plane descended below minima weather conditions, undershot the runway, overturned and caught fire."/>
    <n v="0"/>
    <n v="1"/>
    <x v="1"/>
  </r>
  <r>
    <n v="3360"/>
    <x v="3055"/>
    <x v="75"/>
    <x v="2"/>
    <s v="Unknown"/>
    <s v="Bangui, Central African Republic"/>
    <s v="Military - French Air Force"/>
    <s v="Unknown"/>
    <s v="Unknown"/>
    <x v="1555"/>
    <s v="Unknown"/>
    <s v="Unknown"/>
    <n v="0"/>
    <n v="0"/>
    <n v="0"/>
    <n v="0"/>
    <n v="0"/>
    <n v="0"/>
    <n v="35"/>
    <s v="The jet fighter crashed into a school shortly after taking off after experiencing engine failure."/>
    <n v="0"/>
    <n v="0"/>
    <x v="2"/>
  </r>
  <r>
    <n v="3361"/>
    <x v="3056"/>
    <x v="75"/>
    <x v="2"/>
    <d v="1899-12-30T10:15:00"/>
    <s v="Near Pemba, Mozambique"/>
    <s v="Military - Mozambique Air Force"/>
    <s v="FAM042"/>
    <s v="Pemba - Maputo"/>
    <x v="1195"/>
    <n v="42"/>
    <s v="Unknown"/>
    <n v="54"/>
    <n v="51"/>
    <n v="3"/>
    <n v="49"/>
    <n v="46"/>
    <n v="3"/>
    <n v="0"/>
    <s v="The aircraft crashed while making an emergency return to the airfield after experiencing engine failure on takeoff."/>
    <n v="5"/>
    <n v="0.90740740740740744"/>
    <x v="1"/>
  </r>
  <r>
    <n v="3362"/>
    <x v="3057"/>
    <x v="75"/>
    <x v="2"/>
    <d v="1899-12-30T09:11:00"/>
    <s v="Maravatio, Mexico"/>
    <s v="Mexicana"/>
    <n v="940"/>
    <s v="Mexico City - Puerto Vallarta"/>
    <x v="1556"/>
    <s v="XA-MEM"/>
    <s v="22414/1748"/>
    <n v="167"/>
    <n v="159"/>
    <n v="8"/>
    <n v="167"/>
    <n v="159"/>
    <n v="8"/>
    <n v="0"/>
    <s v="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
    <n v="0"/>
    <n v="1"/>
    <x v="1"/>
  </r>
  <r>
    <n v="3363"/>
    <x v="3058"/>
    <x v="75"/>
    <x v="2"/>
    <d v="1899-12-30T13:05:00"/>
    <s v="Near Athens, Greece"/>
    <s v="Trans World Airlines"/>
    <n v="840"/>
    <s v="Rome - Athens"/>
    <x v="1402"/>
    <s v="N54340"/>
    <s v="20845/1066"/>
    <n v="121"/>
    <n v="114"/>
    <n v="7"/>
    <n v="4"/>
    <n v="4"/>
    <n v="0"/>
    <n v="0"/>
    <s v="Detonation of a explosive device in the passenger compartment causing four passengers to be sucked out.  The plane landed safely at Athens. The plastic explosive was left under a seat by a woman carrying a Lebanese passport."/>
    <n v="117"/>
    <n v="3.3057851239669422E-2"/>
    <x v="2"/>
  </r>
  <r>
    <n v="3364"/>
    <x v="3058"/>
    <x v="75"/>
    <x v="2"/>
    <s v="Unknown"/>
    <s v="Near Magdalena, New Mexico"/>
    <s v="Military - U.S. Air Force"/>
    <s v="Unknown"/>
    <s v="Unknown"/>
    <x v="1557"/>
    <s v="66-0211"/>
    <n v="4161"/>
    <n v="11"/>
    <n v="0"/>
    <n v="11"/>
    <n v="11"/>
    <n v="0"/>
    <n v="11"/>
    <n v="0"/>
    <s v="Lost a wing in heavy turbulence at low altitude."/>
    <n v="0"/>
    <n v="1"/>
    <x v="1"/>
  </r>
  <r>
    <n v="3365"/>
    <x v="3059"/>
    <x v="75"/>
    <x v="2"/>
    <d v="1899-12-30T08:35:00"/>
    <s v="Near Saravena, Colombia"/>
    <s v="ACES Colombia"/>
    <s v="Unknown"/>
    <s v="Bogota - Saravena"/>
    <x v="1220"/>
    <s v="HK-2761"/>
    <n v="780"/>
    <n v="13"/>
    <n v="11"/>
    <n v="2"/>
    <n v="13"/>
    <n v="11"/>
    <n v="2"/>
    <n v="0"/>
    <s v="Crashed into a 8,500 ft. mountain in poor weather."/>
    <n v="0"/>
    <n v="1"/>
    <x v="1"/>
  </r>
  <r>
    <n v="3366"/>
    <x v="3060"/>
    <x v="75"/>
    <x v="2"/>
    <d v="1899-12-30T06:32:00"/>
    <s v="San Salvador, El Salvador"/>
    <s v="Military - El Salvador Air Force"/>
    <s v="Unknown"/>
    <s v="San Salvador - Panama City"/>
    <x v="528"/>
    <s v="FAS-302"/>
    <n v="45078"/>
    <n v="37"/>
    <n v="33"/>
    <n v="4"/>
    <n v="37"/>
    <n v="33"/>
    <n v="4"/>
    <n v="0"/>
    <s v="Crashed into a hill following an engine fire."/>
    <n v="0"/>
    <n v="1"/>
    <x v="1"/>
  </r>
  <r>
    <n v="3367"/>
    <x v="3061"/>
    <x v="75"/>
    <x v="2"/>
    <d v="1899-12-30T09:05:00"/>
    <s v="Colombo, Sri Lanka"/>
    <s v="Air Lanka"/>
    <n v="512"/>
    <s v="London - Zurich - Dubai - Colombo - Male"/>
    <x v="1558"/>
    <s v="4R-ULD"/>
    <n v="1061"/>
    <n v="150"/>
    <n v="128"/>
    <n v="22"/>
    <n v="22"/>
    <n v="22"/>
    <n v="0"/>
    <n v="0"/>
    <s v="Detonation of an explosive device in the rear section of the cabin while on the ground and passengers were boarding. The aircraft was named City of Colombo."/>
    <n v="128"/>
    <n v="0.14666666666666667"/>
    <x v="2"/>
  </r>
  <r>
    <n v="3368"/>
    <x v="3061"/>
    <x v="75"/>
    <x v="2"/>
    <s v="Unknown"/>
    <s v="Near Taipei, Taiwan"/>
    <s v="Military - Republic of China Air Force"/>
    <s v="Unknown"/>
    <s v="Unknown"/>
    <x v="1559"/>
    <s v="Unknown"/>
    <s v="Unknown"/>
    <n v="22"/>
    <s v="NULL"/>
    <s v="NULL"/>
    <n v="22"/>
    <s v="NULL"/>
    <s v="NULL"/>
    <n v="0"/>
    <s v="Both helicopters crashed into a rice paddy after experiencing a mid-air collision."/>
    <n v="0"/>
    <n v="1"/>
    <x v="1"/>
  </r>
  <r>
    <n v="3369"/>
    <x v="3062"/>
    <x v="75"/>
    <x v="2"/>
    <d v="1899-12-30T08:30:00"/>
    <s v="Djibouti, Djibouti"/>
    <s v="Military - French Naval Aviation"/>
    <s v="Unknown"/>
    <s v="Unknown"/>
    <x v="1560"/>
    <n v="19"/>
    <n v="19"/>
    <n v="19"/>
    <n v="14"/>
    <n v="5"/>
    <n v="19"/>
    <n v="14"/>
    <n v="5"/>
    <n v="0"/>
    <s v="Crashed in the vicinity of Day Mountain in heavy rain and low clouds."/>
    <n v="0"/>
    <n v="1"/>
    <x v="1"/>
  </r>
  <r>
    <n v="3370"/>
    <x v="3063"/>
    <x v="75"/>
    <x v="2"/>
    <s v="Unknown"/>
    <s v="Antananarivo, Madagascar"/>
    <s v="Military - ArmÃ©e de l'Air Malgache"/>
    <s v="Unknown"/>
    <s v="Antananarivo - Antsirabe"/>
    <x v="368"/>
    <s v="Unknown"/>
    <s v="Unknown"/>
    <n v="13"/>
    <n v="0"/>
    <n v="13"/>
    <n v="13"/>
    <n v="0"/>
    <n v="13"/>
    <n v="0"/>
    <s v="Flew into the side of a mountain in poor weather. Controlled flight into terrain."/>
    <n v="0"/>
    <n v="1"/>
    <x v="1"/>
  </r>
  <r>
    <n v="3371"/>
    <x v="3064"/>
    <x v="75"/>
    <x v="2"/>
    <s v="Unknown"/>
    <s v="Near Cairo, Egypt"/>
    <s v="EgyptAir"/>
    <s v="Unknown"/>
    <s v="Cairo - Alexandia"/>
    <x v="1161"/>
    <s v="SU-GAD"/>
    <n v="10659"/>
    <n v="26"/>
    <n v="21"/>
    <n v="5"/>
    <n v="23"/>
    <n v="18"/>
    <n v="5"/>
    <n v="0"/>
    <s v="Crashed short of runway and collided with a building during a sandstorm."/>
    <n v="3"/>
    <n v="0.88461538461538458"/>
    <x v="1"/>
  </r>
  <r>
    <n v="3372"/>
    <x v="3065"/>
    <x v="75"/>
    <x v="2"/>
    <d v="1899-12-30T15:22:00"/>
    <s v="Port Ellen, Islay Island"/>
    <s v="Loganair"/>
    <n v="423"/>
    <s v="Glasgow - Port Ellen"/>
    <x v="1220"/>
    <s v="G-BGPC"/>
    <n v="635"/>
    <n v="16"/>
    <n v="14"/>
    <n v="2"/>
    <n v="1"/>
    <n v="0"/>
    <n v="1"/>
    <n v="0"/>
    <s v="The crew mistook Laphroaig for Port Ellen and crashed into a hill. Decision to allow the handling pilot to carry out a visual approach in unsuitable meteorological conditions. An error in visual navigation was a contributory factor."/>
    <n v="15"/>
    <n v="6.25E-2"/>
    <x v="2"/>
  </r>
  <r>
    <n v="3373"/>
    <x v="3066"/>
    <x v="75"/>
    <x v="2"/>
    <d v="1899-12-30T09:33:00"/>
    <s v="Grand Canyon, Arizona"/>
    <s v="Grand Canyon Airlines / Helitech"/>
    <d v="2022-02-06T00:00:00"/>
    <s v="Grand Canyon - Grand Canyon"/>
    <x v="1561"/>
    <s v="N76GC/N6TC"/>
    <s v="248 /"/>
    <n v="25"/>
    <n v="22"/>
    <n v="3"/>
    <n v="25"/>
    <n v="22"/>
    <n v="3"/>
    <n v="0"/>
    <s v="Midair collision. Inadequate visual lookout on the part of  both aircraft. Twenty killed on the de Havilland and  five on the Helitech. The failure of the flightcrew of both aircraft to see and avoid each other for undetermined reasons."/>
    <n v="0"/>
    <n v="1"/>
    <x v="1"/>
  </r>
  <r>
    <n v="3374"/>
    <x v="3067"/>
    <x v="75"/>
    <x v="2"/>
    <d v="1899-12-30T10:27:00"/>
    <s v="Near Syktyvar, Russia"/>
    <s v="Aeroflot"/>
    <n v="2306"/>
    <s v="Syktyvkar - _x0009_Moscow"/>
    <x v="1166"/>
    <s v="CCCP-65120"/>
    <n v="60482"/>
    <n v="92"/>
    <n v="86"/>
    <n v="6"/>
    <n v="54"/>
    <n v="52"/>
    <n v="2"/>
    <n v="0"/>
    <s v="The aircraft crashed in a forest after an in-flight fire caused by baggage that ignited in the rear cargo hold led to loss of contol of the aircraft."/>
    <n v="38"/>
    <n v="0.58695652173913049"/>
    <x v="0"/>
  </r>
  <r>
    <n v="3375"/>
    <x v="3068"/>
    <x v="75"/>
    <x v="2"/>
    <s v="Unknown"/>
    <s v="Maputo, Mozambique"/>
    <s v="Military - Zimbabwe Air Force"/>
    <s v="Unknown"/>
    <s v="Chimoio - Harare"/>
    <x v="402"/>
    <n v="7312"/>
    <n v="9492"/>
    <n v="17"/>
    <n v="13"/>
    <n v="4"/>
    <n v="17"/>
    <n v="13"/>
    <n v="4"/>
    <n v="0"/>
    <s v="Crashed during takeoff."/>
    <n v="0"/>
    <n v="1"/>
    <x v="1"/>
  </r>
  <r>
    <n v="3376"/>
    <x v="3069"/>
    <x v="75"/>
    <x v="2"/>
    <d v="1899-12-30T00:23:00"/>
    <s v="Off St. Vincent, Leeward Islands"/>
    <s v="Leeward Islands Air Transport"/>
    <s v="Unknown"/>
    <s v="Vieux Fort - Kingstown"/>
    <x v="1220"/>
    <s v="V2-LCJ"/>
    <n v="785"/>
    <n v="13"/>
    <n v="11"/>
    <n v="2"/>
    <n v="13"/>
    <n v="11"/>
    <n v="2"/>
    <n v="0"/>
    <s v="Crashed into the sea in poor weather conditions."/>
    <n v="0"/>
    <n v="1"/>
    <x v="1"/>
  </r>
  <r>
    <n v="3377"/>
    <x v="3070"/>
    <x v="75"/>
    <x v="2"/>
    <d v="1899-12-30T11:30:00"/>
    <s v="Near Wampusirpi, Honduras"/>
    <s v="Military - Honduran Air Force"/>
    <s v="Unknown"/>
    <s v="Tegucigalpa - Duzuna"/>
    <x v="1562"/>
    <n v="556"/>
    <n v="3194"/>
    <n v="59"/>
    <n v="53"/>
    <n v="6"/>
    <n v="59"/>
    <n v="53"/>
    <n v="6"/>
    <n v="0"/>
    <s v="Crashed into the jungle in poor weather conditions as it approached Durzana Air Base."/>
    <n v="0"/>
    <n v="1"/>
    <x v="1"/>
  </r>
  <r>
    <n v="3378"/>
    <x v="3071"/>
    <x v="75"/>
    <x v="2"/>
    <d v="1899-12-30T10:30:00"/>
    <s v="Malakal, Sudan"/>
    <s v="Sudan Airways"/>
    <s v="Unknown"/>
    <s v="Malakal - Khartoum"/>
    <x v="1139"/>
    <s v="ST-ADY"/>
    <n v="10277"/>
    <n v="60"/>
    <n v="57"/>
    <n v="3"/>
    <n v="60"/>
    <n v="57"/>
    <n v="3"/>
    <n v="0"/>
    <s v="Shot down by SPLA rebels with surface-to-air missiles shortly after takeoff."/>
    <n v="0"/>
    <n v="1"/>
    <x v="1"/>
  </r>
  <r>
    <n v="3379"/>
    <x v="3072"/>
    <x v="75"/>
    <x v="2"/>
    <d v="1899-12-30T06:53:00"/>
    <s v="Texarkana, Arkansas"/>
    <s v="Southwest Airlift"/>
    <s v="Unknown"/>
    <s v="Little Rock - Texarkana"/>
    <x v="1563"/>
    <s v="N252K"/>
    <n v="2596"/>
    <n v="2"/>
    <n v="0"/>
    <n v="2"/>
    <n v="2"/>
    <n v="0"/>
    <n v="2"/>
    <n v="0"/>
    <s v="On takeoff the cargo plane pitched up, rolled inverted and crashed. Improperly loaded. Alcohol impairment of the pilot and co-pilot."/>
    <n v="0"/>
    <n v="1"/>
    <x v="1"/>
  </r>
  <r>
    <n v="3380"/>
    <x v="3073"/>
    <x v="75"/>
    <x v="2"/>
    <d v="1899-12-30T11:52:00"/>
    <s v="Cerritos, California"/>
    <s v="Aeromexico / Private"/>
    <n v="498"/>
    <s v="Tijuana - Los Angeles"/>
    <x v="1564"/>
    <s v="XA-JED/N4891F"/>
    <s v="47356/470 /?"/>
    <n v="67"/>
    <n v="58"/>
    <n v="9"/>
    <n v="67"/>
    <n v="58"/>
    <n v="9"/>
    <n v="15"/>
    <s v="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quot;see and avoid&quot; concept to ensure traffic separation under the conditions of the conflict."/>
    <n v="0"/>
    <n v="1"/>
    <x v="1"/>
  </r>
  <r>
    <n v="3381"/>
    <x v="3074"/>
    <x v="75"/>
    <x v="2"/>
    <d v="1899-12-30T06:00:00"/>
    <s v="Karachi, Pakistan"/>
    <s v="Pan American World Airways"/>
    <n v="73"/>
    <s v="Bombay-Karachi-Frankfurt-New York"/>
    <x v="1173"/>
    <s v="N656PA"/>
    <s v="20351/127"/>
    <n v="384"/>
    <n v="364"/>
    <n v="20"/>
    <n v="16"/>
    <n v="14"/>
    <n v="1"/>
    <n v="1"/>
    <s v="While on the ground, four hijackers opened fire on the passengers and crew and threw grenades among them, killing 16 passengers, one crew member and one ground crew member. The aircraft was named &quot;Clipper Empress of the Seas.&quot;"/>
    <n v="368"/>
    <n v="4.1666666666666664E-2"/>
    <x v="2"/>
  </r>
  <r>
    <n v="3382"/>
    <x v="3075"/>
    <x v="75"/>
    <x v="2"/>
    <s v="Unknown"/>
    <s v="Hopkinsville, Kentucky"/>
    <s v="Military - U.S. Air Force"/>
    <s v="Unknown"/>
    <s v="Unknown"/>
    <x v="805"/>
    <s v="56-0468"/>
    <n v="3076"/>
    <n v="4"/>
    <n v="0"/>
    <n v="4"/>
    <n v="3"/>
    <n v="0"/>
    <n v="3"/>
    <n v="0"/>
    <s v="Overran the runway and crashed."/>
    <n v="1"/>
    <n v="0.75"/>
    <x v="1"/>
  </r>
  <r>
    <n v="3383"/>
    <x v="3076"/>
    <x v="75"/>
    <x v="2"/>
    <d v="1899-12-30T14:58:00"/>
    <s v="Near Mantiqueira, Brazil"/>
    <s v="Atlantic Southeast Airlines"/>
    <s v="Unknown"/>
    <s v="Sao Jose dos Campo - Manaus"/>
    <x v="1565"/>
    <s v="N219AS"/>
    <n v="120019"/>
    <n v="5"/>
    <n v="3"/>
    <n v="2"/>
    <n v="5"/>
    <n v="3"/>
    <n v="2"/>
    <n v="0"/>
    <s v="On a delivery flight the aircraft struck a cloud covered mountain at 4,300 ft. Crew did not follow the prescribed course."/>
    <n v="0"/>
    <n v="1"/>
    <x v="1"/>
  </r>
  <r>
    <n v="3384"/>
    <x v="3077"/>
    <x v="75"/>
    <x v="2"/>
    <d v="1899-12-30T04:10:00"/>
    <s v="San Antonio, Texas"/>
    <s v="Southern Air Transport"/>
    <n v="15"/>
    <s v="Kelly AFB - Warner Robins AFB"/>
    <x v="1259"/>
    <s v="N15ST"/>
    <n v="4391"/>
    <n v="3"/>
    <n v="0"/>
    <n v="3"/>
    <n v="3"/>
    <n v="0"/>
    <n v="3"/>
    <n v="0"/>
    <s v="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
    <n v="0"/>
    <n v="1"/>
    <x v="1"/>
  </r>
  <r>
    <n v="3385"/>
    <x v="3078"/>
    <x v="75"/>
    <x v="2"/>
    <d v="1899-12-30T08:14:00"/>
    <s v="Ust-Maya, USSR"/>
    <s v="Aeroflot"/>
    <s v="Unknown"/>
    <s v="Ust-May - _x0009_Allah-Yun"/>
    <x v="1566"/>
    <s v="CCCP-67264"/>
    <n v="780905"/>
    <n v="14"/>
    <n v="12"/>
    <n v="2"/>
    <n v="14"/>
    <n v="12"/>
    <n v="2"/>
    <n v="0"/>
    <s v="Crashed into river on takeoff."/>
    <n v="0"/>
    <n v="1"/>
    <x v="1"/>
  </r>
  <r>
    <n v="3386"/>
    <x v="3079"/>
    <x v="75"/>
    <x v="2"/>
    <d v="1899-12-30T17:00:00"/>
    <s v="Chiraz, Iran"/>
    <s v="Iran Air"/>
    <s v="Unknown"/>
    <s v="Chiraz-TÃ©hÃ©ran"/>
    <x v="1567"/>
    <s v="EP-IRG"/>
    <s v="20499/284"/>
    <n v="80"/>
    <n v="75"/>
    <n v="5"/>
    <n v="3"/>
    <n v="3"/>
    <n v="0"/>
    <n v="0"/>
    <s v="Shiraz Airport was attacked by Iraqi aircraft. Passengers were deplaning at the time of the attack."/>
    <n v="77"/>
    <n v="3.7499999999999999E-2"/>
    <x v="2"/>
  </r>
  <r>
    <n v="3387"/>
    <x v="3080"/>
    <x v="75"/>
    <x v="2"/>
    <d v="1899-12-30T19:21:00"/>
    <s v="Near Komatipoot, South Africa"/>
    <s v="Government of Mozambique"/>
    <s v="Unknown"/>
    <s v="Lusaka - Maputo"/>
    <x v="1166"/>
    <s v="C9-CAA"/>
    <n v="63457"/>
    <n v="44"/>
    <n v="35"/>
    <n v="9"/>
    <n v="34"/>
    <n v="26"/>
    <n v="8"/>
    <n v="0"/>
    <s v="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
    <n v="10"/>
    <n v="0.77272727272727271"/>
    <x v="1"/>
  </r>
  <r>
    <n v="3388"/>
    <x v="3081"/>
    <x v="75"/>
    <x v="2"/>
    <d v="1899-12-30T15:58:00"/>
    <s v="Kuybyshev, Russia"/>
    <s v="Aeroflot"/>
    <s v="Unknown"/>
    <s v="Yekaterinburg - Kuybyshev"/>
    <x v="1166"/>
    <s v="CCCP-65766"/>
    <n v="62327"/>
    <n v="93"/>
    <n v="85"/>
    <n v="8"/>
    <n v="70"/>
    <n v="66"/>
    <n v="4"/>
    <n v="0"/>
    <s v="The plane made a hard landing, crashed and burst into flames after a straight-in hard landing without leveling off."/>
    <n v="23"/>
    <n v="0.75268817204301075"/>
    <x v="1"/>
  </r>
  <r>
    <n v="3389"/>
    <x v="3082"/>
    <x v="75"/>
    <x v="2"/>
    <d v="1899-12-30T16:45:00"/>
    <s v="Manhattan, New York"/>
    <s v="Private - WNBC"/>
    <s v="-"/>
    <s v="Traffic reporting"/>
    <x v="1568"/>
    <s v="N8617B"/>
    <n v="700"/>
    <n v="2"/>
    <n v="1"/>
    <n v="1"/>
    <n v="2"/>
    <n v="1"/>
    <n v="1"/>
    <n v="0"/>
    <s v="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
    <n v="0"/>
    <n v="1"/>
    <x v="1"/>
  </r>
  <r>
    <n v="3390"/>
    <x v="3083"/>
    <x v="75"/>
    <x v="2"/>
    <d v="1899-12-30T20:49:00"/>
    <s v="Near Peshawar, Pakistan"/>
    <s v="Pakistan International Airlines"/>
    <s v="Unknown"/>
    <s v="Lahore - Peshawar"/>
    <x v="1108"/>
    <s v="AP-AUX"/>
    <n v="10335"/>
    <n v="54"/>
    <n v="49"/>
    <n v="5"/>
    <n v="13"/>
    <n v="9"/>
    <n v="4"/>
    <n v="0"/>
    <s v="Crashed short of the runway on approach, broke up and landed inverted. Crew error. The aircraft was allowed to descent below MDA. Crew did not properly monitor the altitude."/>
    <n v="41"/>
    <n v="0.24074074074074073"/>
    <x v="2"/>
  </r>
  <r>
    <n v="3391"/>
    <x v="3084"/>
    <x v="75"/>
    <x v="2"/>
    <d v="1899-12-30T17:00:00"/>
    <s v="Near Managua, Nicaragua"/>
    <s v="Military - Nicaraguan Air Force"/>
    <s v="Unknown"/>
    <s v="Unknown"/>
    <x v="1569"/>
    <n v="294"/>
    <s v="Unknown"/>
    <n v="23"/>
    <n v="20"/>
    <n v="3"/>
    <n v="21"/>
    <n v="19"/>
    <n v="2"/>
    <n v="0"/>
    <s v="Either mechanical failure, weather or ground fire from Contra rebels brought the helicopter down."/>
    <n v="2"/>
    <n v="0.91304347826086951"/>
    <x v="1"/>
  </r>
  <r>
    <n v="3392"/>
    <x v="3085"/>
    <x v="75"/>
    <x v="2"/>
    <d v="1899-12-30T19:25:00"/>
    <s v="Near Zahedan, Iran"/>
    <s v="Military - Iranian Air Force"/>
    <s v="Unknown"/>
    <s v="Bakhtaran - Zahedan"/>
    <x v="1570"/>
    <s v="Unknown"/>
    <s v="Unknown"/>
    <n v="103"/>
    <n v="96"/>
    <n v="7"/>
    <n v="103"/>
    <n v="96"/>
    <n v="7"/>
    <n v="0"/>
    <s v="Struck the side of a mountain near the Pakistani border. Crew error. Descent below minimum safe altitude with a defective altimeter and in spite of warnings from the ATC."/>
    <n v="0"/>
    <n v="1"/>
    <x v="1"/>
  </r>
  <r>
    <n v="3393"/>
    <x v="3086"/>
    <x v="75"/>
    <x v="2"/>
    <s v="Unknown"/>
    <s v="Off Sumburgh Head, Shetlands, Scotland"/>
    <s v="British International Helicopters"/>
    <s v="Unknown"/>
    <s v="Unknown"/>
    <x v="1571"/>
    <s v="G-BWFC"/>
    <s v="MJ004"/>
    <n v="47"/>
    <n v="45"/>
    <n v="2"/>
    <n v="45"/>
    <n v="43"/>
    <n v="2"/>
    <n v="0"/>
    <s v="The helicopoter crashed into the North Sea while carrying oil workers back to Sumburgh. Rotor failure."/>
    <n v="2"/>
    <n v="0.95744680851063835"/>
    <x v="1"/>
  </r>
  <r>
    <n v="3394"/>
    <x v="3087"/>
    <x v="75"/>
    <x v="2"/>
    <s v="Unknown"/>
    <s v="Near Sarowbi, Afghanistan"/>
    <s v="Military - Afghan Republican Air Force"/>
    <s v="Unknown"/>
    <s v="Unknown"/>
    <x v="837"/>
    <s v="Unknown"/>
    <s v="Unknown"/>
    <n v="40"/>
    <n v="35"/>
    <n v="5"/>
    <n v="40"/>
    <n v="35"/>
    <n v="5"/>
    <n v="0"/>
    <s v="Shot down by Afghan rebels."/>
    <n v="0"/>
    <n v="1"/>
    <x v="1"/>
  </r>
  <r>
    <n v="3395"/>
    <x v="3088"/>
    <x v="75"/>
    <x v="2"/>
    <s v="Unknown"/>
    <s v="Berlin, East Germany"/>
    <s v="Aeroflot"/>
    <s v="Unknown"/>
    <s v="Minsk - Berlin"/>
    <x v="1166"/>
    <s v="CCCP-65795"/>
    <n v="63145"/>
    <n v="82"/>
    <n v="73"/>
    <n v="9"/>
    <n v="72"/>
    <n v="63"/>
    <n v="9"/>
    <n v="0"/>
    <s v="The aircraft crashed after landing on the wrong runway in fog. The crew did not understand the English instructions that the right runway was closed for repairs."/>
    <n v="10"/>
    <n v="0.87804878048780488"/>
    <x v="1"/>
  </r>
  <r>
    <n v="3396"/>
    <x v="3089"/>
    <x v="75"/>
    <x v="2"/>
    <s v="Unknown"/>
    <s v="Near Lanzhou, China"/>
    <s v="CAAC"/>
    <s v="Unknown"/>
    <s v="Lanzhou - Chengdu"/>
    <x v="1275"/>
    <s v="B-3413"/>
    <n v="37308907"/>
    <n v="44"/>
    <n v="37"/>
    <n v="7"/>
    <n v="6"/>
    <n v="6"/>
    <n v="0"/>
    <n v="0"/>
    <s v="The No. 2 engine failed due to severe icing conditions 30 minutes after leaving Lanzhou. With the prop feathered, the plane crashed before reaching the airport."/>
    <n v="38"/>
    <n v="0.13636363636363635"/>
    <x v="2"/>
  </r>
  <r>
    <n v="3397"/>
    <x v="3090"/>
    <x v="75"/>
    <x v="2"/>
    <d v="1899-12-30T12:30:00"/>
    <s v="Arar, Saudi Arabia"/>
    <s v="Iraqi Airways"/>
    <s v="Unknown"/>
    <s v="Baghdad - Amman"/>
    <x v="1572"/>
    <s v="YI-AGJ"/>
    <n v="21183"/>
    <n v="106"/>
    <n v="91"/>
    <n v="15"/>
    <n v="63"/>
    <n v="60"/>
    <n v="3"/>
    <n v="0"/>
    <s v="Hijacking.  While on a flight from Baghdad to Amman, hijackers exploded a hand grenade in the passenger cabin. While making an emergency descent a second hand grenade exploded in the cockpit causing the plane to lose control crash, break in two and catch fire."/>
    <n v="43"/>
    <n v="0.59433962264150941"/>
    <x v="0"/>
  </r>
  <r>
    <n v="3398"/>
    <x v="3091"/>
    <x v="75"/>
    <x v="2"/>
    <d v="1899-12-30T13:48:00"/>
    <s v="Near Nasaso, Fiji"/>
    <s v="Sunflower Airlines"/>
    <s v="Unknown"/>
    <s v="Savu Savu - Nadi"/>
    <x v="745"/>
    <s v="DQ-FEF"/>
    <n v="14056"/>
    <n v="14"/>
    <n v="12"/>
    <n v="2"/>
    <n v="11"/>
    <n v="9"/>
    <n v="2"/>
    <n v="0"/>
    <s v="The aircraft banked ninety degrees and crashed short of the runway. Loss of control due to mechanical failure. Use of a unsecured nonstandard flap attachment pin."/>
    <n v="3"/>
    <n v="0.7857142857142857"/>
    <x v="1"/>
  </r>
  <r>
    <n v="3399"/>
    <x v="3092"/>
    <x v="76"/>
    <x v="2"/>
    <d v="1899-12-30T16:30:00"/>
    <s v="Off Bata, Equatorial Guinea"/>
    <s v="Military - Spanish Air Force."/>
    <s v="Unknown"/>
    <s v="Bata - Malabo"/>
    <x v="1573"/>
    <s v="T-12B-32"/>
    <n v="65"/>
    <n v="22"/>
    <n v="19"/>
    <n v="3"/>
    <n v="22"/>
    <n v="19"/>
    <n v="3"/>
    <n v="0"/>
    <s v="The domestic flight crashed off the island of Bioko and sending a distress message. Engine failure."/>
    <n v="0"/>
    <n v="1"/>
    <x v="1"/>
  </r>
  <r>
    <n v="3400"/>
    <x v="3093"/>
    <x v="76"/>
    <x v="2"/>
    <d v="1899-12-30T01:45:00"/>
    <s v="Abidjan, Ivory Coast"/>
    <s v="Varig"/>
    <n v="797"/>
    <s v="Abidjan - Rio de Janeiro"/>
    <x v="1574"/>
    <s v="PP-VJK"/>
    <s v="19822/726"/>
    <n v="51"/>
    <n v="39"/>
    <n v="12"/>
    <n v="50"/>
    <n v="38"/>
    <n v="12"/>
    <n v="0"/>
    <s v="The plane crashed in the jungle while returning to Abidjan after taking off with the No. 1 engine on fire."/>
    <n v="1"/>
    <n v="0.98039215686274506"/>
    <x v="1"/>
  </r>
  <r>
    <n v="3401"/>
    <x v="3094"/>
    <x v="76"/>
    <x v="2"/>
    <d v="1899-12-30T13:30:00"/>
    <s v="Near Asmara, Ethiopia"/>
    <s v="Military - Ethiopian Air Force"/>
    <s v="Unknown"/>
    <s v="Asrmara - Addis Ababa"/>
    <x v="942"/>
    <s v="Unknown"/>
    <s v="Unknown"/>
    <n v="54"/>
    <n v="49"/>
    <n v="5"/>
    <n v="54"/>
    <n v="49"/>
    <n v="5"/>
    <n v="0"/>
    <s v="Crashed after taking off from Johannes IV Airport after attempting to return for an emergency landing. The crew radioed they were having technical difficulties three minutes after taking off. While attempting to return to the airport the plane crashd. Mechanical malfunction."/>
    <n v="0"/>
    <n v="1"/>
    <x v="1"/>
  </r>
  <r>
    <n v="3402"/>
    <x v="3095"/>
    <x v="76"/>
    <x v="2"/>
    <d v="1899-12-30T12:52:00"/>
    <s v="Salt Lake City, Utah"/>
    <s v="Skywest Airlines / Private."/>
    <n v="1834"/>
    <s v="Pocatello - Salt Lake City"/>
    <x v="1575"/>
    <s v="N163SW / N6485U"/>
    <s v="TC-327 /"/>
    <n v="10"/>
    <n v="8"/>
    <n v="2"/>
    <n v="10"/>
    <n v="8"/>
    <n v="2"/>
    <n v="0"/>
    <s v="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
    <n v="0"/>
    <n v="1"/>
    <x v="1"/>
  </r>
  <r>
    <n v="3403"/>
    <x v="3096"/>
    <x v="76"/>
    <x v="2"/>
    <d v="1899-12-30T08:11:00"/>
    <s v="Tashkent, Uzbekistan"/>
    <s v="Aeroflot"/>
    <s v="I-505"/>
    <s v="Tashkent - Shahrizyabz"/>
    <x v="1146"/>
    <s v="CCCP-87618"/>
    <n v="9131918"/>
    <n v="9"/>
    <n v="5"/>
    <n v="4"/>
    <n v="9"/>
    <n v="5"/>
    <n v="4"/>
    <n v="0"/>
    <s v="While taking off, the aircraft banked sharply to the left and crashed. Encounted a wake vortex from another aircraft."/>
    <n v="0"/>
    <n v="1"/>
    <x v="1"/>
  </r>
  <r>
    <n v="3404"/>
    <x v="3097"/>
    <x v="76"/>
    <x v="2"/>
    <s v="Unknown"/>
    <s v="Off Papua, New Guinea"/>
    <s v="Talair"/>
    <s v="Unknown"/>
    <s v="Rabaul - Hoskins"/>
    <x v="1576"/>
    <s v="P2-RDM"/>
    <s v="110-262"/>
    <n v="17"/>
    <n v="15"/>
    <n v="2"/>
    <n v="14"/>
    <n v="12"/>
    <n v="2"/>
    <n v="0"/>
    <s v="Ditched into the sea in poor weather conditions."/>
    <n v="3"/>
    <n v="0.82352941176470584"/>
    <x v="1"/>
  </r>
  <r>
    <n v="3405"/>
    <x v="3098"/>
    <x v="76"/>
    <x v="2"/>
    <d v="1899-12-30T11:30:00"/>
    <s v="Near Khost, Afghanistan"/>
    <s v="Military - Afghan Republican Air Force"/>
    <s v="Unknown"/>
    <s v="Khost - Kabul"/>
    <x v="1195"/>
    <s v="Unknown"/>
    <s v="Unknown"/>
    <n v="36"/>
    <n v="30"/>
    <n v="6"/>
    <n v="36"/>
    <n v="30"/>
    <n v="6"/>
    <n v="0"/>
    <s v="Shot down by a Stinger missile by Afghan guerillas."/>
    <n v="0"/>
    <n v="1"/>
    <x v="1"/>
  </r>
  <r>
    <n v="3406"/>
    <x v="3099"/>
    <x v="76"/>
    <x v="2"/>
    <d v="1899-12-30T14:34:00"/>
    <s v="Detroit, Michigan"/>
    <s v="Northwest Airlink"/>
    <n v="2268"/>
    <s v="Cleveland - Detroit"/>
    <x v="1577"/>
    <s v="N160FB"/>
    <n v="160"/>
    <n v="22"/>
    <n v="20"/>
    <n v="2"/>
    <n v="9"/>
    <n v="7"/>
    <n v="2"/>
    <n v="0"/>
    <s v="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
    <n v="13"/>
    <n v="0.40909090909090912"/>
    <x v="0"/>
  </r>
  <r>
    <n v="3407"/>
    <x v="3100"/>
    <x v="76"/>
    <x v="2"/>
    <d v="1899-12-30T19:10:00"/>
    <s v="Near Almaty, Kazakhstan"/>
    <s v="Aeroflot"/>
    <s v="Unknown"/>
    <s v="_x0009_Biysk - Alma-Ata"/>
    <x v="1195"/>
    <s v="CCCP-26007"/>
    <n v="9901"/>
    <n v="9"/>
    <n v="4"/>
    <n v="5"/>
    <n v="9"/>
    <n v="4"/>
    <n v="5"/>
    <n v="0"/>
    <s v="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
    <n v="0"/>
    <n v="1"/>
    <x v="1"/>
  </r>
  <r>
    <n v="3408"/>
    <x v="3101"/>
    <x v="76"/>
    <x v="2"/>
    <s v="Unknown"/>
    <s v="Spokane, Washington"/>
    <s v="Military - U.S. Air Force"/>
    <s v="Unknown"/>
    <s v="Training"/>
    <x v="1578"/>
    <s v="60-0361"/>
    <s v="18136/475"/>
    <n v="6"/>
    <n v="0"/>
    <n v="6"/>
    <n v="6"/>
    <n v="0"/>
    <n v="6"/>
    <n v="1"/>
    <s v="Stalled and went into a spin during a low-level refueling practice. The stall was propagated by the wake of a B-52."/>
    <n v="0"/>
    <n v="1"/>
    <x v="1"/>
  </r>
  <r>
    <n v="3409"/>
    <x v="3102"/>
    <x v="76"/>
    <x v="2"/>
    <d v="1899-12-30T13:55:00"/>
    <s v="Mount San Gorgonio, California"/>
    <s v="California Air National Guard"/>
    <s v="Unknown"/>
    <s v="Unknown"/>
    <x v="1579"/>
    <s v="64-0923"/>
    <n v="1403"/>
    <n v="2"/>
    <n v="0"/>
    <n v="2"/>
    <n v="2"/>
    <n v="0"/>
    <n v="2"/>
    <n v="0"/>
    <s v="Dean Paul &quot;Dino&quot; Martin, 35, son of entertainer Dean Martin was killed when the Phantom jet he was piloting crashed into the San Bernardino Mountains. Permission was given by March Air Force Base ATC to perform a &quot;maximum climb&quot;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quot;maximum climb&quot; takeoff, g forces associated with this type of flight and the dense cloud cover negatively affected the pilots ability to know his position and aircraft attitude."/>
    <n v="0"/>
    <n v="1"/>
    <x v="1"/>
  </r>
  <r>
    <n v="3410"/>
    <x v="3103"/>
    <x v="76"/>
    <x v="2"/>
    <d v="1899-12-30T11:00:00"/>
    <s v="Near Parachinar, Pakistan"/>
    <s v="Military - Afghan Republican Air Force"/>
    <s v="Unknown"/>
    <s v="Kaboul-Khost"/>
    <x v="1195"/>
    <s v="Unknown"/>
    <s v="Unknown"/>
    <n v="40"/>
    <n v="36"/>
    <n v="4"/>
    <n v="40"/>
    <n v="36"/>
    <n v="4"/>
    <n v="0"/>
    <s v="Shot down by a Pakistani F-16 jet fighter firing an air-to-air missile."/>
    <n v="0"/>
    <n v="1"/>
    <x v="1"/>
  </r>
  <r>
    <n v="3411"/>
    <x v="3104"/>
    <x v="76"/>
    <x v="2"/>
    <d v="1899-12-30T14:40:00"/>
    <s v="Medan-Polonia, Indonesia"/>
    <s v="Garuda Indonesia Airlines"/>
    <n v="35"/>
    <s v="Banda Aceh - Medan"/>
    <x v="1104"/>
    <s v="PK-GNQ"/>
    <s v="47741/836"/>
    <n v="45"/>
    <n v="37"/>
    <n v="8"/>
    <n v="27"/>
    <n v="23"/>
    <n v="4"/>
    <n v="0"/>
    <s v="The aircraft crashed on approach during heavy rain after hitting an antenna. Windshear."/>
    <n v="18"/>
    <n v="0.6"/>
    <x v="0"/>
  </r>
  <r>
    <n v="3412"/>
    <x v="3105"/>
    <x v="76"/>
    <x v="2"/>
    <d v="1899-12-30T21:55:00"/>
    <s v="Kansas City, Kansas"/>
    <s v="Burlington Air Express"/>
    <s v="Unknown"/>
    <s v="Wichita - Kansas City"/>
    <x v="1580"/>
    <s v="N144SP"/>
    <s v="19209/510"/>
    <n v="4"/>
    <n v="1"/>
    <n v="3"/>
    <n v="4"/>
    <n v="1"/>
    <n v="3"/>
    <n v="0"/>
    <s v="The cargo plane flew into the ground short of the runway despite warnings from the controller. Improper IFR procedure. Disregarded decision height. Disregarded warnings."/>
    <n v="0"/>
    <n v="1"/>
    <x v="1"/>
  </r>
  <r>
    <n v="3413"/>
    <x v="3106"/>
    <x v="76"/>
    <x v="2"/>
    <d v="1899-12-30T19:35:00"/>
    <s v="Wilmington, North Carolina"/>
    <s v="Air-Lift Commuter"/>
    <s v="Unknown"/>
    <s v="Wilmington - Lumberton"/>
    <x v="1581"/>
    <s v="N505LB"/>
    <s v="TC-202"/>
    <n v="2"/>
    <n v="0"/>
    <n v="2"/>
    <n v="2"/>
    <n v="0"/>
    <n v="2"/>
    <n v="0"/>
    <s v="The cargo plane lost the No. 2 engine while taking off and crashed into trees and caught fire. Poor in-flight planning. Emergency procedures not followed. The right engine did not have the latest welding process and failed causing a uncontained turbine failure."/>
    <n v="0"/>
    <n v="1"/>
    <x v="1"/>
  </r>
  <r>
    <n v="3414"/>
    <x v="3107"/>
    <x v="76"/>
    <x v="2"/>
    <s v="Unknown"/>
    <s v="Malakal, Sudan"/>
    <s v="Sasco Air Lines"/>
    <s v="Unknown"/>
    <s v="Malakal-Khartoum"/>
    <x v="1582"/>
    <s v="ST-AIJ"/>
    <s v="404-0612"/>
    <n v="14"/>
    <n v="12"/>
    <n v="2"/>
    <n v="14"/>
    <n v="12"/>
    <n v="2"/>
    <n v="0"/>
    <s v="Shot down by rebels shortly after taking off."/>
    <n v="0"/>
    <n v="1"/>
    <x v="1"/>
  </r>
  <r>
    <n v="3415"/>
    <x v="3108"/>
    <x v="76"/>
    <x v="2"/>
    <d v="1899-12-30T06:50:00"/>
    <s v="Mayaguez, Puerto Rico"/>
    <s v="American Eagle"/>
    <n v="5452"/>
    <s v="San Juan, PR - Mayaguez, PR"/>
    <x v="1577"/>
    <s v="N432CA"/>
    <n v="271"/>
    <n v="6"/>
    <n v="4"/>
    <n v="2"/>
    <n v="2"/>
    <n v="0"/>
    <n v="2"/>
    <n v="0"/>
    <s v="Improper maintenance in setting propeller flight idle blade angle and engine fuel flow resulting in a loss of control from an asymmetric power condition. A factor contributing to the accident was the pilot's unstabilized visual approach."/>
    <n v="4"/>
    <n v="0.33333333333333331"/>
    <x v="2"/>
  </r>
  <r>
    <n v="3416"/>
    <x v="3109"/>
    <x v="76"/>
    <x v="2"/>
    <d v="1899-12-30T11:12:00"/>
    <s v="Warsaw, Poland"/>
    <s v="LOT Polish Airlines"/>
    <n v="5055"/>
    <s v="Warsaw - New York City"/>
    <x v="1336"/>
    <s v="SP-LBG"/>
    <n v="3344942"/>
    <n v="183"/>
    <n v="172"/>
    <n v="11"/>
    <n v="183"/>
    <n v="172"/>
    <n v="11"/>
    <n v="0"/>
    <s v="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
    <n v="0"/>
    <n v="1"/>
    <x v="1"/>
  </r>
  <r>
    <n v="3417"/>
    <x v="3110"/>
    <x v="76"/>
    <x v="2"/>
    <d v="1899-12-30T18:00:00"/>
    <s v="Pickle Lake, Ontario, Canada"/>
    <s v="Air Manitoba"/>
    <s v="Unknown"/>
    <s v="Big Trout - Pickle Lake"/>
    <x v="443"/>
    <s v="C-FADD"/>
    <n v="26324"/>
    <n v="2"/>
    <n v="0"/>
    <n v="2"/>
    <n v="2"/>
    <n v="0"/>
    <n v="2"/>
    <n v="0"/>
    <s v="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
    <n v="0"/>
    <n v="1"/>
    <x v="1"/>
  </r>
  <r>
    <n v="3418"/>
    <x v="3111"/>
    <x v="76"/>
    <x v="2"/>
    <s v="Unknown"/>
    <s v="Santa Cruz, Bolivia"/>
    <s v="YPFB Transportes Aereos"/>
    <s v="Unknown"/>
    <s v="Camiri - Santa Cruz"/>
    <x v="1220"/>
    <s v="CP-1018"/>
    <n v="363"/>
    <n v="16"/>
    <n v="13"/>
    <n v="3"/>
    <n v="14"/>
    <n v="11"/>
    <n v="3"/>
    <n v="0"/>
    <s v="Crashed into high terrain in poor weather."/>
    <n v="2"/>
    <n v="0.875"/>
    <x v="1"/>
  </r>
  <r>
    <n v="3419"/>
    <x v="3112"/>
    <x v="76"/>
    <x v="2"/>
    <s v="Unknown"/>
    <s v="Near Ruteng, Indonesia"/>
    <s v="Merpati Nusantara Airlines"/>
    <s v="Unknown"/>
    <s v="Unknown"/>
    <x v="1220"/>
    <s v="PK-NUW"/>
    <n v="474"/>
    <n v="8"/>
    <n v="6"/>
    <n v="2"/>
    <n v="8"/>
    <n v="6"/>
    <n v="2"/>
    <n v="0"/>
    <s v="Crashed into a ditch while attempting to land at Ruteng."/>
    <n v="0"/>
    <n v="1"/>
    <x v="1"/>
  </r>
  <r>
    <n v="3420"/>
    <x v="3113"/>
    <x v="76"/>
    <x v="2"/>
    <s v="Unknown"/>
    <s v="Ilaga, Indonesia"/>
    <s v="Missionary Aviation Fellowship"/>
    <s v="Unknown"/>
    <s v="Unknown"/>
    <x v="1034"/>
    <s v="PK-MAM"/>
    <n v="76"/>
    <n v="30"/>
    <n v="29"/>
    <n v="1"/>
    <n v="7"/>
    <n v="6"/>
    <n v="1"/>
    <n v="0"/>
    <s v="Crashed into a ravine while attempting to land."/>
    <n v="23"/>
    <n v="0.23333333333333334"/>
    <x v="2"/>
  </r>
  <r>
    <n v="3421"/>
    <x v="3114"/>
    <x v="76"/>
    <x v="2"/>
    <d v="1899-12-30T06:30:00"/>
    <s v="Khost, Afghanistan"/>
    <s v="Bakhtar Afghan Airlines"/>
    <s v="Unknown"/>
    <s v="Khost-Kaboul"/>
    <x v="1195"/>
    <s v="YA-BAL"/>
    <n v="14105"/>
    <n v="53"/>
    <n v="48"/>
    <n v="5"/>
    <n v="53"/>
    <n v="48"/>
    <n v="5"/>
    <n v="0"/>
    <s v="Shot down by rebel forces with a surface-to-air missile."/>
    <n v="0"/>
    <n v="1"/>
    <x v="1"/>
  </r>
  <r>
    <n v="3422"/>
    <x v="3115"/>
    <x v="76"/>
    <x v="2"/>
    <d v="1899-12-30T10:00:00"/>
    <s v="Near Montelillo, Peru"/>
    <s v="Military - Peruvian Air Force"/>
    <s v="Unknown"/>
    <s v="Lima - Saposa"/>
    <x v="1195"/>
    <s v="FAP-392"/>
    <n v="5805"/>
    <n v="46"/>
    <n v="40"/>
    <n v="6"/>
    <n v="46"/>
    <n v="40"/>
    <n v="6"/>
    <n v="0"/>
    <s v="Crashed into a gorge near the Jerache River  while en route on a domestic flight in adverse weather conditions."/>
    <n v="0"/>
    <n v="1"/>
    <x v="1"/>
  </r>
  <r>
    <n v="3423"/>
    <x v="3116"/>
    <x v="76"/>
    <x v="2"/>
    <d v="1899-12-30T11:22:00"/>
    <s v="Berdiansk, USSR"/>
    <s v="Aeroflot"/>
    <s v="H-528"/>
    <s v="_x0009_Odessa - _x0009_Berdyansk"/>
    <x v="1146"/>
    <s v="CCCP-87826"/>
    <n v="9241824"/>
    <n v="29"/>
    <n v="24"/>
    <n v="5"/>
    <n v="8"/>
    <n v="6"/>
    <n v="2"/>
    <n v="0"/>
    <s v="The aircraft landed at a high rate of speed and a go-around was initiated but then aborted. The aircraft overran the runway, crashed into trees and caught fire."/>
    <n v="21"/>
    <n v="0.27586206896551724"/>
    <x v="2"/>
  </r>
  <r>
    <n v="3424"/>
    <x v="3117"/>
    <x v="76"/>
    <x v="2"/>
    <s v="Unknown"/>
    <s v="Heho, Burma"/>
    <s v="Burma Airways"/>
    <s v="Unknown"/>
    <s v="Heho - Mong Hsat"/>
    <x v="986"/>
    <s v="XY-ADP"/>
    <n v="10357"/>
    <n v="45"/>
    <n v="41"/>
    <n v="4"/>
    <n v="45"/>
    <n v="41"/>
    <n v="4"/>
    <n v="0"/>
    <s v="Crashed into mountains at 8,200 ft. 20 minutes after leaving Heho."/>
    <n v="0"/>
    <n v="1"/>
    <x v="1"/>
  </r>
  <r>
    <n v="3425"/>
    <x v="3118"/>
    <x v="76"/>
    <x v="2"/>
    <d v="1899-12-30T11:03:00"/>
    <s v="Near Baguio, Philippines"/>
    <s v="Philippine Air Lines"/>
    <s v="Unknown"/>
    <s v="Manila - Baguio"/>
    <x v="1473"/>
    <s v="RP-C1015"/>
    <n v="1637"/>
    <n v="50"/>
    <n v="46"/>
    <n v="4"/>
    <n v="50"/>
    <n v="46"/>
    <n v="4"/>
    <n v="0"/>
    <s v="The aircraft crashed into Mt. Ugu in monsoon rains and heavy fog while preparing to land at Baguio."/>
    <n v="0"/>
    <n v="1"/>
    <x v="1"/>
  </r>
  <r>
    <n v="3426"/>
    <x v="3119"/>
    <x v="76"/>
    <x v="2"/>
    <s v="Unknown"/>
    <s v="Fort Bragg AFB, North Carolina"/>
    <s v="Military - U.S. Air Force"/>
    <s v="Unknown"/>
    <s v="Unknown"/>
    <x v="1435"/>
    <s v="68-10945"/>
    <n v="4325"/>
    <n v="6"/>
    <n v="0"/>
    <n v="6"/>
    <n v="4"/>
    <n v="0"/>
    <n v="4"/>
    <n v="1"/>
    <s v="The aircraft was doing a drop and pulled up too late. The airplane skidded 1,000 yards down a dirt runway and struck a military vehicle, killing an Army soldier. The plane then impacted trees and broke up."/>
    <n v="2"/>
    <n v="0.66666666666666663"/>
    <x v="1"/>
  </r>
  <r>
    <n v="3427"/>
    <x v="3120"/>
    <x v="76"/>
    <x v="2"/>
    <s v="Unknown"/>
    <s v="Geneva, Switzerland"/>
    <s v="Air Afrique"/>
    <n v="56"/>
    <s v="Brazzaville - Paris"/>
    <x v="1405"/>
    <s v="Unknown"/>
    <s v="Unknown"/>
    <n v="163"/>
    <s v="NULL"/>
    <s v="NULL"/>
    <n v="1"/>
    <s v="NULL"/>
    <s v="NULL"/>
    <n v="0"/>
    <s v="Hijacked while en route from Rome, Italy to Paris, France. The hijacker killed one male passenger when the plane landed at Cointrin Airport in Switzerland to refuel, after which the plane was stormed by security personnel."/>
    <n v="162"/>
    <n v="6.1349693251533744E-3"/>
    <x v="2"/>
  </r>
  <r>
    <n v="3428"/>
    <x v="3121"/>
    <x v="76"/>
    <x v="2"/>
    <d v="1899-12-30T17:03:00"/>
    <s v="Mexico City, Mexico"/>
    <s v="Belize Air International Ltd."/>
    <s v="Unknown"/>
    <s v="Mexico City - Miami"/>
    <x v="1583"/>
    <s v="HI-481"/>
    <n v="16687"/>
    <n v="12"/>
    <n v="10"/>
    <n v="2"/>
    <n v="5"/>
    <n v="4"/>
    <n v="1"/>
    <n v="44"/>
    <s v="The cargo plane crashed on a roadway into a restaurant after taking off  in adverse weather conditions. Overloaded. Cargo shifted on takeoff."/>
    <n v="7"/>
    <n v="0.41666666666666669"/>
    <x v="0"/>
  </r>
  <r>
    <n v="3429"/>
    <x v="3122"/>
    <x v="76"/>
    <x v="2"/>
    <s v="Unknown"/>
    <s v="Calama, Chile"/>
    <s v="LAN"/>
    <s v="Unknown"/>
    <s v="Santiago - Calama"/>
    <x v="1551"/>
    <s v="CC-CHJ"/>
    <n v="22602"/>
    <n v="33"/>
    <n v="30"/>
    <n v="3"/>
    <n v="2"/>
    <n v="2"/>
    <n v="0"/>
    <n v="0"/>
    <s v="The landing gear failed after the aircraft touched down 520 meters short of the runway, broke in two and caught fire."/>
    <n v="31"/>
    <n v="6.0606060606060608E-2"/>
    <x v="2"/>
  </r>
  <r>
    <n v="3430"/>
    <x v="3123"/>
    <x v="76"/>
    <x v="2"/>
    <d v="1899-12-30T20:46:00"/>
    <s v="Romulus, Michigan"/>
    <s v="Northwest Airlines"/>
    <n v="255"/>
    <s v="Detroit, MI - Phoenix, AZ"/>
    <x v="1584"/>
    <s v="N312RC"/>
    <s v="48090/1040"/>
    <n v="155"/>
    <n v="149"/>
    <n v="6"/>
    <n v="154"/>
    <n v="148"/>
    <n v="6"/>
    <n v="2"/>
    <s v="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
    <n v="1"/>
    <n v="0.99354838709677418"/>
    <x v="1"/>
  </r>
  <r>
    <n v="3431"/>
    <x v="3124"/>
    <x v="76"/>
    <x v="2"/>
    <d v="1899-12-30T15:36:00"/>
    <s v="Off Ko Phuket, Thailand"/>
    <s v="Thai Airways"/>
    <n v="365"/>
    <s v="Hat Yai - Phuket"/>
    <x v="1585"/>
    <s v="HS-TBC"/>
    <s v="22267/685"/>
    <n v="83"/>
    <n v="74"/>
    <n v="9"/>
    <n v="83"/>
    <n v="74"/>
    <n v="9"/>
    <n v="0"/>
    <s v="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
    <n v="0"/>
    <n v="1"/>
    <x v="1"/>
  </r>
  <r>
    <n v="3432"/>
    <x v="3125"/>
    <x v="76"/>
    <x v="2"/>
    <s v="Unknown"/>
    <s v="Carajas, Brazil"/>
    <s v="Military - Brazilian Air Force"/>
    <s v="Unknown"/>
    <s v="Unknown"/>
    <x v="1586"/>
    <s v="FAB2129"/>
    <n v="25290"/>
    <n v="9"/>
    <n v="7"/>
    <n v="2"/>
    <n v="9"/>
    <n v="7"/>
    <n v="2"/>
    <n v="0"/>
    <s v="Crashed during takeoff."/>
    <n v="0"/>
    <n v="1"/>
    <x v="1"/>
  </r>
  <r>
    <n v="3433"/>
    <x v="3126"/>
    <x v="76"/>
    <x v="2"/>
    <s v="Unknown"/>
    <s v="Kunduz, Afghanistan"/>
    <s v="Aeroflot"/>
    <s v="Unknown"/>
    <s v="Kaboul-Kunduz"/>
    <x v="1195"/>
    <s v="Unknown"/>
    <s v="Unknown"/>
    <n v="15"/>
    <n v="13"/>
    <n v="2"/>
    <n v="15"/>
    <n v="13"/>
    <n v="2"/>
    <n v="0"/>
    <s v="Shot down by Afghan rebels on approach."/>
    <n v="0"/>
    <n v="1"/>
    <x v="1"/>
  </r>
  <r>
    <n v="3434"/>
    <x v="3127"/>
    <x v="76"/>
    <x v="2"/>
    <d v="1899-12-30T09:05:00"/>
    <s v="Luxor, Egypt"/>
    <s v="EgyptAir"/>
    <s v="Unknown"/>
    <s v="Training"/>
    <x v="1587"/>
    <s v="SU-BCA"/>
    <n v="115"/>
    <n v="5"/>
    <n v="0"/>
    <n v="5"/>
    <n v="5"/>
    <n v="0"/>
    <n v="5"/>
    <n v="0"/>
    <s v="The plane landed too far down the runway, overran the runway, struck runway lights went through a fence and broke up."/>
    <n v="0"/>
    <n v="1"/>
    <x v="1"/>
  </r>
  <r>
    <n v="3435"/>
    <x v="3128"/>
    <x v="76"/>
    <x v="2"/>
    <s v="Unknown"/>
    <s v="El Poleo, Colombia"/>
    <s v="Aeroejecutivos Colombia"/>
    <s v="Unknown"/>
    <s v="Unknown"/>
    <x v="1479"/>
    <s v="HK-2920"/>
    <n v="419"/>
    <n v="9"/>
    <n v="7"/>
    <n v="2"/>
    <n v="2"/>
    <n v="0"/>
    <n v="2"/>
    <n v="0"/>
    <s v="The aircraft crashed while attempting to make an emergency landing."/>
    <n v="7"/>
    <n v="0.22222222222222221"/>
    <x v="2"/>
  </r>
  <r>
    <n v="3436"/>
    <x v="3128"/>
    <x v="76"/>
    <x v="2"/>
    <s v="Unknown"/>
    <s v="Near Pagan, Myanmar"/>
    <s v="Burma Airways"/>
    <s v="Unknown"/>
    <s v="Rangoon - Nyaung-U"/>
    <x v="1161"/>
    <s v="XY-AEL"/>
    <n v="10689"/>
    <n v="49"/>
    <n v="45"/>
    <n v="4"/>
    <n v="49"/>
    <n v="45"/>
    <n v="4"/>
    <n v="0"/>
    <s v="The aircraft crashed into a ridge at 1, 500 ft. in heavy rain while attempting to land at Nyaung-U Airport ."/>
    <n v="0"/>
    <n v="1"/>
    <x v="1"/>
  </r>
  <r>
    <n v="3437"/>
    <x v="3129"/>
    <x v="76"/>
    <x v="2"/>
    <d v="1899-12-30T18:28:00"/>
    <s v="Mt. Crezzo, Italy"/>
    <s v="Aero Transporti Italiani"/>
    <n v="460"/>
    <s v="Milan - Koln"/>
    <x v="1588"/>
    <s v="I-ATRH"/>
    <n v="46"/>
    <n v="37"/>
    <n v="34"/>
    <n v="3"/>
    <n v="37"/>
    <n v="34"/>
    <n v="3"/>
    <n v="0"/>
    <s v="Shortly after taking off from Milan and passing through FL147, the aircraft nosed down and crashed into a mountain, in icing conditions. Icing of the wings."/>
    <n v="0"/>
    <n v="1"/>
    <x v="1"/>
  </r>
  <r>
    <n v="3438"/>
    <x v="3130"/>
    <x v="76"/>
    <x v="2"/>
    <s v="Unknown"/>
    <s v="Komsomolsk-on-Amur, Russia"/>
    <s v="MAP"/>
    <s v="Unknown"/>
    <s v="Unknown"/>
    <x v="1160"/>
    <s v="CCCP-12162"/>
    <n v="9346702"/>
    <n v="9"/>
    <n v="2"/>
    <n v="7"/>
    <n v="9"/>
    <n v="2"/>
    <n v="7"/>
    <n v="0"/>
    <s v="The plane overran the runway while attempting to take off crashed into a building and was destroyed."/>
    <n v="0"/>
    <n v="1"/>
    <x v="1"/>
  </r>
  <r>
    <n v="3439"/>
    <x v="3131"/>
    <x v="76"/>
    <x v="2"/>
    <d v="1899-12-30T08:15:00"/>
    <s v="Indianapolis, Indiana"/>
    <s v="Military - U.S. Air Force"/>
    <s v="Unknown"/>
    <s v="Pittsburg, PA - Nellis AFB"/>
    <x v="1589"/>
    <s v="Unknown"/>
    <s v="Unknown"/>
    <n v="11"/>
    <n v="0"/>
    <n v="11"/>
    <n v="10"/>
    <n v="0"/>
    <n v="10"/>
    <n v="10"/>
    <s v="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
    <n v="1"/>
    <n v="0.90909090909090906"/>
    <x v="1"/>
  </r>
  <r>
    <n v="3440"/>
    <x v="3132"/>
    <x v="76"/>
    <x v="2"/>
    <d v="1899-12-30T08:30:00"/>
    <s v="Ulongue, Malawi"/>
    <s v="Air Malawi"/>
    <s v="Unknown"/>
    <s v="Blantyre - Lilongwe"/>
    <x v="1590"/>
    <s v="7Q-YMB"/>
    <s v="SH-1971"/>
    <n v="10"/>
    <n v="8"/>
    <n v="2"/>
    <n v="10"/>
    <n v="8"/>
    <n v="2"/>
    <n v="0"/>
    <s v="Shot down by rebels."/>
    <n v="0"/>
    <n v="1"/>
    <x v="1"/>
  </r>
  <r>
    <n v="3441"/>
    <x v="3133"/>
    <x v="76"/>
    <x v="2"/>
    <d v="1899-12-30T14:15:00"/>
    <s v="Denver, Colorado"/>
    <s v="Continental Airlines"/>
    <n v="1713"/>
    <s v="Denver, CO - Boise, ID"/>
    <x v="1020"/>
    <s v="N626TX"/>
    <s v="45726/36"/>
    <n v="82"/>
    <n v="77"/>
    <n v="5"/>
    <n v="28"/>
    <n v="25"/>
    <n v="3"/>
    <n v="0"/>
    <s v="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
    <n v="54"/>
    <n v="0.34146341463414637"/>
    <x v="2"/>
  </r>
  <r>
    <n v="3442"/>
    <x v="3134"/>
    <x v="76"/>
    <x v="2"/>
    <d v="1899-12-30T18:25:00"/>
    <s v="Homer, Alaska"/>
    <s v="Ryan Air Services"/>
    <n v="103"/>
    <s v="Kodiak - Homer"/>
    <x v="1591"/>
    <s v="N401RA"/>
    <s v="UB-58"/>
    <n v="21"/>
    <n v="19"/>
    <n v="2"/>
    <n v="18"/>
    <n v="16"/>
    <n v="2"/>
    <n v="0"/>
    <s v="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
    <n v="3"/>
    <n v="0.8571428571428571"/>
    <x v="1"/>
  </r>
  <r>
    <n v="3443"/>
    <x v="3135"/>
    <x v="76"/>
    <x v="2"/>
    <d v="1899-12-30T04:00:00"/>
    <s v="Off Mauritius, Indian Ocean"/>
    <s v="South African Airways"/>
    <n v="295"/>
    <s v="Taipei, Taiwan -  Mauritius - Johannesburg, South Africa"/>
    <x v="1592"/>
    <s v="ZS-SAS"/>
    <s v="22171/488"/>
    <n v="159"/>
    <n v="140"/>
    <n v="19"/>
    <n v="159"/>
    <n v="140"/>
    <n v="19"/>
    <n v="0"/>
    <s v="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n v="0"/>
    <n v="1"/>
    <x v="1"/>
  </r>
  <r>
    <n v="3444"/>
    <x v="3136"/>
    <x v="76"/>
    <x v="2"/>
    <d v="1899-12-30T11:30:00"/>
    <s v="Over the Andaman Sea"/>
    <s v="Korean Airlines"/>
    <n v="858"/>
    <s v="Abu Dhabi - Bangkok"/>
    <x v="1593"/>
    <s v="HL-7406"/>
    <s v="20522/855"/>
    <n v="115"/>
    <n v="104"/>
    <n v="11"/>
    <n v="115"/>
    <n v="104"/>
    <n v="11"/>
    <n v="0"/>
    <s v="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
    <n v="0"/>
    <n v="1"/>
    <x v="1"/>
  </r>
  <r>
    <n v="3445"/>
    <x v="3137"/>
    <x v="76"/>
    <x v="2"/>
    <d v="1899-12-30T16:00:00"/>
    <s v="Near Kishwati, Rwanda"/>
    <s v="Cooper Skybird Air Charters"/>
    <s v="Unknown"/>
    <s v="Goma-Nairobi"/>
    <x v="1454"/>
    <s v="5Y-EJS"/>
    <s v="Unknown"/>
    <n v="14"/>
    <n v="13"/>
    <n v="1"/>
    <n v="14"/>
    <n v="13"/>
    <n v="1"/>
    <n v="0"/>
    <s v="The aircraft crashed  into a top of a tree 10 km from the airport, about 18 minutes after taking off,"/>
    <n v="0"/>
    <n v="1"/>
    <x v="1"/>
  </r>
  <r>
    <n v="3446"/>
    <x v="3138"/>
    <x v="76"/>
    <x v="2"/>
    <d v="1899-12-30T16:16:00"/>
    <s v="San Luis Obispo, California"/>
    <s v="Pacific Southwest Airlines"/>
    <n v="1771"/>
    <s v="Los Angeles - San Fransisco"/>
    <x v="1594"/>
    <s v="N350PS"/>
    <s v="E-2027"/>
    <n v="43"/>
    <n v="38"/>
    <n v="5"/>
    <n v="43"/>
    <n v="38"/>
    <n v="5"/>
    <n v="0"/>
    <s v="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quot;Thereâ€™s gunfire aboard.&quot;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
    <n v="0"/>
    <n v="1"/>
    <x v="1"/>
  </r>
  <r>
    <n v="3447"/>
    <x v="3139"/>
    <x v="76"/>
    <x v="2"/>
    <d v="1899-12-30T20:15:00"/>
    <s v="Off Lima, Peru"/>
    <s v="Peruvian Naval Aviation"/>
    <s v="Unknown"/>
    <s v="Pucallpa - Lima"/>
    <x v="1139"/>
    <s v="AE-560"/>
    <n v="10548"/>
    <n v="43"/>
    <n v="37"/>
    <n v="6"/>
    <n v="42"/>
    <n v="37"/>
    <n v="5"/>
    <n v="0"/>
    <s v="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
    <n v="1"/>
    <n v="0.97674418604651159"/>
    <x v="1"/>
  </r>
  <r>
    <n v="3448"/>
    <x v="3140"/>
    <x v="76"/>
    <x v="2"/>
    <d v="1899-12-30T07:20:00"/>
    <s v="Near Iligan, Philippines"/>
    <s v="Philippine Air Lines"/>
    <n v="443"/>
    <s v="Cebu - Iligan"/>
    <x v="1595"/>
    <s v="EI-BTJ"/>
    <s v="SH-3719"/>
    <n v="15"/>
    <n v="11"/>
    <n v="4"/>
    <n v="15"/>
    <n v="11"/>
    <n v="4"/>
    <n v="0"/>
    <s v="Crashed into Mt. Munay at 5,000 ft. while approaching Maria Cristina for landing."/>
    <n v="0"/>
    <n v="1"/>
    <x v="1"/>
  </r>
  <r>
    <n v="3449"/>
    <x v="3141"/>
    <x v="76"/>
    <x v="2"/>
    <d v="1899-12-30T21:30:00"/>
    <s v="Off Vila dos Remidos, Brazil"/>
    <s v="Military - Brazilian Air Force"/>
    <s v="Unknown"/>
    <s v="Recife - Fernando de Noronha"/>
    <x v="1262"/>
    <s v="FAB2468"/>
    <n v="4998"/>
    <n v="29"/>
    <n v="23"/>
    <n v="6"/>
    <n v="29"/>
    <n v="23"/>
    <n v="6"/>
    <n v="0"/>
    <s v="Crashed into the Atlantic Ocean while en route for reasons unknown."/>
    <n v="0"/>
    <n v="1"/>
    <x v="1"/>
  </r>
  <r>
    <n v="3450"/>
    <x v="3142"/>
    <x v="76"/>
    <x v="2"/>
    <d v="1899-12-30T15:10:00"/>
    <s v="Bordeaux, France"/>
    <s v="Air Littoral"/>
    <s v="Unknown"/>
    <s v="Brussels - Bordeaux"/>
    <x v="1596"/>
    <s v="F-GEGH"/>
    <s v="120-033"/>
    <n v="16"/>
    <n v="13"/>
    <n v="3"/>
    <n v="16"/>
    <n v="13"/>
    <n v="3"/>
    <n v="0"/>
    <s v="Crashed short of the runway and struck trees in fog after being diverted due to the weather."/>
    <n v="0"/>
    <n v="1"/>
    <x v="1"/>
  </r>
  <r>
    <n v="3451"/>
    <x v="3142"/>
    <x v="76"/>
    <x v="2"/>
    <s v="Unknown"/>
    <s v="Eugene Island"/>
    <s v="Air Taxi - Petroleum Helicopters Inc."/>
    <s v="Unknown"/>
    <s v="Unknown"/>
    <x v="1597"/>
    <s v="N3596N"/>
    <n v="1588"/>
    <n v="15"/>
    <n v="13"/>
    <n v="2"/>
    <n v="15"/>
    <n v="13"/>
    <n v="2"/>
    <n v="0"/>
    <s v="The helicopter crashed while attempting to land on an oil rig. Improper planned approach. Clearance not maintained."/>
    <n v="0"/>
    <n v="1"/>
    <x v="1"/>
  </r>
  <r>
    <n v="3452"/>
    <x v="3143"/>
    <x v="76"/>
    <x v="2"/>
    <s v="Unknown"/>
    <s v="Pacific Ocean"/>
    <s v="Merpati Nasantara Airlines"/>
    <s v="Unknown"/>
    <s v="Samarinda - Berau"/>
    <x v="1220"/>
    <s v="PK-NUY"/>
    <n v="459"/>
    <n v="17"/>
    <n v="14"/>
    <n v="3"/>
    <n v="17"/>
    <n v="14"/>
    <n v="3"/>
    <n v="0"/>
    <s v="Disappeared between Samarinda and Berau, Indonesia."/>
    <n v="0"/>
    <n v="1"/>
    <x v="1"/>
  </r>
  <r>
    <n v="3453"/>
    <x v="3144"/>
    <x v="77"/>
    <x v="2"/>
    <d v="1899-12-30T19:20:00"/>
    <s v="Izmir, Turkey"/>
    <s v="Condor Flugdienst"/>
    <n v="3780"/>
    <s v="Stuttgart - Izmir"/>
    <x v="1598"/>
    <s v="D-ABHD"/>
    <s v="22635/774"/>
    <n v="16"/>
    <n v="11"/>
    <n v="5"/>
    <n v="16"/>
    <n v="11"/>
    <n v="5"/>
    <n v="0"/>
    <s v="The aircraft was off the ILS sidebeam and crashed into a hill on approach in poor weather. The crew used the wrong VOR and ILS. Pilot overconfidence and co-pilot inactivity during the approach."/>
    <n v="0"/>
    <n v="1"/>
    <x v="1"/>
  </r>
  <r>
    <n v="3454"/>
    <x v="3145"/>
    <x v="77"/>
    <x v="2"/>
    <s v="Unknown"/>
    <s v="Mt. Colorado, Bolivia"/>
    <s v="ETA - Empresa Transportes AÃ©reos"/>
    <s v="Unknown"/>
    <s v="Unknown"/>
    <x v="1599"/>
    <s v="CP-1244"/>
    <n v="246"/>
    <n v="9"/>
    <n v="6"/>
    <n v="3"/>
    <n v="9"/>
    <n v="6"/>
    <n v="3"/>
    <n v="0"/>
    <s v="Struck Mt. Colorado in poor weather."/>
    <n v="0"/>
    <n v="1"/>
    <x v="1"/>
  </r>
  <r>
    <n v="3455"/>
    <x v="3145"/>
    <x v="77"/>
    <x v="2"/>
    <d v="1899-12-30T04:20:00"/>
    <s v="Krosnovodsk, USSR"/>
    <s v="Aeroflot"/>
    <s v="Unknown"/>
    <s v="Moscow - Krosnovodsk"/>
    <x v="1600"/>
    <s v="CCCP-85254"/>
    <s v="77A254"/>
    <n v="143"/>
    <n v="137"/>
    <n v="6"/>
    <n v="11"/>
    <n v="11"/>
    <n v="0"/>
    <n v="0"/>
    <s v="Broke in two after a heavy landing. Crew error. Co-pilot was flying the plane against requirements that the pilot fly the plane."/>
    <n v="132"/>
    <n v="7.6923076923076927E-2"/>
    <x v="2"/>
  </r>
  <r>
    <n v="3456"/>
    <x v="3145"/>
    <x v="77"/>
    <x v="2"/>
    <d v="1899-12-30T22:17:00"/>
    <s v="Near Chungking, Sichuan, China"/>
    <s v="China Southwest Airlines"/>
    <n v="4146"/>
    <s v="Beijing - Chongqing"/>
    <x v="913"/>
    <s v="B-222"/>
    <n v="187009901"/>
    <n v="108"/>
    <n v="98"/>
    <n v="10"/>
    <n v="108"/>
    <n v="98"/>
    <n v="10"/>
    <n v="0"/>
    <s v="The aircraft crashed 10 minutes before its scheduled landing. Fire in and failure of the No. 4 engine led to separation of the pylon and engine and loss of control of the aircraft. Overheating of the feathering oil. Poor maintenance procedures."/>
    <n v="0"/>
    <n v="1"/>
    <x v="1"/>
  </r>
  <r>
    <n v="3457"/>
    <x v="3146"/>
    <x v="77"/>
    <x v="2"/>
    <d v="1899-12-30T19:00:00"/>
    <s v="Bayfield, Colorado"/>
    <s v="Trans Colorado AL / Continental Express"/>
    <n v="2286"/>
    <s v="Denver, CO - Durango, CO"/>
    <x v="1601"/>
    <s v="N68TC"/>
    <s v="AC-457"/>
    <n v="17"/>
    <n v="15"/>
    <n v="2"/>
    <n v="9"/>
    <n v="7"/>
    <n v="2"/>
    <n v="0"/>
    <s v="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
    <n v="8"/>
    <n v="0.52941176470588236"/>
    <x v="0"/>
  </r>
  <r>
    <n v="3458"/>
    <x v="3146"/>
    <x v="77"/>
    <x v="2"/>
    <s v="Unknown"/>
    <s v="Green Island, Taiwan"/>
    <s v="Taiwan Airlines"/>
    <s v="Unknown"/>
    <s v="Taitung-Lyudao"/>
    <x v="1499"/>
    <s v="B-11125"/>
    <n v="2029"/>
    <n v="11"/>
    <n v="10"/>
    <n v="1"/>
    <n v="10"/>
    <n v="9"/>
    <n v="1"/>
    <n v="0"/>
    <s v="Crashed in mountains."/>
    <n v="1"/>
    <n v="0.90909090909090906"/>
    <x v="1"/>
  </r>
  <r>
    <n v="3459"/>
    <x v="3147"/>
    <x v="77"/>
    <x v="2"/>
    <d v="1899-12-30T16:49:00"/>
    <s v="Near Nizhnevartovsk, Russia"/>
    <s v="Aeroflot"/>
    <s v="Unknown"/>
    <s v="Nizhnevartovsk - Tyumen"/>
    <x v="1146"/>
    <s v="CCCP-87549"/>
    <n v="9531442"/>
    <n v="31"/>
    <n v="27"/>
    <n v="4"/>
    <n v="27"/>
    <n v="23"/>
    <n v="4"/>
    <n v="0"/>
    <s v="The plane stalled and crashed after a loss of engine power on takeoff. The engine throttles were reduced at  a critical stage of the takeoff for undetermined reasons, probably by the crew."/>
    <n v="4"/>
    <n v="0.87096774193548387"/>
    <x v="1"/>
  </r>
  <r>
    <n v="3460"/>
    <x v="3148"/>
    <x v="77"/>
    <x v="2"/>
    <s v="Unknown"/>
    <s v="Panama"/>
    <s v="Military - Fuerza AÃ©rea Panamena"/>
    <s v="Unknown"/>
    <s v="Unknown"/>
    <x v="1577"/>
    <s v="FAP215"/>
    <n v="237"/>
    <n v="16"/>
    <n v="14"/>
    <n v="2"/>
    <n v="16"/>
    <n v="14"/>
    <n v="2"/>
    <n v="0"/>
    <s v="Flew into a mountain."/>
    <n v="0"/>
    <n v="1"/>
    <x v="1"/>
  </r>
  <r>
    <n v="3461"/>
    <x v="3149"/>
    <x v="77"/>
    <x v="2"/>
    <d v="1899-12-30T07:58:00"/>
    <s v="Near Mulheim, Germany"/>
    <s v="NFD - Nurnberger Flugdienst"/>
    <n v="108"/>
    <s v="Hannover - Dusseldorf"/>
    <x v="1480"/>
    <s v="D-CABB"/>
    <s v="AC-500"/>
    <n v="21"/>
    <n v="19"/>
    <n v="2"/>
    <n v="21"/>
    <n v="19"/>
    <n v="2"/>
    <n v="0"/>
    <s v="The plane was struck by lightning and suffered a complete electrical failure after which the right wing broke off during an uncontrollable descent."/>
    <n v="0"/>
    <n v="1"/>
    <x v="1"/>
  </r>
  <r>
    <n v="3462"/>
    <x v="3150"/>
    <x v="77"/>
    <x v="2"/>
    <d v="1899-12-30T21:27:00"/>
    <s v="Cary, North Carolina"/>
    <s v="AV Air / American Eagle"/>
    <n v="3378"/>
    <s v="Raleigh - Richmond"/>
    <x v="1602"/>
    <s v="N622AV"/>
    <s v="AC-622"/>
    <n v="12"/>
    <n v="10"/>
    <n v="2"/>
    <n v="12"/>
    <n v="10"/>
    <n v="2"/>
    <n v="0"/>
    <s v="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
    <n v="0"/>
    <n v="1"/>
    <x v="1"/>
  </r>
  <r>
    <n v="3463"/>
    <x v="3151"/>
    <x v="77"/>
    <x v="2"/>
    <d v="1899-12-30T04:08:00"/>
    <s v="Surgut, Russia"/>
    <s v="Aeroflot"/>
    <s v="Unknown"/>
    <s v="Tyumen - Surgut"/>
    <x v="1166"/>
    <s v="CCCP-65675"/>
    <n v="1351501"/>
    <n v="51"/>
    <n v="45"/>
    <n v="6"/>
    <n v="20"/>
    <n v="17"/>
    <n v="3"/>
    <n v="0"/>
    <s v="The aircraft made a hard landing beside the runway, broke up and caught fire. Crew error. Visual contact with the runway was lost as the aircraft descended through the decision height."/>
    <n v="31"/>
    <n v="0.39215686274509803"/>
    <x v="0"/>
  </r>
  <r>
    <n v="3464"/>
    <x v="3151"/>
    <x v="77"/>
    <x v="2"/>
    <d v="1899-12-30T10:25:00"/>
    <s v="Near Ercan, Cyprus"/>
    <s v="Talia Airways"/>
    <s v="Unknown"/>
    <s v="Istanbul - Ercan"/>
    <x v="1603"/>
    <s v="TC-AKD"/>
    <s v="20930/1044"/>
    <n v="15"/>
    <n v="9"/>
    <n v="6"/>
    <n v="15"/>
    <n v="9"/>
    <n v="6"/>
    <n v="0"/>
    <s v="Crashed into mountain 20 kms E of Kyrenia Turkey while on approach. Crew error. Pilot discontinued IFR approach and descended ignoring mountains ahead. Realizing his mistake, he tried to climb and turn left but struck the mountain."/>
    <n v="0"/>
    <n v="1"/>
    <x v="1"/>
  </r>
  <r>
    <n v="3465"/>
    <x v="3152"/>
    <x v="77"/>
    <x v="2"/>
    <d v="1899-12-30T17:28:00"/>
    <s v="Near Johannesburg, South Africa"/>
    <s v="Commercial Airways (Comair)"/>
    <n v="206"/>
    <s v="Phalaborwa - Johannesburg"/>
    <x v="1449"/>
    <s v="ZS-LGP"/>
    <s v="110-402"/>
    <n v="17"/>
    <n v="15"/>
    <n v="2"/>
    <n v="17"/>
    <n v="15"/>
    <n v="2"/>
    <n v="0"/>
    <s v="The aircraft crashed and burned 8 miles from Jan Smuts Airport while attemping to land. Detonation of a bomb consisting of nitro-glycerine and ammonium nitrate. A mineworker who heavily insured himself was thought to have committed suicide."/>
    <n v="0"/>
    <n v="1"/>
    <x v="1"/>
  </r>
  <r>
    <n v="3466"/>
    <x v="3153"/>
    <x v="77"/>
    <x v="2"/>
    <d v="1899-12-30T06:37:00"/>
    <s v="Near Fontainebleau, France"/>
    <s v="Transport Arien Transregional"/>
    <n v="230"/>
    <s v="Nancy - Paris"/>
    <x v="1604"/>
    <s v="F-GCPS"/>
    <n v="546"/>
    <n v="23"/>
    <n v="20"/>
    <n v="3"/>
    <n v="23"/>
    <n v="20"/>
    <n v="3"/>
    <n v="0"/>
    <s v="Crashed after hitting power lines while making an approach to Orly. Electrical system failure."/>
    <n v="0"/>
    <n v="1"/>
    <x v="1"/>
  </r>
  <r>
    <n v="3467"/>
    <x v="3154"/>
    <x v="77"/>
    <x v="2"/>
    <d v="1899-12-30T21:45:00"/>
    <s v="Near Clarksville, Tennessee"/>
    <s v="Military - U.S. Army"/>
    <s v="Unknown"/>
    <s v="Unknown"/>
    <x v="1605"/>
    <s v="8524462/8724605"/>
    <s v="Unknown"/>
    <n v="17"/>
    <s v="NULL"/>
    <s v="NULL"/>
    <n v="17"/>
    <s v="NULL"/>
    <s v="NULL"/>
    <n v="0"/>
    <s v="The two helicopters collided in mid-air in the dark and crashed on the Fort Campbell military base. Pilot error."/>
    <n v="0"/>
    <n v="1"/>
    <x v="1"/>
  </r>
  <r>
    <n v="3468"/>
    <x v="3155"/>
    <x v="77"/>
    <x v="2"/>
    <d v="1899-12-30T13:17:00"/>
    <s v="Near Cucuta, N of  Santander, Colombia"/>
    <s v="AVIANCA"/>
    <n v="410"/>
    <s v="Cucuta - Cartagena"/>
    <x v="1606"/>
    <s v="HK-1716"/>
    <s v="18999/240"/>
    <n v="143"/>
    <n v="136"/>
    <n v="7"/>
    <n v="143"/>
    <n v="136"/>
    <n v="7"/>
    <n v="0"/>
    <s v="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
    <n v="0"/>
    <n v="1"/>
    <x v="1"/>
  </r>
  <r>
    <n v="3469"/>
    <x v="3156"/>
    <x v="77"/>
    <x v="2"/>
    <d v="1899-12-30T04:10:00"/>
    <s v="Cairo, Egypt"/>
    <s v="Arax Airlines"/>
    <s v="Unknown"/>
    <s v="Cairo - Sharjah"/>
    <x v="1607"/>
    <s v="5N-ARH"/>
    <s v="45859/253"/>
    <n v="4"/>
    <n v="0"/>
    <n v="4"/>
    <n v="4"/>
    <n v="0"/>
    <n v="4"/>
    <n v="0"/>
    <s v="During a second attempt to take off an engine on the cargo plane failed causing the plane to crash at the end of the runway."/>
    <n v="0"/>
    <n v="1"/>
    <x v="1"/>
  </r>
  <r>
    <n v="3470"/>
    <x v="3157"/>
    <x v="77"/>
    <x v="2"/>
    <s v="Unknown"/>
    <s v="Combi, Cyprus"/>
    <s v="Kuwait Airways"/>
    <s v="Unknown"/>
    <s v="Bangkok - Kuwait"/>
    <x v="1608"/>
    <s v="9K-ADA"/>
    <n v="21541"/>
    <n v="112"/>
    <s v="NULL"/>
    <s v="NULL"/>
    <n v="2"/>
    <s v="NULL"/>
    <s v="NULL"/>
    <n v="0"/>
    <s v="Hijacking. Two hostages killed on the ground."/>
    <n v="110"/>
    <n v="1.7857142857142856E-2"/>
    <x v="2"/>
  </r>
  <r>
    <n v="3471"/>
    <x v="3158"/>
    <x v="77"/>
    <x v="2"/>
    <d v="1899-12-30T15:10:00"/>
    <s v="Near MazÃ¢r-e Charif, Afghanistan"/>
    <s v="Military - Afghan Republican Air Force"/>
    <s v="Unknown"/>
    <s v="Maimana - Mazar"/>
    <x v="1195"/>
    <s v="Unknown"/>
    <s v="Unknown"/>
    <n v="29"/>
    <n v="26"/>
    <n v="3"/>
    <n v="29"/>
    <n v="26"/>
    <n v="3"/>
    <n v="0"/>
    <s v="Shot down by Afghan guerillas with an anti-aircraft missile."/>
    <n v="0"/>
    <n v="1"/>
    <x v="1"/>
  </r>
  <r>
    <n v="3472"/>
    <x v="3159"/>
    <x v="77"/>
    <x v="2"/>
    <d v="1899-12-30T20:09:00"/>
    <s v="Near Hennenman, South Africa"/>
    <s v="United Airways"/>
    <s v="Unknown"/>
    <s v="Bloemfontein - Johannesburg"/>
    <x v="507"/>
    <s v="ZS-UAS"/>
    <n v="6154"/>
    <n v="24"/>
    <n v="21"/>
    <n v="3"/>
    <n v="24"/>
    <n v="21"/>
    <n v="3"/>
    <n v="0"/>
    <s v="The plane crashed after fire broke out at FL90 and an emergency descent was made. A leak at the right booster pump was the source of the fire."/>
    <n v="0"/>
    <n v="1"/>
    <x v="1"/>
  </r>
  <r>
    <n v="3473"/>
    <x v="3160"/>
    <x v="77"/>
    <x v="2"/>
    <d v="1899-12-30T05:03:00"/>
    <s v="Bagdarin, USSR"/>
    <s v="Aeroflot"/>
    <s v="Unknown"/>
    <s v="Muya - Bagdarin"/>
    <x v="1609"/>
    <s v="CCCP67518"/>
    <n v="851422"/>
    <n v="17"/>
    <n v="15"/>
    <n v="2"/>
    <n v="17"/>
    <n v="15"/>
    <n v="2"/>
    <n v="0"/>
    <s v="Crashed into a mountain during descent  in poor weather."/>
    <n v="0"/>
    <n v="1"/>
    <x v="1"/>
  </r>
  <r>
    <n v="3474"/>
    <x v="3161"/>
    <x v="77"/>
    <x v="2"/>
    <s v="Unknown"/>
    <s v="Near Tchamulate, Angola"/>
    <s v="Military - Cuban Air Force"/>
    <s v="Unknown"/>
    <s v="Unknown"/>
    <x v="1195"/>
    <s v="14-27"/>
    <n v="7007"/>
    <n v="29"/>
    <n v="26"/>
    <n v="3"/>
    <n v="29"/>
    <n v="26"/>
    <n v="3"/>
    <n v="0"/>
    <s v="Shot down with a surface-to-air missile."/>
    <n v="0"/>
    <n v="1"/>
    <x v="1"/>
  </r>
  <r>
    <n v="3475"/>
    <x v="3162"/>
    <x v="77"/>
    <x v="2"/>
    <d v="1899-12-30T13:46:00"/>
    <s v="Maui, Hawaii"/>
    <s v="Aloha Airlines"/>
    <n v="243"/>
    <s v="Hilo - Honolulu"/>
    <x v="1610"/>
    <s v="N73711"/>
    <n v="20209"/>
    <n v="95"/>
    <n v="90"/>
    <n v="5"/>
    <n v="1"/>
    <n v="0"/>
    <n v="1"/>
    <n v="0"/>
    <s v="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
    <n v="94"/>
    <n v="1.0526315789473684E-2"/>
    <x v="2"/>
  </r>
  <r>
    <n v="3476"/>
    <x v="3163"/>
    <x v="77"/>
    <x v="2"/>
    <d v="1899-12-30T22:29:00"/>
    <s v="Near Broennoysund, Norway"/>
    <s v="Wideroe's Flyveselksap"/>
    <n v="710"/>
    <s v="Namsos - Bronnoysund"/>
    <x v="1611"/>
    <s v="LN-WFN"/>
    <n v="28"/>
    <n v="36"/>
    <n v="33"/>
    <n v="3"/>
    <n v="36"/>
    <n v="33"/>
    <n v="3"/>
    <n v="0"/>
    <s v="Crashed into a hillside during approach in foggy weather. The crew started the approach to 4NM too early. Navigation error. Pilot error."/>
    <n v="0"/>
    <n v="1"/>
    <x v="1"/>
  </r>
  <r>
    <n v="3477"/>
    <x v="3164"/>
    <x v="77"/>
    <x v="2"/>
    <d v="1899-12-30T12:55:00"/>
    <s v="New Orleans, Louisiana"/>
    <s v="TACA"/>
    <s v="Unknown"/>
    <s v="Belize City, Belize - New Orleans, LA"/>
    <x v="1612"/>
    <s v="N75356"/>
    <n v="23838"/>
    <n v="45"/>
    <n v="38"/>
    <n v="7"/>
    <n v="0"/>
    <n v="0"/>
    <n v="0"/>
    <n v="0"/>
    <s v="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
    <n v="45"/>
    <n v="0"/>
    <x v="2"/>
  </r>
  <r>
    <n v="3478"/>
    <x v="3165"/>
    <x v="77"/>
    <x v="2"/>
    <s v="Unknown"/>
    <s v="Puerto Limon, Costa Rica"/>
    <s v="Aeronica"/>
    <s v="Unknown"/>
    <s v="Unknown"/>
    <x v="528"/>
    <s v="YN-CBE"/>
    <s v="Unknown"/>
    <n v="6"/>
    <n v="0"/>
    <n v="6"/>
    <n v="6"/>
    <n v="0"/>
    <n v="6"/>
    <n v="0"/>
    <s v="The cargo plane crashed."/>
    <n v="0"/>
    <n v="1"/>
    <x v="1"/>
  </r>
  <r>
    <n v="3479"/>
    <x v="3165"/>
    <x v="77"/>
    <x v="2"/>
    <d v="1899-12-30T22:25:00"/>
    <s v="Hannover, Germany"/>
    <s v="Starair"/>
    <s v="Unknown"/>
    <s v="Billund - Hannover - Nurnberg"/>
    <x v="1108"/>
    <s v="OY-APE"/>
    <n v="10443"/>
    <n v="2"/>
    <n v="0"/>
    <n v="2"/>
    <n v="2"/>
    <n v="0"/>
    <n v="2"/>
    <n v="0"/>
    <s v="While landing the cargo plane pitched up for a go-around causing cargo to shift and the plane to lose control and crash."/>
    <n v="0"/>
    <n v="1"/>
    <x v="1"/>
  </r>
  <r>
    <n v="3480"/>
    <x v="3166"/>
    <x v="77"/>
    <x v="2"/>
    <d v="1899-12-30T09:23:00"/>
    <s v="Posadas, Argentina"/>
    <s v="Austral Lineas Aeras (Argentina)"/>
    <s v="Unknown"/>
    <s v="Resistencia - Posadas"/>
    <x v="1457"/>
    <s v="N1003G"/>
    <s v="48050/989"/>
    <n v="22"/>
    <n v="16"/>
    <n v="6"/>
    <n v="22"/>
    <n v="16"/>
    <n v="6"/>
    <n v="0"/>
    <s v="The airliner crashed 3 miles short of the runway in poor visibility. Crew's overconfidence and  incorrect in-flight planning."/>
    <n v="0"/>
    <n v="1"/>
    <x v="1"/>
  </r>
  <r>
    <n v="3481"/>
    <x v="3167"/>
    <x v="77"/>
    <x v="2"/>
    <s v="Unknown"/>
    <s v="Central Mozambique"/>
    <s v="Military - Mozambique Air Force"/>
    <s v="Unknown"/>
    <s v="Unknown"/>
    <x v="1481"/>
    <s v="Unknown"/>
    <s v="Unknown"/>
    <n v="25"/>
    <s v="NULL"/>
    <s v="NULL"/>
    <n v="21"/>
    <s v="NULL"/>
    <s v="NULL"/>
    <n v="0"/>
    <s v="No data available"/>
    <n v="4"/>
    <n v="0.84"/>
    <x v="1"/>
  </r>
  <r>
    <n v="3482"/>
    <x v="3168"/>
    <x v="77"/>
    <x v="2"/>
    <d v="1899-12-30T14:45:00"/>
    <s v="Habsheim, France"/>
    <s v="Air France"/>
    <s v="296Q"/>
    <s v="Basel - Basel"/>
    <x v="1613"/>
    <s v="F-GFKC"/>
    <n v="9"/>
    <n v="136"/>
    <n v="130"/>
    <n v="6"/>
    <n v="3"/>
    <n v="3"/>
    <n v="0"/>
    <n v="0"/>
    <s v="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
    <n v="133"/>
    <n v="2.2058823529411766E-2"/>
    <x v="2"/>
  </r>
  <r>
    <n v="3483"/>
    <x v="3169"/>
    <x v="77"/>
    <x v="2"/>
    <d v="1899-12-30T10:55:00"/>
    <s v="Over the Persian Gulf, near Bandar Abbas, Iran"/>
    <s v="Iran Air"/>
    <n v="655"/>
    <s v="Bandar Abbas - Dubai"/>
    <x v="1614"/>
    <s v="EP-IBU"/>
    <n v="186"/>
    <n v="290"/>
    <n v="278"/>
    <n v="12"/>
    <n v="290"/>
    <n v="278"/>
    <n v="12"/>
    <n v="0"/>
    <s v="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
    <n v="0"/>
    <n v="1"/>
    <x v="1"/>
  </r>
  <r>
    <n v="3484"/>
    <x v="3170"/>
    <x v="77"/>
    <x v="2"/>
    <d v="1899-12-30T16:00:00"/>
    <s v="Barranquilla, Colombia"/>
    <s v="Lineas AÃ©reas Suramericanas"/>
    <s v="Unknown"/>
    <s v="Barranquilla - Miami"/>
    <x v="1154"/>
    <s v="HK-3148"/>
    <n v="39"/>
    <n v="8"/>
    <n v="0"/>
    <n v="8"/>
    <n v="8"/>
    <n v="0"/>
    <n v="8"/>
    <n v="0"/>
    <s v="Shortly after taking off the crew of the cargo plane experienced failure of the No. 4 engine and a fire. While attemping to return to the airport control was lost and the plane crashed."/>
    <n v="0"/>
    <n v="1"/>
    <x v="1"/>
  </r>
  <r>
    <n v="3485"/>
    <x v="3171"/>
    <x v="77"/>
    <x v="2"/>
    <d v="1899-12-30T19:25:00"/>
    <s v="Golden Meadow, Louisiana"/>
    <s v="TACA"/>
    <s v="Unknown"/>
    <s v="El Salvador - New Orleans"/>
    <x v="738"/>
    <s v="N33VX"/>
    <s v="44615/541"/>
    <n v="3"/>
    <n v="0"/>
    <n v="3"/>
    <n v="3"/>
    <n v="0"/>
    <n v="3"/>
    <n v="0"/>
    <s v="The cargo plane ran out of fuel and crashed into a dirt bank . Fuel starvaion. Open drain valve inside the No. 4 engine led to the loss of fuel."/>
    <n v="0"/>
    <n v="1"/>
    <x v="1"/>
  </r>
  <r>
    <n v="3486"/>
    <x v="3172"/>
    <x v="77"/>
    <x v="2"/>
    <s v="Unknown"/>
    <s v="Near Lagos, Nigeria"/>
    <s v="Angola Air Charter"/>
    <s v="Unknown"/>
    <s v="Oostende, Belgium - Lagos, Nigeria"/>
    <x v="1615"/>
    <s v="D2-TOV"/>
    <s v="18881/436"/>
    <n v="6"/>
    <n v="0"/>
    <n v="6"/>
    <n v="6"/>
    <n v="0"/>
    <n v="6"/>
    <n v="0"/>
    <s v="Crashed on approach."/>
    <n v="0"/>
    <n v="1"/>
    <x v="1"/>
  </r>
  <r>
    <n v="3487"/>
    <x v="3173"/>
    <x v="77"/>
    <x v="2"/>
    <s v="Unknown"/>
    <s v="Sofia, Bulgaria"/>
    <s v="Balkan Bulgarian Airlines"/>
    <s v="Unknown"/>
    <s v="Sofia  - Varna"/>
    <x v="1146"/>
    <s v="LZ-DOK"/>
    <n v="9620247"/>
    <n v="37"/>
    <n v="33"/>
    <n v="4"/>
    <n v="29"/>
    <n v="26"/>
    <n v="3"/>
    <n v="0"/>
    <s v="Crashed on takeoff from Sophia airport en route to Varna. Possible crew error. The stabilizer was set in the full &quot;Down&quot; position, instead it was supposed to be set between 2.5-3 degrees in &quot;the Up&quot; position."/>
    <n v="8"/>
    <n v="0.78378378378378377"/>
    <x v="1"/>
  </r>
  <r>
    <n v="3488"/>
    <x v="3174"/>
    <x v="77"/>
    <x v="2"/>
    <s v="Unknown"/>
    <s v="Northern Afghanistan"/>
    <s v="Military - Afghan Republican Air Force"/>
    <s v="Unknown"/>
    <s v="Kaboul-Kunduz"/>
    <x v="1141"/>
    <s v="Unknown"/>
    <s v="Unknown"/>
    <n v="39"/>
    <n v="35"/>
    <n v="4"/>
    <n v="39"/>
    <n v="35"/>
    <n v="4"/>
    <n v="0"/>
    <s v="Shot down by a surface-to-air missile."/>
    <n v="0"/>
    <n v="1"/>
    <x v="1"/>
  </r>
  <r>
    <n v="3489"/>
    <x v="3175"/>
    <x v="77"/>
    <x v="2"/>
    <d v="1899-12-30T16:30:00"/>
    <s v="Bahawalpur, Pakistan"/>
    <s v="Military - Pakistan Air Force"/>
    <s v="Unknown"/>
    <s v="Bahawalpur - Islamabad"/>
    <x v="1013"/>
    <n v="23494"/>
    <n v="3708"/>
    <n v="30"/>
    <s v="NULL"/>
    <s v="NULL"/>
    <n v="30"/>
    <s v="NULL"/>
    <s v="NULL"/>
    <n v="0"/>
    <s v="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
    <n v="0"/>
    <n v="1"/>
    <x v="1"/>
  </r>
  <r>
    <n v="3490"/>
    <x v="3176"/>
    <x v="77"/>
    <x v="2"/>
    <d v="1899-12-30T23:20:00"/>
    <s v="Irkutsk, Russia"/>
    <s v="Aeroflot"/>
    <s v="Unknown"/>
    <s v="Kirensk - Irkutsk"/>
    <x v="1616"/>
    <s v="CCCP-67235"/>
    <n v="770801"/>
    <n v="4"/>
    <n v="2"/>
    <n v="2"/>
    <n v="4"/>
    <n v="2"/>
    <n v="2"/>
    <n v="0"/>
    <s v="The crew failed to set the altimeters to the proper setting while landing. The plane descended until it contacted trees, broke up and caught fire. Crew fatigue was a factor."/>
    <n v="0"/>
    <n v="1"/>
    <x v="1"/>
  </r>
  <r>
    <n v="3491"/>
    <x v="3177"/>
    <x v="77"/>
    <x v="2"/>
    <s v="Unknown"/>
    <s v="Merida, Mexico"/>
    <s v="Aerocaribe"/>
    <s v="Unknown"/>
    <s v="Unknown"/>
    <x v="689"/>
    <s v="XA-HUL"/>
    <n v="229"/>
    <n v="20"/>
    <s v="NULL"/>
    <s v="NULL"/>
    <n v="1"/>
    <s v="NULL"/>
    <s v="NULL"/>
    <n v="0"/>
    <s v="Crashed while taking off."/>
    <n v="19"/>
    <n v="0.05"/>
    <x v="2"/>
  </r>
  <r>
    <n v="3492"/>
    <x v="3177"/>
    <x v="77"/>
    <x v="2"/>
    <d v="1899-12-30T09:19:00"/>
    <s v="Kowloon Bay, Hong Kong"/>
    <s v="CAAC"/>
    <n v="301"/>
    <s v="Guangzhou - Hong Kong"/>
    <x v="1617"/>
    <s v="B-2218"/>
    <n v="2159"/>
    <n v="89"/>
    <n v="78"/>
    <n v="11"/>
    <n v="7"/>
    <n v="1"/>
    <n v="6"/>
    <n v="0"/>
    <s v="The right outboard flap of the plane hit the approach lights of Runway 31. The right main landing gear collapsed and the aircraft ran off the runway into the harbor."/>
    <n v="82"/>
    <n v="7.8651685393258425E-2"/>
    <x v="2"/>
  </r>
  <r>
    <n v="3493"/>
    <x v="3177"/>
    <x v="77"/>
    <x v="2"/>
    <d v="1899-12-30T09:01:00"/>
    <s v="Dallas, Texas"/>
    <s v="Delta Air Lines"/>
    <n v="1141"/>
    <s v="Dallas/Fort Worth, TX - Salt Lake City, UT"/>
    <x v="1618"/>
    <s v="N473DA"/>
    <s v="20750/992"/>
    <n v="108"/>
    <n v="101"/>
    <n v="7"/>
    <n v="14"/>
    <n v="12"/>
    <n v="2"/>
    <n v="0"/>
    <s v="The aircraft stalled and crashed during takeoff, hitting a ILS localizer antenna, 1,000 feet beyond the end of the runway. Crew error. Improperly set flaps and slats. Failure of the takeoff safety warning system."/>
    <n v="94"/>
    <n v="0.12962962962962962"/>
    <x v="2"/>
  </r>
  <r>
    <n v="3494"/>
    <x v="3177"/>
    <x v="77"/>
    <x v="2"/>
    <d v="1899-12-30T10:00:00"/>
    <s v="Cerro de la Calera, Mexico"/>
    <s v="Transporte Aereo Federal"/>
    <s v="Unknown"/>
    <s v="Uruapan - Lazro"/>
    <x v="1449"/>
    <s v="XC-COX"/>
    <s v="110-192"/>
    <n v="20"/>
    <n v="18"/>
    <n v="2"/>
    <n v="20"/>
    <n v="18"/>
    <n v="2"/>
    <n v="0"/>
    <s v="The plane disappeared after taking off from Uruapan. Wreckage was found in the western Sierre Madre mountains."/>
    <n v="0"/>
    <n v="1"/>
    <x v="1"/>
  </r>
  <r>
    <n v="3495"/>
    <x v="3178"/>
    <x v="77"/>
    <x v="2"/>
    <d v="1899-12-30T11:38:00"/>
    <s v="Bangkok, Thailand"/>
    <s v="Hang Khong (Vietnam)"/>
    <n v="831"/>
    <s v="Hanoi - Bangkok"/>
    <x v="1166"/>
    <s v="VN-A102"/>
    <n v="60925"/>
    <n v="90"/>
    <n v="84"/>
    <n v="6"/>
    <n v="76"/>
    <n v="73"/>
    <n v="3"/>
    <n v="0"/>
    <s v="The aircraft crashed during approach in heavy rain and thunderstorms short of the runway. The crew descended below minimum altitude while over the outer marker. The plane lost height due to a microburst induced windshear when passing under a thunderstorm on final."/>
    <n v="14"/>
    <n v="0.84444444444444444"/>
    <x v="1"/>
  </r>
  <r>
    <n v="3496"/>
    <x v="3179"/>
    <x v="77"/>
    <x v="2"/>
    <d v="1899-12-30T14:30:00"/>
    <s v="Lago Agrio, Ecuador"/>
    <s v="TAME Ecuador"/>
    <s v="Unknown"/>
    <s v="Lago Agrio - Quito"/>
    <x v="1240"/>
    <s v="HC-AZY"/>
    <n v="1052"/>
    <n v="7"/>
    <n v="1"/>
    <n v="6"/>
    <n v="7"/>
    <n v="1"/>
    <n v="6"/>
    <n v="0"/>
    <s v="The positioning flight took off with one bad engine. Another engine failed and the plane crashed and burst into flames."/>
    <n v="0"/>
    <n v="1"/>
    <x v="1"/>
  </r>
  <r>
    <n v="3497"/>
    <x v="3180"/>
    <x v="77"/>
    <x v="2"/>
    <d v="1899-12-30T13:05:00"/>
    <s v="Bahar Dar, Ethiopia"/>
    <s v="Ethiopian Airlines"/>
    <n v="604"/>
    <s v="Bahar Dar - Asmara"/>
    <x v="1619"/>
    <s v="ET-AJA"/>
    <s v="23914/1456"/>
    <n v="104"/>
    <n v="98"/>
    <n v="6"/>
    <n v="35"/>
    <n v="35"/>
    <n v="0"/>
    <n v="0"/>
    <s v="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
    <n v="69"/>
    <n v="0.33653846153846156"/>
    <x v="2"/>
  </r>
  <r>
    <n v="3498"/>
    <x v="3181"/>
    <x v="77"/>
    <x v="2"/>
    <d v="1899-12-30T20:30:00"/>
    <s v="Near Miram, Pakistan"/>
    <s v="Military - Afghan Republican Air Force"/>
    <s v="Unknown"/>
    <s v="Unknown"/>
    <x v="1195"/>
    <s v="Unknown"/>
    <s v="Unknown"/>
    <n v="34"/>
    <s v="NULL"/>
    <s v="NULL"/>
    <n v="34"/>
    <s v="NULL"/>
    <s v="NULL"/>
    <n v="0"/>
    <s v="Accidentally shot down by Pakistani anti-aircraft fire after straying out of Afghan air space."/>
    <n v="0"/>
    <n v="1"/>
    <x v="1"/>
  </r>
  <r>
    <n v="3499"/>
    <x v="3182"/>
    <x v="77"/>
    <x v="2"/>
    <s v="Unknown"/>
    <s v="Sao Pedro da Aldeia, Brazil"/>
    <s v="Aramar"/>
    <s v="Unknown"/>
    <s v="Unknown"/>
    <x v="1620"/>
    <s v="PT-LJR"/>
    <s v="LA-093"/>
    <n v="8"/>
    <n v="7"/>
    <n v="1"/>
    <n v="8"/>
    <n v="7"/>
    <n v="1"/>
    <n v="0"/>
    <s v="No data available"/>
    <n v="0"/>
    <n v="1"/>
    <x v="1"/>
  </r>
  <r>
    <n v="3500"/>
    <x v="3183"/>
    <x v="77"/>
    <x v="2"/>
    <d v="1899-12-30T23:00:00"/>
    <s v="Near Batagay, Russia"/>
    <s v="Aeroflot"/>
    <s v="Unknown"/>
    <s v="Tikis - Batagay"/>
    <x v="1621"/>
    <s v="CCCP-11418"/>
    <n v="401712"/>
    <n v="6"/>
    <n v="0"/>
    <n v="6"/>
    <n v="6"/>
    <n v="0"/>
    <n v="6"/>
    <n v="0"/>
    <s v="The cargo flight crew decided on a visual approach, ignored the GPWS warning and flew into a mountain."/>
    <n v="0"/>
    <n v="1"/>
    <x v="1"/>
  </r>
  <r>
    <n v="3501"/>
    <x v="3184"/>
    <x v="77"/>
    <x v="2"/>
    <d v="1899-12-30T13:21:00"/>
    <s v="Linfen, China"/>
    <s v="Shanxi Airlines"/>
    <s v="Unknown"/>
    <s v="Sightseeing"/>
    <x v="770"/>
    <s v="B-4218"/>
    <n v="6341406"/>
    <n v="48"/>
    <n v="44"/>
    <n v="4"/>
    <n v="44"/>
    <n v="40"/>
    <n v="4"/>
    <n v="2"/>
    <s v="The sightseeing  plane crashed into a hotel shortly after takeoff. The left engine had failed following a fatigue fracture in the engine's oil pump drive shaft."/>
    <n v="4"/>
    <n v="0.91666666666666663"/>
    <x v="1"/>
  </r>
  <r>
    <n v="3502"/>
    <x v="3185"/>
    <x v="77"/>
    <x v="2"/>
    <d v="1899-12-30T14:20:00"/>
    <s v="Wurtsmith AFB, Michigan"/>
    <s v="Military - U.S. Air Force"/>
    <s v="Unknown"/>
    <s v="Sawyer AFB - Wurtsmith AFB"/>
    <x v="794"/>
    <s v="60-0317"/>
    <s v="18092/431"/>
    <n v="17"/>
    <n v="0"/>
    <n v="17"/>
    <n v="6"/>
    <n v="0"/>
    <n v="6"/>
    <n v="0"/>
    <s v="Crashed after returning from Sawyer AFB in Michigan."/>
    <n v="11"/>
    <n v="0.35294117647058826"/>
    <x v="0"/>
  </r>
  <r>
    <n v="3503"/>
    <x v="3186"/>
    <x v="77"/>
    <x v="2"/>
    <d v="1899-12-30T00:30:00"/>
    <s v="Rome, Italy"/>
    <s v="Uganda Airlines"/>
    <n v="775"/>
    <s v="London - Rome"/>
    <x v="1622"/>
    <s v="5X-UBC"/>
    <s v="19630/746"/>
    <n v="52"/>
    <n v="45"/>
    <n v="7"/>
    <n v="33"/>
    <n v="26"/>
    <n v="7"/>
    <n v="0"/>
    <s v="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
    <n v="19"/>
    <n v="0.63461538461538458"/>
    <x v="0"/>
  </r>
  <r>
    <n v="3504"/>
    <x v="3187"/>
    <x v="77"/>
    <x v="2"/>
    <d v="1899-12-30T07:00:00"/>
    <s v="Near Ahmedabad, India"/>
    <s v="Indian Airlines"/>
    <n v="113"/>
    <s v="Bombay - Ahmadabad"/>
    <x v="1232"/>
    <s v="VT-EAH"/>
    <s v="20481/271"/>
    <n v="129"/>
    <n v="124"/>
    <n v="5"/>
    <n v="124"/>
    <n v="119"/>
    <n v="5"/>
    <n v="0"/>
    <s v="The plane hit an electrical mast, 5 miles short of runway during an approach in fog and burst into flames. Error on the part of pilot-in-command as well as co-pilot due to non adherence to procedures under poor visibility conditions."/>
    <n v="5"/>
    <n v="0.96124031007751942"/>
    <x v="1"/>
  </r>
  <r>
    <n v="3505"/>
    <x v="3187"/>
    <x v="77"/>
    <x v="2"/>
    <d v="1899-12-30T08:30:00"/>
    <s v="Gauhati, India"/>
    <s v="Vayudoot"/>
    <s v="Unknown"/>
    <s v="Silchar - Gauhati"/>
    <x v="848"/>
    <s v="VT-DMC"/>
    <n v="10173"/>
    <n v="34"/>
    <n v="31"/>
    <n v="3"/>
    <n v="34"/>
    <n v="31"/>
    <n v="3"/>
    <n v="0"/>
    <s v="Crashed short of the runway. Controlled flight into terrain."/>
    <n v="0"/>
    <n v="1"/>
    <x v="1"/>
  </r>
  <r>
    <n v="3506"/>
    <x v="3188"/>
    <x v="77"/>
    <x v="2"/>
    <d v="1899-12-30T10:53:00"/>
    <s v="Juliaca, Peru"/>
    <s v="Aero Peru"/>
    <s v="Unknown"/>
    <s v="Juliaca - Arequipa"/>
    <x v="1221"/>
    <s v="OB-R-1020"/>
    <n v="11059"/>
    <n v="69"/>
    <n v="65"/>
    <n v="4"/>
    <n v="12"/>
    <n v="11"/>
    <n v="1"/>
    <n v="0"/>
    <s v="Crashed shortly after taking off from Manco Capac airport at Juliaca. The pilot tried to return to the runway but crashed in a high nose-up attitude into a pasture. The plane broke in two and burst into flames."/>
    <n v="57"/>
    <n v="0.17391304347826086"/>
    <x v="2"/>
  </r>
  <r>
    <n v="3507"/>
    <x v="3189"/>
    <x v="77"/>
    <x v="2"/>
    <s v="Unknown"/>
    <s v="Near Rzeszow, Poland"/>
    <s v="LOT Polish Airlines"/>
    <n v="703"/>
    <s v="Warszawa - Rzeszow"/>
    <x v="1009"/>
    <s v="SP-LTD"/>
    <n v="67302209"/>
    <n v="29"/>
    <n v="25"/>
    <n v="4"/>
    <n v="1"/>
    <n v="1"/>
    <n v="0"/>
    <n v="0"/>
    <s v="The plane attempted to make an emergency landing due to engine failure, struck a ditch and caught fire."/>
    <n v="28"/>
    <n v="3.4482758620689655E-2"/>
    <x v="2"/>
  </r>
  <r>
    <n v="3508"/>
    <x v="3190"/>
    <x v="77"/>
    <x v="2"/>
    <d v="1899-12-30T07:14:00"/>
    <s v="Ilmajoki, Finland"/>
    <s v="Wasa Wings"/>
    <s v="Unknown"/>
    <s v="Helsink - Ilmajoki"/>
    <x v="1449"/>
    <s v="OH-EBA"/>
    <n v="110226"/>
    <n v="12"/>
    <n v="10"/>
    <n v="2"/>
    <n v="6"/>
    <n v="4"/>
    <n v="2"/>
    <n v="0"/>
    <s v="The aircraft struck trees 2,400 feet next to the runway while approaching in deteriorating weather conditions. A power failure caused all light to go out at the airport."/>
    <n v="6"/>
    <n v="0.5"/>
    <x v="0"/>
  </r>
  <r>
    <n v="3509"/>
    <x v="3191"/>
    <x v="77"/>
    <x v="2"/>
    <d v="1899-12-30T06:30:00"/>
    <s v="MontluÃ§on, France"/>
    <s v="Air Littoral"/>
    <n v="440"/>
    <s v="MontluÃ§on - Paris"/>
    <x v="1623"/>
    <s v="F-GCPG"/>
    <s v="TC-334E"/>
    <n v="4"/>
    <n v="2"/>
    <n v="2"/>
    <n v="4"/>
    <n v="2"/>
    <n v="2"/>
    <n v="0"/>
    <s v="While taking off the nose pitched down the plane descended and crashed to the ground and caught fire. Inadvertent activation of the Stall Avoidance System resulting in the stick pusher activation at a crucial altitude."/>
    <n v="0"/>
    <n v="1"/>
    <x v="1"/>
  </r>
  <r>
    <n v="3510"/>
    <x v="3192"/>
    <x v="77"/>
    <x v="2"/>
    <d v="1899-12-30T07:20:00"/>
    <s v="Hamada al Hambra, Libya"/>
    <s v="Aero Club Libya"/>
    <s v="Unknown"/>
    <s v="Hamada al Hambra - Tripoli"/>
    <x v="1220"/>
    <s v="5A-DDD"/>
    <n v="670"/>
    <n v="14"/>
    <n v="12"/>
    <n v="2"/>
    <n v="14"/>
    <n v="12"/>
    <n v="2"/>
    <n v="0"/>
    <s v="While attempting to land in mist and poor visibility the aircraft hit a  pylon and burned. VFR flight in IMC"/>
    <n v="0"/>
    <n v="1"/>
    <x v="1"/>
  </r>
  <r>
    <n v="3511"/>
    <x v="3193"/>
    <x v="77"/>
    <x v="2"/>
    <d v="1899-12-30T19:33:00"/>
    <s v="Kodinsk, Russia"/>
    <s v="Aeroflot"/>
    <s v="Unknown"/>
    <s v="_x0009_Krasnoyarsk - Kodinsk"/>
    <x v="1624"/>
    <s v="CCCP-67127"/>
    <n v="790323"/>
    <n v="14"/>
    <n v="12"/>
    <n v="2"/>
    <n v="6"/>
    <n v="4"/>
    <n v="2"/>
    <n v="0"/>
    <s v="The aircraft struck the ground while the crew was in the base leg turn. Crew procedural errors. The radio altimeter warning was not set and the outer marker was not used during the approach."/>
    <n v="8"/>
    <n v="0.42857142857142855"/>
    <x v="0"/>
  </r>
  <r>
    <n v="3512"/>
    <x v="3194"/>
    <x v="77"/>
    <x v="2"/>
    <s v="Unknown"/>
    <s v="BÃ®r MogreÃ¯n, Mauritania"/>
    <s v="T &amp; G Aviation"/>
    <s v="Unknown"/>
    <s v="Dakar - Agadir"/>
    <x v="931"/>
    <s v="N284"/>
    <s v="45203/776"/>
    <n v="5"/>
    <n v="0"/>
    <n v="5"/>
    <n v="5"/>
    <n v="0"/>
    <n v="5"/>
    <n v="0"/>
    <s v="Accidently struck by a surface-to-air missile by the Polisario."/>
    <n v="0"/>
    <n v="1"/>
    <x v="1"/>
  </r>
  <r>
    <n v="3513"/>
    <x v="3195"/>
    <x v="77"/>
    <x v="2"/>
    <d v="1899-12-30T20:00:00"/>
    <s v="Afghanistan"/>
    <s v="Military - Afghan Republican Air Force"/>
    <s v="Unknown"/>
    <s v="Kabul - Khost"/>
    <x v="1625"/>
    <s v="Unknown"/>
    <s v="Unknown"/>
    <n v="25"/>
    <s v="NULL"/>
    <s v="NULL"/>
    <n v="25"/>
    <s v="NULL"/>
    <s v="NULL"/>
    <n v="0"/>
    <s v="Shot down by a Pakistani jet fighter while en route."/>
    <n v="0"/>
    <n v="1"/>
    <x v="1"/>
  </r>
  <r>
    <n v="3514"/>
    <x v="3196"/>
    <x v="77"/>
    <x v="2"/>
    <s v="Unknown"/>
    <s v="Leninakan, Armenia, USSR"/>
    <s v="Military - Russian Air Force / Military - Russian Air Force"/>
    <s v="Unknown"/>
    <s v="Unknown"/>
    <x v="1626"/>
    <s v="CCCP-86732"/>
    <n v="83413388"/>
    <n v="83"/>
    <n v="74"/>
    <n v="9"/>
    <n v="77"/>
    <n v="68"/>
    <n v="9"/>
    <n v="0"/>
    <s v="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
    <n v="6"/>
    <n v="0.92771084337349397"/>
    <x v="1"/>
  </r>
  <r>
    <n v="3515"/>
    <x v="3197"/>
    <x v="77"/>
    <x v="2"/>
    <d v="1899-12-30T21:50:00"/>
    <s v="Near Luxor, Egypt"/>
    <s v="GAS Air"/>
    <s v="Unknown"/>
    <s v="Dar-es-Salaam - Cairo"/>
    <x v="1075"/>
    <s v="5N-AYJ"/>
    <s v="19168/508"/>
    <n v="8"/>
    <n v="5"/>
    <n v="3"/>
    <n v="8"/>
    <n v="5"/>
    <n v="3"/>
    <n v="5"/>
    <s v="After 2 missed approaches at Cairo the plane diverted to Luxor but crashed into a residential neighborhood while attempting to land. Forced landing. Fuel exhaustion."/>
    <n v="0"/>
    <n v="1"/>
    <x v="1"/>
  </r>
  <r>
    <n v="3516"/>
    <x v="3198"/>
    <x v="77"/>
    <x v="2"/>
    <d v="1899-12-30T19:03:00"/>
    <s v="Lockerbie, Scotland"/>
    <s v="Pan American World Airways"/>
    <n v="103"/>
    <s v="London - New York City"/>
    <x v="1627"/>
    <s v="N739PA"/>
    <s v="19646/15"/>
    <n v="259"/>
    <n v="243"/>
    <n v="16"/>
    <n v="259"/>
    <n v="243"/>
    <n v="16"/>
    <n v="11"/>
    <s v="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quot;Clipper Maid of the Seas.&quot;"/>
    <n v="0"/>
    <n v="1"/>
    <x v="1"/>
  </r>
  <r>
    <n v="3517"/>
    <x v="3199"/>
    <x v="78"/>
    <x v="2"/>
    <d v="1899-12-30T20:25:00"/>
    <s v="Leicestershire, England"/>
    <s v="British Midland Airways"/>
    <n v="92"/>
    <s v="London - Belfast"/>
    <x v="1628"/>
    <s v="G-OBME"/>
    <s v="23867/1603"/>
    <n v="126"/>
    <n v="118"/>
    <n v="8"/>
    <n v="47"/>
    <n v="47"/>
    <n v="0"/>
    <n v="0"/>
    <s v="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
    <n v="79"/>
    <n v="0.37301587301587302"/>
    <x v="0"/>
  </r>
  <r>
    <n v="3518"/>
    <x v="3200"/>
    <x v="78"/>
    <x v="2"/>
    <d v="1899-12-30T12:10:00"/>
    <s v="Near Abilene, Texas"/>
    <s v="Military - U.S. Air Force"/>
    <s v="Unknown"/>
    <s v="Dyess AFB - Hawaii"/>
    <x v="794"/>
    <s v="63-7990"/>
    <s v="18607/646"/>
    <n v="19"/>
    <n v="12"/>
    <n v="7"/>
    <n v="19"/>
    <n v="12"/>
    <n v="7"/>
    <n v="0"/>
    <s v="Crashed in flames after taking off from Dyess Air Force Base. Failure of the water injection system during takeoff."/>
    <n v="0"/>
    <n v="1"/>
    <x v="1"/>
  </r>
  <r>
    <n v="3519"/>
    <x v="3201"/>
    <x v="78"/>
    <x v="2"/>
    <d v="1899-12-30T07:41:00"/>
    <s v="Rangoon, Myanmar"/>
    <s v="Burma Airways"/>
    <s v="Unknown"/>
    <s v="Rangoon - Kentung"/>
    <x v="1108"/>
    <s v="XY-AEK"/>
    <n v="10325"/>
    <n v="29"/>
    <n v="25"/>
    <n v="4"/>
    <n v="26"/>
    <n v="23"/>
    <n v="3"/>
    <n v="0"/>
    <s v="The aircraft entered a fog bank after taking off from Rangoon and hit a tree and caught fire."/>
    <n v="3"/>
    <n v="0.89655172413793105"/>
    <x v="1"/>
  </r>
  <r>
    <n v="3520"/>
    <x v="3202"/>
    <x v="78"/>
    <x v="2"/>
    <d v="1899-12-30T18:25:00"/>
    <s v="Marseille, France"/>
    <s v="RAM"/>
    <n v="3132"/>
    <s v="Marseille - Paris"/>
    <x v="1629"/>
    <s v="F-GEJE"/>
    <n v="730"/>
    <n v="3"/>
    <n v="0"/>
    <n v="3"/>
    <n v="3"/>
    <n v="0"/>
    <n v="3"/>
    <n v="0"/>
    <s v="After a second takeoff attempt the cargo plane banked to the right until it crashed into the water."/>
    <n v="0"/>
    <n v="1"/>
    <x v="1"/>
  </r>
  <r>
    <n v="3521"/>
    <x v="3203"/>
    <x v="78"/>
    <x v="2"/>
    <d v="1899-12-30T14:08:00"/>
    <s v="Santa Maria, Azores, Portugal"/>
    <s v="Independent Air Inc."/>
    <n v="1851"/>
    <s v="Bergamo - Orio al Serio - Santa Maria"/>
    <x v="1242"/>
    <s v="N7231T"/>
    <s v="19572/687"/>
    <n v="144"/>
    <n v="137"/>
    <n v="7"/>
    <n v="144"/>
    <n v="137"/>
    <n v="7"/>
    <n v="0"/>
    <s v="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
    <n v="0"/>
    <n v="1"/>
    <x v="1"/>
  </r>
  <r>
    <n v="3522"/>
    <x v="3204"/>
    <x v="78"/>
    <x v="2"/>
    <d v="1899-12-30T06:36:00"/>
    <s v="Near Kuala Lumpur, Malaysia"/>
    <s v="Flying Tiger Line"/>
    <n v="66"/>
    <s v="Singapore - Kuala Lumpur"/>
    <x v="1630"/>
    <s v="N807FT"/>
    <s v="21828/408"/>
    <n v="4"/>
    <n v="0"/>
    <n v="4"/>
    <n v="4"/>
    <n v="0"/>
    <n v="4"/>
    <n v="0"/>
    <s v="The cargo plane descended below minimums and impacted trees and a hill. Non-standard phraseology used by Kuala Lumpur ATC, causing the crew to misinterpret the instructions."/>
    <n v="0"/>
    <n v="1"/>
    <x v="1"/>
  </r>
  <r>
    <n v="3523"/>
    <x v="3205"/>
    <x v="78"/>
    <x v="2"/>
    <d v="1899-12-30T02:09:00"/>
    <s v="Honolulu, Hawaii"/>
    <s v="United Air Lines"/>
    <n v="811"/>
    <s v="Los Angeles - Honolulu - Auckland - Sydney"/>
    <x v="1631"/>
    <s v="N4713U"/>
    <s v="19875/89"/>
    <n v="356"/>
    <n v="338"/>
    <n v="18"/>
    <n v="9"/>
    <n v="9"/>
    <n v="0"/>
    <n v="0"/>
    <s v="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quot;locking sector&quot;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
    <n v="347"/>
    <n v="2.5280898876404494E-2"/>
    <x v="2"/>
  </r>
  <r>
    <n v="3524"/>
    <x v="3206"/>
    <x v="78"/>
    <x v="2"/>
    <d v="1899-12-30T06:33:00"/>
    <s v="Near Quebec City, Quebec, Canada"/>
    <s v="Transfair"/>
    <s v="Unknown"/>
    <s v="La Grande - Lac Bienville"/>
    <x v="402"/>
    <s v="C-FBZN"/>
    <n v="25290"/>
    <n v="2"/>
    <n v="0"/>
    <n v="2"/>
    <n v="2"/>
    <n v="0"/>
    <n v="2"/>
    <n v="0"/>
    <s v="The cargo plane crashed after its initial climb. Icing."/>
    <n v="0"/>
    <n v="1"/>
    <x v="1"/>
  </r>
  <r>
    <n v="3525"/>
    <x v="3207"/>
    <x v="78"/>
    <x v="2"/>
    <s v="Unknown"/>
    <s v="Lima, Peru"/>
    <s v="Aero Condor"/>
    <s v="Unknown"/>
    <s v="Sightseeing"/>
    <x v="1376"/>
    <s v="OB-T-1271"/>
    <n v="604"/>
    <n v="10"/>
    <n v="9"/>
    <n v="1"/>
    <n v="10"/>
    <n v="9"/>
    <n v="1"/>
    <n v="0"/>
    <s v="Crashed after striking radio tower while on approach."/>
    <n v="0"/>
    <n v="1"/>
    <x v="1"/>
  </r>
  <r>
    <n v="3526"/>
    <x v="3207"/>
    <x v="78"/>
    <x v="2"/>
    <d v="1899-12-30T12:09:00"/>
    <s v="Dryden, Ontario, Canada"/>
    <s v="Air Ontario"/>
    <n v="1363"/>
    <s v="Dryden - Winnipeg"/>
    <x v="1221"/>
    <s v="C-FONF"/>
    <n v="11060"/>
    <n v="69"/>
    <n v="65"/>
    <n v="4"/>
    <n v="24"/>
    <n v="21"/>
    <n v="3"/>
    <n v="0"/>
    <s v="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
    <n v="45"/>
    <n v="0.34782608695652173"/>
    <x v="2"/>
  </r>
  <r>
    <n v="3527"/>
    <x v="3208"/>
    <x v="78"/>
    <x v="2"/>
    <d v="1899-12-30T07:25:00"/>
    <s v="West Lafayette, Indiana"/>
    <s v="Mid Pacific Air"/>
    <s v="Unknown"/>
    <s v="Terre Haute - Lafayette"/>
    <x v="1632"/>
    <s v="N128MP"/>
    <n v="2139"/>
    <n v="2"/>
    <n v="0"/>
    <n v="2"/>
    <n v="2"/>
    <n v="0"/>
    <n v="2"/>
    <n v="0"/>
    <s v="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
    <n v="0"/>
    <n v="1"/>
    <x v="1"/>
  </r>
  <r>
    <n v="3528"/>
    <x v="3209"/>
    <x v="78"/>
    <x v="2"/>
    <d v="1899-12-30T02:15:00"/>
    <s v="Carswell AFB, Texas"/>
    <s v="Evergreen International Airlines"/>
    <s v="Unknown"/>
    <s v="Fort Worth, TX - Oklahoma City, OK"/>
    <x v="1633"/>
    <s v="N931F"/>
    <s v="47192/287"/>
    <n v="2"/>
    <n v="0"/>
    <n v="2"/>
    <n v="2"/>
    <n v="0"/>
    <n v="2"/>
    <n v="0"/>
    <s v="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
    <n v="0"/>
    <n v="1"/>
    <x v="1"/>
  </r>
  <r>
    <n v="3529"/>
    <x v="3210"/>
    <x v="78"/>
    <x v="2"/>
    <d v="1899-12-30T07:00:00"/>
    <s v="Pohang, South Korea"/>
    <s v="Military - U.S. Marine Corps"/>
    <s v="Unknown"/>
    <s v="Unknown"/>
    <x v="1512"/>
    <n v="157140"/>
    <s v="Unknown"/>
    <n v="34"/>
    <n v="30"/>
    <n v="4"/>
    <n v="19"/>
    <s v="NULL"/>
    <s v="NULL"/>
    <n v="0"/>
    <s v="Crashed and burned in mountainous terrain during a troop lift mission. Came in for a landing at an extreme high bank until it crashed to the ground. Pilot error."/>
    <n v="15"/>
    <n v="0.55882352941176472"/>
    <x v="0"/>
  </r>
  <r>
    <n v="3530"/>
    <x v="3211"/>
    <x v="78"/>
    <x v="2"/>
    <d v="1899-12-30T11:55:00"/>
    <s v="Guarulhos, Brazil"/>
    <s v="Transbrasil"/>
    <s v="Unknown"/>
    <s v="Manaus - Sao Paulo-Guarulhos"/>
    <x v="1634"/>
    <s v="PT-TCS"/>
    <s v="19354/503"/>
    <n v="3"/>
    <n v="0"/>
    <n v="3"/>
    <n v="3"/>
    <n v="0"/>
    <n v="3"/>
    <n v="18"/>
    <s v="The plane crashed into houses during a steep approach. Crew error. High speed approach. Deep stall. This was the Boeing 707 used in the movie &quot;Airport&quot; in 1970."/>
    <n v="0"/>
    <n v="1"/>
    <x v="1"/>
  </r>
  <r>
    <n v="3531"/>
    <x v="3212"/>
    <x v="78"/>
    <x v="2"/>
    <d v="1899-12-30T21:07:00"/>
    <s v="Col de Tourniol, France"/>
    <s v="Europe Aero Service EAS"/>
    <n v="602"/>
    <s v="Paris - Valence"/>
    <x v="1604"/>
    <s v="F-GGDM"/>
    <n v="532"/>
    <n v="22"/>
    <n v="19"/>
    <n v="3"/>
    <n v="22"/>
    <n v="19"/>
    <n v="3"/>
    <n v="0"/>
    <s v="After being cleared on a heading for Valence, the aircraft continued on its current heading until it struck a mountain at 4,100 feet. Crew error. Navigational error. Controlled flight into terrain."/>
    <n v="0"/>
    <n v="1"/>
    <x v="1"/>
  </r>
  <r>
    <n v="3532"/>
    <x v="3213"/>
    <x v="78"/>
    <x v="2"/>
    <s v="Unknown"/>
    <s v="Near Cucuta, Colombia"/>
    <s v="SATENA"/>
    <s v="Unknown"/>
    <s v="Cucuta - Arauca"/>
    <x v="1635"/>
    <s v="FAC-1110"/>
    <n v="819"/>
    <n v="11"/>
    <n v="10"/>
    <n v="1"/>
    <n v="11"/>
    <n v="10"/>
    <n v="1"/>
    <n v="0"/>
    <s v="Crashed while en route."/>
    <n v="0"/>
    <n v="1"/>
    <x v="1"/>
  </r>
  <r>
    <n v="3533"/>
    <x v="3214"/>
    <x v="78"/>
    <x v="2"/>
    <s v="Unknown"/>
    <s v="Baranquilla, Colombia"/>
    <s v="Aerosucre Colombia"/>
    <s v="Unknown"/>
    <s v="Baranquilla - Bogota"/>
    <x v="1636"/>
    <s v="HK-3325X"/>
    <n v="215"/>
    <n v="5"/>
    <n v="2"/>
    <n v="3"/>
    <n v="5"/>
    <n v="2"/>
    <n v="3"/>
    <n v="0"/>
    <s v="The cargo flight suffered the shifting of cargo after takeoff cause the plane to take a nose-high attitude, stall and crash into houses."/>
    <n v="0"/>
    <n v="1"/>
    <x v="1"/>
  </r>
  <r>
    <n v="3534"/>
    <x v="3215"/>
    <x v="78"/>
    <x v="2"/>
    <d v="1899-12-30T14:30:00"/>
    <s v="Near Cancun, Mexico"/>
    <s v="Aero Cozumel"/>
    <s v="Unknown"/>
    <s v="Chichen Itza - Cozumel"/>
    <x v="1637"/>
    <s v="XA-JPE"/>
    <n v="1051"/>
    <n v="19"/>
    <n v="17"/>
    <n v="2"/>
    <n v="6"/>
    <n v="6"/>
    <n v="0"/>
    <n v="0"/>
    <s v="Crashed after the pilot radioed he was making an emergency landing with engine problems."/>
    <n v="13"/>
    <n v="0.31578947368421051"/>
    <x v="2"/>
  </r>
  <r>
    <n v="3535"/>
    <x v="3216"/>
    <x v="78"/>
    <x v="2"/>
    <d v="1899-12-30T09:40:00"/>
    <s v="Oskarshamn, Sweden"/>
    <s v="Holmstoem Air"/>
    <s v="Unknown"/>
    <s v="Stockholm - Oskarshamn"/>
    <x v="1258"/>
    <s v="SE-IZO"/>
    <s v="U048"/>
    <n v="16"/>
    <n v="14"/>
    <n v="2"/>
    <n v="16"/>
    <n v="14"/>
    <n v="2"/>
    <n v="0"/>
    <s v="While on approach the plane pitched up, went into a steep dive and crashed short of the runway. Aircraft improperly loaded causing a shift in the center of gravity."/>
    <n v="0"/>
    <n v="1"/>
    <x v="1"/>
  </r>
  <r>
    <n v="3536"/>
    <x v="3217"/>
    <x v="78"/>
    <x v="2"/>
    <s v="Unknown"/>
    <s v="Near Tainjin, China"/>
    <s v="Aero Asahi"/>
    <s v="Unknown"/>
    <s v="Unknown"/>
    <x v="1638"/>
    <s v="JA9596"/>
    <n v="33070"/>
    <s v="NULL"/>
    <s v="NULL"/>
    <s v="NULL"/>
    <n v="10"/>
    <s v="NULL"/>
    <s v="NULL"/>
    <n v="0"/>
    <s v="No data available"/>
    <s v="NULL"/>
    <n v="0"/>
    <x v="2"/>
  </r>
  <r>
    <n v="3537"/>
    <x v="3218"/>
    <x v="78"/>
    <x v="2"/>
    <d v="1899-12-30T04:27:00"/>
    <s v="Near Paramaribo, Surinam"/>
    <s v="Surinam Airways"/>
    <n v="764"/>
    <s v="Paramaribo - Zanderij"/>
    <x v="1639"/>
    <s v="N1809E"/>
    <s v="46107/498"/>
    <n v="187"/>
    <n v="178"/>
    <n v="9"/>
    <n v="176"/>
    <n v="167"/>
    <n v="9"/>
    <n v="0"/>
    <s v="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quot;Colorful 11&quot; from Surinam were killed."/>
    <n v="11"/>
    <n v="0.94117647058823528"/>
    <x v="1"/>
  </r>
  <r>
    <n v="3538"/>
    <x v="3219"/>
    <x v="78"/>
    <x v="2"/>
    <d v="1899-12-30T10:15:00"/>
    <s v="Vereda el Salitre, Colombia"/>
    <s v="Aerotaca"/>
    <s v="Unknown"/>
    <s v="El Yopal - Tame"/>
    <x v="1220"/>
    <s v="HK-2486"/>
    <n v="676"/>
    <n v="22"/>
    <n v="20"/>
    <n v="2"/>
    <n v="6"/>
    <n v="6"/>
    <n v="0"/>
    <n v="0"/>
    <s v="Crashed into a mountain."/>
    <n v="16"/>
    <n v="0.27272727272727271"/>
    <x v="2"/>
  </r>
  <r>
    <n v="3539"/>
    <x v="3220"/>
    <x v="78"/>
    <x v="2"/>
    <d v="1899-12-30T08:28:00"/>
    <s v="Berlin, Germany"/>
    <s v="Interflug"/>
    <s v="Unknown"/>
    <s v="Berlin - Moscow"/>
    <x v="1640"/>
    <s v="DDR-SEW"/>
    <n v="2850324"/>
    <n v="113"/>
    <n v="103"/>
    <n v="10"/>
    <n v="20"/>
    <n v="20"/>
    <n v="0"/>
    <n v="1"/>
    <s v="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
    <n v="93"/>
    <n v="0.17699115044247787"/>
    <x v="2"/>
  </r>
  <r>
    <n v="3540"/>
    <x v="3221"/>
    <x v="78"/>
    <x v="2"/>
    <d v="1899-12-30T13:20:00"/>
    <s v="Zabol, Iran"/>
    <s v="Ariana Afghan Airlines"/>
    <s v="Unknown"/>
    <s v="Kabul - Zaranj"/>
    <x v="1195"/>
    <s v="YA-BAK"/>
    <n v="14104"/>
    <n v="39"/>
    <n v="35"/>
    <n v="4"/>
    <n v="6"/>
    <n v="6"/>
    <n v="0"/>
    <n v="0"/>
    <s v="A ramp door opened in flight causing loss of control of the aircraft. The plane crashed into a hill."/>
    <n v="33"/>
    <n v="0.15384615384615385"/>
    <x v="2"/>
  </r>
  <r>
    <n v="3541"/>
    <x v="3222"/>
    <x v="78"/>
    <x v="2"/>
    <d v="1899-12-30T17:40:00"/>
    <s v="Near Tarma, Peru"/>
    <s v="Fuerza AÃ©rea del Peru"/>
    <s v="Unknown"/>
    <s v="San Ramon - Captain Alvarino"/>
    <x v="1390"/>
    <s v="FAP-329"/>
    <n v="329"/>
    <n v="62"/>
    <n v="57"/>
    <n v="5"/>
    <n v="62"/>
    <n v="57"/>
    <n v="5"/>
    <n v="0"/>
    <s v="Crashed into a mountainside in the remote Andean highlands shortly after leaving San Ramon. Overloaded."/>
    <n v="0"/>
    <n v="1"/>
    <x v="1"/>
  </r>
  <r>
    <n v="3542"/>
    <x v="3223"/>
    <x v="78"/>
    <x v="2"/>
    <s v="Unknown"/>
    <s v="Kaohsiung, Taiwan"/>
    <s v="Formosa Airlines"/>
    <s v="Unknown"/>
    <s v="Kaohsiung - Chi-mei"/>
    <x v="1641"/>
    <s v="B-12206"/>
    <s v="404-0418"/>
    <n v="13"/>
    <n v="11"/>
    <n v="2"/>
    <n v="12"/>
    <n v="10"/>
    <n v="1"/>
    <n v="0"/>
    <s v="Crashed into houses on takeoff and exploded."/>
    <n v="1"/>
    <n v="0.92307692307692313"/>
    <x v="1"/>
  </r>
  <r>
    <n v="3543"/>
    <x v="3224"/>
    <x v="78"/>
    <x v="2"/>
    <d v="1899-12-30T21:19:00"/>
    <s v="Yaounde,  Cameroon"/>
    <s v="Cameroon Airlines"/>
    <s v="Unknown"/>
    <s v="Douala - Yaounde"/>
    <x v="1642"/>
    <s v="TJ-CCF"/>
    <n v="1804"/>
    <n v="47"/>
    <n v="45"/>
    <n v="2"/>
    <n v="3"/>
    <n v="1"/>
    <n v="2"/>
    <n v="0"/>
    <s v="The plane landed short of the runway on the third landing attempt, overran the runway and collided with an embankment."/>
    <n v="44"/>
    <n v="6.3829787234042548E-2"/>
    <x v="2"/>
  </r>
  <r>
    <n v="3544"/>
    <x v="3224"/>
    <x v="78"/>
    <x v="2"/>
    <d v="1899-12-30T09:30:00"/>
    <s v="Near Borana, Somalia"/>
    <s v="Somali Airlines"/>
    <s v="Unknown"/>
    <s v="Hargeisa - Mogadishu"/>
    <x v="1447"/>
    <s v="6O-SAZ"/>
    <n v="10559"/>
    <n v="30"/>
    <n v="24"/>
    <n v="6"/>
    <n v="30"/>
    <n v="24"/>
    <n v="6"/>
    <n v="0"/>
    <s v="Crashed after takeoff.  Shot down by a surface-to-air missile."/>
    <n v="0"/>
    <n v="1"/>
    <x v="1"/>
  </r>
  <r>
    <n v="3545"/>
    <x v="3225"/>
    <x v="78"/>
    <x v="2"/>
    <d v="1899-12-30T00:04:00"/>
    <s v="Cartersville, Georgia"/>
    <s v="Calair"/>
    <s v="Unknown"/>
    <s v="Carterville, GA  - Montgomery, AL"/>
    <x v="1643"/>
    <s v="N125CA"/>
    <n v="208"/>
    <n v="2"/>
    <n v="0"/>
    <n v="2"/>
    <n v="2"/>
    <n v="0"/>
    <n v="2"/>
    <n v="0"/>
    <s v="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
    <n v="0"/>
    <n v="1"/>
    <x v="1"/>
  </r>
  <r>
    <n v="3546"/>
    <x v="3226"/>
    <x v="78"/>
    <x v="2"/>
    <d v="1899-12-30T07:17:00"/>
    <s v="Glen Burnie, Maryland"/>
    <s v="Air Taxi - Centre Airlines Inc."/>
    <s v="Unknown"/>
    <s v="Baltimore, MD - Winchester, VA"/>
    <x v="1180"/>
    <s v="N138JR"/>
    <s v="Unknown"/>
    <n v="5"/>
    <n v="4"/>
    <n v="1"/>
    <n v="2"/>
    <n v="2"/>
    <n v="0"/>
    <n v="0"/>
    <s v="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
    <n v="3"/>
    <n v="0.4"/>
    <x v="0"/>
  </r>
  <r>
    <n v="3547"/>
    <x v="3226"/>
    <x v="78"/>
    <x v="2"/>
    <d v="1899-12-30T11:02:00"/>
    <s v="Talourow Island, USSR"/>
    <s v="Aeroflot"/>
    <s v="Unknown"/>
    <s v="Observation flight out of Cape Schmidt"/>
    <x v="1195"/>
    <s v="CCCP-26685"/>
    <n v="8805"/>
    <n v="10"/>
    <n v="6"/>
    <n v="4"/>
    <n v="10"/>
    <n v="6"/>
    <n v="4"/>
    <n v="0"/>
    <s v="Crashed into costal cliffs while on an ice observation flight."/>
    <n v="0"/>
    <n v="1"/>
    <x v="1"/>
  </r>
  <r>
    <n v="3548"/>
    <x v="3226"/>
    <x v="78"/>
    <x v="2"/>
    <d v="1899-12-30T16:00:00"/>
    <s v="Sioux City, Iowa"/>
    <s v="United Air Lines"/>
    <n v="232"/>
    <s v="Denver, CO - Chicago, IL"/>
    <x v="1249"/>
    <s v="N1819U"/>
    <s v="46618/118"/>
    <n v="298"/>
    <n v="287"/>
    <n v="11"/>
    <n v="112"/>
    <n v="111"/>
    <n v="1"/>
    <n v="0"/>
    <s v="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quot;Crash Landing: The Rescue of Flight 232.&quot;"/>
    <n v="186"/>
    <n v="0.37583892617449666"/>
    <x v="0"/>
  </r>
  <r>
    <n v="3549"/>
    <x v="3227"/>
    <x v="78"/>
    <x v="2"/>
    <s v="Unknown"/>
    <s v="Porgera, New Guinea"/>
    <s v="Talair"/>
    <s v="Unknown"/>
    <s v="Porega-Port Moresby"/>
    <x v="1220"/>
    <s v="P2-RDW"/>
    <n v="366"/>
    <n v="22"/>
    <n v="20"/>
    <n v="2"/>
    <n v="3"/>
    <n v="1"/>
    <n v="2"/>
    <n v="0"/>
    <s v="Crashed into jungle shortly after taking off."/>
    <n v="19"/>
    <n v="0.13636363636363635"/>
    <x v="2"/>
  </r>
  <r>
    <n v="3550"/>
    <x v="3227"/>
    <x v="78"/>
    <x v="2"/>
    <d v="1899-12-30T15:23:00"/>
    <s v="Manila, Philippines"/>
    <s v="Philippine Air Lines"/>
    <s v="Unknown"/>
    <s v="Zamboanga - Manila"/>
    <x v="1644"/>
    <s v="RP-C1193"/>
    <n v="231"/>
    <n v="98"/>
    <n v="91"/>
    <n v="7"/>
    <n v="1"/>
    <n v="1"/>
    <n v="0"/>
    <n v="8"/>
    <s v="In heavy rain the aircraft bounced twice, crashed through a concreate wall, overran the runway, crossed a road and struck several cars."/>
    <n v="97"/>
    <n v="1.020408163265306E-2"/>
    <x v="2"/>
  </r>
  <r>
    <n v="3551"/>
    <x v="3228"/>
    <x v="78"/>
    <x v="2"/>
    <s v="Unknown"/>
    <s v="Near Jalalabad, Afghanistan"/>
    <s v="Military - Afghan Republican Air Force"/>
    <s v="Unknown"/>
    <s v="Unknown"/>
    <x v="1645"/>
    <s v="Unknown"/>
    <s v="Unknown"/>
    <n v="30"/>
    <s v="NULL"/>
    <s v="NULL"/>
    <n v="30"/>
    <s v="NULL"/>
    <s v="NULL"/>
    <n v="0"/>
    <s v="Mid-air collision between two helicopters."/>
    <n v="0"/>
    <n v="1"/>
    <x v="1"/>
  </r>
  <r>
    <n v="3552"/>
    <x v="3229"/>
    <x v="78"/>
    <x v="2"/>
    <s v="Unknown"/>
    <s v="Near Chana, Angola"/>
    <s v="Military - Angolan Air Force"/>
    <s v="Unknown"/>
    <s v="Luena - Cazombo"/>
    <x v="1195"/>
    <s v="Unknown"/>
    <s v="Unknown"/>
    <n v="48"/>
    <n v="44"/>
    <n v="4"/>
    <n v="42"/>
    <s v="NULL"/>
    <s v="NULL"/>
    <n v="0"/>
    <s v="Shot down either by rebel forces or friendly fire. A missile struck one of the engines and the plane crashed while attempting an emergency landing."/>
    <n v="6"/>
    <n v="0.875"/>
    <x v="1"/>
  </r>
  <r>
    <n v="3553"/>
    <x v="3230"/>
    <x v="78"/>
    <x v="2"/>
    <s v="Unknown"/>
    <s v="Off Ullung Do, South Korea"/>
    <s v="Universal Airlines"/>
    <s v="Unknown"/>
    <s v="Unknown"/>
    <x v="1646"/>
    <s v="Unknown"/>
    <s v="Unknown"/>
    <n v="19"/>
    <s v="NULL"/>
    <s v="NULL"/>
    <n v="13"/>
    <s v="NULL"/>
    <s v="NULL"/>
    <n v="0"/>
    <s v="Crashed into the sea."/>
    <n v="6"/>
    <n v="0.68421052631578949"/>
    <x v="1"/>
  </r>
  <r>
    <n v="3554"/>
    <x v="3230"/>
    <x v="78"/>
    <x v="2"/>
    <d v="1899-12-30T07:00:00"/>
    <s v="Tripoli, Libya"/>
    <s v="Korean Airlines"/>
    <n v="803"/>
    <s v="Jeddah - Tripoli"/>
    <x v="1405"/>
    <s v="HL-7328"/>
    <s v="47887/125"/>
    <n v="199"/>
    <n v="181"/>
    <n v="18"/>
    <n v="75"/>
    <n v="72"/>
    <n v="3"/>
    <n v="4"/>
    <s v="The aircraft crashed short of the runway while landing in fog. Failure of the captain to land without analyzing the weather data."/>
    <n v="124"/>
    <n v="0.37688442211055279"/>
    <x v="0"/>
  </r>
  <r>
    <n v="3555"/>
    <x v="3231"/>
    <x v="78"/>
    <x v="2"/>
    <d v="1899-12-30T22:00:00"/>
    <s v="Auckland, New Zealand"/>
    <s v="Air Freight New Zealand"/>
    <n v="1"/>
    <s v="Auckland - Christchurch"/>
    <x v="1030"/>
    <s v="ZK-FTB"/>
    <n v="180"/>
    <n v="3"/>
    <n v="0"/>
    <n v="3"/>
    <n v="3"/>
    <n v="0"/>
    <n v="3"/>
    <n v="0"/>
    <s v="The cargo lost altitude shortly after lifting off and crashed and broke up in  Manukau Harbor. The training captain's failure to monitor the aircraft's climb flight path during the critical stage of the climb after take-off."/>
    <n v="0"/>
    <n v="1"/>
    <x v="1"/>
  </r>
  <r>
    <n v="3556"/>
    <x v="3232"/>
    <x v="78"/>
    <x v="2"/>
    <d v="1899-12-30T13:43:00"/>
    <s v="Samos, Greece"/>
    <s v="Olympic Aviation"/>
    <s v="Unknown"/>
    <s v="Thessaloniki - Samos"/>
    <x v="1501"/>
    <s v="SX-BGE"/>
    <s v="SH-3083"/>
    <n v="34"/>
    <n v="31"/>
    <n v="3"/>
    <n v="34"/>
    <n v="31"/>
    <n v="3"/>
    <n v="0"/>
    <s v="Crashed into Mt. Kerkis in poor weather after deviating from course on approach. The crew was flying VFR in IFR conditons. The aircraft was named Isle of Minos."/>
    <n v="0"/>
    <n v="1"/>
    <x v="1"/>
  </r>
  <r>
    <n v="3557"/>
    <x v="3233"/>
    <x v="78"/>
    <x v="2"/>
    <d v="1899-12-30T12:10:00"/>
    <s v="Near Gambela, Ethiopia"/>
    <s v="RRC Air Service"/>
    <s v="Unknown"/>
    <s v="Addis Ababa - Bole"/>
    <x v="1647"/>
    <s v="ET-AIL"/>
    <n v="699"/>
    <n v="16"/>
    <n v="13"/>
    <n v="3"/>
    <n v="16"/>
    <n v="13"/>
    <n v="3"/>
    <n v="0"/>
    <s v="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quot;Mickey&quot; Leland, 45, killed."/>
    <n v="0"/>
    <n v="1"/>
    <x v="1"/>
  </r>
  <r>
    <n v="3558"/>
    <x v="3234"/>
    <x v="78"/>
    <x v="2"/>
    <d v="1899-12-30T10:35:00"/>
    <s v="Near Midford Sound, New Zealand"/>
    <s v="Aspring Air"/>
    <s v="Unknown"/>
    <s v="Wanaka - Milford Sound"/>
    <x v="1499"/>
    <s v="ZK-EVK"/>
    <n v="583"/>
    <n v="10"/>
    <n v="9"/>
    <n v="1"/>
    <n v="10"/>
    <n v="9"/>
    <n v="1"/>
    <n v="0"/>
    <s v="Crashed into the face of a mountain. Undetermined."/>
    <n v="0"/>
    <n v="1"/>
    <x v="1"/>
  </r>
  <r>
    <n v="3559"/>
    <x v="3235"/>
    <x v="78"/>
    <x v="2"/>
    <d v="1899-12-30T21:25:00"/>
    <s v="Janice, Mississippi"/>
    <s v="Private"/>
    <s v="Unknown"/>
    <s v="Hattiesburg, MS - Gulfport, MS"/>
    <x v="1648"/>
    <s v="N1976Q"/>
    <s v="177RG-0376"/>
    <n v="2"/>
    <n v="1"/>
    <n v="1"/>
    <n v="2"/>
    <n v="1"/>
    <n v="1"/>
    <n v="0"/>
    <s v="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
    <n v="0"/>
    <n v="1"/>
    <x v="1"/>
  </r>
  <r>
    <n v="3560"/>
    <x v="3236"/>
    <x v="78"/>
    <x v="2"/>
    <s v="Unknown"/>
    <s v="Shanghai, China , China"/>
    <s v="China Eastern Airlines"/>
    <s v="Unknown"/>
    <s v="Shanghai - Hongqiao"/>
    <x v="1275"/>
    <s v="B-3417"/>
    <n v="37309006"/>
    <n v="40"/>
    <n v="34"/>
    <n v="6"/>
    <n v="34"/>
    <n v="28"/>
    <n v="6"/>
    <n v="0"/>
    <s v="Lost power and crashed into a river shortly after taking off from Shanghai."/>
    <n v="6"/>
    <n v="0.85"/>
    <x v="1"/>
  </r>
  <r>
    <n v="3561"/>
    <x v="3237"/>
    <x v="78"/>
    <x v="2"/>
    <d v="1899-12-30T07:45:00"/>
    <s v="Near Gilgit, Pakistan"/>
    <s v="Pakistan International Airlines"/>
    <s v="Unknown"/>
    <s v="Gilgit - Islamabad - Chaklala"/>
    <x v="986"/>
    <s v="AP-BBF"/>
    <n v="10207"/>
    <n v="54"/>
    <n v="49"/>
    <n v="5"/>
    <n v="54"/>
    <n v="49"/>
    <n v="5"/>
    <n v="0"/>
    <s v="Crashed into Himalaya Mountains en route from Gilgit to Islamabad."/>
    <n v="0"/>
    <n v="1"/>
    <x v="1"/>
  </r>
  <r>
    <n v="3562"/>
    <x v="3238"/>
    <x v="78"/>
    <x v="2"/>
    <d v="1899-12-30T20:45:00"/>
    <s v="Near Sao Jose do Xingu, Brazil"/>
    <s v="Varig"/>
    <n v="254"/>
    <s v="Maraba - Belem"/>
    <x v="1649"/>
    <s v="PP-VMK"/>
    <s v="21006/398"/>
    <n v="54"/>
    <n v="48"/>
    <n v="6"/>
    <n v="13"/>
    <n v="13"/>
    <n v="0"/>
    <n v="0"/>
    <s v="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
    <n v="41"/>
    <n v="0.24074074074074073"/>
    <x v="2"/>
  </r>
  <r>
    <n v="3563"/>
    <x v="3238"/>
    <x v="78"/>
    <x v="2"/>
    <d v="1899-12-30T19:00:00"/>
    <s v="Near Havana, Cuba"/>
    <s v="Cubana de Aviacion"/>
    <n v="9646"/>
    <s v="Havana - KÃ¶ln, Bonn"/>
    <x v="1336"/>
    <s v="CU-T1281"/>
    <n v="3850453"/>
    <n v="126"/>
    <n v="115"/>
    <n v="11"/>
    <n v="126"/>
    <n v="115"/>
    <n v="11"/>
    <n v="45"/>
    <s v="The aircraft crashed into navigational towers and residential houses shortly after takeoff in heavy rain and high winds. Decision of the pilot in command  to fly after an abrupt deterioration in weather conditions."/>
    <n v="0"/>
    <n v="1"/>
    <x v="1"/>
  </r>
  <r>
    <n v="3564"/>
    <x v="3239"/>
    <x v="78"/>
    <x v="2"/>
    <d v="1899-12-30T16:36:00"/>
    <s v="Skagerrak, Denmark"/>
    <s v="Partnair"/>
    <n v="394"/>
    <s v="Oslo - Hamburg"/>
    <x v="1030"/>
    <s v="LN-PAA"/>
    <n v="56"/>
    <n v="55"/>
    <n v="50"/>
    <n v="5"/>
    <n v="55"/>
    <n v="50"/>
    <n v="5"/>
    <n v="0"/>
    <s v="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quot;"/>
    <n v="0"/>
    <n v="1"/>
    <x v="1"/>
  </r>
  <r>
    <n v="3565"/>
    <x v="3240"/>
    <x v="78"/>
    <x v="2"/>
    <d v="1899-12-30T21:10:00"/>
    <s v="Mayfield, Kentucky"/>
    <s v="Wehite Cap Aviation"/>
    <s v="Unknown"/>
    <s v="Orlando, FL - Mayfield, KY"/>
    <x v="1650"/>
    <s v="N887PE"/>
    <s v="B-049"/>
    <n v="6"/>
    <n v="5"/>
    <n v="1"/>
    <n v="6"/>
    <n v="5"/>
    <n v="1"/>
    <n v="0"/>
    <s v="Crashed into trees while attempting to land at night, in fog. Improper IFR procedures and failure to maintain minimum descent altitude."/>
    <n v="0"/>
    <n v="1"/>
    <x v="1"/>
  </r>
  <r>
    <n v="3566"/>
    <x v="3240"/>
    <x v="78"/>
    <x v="2"/>
    <s v="Unknown"/>
    <s v="Near Bentuni, Indonesia"/>
    <s v="Merpati Nusantara Airlines"/>
    <s v="Unknown"/>
    <s v="Manokwari - Bentuni"/>
    <x v="1220"/>
    <s v="PK-NUE"/>
    <n v="345"/>
    <n v="22"/>
    <n v="19"/>
    <n v="3"/>
    <n v="22"/>
    <n v="19"/>
    <n v="3"/>
    <n v="0"/>
    <s v="Crashed while making an approach to Bintuni."/>
    <n v="0"/>
    <n v="1"/>
    <x v="1"/>
  </r>
  <r>
    <n v="3567"/>
    <x v="3241"/>
    <x v="78"/>
    <x v="2"/>
    <d v="1899-12-30T14:00:00"/>
    <s v="Near Bilma, Niger"/>
    <s v="Union des Transportes Aeriens"/>
    <n v="772"/>
    <s v="N'Djamena - Paris"/>
    <x v="1405"/>
    <s v="N54629"/>
    <s v="46852/125"/>
    <n v="171"/>
    <n v="156"/>
    <n v="15"/>
    <n v="171"/>
    <n v="156"/>
    <n v="15"/>
    <n v="0"/>
    <s v="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
    <n v="0"/>
    <n v="1"/>
    <x v="1"/>
  </r>
  <r>
    <n v="3568"/>
    <x v="3242"/>
    <x v="78"/>
    <x v="2"/>
    <d v="1899-12-30T15:00:00"/>
    <s v="Fairbanks, Alaska"/>
    <s v="Boeing KC-135E"/>
    <s v="Unknown"/>
    <s v="Training"/>
    <x v="1651"/>
    <s v="57-1481"/>
    <s v="17552/161"/>
    <n v="7"/>
    <s v="NULL"/>
    <s v="NULL"/>
    <n v="2"/>
    <s v="NULL"/>
    <s v="NULL"/>
    <n v="0"/>
    <s v="An explosion occurred in an overheated fuel pump while shuting down the engines."/>
    <n v="5"/>
    <n v="0.2857142857142857"/>
    <x v="2"/>
  </r>
  <r>
    <n v="3569"/>
    <x v="3242"/>
    <x v="78"/>
    <x v="2"/>
    <d v="1899-12-30T23:21:00"/>
    <s v="La Guardia Airport, New York, New York"/>
    <s v="USAir"/>
    <n v="5050"/>
    <s v="New York City - Charlotte, NC"/>
    <x v="1652"/>
    <s v="N416US"/>
    <s v="23884/1643"/>
    <n v="63"/>
    <n v="57"/>
    <n v="6"/>
    <n v="2"/>
    <n v="2"/>
    <n v="0"/>
    <n v="0"/>
    <s v="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
    <n v="61"/>
    <n v="3.1746031746031744E-2"/>
    <x v="2"/>
  </r>
  <r>
    <n v="3570"/>
    <x v="3243"/>
    <x v="78"/>
    <x v="2"/>
    <s v="Unknown"/>
    <s v="Centeral Afghanistan Afghanistan"/>
    <s v="Military - Afghan Republican Air Force"/>
    <s v="Unknown"/>
    <s v="Unknown"/>
    <x v="1481"/>
    <s v="Unknown"/>
    <s v="Unknown"/>
    <n v="26"/>
    <s v="NULL"/>
    <s v="NULL"/>
    <n v="26"/>
    <s v="NULL"/>
    <s v="NULL"/>
    <n v="0"/>
    <s v="No data available"/>
    <n v="0"/>
    <n v="1"/>
    <x v="1"/>
  </r>
  <r>
    <n v="3571"/>
    <x v="3243"/>
    <x v="78"/>
    <x v="2"/>
    <s v="Unknown"/>
    <s v="Near Baghran, Afghanistan"/>
    <s v="Military - Afghan Republican Air Force"/>
    <s v="Unknown"/>
    <s v="Unknown"/>
    <x v="1653"/>
    <s v="Unknown"/>
    <s v="Unknown"/>
    <n v="24"/>
    <s v="NULL"/>
    <s v="NULL"/>
    <n v="24"/>
    <s v="NULL"/>
    <s v="NULL"/>
    <n v="0"/>
    <s v="No data available"/>
    <n v="0"/>
    <n v="1"/>
    <x v="1"/>
  </r>
  <r>
    <n v="3572"/>
    <x v="3244"/>
    <x v="78"/>
    <x v="2"/>
    <d v="1899-12-30T20:35:00"/>
    <s v="Ujani Dam, India"/>
    <s v="Vayudoot"/>
    <s v="Unknown"/>
    <s v="Pune - Hyderabad"/>
    <x v="1654"/>
    <s v="VT-EJF"/>
    <n v="8052"/>
    <n v="11"/>
    <n v="8"/>
    <n v="3"/>
    <n v="11"/>
    <n v="8"/>
    <n v="3"/>
    <n v="0"/>
    <s v="Exploded in mid-air and crashed during a thunderstorm and heavy rain."/>
    <n v="0"/>
    <n v="1"/>
    <x v="1"/>
  </r>
  <r>
    <n v="3573"/>
    <x v="3245"/>
    <x v="78"/>
    <x v="2"/>
    <d v="1899-12-30T08:28:00"/>
    <s v="Terrace,  Canada"/>
    <s v="Skylink Airlines"/>
    <n v="70"/>
    <s v="Vancouver - Terrace"/>
    <x v="1480"/>
    <s v="C-GSLB"/>
    <s v="AC-481"/>
    <n v="7"/>
    <n v="5"/>
    <n v="2"/>
    <n v="7"/>
    <n v="5"/>
    <n v="2"/>
    <n v="0"/>
    <s v="The plane struck trees, losing part of a wing after initiating a go-around. The crew continued with the approach beyond the missed approach point without establishing the required visual references."/>
    <n v="0"/>
    <n v="1"/>
    <x v="1"/>
  </r>
  <r>
    <n v="3574"/>
    <x v="3246"/>
    <x v="78"/>
    <x v="2"/>
    <d v="1899-12-30T09:53:00"/>
    <s v="Grand Canyon National Park Airport, Tusayan, Arizona"/>
    <s v="Grand Canyon Airlines"/>
    <s v="Canyon 5"/>
    <s v="Grand Canyon National Park"/>
    <x v="1220"/>
    <s v="N75GC"/>
    <n v="439"/>
    <n v="21"/>
    <n v="19"/>
    <n v="2"/>
    <n v="10"/>
    <n v="8"/>
    <n v="2"/>
    <n v="0"/>
    <s v="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
    <n v="11"/>
    <n v="0.47619047619047616"/>
    <x v="0"/>
  </r>
  <r>
    <n v="3575"/>
    <x v="3247"/>
    <x v="78"/>
    <x v="2"/>
    <d v="1899-12-30T20:08:00"/>
    <s v="Semyonovka ,Ukraine"/>
    <s v="MAP"/>
    <s v="Unknown"/>
    <s v="Mukachevo - _x0009_Moscow"/>
    <x v="1625"/>
    <s v="CCCP-48095"/>
    <n v="1705"/>
    <n v="9"/>
    <n v="4"/>
    <n v="5"/>
    <n v="9"/>
    <n v="4"/>
    <n v="5"/>
    <n v="0"/>
    <s v="Failure of the autopilot caused the plane to enter a spiral descent. Attempts to pull the plane out caused the aircraft to break-up in midair and crash into a swamp."/>
    <n v="0"/>
    <n v="1"/>
    <x v="1"/>
  </r>
  <r>
    <n v="3576"/>
    <x v="3248"/>
    <x v="78"/>
    <x v="2"/>
    <d v="1899-12-30T06:00:00"/>
    <s v="Perth, Ontario, Canada"/>
    <s v="Military - U.S. Air Force"/>
    <s v="Unknown"/>
    <s v="Unknown"/>
    <x v="794"/>
    <s v="56-3592"/>
    <s v="17341/31"/>
    <n v="4"/>
    <n v="0"/>
    <n v="4"/>
    <n v="4"/>
    <n v="0"/>
    <n v="4"/>
    <n v="0"/>
    <s v="A dry  fuel pump led to the ignition of fuel vapors."/>
    <n v="0"/>
    <n v="1"/>
    <x v="1"/>
  </r>
  <r>
    <n v="3577"/>
    <x v="3249"/>
    <x v="78"/>
    <x v="2"/>
    <d v="1899-12-30T22:05:00"/>
    <s v="Uncertain, Texas"/>
    <s v="Winchester Air"/>
    <s v="Unknown"/>
    <s v="Uncertain - Destsin"/>
    <x v="1545"/>
    <s v="N208W"/>
    <s v="208-00115"/>
    <n v="5"/>
    <n v="3"/>
    <n v="2"/>
    <n v="5"/>
    <n v="3"/>
    <n v="2"/>
    <n v="0"/>
    <s v="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
    <n v="0"/>
    <n v="1"/>
    <x v="1"/>
  </r>
  <r>
    <n v="3578"/>
    <x v="3250"/>
    <x v="78"/>
    <x v="2"/>
    <d v="1899-12-30T13:39:00"/>
    <s v="Lacey Township, New Jersey"/>
    <s v="Air Taxi - Paramount Aviation Corp."/>
    <s v="Unknown"/>
    <s v="New York, NY - Atlantic City, NJ"/>
    <x v="1655"/>
    <s v="N21FL"/>
    <n v="7309"/>
    <n v="5"/>
    <n v="4"/>
    <n v="1"/>
    <n v="5"/>
    <n v="4"/>
    <n v="1"/>
    <n v="0"/>
    <s v="In-flight separation of a main rotor blade of the helicopter due to fatigue failure of the main rotor blade spar, which originated at a manufacturing induced scratch (tool mark) that was the result of inadequate quality control."/>
    <n v="0"/>
    <n v="1"/>
    <x v="1"/>
  </r>
  <r>
    <n v="3579"/>
    <x v="3250"/>
    <x v="78"/>
    <x v="2"/>
    <s v="Unknown"/>
    <s v="Urpay, Peru"/>
    <s v="TAUSA"/>
    <s v="Unknown"/>
    <s v="Urpay-Uchiza"/>
    <x v="1656"/>
    <s v="OB-T-1254"/>
    <s v="402C-0638"/>
    <n v="12"/>
    <n v="11"/>
    <n v="1"/>
    <n v="12"/>
    <n v="11"/>
    <n v="1"/>
    <n v="0"/>
    <s v="Crashed into mountain after takeoff."/>
    <n v="0"/>
    <n v="1"/>
    <x v="1"/>
  </r>
  <r>
    <n v="3580"/>
    <x v="3251"/>
    <x v="78"/>
    <x v="2"/>
    <s v="Unknown"/>
    <s v="Nasosny, Russia"/>
    <s v="Military - Russian Air Force"/>
    <s v="Unknown"/>
    <s v="Unknown"/>
    <x v="1657"/>
    <s v="CCCP-76569"/>
    <n v="33448421"/>
    <n v="57"/>
    <n v="50"/>
    <n v="7"/>
    <n v="57"/>
    <n v="50"/>
    <n v="7"/>
    <n v="0"/>
    <s v="Crashed into the Caspian sea after reporting an engine fire."/>
    <n v="0"/>
    <n v="1"/>
    <x v="1"/>
  </r>
  <r>
    <n v="3581"/>
    <x v="3252"/>
    <x v="78"/>
    <x v="2"/>
    <d v="1899-12-30T02:32:00"/>
    <s v="Leninakan, Russia"/>
    <s v="Aeroflot"/>
    <s v="Unknown"/>
    <s v="Ul'yanovsk - Leninakan"/>
    <x v="1658"/>
    <s v="CCCP-76466"/>
    <n v="23440153"/>
    <n v="15"/>
    <n v="10"/>
    <n v="5"/>
    <n v="15"/>
    <n v="10"/>
    <n v="5"/>
    <n v="0"/>
    <s v="Descended below minima and struck a mountain. Did not heed GPWS warnings. Incorrectly set altimeter."/>
    <n v="0"/>
    <n v="1"/>
    <x v="1"/>
  </r>
  <r>
    <n v="3582"/>
    <x v="3253"/>
    <x v="78"/>
    <x v="2"/>
    <d v="1899-12-30T07:53:00"/>
    <s v="Near Tegucigalpa, Honduras"/>
    <s v="TAN"/>
    <n v="414"/>
    <s v="Managua - Tegucigalpa"/>
    <x v="1227"/>
    <s v="N88705"/>
    <s v="19514/597"/>
    <n v="146"/>
    <n v="138"/>
    <n v="8"/>
    <n v="127"/>
    <n v="123"/>
    <n v="4"/>
    <n v="0"/>
    <s v="The aircraft landed short of the runway in heavy rain and high winds after returning to the airport. The crew did not follow the proper approach procedure."/>
    <n v="19"/>
    <n v="0.86986301369863017"/>
    <x v="1"/>
  </r>
  <r>
    <n v="3583"/>
    <x v="3254"/>
    <x v="78"/>
    <x v="2"/>
    <s v="Unknown"/>
    <s v="Petropavlovsk, USSR"/>
    <s v="Military - Soviet Air Force"/>
    <s v="Unknown"/>
    <s v="Unknown"/>
    <x v="1195"/>
    <n v="9"/>
    <s v="Unknown"/>
    <n v="36"/>
    <n v="30"/>
    <n v="6"/>
    <n v="36"/>
    <n v="30"/>
    <n v="6"/>
    <n v="0"/>
    <s v="Crashed while attempting to land in poor weather. Controlled flight into terrain."/>
    <n v="0"/>
    <n v="1"/>
    <x v="1"/>
  </r>
  <r>
    <n v="3584"/>
    <x v="3254"/>
    <x v="78"/>
    <x v="2"/>
    <d v="1899-12-30T18:55:00"/>
    <s v="Hualien, China"/>
    <s v="China Airlines (Taiwan)"/>
    <n v="204"/>
    <s v="Hualien - Taipei"/>
    <x v="1659"/>
    <s v="B-180"/>
    <s v="23795/1319"/>
    <n v="54"/>
    <n v="47"/>
    <n v="7"/>
    <n v="54"/>
    <n v="47"/>
    <n v="7"/>
    <n v="0"/>
    <s v="The plane hit a 7,000 ft, mountain 10 minutes after taking off. The flight crew used an incorrect departure procedure."/>
    <n v="0"/>
    <n v="1"/>
    <x v="1"/>
  </r>
  <r>
    <n v="3585"/>
    <x v="3255"/>
    <x v="78"/>
    <x v="2"/>
    <d v="1899-12-30T18:37:00"/>
    <s v="Halawa Point, Molokai, Hawaii"/>
    <s v="Aloha Island Air"/>
    <n v="1712"/>
    <s v="Kahului, Maui - Kaunakakai, Molokai"/>
    <x v="1647"/>
    <s v="N707PV"/>
    <n v="400"/>
    <n v="20"/>
    <n v="18"/>
    <n v="2"/>
    <n v="20"/>
    <n v="18"/>
    <n v="2"/>
    <n v="0"/>
    <s v="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
    <n v="0"/>
    <n v="1"/>
    <x v="1"/>
  </r>
  <r>
    <n v="3586"/>
    <x v="3256"/>
    <x v="78"/>
    <x v="2"/>
    <s v="Unknown"/>
    <s v="Monrovia, Liberia"/>
    <s v="Weasua Air Ttansport"/>
    <s v="Unknown"/>
    <s v="Monrovia-Freetown"/>
    <x v="1145"/>
    <s v="9L-LAV"/>
    <n v="767"/>
    <n v="10"/>
    <n v="9"/>
    <n v="1"/>
    <n v="2"/>
    <n v="1"/>
    <n v="1"/>
    <n v="0"/>
    <s v="Crashed on a beach following engine failure."/>
    <n v="8"/>
    <n v="0.2"/>
    <x v="2"/>
  </r>
  <r>
    <n v="3587"/>
    <x v="3257"/>
    <x v="78"/>
    <x v="2"/>
    <s v="Unknown"/>
    <s v="Maluti Mountains, Lesotho"/>
    <s v="Military - Royal Lesotho Defence Force"/>
    <s v="Unknown"/>
    <s v="Qacha?s-  Nek-Maseru"/>
    <x v="1660"/>
    <s v="LDF-46"/>
    <n v="389"/>
    <n v="18"/>
    <n v="16"/>
    <n v="2"/>
    <n v="18"/>
    <n v="16"/>
    <n v="2"/>
    <n v="0"/>
    <s v="Hit a mountain."/>
    <n v="0"/>
    <n v="1"/>
    <x v="1"/>
  </r>
  <r>
    <n v="3588"/>
    <x v="3258"/>
    <x v="78"/>
    <x v="2"/>
    <d v="1899-12-30T17:28:00"/>
    <s v="Near Tyumem, Russia"/>
    <s v="Aeroflot"/>
    <s v="Unknown"/>
    <s v="Perm - Sovietsky"/>
    <x v="968"/>
    <s v="CCCP-46335"/>
    <n v="97305602"/>
    <n v="42"/>
    <n v="36"/>
    <n v="6"/>
    <n v="34"/>
    <n v="28"/>
    <n v="6"/>
    <n v="0"/>
    <s v="The plane collided with  trees 180 m from the Inner Marker.  Weather was below minima with a 80 m cloud base and 2000 m visibility in haze and snow."/>
    <n v="8"/>
    <n v="0.80952380952380953"/>
    <x v="1"/>
  </r>
  <r>
    <n v="3589"/>
    <x v="3259"/>
    <x v="78"/>
    <x v="2"/>
    <s v="Unknown"/>
    <s v="Albania"/>
    <s v="Military - People's Army/ Military - Peoples Air Force"/>
    <s v="Unknown"/>
    <s v="Unknown"/>
    <x v="1661"/>
    <s v="Unknown"/>
    <s v="Unknown"/>
    <n v="24"/>
    <s v="NULL"/>
    <s v="NULL"/>
    <n v="24"/>
    <s v="NULL"/>
    <s v="NULL"/>
    <n v="0"/>
    <s v="Two helicopters transporting bus accident victims collided in mid-air."/>
    <n v="0"/>
    <n v="1"/>
    <x v="1"/>
  </r>
  <r>
    <n v="3590"/>
    <x v="3260"/>
    <x v="78"/>
    <x v="2"/>
    <d v="1899-12-30T07:48:00"/>
    <s v="Seoul, South Korea"/>
    <s v="Korean Airlines"/>
    <s v="Unknown"/>
    <s v="Seou - Ulsan"/>
    <x v="1453"/>
    <s v="HL-7255"/>
    <n v="11223"/>
    <n v="52"/>
    <n v="46"/>
    <n v="6"/>
    <n v="1"/>
    <n v="1"/>
    <n v="0"/>
    <n v="0"/>
    <s v="The plane crashed during takeoff after losing the left engine, directional control and overrunning the runway and catching fire."/>
    <n v="51"/>
    <n v="1.9230769230769232E-2"/>
    <x v="2"/>
  </r>
  <r>
    <n v="3591"/>
    <x v="3261"/>
    <x v="78"/>
    <x v="2"/>
    <d v="1899-12-30T07:16:00"/>
    <s v="Bogota, Colombia"/>
    <s v="AVIANCA"/>
    <n v="203"/>
    <s v="Bogota - Cali"/>
    <x v="1606"/>
    <s v="HK-1803"/>
    <s v="19035/272"/>
    <n v="107"/>
    <n v="101"/>
    <n v="6"/>
    <n v="107"/>
    <n v="101"/>
    <n v="6"/>
    <n v="3"/>
    <s v="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
    <n v="0"/>
    <n v="1"/>
    <x v="1"/>
  </r>
  <r>
    <n v="3592"/>
    <x v="3261"/>
    <x v="78"/>
    <x v="2"/>
    <s v="Unknown"/>
    <s v="Near Jamba, Angola"/>
    <s v="Tepper Aviation"/>
    <s v="Unknown"/>
    <s v="Kamina - Jamba"/>
    <x v="1152"/>
    <s v="N9205T"/>
    <n v="4129"/>
    <n v="5"/>
    <n v="0"/>
    <n v="5"/>
    <n v="5"/>
    <n v="0"/>
    <n v="5"/>
    <n v="0"/>
    <s v="Crashed while landing."/>
    <n v="0"/>
    <n v="1"/>
    <x v="1"/>
  </r>
  <r>
    <n v="3593"/>
    <x v="3262"/>
    <x v="78"/>
    <x v="2"/>
    <d v="1899-12-30T20:00:00"/>
    <s v="Charallave, Venezuela"/>
    <s v="Lineas AÃ©reas Cave"/>
    <s v="Unknown"/>
    <s v="Canaima - Ciudad Guayana -Charallave"/>
    <x v="1179"/>
    <s v="YV-478C"/>
    <s v="Unknown"/>
    <n v="7"/>
    <n v="5"/>
    <n v="2"/>
    <n v="3"/>
    <n v="1"/>
    <n v="2"/>
    <n v="0"/>
    <s v="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
    <n v="4"/>
    <n v="0.42857142857142855"/>
    <x v="0"/>
  </r>
  <r>
    <n v="3594"/>
    <x v="3262"/>
    <x v="78"/>
    <x v="2"/>
    <d v="1899-12-30T18:25:00"/>
    <s v="Block Island, Rhode Island"/>
    <s v="New England Airlines"/>
    <s v="Unknown"/>
    <s v="Block Island, RI - Westerly, RI"/>
    <x v="1145"/>
    <s v="N127JL"/>
    <n v="69"/>
    <n v="8"/>
    <n v="7"/>
    <n v="1"/>
    <n v="8"/>
    <n v="7"/>
    <n v="1"/>
    <n v="0"/>
    <s v="Crashed into the sea 4 miles Northwest of the Island. Unknown cause. There was sever turbulence and windshear in the area."/>
    <n v="0"/>
    <n v="1"/>
    <x v="1"/>
  </r>
  <r>
    <n v="3595"/>
    <x v="3263"/>
    <x v="78"/>
    <x v="2"/>
    <d v="1899-12-30T09:30:00"/>
    <s v="Patuxent, Maryland"/>
    <s v="Military - U.S. Army"/>
    <s v="Unknown"/>
    <s v="Fort Belvoir - Patuxent River NAS"/>
    <x v="1577"/>
    <s v="N296CA"/>
    <n v="296"/>
    <n v="5"/>
    <n v="0"/>
    <n v="5"/>
    <n v="5"/>
    <n v="0"/>
    <n v="5"/>
    <n v="0"/>
    <s v="The crew inadvertently selected &quot;Beta Range&quot; on the propellers at 800 feet. The aircraft then stalled and crashed into the river."/>
    <n v="0"/>
    <n v="1"/>
    <x v="1"/>
  </r>
  <r>
    <n v="3596"/>
    <x v="3264"/>
    <x v="78"/>
    <x v="2"/>
    <d v="1899-12-30T14:00:00"/>
    <s v="Near Guayaramerin, Bolivia"/>
    <s v="Military - Bolivian Air Force"/>
    <s v="Unknown"/>
    <s v="Guayaramerin - Santa Cruz"/>
    <x v="1530"/>
    <s v="TAM-62"/>
    <n v="3187"/>
    <n v="28"/>
    <n v="18"/>
    <n v="10"/>
    <n v="24"/>
    <s v="NULL"/>
    <s v="NULL"/>
    <n v="0"/>
    <s v="The passenger flight crashed into a jungle shortly after taking off."/>
    <n v="4"/>
    <n v="0.8571428571428571"/>
    <x v="1"/>
  </r>
  <r>
    <n v="3597"/>
    <x v="3265"/>
    <x v="78"/>
    <x v="2"/>
    <d v="1899-12-30T22:30:00"/>
    <s v="Pasco, Washington"/>
    <s v="United Express"/>
    <n v="2415"/>
    <s v="Yakima - Pasco"/>
    <x v="1662"/>
    <s v="N410UE"/>
    <n v="776"/>
    <n v="6"/>
    <n v="4"/>
    <n v="2"/>
    <n v="6"/>
    <n v="4"/>
    <n v="2"/>
    <n v="0"/>
    <s v="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
    <n v="0"/>
    <n v="1"/>
    <x v="1"/>
  </r>
  <r>
    <n v="3598"/>
    <x v="3266"/>
    <x v="78"/>
    <x v="2"/>
    <s v="Unknown"/>
    <s v="Near Visina, Romania"/>
    <s v="Tarom"/>
    <s v="Unknown"/>
    <s v="Bicharest - Beogard"/>
    <x v="1275"/>
    <s v="YR-BMJ"/>
    <n v="77310801"/>
    <n v="7"/>
    <n v="1"/>
    <n v="6"/>
    <n v="7"/>
    <n v="1"/>
    <n v="6"/>
    <n v="0"/>
    <s v="Crashed in poor weather conditions. Rumors suggest the plane was shot down."/>
    <n v="0"/>
    <n v="1"/>
    <x v="1"/>
  </r>
  <r>
    <n v="3599"/>
    <x v="3267"/>
    <x v="78"/>
    <x v="2"/>
    <s v="Unknown"/>
    <s v="Milford Sound"/>
    <s v="Air Fiordland"/>
    <s v="Unknown"/>
    <s v="Unknown"/>
    <x v="1663"/>
    <s v="ZK-DAX / ZK-DQF"/>
    <s v="131/53"/>
    <n v="5"/>
    <n v="4"/>
    <n v="1"/>
    <n v="5"/>
    <n v="4"/>
    <n v="1"/>
    <n v="0"/>
    <s v="Midair collision. Five killed on ZA-DAX, ZK-DQF landed safely."/>
    <n v="0"/>
    <n v="1"/>
    <x v="1"/>
  </r>
  <r>
    <n v="3600"/>
    <x v="3268"/>
    <x v="79"/>
    <x v="3"/>
    <d v="1899-12-30T13:40:00"/>
    <s v="Java Sea, Indonesia"/>
    <s v="Pelita Air Service"/>
    <s v="Unknown"/>
    <s v="Palambang and Jakarta"/>
    <x v="1577"/>
    <s v="PK-PCM"/>
    <s v="217/57N"/>
    <n v="16"/>
    <n v="13"/>
    <n v="3"/>
    <n v="9"/>
    <n v="7"/>
    <n v="2"/>
    <n v="0"/>
    <s v="Ditched into the Java Sea after experiencing mechanical problems with the right engine and being unable to maintain altitude. The crew shut down the engine and feathered the propeller but could not maintain altitude despite jettisoning luggage out of the aircraft."/>
    <n v="7"/>
    <n v="0.5625"/>
    <x v="0"/>
  </r>
  <r>
    <n v="3601"/>
    <x v="3269"/>
    <x v="79"/>
    <x v="3"/>
    <d v="1899-12-30T12:56:00"/>
    <s v="Near Pervouralsk, Russia"/>
    <s v="Aeroflot"/>
    <s v="Unknown"/>
    <s v="Tyumen - Ufa"/>
    <x v="1166"/>
    <s v="CCCP-65951"/>
    <n v="2351703"/>
    <n v="71"/>
    <n v="65"/>
    <n v="6"/>
    <n v="27"/>
    <n v="23"/>
    <n v="4"/>
    <n v="0"/>
    <s v="A fire in the rear cargo hold and fire warning in both engines forced the plane to crash land in a snow laden field. The plane broke up after striking irrigation equipment. Short circuit in the electrical wiring."/>
    <n v="44"/>
    <n v="0.38028169014084506"/>
    <x v="0"/>
  </r>
  <r>
    <n v="3602"/>
    <x v="3270"/>
    <x v="79"/>
    <x v="3"/>
    <d v="1899-12-30T08:30:00"/>
    <s v="Pico Blanco, Costa Rica"/>
    <s v="SANSA"/>
    <n v="32"/>
    <s v="San Jose - Palmar Sur"/>
    <x v="1577"/>
    <s v="TI-SAB"/>
    <n v="163"/>
    <n v="23"/>
    <n v="20"/>
    <n v="3"/>
    <n v="23"/>
    <n v="20"/>
    <n v="3"/>
    <n v="0"/>
    <s v="Crashed about 4,500 feet up on 7,250 ft. Pico Blanco Mountain, 10 miles southwest of San Jose, five minutes after taking off in a driving rainstorm. Continued VFR flight into IFR condtions.  The aircraft was not  equipped with a GWPS."/>
    <n v="0"/>
    <n v="1"/>
    <x v="1"/>
  </r>
  <r>
    <n v="3603"/>
    <x v="3271"/>
    <x v="79"/>
    <x v="3"/>
    <d v="1899-12-30T07:19:00"/>
    <s v="Near Leadville, Colorado"/>
    <s v="Federal Express"/>
    <n v="824"/>
    <s v="Denver - Montrose"/>
    <x v="1664"/>
    <s v="N835FE"/>
    <s v="208-00091"/>
    <n v="1"/>
    <n v="0"/>
    <n v="1"/>
    <n v="1"/>
    <n v="0"/>
    <n v="1"/>
    <n v="0"/>
    <s v="The cargo plane crashed into a 14,200 ft. Mount Massive 50 feet below the summit  while en route. Diversion of the pilot's attention, resulting in an in flight collision with terrain during normal cruise flight."/>
    <n v="0"/>
    <n v="1"/>
    <x v="1"/>
  </r>
  <r>
    <n v="3604"/>
    <x v="3272"/>
    <x v="79"/>
    <x v="3"/>
    <d v="1899-12-30T07:35:00"/>
    <s v="Near Caracas, Venezuela"/>
    <s v="Military - Venezuelan Navy"/>
    <s v="-"/>
    <s v="Caracas - Puerto Ayancucho"/>
    <x v="1665"/>
    <s v="ARV-0210"/>
    <n v="268"/>
    <n v="25"/>
    <n v="22"/>
    <n v="3"/>
    <n v="25"/>
    <n v="22"/>
    <n v="3"/>
    <n v="0"/>
    <s v="Crashed into El Junquito Hill 5 minutes after taking off and burned. Most likely cause was reduced visibility, rain and low overcast."/>
    <n v="0"/>
    <n v="1"/>
    <x v="1"/>
  </r>
  <r>
    <n v="3605"/>
    <x v="3273"/>
    <x v="79"/>
    <x v="3"/>
    <s v="Unknown"/>
    <s v="Mt Rijani, Lombok Island, Indonesia"/>
    <s v="Airfast Services"/>
    <s v="Unknown"/>
    <s v="Ujung Pandang - Selaparang"/>
    <x v="1666"/>
    <s v="PK-OBW"/>
    <n v="1567"/>
    <n v="19"/>
    <n v="16"/>
    <n v="3"/>
    <n v="19"/>
    <n v="16"/>
    <n v="3"/>
    <n v="0"/>
    <s v="Crashed into Mt. Ringani after being diverted en route to Denpasair, Bali, due to bad weather."/>
    <n v="0"/>
    <n v="1"/>
    <x v="1"/>
  </r>
  <r>
    <n v="3606"/>
    <x v="3273"/>
    <x v="79"/>
    <x v="3"/>
    <d v="1899-12-30T21:34:00"/>
    <s v="Cove Neck, New York"/>
    <s v="AVIANCA"/>
    <n v="52"/>
    <s v="Medellin - New York City"/>
    <x v="975"/>
    <s v="HK 2016"/>
    <s v="19276/592"/>
    <n v="158"/>
    <n v="149"/>
    <n v="9"/>
    <n v="73"/>
    <n v="65"/>
    <n v="8"/>
    <n v="0"/>
    <s v="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quot;we need priority&quot;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quot;we are running out of fuel&quot; numerous times only to be taken on a wide circling pattern after the first attempt at landing was aborted. Although the major blame was placed on the crew, in the end, the FAA paid 40% of compensations to the passenger's families."/>
    <n v="85"/>
    <n v="0.46202531645569622"/>
    <x v="0"/>
  </r>
  <r>
    <n v="3607"/>
    <x v="3274"/>
    <x v="79"/>
    <x v="3"/>
    <s v="Unknown"/>
    <s v="Zavkhan, Mongolia"/>
    <s v="MIAT - Mongolian Airlines"/>
    <s v="Unknown"/>
    <s v="Ulan Bator - Uliastaj"/>
    <x v="1667"/>
    <s v="_x0009_ BNMAU-10208"/>
    <s v="_x0009_ 57310208"/>
    <n v="30"/>
    <n v="25"/>
    <n v="5"/>
    <n v="30"/>
    <n v="25"/>
    <n v="5"/>
    <n v="0"/>
    <s v="The Antonov crashed after failing to find the destination airport at night."/>
    <n v="0"/>
    <n v="1"/>
    <x v="1"/>
  </r>
  <r>
    <n v="3608"/>
    <x v="3275"/>
    <x v="79"/>
    <x v="3"/>
    <d v="1899-12-30T17:35:00"/>
    <s v="Near Kinkala, Congo"/>
    <s v="Military - Congolese Air Force"/>
    <s v="Unknown"/>
    <s v="Pointe-Noire - Brazzaville"/>
    <x v="1668"/>
    <s v="TN-230"/>
    <n v="103"/>
    <n v="28"/>
    <n v="23"/>
    <n v="5"/>
    <n v="28"/>
    <n v="23"/>
    <n v="5"/>
    <n v="0"/>
    <s v="Rain and high winds caused the aircraft to crash 50 miles from it's destination of Brazzaville."/>
    <n v="0"/>
    <n v="1"/>
    <x v="1"/>
  </r>
  <r>
    <n v="3609"/>
    <x v="3276"/>
    <x v="79"/>
    <x v="3"/>
    <d v="1899-12-30T02:00:00"/>
    <s v="Burlington, Vermont"/>
    <s v="Airborne Express"/>
    <s v="Unknown"/>
    <s v="Burlington, VT - Albany, NY"/>
    <x v="1669"/>
    <s v="N4688B"/>
    <s v="208B-0169"/>
    <n v="2"/>
    <n v="1"/>
    <n v="1"/>
    <n v="2"/>
    <n v="1"/>
    <n v="1"/>
    <n v="0"/>
    <s v="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
    <n v="0"/>
    <n v="1"/>
    <x v="1"/>
  </r>
  <r>
    <n v="3610"/>
    <x v="3276"/>
    <x v="79"/>
    <x v="3"/>
    <d v="1899-12-30T20:33:00"/>
    <s v="Plattsburgh, New York"/>
    <s v="Wiggins Airways"/>
    <s v="Unknown"/>
    <s v="Plattsburgh - Syracuse"/>
    <x v="1670"/>
    <s v="N854FE"/>
    <s v="208B-0172"/>
    <n v="1"/>
    <n v="0"/>
    <n v="1"/>
    <n v="1"/>
    <n v="0"/>
    <n v="1"/>
    <n v="0"/>
    <s v="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
    <n v="0"/>
    <n v="1"/>
    <x v="1"/>
  </r>
  <r>
    <n v="3611"/>
    <x v="3277"/>
    <x v="79"/>
    <x v="3"/>
    <d v="1899-12-30T08:37:00"/>
    <s v="Near Ibague, Colombia"/>
    <s v="Helicopteros Nacionales de Colombia"/>
    <s v="Unknown"/>
    <s v="Bogota via Neiva - Ibague"/>
    <x v="1540"/>
    <s v="HK-3315X"/>
    <n v="24"/>
    <n v="15"/>
    <n v="11"/>
    <n v="4"/>
    <n v="15"/>
    <n v="11"/>
    <n v="4"/>
    <n v="0"/>
    <s v="Struck Mt. El Saluda at 5,000 ft., near Image, after announcing a go-around with intentions of diverting to their alternate."/>
    <n v="0"/>
    <n v="1"/>
    <x v="1"/>
  </r>
  <r>
    <n v="3612"/>
    <x v="3278"/>
    <x v="79"/>
    <x v="3"/>
    <d v="1899-12-30T09:29:00"/>
    <s v="Bauru, Brazil"/>
    <s v="TAM (Brazil)"/>
    <s v="Unknown"/>
    <s v="San Palo - Bauru - Aracatuba"/>
    <x v="1671"/>
    <s v="PT-LCG"/>
    <n v="10206"/>
    <n v="40"/>
    <n v="36"/>
    <n v="4"/>
    <n v="2"/>
    <n v="1"/>
    <n v="1"/>
    <n v="2"/>
    <s v="Crashed after an aborted landing following landing  too fast and 2/3rds down the runway. The pilot attempted a go-around, became airborne but stalled and crashed into houses and a car killing two people."/>
    <n v="38"/>
    <n v="0.05"/>
    <x v="2"/>
  </r>
  <r>
    <n v="3613"/>
    <x v="3279"/>
    <x v="79"/>
    <x v="3"/>
    <d v="1899-12-30T13:03:00"/>
    <s v="Near Bangalore, India"/>
    <s v="Indian Airlines"/>
    <n v="605"/>
    <s v="Bombay - Bangalore"/>
    <x v="1672"/>
    <s v="VT-EPN"/>
    <n v="79"/>
    <n v="146"/>
    <n v="139"/>
    <n v="7"/>
    <n v="92"/>
    <n v="87"/>
    <n v="5"/>
    <n v="0"/>
    <s v="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
    <n v="54"/>
    <n v="0.63013698630136983"/>
    <x v="0"/>
  </r>
  <r>
    <n v="3614"/>
    <x v="3280"/>
    <x v="79"/>
    <x v="3"/>
    <d v="1899-12-30T19:30:00"/>
    <s v="Near Ngwerere, Zambia"/>
    <s v="Military - Zambian Air Force"/>
    <s v="Unknown"/>
    <s v="M'bala - Likouala"/>
    <x v="1673"/>
    <s v="AF316"/>
    <n v="66"/>
    <n v="29"/>
    <n v="24"/>
    <n v="5"/>
    <n v="29"/>
    <n v="24"/>
    <n v="5"/>
    <n v="0"/>
    <s v="Suddenly dove into a field as it prepared to land at Likouala."/>
    <n v="0"/>
    <n v="1"/>
    <x v="1"/>
  </r>
  <r>
    <n v="3615"/>
    <x v="3281"/>
    <x v="79"/>
    <x v="3"/>
    <d v="1899-12-30T19:47:00"/>
    <s v="Denver, Colorado"/>
    <s v="Federal Express"/>
    <s v="Unknown"/>
    <s v="Aspen - Denver"/>
    <x v="1664"/>
    <s v="N820FE"/>
    <s v="208-00043"/>
    <n v="1"/>
    <n v="0"/>
    <n v="1"/>
    <n v="1"/>
    <n v="0"/>
    <n v="1"/>
    <n v="0"/>
    <s v="While on an ILS approach, the cargo plane encountered icing conditions. Subsequently it entered a steep descent and crashed short of the runway. The accumulation of structural ice and subsequent stalling of the aircraft. The icing condition was a related factor."/>
    <n v="0"/>
    <n v="1"/>
    <x v="1"/>
  </r>
  <r>
    <n v="3616"/>
    <x v="3282"/>
    <x v="79"/>
    <x v="3"/>
    <s v="Unknown"/>
    <s v="Near Meerut, India"/>
    <s v="Military - Indian Air Force"/>
    <s v="Unknown"/>
    <s v="Unknown"/>
    <x v="1674"/>
    <s v="Unknown"/>
    <s v="Unknown"/>
    <n v="1"/>
    <n v="0"/>
    <n v="1"/>
    <n v="0"/>
    <n v="0"/>
    <n v="0"/>
    <n v="50"/>
    <s v="After the pilot ejected safely, the aircraft crashed into two trucks killing 50 people on the ground.      "/>
    <n v="1"/>
    <n v="0"/>
    <x v="2"/>
  </r>
  <r>
    <n v="3617"/>
    <x v="3283"/>
    <x v="79"/>
    <x v="3"/>
    <s v="Unknown"/>
    <s v="Off Freetown, Sierre Leone"/>
    <s v="Helicsa"/>
    <s v="Unknown"/>
    <s v="Unknown"/>
    <x v="1675"/>
    <s v="EC-DDR"/>
    <s v="58-1617"/>
    <n v="13"/>
    <s v="NULL"/>
    <s v="NULL"/>
    <n v="11"/>
    <s v="NULL"/>
    <s v="NULL"/>
    <n v="0"/>
    <s v="Crashed into the sea after takeoff."/>
    <n v="2"/>
    <n v="0.84615384615384615"/>
    <x v="1"/>
  </r>
  <r>
    <n v="3618"/>
    <x v="3284"/>
    <x v="79"/>
    <x v="3"/>
    <s v="Unknown"/>
    <s v="Las Mesitas, Honduras"/>
    <s v="TAN Honduras"/>
    <s v="Unknown"/>
    <s v="San Pedro - Tegucigalpa"/>
    <x v="1403"/>
    <s v="HR-TNL"/>
    <n v="1134"/>
    <n v="3"/>
    <n v="0"/>
    <n v="3"/>
    <n v="3"/>
    <n v="0"/>
    <n v="3"/>
    <n v="0"/>
    <s v="The cargo plane descended below the minimum safe altitude and struck a 7,000 mountain in poor weather."/>
    <n v="0"/>
    <n v="1"/>
    <x v="1"/>
  </r>
  <r>
    <n v="3619"/>
    <x v="3285"/>
    <x v="79"/>
    <x v="3"/>
    <s v="Unknown"/>
    <s v="Santiago de Cuba"/>
    <s v="Cubana de Aviacion"/>
    <s v="Unknown"/>
    <s v="Santiago de Cuba-La Havane"/>
    <x v="1195"/>
    <s v="CU-T1436"/>
    <n v="7406"/>
    <n v="46"/>
    <n v="41"/>
    <n v="5"/>
    <n v="4"/>
    <n v="4"/>
    <n v="0"/>
    <n v="0"/>
    <s v="During takeoff, close to V1 the takeoff was aborted. The aircraft overran the runway and crashed."/>
    <n v="42"/>
    <n v="8.6956521739130432E-2"/>
    <x v="2"/>
  </r>
  <r>
    <n v="3620"/>
    <x v="3286"/>
    <x v="79"/>
    <x v="3"/>
    <d v="1899-12-30T11:00:00"/>
    <s v="Kabul, Afghanistan"/>
    <s v="Aeroflot"/>
    <s v="Unknown"/>
    <s v="Kokand - Kabul"/>
    <x v="1657"/>
    <s v="CCCP-78781"/>
    <n v="83489670"/>
    <n v="11"/>
    <n v="2"/>
    <n v="9"/>
    <n v="11"/>
    <n v="2"/>
    <n v="9"/>
    <n v="0"/>
    <s v="The cargo plane stalled while on final and crashed while on approach after being ordered by ATC to discontinue the approach. Pilot error."/>
    <n v="0"/>
    <n v="1"/>
    <x v="1"/>
  </r>
  <r>
    <n v="3621"/>
    <x v="3286"/>
    <x v="79"/>
    <x v="3"/>
    <s v="Unknown"/>
    <s v="Near Kuito, Angola"/>
    <s v="Military - Angolan Air Force"/>
    <s v="Unknown"/>
    <s v="Kuito-Huambo"/>
    <x v="1676"/>
    <s v="T-410"/>
    <n v="384"/>
    <n v="25"/>
    <n v="20"/>
    <n v="5"/>
    <n v="25"/>
    <n v="20"/>
    <n v="5"/>
    <n v="0"/>
    <s v="Shot down with a missile fired by UNITA rebels."/>
    <n v="0"/>
    <n v="1"/>
    <x v="1"/>
  </r>
  <r>
    <n v="3622"/>
    <x v="3287"/>
    <x v="79"/>
    <x v="3"/>
    <d v="1899-12-30T14:44:00"/>
    <s v="Off Vaeroy, Norway"/>
    <s v="Wideroe's Flyveselksap"/>
    <n v="839"/>
    <s v="Vaeroy - Bodo"/>
    <x v="1220"/>
    <s v="LN-BNS"/>
    <n v="536"/>
    <n v="5"/>
    <n v="3"/>
    <n v="2"/>
    <n v="5"/>
    <n v="3"/>
    <n v="2"/>
    <n v="0"/>
    <s v="Control of the aircraft was lost when the push-pull rod to the elevator failed in heavy turbulence. The plane crashed into the sea."/>
    <n v="0"/>
    <n v="1"/>
    <x v="1"/>
  </r>
  <r>
    <n v="3623"/>
    <x v="3288"/>
    <x v="79"/>
    <x v="3"/>
    <s v="Unknown"/>
    <s v="Off Contadora, Panama"/>
    <s v="Aeroperlas"/>
    <s v="Unknown"/>
    <s v="Panama City-Contadora-San Miguel"/>
    <x v="1095"/>
    <s v="N187AS"/>
    <n v="131"/>
    <n v="22"/>
    <n v="19"/>
    <n v="3"/>
    <n v="20"/>
    <n v="17"/>
    <n v="3"/>
    <n v="0"/>
    <s v="Shortly after taking off, the plane crashed into the ocean three miles south of the Panamanian island of Contadora after experiencing problems with the No. 2 engine leading to loss of altitude and control of the aircraft. The engine failure was caused by bird ingestion."/>
    <n v="2"/>
    <n v="0.90909090909090906"/>
    <x v="1"/>
  </r>
  <r>
    <n v="3624"/>
    <x v="3289"/>
    <x v="79"/>
    <x v="3"/>
    <s v="Unknown"/>
    <s v="Near Kinshasa, Zaire"/>
    <s v="Military - Zairean Air Force"/>
    <s v="Unknown"/>
    <s v="Kinshasa-Gbadolite"/>
    <x v="1262"/>
    <s v="9T-TCG"/>
    <n v="4589"/>
    <n v="24"/>
    <n v="18"/>
    <n v="6"/>
    <n v="20"/>
    <s v="NULL"/>
    <s v="NULL"/>
    <n v="0"/>
    <s v="The propeller of the No. 3 engine separated which struck the No.4 propeller leading to a crash."/>
    <n v="4"/>
    <n v="0.83333333333333337"/>
    <x v="1"/>
  </r>
  <r>
    <n v="3625"/>
    <x v="3290"/>
    <x v="79"/>
    <x v="3"/>
    <d v="1899-12-30T06:21:00"/>
    <s v="Near Manila, Philippines"/>
    <s v="MATS - Manila Aero Transport System"/>
    <s v="Unknown"/>
    <s v="Manila - Roxaz City"/>
    <x v="1677"/>
    <s v="RP-C81"/>
    <n v="25325"/>
    <n v="24"/>
    <n v="22"/>
    <n v="2"/>
    <n v="7"/>
    <n v="7"/>
    <n v="0"/>
    <n v="0"/>
    <s v="The plane crashed into a rice field after an engine failed during a landing attempt and the plane attempted to take off again, crashing outside of the airport boundary."/>
    <n v="17"/>
    <n v="0.29166666666666669"/>
    <x v="2"/>
  </r>
  <r>
    <n v="3626"/>
    <x v="3291"/>
    <x v="79"/>
    <x v="3"/>
    <d v="1899-12-30T21:35:00"/>
    <s v="Ship Sands Island, ON, Canada"/>
    <s v="Frontier Air"/>
    <s v="Unknown"/>
    <s v="Timmins, Ontario - Ship Sands Island, Ontario"/>
    <x v="1678"/>
    <s v="C-FGAW"/>
    <s v="U197"/>
    <n v="4"/>
    <n v="2"/>
    <n v="2"/>
    <n v="1"/>
    <n v="0"/>
    <n v="1"/>
    <n v="0"/>
    <s v="While on VOR approach the aircraft flew into the ground."/>
    <n v="3"/>
    <n v="0.25"/>
    <x v="2"/>
  </r>
  <r>
    <n v="3627"/>
    <x v="3291"/>
    <x v="79"/>
    <x v="3"/>
    <d v="1899-12-30T21:38:00"/>
    <s v="Tarbert, England"/>
    <s v="Military - Royal Air Force"/>
    <s v="Unknown"/>
    <s v="Timmins - Moosonee"/>
    <x v="1679"/>
    <s v="WR965"/>
    <s v="U-197"/>
    <n v="10"/>
    <n v="0"/>
    <n v="10"/>
    <n v="10"/>
    <n v="0"/>
    <n v="10"/>
    <n v="0"/>
    <s v="Crashed into a mountain in poor weather while en route."/>
    <n v="0"/>
    <n v="1"/>
    <x v="1"/>
  </r>
  <r>
    <n v="3628"/>
    <x v="3292"/>
    <x v="79"/>
    <x v="3"/>
    <d v="1899-12-30T15:00:00"/>
    <s v="Guatamala City , Guatemala"/>
    <s v="Aerial Transit Company"/>
    <s v="Unknown"/>
    <s v="Guatamala City - La Aurora"/>
    <x v="1280"/>
    <s v="N84BL"/>
    <s v="43739/279"/>
    <n v="3"/>
    <n v="0"/>
    <n v="3"/>
    <n v="3"/>
    <n v="0"/>
    <n v="3"/>
    <n v="24"/>
    <s v="The aircraft experienced engine failure on takeoff at about V2 and crashed into houses 8 km SE of the airport."/>
    <n v="0"/>
    <n v="1"/>
    <x v="1"/>
  </r>
  <r>
    <n v="3629"/>
    <x v="3293"/>
    <x v="79"/>
    <x v="3"/>
    <d v="1899-12-30T08:55:00"/>
    <s v="Tuxtla-Gutierrez, Mexico"/>
    <s v="Avicsa"/>
    <s v="Unknown"/>
    <s v="Tapachula - Tuxtla-Gutierrez"/>
    <x v="896"/>
    <s v="F-GHXA"/>
    <n v="101"/>
    <n v="40"/>
    <n v="35"/>
    <n v="5"/>
    <n v="20"/>
    <n v="15"/>
    <n v="5"/>
    <n v="0"/>
    <s v="Crashed 3  miles short of the runway on approach, striking trees. The accident was attributed to a lack of coordination between the crew during the approach and their lack of experience on the type of aircraft."/>
    <n v="20"/>
    <n v="0.5"/>
    <x v="0"/>
  </r>
  <r>
    <n v="3630"/>
    <x v="3294"/>
    <x v="79"/>
    <x v="3"/>
    <s v="Unknown"/>
    <s v="Near Wurzburg , Germany"/>
    <s v="Military - Luftwaffe"/>
    <s v="Unknown"/>
    <s v="Unknown"/>
    <x v="1255"/>
    <s v="50-39"/>
    <s v="D61"/>
    <n v="10"/>
    <n v="0"/>
    <n v="10"/>
    <n v="10"/>
    <n v="0"/>
    <n v="10"/>
    <n v="0"/>
    <s v="During a low level flight the crew lost reference with the ground and crashed."/>
    <n v="0"/>
    <n v="1"/>
    <x v="1"/>
  </r>
  <r>
    <n v="3631"/>
    <x v="3294"/>
    <x v="79"/>
    <x v="3"/>
    <s v="Unknown"/>
    <s v="Manila, Philippines"/>
    <s v="Philippine Air Lines"/>
    <s v="Unknown"/>
    <s v="Manila - Iloilo"/>
    <x v="1680"/>
    <s v="EI-BZG"/>
    <n v="24466"/>
    <n v="119"/>
    <n v="113"/>
    <n v="6"/>
    <n v="8"/>
    <n v="8"/>
    <n v="0"/>
    <n v="0"/>
    <s v="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
    <n v="111"/>
    <n v="6.7226890756302518E-2"/>
    <x v="2"/>
  </r>
  <r>
    <n v="3632"/>
    <x v="3295"/>
    <x v="79"/>
    <x v="3"/>
    <d v="1899-12-30T06:25:00"/>
    <s v="Manila, Philippines"/>
    <s v="Aerolift Philippines"/>
    <n v="75"/>
    <s v="Manila - Surigao City"/>
    <x v="1681"/>
    <s v="RP-C314"/>
    <s v="UC-46"/>
    <n v="21"/>
    <n v="19"/>
    <n v="2"/>
    <n v="21"/>
    <n v="19"/>
    <n v="2"/>
    <n v="4"/>
    <s v="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
    <n v="0"/>
    <n v="1"/>
    <x v="1"/>
  </r>
  <r>
    <n v="3633"/>
    <x v="3296"/>
    <x v="79"/>
    <x v="3"/>
    <d v="1899-12-30T05:29:00"/>
    <s v="Near Altamira, Brazil"/>
    <s v="TABA"/>
    <s v="Unknown"/>
    <s v="Belem - Altamira"/>
    <x v="1604"/>
    <s v="PT-ICA"/>
    <n v="570"/>
    <n v="42"/>
    <n v="39"/>
    <n v="3"/>
    <n v="23"/>
    <n v="21"/>
    <n v="2"/>
    <n v="0"/>
    <s v="The pilot switched to VFR in IFR conditions, struck trees 1 km short of runway in heavy ground fog. Pilot error."/>
    <n v="19"/>
    <n v="0.54761904761904767"/>
    <x v="0"/>
  </r>
  <r>
    <n v="3634"/>
    <x v="3296"/>
    <x v="79"/>
    <x v="3"/>
    <d v="1899-12-30T19:00:00"/>
    <s v="Thistle Lake, Northwest Territory, Canada"/>
    <s v="Ptarmigan Airways"/>
    <s v="Unknown"/>
    <s v="Unknown"/>
    <x v="1220"/>
    <s v="C-FWAB"/>
    <n v="349"/>
    <n v="2"/>
    <n v="0"/>
    <n v="2"/>
    <n v="2"/>
    <n v="0"/>
    <n v="2"/>
    <n v="0"/>
    <s v="The cargo plane failed to gain altitude and crashed into a parked helicopter."/>
    <n v="0"/>
    <n v="1"/>
    <x v="1"/>
  </r>
  <r>
    <n v="3635"/>
    <x v="3297"/>
    <x v="79"/>
    <x v="3"/>
    <d v="1899-12-30T07:33:00"/>
    <s v="Oxfordshire, England"/>
    <s v="British Airways"/>
    <n v="5390"/>
    <s v="Birmingham, England - Malaga, Spain"/>
    <x v="1682"/>
    <s v="G-BJRT"/>
    <s v="BAC 234"/>
    <n v="85"/>
    <s v="NULL"/>
    <s v="NULL"/>
    <n v="0"/>
    <s v="NULL"/>
    <s v="NULL"/>
    <n v="0"/>
    <s v="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
    <n v="85"/>
    <n v="0"/>
    <x v="2"/>
  </r>
  <r>
    <n v="3636"/>
    <x v="3298"/>
    <x v="79"/>
    <x v="3"/>
    <s v="Unknown"/>
    <s v="Near Port Morseby, New Guinea"/>
    <s v="Douglas Airways"/>
    <s v="Unknown"/>
    <s v="Port Moresby-Woitape"/>
    <x v="1683"/>
    <s v="P2-DNJ"/>
    <n v="857"/>
    <n v="12"/>
    <n v="11"/>
    <n v="1"/>
    <n v="8"/>
    <n v="7"/>
    <n v="1"/>
    <n v="0"/>
    <s v="Struck a ridge in poor weather 35km from Port Morseby while en route to Woltape."/>
    <n v="4"/>
    <n v="0.66666666666666663"/>
    <x v="1"/>
  </r>
  <r>
    <n v="3637"/>
    <x v="3299"/>
    <x v="79"/>
    <x v="3"/>
    <s v="Unknown"/>
    <s v="Near Maymaneh, Afghanistan"/>
    <s v="Military - Afghan Republican Air Force"/>
    <s v="Unknown"/>
    <s v="Unknown"/>
    <x v="1481"/>
    <s v="Unknown"/>
    <s v="Unknown"/>
    <n v="30"/>
    <n v="25"/>
    <n v="5"/>
    <n v="30"/>
    <n v="25"/>
    <n v="5"/>
    <n v="0"/>
    <s v="Shot down by rebel forces."/>
    <n v="0"/>
    <n v="1"/>
    <x v="1"/>
  </r>
  <r>
    <n v="3638"/>
    <x v="3300"/>
    <x v="79"/>
    <x v="3"/>
    <s v="Unknown"/>
    <s v="Near Huanuco, Peru"/>
    <s v="Servicio Expresso Nacional"/>
    <s v="Unknown"/>
    <s v="Unknown"/>
    <x v="1684"/>
    <s v="OB-1362"/>
    <s v="LJ-0448"/>
    <n v="9"/>
    <n v="8"/>
    <n v="1"/>
    <n v="9"/>
    <n v="8"/>
    <n v="1"/>
    <n v="0"/>
    <s v="Crashed during an emergency landing."/>
    <n v="0"/>
    <n v="1"/>
    <x v="1"/>
  </r>
  <r>
    <n v="3639"/>
    <x v="3301"/>
    <x v="79"/>
    <x v="3"/>
    <d v="1899-12-30T11:10:00"/>
    <s v="Stepanakert, Azerbaijan, USSR"/>
    <s v="Aeroflot"/>
    <s v="Unknown"/>
    <s v="Yerevan - Zvartnots"/>
    <x v="1146"/>
    <s v="CCCP-87453"/>
    <n v="9431036"/>
    <n v="47"/>
    <n v="43"/>
    <n v="4"/>
    <n v="47"/>
    <n v="43"/>
    <n v="4"/>
    <n v="0"/>
    <s v="The aircraft crashed into a cloud covered mountain at 2,520m, 22km from its destination.  Premature descent."/>
    <n v="0"/>
    <n v="1"/>
    <x v="1"/>
  </r>
  <r>
    <n v="3640"/>
    <x v="3302"/>
    <x v="79"/>
    <x v="3"/>
    <s v="Unknown"/>
    <s v="Near Shindand, Afghanistan"/>
    <s v="Military - Afghan Republican Air Force"/>
    <s v="Unknown"/>
    <s v="Unknown"/>
    <x v="942"/>
    <s v="Unknown"/>
    <s v="Unknown"/>
    <n v="83"/>
    <n v="78"/>
    <n v="5"/>
    <n v="83"/>
    <n v="78"/>
    <n v="5"/>
    <n v="0"/>
    <s v="Crashed shortly after takeoff. Mechanical failure or possibly shot down."/>
    <n v="0"/>
    <n v="1"/>
    <x v="1"/>
  </r>
  <r>
    <n v="3641"/>
    <x v="3303"/>
    <x v="79"/>
    <x v="3"/>
    <d v="1899-12-30T01:00:00"/>
    <s v="Elkhorn, Wisconsin"/>
    <s v="Private - Omniflight Helicopters"/>
    <s v="-"/>
    <s v="Elkhorn, WI - Chicago, IL"/>
    <x v="1685"/>
    <s v="N16933"/>
    <n v="23338"/>
    <n v="5"/>
    <n v="4"/>
    <n v="1"/>
    <n v="5"/>
    <n v="4"/>
    <n v="1"/>
    <n v="0"/>
    <s v="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
    <n v="0"/>
    <n v="1"/>
    <x v="1"/>
  </r>
  <r>
    <n v="3642"/>
    <x v="3304"/>
    <x v="79"/>
    <x v="3"/>
    <d v="1899-12-30T00:34:00"/>
    <s v="Near Kaiserslautern, Germany"/>
    <s v="Military - U.S. Air Force"/>
    <s v="Unknown"/>
    <s v="Ramstein AB - Rhein-Main AB"/>
    <x v="1686"/>
    <s v="68-0228"/>
    <n v="31"/>
    <n v="17"/>
    <n v="9"/>
    <n v="8"/>
    <n v="13"/>
    <n v="6"/>
    <n v="7"/>
    <n v="0"/>
    <s v="Just after taking off, the aircraft drifted to the left and clipped trees eventually crashing 3,000 ft. past the end of the runway. Possible inadvertent deployment of a thrust reverser."/>
    <n v="4"/>
    <n v="0.76470588235294112"/>
    <x v="1"/>
  </r>
  <r>
    <n v="3643"/>
    <x v="3305"/>
    <x v="79"/>
    <x v="3"/>
    <d v="1899-12-30T15:20:00"/>
    <s v="Kaltag, Alaska"/>
    <s v="Frontier Flying Service"/>
    <s v="Unknown"/>
    <s v="Nulato, AK - Kaltag, AK"/>
    <x v="1687"/>
    <s v="N59783"/>
    <n v="317612024"/>
    <n v="10"/>
    <n v="9"/>
    <n v="1"/>
    <n v="3"/>
    <n v="3"/>
    <n v="0"/>
    <n v="0"/>
    <s v="Crashed after loosing the No. 2 engine.Failure of the pilot to maintain adequate altitude after becoming distracted with an engine problem. Loss of power in the No. 2 engine for unknown reasons."/>
    <n v="7"/>
    <n v="0.3"/>
    <x v="2"/>
  </r>
  <r>
    <n v="3644"/>
    <x v="3306"/>
    <x v="79"/>
    <x v="3"/>
    <d v="1899-12-30T15:30:00"/>
    <s v="Off Newfoundland, Canada"/>
    <s v="Faucett"/>
    <s v="Unknown"/>
    <s v="Malta - Miami - ReykjavÃ­k - Gander"/>
    <x v="1688"/>
    <s v="OB-1303"/>
    <s v="20266/760"/>
    <n v="18"/>
    <n v="15"/>
    <n v="3"/>
    <n v="18"/>
    <n v="15"/>
    <n v="3"/>
    <n v="0"/>
    <s v="The aircraft ran out of fuel and crashed into the sea. The last message that was heard from the crew was they were low on fuel and preparing to ditch."/>
    <n v="0"/>
    <n v="1"/>
    <x v="1"/>
  </r>
  <r>
    <n v="3645"/>
    <x v="3307"/>
    <x v="79"/>
    <x v="3"/>
    <s v="Unknown"/>
    <s v="Off Sondre Stromfjord, Greenland"/>
    <s v="Nuna Air"/>
    <s v="Unknown"/>
    <s v="Sondre Stomfjord - Goose Bay"/>
    <x v="1689"/>
    <s v="OY-CGM"/>
    <n v="229"/>
    <n v="8"/>
    <n v="6"/>
    <n v="2"/>
    <n v="8"/>
    <n v="6"/>
    <n v="2"/>
    <n v="0"/>
    <s v="Crashed into the sea 80nm southwest of its departure point. According to ATC tapes, the crew was being incapacitated by hypoxia prior to crashing."/>
    <n v="0"/>
    <n v="1"/>
    <x v="1"/>
  </r>
  <r>
    <n v="3646"/>
    <x v="3308"/>
    <x v="79"/>
    <x v="3"/>
    <d v="1899-12-30T01:53:00"/>
    <s v="Koltsovo, Russia"/>
    <s v="Aeroflot"/>
    <s v="Unknown"/>
    <s v="Volgograd - Sverdlovsk"/>
    <x v="1472"/>
    <s v="CCCP-42351"/>
    <n v="1811379"/>
    <n v="128"/>
    <n v="122"/>
    <n v="6"/>
    <n v="4"/>
    <n v="3"/>
    <n v="1"/>
    <n v="0"/>
    <s v="The aircraft undershot on approach and crashed 1,700m short of the runway.  It is reported that the crew, who was apparently fatigued, failed to correctly follow procedures. The accident happened at night."/>
    <n v="124"/>
    <n v="3.125E-2"/>
    <x v="2"/>
  </r>
  <r>
    <n v="3647"/>
    <x v="3309"/>
    <x v="79"/>
    <x v="3"/>
    <d v="1899-12-30T19:40:00"/>
    <s v="Off Fernando de Noronha, Brazil"/>
    <s v="SUDENE"/>
    <s v="Unknown"/>
    <s v="Fernando de Noronha -  Recife"/>
    <x v="1449"/>
    <s v="PT-FAW"/>
    <n v="110368"/>
    <n v="12"/>
    <n v="10"/>
    <n v="2"/>
    <n v="12"/>
    <n v="10"/>
    <n v="2"/>
    <n v="0"/>
    <s v="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
    <n v="0"/>
    <n v="1"/>
    <x v="1"/>
  </r>
  <r>
    <n v="3648"/>
    <x v="3310"/>
    <x v="79"/>
    <x v="3"/>
    <d v="1899-12-30T07:02:00"/>
    <s v="San Luis Obispo, California"/>
    <s v="HiTech Helicopters"/>
    <s v="Unknown"/>
    <s v="Van Nuys, CA - San Luis Obispo, CA"/>
    <x v="1395"/>
    <s v="N79DD"/>
    <s v="500-0254"/>
    <n v="4"/>
    <n v="2"/>
    <n v="2"/>
    <n v="4"/>
    <n v="2"/>
    <n v="2"/>
    <n v="0"/>
    <s v="Crashed short of the runway into a Eucalyptus tree while making an approach to Runway 11 in heavy fog.  The pilot's improper IFR procedure. His failure to maintain the minimum descent altitude for the adverse weather was a related factor."/>
    <n v="0"/>
    <n v="1"/>
    <x v="1"/>
  </r>
  <r>
    <n v="3649"/>
    <x v="3311"/>
    <x v="79"/>
    <x v="3"/>
    <d v="1899-12-30T09:15:00"/>
    <s v="Guangzhou, China"/>
    <s v="China Southern Airlines / Xiamen Airlines"/>
    <s v="?/8301"/>
    <s v="Guangzhou - Shanghi"/>
    <x v="1690"/>
    <s v="B-2812/B-2510"/>
    <s v="24758/282 / 23189/1072"/>
    <n v="226"/>
    <n v="205"/>
    <n v="21"/>
    <n v="128"/>
    <n v="121"/>
    <n v="7"/>
    <n v="0"/>
    <s v="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
    <n v="98"/>
    <n v="0.5663716814159292"/>
    <x v="0"/>
  </r>
  <r>
    <n v="3650"/>
    <x v="3312"/>
    <x v="79"/>
    <x v="3"/>
    <d v="1899-12-30T20:08:00"/>
    <s v="Cape Canaveral, Florida"/>
    <s v="Eastern Air Lines"/>
    <n v="791"/>
    <s v="Unknown"/>
    <x v="1153"/>
    <s v="N8923E"/>
    <s v="45838/104"/>
    <n v="97"/>
    <n v="91"/>
    <n v="6"/>
    <n v="1"/>
    <n v="1"/>
    <n v="0"/>
    <n v="0"/>
    <s v="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
    <n v="96"/>
    <n v="1.0309278350515464E-2"/>
    <x v="2"/>
  </r>
  <r>
    <n v="3651"/>
    <x v="3313"/>
    <x v="79"/>
    <x v="3"/>
    <d v="1899-12-30T15:25:00"/>
    <s v="Near Bella Vista, Bolivia"/>
    <s v="BAFIN"/>
    <s v="Unknown"/>
    <s v="Bella Vista - La Paz"/>
    <x v="1691"/>
    <s v="CP-735"/>
    <s v="15805/33553"/>
    <n v="4"/>
    <n v="2"/>
    <n v="2"/>
    <n v="4"/>
    <n v="2"/>
    <n v="2"/>
    <n v="0"/>
    <s v="Disappeared en route. Wreckage found 6 years later in the Andes."/>
    <n v="0"/>
    <n v="1"/>
    <x v="1"/>
  </r>
  <r>
    <n v="3652"/>
    <x v="3314"/>
    <x v="79"/>
    <x v="3"/>
    <d v="1899-12-30T01:58:00"/>
    <s v="Santiago de Cuba, Cuba"/>
    <s v="Cubana de Aviacion"/>
    <n v="2886"/>
    <s v="Camaguey - Santiago de Cuba"/>
    <x v="1146"/>
    <s v="CU-T1202"/>
    <n v="9631449"/>
    <n v="31"/>
    <n v="24"/>
    <n v="7"/>
    <n v="11"/>
    <n v="9"/>
    <n v="2"/>
    <n v="0"/>
    <s v="Struck the ground 2.5 miles short of the runway at a high rate of speed in rain and reduced visibility. Pilot error. Continuing VFR flight in IFR conditions."/>
    <n v="20"/>
    <n v="0.35483870967741937"/>
    <x v="0"/>
  </r>
  <r>
    <n v="3653"/>
    <x v="3315"/>
    <x v="79"/>
    <x v="3"/>
    <d v="1899-12-30T19:11:00"/>
    <s v="Stadelberg, Switzerland"/>
    <s v="Alitalia"/>
    <n v="404"/>
    <s v="Milano - ZÃ¼rich"/>
    <x v="1104"/>
    <s v="I-ATJA"/>
    <s v="47641/746"/>
    <n v="46"/>
    <n v="40"/>
    <n v="6"/>
    <n v="46"/>
    <n v="40"/>
    <n v="6"/>
    <n v="0"/>
    <s v="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
    <n v="0"/>
    <n v="1"/>
    <x v="1"/>
  </r>
  <r>
    <n v="3654"/>
    <x v="3316"/>
    <x v="79"/>
    <x v="3"/>
    <s v="Unknown"/>
    <s v="Near Medellin, Colombia"/>
    <s v="SATENA"/>
    <s v="Unknown"/>
    <s v="QuibdÃ³ - BogotÃ¡"/>
    <x v="1577"/>
    <s v="FAC-1150"/>
    <n v="303"/>
    <n v="16"/>
    <n v="12"/>
    <n v="4"/>
    <n v="16"/>
    <n v="12"/>
    <n v="4"/>
    <n v="0"/>
    <s v="Crashed into a jungle mountain, Mt. Los Farllones, in poor weather. Controlled flight into terrain."/>
    <n v="0"/>
    <n v="1"/>
    <x v="1"/>
  </r>
  <r>
    <n v="3655"/>
    <x v="3317"/>
    <x v="79"/>
    <x v="3"/>
    <d v="1899-12-30T14:00:00"/>
    <s v="Near Ashkhabad, Turkmenistan, USSR"/>
    <s v="Aeroflot"/>
    <s v="Unknown"/>
    <s v="Unknown"/>
    <x v="1692"/>
    <s v="CCCP-22389"/>
    <n v="7270"/>
    <n v="15"/>
    <n v="13"/>
    <n v="2"/>
    <n v="15"/>
    <n v="13"/>
    <n v="2"/>
    <n v="0"/>
    <s v="Crashed landed after experiencing severe turbulence and engine failure."/>
    <n v="0"/>
    <n v="1"/>
    <x v="1"/>
  </r>
  <r>
    <n v="3656"/>
    <x v="3318"/>
    <x v="79"/>
    <x v="3"/>
    <d v="1899-12-30T11:15:00"/>
    <s v="Koh Samui, Thailand"/>
    <s v="Bangkok Airways"/>
    <n v="125"/>
    <s v="Bangkok - Koh Samui"/>
    <x v="1693"/>
    <s v="OB-1358"/>
    <s v="T210-63675"/>
    <n v="38"/>
    <n v="33"/>
    <n v="5"/>
    <n v="38"/>
    <n v="33"/>
    <n v="5"/>
    <n v="0"/>
    <s v="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
    <n v="0"/>
    <n v="1"/>
    <x v="1"/>
  </r>
  <r>
    <n v="3657"/>
    <x v="3319"/>
    <x v="79"/>
    <x v="3"/>
    <s v="Unknown"/>
    <s v="Off Ravenna, Italy"/>
    <s v="Eitos"/>
    <s v="Unknown"/>
    <s v="Unknown"/>
    <x v="1694"/>
    <s v="I-EHPA"/>
    <n v="1133"/>
    <n v="13"/>
    <n v="12"/>
    <n v="1"/>
    <n v="13"/>
    <n v="12"/>
    <n v="1"/>
    <n v="0"/>
    <s v="The helicopter crashed into the sea during a storm."/>
    <n v="0"/>
    <n v="1"/>
    <x v="1"/>
  </r>
  <r>
    <n v="3658"/>
    <x v="3320"/>
    <x v="79"/>
    <x v="3"/>
    <d v="1899-12-30T13:45:00"/>
    <s v="Romulus, Michigan"/>
    <s v="Northwest Airlines/ Northwest Airlines"/>
    <s v="299/1482"/>
    <s v="Detroit - Pittsburg"/>
    <x v="1695"/>
    <s v="N278US/N3313L"/>
    <s v=" 21157 / 45708/77"/>
    <n v="198"/>
    <n v="186"/>
    <n v="12"/>
    <n v="8"/>
    <n v="7"/>
    <n v="1"/>
    <n v="0"/>
    <s v="Ground collision in dense fog. The 727 was on its takeoff roll when the DC-9 taxied onto the active runway. Improper crew coordination aboard the DC-9.  Failure to stop and alert ATC of positional uncertainty. Eight killed aboard the DC-9. None aboard the B-727."/>
    <n v="190"/>
    <n v="4.0404040404040407E-2"/>
    <x v="2"/>
  </r>
  <r>
    <n v="3659"/>
    <x v="3321"/>
    <x v="79"/>
    <x v="3"/>
    <s v="Unknown"/>
    <s v="Nairobi, Kenya"/>
    <s v="Sudania Air Cargo"/>
    <s v="Unknown"/>
    <s v="Khartoum - Nairobi"/>
    <x v="1696"/>
    <s v="ST-SAC"/>
    <s v="19377/666"/>
    <n v="10"/>
    <n v="7"/>
    <n v="3"/>
    <n v="10"/>
    <n v="7"/>
    <n v="3"/>
    <n v="0"/>
    <s v="Undershot the runway by 4km on a second approach, hit powerlines and crashed in fog."/>
    <n v="0"/>
    <n v="1"/>
    <x v="1"/>
  </r>
  <r>
    <n v="3660"/>
    <x v="3322"/>
    <x v="79"/>
    <x v="3"/>
    <s v="Unknown"/>
    <s v="Near Matak, Indonesia"/>
    <s v="Pelita Air Service"/>
    <s v="Unknown"/>
    <s v="Unknown"/>
    <x v="1697"/>
    <s v="PK-PUI"/>
    <s v="NSP4/2022"/>
    <n v="12"/>
    <s v="NULL"/>
    <s v="NULL"/>
    <n v="10"/>
    <s v="NULL"/>
    <s v="NULL"/>
    <n v="0"/>
    <s v="The helicopter crashed into the sea."/>
    <n v="2"/>
    <n v="0.83333333333333337"/>
    <x v="1"/>
  </r>
  <r>
    <n v="3661"/>
    <x v="3323"/>
    <x v="80"/>
    <x v="3"/>
    <d v="1899-12-30T18:00:00"/>
    <s v="Near Paramo Mucuti, Venezuela"/>
    <s v="Military - Venezuelan Navy"/>
    <s v="Unknown"/>
    <s v="Caracas - Merida"/>
    <x v="1577"/>
    <s v="ARV-0209"/>
    <n v="264"/>
    <n v="22"/>
    <n v="19"/>
    <n v="3"/>
    <n v="21"/>
    <n v="18"/>
    <n v="3"/>
    <n v="0"/>
    <s v="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
    <n v="1"/>
    <n v="0.95454545454545459"/>
    <x v="1"/>
  </r>
  <r>
    <n v="3662"/>
    <x v="3324"/>
    <x v="80"/>
    <x v="3"/>
    <d v="1899-12-30T13:00:00"/>
    <s v="Jalaludin, Indonesia"/>
    <s v="Merpati Nusantara Airlines"/>
    <s v="Unknown"/>
    <s v="Manado - Gorontalo"/>
    <x v="1577"/>
    <s v="PK-NCY"/>
    <s v="258/78N"/>
    <n v="21"/>
    <n v="18"/>
    <n v="3"/>
    <n v="1"/>
    <n v="1"/>
    <n v="0"/>
    <n v="0"/>
    <s v="The plane made a forced landing during poor weather conditions and crashed into trees on a ridge. All passengers survived but one elderly passenger died while waiting for rescue."/>
    <n v="20"/>
    <n v="4.7619047619047616E-2"/>
    <x v="2"/>
  </r>
  <r>
    <n v="3663"/>
    <x v="3325"/>
    <x v="80"/>
    <x v="3"/>
    <s v="Unknown"/>
    <s v="Near Ras Al Khafji, Saudi Arabia"/>
    <s v="Lockheed AC-130H Hercules"/>
    <s v="Unknown"/>
    <s v="Unknown"/>
    <x v="1651"/>
    <s v="69-6567"/>
    <n v="4341"/>
    <n v="14"/>
    <n v="0"/>
    <n v="14"/>
    <n v="14"/>
    <n v="0"/>
    <n v="14"/>
    <n v="0"/>
    <s v="Shot down by a surface-to-air missile during operation Desert Storm."/>
    <n v="0"/>
    <n v="1"/>
    <x v="1"/>
  </r>
  <r>
    <n v="3664"/>
    <x v="3326"/>
    <x v="80"/>
    <x v="3"/>
    <d v="1899-12-30T18:07:00"/>
    <s v="LAX, Los Angeles, California"/>
    <s v="USAir / Skywest Airlines"/>
    <s v="1493/5569"/>
    <s v="Columbus - Los Angeles \  Los Angeles - Fresno"/>
    <x v="1698"/>
    <s v="N388US/N683AV"/>
    <s v="23310/1145 / AC-683"/>
    <n v="101"/>
    <n v="93"/>
    <n v="8"/>
    <n v="34"/>
    <n v="30"/>
    <n v="4"/>
    <n v="0"/>
    <s v="The Skywest Metroliner was told to taxi into position for takeoff and hold. The ATC became preoccupied with another aircraft that departed the tower frequency. A Wings West aircraft reporting &quot;ready for takeoff&quot;,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
    <n v="67"/>
    <n v="0.33663366336633666"/>
    <x v="2"/>
  </r>
  <r>
    <n v="3665"/>
    <x v="3327"/>
    <x v="80"/>
    <x v="3"/>
    <d v="1899-12-30T12:51:00"/>
    <s v="Near Nea Ankhialos, Greece"/>
    <s v="Military - Hellenic Air Force"/>
    <s v="Unknown"/>
    <s v="Elefsis AB - Volos-NÃ©a Anchialos"/>
    <x v="1262"/>
    <n v="748"/>
    <n v="4724"/>
    <n v="63"/>
    <n v="59"/>
    <n v="4"/>
    <n v="63"/>
    <n v="59"/>
    <n v="4"/>
    <n v="0"/>
    <s v="The aircraft flew into the summit of Mt. .Othrys at 4,000 ft. while preparing to land at Nea Anghialos Airport."/>
    <n v="0"/>
    <n v="1"/>
    <x v="1"/>
  </r>
  <r>
    <n v="3666"/>
    <x v="3328"/>
    <x v="80"/>
    <x v="3"/>
    <s v="Unknown"/>
    <s v="Near Taisha, Ecuador"/>
    <s v="Military - Ecuadorean Air Force"/>
    <s v="Unknown"/>
    <s v="Macao - Taisha"/>
    <x v="1220"/>
    <s v="FAE447"/>
    <n v="832"/>
    <n v="22"/>
    <n v="19"/>
    <n v="3"/>
    <n v="22"/>
    <n v="19"/>
    <n v="3"/>
    <n v="0"/>
    <s v="Crashed into the side of Mt. Paso Macunaa at 5,000 ft. in a jungle region of eastern Ecuador in poor weather. Controlled flight into terrain."/>
    <n v="0"/>
    <n v="1"/>
    <x v="1"/>
  </r>
  <r>
    <n v="3667"/>
    <x v="3329"/>
    <x v="80"/>
    <x v="3"/>
    <d v="1899-12-30T00:20:00"/>
    <s v="Cleveland, Ohio"/>
    <s v="Ryan International Airlines"/>
    <n v="590"/>
    <s v="Cleveland - Indianapolis"/>
    <x v="1699"/>
    <s v="N565PC"/>
    <s v="47240/346"/>
    <n v="2"/>
    <n v="0"/>
    <n v="2"/>
    <n v="2"/>
    <n v="0"/>
    <n v="2"/>
    <n v="0"/>
    <s v="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
    <n v="0"/>
    <n v="1"/>
    <x v="1"/>
  </r>
  <r>
    <n v="3668"/>
    <x v="3330"/>
    <x v="80"/>
    <x v="3"/>
    <d v="1899-12-30T15:24:00"/>
    <s v="Puerto Williams, Chile"/>
    <s v="LAN"/>
    <s v="Unknown"/>
    <s v="Punta Arenas - Puerto Williams"/>
    <x v="1594"/>
    <s v="CC-CET"/>
    <s v="E-2061"/>
    <n v="72"/>
    <n v="65"/>
    <n v="7"/>
    <n v="20"/>
    <n v="20"/>
    <n v="0"/>
    <n v="0"/>
    <s v="The plane overran the runway on approach and sank in Beagle Channel in the sea."/>
    <n v="52"/>
    <n v="0.27777777777777779"/>
    <x v="2"/>
  </r>
  <r>
    <n v="3669"/>
    <x v="3331"/>
    <x v="80"/>
    <x v="3"/>
    <s v="Unknown"/>
    <s v="Cazombo, Angola"/>
    <s v="Fuerza Area Angolaise"/>
    <s v="Unknown"/>
    <s v="Luena-Cazombo"/>
    <x v="1195"/>
    <s v="Unknown"/>
    <s v="Unknown"/>
    <n v="47"/>
    <n v="43"/>
    <n v="4"/>
    <n v="47"/>
    <n v="43"/>
    <n v="4"/>
    <n v="0"/>
    <s v="Shot down by surface-to-air missile launced by UNITA rebels."/>
    <n v="0"/>
    <n v="1"/>
    <x v="1"/>
  </r>
  <r>
    <n v="3670"/>
    <x v="3332"/>
    <x v="80"/>
    <x v="3"/>
    <d v="1899-12-30T09:44:00"/>
    <s v="Near Colorado Springs, Colorado"/>
    <s v="United Air Lines"/>
    <n v="585"/>
    <s v="Denver - Colorado Springs"/>
    <x v="1700"/>
    <s v="N999UA"/>
    <s v="22742/875"/>
    <n v="25"/>
    <n v="20"/>
    <n v="5"/>
    <n v="25"/>
    <n v="20"/>
    <n v="5"/>
    <n v="0"/>
    <s v="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
    <n v="0"/>
    <n v="1"/>
    <x v="1"/>
  </r>
  <r>
    <n v="3671"/>
    <x v="3333"/>
    <x v="80"/>
    <x v="3"/>
    <d v="1899-12-30T16:15:00"/>
    <s v="La Puerta, Venezuela"/>
    <s v="Linea Aeropostal Venezolana"/>
    <n v="108"/>
    <s v="Maracaibo - Santa Barbara de Zulia"/>
    <x v="1104"/>
    <s v="YV-23C"/>
    <s v="47720/846"/>
    <n v="45"/>
    <n v="40"/>
    <n v="5"/>
    <n v="45"/>
    <n v="40"/>
    <n v="5"/>
    <n v="0"/>
    <s v="The aircraft crashed into the Las Torres plateau in the Andes mountains on a flight from Maracaibo to Santa Barbara de Zulia. The mountain was shrouded in clouds. Controlled flight into terrain. The point of impact was considerably off course."/>
    <n v="0"/>
    <n v="1"/>
    <x v="1"/>
  </r>
  <r>
    <n v="3672"/>
    <x v="3334"/>
    <x v="80"/>
    <x v="3"/>
    <d v="1899-12-30T01:43:00"/>
    <s v="San Diego, CA"/>
    <s v="Duncan Aircraft Sales"/>
    <s v="Unknown"/>
    <s v="San Diego - Amarillo, TX  - Evansville, IN"/>
    <x v="1701"/>
    <s v="N831LC"/>
    <n v="25095"/>
    <n v="10"/>
    <n v="8"/>
    <n v="2"/>
    <n v="10"/>
    <n v="8"/>
    <n v="2"/>
    <n v="0"/>
    <s v="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
    <n v="0"/>
    <n v="1"/>
    <x v="1"/>
  </r>
  <r>
    <n v="3673"/>
    <x v="3334"/>
    <x v="80"/>
    <x v="3"/>
    <s v="Unknown"/>
    <s v="Malanje, Angola"/>
    <s v="Transafrik"/>
    <s v="Unknown"/>
    <s v="Luanda-Dundo"/>
    <x v="1259"/>
    <s v="CP-1564"/>
    <n v="4833"/>
    <n v="9"/>
    <n v="6"/>
    <n v="3"/>
    <n v="9"/>
    <n v="6"/>
    <n v="3"/>
    <n v="0"/>
    <s v="The cargo plane was shot down by a surface-to-air missile."/>
    <n v="0"/>
    <n v="1"/>
    <x v="1"/>
  </r>
  <r>
    <n v="3674"/>
    <x v="3335"/>
    <x v="80"/>
    <x v="3"/>
    <s v="Unknown"/>
    <s v="Ras-al-Mishab, Saudi Arabia"/>
    <s v="Military - Royal Saudi Air Force"/>
    <s v="Unknown"/>
    <s v="Koweit City-Ras-al-Mishab-Dakar"/>
    <x v="1262"/>
    <n v="469"/>
    <n v="4754"/>
    <n v="98"/>
    <n v="92"/>
    <n v="6"/>
    <n v="98"/>
    <n v="92"/>
    <n v="6"/>
    <n v="0"/>
    <s v="Crashed while attempting to land in poor visibility caused by oil fires during the Persian Gulf War."/>
    <n v="0"/>
    <n v="1"/>
    <x v="1"/>
  </r>
  <r>
    <n v="3675"/>
    <x v="3335"/>
    <x v="80"/>
    <x v="3"/>
    <d v="1899-12-30T02:15:00"/>
    <s v="Off San Diego, California"/>
    <s v="Military - U.S. Navy / Military -  U.S. Navy"/>
    <s v="Unknown"/>
    <s v="Unknown"/>
    <x v="1702"/>
    <s v="158930/159325"/>
    <s v="185-5602 /185-5615"/>
    <n v="27"/>
    <s v="NULL"/>
    <s v="NULL"/>
    <n v="27"/>
    <s v="NULL"/>
    <s v="NULL"/>
    <n v="0"/>
    <s v="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
    <n v="0"/>
    <n v="1"/>
    <x v="1"/>
  </r>
  <r>
    <n v="3676"/>
    <x v="3336"/>
    <x v="80"/>
    <x v="3"/>
    <d v="1899-12-30T11:37:00"/>
    <s v="Navoi,  Uzbekistan"/>
    <s v="Aeroflot"/>
    <s v="Unknown"/>
    <s v="Trashkent - Navoi"/>
    <x v="1009"/>
    <s v="CCCP-46472"/>
    <n v="27307910"/>
    <n v="63"/>
    <n v="59"/>
    <n v="4"/>
    <n v="34"/>
    <n v="30"/>
    <n v="4"/>
    <n v="0"/>
    <s v="The aircraft overran the runway and crashed into concrete blocks. Crew error. Did not follow proper procedures during landing."/>
    <n v="29"/>
    <n v="0.53968253968253965"/>
    <x v="0"/>
  </r>
  <r>
    <n v="3677"/>
    <x v="3337"/>
    <x v="80"/>
    <x v="3"/>
    <d v="1899-12-30T08:15:00"/>
    <s v="Near Bangalore, India"/>
    <s v="Military - Indian Air Force"/>
    <s v="Unknown"/>
    <s v="Yellahanka-Yellahanka"/>
    <x v="1703"/>
    <s v="H1513"/>
    <n v="551"/>
    <n v="28"/>
    <n v="25"/>
    <n v="3"/>
    <n v="28"/>
    <n v="25"/>
    <n v="3"/>
    <n v="0"/>
    <s v="The plane climbed to an altitude of 150 ft. and then crashed into the ground about half-a-mile from the airport. Engine failure."/>
    <n v="0"/>
    <n v="1"/>
    <x v="1"/>
  </r>
  <r>
    <n v="3678"/>
    <x v="3338"/>
    <x v="80"/>
    <x v="3"/>
    <d v="1899-12-30T12:10:00"/>
    <s v="Marion, Pennsylvania"/>
    <s v="Private"/>
    <s v="Unknown"/>
    <s v="Williamsport, PA  - Philadelphia, PA"/>
    <x v="1704"/>
    <s v="N3645D / N78S"/>
    <s v="6108448162153/0151"/>
    <n v="5"/>
    <n v="4"/>
    <n v="1"/>
    <n v="5"/>
    <n v="4"/>
    <n v="1"/>
    <n v="2"/>
    <s v="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
    <n v="0"/>
    <n v="1"/>
    <x v="1"/>
  </r>
  <r>
    <n v="3679"/>
    <x v="3338"/>
    <x v="80"/>
    <x v="3"/>
    <d v="1899-12-30T13:40:00"/>
    <s v="Lake Thutade, Canada"/>
    <s v="Central Mountain Air Services"/>
    <s v="Unknown"/>
    <s v="Sturdee - Smithers"/>
    <x v="663"/>
    <s v="C-FQNF"/>
    <n v="26643"/>
    <n v="7"/>
    <n v="4"/>
    <n v="3"/>
    <n v="6"/>
    <n v="3"/>
    <n v="3"/>
    <n v="0"/>
    <s v="The plane crash landed on a frozen lake after the crew flighing VFR, entered a snow storm."/>
    <n v="1"/>
    <n v="0.8571428571428571"/>
    <x v="1"/>
  </r>
  <r>
    <n v="3680"/>
    <x v="3339"/>
    <x v="80"/>
    <x v="3"/>
    <d v="1899-12-30T14:51:00"/>
    <s v="Brunswick, Georgia"/>
    <s v="Atlantic Southeast Airlines"/>
    <n v="2311"/>
    <s v="Atlanta - Brunswick"/>
    <x v="1705"/>
    <s v="N270AS"/>
    <s v="120-218"/>
    <n v="23"/>
    <n v="20"/>
    <n v="3"/>
    <n v="23"/>
    <n v="20"/>
    <n v="3"/>
    <n v="0"/>
    <s v="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quot;Sonny&quot; Carter were among those killed."/>
    <n v="0"/>
    <n v="1"/>
    <x v="1"/>
  </r>
  <r>
    <n v="3681"/>
    <x v="3340"/>
    <x v="80"/>
    <x v="3"/>
    <d v="1899-12-30T11:56:00"/>
    <s v="Off Nuka Hiva, French Polynesia"/>
    <s v="Air Tahiti"/>
    <s v="Unknown"/>
    <s v="Hiva Ou - Nuku Hiva"/>
    <x v="1706"/>
    <s v="F-OHAB"/>
    <n v="8196"/>
    <n v="22"/>
    <n v="19"/>
    <n v="3"/>
    <n v="11"/>
    <n v="10"/>
    <n v="1"/>
    <n v="0"/>
    <s v="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
    <n v="11"/>
    <n v="0.5"/>
    <x v="0"/>
  </r>
  <r>
    <n v="3682"/>
    <x v="3341"/>
    <x v="80"/>
    <x v="3"/>
    <d v="1899-12-30T02:37:00"/>
    <s v="Sulawesi, Indonesia"/>
    <s v="Merpati Nusantara Airlines"/>
    <n v="7533"/>
    <s v="Ambon - Ternate - Manado"/>
    <x v="1108"/>
    <s v="PK-MFD"/>
    <n v="10399"/>
    <n v="13"/>
    <n v="8"/>
    <n v="5"/>
    <n v="13"/>
    <n v="8"/>
    <n v="5"/>
    <n v="0"/>
    <s v="Crashed into Mt. Klabat in heavy fog while descending for a landing."/>
    <n v="0"/>
    <n v="1"/>
    <x v="1"/>
  </r>
  <r>
    <n v="3683"/>
    <x v="3342"/>
    <x v="80"/>
    <x v="3"/>
    <d v="1899-12-30T13:19:00"/>
    <s v="Grand Canyon, Airzona"/>
    <s v="Air Taxi - Air Grand Canyon Inc."/>
    <s v="Unknown"/>
    <s v="Local sightseeing"/>
    <x v="1707"/>
    <s v="N6280H"/>
    <n v="20700463"/>
    <n v="7"/>
    <n v="6"/>
    <n v="1"/>
    <n v="7"/>
    <n v="6"/>
    <n v="1"/>
    <n v="0"/>
    <s v="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
    <n v="0"/>
    <n v="1"/>
    <x v="1"/>
  </r>
  <r>
    <n v="3684"/>
    <x v="3343"/>
    <x v="80"/>
    <x v="3"/>
    <d v="1899-12-30T09:20:00"/>
    <s v="La Poyatta, Colombia"/>
    <s v="ADES Colombia"/>
    <s v="Unknown"/>
    <s v="Villavicencio - Miraflores Guaviarel"/>
    <x v="443"/>
    <s v="HK-3177"/>
    <n v="26775"/>
    <n v="14"/>
    <n v="11"/>
    <n v="3"/>
    <n v="13"/>
    <n v="11"/>
    <n v="2"/>
    <n v="0"/>
    <s v="Eight minutes after takeoff the No. 2 engine failed.  The pilot turned back but crashed 1 mile short of the runway.  The passengers were told to throw out cargo after which unfortunately they all moved towards the tail leading to a loss of control."/>
    <n v="1"/>
    <n v="0.9285714285714286"/>
    <x v="1"/>
  </r>
  <r>
    <n v="3685"/>
    <x v="3344"/>
    <x v="80"/>
    <x v="3"/>
    <d v="1899-12-30T13:06:00"/>
    <s v="Leningrad, USSR"/>
    <s v="Aeroflot"/>
    <s v="Unknown"/>
    <s v="Sukhumi - _x0009_St. Petersburg"/>
    <x v="1427"/>
    <s v="CCCP-85097"/>
    <n v="97"/>
    <n v="181"/>
    <n v="174"/>
    <n v="7"/>
    <n v="13"/>
    <n v="13"/>
    <n v="0"/>
    <n v="0"/>
    <s v="Undershot the runway and broke in half after a hard landing. Crew error. A rapid rate of descent, leading to landing gear failure. The accident happened durining daylight in a rain shower."/>
    <n v="168"/>
    <n v="7.18232044198895E-2"/>
    <x v="2"/>
  </r>
  <r>
    <n v="3686"/>
    <x v="3345"/>
    <x v="80"/>
    <x v="3"/>
    <s v="Unknown"/>
    <s v="Bakhtaran, Iran"/>
    <s v="Metro Cargo"/>
    <s v="Unknown"/>
    <s v="Cologne-Bakhtaran"/>
    <x v="1708"/>
    <s v="LZ-INK"/>
    <n v="93494835"/>
    <n v="10"/>
    <n v="0"/>
    <n v="10"/>
    <n v="4"/>
    <n v="0"/>
    <n v="4"/>
    <n v="0"/>
    <s v="After three missed approaches the cargo plane ran out of fuel and crashed."/>
    <n v="6"/>
    <n v="0.4"/>
    <x v="0"/>
  </r>
  <r>
    <n v="3687"/>
    <x v="3346"/>
    <x v="80"/>
    <x v="3"/>
    <d v="1899-12-30T23:17:00"/>
    <s v="Near Ban Nong Rong, Thailand"/>
    <s v="Lauda Air"/>
    <n v="4"/>
    <s v="Bangkok - Wien, Austria"/>
    <x v="1709"/>
    <s v="OE-LAV"/>
    <s v="24628/283"/>
    <n v="223"/>
    <n v="213"/>
    <n v="10"/>
    <n v="223"/>
    <n v="213"/>
    <n v="10"/>
    <n v="0"/>
    <s v="Twelve minutes after takeoff the crew received a visual REV ISLN advisory warning which indicated that an additional system failure may cause deployment of the No. 1 engine thrust reverser. No action was taken since the manual indicated &quot;No Action Required&quot;.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n v="0"/>
    <n v="1"/>
    <x v="1"/>
  </r>
  <r>
    <n v="3688"/>
    <x v="3347"/>
    <x v="80"/>
    <x v="3"/>
    <d v="1899-12-30T10:16:00"/>
    <s v="Off Matthewtown, Great Inagua"/>
    <s v="Agape Flight Inc."/>
    <n v="90"/>
    <s v="Grada Zuma, Bahamas - Cape Hatien"/>
    <x v="1710"/>
    <s v="N8071L"/>
    <n v="44"/>
    <n v="3"/>
    <n v="2"/>
    <n v="1"/>
    <n v="2"/>
    <n v="2"/>
    <n v="0"/>
    <n v="0"/>
    <s v="The aircraft ditched 1.25 miles off Grada Zuma, following a reported engine failure."/>
    <n v="1"/>
    <n v="0.66666666666666663"/>
    <x v="1"/>
  </r>
  <r>
    <n v="3689"/>
    <x v="3348"/>
    <x v="80"/>
    <x v="3"/>
    <d v="1899-12-30T15:40:00"/>
    <s v="Luanda, Angola"/>
    <s v="Carib Air Transport"/>
    <s v="Unknown"/>
    <s v="Luanda - Cafunfo"/>
    <x v="1711"/>
    <s v="J6-SLQ"/>
    <n v="3099"/>
    <n v="7"/>
    <n v="4"/>
    <n v="3"/>
    <n v="7"/>
    <n v="4"/>
    <n v="3"/>
    <n v="0"/>
    <s v="Crashed on takeoff after the No. 1engine overspeeded and failed."/>
    <n v="0"/>
    <n v="1"/>
    <x v="1"/>
  </r>
  <r>
    <n v="3690"/>
    <x v="3349"/>
    <x v="80"/>
    <x v="3"/>
    <d v="1899-12-30T03:45:00"/>
    <s v="Near Malambo, Colombia"/>
    <s v="Aerosucre Colombia"/>
    <s v="Unknown"/>
    <s v="Bogota - Malambo"/>
    <x v="1280"/>
    <s v="HK-3511"/>
    <s v="45132/801"/>
    <n v="18"/>
    <n v="15"/>
    <n v="3"/>
    <n v="2"/>
    <n v="2"/>
    <n v="0"/>
    <n v="0"/>
    <s v="Following several attempts to land the pilot decided to hold until weather conditions improved.  Contact was lost with the plane and it flew into the ground. Visibility was reduced by low lying fog."/>
    <n v="16"/>
    <n v="0.1111111111111111"/>
    <x v="2"/>
  </r>
  <r>
    <n v="3691"/>
    <x v="3350"/>
    <x v="80"/>
    <x v="3"/>
    <d v="1899-12-30T02:00:00"/>
    <s v="Near Sokotu, Nigeria"/>
    <s v="Okada Air"/>
    <s v="Unknown"/>
    <s v="Benin - Kano"/>
    <x v="1118"/>
    <s v="5N-AOW"/>
    <n v="94"/>
    <n v="53"/>
    <n v="48"/>
    <n v="5"/>
    <n v="4"/>
    <n v="4"/>
    <n v="0"/>
    <n v="0"/>
    <s v="The plane diverted to Sokotu due to poor weather. After circling for an hour, unable to locate the air field, the aircraft ran out of fuel and had to make a forced landing. The landing gear was torn off and the plane broke up during the ground slide."/>
    <n v="49"/>
    <n v="7.5471698113207544E-2"/>
    <x v="2"/>
  </r>
  <r>
    <n v="3692"/>
    <x v="3350"/>
    <x v="80"/>
    <x v="3"/>
    <s v="Unknown"/>
    <s v="Gulf of Finland, Russia"/>
    <s v="AKF Polet"/>
    <s v="Unknown"/>
    <s v="Saint Petersburg - Voronezh"/>
    <x v="968"/>
    <s v="CCCP-46724"/>
    <n v="7300304"/>
    <n v="10"/>
    <n v="4"/>
    <n v="6"/>
    <n v="10"/>
    <n v="4"/>
    <n v="6"/>
    <n v="0"/>
    <s v="The cargo plane crashed into the Gulf of Finland shortly after taking off."/>
    <n v="0"/>
    <n v="1"/>
    <x v="1"/>
  </r>
  <r>
    <n v="3693"/>
    <x v="3351"/>
    <x v="80"/>
    <x v="3"/>
    <d v="1899-12-30T09:10:00"/>
    <s v="El Yopal, Colombia"/>
    <s v="Helicol Colombia"/>
    <s v="Unknown"/>
    <s v="Unknown"/>
    <x v="1220"/>
    <s v="HK-2889X"/>
    <n v="606"/>
    <n v="3"/>
    <n v="1"/>
    <n v="2"/>
    <n v="3"/>
    <n v="1"/>
    <n v="2"/>
    <n v="0"/>
    <s v="While attempting to land the pilot continued VFR flight in IFR conditions and collided with a hill."/>
    <n v="0"/>
    <n v="1"/>
    <x v="1"/>
  </r>
  <r>
    <n v="3694"/>
    <x v="3352"/>
    <x v="80"/>
    <x v="3"/>
    <s v="Unknown"/>
    <s v="Bellavista Airport, Peru"/>
    <s v="Aerochasqui"/>
    <s v="Unknown"/>
    <s v="Bellvista - Pucallpa"/>
    <x v="1577"/>
    <s v="OB-1218"/>
    <n v="232"/>
    <n v="15"/>
    <n v="13"/>
    <n v="2"/>
    <n v="15"/>
    <n v="13"/>
    <n v="2"/>
    <n v="0"/>
    <s v="The aircraft was shot at by drunken police in an attempt to stop it for a search when mistaken for drug smuggling. As the plane ascended through 75 ft. bullets penetrated the forward fuselage killing the pilot and copilot."/>
    <n v="0"/>
    <n v="1"/>
    <x v="1"/>
  </r>
  <r>
    <n v="3695"/>
    <x v="3353"/>
    <x v="80"/>
    <x v="3"/>
    <d v="1899-12-30T18:12:00"/>
    <s v="Birmingham, Alabama"/>
    <s v="L'Express Airlines"/>
    <n v="508"/>
    <s v="New Orleans - Mobile - Birmingham"/>
    <x v="1712"/>
    <s v="N7217L"/>
    <s v="U226"/>
    <n v="15"/>
    <n v="13"/>
    <n v="2"/>
    <n v="13"/>
    <n v="12"/>
    <n v="1"/>
    <n v="0"/>
    <s v="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
    <n v="2"/>
    <n v="0.8666666666666667"/>
    <x v="1"/>
  </r>
  <r>
    <n v="3696"/>
    <x v="3354"/>
    <x v="80"/>
    <x v="3"/>
    <d v="1899-12-30T08:40:00"/>
    <s v="Jeddah, Saudi Arabia"/>
    <s v="Nationair (chartered by Nigeria Airways)"/>
    <n v="2120"/>
    <s v="Jeddah - Sokoto"/>
    <x v="1713"/>
    <s v="C-GMXQ"/>
    <s v="45982/345"/>
    <n v="261"/>
    <n v="247"/>
    <n v="14"/>
    <n v="261"/>
    <n v="247"/>
    <n v="14"/>
    <n v="0"/>
    <s v="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
    <n v="0"/>
    <n v="1"/>
    <x v="1"/>
  </r>
  <r>
    <n v="3697"/>
    <x v="3355"/>
    <x v="80"/>
    <x v="3"/>
    <s v="Unknown"/>
    <s v="Espiritu Santos, Vanuatu"/>
    <s v="Vanair"/>
    <s v="Unknown"/>
    <s v="Nogougou - Luganville"/>
    <x v="1214"/>
    <s v="YJ-RV4"/>
    <n v="220"/>
    <n v="9"/>
    <n v="8"/>
    <n v="1"/>
    <n v="9"/>
    <n v="8"/>
    <n v="1"/>
    <n v="0"/>
    <s v="Flew into a hillside 7 minutes after taking off from Nogougou. Spatial disorientation."/>
    <n v="0"/>
    <n v="1"/>
    <x v="1"/>
  </r>
  <r>
    <n v="3698"/>
    <x v="3356"/>
    <x v="80"/>
    <x v="3"/>
    <s v="Unknown"/>
    <s v="Rarotonga, Cook Islands"/>
    <s v="Avalki Air"/>
    <s v="Unknown"/>
    <s v="Altukaki - Rarotonga"/>
    <x v="1214"/>
    <s v="DQ-FCN"/>
    <n v="676"/>
    <n v="10"/>
    <n v="8"/>
    <n v="2"/>
    <n v="6"/>
    <n v="5"/>
    <n v="1"/>
    <n v="0"/>
    <s v="Ditched into the sea while on approach."/>
    <n v="4"/>
    <n v="0.6"/>
    <x v="0"/>
  </r>
  <r>
    <n v="3699"/>
    <x v="3357"/>
    <x v="80"/>
    <x v="3"/>
    <d v="1899-12-30T23:53:00"/>
    <s v="Near Uricani, Romania"/>
    <s v="Tarom"/>
    <s v="Unknown"/>
    <s v="Bucharest - Timisoara"/>
    <x v="925"/>
    <s v="YR-IMH"/>
    <n v="185008301"/>
    <n v="9"/>
    <n v="4"/>
    <n v="5"/>
    <n v="9"/>
    <n v="4"/>
    <n v="5"/>
    <n v="0"/>
    <s v="The cargo plane crashed in a rainstorm.Premature descent."/>
    <n v="0"/>
    <n v="1"/>
    <x v="1"/>
  </r>
  <r>
    <n v="3700"/>
    <x v="3358"/>
    <x v="80"/>
    <x v="3"/>
    <d v="1899-12-30T01:55:00"/>
    <s v="Imphal, India"/>
    <s v="Indian Airlines"/>
    <n v="257"/>
    <s v="Calcutta - Imphal"/>
    <x v="1232"/>
    <s v="VT-EFL"/>
    <n v="21497"/>
    <n v="69"/>
    <n v="63"/>
    <n v="6"/>
    <n v="69"/>
    <n v="63"/>
    <n v="6"/>
    <n v="0"/>
    <s v="Crashed into high ground during approach to Imphal. The crew failed to follow the correct approach course."/>
    <n v="0"/>
    <n v="1"/>
    <x v="1"/>
  </r>
  <r>
    <n v="3701"/>
    <x v="3359"/>
    <x v="80"/>
    <x v="3"/>
    <d v="1899-12-30T13:15:00"/>
    <s v="Ketchikan, Alaska"/>
    <s v="Temsco Airlines"/>
    <s v="Unknown"/>
    <s v="Ketchikan, AK - Wrangell, AK"/>
    <x v="1214"/>
    <s v="N68HA"/>
    <n v="2009"/>
    <n v="4"/>
    <n v="3"/>
    <n v="1"/>
    <n v="4"/>
    <n v="3"/>
    <n v="1"/>
    <n v="0"/>
    <s v="Crashed while en route, flying VFR in deteriorating weather. The pilot attempting to operate VFR in IFR conditions."/>
    <n v="0"/>
    <n v="1"/>
    <x v="1"/>
  </r>
  <r>
    <n v="3702"/>
    <x v="3360"/>
    <x v="80"/>
    <x v="3"/>
    <d v="1899-12-30T23:59:00"/>
    <s v="Walton, Oregon"/>
    <s v="Air Taxi - Bohemia Inc."/>
    <s v="Unknown"/>
    <s v="Unknown"/>
    <x v="1714"/>
    <s v="N64SF"/>
    <s v="Unknown"/>
    <n v="3"/>
    <n v="2"/>
    <n v="1"/>
    <n v="3"/>
    <n v="2"/>
    <n v="1"/>
    <n v="0"/>
    <s v="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
    <n v="0"/>
    <n v="1"/>
    <x v="1"/>
  </r>
  <r>
    <n v="3703"/>
    <x v="3361"/>
    <x v="80"/>
    <x v="3"/>
    <s v="Unknown"/>
    <s v="Sampit, Indonesia"/>
    <s v="Dirgantara Air Services"/>
    <s v="Unknown"/>
    <s v="Sampit - Plangkaraya"/>
    <x v="1715"/>
    <s v="PK-VIP"/>
    <n v="752"/>
    <n v="10"/>
    <n v="8"/>
    <n v="2"/>
    <n v="3"/>
    <n v="1"/>
    <n v="2"/>
    <n v="0"/>
    <s v="Shortly after takeoff the left engine failed. The aircraft began to lose height in a left turn and crashed along the banks of Mentaya River."/>
    <n v="7"/>
    <n v="0.3"/>
    <x v="2"/>
  </r>
  <r>
    <n v="3704"/>
    <x v="3362"/>
    <x v="80"/>
    <x v="3"/>
    <d v="1899-12-30T14:10:00"/>
    <s v="Long Seridan, Malaysia"/>
    <s v="Airtech Rajawaldi Udara"/>
    <s v="Unknown"/>
    <s v="Bario - Marudi"/>
    <x v="1590"/>
    <s v="9M-AZB"/>
    <s v="SH-1975"/>
    <n v="20"/>
    <n v="18"/>
    <n v="2"/>
    <n v="14"/>
    <n v="12"/>
    <n v="2"/>
    <n v="0"/>
    <s v="Crashed into the jungle after double engine failure. Both engines didn't develop full power and were feathered on impact."/>
    <n v="6"/>
    <n v="0.7"/>
    <x v="1"/>
  </r>
  <r>
    <n v="3705"/>
    <x v="3363"/>
    <x v="80"/>
    <x v="3"/>
    <d v="1899-12-30T10:03:00"/>
    <s v="Near Eagle Lake, Texas"/>
    <s v="Continental Express"/>
    <n v="2574"/>
    <s v="Laredo - Houston"/>
    <x v="1565"/>
    <s v="N33701"/>
    <s v="120-077"/>
    <n v="14"/>
    <n v="11"/>
    <n v="3"/>
    <n v="14"/>
    <n v="11"/>
    <n v="3"/>
    <n v="0"/>
    <s v="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
    <n v="0"/>
    <n v="1"/>
    <x v="1"/>
  </r>
  <r>
    <n v="3706"/>
    <x v="3364"/>
    <x v="80"/>
    <x v="3"/>
    <d v="1899-12-30T19:21:00"/>
    <s v="Petropavlosk, USSR"/>
    <s v="Aeroflot"/>
    <s v="Unknown"/>
    <s v="Lensk - Omsk"/>
    <x v="1716"/>
    <s v="CCCP-74002"/>
    <s v="SU002"/>
    <n v="13"/>
    <n v="7"/>
    <n v="6"/>
    <n v="13"/>
    <n v="7"/>
    <n v="6"/>
    <n v="0"/>
    <s v="The cargo plane struck trees, crashed and caught fire on takeoff. Overloaded"/>
    <n v="0"/>
    <n v="1"/>
    <x v="1"/>
  </r>
  <r>
    <n v="3707"/>
    <x v="3365"/>
    <x v="80"/>
    <x v="3"/>
    <s v="Unknown"/>
    <s v="Djibouti City, Djibouti _x0009_Djibouti City, Djibouti Djibouti City, Djibouti"/>
    <s v="Ethiopian Airlines"/>
    <s v="Unknown"/>
    <s v="Djibouti  - : Dire Dawa-Aba"/>
    <x v="1259"/>
    <s v="ET-AJL"/>
    <n v="5029"/>
    <n v="4"/>
    <n v="0"/>
    <n v="4"/>
    <n v="4"/>
    <n v="0"/>
    <n v="4"/>
    <n v="0"/>
    <s v="After experiencing a nose gear problem and attempting to return to the airport the cargo plane made a premature descent and struck Mount Arey."/>
    <n v="0"/>
    <n v="1"/>
    <x v="1"/>
  </r>
  <r>
    <n v="3708"/>
    <x v="3366"/>
    <x v="80"/>
    <x v="3"/>
    <d v="1899-12-30T21:55:00"/>
    <s v="Belvedere Center, Vermont"/>
    <s v="Canair Cargo"/>
    <s v="Unknown"/>
    <s v="Moncton - Hamilton"/>
    <x v="1030"/>
    <s v="C-FICA"/>
    <n v="98"/>
    <n v="2"/>
    <n v="0"/>
    <n v="2"/>
    <n v="2"/>
    <n v="0"/>
    <n v="2"/>
    <n v="0"/>
    <s v="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
    <n v="0"/>
    <n v="1"/>
    <x v="1"/>
  </r>
  <r>
    <n v="3709"/>
    <x v="3367"/>
    <x v="80"/>
    <x v="3"/>
    <s v="Unknown"/>
    <s v="Khatanga, Russia"/>
    <s v="Aeroflot"/>
    <s v="Unknown"/>
    <s v="Unknown"/>
    <x v="1621"/>
    <s v="CCCP-13320"/>
    <n v="7345407"/>
    <n v="16"/>
    <n v="9"/>
    <n v="7"/>
    <n v="1"/>
    <n v="1"/>
    <n v="0"/>
    <n v="0"/>
    <s v="The cargo plane lost engine power due to fuel exhaustion during approach and made a forced landing 1,450m short of the runway."/>
    <n v="15"/>
    <n v="6.25E-2"/>
    <x v="2"/>
  </r>
  <r>
    <n v="3710"/>
    <x v="3368"/>
    <x v="80"/>
    <x v="3"/>
    <s v="Unknown"/>
    <s v="Off St. Petersburg, USSR"/>
    <s v="Aeroflot"/>
    <s v="Unknown"/>
    <s v="St. Petersburg - Voronezh"/>
    <x v="1195"/>
    <s v="CCCP-46724"/>
    <s v="AN24021"/>
    <n v="10"/>
    <n v="7"/>
    <n v="3"/>
    <n v="10"/>
    <n v="7"/>
    <n v="3"/>
    <n v="0"/>
    <s v="Crashed into the Gulf of Finland 5 minutes after taking  off. Unknown cause."/>
    <n v="0"/>
    <n v="1"/>
    <x v="1"/>
  </r>
  <r>
    <n v="3711"/>
    <x v="3369"/>
    <x v="80"/>
    <x v="3"/>
    <s v="Unknown"/>
    <s v="Guadalcanal Island, Solomon Islands"/>
    <s v="Solomon Islands Airlines"/>
    <s v="Unknown"/>
    <s v="Kira-Kira - Honiara"/>
    <x v="1220"/>
    <s v="H4-SIA"/>
    <n v="271"/>
    <n v="15"/>
    <n v="13"/>
    <n v="2"/>
    <n v="15"/>
    <n v="13"/>
    <n v="2"/>
    <n v="0"/>
    <s v="Crashed into Mt. Nashua at 4,100 ft. during a descent in heavy rain and fog while attempting a visual approach. Controlled flight into terrain."/>
    <n v="0"/>
    <n v="1"/>
    <x v="1"/>
  </r>
  <r>
    <n v="3712"/>
    <x v="3370"/>
    <x v="80"/>
    <x v="3"/>
    <d v="1899-12-30T11:50:00"/>
    <s v="Near Villavicencio,  Colombia"/>
    <s v="CORAL Colombia"/>
    <s v="Unknown"/>
    <s v="Villlavicencio - Mitu"/>
    <x v="425"/>
    <s v="HK-3238"/>
    <n v="30268"/>
    <n v="10"/>
    <n v="6"/>
    <n v="4"/>
    <n v="1"/>
    <n v="1"/>
    <n v="0"/>
    <n v="0"/>
    <s v="The pilot tried to make an emergency landing back at the airport when the No. 2 engine began to overspeed. A belly landing was made in a field and the aircraft broke up and caught fire."/>
    <n v="9"/>
    <n v="0.1"/>
    <x v="2"/>
  </r>
  <r>
    <n v="3713"/>
    <x v="3371"/>
    <x v="80"/>
    <x v="3"/>
    <d v="1899-12-30T15:00:00"/>
    <s v="Near Jakarta, Indonesia"/>
    <s v="Military - Indonesian Air Force"/>
    <s v="Unknown"/>
    <s v="Jakarta-Bandung"/>
    <x v="1717"/>
    <s v="A-1324"/>
    <n v="4927"/>
    <n v="134"/>
    <n v="129"/>
    <n v="5"/>
    <n v="134"/>
    <n v="129"/>
    <n v="5"/>
    <n v="2"/>
    <s v="The aircraft crashed into buildings during an attempted emergency landing after an engine caught fire during  take off."/>
    <n v="0"/>
    <n v="1"/>
    <x v="1"/>
  </r>
  <r>
    <n v="3714"/>
    <x v="3372"/>
    <x v="80"/>
    <x v="3"/>
    <s v="Unknown"/>
    <s v="Aponguao Falls, Venezuela"/>
    <s v="EDELCA"/>
    <s v="Unknown"/>
    <s v="Kavanayen - Luepa"/>
    <x v="1718"/>
    <s v="YV-O-CVG-4"/>
    <n v="28181"/>
    <n v="12"/>
    <n v="9"/>
    <n v="3"/>
    <n v="12"/>
    <n v="9"/>
    <n v="3"/>
    <n v="0"/>
    <s v="The helicopter was destroyed when it struck Kumaraden Hill at 4,600 ft. while on a scenic flight.  The passengers included EDELCA president and members of his family."/>
    <n v="0"/>
    <n v="1"/>
    <x v="1"/>
  </r>
  <r>
    <n v="3715"/>
    <x v="3373"/>
    <x v="80"/>
    <x v="3"/>
    <s v="Unknown"/>
    <s v="Tumbang Miri, Indonesia"/>
    <s v="Bali International Air Service"/>
    <s v="Unknown"/>
    <s v="Palangkaraya - Sampit"/>
    <x v="1719"/>
    <s v="PK-KTC"/>
    <n v="1017"/>
    <n v="17"/>
    <n v="16"/>
    <n v="1"/>
    <n v="17"/>
    <n v="16"/>
    <n v="1"/>
    <n v="0"/>
    <s v="The plane was not able to land at Sampit due to smoke and haze.  The plane held for 3 hours waiting for an improvement after which contact was lost.  The plane was never found."/>
    <n v="0"/>
    <n v="1"/>
    <x v="1"/>
  </r>
  <r>
    <n v="3716"/>
    <x v="3373"/>
    <x v="80"/>
    <x v="3"/>
    <d v="1899-12-30T21:56:00"/>
    <s v="Vallejo, California"/>
    <s v="Corporate Mobility Inc. - Private"/>
    <s v="Unknown"/>
    <s v="Concord, CA - Novato, CA"/>
    <x v="1720"/>
    <s v="N3456M"/>
    <n v="1391"/>
    <n v="3"/>
    <n v="2"/>
    <n v="1"/>
    <n v="3"/>
    <n v="2"/>
    <n v="1"/>
    <n v="0"/>
    <s v="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
    <n v="0"/>
    <n v="1"/>
    <x v="1"/>
  </r>
  <r>
    <n v="3717"/>
    <x v="3374"/>
    <x v="80"/>
    <x v="3"/>
    <d v="1899-12-30T14:30:00"/>
    <s v="Near Point Alert, Ellesmere Island, NWT,Canada"/>
    <s v="Military - Royal Canadian Air Force"/>
    <s v="Unknown"/>
    <s v="Edmonton - Point Alert"/>
    <x v="1721"/>
    <n v="130322"/>
    <n v="4192"/>
    <n v="18"/>
    <n v="13"/>
    <n v="5"/>
    <n v="5"/>
    <n v="3"/>
    <n v="2"/>
    <n v="0"/>
    <s v="Flew into the ground 12nm from the runway at about 1,500 ft.  Rescue of the survivors was conducted in Arctic twilight under poor weather conditions. Controlled flight into terrain."/>
    <n v="13"/>
    <n v="0.27777777777777779"/>
    <x v="2"/>
  </r>
  <r>
    <n v="3718"/>
    <x v="3375"/>
    <x v="80"/>
    <x v="3"/>
    <s v="Unknown"/>
    <s v="Near Karakent, USSR"/>
    <s v="Military - Azerbaijan Air Force"/>
    <s v="Unknown"/>
    <s v="Unknown"/>
    <x v="1481"/>
    <s v="Unknown"/>
    <s v="Unknown"/>
    <n v="40"/>
    <s v="NULL"/>
    <s v="NULL"/>
    <n v="40"/>
    <s v="NULL"/>
    <s v="NULL"/>
    <n v="0"/>
    <s v="Shot down by rebel forces."/>
    <n v="0"/>
    <n v="1"/>
    <x v="1"/>
  </r>
  <r>
    <n v="3719"/>
    <x v="3376"/>
    <x v="80"/>
    <x v="3"/>
    <d v="1899-12-30T13:42:00"/>
    <s v="Makhackala, Russia"/>
    <s v="Aeroflot"/>
    <s v="C-519"/>
    <s v="Ellsta - Makhackala"/>
    <x v="1146"/>
    <s v="CCCP-87526"/>
    <n v="9520841"/>
    <n v="51"/>
    <n v="47"/>
    <n v="4"/>
    <n v="51"/>
    <n v="47"/>
    <n v="4"/>
    <n v="0"/>
    <s v="Crashed into a mountain during daytime in poor weather. Failure of the crew to follow the correct approach path."/>
    <n v="0"/>
    <n v="1"/>
    <x v="1"/>
  </r>
  <r>
    <n v="3720"/>
    <x v="3377"/>
    <x v="80"/>
    <x v="3"/>
    <d v="1899-12-30T21:43:00"/>
    <s v="Recife, Brazil"/>
    <s v="Nordeste Linhas Aereas"/>
    <n v="115"/>
    <s v="Recife - MaceiÃ³ - AracajÃº - Salvador"/>
    <x v="1449"/>
    <s v="PT-SCU"/>
    <s v="110-314"/>
    <n v="15"/>
    <n v="12"/>
    <n v="3"/>
    <n v="15"/>
    <n v="12"/>
    <n v="3"/>
    <n v="2"/>
    <s v="Crashed on takeoff hitting power lines and roof tops before coming to rest in a market square. Uncontained failure of the right engine."/>
    <n v="0"/>
    <n v="1"/>
    <x v="1"/>
  </r>
  <r>
    <n v="3721"/>
    <x v="3378"/>
    <x v="80"/>
    <x v="3"/>
    <d v="1899-12-30T16:24:00"/>
    <s v="Anderma, Russia"/>
    <s v="Aeroflot"/>
    <s v="Unknown"/>
    <s v="Ryazan - Vorkuta"/>
    <x v="1247"/>
    <s v="Unknown"/>
    <s v="Unknown"/>
    <n v="20"/>
    <n v="14"/>
    <n v="6"/>
    <n v="20"/>
    <n v="14"/>
    <n v="6"/>
    <n v="0"/>
    <s v="Crash landed in poor weather conditions. Icing."/>
    <n v="0"/>
    <n v="1"/>
    <x v="1"/>
  </r>
  <r>
    <n v="3722"/>
    <x v="3379"/>
    <x v="80"/>
    <x v="3"/>
    <s v="Unknown"/>
    <s v="Nagoro-Karabak, USSR"/>
    <s v="Military - Soviet Air Force"/>
    <s v="Unknown"/>
    <s v="Unknown"/>
    <x v="1481"/>
    <s v="Unknown"/>
    <s v="Unknown"/>
    <n v="23"/>
    <n v="20"/>
    <n v="3"/>
    <n v="23"/>
    <n v="20"/>
    <n v="3"/>
    <n v="0"/>
    <s v="Crashed into a mountain in zero visibility."/>
    <n v="0"/>
    <n v="1"/>
    <x v="1"/>
  </r>
  <r>
    <n v="3723"/>
    <x v="3379"/>
    <x v="80"/>
    <x v="3"/>
    <d v="1899-12-30T18:14:00"/>
    <s v="Davis, California"/>
    <s v="Air Taxi - Airis Helicopters Inc."/>
    <s v="Unknown"/>
    <s v="San Francisco, CA - Sacramento, CA"/>
    <x v="1226"/>
    <s v="N5011K"/>
    <n v="2580"/>
    <n v="3"/>
    <n v="2"/>
    <n v="1"/>
    <n v="3"/>
    <n v="2"/>
    <n v="1"/>
    <n v="0"/>
    <s v="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
    <n v="0"/>
    <n v="1"/>
    <x v="1"/>
  </r>
  <r>
    <n v="3724"/>
    <x v="3380"/>
    <x v="80"/>
    <x v="3"/>
    <d v="1899-12-30T15:00:00"/>
    <s v="Sena, Mozambique"/>
    <s v="STASA"/>
    <s v="Unknown"/>
    <s v="Unknown"/>
    <x v="430"/>
    <s v="C9-STD"/>
    <n v="25471"/>
    <n v="3"/>
    <n v="0"/>
    <n v="3"/>
    <n v="1"/>
    <n v="0"/>
    <n v="1"/>
    <n v="0"/>
    <s v="The cargo plane overshot the runway and crashed into trees."/>
    <n v="2"/>
    <n v="0.33333333333333331"/>
    <x v="2"/>
  </r>
  <r>
    <n v="3725"/>
    <x v="3381"/>
    <x v="80"/>
    <x v="3"/>
    <d v="1899-12-30T05:02:00"/>
    <s v="Near Bugulma, Russia"/>
    <s v="Tartarstan Airlines"/>
    <s v="Unknown"/>
    <s v="Nizhnevartovsk - Bugulma"/>
    <x v="968"/>
    <s v="CCCP-47823"/>
    <n v="17307204"/>
    <n v="41"/>
    <n v="37"/>
    <n v="4"/>
    <n v="41"/>
    <n v="37"/>
    <n v="4"/>
    <n v="0"/>
    <s v="While on approach to Bugulma, the plane yawed to the right. The crew decided to go around but crashed 800 m short and to the right of the runway. Horizontal stabilizer icing."/>
    <n v="0"/>
    <n v="1"/>
    <x v="1"/>
  </r>
  <r>
    <n v="3726"/>
    <x v="3382"/>
    <x v="80"/>
    <x v="3"/>
    <d v="1899-12-30T08:15:00"/>
    <s v="Guaratingueta AB, Brazil"/>
    <s v="Military - ForÃ§a AÃ©rea Brasileira"/>
    <s v="Unknown"/>
    <s v="Brasilla  - Guarantinguerta"/>
    <x v="1722"/>
    <s v="FAB2333"/>
    <n v="110473"/>
    <n v="16"/>
    <n v="13"/>
    <n v="3"/>
    <n v="16"/>
    <n v="13"/>
    <n v="3"/>
    <n v="0"/>
    <s v="Flew into the side of a hill towards the end of the flight while flying VOR.  The crew flew along the wrong valley."/>
    <n v="0"/>
    <n v="1"/>
    <x v="1"/>
  </r>
  <r>
    <n v="3727"/>
    <x v="3383"/>
    <x v="80"/>
    <x v="3"/>
    <d v="1899-12-30T11:37:00"/>
    <s v="Heidelberg, Germany"/>
    <s v="Classic Wings"/>
    <s v="Unknown"/>
    <s v="Frankfurt - Frankfurt"/>
    <x v="268"/>
    <s v="D-CCCC"/>
    <n v="7353"/>
    <n v="30"/>
    <n v="27"/>
    <n v="3"/>
    <n v="27"/>
    <n v="24"/>
    <n v="3"/>
    <n v="0"/>
    <s v="The sightseeing tour struck a hill at 2,000 ft. while making a left turn in turbulence. Poor crew coordination. Overloaded."/>
    <n v="3"/>
    <n v="0.9"/>
    <x v="1"/>
  </r>
  <r>
    <n v="3728"/>
    <x v="3384"/>
    <x v="80"/>
    <x v="3"/>
    <d v="1899-12-30T08:51:00"/>
    <s v="Stockholm, Sweden"/>
    <s v="Scandinavian Airlines (SAS)"/>
    <n v="751"/>
    <s v="Stockholm-Copenhagen-Warsaw"/>
    <x v="1723"/>
    <s v="OY-KHO"/>
    <s v="53003/1844"/>
    <n v="129"/>
    <n v="123"/>
    <n v="6"/>
    <n v="0"/>
    <n v="0"/>
    <n v="0"/>
    <n v="0"/>
    <s v="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
    <n v="129"/>
    <n v="0"/>
    <x v="2"/>
  </r>
  <r>
    <n v="3729"/>
    <x v="3385"/>
    <x v="80"/>
    <x v="3"/>
    <d v="1899-12-30T15:05:00"/>
    <s v="Wanli, Taiwan"/>
    <s v="China Airlines (Taiwan)"/>
    <n v="358"/>
    <s v="Taipei - Anchorage"/>
    <x v="1724"/>
    <s v="B-198"/>
    <n v="22390"/>
    <n v="5"/>
    <n v="0"/>
    <n v="5"/>
    <n v="5"/>
    <n v="0"/>
    <n v="5"/>
    <n v="0"/>
    <s v="The cargo plane crashed on takeoff  after losing the No. 3 and 4 engines due to corroded midspar fuse pins. The No. 3 engine broke loose first striking the No. 4 engine."/>
    <n v="0"/>
    <n v="1"/>
    <x v="1"/>
  </r>
  <r>
    <n v="3730"/>
    <x v="3386"/>
    <x v="81"/>
    <x v="3"/>
    <d v="1899-12-30T19:20:00"/>
    <s v="Mt. Saint-Odile, near Strasbourg, France"/>
    <s v="Air Inter"/>
    <n v="148"/>
    <s v="Lyon - Strasbourg"/>
    <x v="1613"/>
    <s v="F-GGED"/>
    <n v="15"/>
    <n v="96"/>
    <n v="90"/>
    <n v="6"/>
    <n v="87"/>
    <n v="82"/>
    <n v="5"/>
    <n v="0"/>
    <s v="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
    <n v="9"/>
    <n v="0.90625"/>
    <x v="1"/>
  </r>
  <r>
    <n v="3731"/>
    <x v="3387"/>
    <x v="81"/>
    <x v="3"/>
    <d v="1899-12-30T16:20:00"/>
    <s v="Near Stepanakert, Azerbaijan"/>
    <s v="Military - Azerbaijan Air Force"/>
    <s v="Unknown"/>
    <s v="Agdam - Shusha"/>
    <x v="1481"/>
    <s v="Unknown"/>
    <s v="Unknown"/>
    <n v="47"/>
    <s v="NULL"/>
    <s v="NULL"/>
    <n v="47"/>
    <s v="NULL"/>
    <s v="NULL"/>
    <n v="0"/>
    <s v="Exploded and crashed after being hit by a surface-to-air missile. Highest death toll in a commercial helicopter crash in aviation history."/>
    <n v="0"/>
    <n v="1"/>
    <x v="1"/>
  </r>
  <r>
    <n v="3732"/>
    <x v="3388"/>
    <x v="81"/>
    <x v="3"/>
    <d v="1899-12-30T11:20:00"/>
    <s v="Caetite, Brazil"/>
    <s v="Nordeste Linhas AÃ©reas"/>
    <s v="Unknown"/>
    <s v="Salvador - Guanambi"/>
    <x v="1282"/>
    <s v="PT-TBB"/>
    <s v="110-005"/>
    <n v="12"/>
    <n v="10"/>
    <n v="2"/>
    <n v="12"/>
    <n v="10"/>
    <n v="2"/>
    <n v="0"/>
    <s v="The aircraft descended below MDA in poor weather and struck Taquari Hill which was obscured by clouds."/>
    <n v="0"/>
    <n v="1"/>
    <x v="1"/>
  </r>
  <r>
    <n v="3733"/>
    <x v="3389"/>
    <x v="81"/>
    <x v="3"/>
    <d v="1899-12-30T05:15:00"/>
    <s v="Near Kafountine, Senegal"/>
    <s v="Gambcrest"/>
    <s v="Unknown"/>
    <s v="Dakar - Yoff - Cap Skiring"/>
    <x v="1725"/>
    <s v="N862FW"/>
    <n v="9"/>
    <n v="56"/>
    <n v="50"/>
    <n v="6"/>
    <n v="30"/>
    <n v="26"/>
    <n v="4"/>
    <n v="0"/>
    <s v="The aircraft crashed into trees during its approach. The crew mistook the hotel lights for runway lights. Pilot error and malfunctioning equipment. Founder of Club Med and his son convicted of involuntary manslaughter in connection with this accident."/>
    <n v="26"/>
    <n v="0.5357142857142857"/>
    <x v="0"/>
  </r>
  <r>
    <n v="3734"/>
    <x v="3390"/>
    <x v="81"/>
    <x v="3"/>
    <d v="1899-12-30T03:26:00"/>
    <s v="Toledo, Ohio"/>
    <s v="ATI"/>
    <n v="805"/>
    <s v="Seattle - Toledo"/>
    <x v="1243"/>
    <s v="N794AL"/>
    <s v="45923/383"/>
    <n v="4"/>
    <n v="0"/>
    <n v="4"/>
    <n v="3"/>
    <n v="0"/>
    <n v="3"/>
    <n v="0"/>
    <s v="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
    <n v="1"/>
    <n v="0.75"/>
    <x v="1"/>
  </r>
  <r>
    <n v="3735"/>
    <x v="3391"/>
    <x v="81"/>
    <x v="3"/>
    <s v="Unknown"/>
    <s v="En route from Argentina  to  California"/>
    <s v="Aerolineas Argentinas"/>
    <n v="386"/>
    <s v="Unknown"/>
    <x v="1254"/>
    <s v="Unknown"/>
    <s v="Unknown"/>
    <s v="NULL"/>
    <s v="NULL"/>
    <s v="NULL"/>
    <n v="1"/>
    <s v="NULL"/>
    <s v="NULL"/>
    <n v="0"/>
    <s v="A passenger died of cholera while en route."/>
    <s v="NULL"/>
    <n v="0"/>
    <x v="2"/>
  </r>
  <r>
    <n v="3736"/>
    <x v="3392"/>
    <x v="81"/>
    <x v="3"/>
    <d v="1899-12-30T16:05:00"/>
    <s v="Beni, Bolivia"/>
    <s v="Frigorifico Santa Rita"/>
    <s v="Unknown"/>
    <s v="Estencia el Trompillo - La Paz"/>
    <x v="1040"/>
    <s v="CP-754"/>
    <n v="22570"/>
    <n v="5"/>
    <n v="2"/>
    <n v="3"/>
    <n v="5"/>
    <n v="2"/>
    <n v="3"/>
    <n v="0"/>
    <s v="The cargo plane failed to gain altitude, cleared a fence and crashed to the ground. The wet runway contributed to the failure lift off in a timely manner."/>
    <n v="0"/>
    <n v="1"/>
    <x v="1"/>
  </r>
  <r>
    <n v="3737"/>
    <x v="3393"/>
    <x v="81"/>
    <x v="3"/>
    <s v="Unknown"/>
    <s v="Etsouali, Congo"/>
    <s v="Lina Congo"/>
    <s v="Unknown"/>
    <s v="Dwando - Brazzaville"/>
    <x v="1220"/>
    <s v="TN-ACX"/>
    <n v="452"/>
    <n v="8"/>
    <n v="5"/>
    <n v="3"/>
    <n v="3"/>
    <n v="0"/>
    <n v="3"/>
    <n v="0"/>
    <s v="Crashed during a severe thunderstorm."/>
    <n v="5"/>
    <n v="0.375"/>
    <x v="0"/>
  </r>
  <r>
    <n v="3738"/>
    <x v="3394"/>
    <x v="81"/>
    <x v="3"/>
    <d v="1899-12-30T21:35:00"/>
    <s v="La Guardia Airport, New York, New York"/>
    <s v="USAir"/>
    <n v="405"/>
    <s v="New York City - Cleveland"/>
    <x v="1453"/>
    <s v="N485US"/>
    <n v="11235"/>
    <n v="51"/>
    <n v="47"/>
    <n v="4"/>
    <n v="27"/>
    <n v="25"/>
    <n v="2"/>
    <n v="0"/>
    <s v="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
    <n v="24"/>
    <n v="0.52941176470588236"/>
    <x v="0"/>
  </r>
  <r>
    <n v="3739"/>
    <x v="3395"/>
    <x v="81"/>
    <x v="3"/>
    <d v="1899-12-30T07:02:00"/>
    <s v="Athens, Greece"/>
    <s v="Golden Star Air Cargo"/>
    <s v="Unknown"/>
    <s v="Amsterdam - Athens"/>
    <x v="1223"/>
    <s v="ST-ALX"/>
    <s v="18715/364"/>
    <n v="7"/>
    <n v="4"/>
    <n v="3"/>
    <n v="7"/>
    <n v="4"/>
    <n v="3"/>
    <n v="0"/>
    <s v="The crew deviated from the ILS localizer during an approach to  Runway 33R and struck 2,000 foot Mount Hymittus. The pilot didn't comply with the procedures for an ILS approach and attempted a visual approach. The pilot confirmed &quot;established on the ILS localizer,&quot; but he was not on the localizer course. The crew waited too long before performing a missed approach."/>
    <n v="0"/>
    <n v="1"/>
    <x v="1"/>
  </r>
  <r>
    <n v="3740"/>
    <x v="3396"/>
    <x v="81"/>
    <x v="3"/>
    <s v="Unknown"/>
    <s v="Near Baikov, Russia"/>
    <s v="Kamchatavia"/>
    <s v="Unknown"/>
    <s v="Petropavlovsk -Baikov"/>
    <x v="1624"/>
    <s v="CCCP-67130"/>
    <n v="800326"/>
    <n v="12"/>
    <n v="10"/>
    <n v="2"/>
    <n v="1"/>
    <n v="1"/>
    <n v="0"/>
    <n v="0"/>
    <s v="The cargo plane crashed into high ground 5 km short of the runway in poor weather during a VFR approach."/>
    <n v="11"/>
    <n v="8.3333333333333329E-2"/>
    <x v="2"/>
  </r>
  <r>
    <n v="3741"/>
    <x v="3397"/>
    <x v="81"/>
    <x v="3"/>
    <s v="Unknown"/>
    <s v="Near Sarra, Libya"/>
    <s v="Air Bissau"/>
    <s v="Unknown"/>
    <s v="Khartoum - Tunis"/>
    <x v="1275"/>
    <s v="J5-GAE"/>
    <n v="77310810"/>
    <n v="13"/>
    <n v="10"/>
    <n v="3"/>
    <n v="3"/>
    <n v="0"/>
    <n v="3"/>
    <n v="0"/>
    <s v="Could not land due to a sandstorm, ran out of fuel and made a forced landing in the desert. Crash landed in the desert, 62 miles southeast of Sarra. Among the passengers was Yasser Arafat."/>
    <n v="10"/>
    <n v="0.23076923076923078"/>
    <x v="2"/>
  </r>
  <r>
    <n v="3742"/>
    <x v="3398"/>
    <x v="81"/>
    <x v="3"/>
    <s v="Unknown"/>
    <s v="Off Orchid Island, Taiwan"/>
    <s v="Taiwan Airlines"/>
    <s v="Unknown"/>
    <s v="Unknown"/>
    <x v="1726"/>
    <s v="B-11116"/>
    <n v="2007"/>
    <n v="10"/>
    <n v="8"/>
    <n v="2"/>
    <n v="7"/>
    <n v="6"/>
    <n v="1"/>
    <n v="0"/>
    <s v="Crashed into the sea after losing the No. 1 engine after reaching 1,500 feet after takeoff."/>
    <n v="3"/>
    <n v="0.7"/>
    <x v="1"/>
  </r>
  <r>
    <n v="3743"/>
    <x v="3399"/>
    <x v="81"/>
    <x v="3"/>
    <s v="Unknown"/>
    <s v="Nairobi, Kenya"/>
    <s v="Military - Kenyan Air Force"/>
    <s v="Unknown"/>
    <s v="Nairobi - Laikipia"/>
    <x v="1430"/>
    <n v="218"/>
    <n v="125"/>
    <n v="46"/>
    <n v="42"/>
    <n v="4"/>
    <n v="46"/>
    <n v="42"/>
    <n v="4"/>
    <n v="6"/>
    <s v="The left engine failed while taking off from Eastleigh Air Base. The pilot attempted to return but poor visibility caused him to overshoot the runway. He tried to realign himself but stalled and crashed to the ground."/>
    <n v="0"/>
    <n v="1"/>
    <x v="1"/>
  </r>
  <r>
    <n v="3744"/>
    <x v="3400"/>
    <x v="81"/>
    <x v="3"/>
    <s v="Unknown"/>
    <s v="Near Goroka, Papua New Guinea"/>
    <s v="Talair"/>
    <n v="709"/>
    <s v="Madang - Goroka"/>
    <x v="1449"/>
    <s v="P2-RDS"/>
    <s v="110- 355"/>
    <n v="15"/>
    <n v="13"/>
    <n v="2"/>
    <n v="11"/>
    <n v="9"/>
    <n v="2"/>
    <n v="0"/>
    <s v="Crashed into mountains at Daulo Pass, 10km from its destination while on approach in poor weather."/>
    <n v="4"/>
    <n v="0.73333333333333328"/>
    <x v="1"/>
  </r>
  <r>
    <n v="3745"/>
    <x v="3401"/>
    <x v="81"/>
    <x v="3"/>
    <d v="1899-12-30T11:09:00"/>
    <s v="Perris Valley, California"/>
    <s v="Perris Valley Aviation"/>
    <s v="Unknown"/>
    <s v="Local"/>
    <x v="1095"/>
    <s v="N141PV"/>
    <n v="141"/>
    <n v="22"/>
    <n v="20"/>
    <n v="2"/>
    <n v="16"/>
    <n v="14"/>
    <n v="2"/>
    <n v="0"/>
    <s v="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
    <n v="6"/>
    <n v="0.72727272727272729"/>
    <x v="1"/>
  </r>
  <r>
    <n v="3746"/>
    <x v="3401"/>
    <x v="81"/>
    <x v="3"/>
    <d v="1899-12-30T15:53:00"/>
    <s v="Mt. Haleakala, Hawaii"/>
    <s v="Scenic Air Tours"/>
    <n v="22"/>
    <s v="Local sightseeing"/>
    <x v="1245"/>
    <s v="N342E"/>
    <s v="BA-308"/>
    <n v="9"/>
    <n v="8"/>
    <n v="1"/>
    <n v="9"/>
    <n v="8"/>
    <n v="1"/>
    <n v="0"/>
    <s v="During a sight seeing tour the aircraft hit a mountain on the island of Maui. The captain's decision to continue VFR into IFR conditions that obscured mountainous terrain and failure to properly use available navigational aids  to remain clear of terrain."/>
    <n v="0"/>
    <n v="1"/>
    <x v="1"/>
  </r>
  <r>
    <n v="3747"/>
    <x v="3402"/>
    <x v="81"/>
    <x v="3"/>
    <s v="Unknown"/>
    <s v="Saveh, Iran"/>
    <s v="Saha Airline Services"/>
    <s v="Unknown"/>
    <s v="Bandar Manshahr  - Tehran"/>
    <x v="1139"/>
    <d v="8815-05-01T00:00:00"/>
    <n v="10499"/>
    <n v="39"/>
    <n v="35"/>
    <n v="4"/>
    <n v="39"/>
    <n v="35"/>
    <n v="4"/>
    <n v="0"/>
    <s v="The plane crashed in unstable weather while en route from Manshahr to Tehran."/>
    <n v="0"/>
    <n v="1"/>
    <x v="1"/>
  </r>
  <r>
    <n v="3748"/>
    <x v="3403"/>
    <x v="81"/>
    <x v="3"/>
    <d v="1899-12-30T21:00:00"/>
    <s v="Tucuti, Panama"/>
    <s v="COPA (Panama)"/>
    <n v="201"/>
    <s v="Panama City, Panama - Cali, Colombia"/>
    <x v="1727"/>
    <s v="HP-1205"/>
    <s v="22059/631"/>
    <n v="47"/>
    <n v="40"/>
    <n v="7"/>
    <n v="47"/>
    <n v="40"/>
    <n v="7"/>
    <n v="0"/>
    <s v="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
    <n v="0"/>
    <n v="1"/>
    <x v="1"/>
  </r>
  <r>
    <n v="3749"/>
    <x v="3404"/>
    <x v="81"/>
    <x v="3"/>
    <d v="1899-12-30T14:34:00"/>
    <s v="Mayaguez, Puerto Rico"/>
    <s v="American Eagle"/>
    <s v="Unknown"/>
    <s v="San Juan - Mayaguez"/>
    <x v="1577"/>
    <s v="N355CA"/>
    <n v="234"/>
    <n v="5"/>
    <n v="3"/>
    <n v="2"/>
    <n v="5"/>
    <n v="3"/>
    <n v="2"/>
    <n v="0"/>
    <s v="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
    <n v="0"/>
    <n v="1"/>
    <x v="1"/>
  </r>
  <r>
    <n v="3750"/>
    <x v="3405"/>
    <x v="81"/>
    <x v="3"/>
    <d v="1899-12-30T06:05:00"/>
    <s v="Cruzeiro do Sul, Brazil"/>
    <s v="VASP"/>
    <s v="Unknown"/>
    <s v="Rio Branc - Cruzeiro do Sul"/>
    <x v="1728"/>
    <s v="PP-SND"/>
    <s v="21188/444"/>
    <n v="3"/>
    <n v="1"/>
    <n v="2"/>
    <n v="3"/>
    <n v="1"/>
    <n v="2"/>
    <n v="0"/>
    <s v="The cargo plane crashed while on approach after the crew was distracted by a intermittent compartment warning."/>
    <n v="0"/>
    <n v="1"/>
    <x v="1"/>
  </r>
  <r>
    <n v="3751"/>
    <x v="3405"/>
    <x v="81"/>
    <x v="3"/>
    <d v="1899-12-30T12:45:00"/>
    <s v="Norlisk, Russia"/>
    <s v="Krasnoyarsk Airlines"/>
    <s v="Unknown"/>
    <s v="Igarka - Omsk"/>
    <x v="942"/>
    <s v="CCCP-11896"/>
    <s v="AN12145"/>
    <n v="12"/>
    <n v="7"/>
    <n v="5"/>
    <n v="10"/>
    <n v="6"/>
    <n v="4"/>
    <n v="0"/>
    <s v="A missed approach was followed by the left wing and landing gear hitting the runway which led to a stall and crash, right of the runway. Crew error."/>
    <n v="2"/>
    <n v="0.83333333333333337"/>
    <x v="1"/>
  </r>
  <r>
    <n v="3752"/>
    <x v="3406"/>
    <x v="81"/>
    <x v="3"/>
    <d v="1899-12-30T17:00:00"/>
    <s v="Near Iyakochchi, Sri Lanka"/>
    <s v="Military - Sri Lanka Air Force"/>
    <s v="Unknown"/>
    <s v="Colombo - Jaffna"/>
    <x v="1729"/>
    <s v="CR872"/>
    <n v="60804"/>
    <n v="19"/>
    <n v="13"/>
    <n v="6"/>
    <n v="19"/>
    <n v="13"/>
    <n v="6"/>
    <n v="0"/>
    <s v="Possibly shot down by LTTA  rebel forces as it attempted to land a the Elephant Pass Army Garrison."/>
    <n v="0"/>
    <n v="1"/>
    <x v="1"/>
  </r>
  <r>
    <n v="3753"/>
    <x v="3407"/>
    <x v="81"/>
    <x v="3"/>
    <d v="1899-12-30T12:30:00"/>
    <s v="Bethel, Alaska"/>
    <s v="Arctic Circle Air Service"/>
    <s v="Unknown"/>
    <s v="Bethel - Chevak"/>
    <x v="1730"/>
    <s v="N20086"/>
    <s v="SH-1918"/>
    <n v="1"/>
    <n v="0"/>
    <n v="1"/>
    <n v="1"/>
    <n v="0"/>
    <n v="1"/>
    <n v="0"/>
    <s v="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
    <n v="0"/>
    <n v="1"/>
    <x v="1"/>
  </r>
  <r>
    <n v="3754"/>
    <x v="3408"/>
    <x v="81"/>
    <x v="3"/>
    <s v="Unknown"/>
    <s v="Near Nakhichevan, Azerbaijan"/>
    <s v="Military - Russian Air Force"/>
    <s v="Unknown"/>
    <s v="Nakhichevan - Rostov"/>
    <x v="1247"/>
    <s v="CCCP-11111"/>
    <n v="1347903"/>
    <n v="34"/>
    <n v="27"/>
    <n v="7"/>
    <n v="29"/>
    <n v="24"/>
    <n v="5"/>
    <n v="0"/>
    <s v="Cashed and burned after taking off. Fuel starvation."/>
    <n v="5"/>
    <n v="0.8529411764705882"/>
    <x v="1"/>
  </r>
  <r>
    <n v="3755"/>
    <x v="3408"/>
    <x v="81"/>
    <x v="3"/>
    <s v="Unknown"/>
    <s v="Near Bir Fadl, Yemen"/>
    <s v="Military - Unified Yemen Air Force"/>
    <s v="Unknown"/>
    <s v="Nakhichevan - Rostov"/>
    <x v="942"/>
    <s v="Unknown"/>
    <s v="Unknown"/>
    <n v="57"/>
    <n v="50"/>
    <n v="7"/>
    <n v="57"/>
    <n v="50"/>
    <n v="7"/>
    <n v="0"/>
    <s v="Crashed while in a holding pattern and attempting to land at Aden Airport during a sandstorm."/>
    <n v="0"/>
    <n v="1"/>
    <x v="1"/>
  </r>
  <r>
    <n v="3756"/>
    <x v="3409"/>
    <x v="81"/>
    <x v="3"/>
    <s v="Unknown"/>
    <s v="Tbilisi, Georgia"/>
    <s v="Georgian Air"/>
    <s v="Unknown"/>
    <s v="Tbilisi - Mineralnye Vody"/>
    <x v="1293"/>
    <s v="CCCP-85222"/>
    <s v="77A-222"/>
    <n v="24"/>
    <n v="16"/>
    <n v="8"/>
    <n v="24"/>
    <n v="16"/>
    <n v="8"/>
    <n v="4"/>
    <s v="Overran the runway while trying to take off and crashed into buildings. Overloaded. Center of gravity too far forward."/>
    <n v="0"/>
    <n v="1"/>
    <x v="1"/>
  </r>
  <r>
    <n v="3757"/>
    <x v="3410"/>
    <x v="81"/>
    <x v="3"/>
    <s v="Unknown"/>
    <s v="Near Skopje, Macedonia"/>
    <s v="Volga-Dnepr Airlines"/>
    <s v="Unknown"/>
    <s v="Unknown"/>
    <x v="1731"/>
    <s v="CCCP-11342"/>
    <n v="347607"/>
    <n v="8"/>
    <n v="2"/>
    <n v="6"/>
    <n v="8"/>
    <n v="2"/>
    <n v="6"/>
    <n v="0"/>
    <s v="On approach, the cargo plane went off course while trying to circumnavigate a thunderstorm and impacted a mountain."/>
    <n v="0"/>
    <n v="1"/>
    <x v="1"/>
  </r>
  <r>
    <n v="3758"/>
    <x v="3410"/>
    <x v="81"/>
    <x v="3"/>
    <d v="1899-12-30T16:30:00"/>
    <s v="Mt. Lalaboy,  Indonesia"/>
    <s v="Mandala Airlines"/>
    <n v="660"/>
    <s v="Jakarta - Surabaya - Ujung Pandang - Ambon"/>
    <x v="1732"/>
    <s v="PK-RVU"/>
    <n v="434"/>
    <n v="70"/>
    <n v="63"/>
    <n v="7"/>
    <n v="70"/>
    <n v="63"/>
    <n v="7"/>
    <n v="0"/>
    <s v="Crashed into Mt. Lataboy at 2,800 ft. during an approach to Ambon in a severe rainstorm."/>
    <n v="0"/>
    <n v="1"/>
    <x v="1"/>
  </r>
  <r>
    <n v="3759"/>
    <x v="3411"/>
    <x v="81"/>
    <x v="3"/>
    <d v="1899-12-30T16:15:00"/>
    <s v="Near Mexico City, Mexico"/>
    <s v="Aero Eslava"/>
    <s v="Unknown"/>
    <s v="Puebla - Mexico City"/>
    <x v="1733"/>
    <s v="XA-SCM"/>
    <n v="392"/>
    <n v="4"/>
    <n v="2"/>
    <n v="2"/>
    <n v="4"/>
    <n v="2"/>
    <n v="2"/>
    <n v="0"/>
    <s v="Flew into a mountain in poor weather on a positioning flight."/>
    <n v="0"/>
    <n v="1"/>
    <x v="1"/>
  </r>
  <r>
    <n v="3760"/>
    <x v="3412"/>
    <x v="81"/>
    <x v="3"/>
    <d v="1899-12-30T17:41:00"/>
    <s v="JFK Airport, New York, New York"/>
    <s v="Trans World Airlines"/>
    <n v="843"/>
    <s v="New York City - San Francisco"/>
    <x v="1490"/>
    <s v="N11002"/>
    <n v="1014"/>
    <n v="292"/>
    <n v="280"/>
    <n v="12"/>
    <n v="0"/>
    <n v="0"/>
    <n v="0"/>
    <n v="0"/>
    <s v="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
    <n v="292"/>
    <n v="0"/>
    <x v="2"/>
  </r>
  <r>
    <n v="3761"/>
    <x v="3413"/>
    <x v="81"/>
    <x v="3"/>
    <d v="1899-12-30T12:45:00"/>
    <s v="Near Kathmandu, Nepal"/>
    <s v="Thai Airways"/>
    <n v="311"/>
    <s v="Bangkok - Kathmandu"/>
    <x v="1734"/>
    <s v="HS-TID"/>
    <n v="438"/>
    <n v="113"/>
    <n v="99"/>
    <n v="14"/>
    <n v="113"/>
    <n v="99"/>
    <n v="14"/>
    <n v="0"/>
    <s v="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
    <n v="0"/>
    <n v="1"/>
    <x v="1"/>
  </r>
  <r>
    <n v="3762"/>
    <x v="3413"/>
    <x v="81"/>
    <x v="3"/>
    <d v="1899-12-30T15:12:00"/>
    <s v="Nanjing, Jiangsu, China"/>
    <s v="China General Aviation Corporation"/>
    <n v="7552"/>
    <s v="Nanjing - Xiamen"/>
    <x v="1735"/>
    <s v="B-2755"/>
    <n v="2116644"/>
    <n v="126"/>
    <n v="116"/>
    <n v="10"/>
    <n v="108"/>
    <n v="100"/>
    <n v="8"/>
    <n v="0"/>
    <s v="The aircraft failed to gain altitude after lift-off, touched down again and overran the runway bursting into flames 2,000 feet past the runway. Wrong takeoff configueration."/>
    <n v="18"/>
    <n v="0.8571428571428571"/>
    <x v="1"/>
  </r>
  <r>
    <n v="3763"/>
    <x v="3414"/>
    <x v="81"/>
    <x v="3"/>
    <s v="Unknown"/>
    <s v="Colorado, Bolivia"/>
    <s v="Servicios Aereos Santa Ana"/>
    <s v="Unknown"/>
    <s v="La Paz - Santa Ana de Yacuma"/>
    <x v="1736"/>
    <s v="CP-1961"/>
    <n v="405"/>
    <n v="10"/>
    <n v="7"/>
    <n v="3"/>
    <n v="10"/>
    <n v="7"/>
    <n v="3"/>
    <n v="0"/>
    <s v="Crashed into a lake in the Chacaltaya mountains during poor weather conditions."/>
    <n v="0"/>
    <n v="1"/>
    <x v="1"/>
  </r>
  <r>
    <n v="3764"/>
    <x v="3415"/>
    <x v="81"/>
    <x v="3"/>
    <d v="1899-12-30T05:15:00"/>
    <s v="Hot Springs, Arizona"/>
    <s v="Lone Star Airlines"/>
    <s v="Unknown"/>
    <s v="Test"/>
    <x v="1737"/>
    <s v="N342AE"/>
    <s v="AC-545"/>
    <n v="3"/>
    <n v="0"/>
    <n v="3"/>
    <n v="3"/>
    <n v="0"/>
    <n v="3"/>
    <n v="0"/>
    <s v="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
    <n v="0"/>
    <n v="1"/>
    <x v="1"/>
  </r>
  <r>
    <n v="3765"/>
    <x v="3416"/>
    <x v="81"/>
    <x v="3"/>
    <s v="Unknown"/>
    <s v="Near Iquitos, Peru"/>
    <s v="Military - Peruvian Air Force - TANS"/>
    <s v="Unknown"/>
    <s v="Estrecho - Iquitos"/>
    <x v="1220"/>
    <s v="FAP304"/>
    <n v="316"/>
    <n v="41"/>
    <n v="38"/>
    <n v="3"/>
    <n v="8"/>
    <n v="6"/>
    <n v="2"/>
    <n v="0"/>
    <s v="While en route, one of the aircraft's engines lost power. The pilot declared an emergency and attempted to carry out a forced landing but the aircraft struck trees and crashed."/>
    <n v="33"/>
    <n v="0.1951219512195122"/>
    <x v="2"/>
  </r>
  <r>
    <n v="3766"/>
    <x v="3416"/>
    <x v="81"/>
    <x v="3"/>
    <d v="1899-12-30T10:20:00"/>
    <s v="Gimli, Manitoba, Canada"/>
    <s v="NewCal Aviation"/>
    <s v="Unknown"/>
    <s v="Test"/>
    <x v="1738"/>
    <s v="N400NC"/>
    <n v="240"/>
    <n v="3"/>
    <n v="0"/>
    <n v="3"/>
    <n v="3"/>
    <n v="0"/>
    <n v="3"/>
    <n v="0"/>
    <s v="The aircraft took off at too steep of an angle during a test flight, stalled, rolled to the right and crashed in a nose-down, right wing low attitude."/>
    <n v="0"/>
    <n v="1"/>
    <x v="1"/>
  </r>
  <r>
    <n v="3767"/>
    <x v="3416"/>
    <x v="81"/>
    <x v="3"/>
    <d v="1899-12-30T22:44:00"/>
    <s v="Near Ivanovo, Russia"/>
    <s v="Aeroflot"/>
    <n v="2808"/>
    <s v="Donetsk - Ivanovo"/>
    <x v="1166"/>
    <s v="CCCP-65058"/>
    <s v="49868/3910"/>
    <n v="84"/>
    <n v="77"/>
    <n v="7"/>
    <n v="84"/>
    <n v="77"/>
    <n v="7"/>
    <n v="0"/>
    <s v="The aircraft crashed 1.5 miles from the airport during approach. Poor landing coordination by the flight crew."/>
    <n v="0"/>
    <n v="1"/>
    <x v="1"/>
  </r>
  <r>
    <n v="3768"/>
    <x v="3417"/>
    <x v="81"/>
    <x v="3"/>
    <d v="1899-12-30T22:32:00"/>
    <s v="Jamba, Angola"/>
    <s v="Professional Aviation Services"/>
    <s v="Unknown"/>
    <s v="Jamba - Pretoria"/>
    <x v="277"/>
    <s v="ZS-DHX"/>
    <s v="15908/32656"/>
    <n v="17"/>
    <n v="14"/>
    <n v="3"/>
    <n v="3"/>
    <n v="0"/>
    <n v="3"/>
    <n v="0"/>
    <s v="The plane was unable to maintain altitude after taking off, crashed into trees and caught fire.  The co-pilot became distracted while trying to operate an inconviently placed intercom switch and the aircraft to lose height and drifted to the right."/>
    <n v="14"/>
    <n v="0.17647058823529413"/>
    <x v="2"/>
  </r>
  <r>
    <n v="3769"/>
    <x v="3418"/>
    <x v="81"/>
    <x v="3"/>
    <s v="Unknown"/>
    <s v="Bellavista, Peru"/>
    <s v="Expresso AÃ©reo"/>
    <s v="Unknown"/>
    <s v="Tarapoto - Bellavista"/>
    <x v="1161"/>
    <s v="OB-1443"/>
    <n v="10533"/>
    <n v="43"/>
    <n v="36"/>
    <n v="7"/>
    <n v="1"/>
    <n v="0"/>
    <n v="1"/>
    <n v="1"/>
    <s v="While attempting to land the nose gear tire blew out causing the plane to veer off the runway, break in three and catch fire. The pilot died after he was trapped in the cockpit."/>
    <n v="42"/>
    <n v="2.3255813953488372E-2"/>
    <x v="2"/>
  </r>
  <r>
    <n v="3770"/>
    <x v="3419"/>
    <x v="81"/>
    <x v="3"/>
    <s v="Unknown"/>
    <s v="Kozyrevsk, Russia"/>
    <s v="Kamchatka Airlines"/>
    <s v="Unknown"/>
    <s v="Unknown"/>
    <x v="1481"/>
    <s v="RA-22738"/>
    <s v="_x0009_98311031"/>
    <n v="16"/>
    <n v="13"/>
    <n v="3"/>
    <n v="9"/>
    <n v="9"/>
    <n v="0"/>
    <n v="0"/>
    <s v="While taking off the helicopter cashed into trees and burst into flames."/>
    <n v="7"/>
    <n v="0.5625"/>
    <x v="0"/>
  </r>
  <r>
    <n v="3771"/>
    <x v="3420"/>
    <x v="81"/>
    <x v="3"/>
    <d v="1899-12-30T11:00:00"/>
    <s v="Hana, Hawaii"/>
    <s v="Air Taxi - Hawaii Helicopters Inc."/>
    <s v="Unknown"/>
    <s v="Sightseeing"/>
    <x v="1739"/>
    <s v="N350SM"/>
    <n v="1488"/>
    <n v="7"/>
    <n v="6"/>
    <n v="1"/>
    <n v="7"/>
    <n v="6"/>
    <n v="1"/>
    <n v="0"/>
    <s v="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
    <n v="0"/>
    <n v="1"/>
    <x v="1"/>
  </r>
  <r>
    <n v="3772"/>
    <x v="3421"/>
    <x v="81"/>
    <x v="3"/>
    <s v="Unknown"/>
    <s v="Off Curacao, Netherlands Antilles"/>
    <s v="Aero Ejecutivos"/>
    <s v="Unknown"/>
    <s v="Curacao - Miami"/>
    <x v="738"/>
    <s v="YV-502C"/>
    <s v="44656/619"/>
    <n v="3"/>
    <n v="0"/>
    <n v="3"/>
    <n v="3"/>
    <n v="0"/>
    <n v="3"/>
    <n v="0"/>
    <s v="The cargo plane crashed into the Atlantic Ocean while en route."/>
    <n v="0"/>
    <n v="1"/>
    <x v="1"/>
  </r>
  <r>
    <n v="3773"/>
    <x v="3422"/>
    <x v="81"/>
    <x v="3"/>
    <s v="Unknown"/>
    <s v="Bogota, Colombia"/>
    <s v="Avesca Colombia"/>
    <s v="Unknown"/>
    <s v="Villavicencio - Mitu"/>
    <x v="587"/>
    <s v="HK-3468X"/>
    <n v="22436"/>
    <n v="11"/>
    <n v="9"/>
    <n v="2"/>
    <n v="11"/>
    <n v="9"/>
    <n v="2"/>
    <n v="0"/>
    <s v="Crashed short of the runway after attempting an emergency return to the airport after takeoff. Engine failure."/>
    <n v="0"/>
    <n v="1"/>
    <x v="1"/>
  </r>
  <r>
    <n v="3774"/>
    <x v="3423"/>
    <x v="81"/>
    <x v="3"/>
    <d v="1899-12-30T09:21:00"/>
    <s v="Near Kular, Russia"/>
    <s v="Yakutavia"/>
    <s v="Unknown"/>
    <s v="Unknown"/>
    <x v="1481"/>
    <s v="RA-22651"/>
    <s v="_x0009_8098"/>
    <n v="10"/>
    <n v="7"/>
    <n v="3"/>
    <n v="10"/>
    <n v="7"/>
    <n v="3"/>
    <n v="0"/>
    <s v="Crashed into power lines at 40m during an approach to land."/>
    <n v="0"/>
    <n v="1"/>
    <x v="1"/>
  </r>
  <r>
    <n v="3775"/>
    <x v="3424"/>
    <x v="81"/>
    <x v="3"/>
    <d v="1899-12-30T18:00:00"/>
    <s v="Near Lagos, Nigeria"/>
    <s v="Military - Federal Nigerian Air Force"/>
    <s v="Unknown"/>
    <s v="Lagos - Kaduna"/>
    <x v="1262"/>
    <s v="NAF911"/>
    <n v="4624"/>
    <n v="158"/>
    <n v="154"/>
    <n v="4"/>
    <n v="158"/>
    <n v="154"/>
    <n v="4"/>
    <n v="0"/>
    <s v="The aircraft attempted to ditch into a canal after two engines failed on takeoff. After a third engine failed, the aircraft crashed into a marsh. Fuel contamination."/>
    <n v="0"/>
    <n v="1"/>
    <x v="1"/>
  </r>
  <r>
    <n v="3776"/>
    <x v="3425"/>
    <x v="81"/>
    <x v="3"/>
    <d v="1899-12-30T14:30:00"/>
    <s v="Near  Kathmandu, Nepal"/>
    <s v="Pakistan International Airlines"/>
    <n v="268"/>
    <s v="Karachi - Kathmandu"/>
    <x v="1740"/>
    <s v="AP-BCP"/>
    <n v="25"/>
    <n v="167"/>
    <n v="155"/>
    <n v="12"/>
    <n v="167"/>
    <n v="155"/>
    <n v="12"/>
    <n v="0"/>
    <s v="The plane hit cloud covered high ground while attempting to land, 9 nm short of the runway at Bhattedanda hill. The pilot began the descent too early and had miscalculated the aircraft's altitude. Failure of the crew to follow prescribed procedures."/>
    <n v="0"/>
    <n v="1"/>
    <x v="1"/>
  </r>
  <r>
    <n v="3777"/>
    <x v="3426"/>
    <x v="81"/>
    <x v="3"/>
    <d v="1899-12-30T17:05:00"/>
    <s v="Amsterdam, Netherlands"/>
    <s v="El Al"/>
    <n v="1862"/>
    <s v="Amsterdam - Tel Aviv"/>
    <x v="1741"/>
    <s v="4X-AXG"/>
    <s v="21737/362"/>
    <n v="4"/>
    <n v="1"/>
    <n v="3"/>
    <n v="4"/>
    <n v="1"/>
    <n v="3"/>
    <n v="39"/>
    <s v="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
    <n v="0"/>
    <n v="1"/>
    <x v="1"/>
  </r>
  <r>
    <n v="3778"/>
    <x v="3427"/>
    <x v="81"/>
    <x v="3"/>
    <d v="1899-12-30T09:30:00"/>
    <s v="Berkeley Springs, West Virginia"/>
    <s v="Miltiary - U.S. Airforce"/>
    <s v="Unknown"/>
    <s v="Training"/>
    <x v="1435"/>
    <s v="63-7881"/>
    <n v="3952"/>
    <n v="6"/>
    <n v="0"/>
    <n v="6"/>
    <n v="6"/>
    <n v="0"/>
    <n v="6"/>
    <n v="0"/>
    <s v="Struck power lines and crashed."/>
    <n v="0"/>
    <n v="1"/>
    <x v="1"/>
  </r>
  <r>
    <n v="3779"/>
    <x v="3428"/>
    <x v="81"/>
    <x v="3"/>
    <s v="Unknown"/>
    <s v="Near Dingxi, China"/>
    <s v="Wuhan Airlines"/>
    <s v="Unknown"/>
    <s v="Lanzhou - Xi'an"/>
    <x v="1742"/>
    <s v="B-4211"/>
    <n v="108807113"/>
    <n v="35"/>
    <n v="28"/>
    <n v="7"/>
    <n v="14"/>
    <n v="9"/>
    <n v="5"/>
    <n v="0"/>
    <s v="Crashed 45 miles southeast of Lanzhou while attempting to return to the airport after experiencing engine failure."/>
    <n v="21"/>
    <n v="0.4"/>
    <x v="0"/>
  </r>
  <r>
    <n v="3780"/>
    <x v="3429"/>
    <x v="81"/>
    <x v="3"/>
    <s v="Unknown"/>
    <s v="Mogadiscio, Somalia"/>
    <s v="Kiev Production Association"/>
    <s v="Unknown"/>
    <s v="Unknown"/>
    <x v="1743"/>
    <s v="CCCP-48088"/>
    <n v="2905"/>
    <n v="13"/>
    <n v="7"/>
    <n v="6"/>
    <n v="1"/>
    <n v="0"/>
    <n v="1"/>
    <n v="0"/>
    <s v="The cargo plane veered off the runway and crashed while attempting to land at night with just the headlights of several trucks."/>
    <n v="12"/>
    <n v="7.6923076923076927E-2"/>
    <x v="2"/>
  </r>
  <r>
    <n v="3781"/>
    <x v="3430"/>
    <x v="81"/>
    <x v="3"/>
    <s v="Unknown"/>
    <s v="Near Garut, Jawa, Indonesia"/>
    <s v="Merpati Nusantara Airlines"/>
    <s v="Unknown"/>
    <s v="Semarang - Bandung"/>
    <x v="1744"/>
    <s v="PK-MNN"/>
    <s v="N-013"/>
    <n v="31"/>
    <n v="27"/>
    <n v="4"/>
    <n v="31"/>
    <n v="27"/>
    <n v="4"/>
    <n v="0"/>
    <s v="The aircraft was descending in heavy rain when it crashed into Mt. Papandayan."/>
    <n v="0"/>
    <n v="1"/>
    <x v="1"/>
  </r>
  <r>
    <n v="3782"/>
    <x v="3431"/>
    <x v="81"/>
    <x v="3"/>
    <d v="1899-12-30T10:58:00"/>
    <s v="Near Usti Nem, Russia"/>
    <s v="Syktyvkar Avia"/>
    <n v="302"/>
    <s v="Ust'-Him - _x0009_Syktyvkar"/>
    <x v="1745"/>
    <s v="CCCP-28785"/>
    <s v="IAJ005-18"/>
    <n v="16"/>
    <n v="14"/>
    <n v="2"/>
    <n v="15"/>
    <n v="13"/>
    <n v="2"/>
    <n v="0"/>
    <s v="Crashed on takeoff. The aircraft became airborne but then stalled and crashed. Engine failure."/>
    <n v="1"/>
    <n v="0.9375"/>
    <x v="1"/>
  </r>
  <r>
    <n v="3783"/>
    <x v="3432"/>
    <x v="81"/>
    <x v="3"/>
    <s v="Unknown"/>
    <s v="Near Lake Caballochoa, Peru"/>
    <s v="Military - Peruvian Air Force"/>
    <s v="Unknown"/>
    <s v="Unknown"/>
    <x v="1220"/>
    <s v="FAP306"/>
    <n v="379"/>
    <n v="11"/>
    <n v="8"/>
    <n v="3"/>
    <n v="8"/>
    <n v="7"/>
    <n v="1"/>
    <n v="0"/>
    <s v="The float-plane crashed into the lake after experiencing engine failure while en route."/>
    <n v="3"/>
    <n v="0.72727272727272729"/>
    <x v="1"/>
  </r>
  <r>
    <n v="3784"/>
    <x v="3433"/>
    <x v="81"/>
    <x v="3"/>
    <s v="Unknown"/>
    <s v="Chita, Russia"/>
    <s v="Aeroflot"/>
    <s v="Unknown"/>
    <s v="Petropavlovsk - Novosobrisk"/>
    <x v="1746"/>
    <s v="CCCP-69346"/>
    <s v="OD-3430"/>
    <n v="14"/>
    <n v="9"/>
    <n v="5"/>
    <n v="13"/>
    <n v="8"/>
    <n v="5"/>
    <n v="0"/>
    <s v="Crashed 1,600m short of the runway threshold while attempting to land at Chita."/>
    <n v="1"/>
    <n v="0.9285714285714286"/>
    <x v="1"/>
  </r>
  <r>
    <n v="3785"/>
    <x v="3434"/>
    <x v="81"/>
    <x v="3"/>
    <s v="Unknown"/>
    <s v="Off Bombay, India"/>
    <s v="Military - Indian Air Force"/>
    <s v="Unknown"/>
    <s v="Unknown"/>
    <x v="1481"/>
    <s v="Unknown"/>
    <s v="Unknown"/>
    <n v="20"/>
    <s v="NULL"/>
    <s v="NULL"/>
    <n v="20"/>
    <s v="NULL"/>
    <s v="NULL"/>
    <n v="0"/>
    <s v="The rotor blades hit an oil rig in the Arabian Sea."/>
    <n v="0"/>
    <n v="1"/>
    <x v="1"/>
  </r>
  <r>
    <n v="3786"/>
    <x v="3434"/>
    <x v="81"/>
    <x v="3"/>
    <s v="Unknown"/>
    <s v="Near Tver, Russia"/>
    <s v="Military - Russian Air Force"/>
    <s v="Unknown"/>
    <s v="Migalovo AB - Yerevan"/>
    <x v="1747"/>
    <s v="CCCP-09303"/>
    <n v="53483299"/>
    <n v="33"/>
    <n v="26"/>
    <n v="7"/>
    <n v="33"/>
    <n v="26"/>
    <n v="7"/>
    <n v="0"/>
    <s v="After climbing to a height of 800 ft. the plane dove into the ground. Improper loading and overloaded."/>
    <n v="0"/>
    <n v="1"/>
    <x v="1"/>
  </r>
  <r>
    <n v="3787"/>
    <x v="3435"/>
    <x v="81"/>
    <x v="3"/>
    <d v="1899-12-30T07:10:00"/>
    <s v="Near Nha Trang, Vietnam"/>
    <s v="Vietnam Airlines"/>
    <n v="474"/>
    <s v="Ho Chi Minh City - Nha Trang"/>
    <x v="1146"/>
    <s v="VN-A449"/>
    <n v="9631848"/>
    <n v="31"/>
    <n v="25"/>
    <n v="6"/>
    <n v="30"/>
    <n v="24"/>
    <n v="6"/>
    <n v="0"/>
    <s v="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
    <n v="1"/>
    <n v="0.967741935483871"/>
    <x v="1"/>
  </r>
  <r>
    <n v="3788"/>
    <x v="3436"/>
    <x v="81"/>
    <x v="3"/>
    <d v="1899-12-30T18:45:00"/>
    <s v="Near Porto Plata, Dominican Republic"/>
    <s v="Aerocaribbean - Charter"/>
    <s v="Unknown"/>
    <s v="Santo Domingo - Porto Plata"/>
    <x v="913"/>
    <s v="CU-T1270"/>
    <n v="187010301"/>
    <n v="34"/>
    <n v="28"/>
    <n v="6"/>
    <n v="34"/>
    <n v="28"/>
    <n v="6"/>
    <n v="0"/>
    <s v="Crashed into an 850 meter high peak while on approach to Puerto Plata. Controlled flight iinto terrain."/>
    <n v="0"/>
    <n v="1"/>
    <x v="1"/>
  </r>
  <r>
    <n v="3789"/>
    <x v="3437"/>
    <x v="81"/>
    <x v="3"/>
    <d v="1899-12-30T07:52:00"/>
    <s v="Near Guilin, China"/>
    <s v="China Southern Airlines"/>
    <n v="3943"/>
    <s v="Guangzhou - Guilin"/>
    <x v="1680"/>
    <s v="B-2523"/>
    <s v="24913/2052"/>
    <n v="141"/>
    <n v="133"/>
    <n v="8"/>
    <n v="141"/>
    <n v="133"/>
    <n v="8"/>
    <n v="0"/>
    <s v="The aircraft crashed into a 7,000 ft. mountain, 15 miles from the airport while on apporach. Malfunction of the thrust lever which caused a loss of control of the aircraft."/>
    <n v="0"/>
    <n v="1"/>
    <x v="1"/>
  </r>
  <r>
    <n v="3790"/>
    <x v="3438"/>
    <x v="81"/>
    <x v="3"/>
    <d v="1899-12-30T21:20:00"/>
    <s v="Near Harlem, Montana"/>
    <s v="Military - U.S. Air Force / Military - U.S. Air Force"/>
    <s v="Unknown"/>
    <s v="Unknown"/>
    <x v="1748"/>
    <s v="650255/660142"/>
    <s v="6106 / 6168"/>
    <n v="13"/>
    <n v="0"/>
    <n v="13"/>
    <n v="13"/>
    <n v="0"/>
    <n v="13"/>
    <n v="0"/>
    <s v="The two aircraft on a training mission and refueling collided in darkness at 25,000 ft. and crashed to the ground. Seven killed on 65-0255 and 6 on 66-0142"/>
    <n v="0"/>
    <n v="1"/>
    <x v="1"/>
  </r>
  <r>
    <n v="3791"/>
    <x v="3439"/>
    <x v="81"/>
    <x v="3"/>
    <s v="Unknown"/>
    <s v="Uruapan, Mexico"/>
    <s v="Aero Sudpacifico"/>
    <s v="Unknown"/>
    <s v="Uruapan - Guadalajara"/>
    <x v="1749"/>
    <s v="XA-RML"/>
    <n v="864"/>
    <n v="9"/>
    <n v="8"/>
    <n v="1"/>
    <n v="9"/>
    <n v="8"/>
    <n v="1"/>
    <n v="0"/>
    <s v="Crashed in the Sierra Madre mountains shortly after taking off."/>
    <n v="0"/>
    <n v="1"/>
    <x v="1"/>
  </r>
  <r>
    <n v="3792"/>
    <x v="3440"/>
    <x v="81"/>
    <x v="3"/>
    <s v="Unknown"/>
    <s v="Goma, Congo"/>
    <s v="Scibe Airlift Cargo Zaire"/>
    <n v="140"/>
    <s v="Kindu - Goma"/>
    <x v="1139"/>
    <s v="9Q-CBH"/>
    <n v="10649"/>
    <n v="37"/>
    <n v="31"/>
    <n v="6"/>
    <n v="37"/>
    <n v="31"/>
    <n v="6"/>
    <n v="0"/>
    <s v="The aircraft flew into high ground at 8,800 ft. while positioning for an approach to Goma.The accident happened in darkness. Premature descet,"/>
    <n v="0"/>
    <n v="1"/>
    <x v="1"/>
  </r>
  <r>
    <n v="3793"/>
    <x v="3441"/>
    <x v="81"/>
    <x v="3"/>
    <s v="Unknown"/>
    <s v="Lata, Georgia"/>
    <s v="Military - Russian Air Force"/>
    <s v="Unknown"/>
    <s v="Unknown"/>
    <x v="1750"/>
    <s v="Unknown"/>
    <s v="Unknown"/>
    <n v="61"/>
    <s v="NULL"/>
    <s v="NULL"/>
    <n v="61"/>
    <s v="NULL"/>
    <s v="NULL"/>
    <n v="0"/>
    <s v="Shot down by a surface-to-air missile by Georgian rebel forces."/>
    <n v="0"/>
    <n v="1"/>
    <x v="1"/>
  </r>
  <r>
    <n v="3794"/>
    <x v="3442"/>
    <x v="81"/>
    <x v="3"/>
    <d v="1899-12-30T07:53:00"/>
    <s v="Faro, Algarve, Portugal"/>
    <s v="Martinair Holland NV"/>
    <n v="495"/>
    <s v="Amsterdam - Faro"/>
    <x v="1460"/>
    <s v="PH-MBN"/>
    <n v="46924"/>
    <n v="340"/>
    <n v="327"/>
    <n v="13"/>
    <n v="56"/>
    <n v="54"/>
    <n v="2"/>
    <n v="0"/>
    <s v="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
    <n v="284"/>
    <n v="0.16470588235294117"/>
    <x v="2"/>
  </r>
  <r>
    <n v="3795"/>
    <x v="3443"/>
    <x v="81"/>
    <x v="3"/>
    <d v="1899-12-30T10:00:00"/>
    <s v="Tripoli, Libya"/>
    <s v="Libya Arab Airlines / Military -  Libya Air Force"/>
    <n v="1103"/>
    <s v="Benghazi - Tripoli"/>
    <x v="1751"/>
    <s v="5A-DIA"/>
    <s v="21050/1108"/>
    <n v="157"/>
    <n v="147"/>
    <n v="10"/>
    <n v="157"/>
    <n v="147"/>
    <n v="10"/>
    <n v="0"/>
    <s v="Midair collision with an Libyan Air Force fighter at 3,500 ft."/>
    <n v="0"/>
    <n v="1"/>
    <x v="1"/>
  </r>
  <r>
    <n v="3796"/>
    <x v="3444"/>
    <x v="82"/>
    <x v="3"/>
    <d v="1899-12-30T15:40:00"/>
    <s v="Ogden, Utah"/>
    <s v="Air Taxi - South Coast Helicopters Inc."/>
    <s v="Unknown"/>
    <s v="Unknown"/>
    <x v="1752"/>
    <s v="N1078V"/>
    <n v="2923"/>
    <n v="4"/>
    <n v="3"/>
    <n v="1"/>
    <n v="4"/>
    <n v="3"/>
    <n v="1"/>
    <n v="0"/>
    <s v="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
    <n v="0"/>
    <n v="1"/>
    <x v="1"/>
  </r>
  <r>
    <n v="3797"/>
    <x v="3445"/>
    <x v="82"/>
    <x v="3"/>
    <d v="1899-12-30T19:20:00"/>
    <s v="Paris, France"/>
    <s v="Lufthansa Cityline"/>
    <n v="5634"/>
    <s v="Bremen - Paris"/>
    <x v="1753"/>
    <s v="D-BEAT"/>
    <n v="210"/>
    <n v="23"/>
    <n v="19"/>
    <n v="4"/>
    <n v="4"/>
    <n v="4"/>
    <n v="0"/>
    <n v="0"/>
    <s v="While approaching Charles de Gaulle Airport,  a preceding Korean Air, Boeing 747 blew a tire on landing and the runway was closed. The crew had to use another runway but the aircraft entered a high sink rate and flew into the ground 5,500 feet short of the runway."/>
    <n v="19"/>
    <n v="0.17391304347826086"/>
    <x v="2"/>
  </r>
  <r>
    <n v="3798"/>
    <x v="3446"/>
    <x v="82"/>
    <x v="3"/>
    <s v="Unknown"/>
    <s v="Surabaya, Indonesia"/>
    <s v="Bouraq Indonesia Airlines"/>
    <s v="Unknown"/>
    <s v="Unknown"/>
    <x v="1754"/>
    <s v="PK-IHE"/>
    <n v="1620"/>
    <n v="44"/>
    <n v="39"/>
    <n v="5"/>
    <n v="17"/>
    <n v="13"/>
    <n v="4"/>
    <n v="0"/>
    <s v="The No. 2 engine lost power on takeoff. The aircraft crashed into a swamp 800m beyond the end of the runway, broke up and caught fire.  Flaps were found to be retracted.  Right propeller did not autofeather and had to be feathered manually."/>
    <n v="27"/>
    <n v="0.38636363636363635"/>
    <x v="0"/>
  </r>
  <r>
    <n v="3799"/>
    <x v="3447"/>
    <x v="82"/>
    <x v="3"/>
    <s v="Unknown"/>
    <s v="Sellafield, England"/>
    <s v="Titan Airways"/>
    <s v="Unknown"/>
    <s v="Southend - Glasgow"/>
    <x v="1449"/>
    <s v="G-ZAPE"/>
    <n v="110391"/>
    <n v="2"/>
    <n v="0"/>
    <n v="2"/>
    <n v="2"/>
    <n v="0"/>
    <n v="2"/>
    <n v="0"/>
    <s v="The cargo plane struck a mountain while descending in fog and poor visibility."/>
    <n v="0"/>
    <n v="1"/>
    <x v="1"/>
  </r>
  <r>
    <n v="3800"/>
    <x v="3448"/>
    <x v="82"/>
    <x v="3"/>
    <d v="1899-12-30T08:30:00"/>
    <s v="Near Bronson Creek, British Colombia, Canada"/>
    <s v="Central Mountain Air Services"/>
    <s v="Unknown"/>
    <s v="Bronson - Wrangell"/>
    <x v="402"/>
    <s v="C-FAAM"/>
    <n v="9862"/>
    <n v="2"/>
    <n v="0"/>
    <n v="2"/>
    <n v="2"/>
    <n v="0"/>
    <n v="2"/>
    <n v="0"/>
    <s v="After takeoff, the cargo plane, banked sharply went nose-down and crashed."/>
    <n v="0"/>
    <n v="1"/>
    <x v="1"/>
  </r>
  <r>
    <n v="3801"/>
    <x v="3449"/>
    <x v="82"/>
    <x v="3"/>
    <s v="Unknown"/>
    <s v="Kinshasa, Democratic Republic Congo"/>
    <s v="Trans Service Airlift"/>
    <s v="Unknown"/>
    <s v="Unknown"/>
    <x v="1381"/>
    <s v="9Q-CJK"/>
    <n v="11"/>
    <n v="21"/>
    <n v="18"/>
    <n v="3"/>
    <n v="3"/>
    <n v="3"/>
    <n v="0"/>
    <n v="0"/>
    <s v="While attempting to takeoff the cargo plane overran the runway and struck vehicles. Overloaded."/>
    <n v="18"/>
    <n v="0.14285714285714285"/>
    <x v="2"/>
  </r>
  <r>
    <n v="3802"/>
    <x v="3450"/>
    <x v="82"/>
    <x v="3"/>
    <s v="Unknown"/>
    <s v="Sumatra, Indonesia"/>
    <s v="Pan Malaysian Air Transport"/>
    <s v="Unknown"/>
    <s v="Medan - Banda Aceh - Jakarta"/>
    <x v="1590"/>
    <s v="9M-PID"/>
    <s v="SH-1961"/>
    <n v="16"/>
    <n v="11"/>
    <n v="5"/>
    <n v="16"/>
    <n v="11"/>
    <n v="5"/>
    <n v="0"/>
    <s v="Crashed into Mt. Kapur 67nm from Medan in poor weather conditions with thunderstorms. The plane has not been found. Pilot was flying at 8,500 ft., below the published minimum safe altitude."/>
    <n v="0"/>
    <n v="1"/>
    <x v="1"/>
  </r>
  <r>
    <n v="3803"/>
    <x v="3451"/>
    <x v="82"/>
    <x v="3"/>
    <d v="1899-12-30T14:15:00"/>
    <s v="Near Tehran, Iran"/>
    <s v="Iran Air Tours  /  Military - Iranian Air Force"/>
    <s v="Unknown"/>
    <s v="Tehran - Khoram"/>
    <x v="1755"/>
    <s v="EP-ITD"/>
    <n v="903"/>
    <n v="133"/>
    <n v="119"/>
    <n v="14"/>
    <n v="133"/>
    <n v="119"/>
    <n v="14"/>
    <n v="0"/>
    <s v="Midair collision with an Iranian Air Force fighter while taking off. One hundred thirty-one killed on the Tupolev and one killed on the Su-24."/>
    <n v="0"/>
    <n v="1"/>
    <x v="1"/>
  </r>
  <r>
    <n v="3804"/>
    <x v="3452"/>
    <x v="82"/>
    <x v="3"/>
    <s v="Unknown"/>
    <s v="Near Daraim, Afghanistan"/>
    <s v="Military - Afghan Republican Air Force"/>
    <s v="Unknown"/>
    <s v="Faisabad - Daraim"/>
    <x v="1756"/>
    <s v="Unknown"/>
    <s v="Unknown"/>
    <n v="30"/>
    <s v="NULL"/>
    <s v="NULL"/>
    <n v="30"/>
    <s v="NULL"/>
    <s v="NULL"/>
    <n v="0"/>
    <s v="The helicopter crashed while en route. Overloaded and poorly maintained."/>
    <n v="0"/>
    <n v="1"/>
    <x v="1"/>
  </r>
  <r>
    <n v="3805"/>
    <x v="3453"/>
    <x v="82"/>
    <x v="3"/>
    <s v="Unknown"/>
    <s v="Bogota, Colombia"/>
    <s v="Cargo Three Panama"/>
    <s v="Unknown"/>
    <s v="Bogota-Panama"/>
    <x v="962"/>
    <s v="HP-1200CTH"/>
    <n v="413"/>
    <n v="2"/>
    <n v="0"/>
    <n v="2"/>
    <n v="2"/>
    <n v="0"/>
    <n v="2"/>
    <n v="0"/>
    <s v="The cargo plane attempted to return to the airport after an engine caught fire but crashed in a field."/>
    <n v="0"/>
    <n v="1"/>
    <x v="1"/>
  </r>
  <r>
    <n v="3806"/>
    <x v="3454"/>
    <x v="82"/>
    <x v="3"/>
    <s v="Unknown"/>
    <s v="Off Green Island, Taiwan"/>
    <s v="Formosa Airlines"/>
    <s v="Unknown"/>
    <s v="Taipei-Iles Orchides"/>
    <x v="1757"/>
    <s v="B-12238"/>
    <n v="111"/>
    <n v="6"/>
    <n v="4"/>
    <n v="2"/>
    <n v="6"/>
    <n v="4"/>
    <n v="2"/>
    <n v="0"/>
    <s v="The aircraft disappeared shortly before it was due to land and is believed to have crashed into the sea. Prior to the loss of contact, the flight had appeared to be proceeding normally. The accident occurred during daylight and in heavy rain."/>
    <n v="0"/>
    <n v="1"/>
    <x v="1"/>
  </r>
  <r>
    <n v="3807"/>
    <x v="3455"/>
    <x v="82"/>
    <x v="3"/>
    <d v="1899-12-30T11:12:00"/>
    <s v="Skopje, Macedonia"/>
    <s v="Palair Macedonian"/>
    <n v="301"/>
    <s v="Skopje - ZÃ¼rich"/>
    <x v="1758"/>
    <s v="PH-KXL"/>
    <n v="11393"/>
    <n v="97"/>
    <n v="92"/>
    <n v="5"/>
    <n v="83"/>
    <n v="79"/>
    <n v="4"/>
    <n v="0"/>
    <s v="The aircraft shuttered violently after takeoff,  rolled to the left, then right and crashed. Icing. Loss of roll controllability due to contamination on the wings with ice. Failure to de-ice the plane before taking off."/>
    <n v="14"/>
    <n v="0.85567010309278346"/>
    <x v="1"/>
  </r>
  <r>
    <n v="3808"/>
    <x v="3456"/>
    <x v="82"/>
    <x v="3"/>
    <d v="1899-12-30T13:35:00"/>
    <s v="Near Tangara de Serra, Brazil"/>
    <s v="Oeste Linhas Aereas"/>
    <s v="Unknown"/>
    <s v="Cuiaba - Vihena - Rondonia"/>
    <x v="1759"/>
    <s v="PP-SBJ"/>
    <s v="110-037"/>
    <n v="6"/>
    <n v="4"/>
    <n v="2"/>
    <n v="6"/>
    <n v="4"/>
    <n v="2"/>
    <n v="0"/>
    <s v="The aircraft crashed approximately 30 minutes after takeoff in rain."/>
    <n v="0"/>
    <n v="1"/>
    <x v="1"/>
  </r>
  <r>
    <n v="3809"/>
    <x v="3457"/>
    <x v="82"/>
    <x v="3"/>
    <d v="1899-12-30T12:25:00"/>
    <s v="Anchorage, Alaska"/>
    <s v="Japan Air Lines"/>
    <s v="46E"/>
    <s v="Unknown"/>
    <x v="1760"/>
    <s v="N47EV"/>
    <n v="26348"/>
    <n v="5"/>
    <n v="2"/>
    <n v="3"/>
    <n v="0"/>
    <n v="0"/>
    <n v="0"/>
    <n v="0"/>
    <s v="The No.2 engine and pylon separated from the aircraft at 2,000 feet. The plane landed safely. The engine separation was due to an encounter with severe or possibly extreme turbulence and a fatigue crack."/>
    <n v="5"/>
    <n v="0"/>
    <x v="2"/>
  </r>
  <r>
    <n v="3810"/>
    <x v="3458"/>
    <x v="82"/>
    <x v="3"/>
    <d v="1899-12-30T21:28:00"/>
    <s v="Blountville, Tennesee"/>
    <s v="Private"/>
    <s v="Unknown"/>
    <s v="Bristol, TN - Blountville, TN"/>
    <x v="1761"/>
    <s v="N500AK"/>
    <s v="TT-527"/>
    <n v="4"/>
    <n v="3"/>
    <n v="1"/>
    <n v="4"/>
    <n v="3"/>
    <n v="1"/>
    <n v="0"/>
    <s v="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
    <n v="0"/>
    <n v="1"/>
    <x v="1"/>
  </r>
  <r>
    <n v="3811"/>
    <x v="3459"/>
    <x v="82"/>
    <x v="3"/>
    <s v="Unknown"/>
    <s v="Off Margarita Island, Venezuela"/>
    <s v="Linea Aeropostal Venezolana"/>
    <s v="Unknown"/>
    <s v="Test"/>
    <x v="1235"/>
    <s v="YV-03C"/>
    <s v="4700/83"/>
    <n v="11"/>
    <n v="8"/>
    <n v="3"/>
    <n v="11"/>
    <n v="8"/>
    <n v="3"/>
    <n v="0"/>
    <s v="Crashed into the sea after departing Caracas on a test flight."/>
    <n v="0"/>
    <n v="1"/>
    <x v="1"/>
  </r>
  <r>
    <n v="3812"/>
    <x v="3460"/>
    <x v="82"/>
    <x v="3"/>
    <d v="1899-12-30T01:10:00"/>
    <s v="950 nm S of  Shemya, Alaska"/>
    <s v="China Eastern Airlines"/>
    <n v="583"/>
    <s v="Shanghai - Los Angeles"/>
    <x v="1762"/>
    <s v="B-2171"/>
    <s v="48495/461"/>
    <n v="264"/>
    <n v="248"/>
    <n v="16"/>
    <n v="2"/>
    <n v="2"/>
    <n v="0"/>
    <n v="0"/>
    <s v="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
    <n v="262"/>
    <n v="7.575757575757576E-3"/>
    <x v="2"/>
  </r>
  <r>
    <n v="3813"/>
    <x v="3461"/>
    <x v="82"/>
    <x v="3"/>
    <d v="1899-12-30T15:52:00"/>
    <s v="Zwingle, Iowa"/>
    <s v="Private"/>
    <s v="-"/>
    <s v="Cincinnati, OH - Pierre, SD"/>
    <x v="1763"/>
    <s v="N86SD"/>
    <s v="765SA"/>
    <n v="8"/>
    <n v="6"/>
    <n v="2"/>
    <n v="8"/>
    <n v="6"/>
    <n v="2"/>
    <n v="0"/>
    <s v="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
    <n v="0"/>
    <n v="1"/>
    <x v="1"/>
  </r>
  <r>
    <n v="3814"/>
    <x v="3462"/>
    <x v="82"/>
    <x v="3"/>
    <s v="Unknown"/>
    <s v="Zavnah, Mongolia"/>
    <s v="MIAT - Mongolian Airlines"/>
    <s v="Unknown"/>
    <s v="Ulan Bator - Bayan Olgiy"/>
    <x v="1764"/>
    <s v="BHMAY-14102"/>
    <n v="14102"/>
    <n v="40"/>
    <n v="34"/>
    <n v="6"/>
    <n v="32"/>
    <n v="26"/>
    <n v="6"/>
    <n v="0"/>
    <s v="Flew into the side of Marz Mountain while descending."/>
    <n v="8"/>
    <n v="0.8"/>
    <x v="1"/>
  </r>
  <r>
    <n v="3815"/>
    <x v="3463"/>
    <x v="82"/>
    <x v="3"/>
    <d v="1899-12-30T13:00:00"/>
    <s v="Aurangabad, India"/>
    <s v="Indian Airlines"/>
    <n v="491"/>
    <s v="Aurangabad - Bombay"/>
    <x v="1232"/>
    <s v="VT-ECQ"/>
    <s v="20961/375"/>
    <n v="118"/>
    <n v="112"/>
    <n v="6"/>
    <n v="55"/>
    <n v="55"/>
    <n v="0"/>
    <n v="0"/>
    <s v="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
    <n v="63"/>
    <n v="0.46610169491525422"/>
    <x v="0"/>
  </r>
  <r>
    <n v="3816"/>
    <x v="3464"/>
    <x v="82"/>
    <x v="3"/>
    <d v="1899-12-30T23:00:00"/>
    <s v="Off  Libreville, Gambia"/>
    <s v="Military - Zambian Air Force"/>
    <s v="Unknown"/>
    <s v="Lusaka - Libreville - Dakar"/>
    <x v="1390"/>
    <s v="AF-319"/>
    <n v="69"/>
    <n v="30"/>
    <n v="25"/>
    <n v="5"/>
    <n v="30"/>
    <n v="25"/>
    <n v="5"/>
    <n v="0"/>
    <s v="Crashed into the sea after taking off from Libreville Airport. An engine fire led to loss of control of the aircraft.  All eighteen members of the Zambian national soccer team killed."/>
    <n v="0"/>
    <n v="1"/>
    <x v="1"/>
  </r>
  <r>
    <n v="3817"/>
    <x v="3464"/>
    <x v="82"/>
    <x v="3"/>
    <s v="Unknown"/>
    <s v="Near Kholm, Afghanistan"/>
    <s v="Military - Afghan Republican Air Force"/>
    <s v="Unknown"/>
    <s v="Kabul - Mazar- Sharif"/>
    <x v="1625"/>
    <s v="Unknown"/>
    <s v="Unknown"/>
    <n v="76"/>
    <n v="71"/>
    <n v="5"/>
    <n v="76"/>
    <n v="71"/>
    <n v="5"/>
    <n v="0"/>
    <s v="Crashed into a hill in poor visibility, low clouds and fog."/>
    <n v="0"/>
    <n v="1"/>
    <x v="1"/>
  </r>
  <r>
    <n v="3818"/>
    <x v="3465"/>
    <x v="82"/>
    <x v="3"/>
    <s v="Unknown"/>
    <s v="Suva, Fiji"/>
    <s v="Fiji Air"/>
    <s v="Unknown"/>
    <s v="Unknown"/>
    <x v="1214"/>
    <s v="DQ-FEO"/>
    <n v="9"/>
    <n v="2"/>
    <n v="0"/>
    <n v="2"/>
    <n v="2"/>
    <n v="0"/>
    <n v="2"/>
    <n v="0"/>
    <s v="While landing, undershot the runway and struck a vehicle. Improperly loaded."/>
    <n v="0"/>
    <n v="1"/>
    <x v="1"/>
  </r>
  <r>
    <n v="3819"/>
    <x v="3466"/>
    <x v="82"/>
    <x v="3"/>
    <s v="Unknown"/>
    <s v="Near Cancun, Mexico"/>
    <s v="Carga del Caribe"/>
    <s v="Unknown"/>
    <s v="Cancun - Cozumel"/>
    <x v="1280"/>
    <s v="XA-SEA"/>
    <s v="43825/315"/>
    <n v="5"/>
    <n v="0"/>
    <n v="5"/>
    <n v="3"/>
    <n v="0"/>
    <n v="3"/>
    <n v="0"/>
    <s v="The cargo plane crashed under unknown circumstances."/>
    <n v="2"/>
    <n v="0.6"/>
    <x v="0"/>
  </r>
  <r>
    <n v="3820"/>
    <x v="3467"/>
    <x v="82"/>
    <x v="3"/>
    <d v="1899-12-30T15:04:00"/>
    <s v="Near Medellin, Colombia"/>
    <s v="SAM Colombia"/>
    <n v="501"/>
    <s v="Panama City - Medellin"/>
    <x v="1765"/>
    <s v="HK-2422X"/>
    <s v="18876/217"/>
    <n v="132"/>
    <n v="125"/>
    <n v="7"/>
    <n v="132"/>
    <n v="125"/>
    <n v="7"/>
    <n v="0"/>
    <s v="The plane hit Mt. Paramo Frontino at 12,300 ft. while on approach to Maria Cordova Airport. Errors by the crew and the ATC. The aircraft descended into mountainous terrain before actually reaching the Abejorral NDB beacon. The VOR/DME had been sabotaged by terrorists and not in service."/>
    <n v="0"/>
    <n v="1"/>
    <x v="1"/>
  </r>
  <r>
    <n v="3821"/>
    <x v="3468"/>
    <x v="82"/>
    <x v="3"/>
    <s v="Unknown"/>
    <s v="El Yopal, Colombia"/>
    <s v="Aerotaca"/>
    <s v="Unknown"/>
    <s v="Bogota - El Yopal"/>
    <x v="1220"/>
    <s v="HK-2759X"/>
    <n v="771"/>
    <n v="2"/>
    <n v="0"/>
    <n v="2"/>
    <n v="2"/>
    <n v="0"/>
    <n v="2"/>
    <n v="0"/>
    <s v="The cargo plane impacted a hill while on visual approach to El Yopal."/>
    <n v="0"/>
    <n v="1"/>
    <x v="1"/>
  </r>
  <r>
    <n v="3822"/>
    <x v="3469"/>
    <x v="82"/>
    <x v="3"/>
    <s v="Unknown"/>
    <s v="Gulgubip, Papua New Guinea"/>
    <s v="Southwest Air"/>
    <s v="Unknown"/>
    <s v="Unknown"/>
    <x v="1766"/>
    <s v="P2-SWA"/>
    <n v="805"/>
    <n v="11"/>
    <n v="10"/>
    <n v="1"/>
    <n v="9"/>
    <n v="9"/>
    <n v="0"/>
    <n v="0"/>
    <s v="On final approach at low speed the left wing dropped and touched the ground during a stall or deliberate low left turn. The plane cartwheeled and broke up."/>
    <n v="2"/>
    <n v="0.81818181818181823"/>
    <x v="1"/>
  </r>
  <r>
    <n v="3823"/>
    <x v="3470"/>
    <x v="82"/>
    <x v="3"/>
    <s v="Unknown"/>
    <s v="Nabire, Indonesia"/>
    <s v="Merpati Nasantara Airlines"/>
    <s v="Unknown"/>
    <s v="Unknown"/>
    <x v="1220"/>
    <s v="PK-NUL"/>
    <n v="391"/>
    <n v="3"/>
    <n v="0"/>
    <n v="3"/>
    <n v="1"/>
    <n v="0"/>
    <n v="1"/>
    <n v="0"/>
    <s v="The cargo aboard shifted after takeoff, the plane nosed up, stalled and crashed."/>
    <n v="2"/>
    <n v="0.33333333333333331"/>
    <x v="2"/>
  </r>
  <r>
    <n v="3824"/>
    <x v="3471"/>
    <x v="82"/>
    <x v="3"/>
    <d v="1899-12-30T22:15:00"/>
    <s v="Near Tbilisi, Georgia"/>
    <s v="Tajikistan Airlines"/>
    <s v="Unknown"/>
    <s v="Batumi - Baku - Chimkent"/>
    <x v="1195"/>
    <s v="RA-26035"/>
    <s v="SU035"/>
    <n v="41"/>
    <n v="36"/>
    <n v="5"/>
    <n v="41"/>
    <n v="36"/>
    <n v="5"/>
    <n v="0"/>
    <s v="The crew reported they were diverting due to thunderstorms. Soon after the aircraft crashed after encountering severe turbulence."/>
    <n v="0"/>
    <n v="1"/>
    <x v="1"/>
  </r>
  <r>
    <n v="3825"/>
    <x v="3472"/>
    <x v="82"/>
    <x v="3"/>
    <s v="Unknown"/>
    <s v="Sorong, Irian Jaya, Indonesia"/>
    <s v="Merpati Nusantara Airlines"/>
    <s v="MZ721"/>
    <s v="Ambo - Sorong"/>
    <x v="1535"/>
    <s v="PK-GFU"/>
    <n v="11131"/>
    <n v="43"/>
    <n v="39"/>
    <n v="4"/>
    <n v="41"/>
    <n v="37"/>
    <n v="4"/>
    <n v="0"/>
    <s v="The plane overran the runway while attempting to land in rain and reduced visibility and crashed onto a beach."/>
    <n v="2"/>
    <n v="0.95348837209302328"/>
    <x v="1"/>
  </r>
  <r>
    <n v="3826"/>
    <x v="3473"/>
    <x v="82"/>
    <x v="3"/>
    <s v="Unknown"/>
    <s v="Near Ochamchire, Georgia"/>
    <s v="Military - Georgian Air Force"/>
    <s v="Unknown"/>
    <s v="Unknown"/>
    <x v="1756"/>
    <s v="Unknown"/>
    <s v="Unknown"/>
    <n v="23"/>
    <s v="NULL"/>
    <s v="NULL"/>
    <n v="23"/>
    <s v="NULL"/>
    <s v="NULL"/>
    <n v="0"/>
    <s v="Shot down by Abkhazi forces."/>
    <n v="0"/>
    <n v="1"/>
    <x v="1"/>
  </r>
  <r>
    <n v="3827"/>
    <x v="3474"/>
    <x v="82"/>
    <x v="3"/>
    <d v="1899-12-30T14:55:00"/>
    <s v="Talladega, Alabama"/>
    <s v="Private"/>
    <s v="Unknown"/>
    <s v="Birmingham - Talladega"/>
    <x v="1767"/>
    <s v="N9116F"/>
    <s v="720396S"/>
    <n v="2"/>
    <n v="1"/>
    <n v="1"/>
    <n v="1"/>
    <n v="1"/>
    <n v="0"/>
    <n v="0"/>
    <s v="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
    <n v="1"/>
    <n v="0.5"/>
    <x v="0"/>
  </r>
  <r>
    <n v="3828"/>
    <x v="3475"/>
    <x v="82"/>
    <x v="3"/>
    <d v="1899-12-30T15:40:00"/>
    <s v="Yinchuan, China"/>
    <s v="China Northwest Airlines"/>
    <n v="2119"/>
    <s v="Yinchuan - Beijing"/>
    <x v="1768"/>
    <s v="B-2716"/>
    <s v="E-3215"/>
    <n v="113"/>
    <n v="108"/>
    <n v="5"/>
    <n v="55"/>
    <n v="54"/>
    <n v="1"/>
    <n v="0"/>
    <s v="The aircraft crashed into a lake after it was unable to get airborne while attempting to takeoff. Mechanical failure. Flaps selected but did not extend."/>
    <n v="58"/>
    <n v="0.48672566371681414"/>
    <x v="0"/>
  </r>
  <r>
    <n v="3829"/>
    <x v="3476"/>
    <x v="82"/>
    <x v="3"/>
    <d v="1899-12-30T15:48:00"/>
    <s v="Haenam, South Korea"/>
    <s v="Asiana Airlines"/>
    <n v="733"/>
    <s v="Seoul - Mokpo"/>
    <x v="1769"/>
    <s v="HL-7229"/>
    <s v="24805/1878"/>
    <n v="110"/>
    <n v="104"/>
    <n v="6"/>
    <n v="68"/>
    <n v="64"/>
    <n v="4"/>
    <n v="0"/>
    <s v="The aircraft hit Mt. Ungeo at 800 ft. while on approach after two missed landing attempts in high winds and heavy rain. Captain's decision to land in weather that had fallen below minima."/>
    <n v="42"/>
    <n v="0.61818181818181817"/>
    <x v="0"/>
  </r>
  <r>
    <n v="3830"/>
    <x v="3477"/>
    <x v="82"/>
    <x v="3"/>
    <s v="Unknown"/>
    <s v="Serawak, Malaysia"/>
    <s v="Hornbill Airways"/>
    <s v="Unknown"/>
    <s v="Ba Kelalan - Marudi"/>
    <x v="1590"/>
    <s v="9M-AXM"/>
    <s v="SH-1967"/>
    <n v="17"/>
    <n v="15"/>
    <n v="2"/>
    <n v="1"/>
    <n v="1"/>
    <n v="0"/>
    <n v="0"/>
    <s v="The aircraft ran low of fuel while en route and crashed during the subsequent attempted forced landing on open ground in the jungle. The aircraft strayed off course after encountering poor weather conditions."/>
    <n v="16"/>
    <n v="5.8823529411764705E-2"/>
    <x v="2"/>
  </r>
  <r>
    <n v="3831"/>
    <x v="3478"/>
    <x v="82"/>
    <x v="3"/>
    <d v="1899-12-30T13:00:00"/>
    <s v="Devghat, Nepal"/>
    <s v="Everest Air"/>
    <s v="Unknown"/>
    <s v="Kathmandu - Bharatpur"/>
    <x v="1770"/>
    <s v="9N-ACL"/>
    <n v="7029"/>
    <n v="19"/>
    <n v="16"/>
    <n v="3"/>
    <n v="19"/>
    <n v="16"/>
    <n v="3"/>
    <n v="0"/>
    <s v="The aircraft flew into a hillside during a visual approach to Bharatpur. The accident happened in daylight and good weather, however,  the mountains were shrouded in clouds."/>
    <n v="0"/>
    <n v="1"/>
    <x v="1"/>
  </r>
  <r>
    <n v="3832"/>
    <x v="3479"/>
    <x v="82"/>
    <x v="3"/>
    <d v="1899-12-30T16:56:00"/>
    <s v="Leeward Point Airfield, Guantanamo Bay, Cuba"/>
    <s v="American International Airways"/>
    <n v="808"/>
    <s v="Norfolk, VA - Guantanamo, Cuba"/>
    <x v="1379"/>
    <s v="N814CK"/>
    <n v="46127"/>
    <n v="3"/>
    <n v="0"/>
    <n v="3"/>
    <n v="0"/>
    <n v="0"/>
    <n v="0"/>
    <n v="0"/>
    <s v="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
    <n v="3"/>
    <n v="0"/>
    <x v="2"/>
  </r>
  <r>
    <n v="3833"/>
    <x v="3480"/>
    <x v="82"/>
    <x v="3"/>
    <s v="Unknown"/>
    <s v="Near Aldan, Russia"/>
    <s v="Sakha Airlines"/>
    <n v="301"/>
    <s v="Uchur - Aldan"/>
    <x v="1771"/>
    <s v="RA-67656"/>
    <n v="902509"/>
    <n v="24"/>
    <n v="22"/>
    <n v="2"/>
    <n v="24"/>
    <n v="22"/>
    <n v="2"/>
    <n v="0"/>
    <s v="A sudden pitch-up during approach led the crew to go-around.  The pitch-up continued until the plane stalled and crashed.  Improperly loaded baggage shifted the center of gravity beyond the acceptable limit."/>
    <n v="0"/>
    <n v="1"/>
    <x v="1"/>
  </r>
  <r>
    <n v="3834"/>
    <x v="3481"/>
    <x v="82"/>
    <x v="3"/>
    <d v="1899-12-30T10:45:00"/>
    <s v="Khorag, Tajikistan"/>
    <s v="Tajikistan Airlines"/>
    <s v="Unknown"/>
    <s v="Khorag - Dushanbe"/>
    <x v="1146"/>
    <s v="CCCP-87995"/>
    <n v="9541944"/>
    <n v="86"/>
    <n v="81"/>
    <n v="5"/>
    <n v="82"/>
    <n v="77"/>
    <n v="5"/>
    <n v="0"/>
    <s v="While taking off, the aircraft, overloaded by 3 times the number of people the plane was designed for, never got airborne, overran the runway and crashed into the Pyanj river. The crew was coerced into taking off by armed men who commandeered the plane."/>
    <n v="4"/>
    <n v="0.95348837209302328"/>
    <x v="1"/>
  </r>
  <r>
    <n v="3835"/>
    <x v="3482"/>
    <x v="82"/>
    <x v="3"/>
    <d v="1899-12-30T16:43:00"/>
    <s v="Warsaw, Poland"/>
    <s v="Lufthansa"/>
    <s v="LH2904"/>
    <s v="Frankfurt - Warszawa"/>
    <x v="1772"/>
    <s v="D-AIPN"/>
    <n v="105"/>
    <n v="70"/>
    <n v="64"/>
    <n v="6"/>
    <n v="2"/>
    <n v="1"/>
    <n v="1"/>
    <n v="0"/>
    <s v="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quot;Kulbach.&quot;"/>
    <n v="68"/>
    <n v="2.8571428571428571E-2"/>
    <x v="2"/>
  </r>
  <r>
    <n v="3836"/>
    <x v="3483"/>
    <x v="82"/>
    <x v="3"/>
    <d v="1899-12-30T16:25:00"/>
    <s v="Sukhumi, Georgia"/>
    <s v="Transair Georgia Airlines"/>
    <s v="Unknown"/>
    <s v="Sochi - Sukhumi"/>
    <x v="1166"/>
    <s v="CCCP-65893"/>
    <n v="5340120"/>
    <n v="27"/>
    <n v="22"/>
    <n v="5"/>
    <n v="27"/>
    <n v="22"/>
    <n v="5"/>
    <n v="0"/>
    <s v="Crashed into the sea. Shot down with a missile by Abkhazi separatist rebels."/>
    <n v="0"/>
    <n v="1"/>
    <x v="1"/>
  </r>
  <r>
    <n v="3837"/>
    <x v="3484"/>
    <x v="82"/>
    <x v="3"/>
    <d v="1899-12-30T18:30:00"/>
    <s v="Sukhumi, Georgia"/>
    <s v="Transair Georgia Airlines"/>
    <s v="Unknown"/>
    <s v="Tbilisi - Sukhumi"/>
    <x v="1293"/>
    <s v="CCCP-85163"/>
    <s v="76A163"/>
    <n v="132"/>
    <n v="120"/>
    <n v="12"/>
    <n v="108"/>
    <n v="100"/>
    <n v="8"/>
    <n v="0"/>
    <s v="The aircraft was hit by a missile then crash landed on the runway. Terrorist act  by Abkhazian rebels."/>
    <n v="24"/>
    <n v="0.81818181818181823"/>
    <x v="1"/>
  </r>
  <r>
    <n v="3838"/>
    <x v="3485"/>
    <x v="82"/>
    <x v="3"/>
    <s v="Unknown"/>
    <s v="Near Svanetia, Georgia"/>
    <s v="Military - Georgian Air Force"/>
    <s v="Unknown"/>
    <s v="Unknown"/>
    <x v="1481"/>
    <s v="Unknown"/>
    <s v="Unknown"/>
    <n v="60"/>
    <s v="NULL"/>
    <s v="NULL"/>
    <n v="60"/>
    <s v="NULL"/>
    <s v="NULL"/>
    <n v="0"/>
    <s v="No data available"/>
    <n v="0"/>
    <n v="1"/>
    <x v="1"/>
  </r>
  <r>
    <n v="3839"/>
    <x v="3486"/>
    <x v="82"/>
    <x v="3"/>
    <s v="Unknown"/>
    <s v="Franz Josef Glacier, New Zealand"/>
    <s v="Hibiscus Air"/>
    <s v="Unknown"/>
    <s v="Glentanner - Queenstown"/>
    <x v="1773"/>
    <s v="ZK-NOM"/>
    <n v="4"/>
    <n v="9"/>
    <n v="6"/>
    <n v="3"/>
    <n v="9"/>
    <n v="6"/>
    <n v="3"/>
    <n v="0"/>
    <s v="The plane was on a senic flight of the Mt. Cook area and impacted Franz Josef Glacier at 4,500 ft. The aircraft became trapped in a narrow valley and as the pilot attempted to turn around within the valley the aircraft stalled while it was in a steep bank."/>
    <n v="0"/>
    <n v="1"/>
    <x v="1"/>
  </r>
  <r>
    <n v="3840"/>
    <x v="3487"/>
    <x v="82"/>
    <x v="3"/>
    <d v="1899-12-30T13:04:00"/>
    <s v="Fuzhou, China"/>
    <s v="China Eastern Airlines"/>
    <n v="5398"/>
    <s v="Shenzen - Fuzhou"/>
    <x v="1584"/>
    <s v="B-2103"/>
    <n v="49355"/>
    <n v="80"/>
    <n v="71"/>
    <n v="9"/>
    <n v="2"/>
    <n v="2"/>
    <n v="0"/>
    <n v="0"/>
    <s v="While landing during a rainstorm, the aircraft went off the end of the runway, into a swamp, collapsing the landing gear and breaking the fuselage into three sections."/>
    <n v="78"/>
    <n v="2.5000000000000001E-2"/>
    <x v="2"/>
  </r>
  <r>
    <n v="3842"/>
    <x v="3488"/>
    <x v="82"/>
    <x v="3"/>
    <d v="1899-12-30T18:05:00"/>
    <s v="Sandy Lake, Canada"/>
    <s v="Air Manitoba"/>
    <n v="205"/>
    <s v="Winnipeg - Sandy Lake"/>
    <x v="1774"/>
    <s v="C-GQTH"/>
    <n v="1617"/>
    <n v="7"/>
    <n v="4"/>
    <n v="3"/>
    <n v="7"/>
    <n v="4"/>
    <n v="3"/>
    <n v="0"/>
    <s v="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
    <n v="0"/>
    <n v="1"/>
    <x v="1"/>
  </r>
  <r>
    <n v="3843"/>
    <x v="3489"/>
    <x v="82"/>
    <x v="3"/>
    <d v="1899-12-30T14:55:00"/>
    <s v="Urumqi, China"/>
    <s v="China Northern Airlines"/>
    <n v="6901"/>
    <s v="Beijing - Urumqi"/>
    <x v="1584"/>
    <s v="B-2141"/>
    <s v="49849/1772"/>
    <n v="102"/>
    <n v="92"/>
    <n v="10"/>
    <n v="12"/>
    <n v="8"/>
    <n v="4"/>
    <n v="0"/>
    <s v="The plane crashed short of the runway while landing in dense fog, hitting power lines and a wall. The autopilot disconnected during approach and re-engaged with the vertical speed mode at 800ft/min."/>
    <n v="90"/>
    <n v="0.11764705882352941"/>
    <x v="2"/>
  </r>
  <r>
    <n v="3844"/>
    <x v="3490"/>
    <x v="82"/>
    <x v="3"/>
    <d v="1899-12-30T19:07:00"/>
    <s v="Near Kerman, Iran"/>
    <s v="Magistralnye Avialinii"/>
    <s v="Unknown"/>
    <s v="Dubai - Kerman"/>
    <x v="1775"/>
    <s v="RA-82071"/>
    <d v="2022-04-07T00:00:00"/>
    <n v="17"/>
    <n v="14"/>
    <n v="3"/>
    <n v="17"/>
    <n v="14"/>
    <n v="3"/>
    <n v="0"/>
    <s v="Crashed while in a holding pattern and after running out of fuel. The crew did not follow a standard holding pattern."/>
    <n v="0"/>
    <n v="1"/>
    <x v="1"/>
  </r>
  <r>
    <n v="3845"/>
    <x v="3491"/>
    <x v="82"/>
    <x v="3"/>
    <d v="1899-12-30T23:30:00"/>
    <s v="Near Ohrid, Macedonia"/>
    <s v="Aviaimpex (Macedonia)"/>
    <n v="110"/>
    <s v="GenÃ¨va- Skopje"/>
    <x v="1735"/>
    <s v="RA-42390"/>
    <n v="4016557"/>
    <n v="116"/>
    <n v="108"/>
    <n v="8"/>
    <n v="116"/>
    <n v="108"/>
    <n v="8"/>
    <n v="0"/>
    <s v="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
    <n v="0"/>
    <n v="1"/>
    <x v="1"/>
  </r>
  <r>
    <n v="3846"/>
    <x v="3492"/>
    <x v="82"/>
    <x v="3"/>
    <d v="1899-12-30T19:50:00"/>
    <s v="Hibbing, Minnesota"/>
    <s v="Express Airlines - Northwest Airlink"/>
    <n v="5719"/>
    <s v="Minneapolis/St. Paul - Hibbing"/>
    <x v="1776"/>
    <s v="N334PX"/>
    <n v="706"/>
    <n v="18"/>
    <n v="16"/>
    <n v="2"/>
    <n v="18"/>
    <n v="16"/>
    <n v="2"/>
    <n v="0"/>
    <s v="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
    <n v="0"/>
    <n v="1"/>
    <x v="1"/>
  </r>
  <r>
    <n v="3847"/>
    <x v="3493"/>
    <x v="82"/>
    <x v="3"/>
    <s v="Unknown"/>
    <s v="Tuktoyaktuk, NWT, Canada"/>
    <s v="Arctic Wings &amp; Rotors"/>
    <s v="Unknown"/>
    <s v="Tuktoyaktuk - Inuvik"/>
    <x v="1777"/>
    <s v="C-GMOP"/>
    <n v="398"/>
    <n v="7"/>
    <n v="6"/>
    <n v="1"/>
    <n v="7"/>
    <n v="6"/>
    <n v="1"/>
    <n v="0"/>
    <s v="Four minutes after taking off the pilot reported he was having engine problems and was returning. The aircraft subsequently crashed onto a frozen lake, 7.7nm from the airfield in darkness."/>
    <n v="0"/>
    <n v="1"/>
    <x v="1"/>
  </r>
  <r>
    <n v="3848"/>
    <x v="3494"/>
    <x v="82"/>
    <x v="3"/>
    <s v="Unknown"/>
    <s v="Off Dakar, Senegal"/>
    <s v="Air Senegal / Gambia Airways"/>
    <s v="Unknown"/>
    <s v="Unknown"/>
    <x v="1778"/>
    <s v="6V-ADE / C5-GAA"/>
    <s v="393 / 2030"/>
    <n v="3"/>
    <n v="2"/>
    <n v="1"/>
    <n v="3"/>
    <n v="2"/>
    <n v="1"/>
    <n v="0"/>
    <s v="Midair collision. The Twin Otter, which was descending inbound to Dakar, collided with a Gambia Airways aircraft which had just taken off. The Twin Otter crashed into the sea. Failure to maintain assigned altitude. Three killed aboard the Twin Otter. The YS-11 was able to land safely."/>
    <n v="0"/>
    <n v="1"/>
    <x v="1"/>
  </r>
  <r>
    <n v="3849"/>
    <x v="3495"/>
    <x v="82"/>
    <x v="3"/>
    <d v="1899-12-30T09:20:00"/>
    <s v="Phonesavanh, Laos"/>
    <s v="Lao Aviation"/>
    <s v="Unknown"/>
    <s v="Vientiane - Phonesavahn"/>
    <x v="1779"/>
    <s v="RDPL-34117"/>
    <n v="42"/>
    <n v="18"/>
    <n v="16"/>
    <n v="2"/>
    <n v="18"/>
    <n v="16"/>
    <n v="2"/>
    <n v="0"/>
    <s v="Crashed on approach to Phongsavanh Airport after striking trees in heavy fog."/>
    <n v="0"/>
    <n v="1"/>
    <x v="1"/>
  </r>
  <r>
    <n v="3850"/>
    <x v="3496"/>
    <x v="82"/>
    <x v="3"/>
    <d v="1899-12-30T14:00:00"/>
    <s v="Near Naga, Philippines"/>
    <s v="Military - Philippine Air Force"/>
    <s v="Unknown"/>
    <s v="Manila - Naga"/>
    <x v="1262"/>
    <n v="4761"/>
    <n v="4761"/>
    <n v="29"/>
    <n v="23"/>
    <n v="6"/>
    <n v="29"/>
    <n v="23"/>
    <n v="6"/>
    <n v="0"/>
    <s v="Flew into the side of Mt. Manase at 2,000 ft., 21nm from the airport  during a VOR approach to Naga. The pilot descended too low in heavy rain and zero visibility."/>
    <n v="0"/>
    <n v="1"/>
    <x v="1"/>
  </r>
  <r>
    <n v="3851"/>
    <x v="3497"/>
    <x v="82"/>
    <x v="3"/>
    <d v="1899-12-30T20:57:00"/>
    <s v="Gyumri, Armenia"/>
    <s v="Kuban Airlines"/>
    <n v="5719"/>
    <s v="Krasnadar - Gyumri"/>
    <x v="1195"/>
    <s v="RA-26141"/>
    <n v="12903"/>
    <n v="36"/>
    <n v="31"/>
    <n v="5"/>
    <n v="36"/>
    <n v="31"/>
    <n v="5"/>
    <n v="0"/>
    <s v="The aircraft stalled and crashed in fog when the tail struck the runway as the pilot attempted a go-around as it landed at Gyumri."/>
    <n v="0"/>
    <n v="1"/>
    <x v="1"/>
  </r>
  <r>
    <n v="3852"/>
    <x v="3498"/>
    <x v="83"/>
    <x v="3"/>
    <d v="1899-12-30T12:08:00"/>
    <s v="Near Mamony, Siberia, Russia"/>
    <s v="Baikal Air"/>
    <n v="130"/>
    <s v="Irkutsk - Moscow"/>
    <x v="1780"/>
    <s v="RA-85656"/>
    <s v="89A801"/>
    <n v="124"/>
    <n v="115"/>
    <n v="9"/>
    <n v="124"/>
    <n v="115"/>
    <n v="9"/>
    <n v="1"/>
    <s v="The plane crashed during takeoff following a fire in the No. 2 engine and subsequent loss of the two remaining engines. Faulty air starter unit. Crew took off ignoring the &quot;starter warning light&quot; thinking it was false.  The crew underestimated the severity of the situation due to shortcomings in the operational documentation.  Breakup of the No.2 engine starter, damaging fuel and oil lines and causing a fire."/>
    <n v="0"/>
    <n v="1"/>
    <x v="1"/>
  </r>
  <r>
    <n v="3853"/>
    <x v="3499"/>
    <x v="83"/>
    <x v="3"/>
    <d v="1899-12-30T23:21:00"/>
    <s v="Columbus, Ohio"/>
    <s v="Atlantic Coast Airlines (United Express)"/>
    <n v="6291"/>
    <s v="Washington D.C. - Columbus, OH"/>
    <x v="1781"/>
    <s v="N304UE"/>
    <n v="41016"/>
    <n v="8"/>
    <n v="3"/>
    <n v="5"/>
    <n v="5"/>
    <n v="2"/>
    <n v="3"/>
    <n v="0"/>
    <s v="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quot;glass cockpit&quot; automated aircraft."/>
    <n v="3"/>
    <n v="0.625"/>
    <x v="0"/>
  </r>
  <r>
    <n v="3854"/>
    <x v="3500"/>
    <x v="83"/>
    <x v="3"/>
    <d v="1899-12-30T11:16:00"/>
    <s v="Nalchik, Russia"/>
    <s v="North Western Air Transport"/>
    <s v="SP9045"/>
    <s v="Volgograd - Nalchik"/>
    <x v="1247"/>
    <s v="RA-11118"/>
    <n v="13480002"/>
    <n v="13"/>
    <n v="7"/>
    <n v="6"/>
    <n v="13"/>
    <n v="7"/>
    <n v="6"/>
    <n v="0"/>
    <s v="While on approach the nose pitched up, the aircraft stalled and crashed short of the runway. Icing of the horizontal stabilizer."/>
    <n v="0"/>
    <n v="1"/>
    <x v="1"/>
  </r>
  <r>
    <n v="3855"/>
    <x v="3501"/>
    <x v="83"/>
    <x v="3"/>
    <d v="1899-12-30T19:46:00"/>
    <s v="East Midlands, England"/>
    <s v="British World Airways"/>
    <n v="4272"/>
    <s v="Edinburgh - Coventry"/>
    <x v="1782"/>
    <s v="G-OHOT"/>
    <n v="349"/>
    <n v="2"/>
    <n v="0"/>
    <n v="2"/>
    <n v="1"/>
    <n v="0"/>
    <n v="1"/>
    <n v="0"/>
    <s v="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
    <n v="1"/>
    <n v="0.5"/>
    <x v="0"/>
  </r>
  <r>
    <n v="3856"/>
    <x v="3501"/>
    <x v="83"/>
    <x v="3"/>
    <s v="Unknown"/>
    <s v="Near Carpish, Peru"/>
    <s v="Expresso AÃ©reo"/>
    <s v="Unknown"/>
    <s v="Jananjui - Tocache - Tingo Maria - Lima"/>
    <x v="1146"/>
    <s v="OB-1559"/>
    <n v="9640950"/>
    <n v="31"/>
    <n v="26"/>
    <n v="5"/>
    <n v="31"/>
    <n v="26"/>
    <n v="5"/>
    <n v="0"/>
    <s v="The plane struck Cerro Carpich at 4,000 ft., 6 minutes after leaving the airport at Tingo Maria."/>
    <n v="0"/>
    <n v="1"/>
    <x v="1"/>
  </r>
  <r>
    <n v="3857"/>
    <x v="3502"/>
    <x v="83"/>
    <x v="3"/>
    <d v="1899-12-30T17:59:00"/>
    <s v="New York, New York"/>
    <s v="Continental Airlines"/>
    <n v="795"/>
    <s v="New York City - Denver"/>
    <x v="1584"/>
    <s v="N18835"/>
    <n v="49439"/>
    <n v="116"/>
    <n v="110"/>
    <n v="6"/>
    <n v="0"/>
    <n v="0"/>
    <n v="0"/>
    <n v="0"/>
    <s v="The aircraft overran the runway and came to rest at the edge of the east river, after an aborted takeoff. Failure to turn on the pilot/static heat system resulting in erroneous air speed indication. Though heavily damaged, the plane was repaired and put back into service."/>
    <n v="116"/>
    <n v="0"/>
    <x v="2"/>
  </r>
  <r>
    <n v="3858"/>
    <x v="3503"/>
    <x v="83"/>
    <x v="3"/>
    <d v="1899-12-30T14:54:00"/>
    <s v="New Delhi, India"/>
    <s v="Sahara"/>
    <s v="Unknown"/>
    <s v="Training"/>
    <x v="1783"/>
    <s v="VT-SIA"/>
    <s v="21763/571"/>
    <n v="4"/>
    <n v="0"/>
    <n v="4"/>
    <n v="4"/>
    <n v="0"/>
    <n v="4"/>
    <n v="0"/>
    <s v="Crashed during touch-and-go exercises. Application of wrong rudder by trainee pilot  during engine failure exercise. Captain did not guard/block the rudder control and give clear commands as instructor so as to obviate the application of wrong rudder control by the trainee pilot."/>
    <n v="0"/>
    <n v="1"/>
    <x v="1"/>
  </r>
  <r>
    <n v="3859"/>
    <x v="3504"/>
    <x v="83"/>
    <x v="3"/>
    <s v="Unknown"/>
    <s v="Off Malindi, Kenya"/>
    <s v="Military - U.S. Air Force"/>
    <s v="Unknown"/>
    <s v="Mombasa - Mogadishu"/>
    <x v="1444"/>
    <s v="69-6576"/>
    <n v="4351"/>
    <n v="8"/>
    <n v="0"/>
    <n v="8"/>
    <n v="8"/>
    <n v="0"/>
    <n v="8"/>
    <n v="0"/>
    <s v="Crashed into sea after a shell exploded in one of the gun barrells."/>
    <n v="0"/>
    <n v="1"/>
    <x v="1"/>
  </r>
  <r>
    <n v="3860"/>
    <x v="3505"/>
    <x v="83"/>
    <x v="3"/>
    <d v="1899-12-30T22:30:00"/>
    <s v="Near Nag"/>
    <s v="Military - Iranian Air Force"/>
    <s v="-"/>
    <s v="Tehran - Moscow"/>
    <x v="1429"/>
    <d v="8521-05-01T00:00:00"/>
    <n v="4432"/>
    <n v="32"/>
    <n v="19"/>
    <n v="13"/>
    <n v="32"/>
    <n v="19"/>
    <n v="13"/>
    <n v="0"/>
    <s v="Shot down with a missile by Armenian forces while en route."/>
    <n v="0"/>
    <n v="1"/>
    <x v="1"/>
  </r>
  <r>
    <n v="3861"/>
    <x v="3506"/>
    <x v="83"/>
    <x v="3"/>
    <d v="1899-12-30T11:43:00"/>
    <s v="Key West, Florida"/>
    <s v="Chalk's International Airlines"/>
    <s v="Unknown"/>
    <s v="Key West Harbor - Key West"/>
    <x v="1784"/>
    <s v="N150FB"/>
    <s v="J-51"/>
    <n v="2"/>
    <n v="0"/>
    <n v="2"/>
    <n v="2"/>
    <n v="0"/>
    <n v="2"/>
    <n v="0"/>
    <s v="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
    <n v="0"/>
    <n v="1"/>
    <x v="1"/>
  </r>
  <r>
    <n v="3862"/>
    <x v="3506"/>
    <x v="83"/>
    <x v="3"/>
    <d v="1899-12-30T01:56:00"/>
    <s v="Spokane, Washington"/>
    <s v="Salair"/>
    <s v="Unknown"/>
    <s v="Spokane - Portland"/>
    <x v="507"/>
    <s v="N3433Y"/>
    <n v="43089"/>
    <n v="2"/>
    <n v="0"/>
    <n v="2"/>
    <n v="2"/>
    <n v="0"/>
    <n v="2"/>
    <n v="0"/>
    <s v="The cargo plane lost a right engine during takeoff. The plane tried to return to the airport but crashed. The failure of the pilot-in-command to maintain airspeed. Factors to the accident were: cylinder fatigue, dark night and stall encountered."/>
    <n v="0"/>
    <n v="1"/>
    <x v="1"/>
  </r>
  <r>
    <n v="3863"/>
    <x v="3507"/>
    <x v="83"/>
    <x v="3"/>
    <d v="1899-12-30T17:54:00"/>
    <s v="Weipa, Australia"/>
    <s v="Aurukun Air Services"/>
    <s v="Unknown"/>
    <s v="Weipa - Aurukun"/>
    <x v="1785"/>
    <s v="VH-JUU"/>
    <n v="632"/>
    <n v="6"/>
    <n v="5"/>
    <n v="1"/>
    <n v="6"/>
    <n v="5"/>
    <n v="1"/>
    <n v="0"/>
    <s v="Lost an engine while taking off and then lost a second engine and crashed 1,300 ft. beyond the runway."/>
    <n v="0"/>
    <n v="1"/>
    <x v="1"/>
  </r>
  <r>
    <n v="3864"/>
    <x v="3508"/>
    <x v="83"/>
    <x v="3"/>
    <d v="1899-12-30T00:57:00"/>
    <s v="Near Mezhdurechensk, Russia"/>
    <s v="Aeroflot Russian International Airways"/>
    <n v="593"/>
    <s v="Moscow - Hong Kong"/>
    <x v="1734"/>
    <s v="F-OGQS"/>
    <n v="596"/>
    <n v="75"/>
    <n v="63"/>
    <n v="12"/>
    <n v="75"/>
    <n v="63"/>
    <n v="12"/>
    <n v="0"/>
    <s v="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
    <n v="0"/>
    <n v="1"/>
    <x v="1"/>
  </r>
  <r>
    <n v="3865"/>
    <x v="3509"/>
    <x v="83"/>
    <x v="3"/>
    <d v="1899-12-30T16:36:00"/>
    <s v="Lamoille, Nevada"/>
    <s v="Air Taxi - El Aero Services Inc."/>
    <s v="Unknown"/>
    <s v="Unknown"/>
    <x v="1752"/>
    <s v="N27736"/>
    <n v="2773"/>
    <n v="5"/>
    <n v="4"/>
    <n v="1"/>
    <n v="5"/>
    <n v="4"/>
    <n v="1"/>
    <n v="0"/>
    <s v="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
    <n v="0"/>
    <n v="1"/>
    <x v="1"/>
  </r>
  <r>
    <n v="3866"/>
    <x v="3510"/>
    <x v="83"/>
    <x v="3"/>
    <d v="1899-12-30T14:46:00"/>
    <s v="Amsterdam, Netherlands"/>
    <s v="KLM Cityhopper"/>
    <n v="433"/>
    <s v="Amsterdam - Cardiff"/>
    <x v="1786"/>
    <s v="PH-KSH"/>
    <n v="195"/>
    <n v="24"/>
    <n v="21"/>
    <n v="3"/>
    <n v="3"/>
    <n v="2"/>
    <n v="1"/>
    <n v="0"/>
    <s v="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
    <n v="21"/>
    <n v="0.125"/>
    <x v="2"/>
  </r>
  <r>
    <n v="3867"/>
    <x v="3511"/>
    <x v="83"/>
    <x v="3"/>
    <d v="1899-12-30T20:20:00"/>
    <s v="Kigali, Rwanda"/>
    <s v="Rwanda Government"/>
    <s v="Unknown"/>
    <s v="Tanzania - Kigali, Rwanda"/>
    <x v="1787"/>
    <s v="9XR-NN"/>
    <n v="6"/>
    <n v="12"/>
    <n v="9"/>
    <n v="3"/>
    <n v="12"/>
    <n v="9"/>
    <n v="3"/>
    <n v="0"/>
    <s v="Shot down by a missile. President of Burundi, Cyprien Ntaryamira and president of Rwanda, Juvenal Habyarimana were killed."/>
    <n v="0"/>
    <n v="1"/>
    <x v="1"/>
  </r>
  <r>
    <n v="3868"/>
    <x v="3511"/>
    <x v="83"/>
    <x v="3"/>
    <s v="Unknown"/>
    <s v="Ambato, Ecuador"/>
    <s v="TAME"/>
    <s v="Unknown"/>
    <s v="Taura - Latacunga"/>
    <x v="1220"/>
    <s v="FAE450"/>
    <n v="436"/>
    <n v="17"/>
    <n v="14"/>
    <n v="3"/>
    <n v="17"/>
    <n v="14"/>
    <n v="3"/>
    <n v="0"/>
    <s v="Struck Mt. Lozan, at 13,400 ft. which was obscured by clouds 47 minutes after taking off. Controlled flight into terrain."/>
    <n v="0"/>
    <n v="1"/>
    <x v="1"/>
  </r>
  <r>
    <n v="3869"/>
    <x v="3512"/>
    <x v="83"/>
    <x v="3"/>
    <d v="1899-12-30T09:25:00"/>
    <s v="Northern Iraq"/>
    <s v="Military - U.S. Army / Military U.S. Army"/>
    <s v="Unknown"/>
    <s v="Unknown"/>
    <x v="1788"/>
    <s v="8726000/8826060"/>
    <s v="Unknown"/>
    <n v="26"/>
    <s v="NULL"/>
    <s v="NULL"/>
    <n v="26"/>
    <s v="NULL"/>
    <s v="NULL"/>
    <n v="0"/>
    <s v="Shot down by friendly fire during the Gulf War. Thirteen killed on each helicopter."/>
    <n v="0"/>
    <n v="1"/>
    <x v="1"/>
  </r>
  <r>
    <n v="3870"/>
    <x v="3513"/>
    <x v="83"/>
    <x v="3"/>
    <s v="Unknown"/>
    <s v="Nanga Pinoh, Indonesia"/>
    <s v="Dirgantara Air Services"/>
    <s v="Unknown"/>
    <s v="Pontianak - Nanga Pinoh"/>
    <x v="1789"/>
    <s v="PK-ZAA"/>
    <n v="730"/>
    <n v="11"/>
    <n v="10"/>
    <n v="1"/>
    <n v="11"/>
    <n v="10"/>
    <n v="1"/>
    <n v="0"/>
    <s v="Crashed into Mt. Saran 30 minutes before it was scheduled to land in poor weather condtions."/>
    <n v="0"/>
    <n v="1"/>
    <x v="1"/>
  </r>
  <r>
    <n v="3871"/>
    <x v="3514"/>
    <x v="83"/>
    <x v="3"/>
    <d v="1899-12-30T20:16:00"/>
    <s v="Near Komaki, Aichi, Japan"/>
    <s v="China Airlines (Taiwan)"/>
    <n v="140"/>
    <s v="Taipei - Nagoya"/>
    <x v="1790"/>
    <s v="B-1816"/>
    <n v="580"/>
    <n v="271"/>
    <n v="256"/>
    <n v="15"/>
    <n v="264"/>
    <n v="249"/>
    <n v="15"/>
    <n v="0"/>
    <s v="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
    <n v="7"/>
    <n v="0.97416974169741699"/>
    <x v="1"/>
  </r>
  <r>
    <n v="3872"/>
    <x v="3515"/>
    <x v="83"/>
    <x v="3"/>
    <s v="Unknown"/>
    <s v="Sao Gabriel, Brazil"/>
    <s v="Rico Taxi Aero"/>
    <s v="Unknown"/>
    <s v="Sao Paulo - Sao Gabriel"/>
    <x v="1791"/>
    <s v="PT-GJW"/>
    <s v="110-072"/>
    <n v="16"/>
    <n v="14"/>
    <n v="2"/>
    <n v="8"/>
    <n v="6"/>
    <n v="2"/>
    <n v="0"/>
    <s v="The aircraft was destroyed when it undershot the runway during a visual approach to Sao Gabriel and stuck trees."/>
    <n v="8"/>
    <n v="0.5"/>
    <x v="0"/>
  </r>
  <r>
    <n v="3873"/>
    <x v="3516"/>
    <x v="83"/>
    <x v="3"/>
    <d v="1899-12-30T10:55:00"/>
    <s v="Loma Linda, Colombia"/>
    <s v="Arall"/>
    <s v="Unknown"/>
    <s v="San Jose - Villavicencio"/>
    <x v="1792"/>
    <s v="HK-2890"/>
    <n v="2111"/>
    <n v="11"/>
    <n v="9"/>
    <n v="2"/>
    <n v="4"/>
    <n v="3"/>
    <n v="1"/>
    <n v="0"/>
    <s v="Crashed while making an emergency landing following engine trouble."/>
    <n v="7"/>
    <n v="0.36363636363636365"/>
    <x v="0"/>
  </r>
  <r>
    <n v="3874"/>
    <x v="3517"/>
    <x v="83"/>
    <x v="3"/>
    <d v="1899-12-30T07:38:00"/>
    <s v="Near Villavicencio, Colombia"/>
    <s v="Transoriente Colombia"/>
    <s v="Unknown"/>
    <s v="Villavicencio - La Primavera - Puerto Carreno"/>
    <x v="475"/>
    <s v="HK-2213"/>
    <n v="11752"/>
    <n v="29"/>
    <n v="26"/>
    <n v="3"/>
    <n v="7"/>
    <n v="4"/>
    <n v="3"/>
    <n v="0"/>
    <s v="Crashed shortly after taking off after double engine failure."/>
    <n v="22"/>
    <n v="0.2413793103448276"/>
    <x v="2"/>
  </r>
  <r>
    <n v="3875"/>
    <x v="3518"/>
    <x v="83"/>
    <x v="3"/>
    <d v="1899-12-30T18:00:00"/>
    <s v="Near Campbeltown, Scotland"/>
    <s v="Military - Royal Air Force"/>
    <s v="Unknown"/>
    <s v="Aldergrove AB - Fort George"/>
    <x v="1793"/>
    <s v="ZD576"/>
    <s v="MA036"/>
    <n v="29"/>
    <n v="25"/>
    <n v="4"/>
    <n v="29"/>
    <n v="25"/>
    <n v="4"/>
    <n v="0"/>
    <s v="The helicopter crashed into The Mountain of the Stone Slab at an elevation of 800 ft. Pilot error in proceeding towards high ground in heavy fog below a safe altitude."/>
    <n v="0"/>
    <n v="1"/>
    <x v="1"/>
  </r>
  <r>
    <n v="3876"/>
    <x v="3519"/>
    <x v="83"/>
    <x v="3"/>
    <d v="1899-12-30T08:20:00"/>
    <s v="Near Xi'an, China"/>
    <s v="China Northwest Airlines"/>
    <n v="2303"/>
    <s v="Xian - Guangzhou"/>
    <x v="1780"/>
    <s v="B-2610"/>
    <s v="86A-740"/>
    <n v="160"/>
    <n v="146"/>
    <n v="14"/>
    <n v="160"/>
    <n v="146"/>
    <n v="14"/>
    <n v="0"/>
    <s v="The plane broke-up in flight 10 minutes after taking off. Auto-pilot induced oscillations caused the aircraft to shake violently. The autopilot yaw-channel was accidentally connected to the bank control and the bank-channel to the yaw controls."/>
    <n v="0"/>
    <n v="1"/>
    <x v="1"/>
  </r>
  <r>
    <n v="3877"/>
    <x v="3520"/>
    <x v="83"/>
    <x v="3"/>
    <d v="1899-12-30T18:50:00"/>
    <s v="Near Uruapan, Mexico"/>
    <s v="Aerolineas Cuahonte"/>
    <s v="Unknown"/>
    <s v="Lazaro - Cardenas - Michoacan"/>
    <x v="1509"/>
    <s v="XA-SLU"/>
    <s v="TC-401"/>
    <n v="9"/>
    <n v="7"/>
    <n v="2"/>
    <n v="9"/>
    <n v="7"/>
    <n v="2"/>
    <n v="0"/>
    <s v="The aircraft flew into high ground during a go-around. The accident happened in darkness and in poor weather with rain and heavy clouds. The accident was attributed to the pilot's failure to follow the established go-around procedure correctly."/>
    <n v="0"/>
    <n v="1"/>
    <x v="1"/>
  </r>
  <r>
    <n v="3878"/>
    <x v="3521"/>
    <x v="83"/>
    <x v="3"/>
    <d v="1899-12-30T12:20:00"/>
    <s v="Mt.  Kalora, Indonesia"/>
    <s v="Merpati Nusantara Airlines"/>
    <s v="Unknown"/>
    <s v="Balikpapan - Palu"/>
    <x v="1794"/>
    <s v="PK-MFI"/>
    <n v="10597"/>
    <n v="12"/>
    <n v="7"/>
    <n v="5"/>
    <n v="12"/>
    <n v="7"/>
    <n v="5"/>
    <n v="0"/>
    <s v="The aircraft struck Mt. Kalora at 2,300 feet while on a visual approach to Palu. The accident happened in generally good weather but with reduced visibility in clouds and haze at the mountain."/>
    <n v="0"/>
    <n v="1"/>
    <x v="1"/>
  </r>
  <r>
    <n v="3879"/>
    <x v="3521"/>
    <x v="83"/>
    <x v="3"/>
    <d v="1899-12-30T06:25:00"/>
    <s v="Chantilly, Virginia"/>
    <s v="TAESA"/>
    <s v="Unknown"/>
    <s v="Mexico City - Washington D.C."/>
    <x v="1795"/>
    <s v="XA-BBA"/>
    <s v="25D223"/>
    <n v="12"/>
    <n v="10"/>
    <n v="2"/>
    <n v="12"/>
    <n v="10"/>
    <n v="2"/>
    <n v="0"/>
    <s v="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
    <n v="0"/>
    <n v="1"/>
    <x v="1"/>
  </r>
  <r>
    <n v="3880"/>
    <x v="3522"/>
    <x v="83"/>
    <x v="3"/>
    <d v="1899-12-30T19:35:00"/>
    <s v="Abidjan, Ivory Coast"/>
    <s v="Air Ivorie"/>
    <n v="777"/>
    <s v="San Pedro - Abidjan"/>
    <x v="1139"/>
    <s v="TU-TIP"/>
    <n v="10577"/>
    <n v="17"/>
    <n v="14"/>
    <n v="3"/>
    <n v="17"/>
    <n v="14"/>
    <n v="3"/>
    <n v="0"/>
    <s v="Crashed on approach 3 miles short of the runway into a wooded area with flaps and landing gear still retracted."/>
    <n v="0"/>
    <n v="1"/>
    <x v="1"/>
  </r>
  <r>
    <n v="3881"/>
    <x v="3523"/>
    <x v="83"/>
    <x v="3"/>
    <s v="Unknown"/>
    <s v="Near Logar, Afghanistan"/>
    <s v="Military - Dostum-Galboddin Militia"/>
    <s v="Unknown"/>
    <s v="Unknown"/>
    <x v="1625"/>
    <s v="Unknown"/>
    <s v="Unknown"/>
    <n v="70"/>
    <s v="NULL"/>
    <s v="NULL"/>
    <n v="50"/>
    <s v="NULL"/>
    <s v="NULL"/>
    <n v="0"/>
    <s v="Shot down by Afghan troops."/>
    <n v="20"/>
    <n v="0.7142857142857143"/>
    <x v="1"/>
  </r>
  <r>
    <n v="3882"/>
    <x v="3524"/>
    <x v="83"/>
    <x v="3"/>
    <d v="1899-12-30T17:41:00"/>
    <s v="Toulouse-Blagnac, France"/>
    <s v="Airbus Industrie"/>
    <n v="129"/>
    <s v="Toulouse - Toulouse"/>
    <x v="1796"/>
    <s v="F-WWKH"/>
    <n v="42"/>
    <n v="7"/>
    <n v="4"/>
    <n v="3"/>
    <n v="7"/>
    <n v="4"/>
    <n v="3"/>
    <n v="0"/>
    <s v="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
    <n v="0"/>
    <n v="1"/>
    <x v="1"/>
  </r>
  <r>
    <n v="3883"/>
    <x v="3525"/>
    <x v="83"/>
    <x v="3"/>
    <d v="1899-12-30T08:30:00"/>
    <s v="Near Tidjika, Mauritania"/>
    <s v="Air Mauritanie"/>
    <n v="625"/>
    <s v="Nouakchott - Tidjikja"/>
    <x v="1453"/>
    <s v="5T-CLF"/>
    <n v="11092"/>
    <n v="93"/>
    <n v="89"/>
    <n v="4"/>
    <n v="80"/>
    <n v="76"/>
    <n v="4"/>
    <n v="0"/>
    <s v="The plane crash landed on the runway in adverse weather, after a second landing attempt, breaking the landing gear and sliding off the side of the runway."/>
    <n v="13"/>
    <n v="0.86021505376344087"/>
    <x v="1"/>
  </r>
  <r>
    <n v="3884"/>
    <x v="3526"/>
    <x v="83"/>
    <x v="3"/>
    <d v="1899-12-30T18:43:00"/>
    <s v="Charlotte, North Carolina"/>
    <s v="USAir"/>
    <n v="1016"/>
    <s v="Columbia, SC - Charlotte, NC"/>
    <x v="1797"/>
    <s v="N954VJ"/>
    <n v="47590"/>
    <n v="57"/>
    <n v="52"/>
    <n v="5"/>
    <n v="37"/>
    <n v="37"/>
    <n v="0"/>
    <n v="0"/>
    <s v="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
    <n v="20"/>
    <n v="0.64912280701754388"/>
    <x v="0"/>
  </r>
  <r>
    <n v="3885"/>
    <x v="3527"/>
    <x v="83"/>
    <x v="3"/>
    <d v="1899-12-30T15:36:00"/>
    <s v="Hanalei, Hawaii"/>
    <s v="Air Taxi - Papillion Helicopters Ltd."/>
    <s v="Unknown"/>
    <s v="Lihue, HI - Lihue, HI"/>
    <x v="1798"/>
    <s v="N151BH"/>
    <s v="Unknown"/>
    <n v="7"/>
    <n v="6"/>
    <n v="1"/>
    <n v="3"/>
    <n v="3"/>
    <n v="0"/>
    <n v="0"/>
    <s v="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
    <n v="4"/>
    <n v="0.42857142857142855"/>
    <x v="0"/>
  </r>
  <r>
    <n v="3886"/>
    <x v="3528"/>
    <x v="83"/>
    <x v="3"/>
    <d v="1899-12-30T21:45:00"/>
    <s v="Near Fort de France, Martinique"/>
    <s v="Air Martinique"/>
    <s v="Unknown"/>
    <s v="Bridgetown - Fort de France"/>
    <x v="1799"/>
    <s v="8P-TAD"/>
    <n v="2152"/>
    <n v="6"/>
    <n v="5"/>
    <n v="1"/>
    <n v="6"/>
    <n v="5"/>
    <n v="1"/>
    <n v="0"/>
    <s v="Crashed into high ground while on approach to land."/>
    <n v="0"/>
    <n v="1"/>
    <x v="1"/>
  </r>
  <r>
    <n v="3887"/>
    <x v="3528"/>
    <x v="83"/>
    <x v="3"/>
    <s v="Unknown"/>
    <s v="Boma, Democratic Republic Congo"/>
    <s v="Sankuru Air Service"/>
    <s v="Unknown"/>
    <s v="Training"/>
    <x v="1800"/>
    <s v="RA-87256"/>
    <n v="9311326"/>
    <n v="9"/>
    <n v="5"/>
    <n v="4"/>
    <n v="5"/>
    <n v="3"/>
    <n v="2"/>
    <n v="0"/>
    <s v="Ran off the end of the runway and crashed. The crew used the normal and emergency brake systems at the same time which resulted in the aircraft having no brakes at all."/>
    <n v="4"/>
    <n v="0.55555555555555558"/>
    <x v="0"/>
  </r>
  <r>
    <n v="3888"/>
    <x v="3529"/>
    <x v="83"/>
    <x v="3"/>
    <d v="1899-12-30T16:30:00"/>
    <s v="Colon, Panama"/>
    <s v="Alas Chiricanas"/>
    <s v="Unknown"/>
    <s v="Colon - Panama City"/>
    <x v="1449"/>
    <s v="HP-1202AC"/>
    <s v="110-375"/>
    <n v="21"/>
    <n v="18"/>
    <n v="3"/>
    <n v="21"/>
    <n v="18"/>
    <n v="3"/>
    <n v="0"/>
    <s v="Crashed on a wooded hillside shortly after taking off from Colon after a bomb exploded aboard."/>
    <n v="0"/>
    <n v="1"/>
    <x v="1"/>
  </r>
  <r>
    <n v="3889"/>
    <x v="3530"/>
    <x v="83"/>
    <x v="3"/>
    <s v="Unknown"/>
    <s v="East Kalimantan, Indonesia"/>
    <s v="Airfast Services"/>
    <s v="Unknown"/>
    <s v="Kilo Lima - Kelawit"/>
    <x v="1801"/>
    <s v="PK-OBT"/>
    <s v="58-1098"/>
    <n v="18"/>
    <n v="16"/>
    <n v="2"/>
    <n v="18"/>
    <n v="16"/>
    <n v="2"/>
    <n v="0"/>
    <s v="The helicopter crashed 5 minutes after taking off from Kilo Lima."/>
    <n v="0"/>
    <n v="1"/>
    <x v="1"/>
  </r>
  <r>
    <n v="3890"/>
    <x v="3531"/>
    <x v="83"/>
    <x v="3"/>
    <d v="1899-12-30T08:50:00"/>
    <s v="Near Boda, Russia"/>
    <s v="Military - Russian Air Force"/>
    <s v="Unknown"/>
    <s v="Dzhida - Boda"/>
    <x v="942"/>
    <s v="Unknown"/>
    <s v="Unknown"/>
    <n v="47"/>
    <n v="41"/>
    <n v="6"/>
    <n v="47"/>
    <n v="41"/>
    <n v="6"/>
    <n v="0"/>
    <s v="Crashed and burned while attempting to land with an engine fire in poor visibility and heavy rain."/>
    <n v="0"/>
    <n v="1"/>
    <x v="1"/>
  </r>
  <r>
    <n v="3891"/>
    <x v="3532"/>
    <x v="83"/>
    <x v="3"/>
    <d v="1899-12-30T13:55:00"/>
    <s v="Kodiak, Alaska"/>
    <s v="Air Taxi - Uyak Air Services Inc."/>
    <s v="Unknown"/>
    <s v="Sightseeing"/>
    <x v="1372"/>
    <s v="N126UA"/>
    <s v="Unknown"/>
    <n v="7"/>
    <n v="6"/>
    <n v="1"/>
    <n v="6"/>
    <n v="5"/>
    <n v="1"/>
    <n v="0"/>
    <s v="Continued VFR flight into IMC."/>
    <n v="1"/>
    <n v="0.8571428571428571"/>
    <x v="1"/>
  </r>
  <r>
    <n v="3892"/>
    <x v="3533"/>
    <x v="83"/>
    <x v="3"/>
    <d v="1899-12-30T11:22:00"/>
    <s v="Cheju, South Korea"/>
    <s v="Korean Airlines"/>
    <n v="2033"/>
    <s v="Seoul - Cheju"/>
    <x v="1790"/>
    <s v="HL-7296"/>
    <n v="583"/>
    <n v="160"/>
    <n v="152"/>
    <n v="8"/>
    <n v="0"/>
    <n v="0"/>
    <n v="0"/>
    <n v="0"/>
    <s v="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
    <n v="160"/>
    <n v="0"/>
    <x v="2"/>
  </r>
  <r>
    <n v="3893"/>
    <x v="3534"/>
    <x v="83"/>
    <x v="3"/>
    <d v="1899-12-30T17:00:00"/>
    <s v="Alsworth, Alaska"/>
    <s v="Air Taxi - Talon Air Services Inc."/>
    <s v="Unknown"/>
    <s v="Caribou Lake, AK - Nikiski, AK"/>
    <x v="1372"/>
    <s v="N17394"/>
    <n v="495"/>
    <n v="3"/>
    <n v="2"/>
    <n v="1"/>
    <n v="3"/>
    <n v="2"/>
    <n v="1"/>
    <n v="0"/>
    <s v="The pilot flew into a blind box canyon and crashed while attempting to turn around. Improper in-flight planning /decision by the pilot and his failure to remain clear of mountainous terrain. The box canyon and proximity of mountains were related factors."/>
    <n v="0"/>
    <n v="1"/>
    <x v="1"/>
  </r>
  <r>
    <n v="3894"/>
    <x v="3535"/>
    <x v="83"/>
    <x v="3"/>
    <d v="1899-12-30T21:05:00"/>
    <s v="Whiting, New Jersey"/>
    <s v="Air Taxi - National Helicopters"/>
    <s v="Unknown"/>
    <s v="New York, NY - Atlantic City, NJ"/>
    <x v="1802"/>
    <s v="N124NH"/>
    <n v="52089"/>
    <n v="3"/>
    <n v="2"/>
    <n v="1"/>
    <n v="3"/>
    <n v="2"/>
    <n v="1"/>
    <n v="0"/>
    <s v="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
    <n v="0"/>
    <n v="1"/>
    <x v="1"/>
  </r>
  <r>
    <n v="3895"/>
    <x v="3536"/>
    <x v="83"/>
    <x v="3"/>
    <s v="Unknown"/>
    <s v="Near Agadir, Morocco"/>
    <s v="Royal Air Maroc"/>
    <n v="630"/>
    <s v="Agadir - Casablanca"/>
    <x v="1803"/>
    <s v="CN-CDT"/>
    <n v="127"/>
    <n v="44"/>
    <n v="40"/>
    <n v="4"/>
    <n v="44"/>
    <n v="40"/>
    <n v="4"/>
    <n v="0"/>
    <s v="The aircraft entered a steep dive from 16,000 ft. and crashed 10 minutes after taking off from Agadir. The pilot was blamed for disconnecting the autopilot and deliberately causing the crash and committing suicide. This was challenged by the Moroccan Pilot's Union."/>
    <n v="0"/>
    <n v="1"/>
    <x v="1"/>
  </r>
  <r>
    <n v="3896"/>
    <x v="3537"/>
    <x v="83"/>
    <x v="3"/>
    <d v="1899-12-30T19:03:00"/>
    <s v="Near Aliquippa, Pennsylvania"/>
    <s v="USAir"/>
    <n v="427"/>
    <s v="Chicago - Pittsburgh"/>
    <x v="1804"/>
    <s v="N513AU"/>
    <s v="23699/1452"/>
    <n v="132"/>
    <n v="127"/>
    <n v="5"/>
    <n v="132"/>
    <n v="127"/>
    <n v="5"/>
    <n v="0"/>
    <s v="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
    <n v="0"/>
    <n v="1"/>
    <x v="1"/>
  </r>
  <r>
    <n v="3897"/>
    <x v="3538"/>
    <x v="83"/>
    <x v="3"/>
    <d v="1899-12-30T12:05:00"/>
    <s v="Near Abuja, Nigeria"/>
    <s v="Aerocontroctors - Charter"/>
    <s v="Unknown"/>
    <s v="Lagos - Abuja"/>
    <x v="1220"/>
    <s v="5N-ATQ"/>
    <n v="538"/>
    <n v="5"/>
    <n v="3"/>
    <n v="2"/>
    <n v="3"/>
    <n v="2"/>
    <n v="1"/>
    <n v="0"/>
    <s v="The aircraft few into the side of a hill during heavy rain, high winds and severe turbulence."/>
    <n v="2"/>
    <n v="0.6"/>
    <x v="0"/>
  </r>
  <r>
    <n v="3898"/>
    <x v="3539"/>
    <x v="83"/>
    <x v="3"/>
    <d v="1899-12-30T11:48:00"/>
    <s v="Fish Egg Inlet, Canada"/>
    <s v="Pacific Coastal Airlines"/>
    <s v="Unknown"/>
    <s v="Fish Egg Inlet - Pruth Bay"/>
    <x v="1034"/>
    <s v="C-FDMR"/>
    <n v="36"/>
    <n v="4"/>
    <n v="2"/>
    <n v="2"/>
    <n v="3"/>
    <n v="2"/>
    <n v="1"/>
    <n v="0"/>
    <s v="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
    <n v="1"/>
    <n v="0.75"/>
    <x v="1"/>
  </r>
  <r>
    <n v="3899"/>
    <x v="3540"/>
    <x v="83"/>
    <x v="3"/>
    <d v="1899-12-30T08:07:00"/>
    <s v="Tamanrasset, Algeria"/>
    <s v="Oriental Airlines"/>
    <s v="Unknown"/>
    <s v="Tunis - Tamanrasset"/>
    <x v="1177"/>
    <s v="5N-IMO"/>
    <n v="229"/>
    <n v="39"/>
    <n v="32"/>
    <n v="7"/>
    <n v="5"/>
    <n v="3"/>
    <n v="2"/>
    <n v="0"/>
    <s v="After circling for almost an hour and a half and aborting four landing attempts in adverse weather conditions, the aircraft ran out of fuel and crashed."/>
    <n v="34"/>
    <n v="0.12820512820512819"/>
    <x v="2"/>
  </r>
  <r>
    <n v="3900"/>
    <x v="3541"/>
    <x v="83"/>
    <x v="3"/>
    <d v="1899-12-30T19:15:00"/>
    <s v="Kowloon Bay, Hong Kong"/>
    <s v="Heavylift Cargo Airlines"/>
    <s v="Unknown"/>
    <s v="Hong Kong - Jakarta"/>
    <x v="1259"/>
    <s v="PK-PLV"/>
    <n v="4826"/>
    <n v="12"/>
    <n v="6"/>
    <n v="6"/>
    <n v="6"/>
    <n v="3"/>
    <n v="3"/>
    <n v="0"/>
    <s v="The cargo plane lost control shortly after becoming airborne, began losing altitude and ditched 500 meters from the runway. The No. 4 prop pitch control system failed."/>
    <n v="6"/>
    <n v="0.5"/>
    <x v="0"/>
  </r>
  <r>
    <n v="3901"/>
    <x v="3542"/>
    <x v="83"/>
    <x v="3"/>
    <d v="1899-12-30T17:37:00"/>
    <s v="Near Vanavera, Russia"/>
    <s v="Cheremshanka Airlines"/>
    <s v="Unknown"/>
    <s v="Krasnoyarsk - Tura"/>
    <x v="1146"/>
    <s v="RA-87468"/>
    <n v="9441337"/>
    <n v="28"/>
    <n v="24"/>
    <n v="4"/>
    <n v="28"/>
    <n v="24"/>
    <n v="4"/>
    <n v="0"/>
    <s v="After three landing attempts at Tura, the crew diverted to Vanavarva because of bad weather. The aircraft ran out of fuel and crashed on a river bank about 40 km from Vanavera."/>
    <n v="0"/>
    <n v="1"/>
    <x v="1"/>
  </r>
  <r>
    <n v="3902"/>
    <x v="3543"/>
    <x v="83"/>
    <x v="3"/>
    <s v="Unknown"/>
    <s v="Bahia Negra, Paraguay"/>
    <s v="TAM Paraguay"/>
    <s v="Unknown"/>
    <s v="Bahia Negra - Asuncion"/>
    <x v="608"/>
    <s v="FAP2009"/>
    <n v="34346"/>
    <n v="27"/>
    <n v="25"/>
    <n v="2"/>
    <n v="1"/>
    <n v="0"/>
    <n v="1"/>
    <n v="0"/>
    <s v="Crashed after experiencing engine failure."/>
    <n v="26"/>
    <n v="3.7037037037037035E-2"/>
    <x v="2"/>
  </r>
  <r>
    <n v="3903"/>
    <x v="3544"/>
    <x v="83"/>
    <x v="3"/>
    <d v="1899-12-30T11:10:00"/>
    <s v="Chaibukha, Russia"/>
    <s v="Arsenyev Aviation Production Association"/>
    <s v="Unknown"/>
    <s v="Chaibukha - Provedenia"/>
    <x v="1746"/>
    <s v="RA-27209"/>
    <s v="OA-3460"/>
    <n v="20"/>
    <n v="13"/>
    <n v="7"/>
    <n v="8"/>
    <n v="3"/>
    <n v="5"/>
    <n v="0"/>
    <s v="The cargo plane failed to gain altitude, overran the runway and crashed. Crew error."/>
    <n v="12"/>
    <n v="0.4"/>
    <x v="0"/>
  </r>
  <r>
    <n v="3904"/>
    <x v="3545"/>
    <x v="83"/>
    <x v="3"/>
    <d v="1899-12-30T15:45:00"/>
    <s v="Mitu, Colombia"/>
    <s v="SELVA"/>
    <s v="Unknown"/>
    <s v="Villavicencio - Mitu"/>
    <x v="1805"/>
    <s v="HK3929X"/>
    <n v="3301"/>
    <n v="10"/>
    <n v="5"/>
    <n v="5"/>
    <n v="10"/>
    <n v="5"/>
    <n v="5"/>
    <n v="0"/>
    <s v="The cargo plane landed short of the runway bounced, collapsed the landing gear, veered off the runway and crashed into another plane and vehicles."/>
    <n v="0"/>
    <n v="1"/>
    <x v="1"/>
  </r>
  <r>
    <n v="3905"/>
    <x v="3546"/>
    <x v="83"/>
    <x v="3"/>
    <d v="1899-12-30T22:50:00"/>
    <s v="Krakas Mountains, near Natanz , Iran"/>
    <s v="Iran Asseman Airlines"/>
    <n v="746"/>
    <s v="Isfahan - Terhan"/>
    <x v="1221"/>
    <s v="EP-PAV"/>
    <n v="11070"/>
    <n v="66"/>
    <n v="59"/>
    <n v="7"/>
    <n v="66"/>
    <n v="59"/>
    <n v="7"/>
    <n v="0"/>
    <s v="Thirty-five minutes after taking off from Isfahan, the aircraft made an uncontrolled descent after losing power in both engines and crashed into a mountain."/>
    <n v="0"/>
    <n v="1"/>
    <x v="1"/>
  </r>
  <r>
    <n v="3906"/>
    <x v="3547"/>
    <x v="83"/>
    <x v="3"/>
    <d v="1899-12-30T22:00:00"/>
    <s v="Near Formoso do Aragala, Brazil"/>
    <s v="Military - Brazilian Air Force"/>
    <s v="Unknown"/>
    <s v="Rio de Janeiro - Belem"/>
    <x v="1150"/>
    <s v="C-130-2460"/>
    <n v="4293"/>
    <n v="21"/>
    <n v="15"/>
    <n v="6"/>
    <n v="21"/>
    <n v="15"/>
    <n v="6"/>
    <n v="0"/>
    <s v="Exploded in mid air while en route, 60 km northeast of Brasilia. A load of munitions being carried on the aircraft exploded."/>
    <n v="0"/>
    <n v="1"/>
    <x v="1"/>
  </r>
  <r>
    <n v="3907"/>
    <x v="3548"/>
    <x v="83"/>
    <x v="3"/>
    <s v="Unknown"/>
    <s v="Near Cuito, Angola"/>
    <s v="Military - Angolan Air Force"/>
    <s v="Unknown"/>
    <s v="Unknown"/>
    <x v="1806"/>
    <s v="H534"/>
    <s v="Unknown"/>
    <n v="22"/>
    <s v="NULL"/>
    <s v="NULL"/>
    <n v="22"/>
    <s v="NULL"/>
    <s v="NULL"/>
    <n v="0"/>
    <s v="Shot down by rebel forces."/>
    <n v="0"/>
    <n v="1"/>
    <x v="1"/>
  </r>
  <r>
    <n v="3908"/>
    <x v="3549"/>
    <x v="83"/>
    <x v="3"/>
    <d v="1899-12-30T21:30:00"/>
    <s v="Near Ust'-Ilimsk, Russia"/>
    <s v="Aeronica"/>
    <s v="Unknown"/>
    <s v="Yushno - Ust Ilimsk"/>
    <x v="1807"/>
    <s v="RA-11790"/>
    <n v="1340302"/>
    <n v="23"/>
    <n v="16"/>
    <n v="7"/>
    <n v="23"/>
    <n v="16"/>
    <n v="7"/>
    <n v="0"/>
    <s v="The cargo plane suddenly pitched down and collided with a hill. Icing."/>
    <n v="0"/>
    <n v="1"/>
    <x v="1"/>
  </r>
  <r>
    <n v="3909"/>
    <x v="3549"/>
    <x v="83"/>
    <x v="3"/>
    <d v="1899-12-30T10:32:00"/>
    <s v="Batagaj, Russia"/>
    <s v="Yakutavia"/>
    <s v="Unknown"/>
    <s v="Unknown"/>
    <x v="997"/>
    <s v="RA-33008"/>
    <s v="1G217-55"/>
    <n v="19"/>
    <n v="17"/>
    <n v="2"/>
    <n v="7"/>
    <n v="7"/>
    <n v="0"/>
    <n v="0"/>
    <s v="Pitched up and crashed on takeoff. Overweight and improperly loaded."/>
    <n v="12"/>
    <n v="0.36842105263157893"/>
    <x v="0"/>
  </r>
  <r>
    <n v="3910"/>
    <x v="3550"/>
    <x v="83"/>
    <x v="3"/>
    <d v="1899-12-30T15:59:00"/>
    <s v="Roselawn, Indiana"/>
    <s v="American Eagle"/>
    <n v="4184"/>
    <s v="Indianapolis - Chicago"/>
    <x v="1808"/>
    <s v="N401AM"/>
    <n v="401"/>
    <n v="68"/>
    <n v="64"/>
    <n v="4"/>
    <n v="68"/>
    <n v="64"/>
    <n v="4"/>
    <n v="0"/>
    <s v="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
    <n v="0"/>
    <n v="1"/>
    <x v="1"/>
  </r>
  <r>
    <n v="3911"/>
    <x v="3551"/>
    <x v="83"/>
    <x v="3"/>
    <s v="Unknown"/>
    <s v="Off Cozumel, Mexico"/>
    <s v="Transportes Aereos Pegaso"/>
    <s v="Unknown"/>
    <s v="Cozumel - Chichen Itza"/>
    <x v="1297"/>
    <s v="XA-SVS"/>
    <n v="30824"/>
    <n v="14"/>
    <n v="13"/>
    <n v="1"/>
    <n v="14"/>
    <n v="13"/>
    <n v="1"/>
    <n v="0"/>
    <s v="Crashed into the sea off of Cozumel while en route in poor weather condtions.  Fuel exhaustion."/>
    <n v="0"/>
    <n v="1"/>
    <x v="1"/>
  </r>
  <r>
    <n v="3912"/>
    <x v="3552"/>
    <x v="83"/>
    <x v="3"/>
    <s v="Unknown"/>
    <s v="Near Nabire, Indonesia"/>
    <s v="Trigana Air Service"/>
    <s v="Unknown"/>
    <s v="Nabire - Obano"/>
    <x v="1034"/>
    <s v="PK-YNM"/>
    <n v="55"/>
    <n v="4"/>
    <n v="2"/>
    <n v="2"/>
    <n v="4"/>
    <n v="2"/>
    <n v="2"/>
    <n v="0"/>
    <s v="The cargo plane crashed into a mountain a 4,000 ft."/>
    <n v="0"/>
    <n v="1"/>
    <x v="1"/>
  </r>
  <r>
    <n v="3913"/>
    <x v="3553"/>
    <x v="83"/>
    <x v="3"/>
    <s v="Unknown"/>
    <s v="Saposa, Peru"/>
    <s v="SA Amazonica"/>
    <s v="Unknown"/>
    <s v="Trujillo - Saposa"/>
    <x v="1146"/>
    <s v="OB-1569"/>
    <n v="9140220"/>
    <n v="30"/>
    <n v="26"/>
    <n v="4"/>
    <n v="6"/>
    <n v="5"/>
    <n v="1"/>
    <n v="0"/>
    <s v="The pilot delayed landing to avoid a pedestrian on the runway, overran the runway and crashed into Saposoa River breaking up."/>
    <n v="24"/>
    <n v="0.2"/>
    <x v="2"/>
  </r>
  <r>
    <n v="3914"/>
    <x v="3554"/>
    <x v="83"/>
    <x v="3"/>
    <d v="1899-12-30T02:40:00"/>
    <s v="Avenal, California"/>
    <s v="Ameriflight"/>
    <s v="Unknown"/>
    <s v="Burbank - Oakland"/>
    <x v="1678"/>
    <s v="N63995"/>
    <s v="U-178"/>
    <n v="1"/>
    <n v="0"/>
    <n v="1"/>
    <n v="1"/>
    <n v="0"/>
    <n v="1"/>
    <n v="0"/>
    <s v="While en route, the cargo plane made an uncontrolled descent and crashed. Loss of aircraft control at night by the pilot for unknown reasons."/>
    <n v="0"/>
    <n v="1"/>
    <x v="1"/>
  </r>
  <r>
    <n v="3915"/>
    <x v="3555"/>
    <x v="83"/>
    <x v="3"/>
    <d v="1899-12-30T11:40:00"/>
    <s v="Papua New Guinea"/>
    <s v="Southwest Air"/>
    <s v="Unknown"/>
    <s v="Selbang - Bolvovip"/>
    <x v="1376"/>
    <s v="P2-SWC"/>
    <n v="835"/>
    <n v="7"/>
    <n v="6"/>
    <n v="1"/>
    <n v="7"/>
    <n v="6"/>
    <n v="1"/>
    <n v="0"/>
    <s v="Crashed into a mountain in poor weather conditions."/>
    <n v="0"/>
    <n v="1"/>
    <x v="1"/>
  </r>
  <r>
    <n v="3916"/>
    <x v="3555"/>
    <x v="83"/>
    <x v="3"/>
    <d v="1899-12-30T22:03:00"/>
    <s v="Bridgeton, Missouri"/>
    <s v="Trans World Airlines / Private"/>
    <s v="Unknown"/>
    <s v="Unknown"/>
    <x v="1809"/>
    <s v="N954U/N411KM"/>
    <s v="49426 / 0196"/>
    <n v="142"/>
    <n v="132"/>
    <n v="10"/>
    <n v="2"/>
    <n v="0"/>
    <n v="2"/>
    <n v="0"/>
    <s v="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
    <n v="140"/>
    <n v="1.4084507042253521E-2"/>
    <x v="2"/>
  </r>
  <r>
    <n v="3917"/>
    <x v="3556"/>
    <x v="83"/>
    <x v="3"/>
    <s v="Unknown"/>
    <s v="Near Cuito, Angola"/>
    <s v="Military - Angolan Air Force"/>
    <s v="Unknown"/>
    <s v="Unknown"/>
    <x v="1569"/>
    <s v="H584"/>
    <s v="Unknown"/>
    <n v="22"/>
    <s v="NULL"/>
    <s v="NULL"/>
    <n v="22"/>
    <s v="NULL"/>
    <s v="NULL"/>
    <n v="0"/>
    <s v="Shot down by UNITA rebel forces."/>
    <n v="0"/>
    <n v="1"/>
    <x v="1"/>
  </r>
  <r>
    <n v="3918"/>
    <x v="3557"/>
    <x v="83"/>
    <x v="3"/>
    <d v="1899-12-30T11:30:00"/>
    <s v="Pacific Ocean"/>
    <s v="Philippine Air Lines"/>
    <n v="434"/>
    <s v="Manila - Cebu - Tokyo"/>
    <x v="1608"/>
    <s v="EI-BWF"/>
    <n v="21575"/>
    <n v="293"/>
    <n v="273"/>
    <n v="20"/>
    <n v="1"/>
    <n v="1"/>
    <n v="0"/>
    <n v="0"/>
    <s v="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
    <n v="292"/>
    <n v="3.4129692832764505E-3"/>
    <x v="2"/>
  </r>
  <r>
    <n v="3919"/>
    <x v="3558"/>
    <x v="83"/>
    <x v="3"/>
    <d v="1899-12-30T18:34:00"/>
    <s v="Morrisville, North Carolina"/>
    <s v="American Eagle"/>
    <n v="3379"/>
    <s v="Greensboro - Raleigh"/>
    <x v="1810"/>
    <s v="N918AE"/>
    <n v="918"/>
    <n v="20"/>
    <n v="18"/>
    <n v="2"/>
    <n v="15"/>
    <n v="13"/>
    <n v="2"/>
    <n v="0"/>
    <s v="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
    <n v="5"/>
    <n v="0.75"/>
    <x v="1"/>
  </r>
  <r>
    <n v="3920"/>
    <x v="3559"/>
    <x v="83"/>
    <x v="3"/>
    <d v="1899-12-30T06:15:00"/>
    <s v="Lobito, Angola"/>
    <s v="SL Aviation Services"/>
    <s v="Unknown"/>
    <s v="Unknown"/>
    <x v="277"/>
    <s v="N96BF"/>
    <n v="13321"/>
    <n v="2"/>
    <n v="0"/>
    <n v="2"/>
    <n v="2"/>
    <n v="0"/>
    <n v="2"/>
    <n v="0"/>
    <s v="The cargo plane lifted off the runway, stalled and hit tail first back on the runway breaking apart."/>
    <n v="0"/>
    <n v="1"/>
    <x v="1"/>
  </r>
  <r>
    <n v="3921"/>
    <x v="3560"/>
    <x v="83"/>
    <x v="3"/>
    <d v="1899-12-30T10:30:00"/>
    <s v="Cerro Aicha, Venezuela"/>
    <s v="Servivensa"/>
    <s v="Unknown"/>
    <s v="Unknown"/>
    <x v="472"/>
    <s v="YV-761C"/>
    <n v="12476"/>
    <n v="9"/>
    <n v="6"/>
    <n v="3"/>
    <n v="7"/>
    <n v="4"/>
    <n v="3"/>
    <n v="0"/>
    <s v="The cargo plane hit trees and crashed short of the runway while attempting to land."/>
    <n v="2"/>
    <n v="0.77777777777777779"/>
    <x v="1"/>
  </r>
  <r>
    <n v="3922"/>
    <x v="3560"/>
    <x v="83"/>
    <x v="3"/>
    <d v="1899-12-30T13:20:00"/>
    <s v="Papua, New Guinea"/>
    <s v="Missionary Aviation Fellowship"/>
    <s v="Unknown"/>
    <s v="Tabubil - Selbang"/>
    <x v="1095"/>
    <s v="P2-MFS"/>
    <n v="187"/>
    <n v="28"/>
    <n v="26"/>
    <n v="2"/>
    <n v="28"/>
    <n v="26"/>
    <n v="2"/>
    <n v="0"/>
    <s v="The chartered flight struck a cliff at 6,400 ft. during a flight from a copper and gold mine."/>
    <n v="0"/>
    <n v="1"/>
    <x v="1"/>
  </r>
  <r>
    <n v="3923"/>
    <x v="3561"/>
    <x v="83"/>
    <x v="3"/>
    <d v="1899-12-30T09:53:00"/>
    <s v="Coventry, England"/>
    <s v="Phoenix Aviation"/>
    <n v="702"/>
    <s v="East Midlands - Coventry"/>
    <x v="1811"/>
    <s v="7T-VEE"/>
    <s v="20758/322"/>
    <n v="5"/>
    <n v="0"/>
    <n v="5"/>
    <n v="5"/>
    <n v="0"/>
    <n v="5"/>
    <n v="0"/>
    <s v="After a go-around the plane struck a transmission tower and crashed. The crew allowed the aircraft to descend significantly below the normal approach glide path  in conditions of patchyfog."/>
    <n v="0"/>
    <n v="1"/>
    <x v="1"/>
  </r>
  <r>
    <n v="3924"/>
    <x v="3562"/>
    <x v="83"/>
    <x v="3"/>
    <d v="1899-12-30T17:00:00"/>
    <s v="Algiers Airport, Algeria"/>
    <s v="Air France"/>
    <n v="8969"/>
    <s v="Alger - Paris"/>
    <x v="1812"/>
    <s v="F-GBEC"/>
    <n v="104"/>
    <n v="239"/>
    <n v="227"/>
    <n v="12"/>
    <n v="3"/>
    <n v="3"/>
    <n v="0"/>
    <n v="0"/>
    <s v="The aircraft was hijacked by terrorists. Three passengers and four hijackers were killed when the plane was stormed."/>
    <n v="236"/>
    <n v="1.2552301255230125E-2"/>
    <x v="2"/>
  </r>
  <r>
    <n v="3925"/>
    <x v="3563"/>
    <x v="83"/>
    <x v="3"/>
    <d v="1899-12-30T15:30:00"/>
    <s v="Near Van, Turkey"/>
    <s v="Turkish Airlines (THY)"/>
    <n v="278"/>
    <s v="Ankara - Van"/>
    <x v="1628"/>
    <s v="TC-JES"/>
    <s v="26074/2376"/>
    <n v="76"/>
    <n v="69"/>
    <n v="7"/>
    <n v="57"/>
    <n v="52"/>
    <n v="5"/>
    <n v="0"/>
    <s v="The aircraft crashed into a hill near the airport in driving snow after a fourth landing attempt. Controlled flight into terrain."/>
    <n v="19"/>
    <n v="0.75"/>
    <x v="1"/>
  </r>
  <r>
    <n v="3926"/>
    <x v="3564"/>
    <x v="84"/>
    <x v="3"/>
    <d v="1899-12-30T20:45:00"/>
    <s v="Isfahan, Iran"/>
    <s v="Military - Iranian Air Force"/>
    <s v="Unknown"/>
    <s v="Isfahan - Tehran"/>
    <x v="1813"/>
    <n v="1003"/>
    <n v="5203"/>
    <n v="12"/>
    <n v="6"/>
    <n v="6"/>
    <n v="12"/>
    <n v="6"/>
    <n v="6"/>
    <n v="0"/>
    <s v="The plane crashed after the pilot reported a loss of cabin pressure."/>
    <n v="0"/>
    <n v="1"/>
    <x v="1"/>
  </r>
  <r>
    <n v="3927"/>
    <x v="3565"/>
    <x v="84"/>
    <x v="3"/>
    <s v="Unknown"/>
    <s v="Off Flores Island, Inodnesia"/>
    <s v="Merpati Nusantara Airlines"/>
    <n v="6715"/>
    <s v="Bima - Ruteng"/>
    <x v="1220"/>
    <s v="PK-NUK"/>
    <n v="390"/>
    <n v="14"/>
    <n v="10"/>
    <n v="4"/>
    <n v="14"/>
    <n v="10"/>
    <n v="4"/>
    <n v="0"/>
    <s v="The aircraft disappeared while en route from Bima, Sumbawa Island to Ruteng, Flores Island, and crashed into the Molo Strait. The accident occurred in daylight, in poor weather."/>
    <n v="0"/>
    <n v="1"/>
    <x v="1"/>
  </r>
  <r>
    <n v="3928"/>
    <x v="3566"/>
    <x v="84"/>
    <x v="3"/>
    <d v="1899-12-30T19:38:00"/>
    <s v="Cartagena, Colombia"/>
    <s v="Intercontinental de Aviacion"/>
    <n v="256"/>
    <s v="Bogota - Cartagena"/>
    <x v="1020"/>
    <s v="HK-3839X"/>
    <s v="45742/26"/>
    <n v="52"/>
    <n v="47"/>
    <n v="5"/>
    <n v="51"/>
    <n v="46"/>
    <n v="5"/>
    <n v="0"/>
    <s v="While descending from FL 190, ground witnesses saw fire and sparks aboard the plane before it crashed and exploded. One nine-year-old girl survived. Her mother threw her out of the plane and she landed in some soft-water lilies. Possible electrical fire. Possible faulty altimeter."/>
    <n v="1"/>
    <n v="0.98076923076923073"/>
    <x v="1"/>
  </r>
  <r>
    <n v="3929"/>
    <x v="3567"/>
    <x v="84"/>
    <x v="3"/>
    <d v="1899-12-30T19:45:00"/>
    <s v="Los Angeles, California"/>
    <s v="Air Taxi - Wolfe Air Aviation Ltd."/>
    <s v="Unknown"/>
    <s v="Los Angeles, CA - Burbank, CA"/>
    <x v="1226"/>
    <s v="N2209P"/>
    <n v="3520"/>
    <n v="4"/>
    <n v="3"/>
    <n v="1"/>
    <n v="2"/>
    <n v="2"/>
    <n v="0"/>
    <n v="0"/>
    <s v="Took off and crashed into power lines in rain and fog. Continued VFR flight into IMC."/>
    <n v="2"/>
    <n v="0.5"/>
    <x v="0"/>
  </r>
  <r>
    <n v="3930"/>
    <x v="3568"/>
    <x v="84"/>
    <x v="3"/>
    <d v="1899-12-30T13:59:00"/>
    <s v="Kathmandu, Nepal"/>
    <s v="Royal Nepal Airlines"/>
    <n v="133"/>
    <s v="Kathmandu - Rumjatar"/>
    <x v="1220"/>
    <s v="9N-ABI"/>
    <n v="392"/>
    <n v="24"/>
    <n v="21"/>
    <n v="3"/>
    <n v="2"/>
    <n v="1"/>
    <n v="1"/>
    <n v="0"/>
    <s v="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
    <n v="22"/>
    <n v="8.3333333333333329E-2"/>
    <x v="2"/>
  </r>
  <r>
    <n v="3931"/>
    <x v="3569"/>
    <x v="84"/>
    <x v="3"/>
    <s v="Unknown"/>
    <s v="Le Bourget, France"/>
    <s v="Leadair - Charter"/>
    <s v="Unknown"/>
    <s v="Paris - Romania"/>
    <x v="1814"/>
    <s v="F-GHLN"/>
    <n v="225"/>
    <n v="10"/>
    <n v="7"/>
    <n v="3"/>
    <n v="10"/>
    <n v="7"/>
    <n v="3"/>
    <n v="0"/>
    <s v="The plane flew into a flock of birds that were injested into the left engine.  The pilot soon after reported an engine fire and that he was returning to the airport.  However, control of the plane was lost and the aircraft crashed."/>
    <n v="0"/>
    <n v="1"/>
    <x v="1"/>
  </r>
  <r>
    <n v="3932"/>
    <x v="3569"/>
    <x v="84"/>
    <x v="3"/>
    <d v="1899-12-30T19:13:00"/>
    <s v="Near Krasnoyarsk, Russia"/>
    <s v="Abakan Airlines"/>
    <s v="Unknown"/>
    <s v="Krasnoyarsk - Abakan"/>
    <x v="1624"/>
    <s v="RA-67120"/>
    <n v="790316"/>
    <n v="19"/>
    <n v="17"/>
    <n v="2"/>
    <n v="3"/>
    <n v="1"/>
    <n v="2"/>
    <n v="0"/>
    <s v="While taking off the aircraft veered to the right and clipped some trees 2,000 ft. past the runway. Overloaded and possible fuel contamination."/>
    <n v="16"/>
    <n v="0.15789473684210525"/>
    <x v="2"/>
  </r>
  <r>
    <n v="3933"/>
    <x v="3570"/>
    <x v="84"/>
    <x v="3"/>
    <d v="1899-12-30T20:30:00"/>
    <s v="Kansas City, Missouri"/>
    <s v="ATI"/>
    <s v="Unknown"/>
    <s v="Kansas City - Chicopee"/>
    <x v="1243"/>
    <s v="N782AL"/>
    <s v="45929/367"/>
    <n v="3"/>
    <n v="0"/>
    <n v="3"/>
    <n v="3"/>
    <n v="0"/>
    <n v="3"/>
    <n v="0"/>
    <s v="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
    <n v="0"/>
    <n v="1"/>
    <x v="1"/>
  </r>
  <r>
    <n v="3934"/>
    <x v="3571"/>
    <x v="84"/>
    <x v="3"/>
    <s v="Unknown"/>
    <s v="Ossora, Russia"/>
    <s v="Aeroflot"/>
    <s v="Unknown"/>
    <s v="Petropavlovsk -  Ossora"/>
    <x v="1815"/>
    <s v="RA-26084"/>
    <n v="11806"/>
    <n v="10"/>
    <n v="4"/>
    <n v="6"/>
    <n v="9"/>
    <n v="3"/>
    <n v="6"/>
    <n v="0"/>
    <s v="The cargo plane flew into high ground while on approach in poor weather conditons. Controllled flight into terrain."/>
    <n v="1"/>
    <n v="0.9"/>
    <x v="1"/>
  </r>
  <r>
    <n v="3935"/>
    <x v="3572"/>
    <x v="84"/>
    <x v="3"/>
    <d v="1899-12-30T09:11:00"/>
    <s v="Near Balotesti, Romania"/>
    <s v="Transporturile Aeriene Romane (TAROM)"/>
    <n v="371"/>
    <s v="Bucharest - Brussel"/>
    <x v="1816"/>
    <s v="YR-LCC"/>
    <s v="450/395"/>
    <n v="60"/>
    <n v="49"/>
    <n v="11"/>
    <n v="60"/>
    <n v="49"/>
    <n v="11"/>
    <n v="0"/>
    <s v="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
    <n v="0"/>
    <n v="1"/>
    <x v="1"/>
  </r>
  <r>
    <n v="3936"/>
    <x v="3573"/>
    <x v="84"/>
    <x v="3"/>
    <d v="1899-12-30T12:40:00"/>
    <s v="Lagos, Nigeria"/>
    <s v="Bristow Helicopters"/>
    <s v="Unknown"/>
    <s v="Port Harcourt - Lagos"/>
    <x v="1220"/>
    <s v="5N-AJQ"/>
    <n v="607"/>
    <n v="9"/>
    <n v="7"/>
    <n v="2"/>
    <n v="1"/>
    <n v="0"/>
    <n v="1"/>
    <n v="0"/>
    <s v="The aircraft experienced a micoburst while attempting to land at Lagos landing hard on the nosegear. Full power was applied for a go-around but the aircraft veered off the runway and collided with another aircraft."/>
    <n v="8"/>
    <n v="0.1111111111111111"/>
    <x v="2"/>
  </r>
  <r>
    <n v="3937"/>
    <x v="3574"/>
    <x v="84"/>
    <x v="3"/>
    <s v="Unknown"/>
    <s v="Near Palaly AFB, Sri Lanka"/>
    <s v="Military - Sri Lanka Air Force"/>
    <s v="Unknown"/>
    <s v="Anuradhapura - Palaly AFB"/>
    <x v="1817"/>
    <s v="4R-HVA"/>
    <n v="1768"/>
    <n v="52"/>
    <n v="49"/>
    <n v="3"/>
    <n v="52"/>
    <n v="49"/>
    <n v="3"/>
    <n v="0"/>
    <s v="While returning from Anuradhapura and descending through 3,000 ft the aircraft was shot down with a SAM missile by Tamil separatists."/>
    <n v="0"/>
    <n v="1"/>
    <x v="1"/>
  </r>
  <r>
    <n v="3938"/>
    <x v="3575"/>
    <x v="84"/>
    <x v="3"/>
    <d v="1899-12-30T13:28:00"/>
    <s v="Sioux Falls, Ontario, Canada"/>
    <s v="Bearskin Airlines / Air Sandy"/>
    <s v="362 / 3101"/>
    <s v="Red Lake - Sioux Lookout  / Sioux Lookout - Red Lake"/>
    <x v="1818"/>
    <s v="C-GYYB/ C-GYPZ"/>
    <s v="CC-827B /?"/>
    <n v="8"/>
    <n v="5"/>
    <n v="3"/>
    <n v="8"/>
    <n v="5"/>
    <n v="3"/>
    <n v="0"/>
    <s v="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
    <n v="0"/>
    <n v="1"/>
    <x v="1"/>
  </r>
  <r>
    <n v="3939"/>
    <x v="3576"/>
    <x v="84"/>
    <x v="3"/>
    <d v="1899-12-30T00:45:00"/>
    <s v="Quito, Ecuador"/>
    <s v="American Jet"/>
    <s v="Unknown"/>
    <s v="Buenos Aires - La Paz - Quito"/>
    <x v="1819"/>
    <s v="N409MA"/>
    <n v="83"/>
    <n v="7"/>
    <n v="5"/>
    <n v="2"/>
    <n v="7"/>
    <n v="5"/>
    <n v="2"/>
    <n v="0"/>
    <s v="Crashed into Cerro Sincholagua mountain at 16,000 ft.  during an approach to Quito. Pilot fatigue may have been a factor."/>
    <n v="0"/>
    <n v="1"/>
    <x v="1"/>
  </r>
  <r>
    <n v="3940"/>
    <x v="3577"/>
    <x v="84"/>
    <x v="3"/>
    <d v="1899-12-30T16:35:00"/>
    <s v="Cerro San Jeronimo, Colombia"/>
    <s v="ADES Colombia"/>
    <s v="Unknown"/>
    <s v="Mitu - Villavicencio"/>
    <x v="667"/>
    <s v="HK-3079G"/>
    <n v="22538"/>
    <n v="9"/>
    <n v="5"/>
    <n v="4"/>
    <n v="9"/>
    <n v="5"/>
    <n v="4"/>
    <n v="0"/>
    <s v="Crashed into a mountain during approach in poor weather."/>
    <n v="0"/>
    <n v="1"/>
    <x v="1"/>
  </r>
  <r>
    <n v="3941"/>
    <x v="3578"/>
    <x v="84"/>
    <x v="3"/>
    <s v="Unknown"/>
    <s v="Near Boise, Idaho"/>
    <s v="Military - U.S. Air Force"/>
    <s v="Unknown"/>
    <s v="Boise, ID - Colorado Springs, CO"/>
    <x v="1435"/>
    <s v="62-1838"/>
    <n v="3801"/>
    <n v="6"/>
    <n v="0"/>
    <n v="6"/>
    <n v="6"/>
    <n v="0"/>
    <n v="6"/>
    <n v="0"/>
    <s v="An engine caught fire shortly after takeoff and the aircraft was not able to make an emergency landing and crashed."/>
    <n v="0"/>
    <n v="1"/>
    <x v="1"/>
  </r>
  <r>
    <n v="3942"/>
    <x v="3579"/>
    <x v="84"/>
    <x v="3"/>
    <d v="1899-12-30T16:51:00"/>
    <s v="Near Leeds, England"/>
    <s v="Knight Air"/>
    <n v="816"/>
    <s v="Leeds - Aberdeen"/>
    <x v="1820"/>
    <s v="G-OEAA"/>
    <s v="110-256"/>
    <n v="12"/>
    <n v="9"/>
    <n v="3"/>
    <n v="12"/>
    <n v="9"/>
    <n v="3"/>
    <n v="0"/>
    <s v="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
    <n v="0"/>
    <n v="1"/>
    <x v="1"/>
  </r>
  <r>
    <n v="3943"/>
    <x v="3580"/>
    <x v="84"/>
    <x v="3"/>
    <d v="1899-12-30T15:00:00"/>
    <s v="Miraflores, Colombia"/>
    <s v="LACOL"/>
    <s v="Unknown"/>
    <s v="Villavicencio - Miraflores"/>
    <x v="507"/>
    <s v="HK-3213"/>
    <n v="25659"/>
    <n v="11"/>
    <n v="9"/>
    <n v="2"/>
    <n v="2"/>
    <n v="2"/>
    <n v="0"/>
    <n v="0"/>
    <s v="No data available"/>
    <n v="9"/>
    <n v="0.18181818181818182"/>
    <x v="2"/>
  </r>
  <r>
    <n v="3944"/>
    <x v="3581"/>
    <x v="84"/>
    <x v="3"/>
    <s v="Unknown"/>
    <s v="Off Mbour, Senegal"/>
    <s v="Senegalair"/>
    <s v="Unknown"/>
    <s v="Unknown"/>
    <x v="1821"/>
    <s v="6V-AGH"/>
    <s v="31-205"/>
    <n v="10"/>
    <n v="8"/>
    <n v="2"/>
    <n v="6"/>
    <n v="4"/>
    <n v="2"/>
    <n v="0"/>
    <s v="Ditched in the sea just offshore, after losing an engine on approach. The pilot was not rated for that aircraft type and had very little experience."/>
    <n v="4"/>
    <n v="0.6"/>
    <x v="0"/>
  </r>
  <r>
    <n v="3945"/>
    <x v="3582"/>
    <x v="84"/>
    <x v="3"/>
    <d v="1899-12-30T09:22:00"/>
    <s v="Near Palmerston North, New Zealand"/>
    <s v="Ansett New Zealand"/>
    <n v="703"/>
    <s v="Auckland - Palmerston North"/>
    <x v="1822"/>
    <s v="ZK-NEY"/>
    <n v="55"/>
    <n v="21"/>
    <n v="18"/>
    <n v="3"/>
    <n v="5"/>
    <n v="4"/>
    <n v="1"/>
    <n v="0"/>
    <s v="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
    <n v="16"/>
    <n v="0.23809523809523808"/>
    <x v="2"/>
  </r>
  <r>
    <n v="3946"/>
    <x v="3583"/>
    <x v="84"/>
    <x v="3"/>
    <d v="1899-12-30T14:15:00"/>
    <s v="Herputchi, Russia"/>
    <s v="Aeroflot"/>
    <s v="Unknown"/>
    <s v="Poliny - Nikolayevsk-on-Amur"/>
    <x v="997"/>
    <s v="RA-07743"/>
    <s v="1G259-18"/>
    <n v="14"/>
    <n v="12"/>
    <n v="2"/>
    <n v="13"/>
    <n v="11"/>
    <n v="2"/>
    <n v="0"/>
    <s v="Flying VOR the plane ran into poor weather and the pilot decided to return however crashed into trees while attempting to land."/>
    <n v="1"/>
    <n v="0.9285714285714286"/>
    <x v="1"/>
  </r>
  <r>
    <n v="3947"/>
    <x v="3583"/>
    <x v="84"/>
    <x v="3"/>
    <s v="Unknown"/>
    <s v="Volgograd, Russia"/>
    <s v="Volga Air"/>
    <s v="Unknown"/>
    <s v="Poliny Osipenko - Nikolayevsk-on-Amur"/>
    <x v="1823"/>
    <s v="CCCP-68142"/>
    <s v="1G195-47"/>
    <n v="12"/>
    <s v="NULL"/>
    <s v="NULL"/>
    <n v="12"/>
    <s v="NULL"/>
    <s v="NULL"/>
    <n v="0"/>
    <s v="Crashed in poor weather condtions."/>
    <n v="0"/>
    <n v="1"/>
    <x v="1"/>
  </r>
  <r>
    <n v="3948"/>
    <x v="3584"/>
    <x v="84"/>
    <x v="3"/>
    <s v="Unknown"/>
    <s v="Near Cuvela, Angola"/>
    <s v="Military - Angolan Air Force"/>
    <s v="Unknown"/>
    <s v="Ondjiva - Catumbela"/>
    <x v="1665"/>
    <s v="T401"/>
    <s v="A53-2-326"/>
    <n v="48"/>
    <n v="45"/>
    <n v="3"/>
    <n v="48"/>
    <n v="45"/>
    <n v="3"/>
    <n v="0"/>
    <s v="The aircraft, carrying members of a local soccer club crashed 10 miles short of it's destination. Adverse weather conditions and overloaded."/>
    <n v="0"/>
    <n v="1"/>
    <x v="1"/>
  </r>
  <r>
    <n v="3949"/>
    <x v="3585"/>
    <x v="84"/>
    <x v="3"/>
    <d v="1899-12-30T16:05:00"/>
    <s v="Lagos, Nigeria"/>
    <s v="Harka Air Services"/>
    <s v="Unknown"/>
    <s v="Kaduna - Lagos"/>
    <x v="1166"/>
    <s v="RA-65617"/>
    <n v="4308068"/>
    <n v="80"/>
    <n v="74"/>
    <n v="6"/>
    <n v="16"/>
    <n v="16"/>
    <n v="0"/>
    <n v="0"/>
    <s v="Crashed while landing in heavy rain. Overshot runway, landing long, and collided with a concrete culvert."/>
    <n v="64"/>
    <n v="0.2"/>
    <x v="2"/>
  </r>
  <r>
    <n v="3950"/>
    <x v="3586"/>
    <x v="84"/>
    <x v="3"/>
    <d v="1899-12-30T09:50:00"/>
    <s v="La Romana, Dominican Republic"/>
    <s v="Salair"/>
    <s v="Unknown"/>
    <s v="Santo Domingo - Aguadilla, Puerto Rico"/>
    <x v="962"/>
    <s v="N356SA"/>
    <n v="432"/>
    <n v="2"/>
    <n v="0"/>
    <n v="2"/>
    <n v="2"/>
    <n v="0"/>
    <n v="2"/>
    <n v="0"/>
    <s v="After the cargo flight encountered problems en route, the crew tried to return to Santo Domingo but crashed."/>
    <n v="0"/>
    <n v="1"/>
    <x v="1"/>
  </r>
  <r>
    <n v="3951"/>
    <x v="3587"/>
    <x v="84"/>
    <x v="3"/>
    <s v="Unknown"/>
    <s v="Kiunga, Papua New Guinea"/>
    <s v="Garamut Aviation"/>
    <s v="Unknown"/>
    <s v="Port Moresby - Tabubil"/>
    <x v="1054"/>
    <s v="P2-VTC"/>
    <n v="13"/>
    <n v="3"/>
    <n v="1"/>
    <n v="2"/>
    <n v="3"/>
    <n v="1"/>
    <n v="2"/>
    <n v="0"/>
    <s v="The cargo plane lost two engines during its flight to Tabubil and subsequent diversion to Kiunga and crashed short of the runway."/>
    <n v="0"/>
    <n v="1"/>
    <x v="1"/>
  </r>
  <r>
    <n v="3952"/>
    <x v="3588"/>
    <x v="84"/>
    <x v="3"/>
    <d v="1899-12-30T08:00:00"/>
    <s v="Gumey, Papua New Guinea"/>
    <s v="Milne Bay Air"/>
    <s v="Unknown"/>
    <s v="Alotou - Dagura"/>
    <x v="1220"/>
    <s v="P2-MBI"/>
    <n v="275"/>
    <n v="15"/>
    <n v="13"/>
    <n v="2"/>
    <n v="15"/>
    <n v="13"/>
    <n v="2"/>
    <n v="0"/>
    <s v="Crashed on takeoff onto a beach in shallow water. An in-flight fire that originated near the rear cargo hold is believed to have started in a passenger's luggage from some type of flammable liquid."/>
    <n v="0"/>
    <n v="1"/>
    <x v="1"/>
  </r>
  <r>
    <n v="3953"/>
    <x v="3589"/>
    <x v="84"/>
    <x v="3"/>
    <s v="Unknown"/>
    <s v="Bintuni,  Indonesia"/>
    <s v="Merpati Nusantara Airlines"/>
    <s v="Unknown"/>
    <s v="Unknown"/>
    <x v="1220"/>
    <s v="PK-NUT"/>
    <n v="473"/>
    <n v="18"/>
    <n v="16"/>
    <n v="2"/>
    <n v="1"/>
    <n v="0"/>
    <n v="1"/>
    <n v="0"/>
    <s v="The plane lost control during takeoff in heavy rain and veered off the runway crashing into a banana plantation."/>
    <n v="17"/>
    <n v="5.5555555555555552E-2"/>
    <x v="2"/>
  </r>
  <r>
    <n v="3954"/>
    <x v="3590"/>
    <x v="84"/>
    <x v="3"/>
    <s v="Unknown"/>
    <s v="Near Antananivo, Madagascar"/>
    <s v="Military - Madagascar Air Force"/>
    <s v="Unknown"/>
    <s v="Maintirano - Antananivo"/>
    <x v="402"/>
    <s v="5R-MMG"/>
    <n v="19525"/>
    <n v="34"/>
    <n v="29"/>
    <n v="5"/>
    <n v="34"/>
    <n v="29"/>
    <n v="5"/>
    <n v="0"/>
    <s v="The aircraft, carrying a French medical team, crashed while attempting to land at Antananarivo. Double engine failure."/>
    <n v="0"/>
    <n v="1"/>
    <x v="1"/>
  </r>
  <r>
    <n v="3955"/>
    <x v="3591"/>
    <x v="84"/>
    <x v="3"/>
    <s v="Unknown"/>
    <s v="Near Karamui, Papua New Guinea"/>
    <s v="Transniugini Airways"/>
    <s v="Unknown"/>
    <s v="Unknown"/>
    <x v="1145"/>
    <s v="P2-TNT"/>
    <n v="393"/>
    <n v="2"/>
    <n v="1"/>
    <n v="1"/>
    <n v="2"/>
    <n v="1"/>
    <n v="1"/>
    <n v="0"/>
    <s v="Shortly after takeoff the plane rolled to the left and struck the ground. Failure of the No. 1 engine."/>
    <n v="0"/>
    <n v="1"/>
    <x v="1"/>
  </r>
  <r>
    <n v="3956"/>
    <x v="3592"/>
    <x v="84"/>
    <x v="3"/>
    <s v="Unknown"/>
    <s v="Johannesburg, South Africa"/>
    <s v="Aero Air"/>
    <s v="Unknown"/>
    <s v="Johannesburg - Jamba"/>
    <x v="1824"/>
    <s v="RA-05708"/>
    <s v="1G153-21"/>
    <n v="3"/>
    <n v="0"/>
    <n v="3"/>
    <n v="3"/>
    <n v="0"/>
    <n v="3"/>
    <n v="0"/>
    <s v="During the takeoff cargo shifted in the plane causing the aircraft to lose altitude and crash into power lines."/>
    <n v="0"/>
    <n v="1"/>
    <x v="1"/>
  </r>
  <r>
    <n v="3957"/>
    <x v="3593"/>
    <x v="84"/>
    <x v="3"/>
    <d v="1899-12-30T20:14:00"/>
    <s v="Mt. Chichontepec, San Vincente, El Salvador"/>
    <s v="Aviateca"/>
    <n v="901"/>
    <s v="Guatemala City - San Salvador"/>
    <x v="1352"/>
    <s v="N125GU"/>
    <s v="23849/1453"/>
    <n v="65"/>
    <n v="58"/>
    <n v="7"/>
    <n v="65"/>
    <n v="58"/>
    <n v="7"/>
    <n v="0"/>
    <s v="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
    <n v="0"/>
    <n v="1"/>
    <x v="1"/>
  </r>
  <r>
    <n v="3958"/>
    <x v="3593"/>
    <x v="84"/>
    <x v="3"/>
    <s v="Unknown"/>
    <s v="Near Kaimana, Indonesia"/>
    <s v="Bourag Indonesia Airlines"/>
    <s v="Unknown"/>
    <s v="Tual - Langgar - Kaimana"/>
    <x v="1825"/>
    <s v="PK-KHL"/>
    <n v="1735"/>
    <n v="10"/>
    <n v="6"/>
    <n v="4"/>
    <n v="10"/>
    <n v="6"/>
    <n v="4"/>
    <n v="0"/>
    <s v="Crashed into Mt. Komawa at 9,200 ft. in poor weather. Found 8/14/95."/>
    <n v="0"/>
    <n v="1"/>
    <x v="1"/>
  </r>
  <r>
    <n v="3959"/>
    <x v="3594"/>
    <x v="84"/>
    <x v="3"/>
    <s v="Unknown"/>
    <s v="Nevada del Huila, Colombia"/>
    <s v="AIRES Colombia"/>
    <n v="145"/>
    <s v="Neiva - Cali"/>
    <x v="1449"/>
    <s v="HK-2594"/>
    <n v="110310"/>
    <n v="10"/>
    <n v="8"/>
    <n v="2"/>
    <n v="10"/>
    <n v="8"/>
    <n v="2"/>
    <n v="0"/>
    <s v="Crashed into Nevado de Huila at an elevation of 14,500 feet."/>
    <n v="0"/>
    <n v="1"/>
    <x v="1"/>
  </r>
  <r>
    <n v="3960"/>
    <x v="3595"/>
    <x v="84"/>
    <x v="3"/>
    <d v="1899-12-30T12:53:00"/>
    <s v="Near Carrollton, Georgia"/>
    <s v="Atlantic Southeast Airlines"/>
    <n v="529"/>
    <s v="Atlanta - Gulfport"/>
    <x v="1826"/>
    <s v="N256AS"/>
    <s v="120-122"/>
    <n v="29"/>
    <n v="26"/>
    <n v="3"/>
    <n v="10"/>
    <n v="9"/>
    <n v="1"/>
    <n v="0"/>
    <s v="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
    <n v="19"/>
    <n v="0.34482758620689657"/>
    <x v="2"/>
  </r>
  <r>
    <n v="3961"/>
    <x v="3596"/>
    <x v="84"/>
    <x v="3"/>
    <d v="1899-12-30T12:00:00"/>
    <s v="Near Farewell, Alaska"/>
    <s v="North Star Air Cargo"/>
    <s v="Unknown"/>
    <s v="Farewell - Anchorage"/>
    <x v="1827"/>
    <s v="N30GA"/>
    <s v="SH-1839"/>
    <n v="1"/>
    <n v="0"/>
    <n v="1"/>
    <n v="1"/>
    <n v="0"/>
    <n v="1"/>
    <n v="0"/>
    <s v="While en route the cargo plane flew into a 4,800 ft. mountain. The pilot's continued VFR flight into instrument meteorological conditions. The weather was a factor."/>
    <n v="0"/>
    <n v="1"/>
    <x v="1"/>
  </r>
  <r>
    <n v="3962"/>
    <x v="3597"/>
    <x v="84"/>
    <x v="3"/>
    <s v="Unknown"/>
    <s v="Toronto, Ontario, Canada"/>
    <s v="Military - Royal Air Force"/>
    <s v="Unknown"/>
    <s v="Air Show"/>
    <x v="1828"/>
    <s v="XV239"/>
    <n v="8014"/>
    <n v="7"/>
    <n v="0"/>
    <n v="7"/>
    <n v="7"/>
    <n v="0"/>
    <n v="7"/>
    <n v="0"/>
    <s v="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
    <n v="0"/>
    <n v="1"/>
    <x v="1"/>
  </r>
  <r>
    <n v="3963"/>
    <x v="3597"/>
    <x v="84"/>
    <x v="3"/>
    <d v="1899-12-30T08:38:00"/>
    <s v="Beaver Dam, Arizona"/>
    <s v="Adventure Airlines"/>
    <s v="Unknown"/>
    <s v="Las Vegas, NV - W. Yellowstone, MT"/>
    <x v="1829"/>
    <s v="N6234G"/>
    <s v="421C-0265"/>
    <n v="8"/>
    <n v="7"/>
    <n v="1"/>
    <n v="8"/>
    <n v="7"/>
    <n v="1"/>
    <n v="0"/>
    <s v="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n v="0"/>
    <n v="1"/>
    <x v="1"/>
  </r>
  <r>
    <n v="3964"/>
    <x v="3598"/>
    <x v="84"/>
    <x v="3"/>
    <d v="1899-12-30T07:15:00"/>
    <s v="Near La Macarena, Colombia"/>
    <s v="SAETA"/>
    <s v="Unknown"/>
    <s v="Villavicencio - La Macarena"/>
    <x v="1577"/>
    <s v="FAC1152"/>
    <n v="306"/>
    <n v="22"/>
    <n v="18"/>
    <n v="4"/>
    <n v="21"/>
    <n v="17"/>
    <n v="4"/>
    <n v="0"/>
    <s v="Crashed short of the runway in rain, fog and reduced visibility after diverting from another airport and two landing attempts."/>
    <n v="1"/>
    <n v="0.95454545454545459"/>
    <x v="1"/>
  </r>
  <r>
    <n v="3965"/>
    <x v="3599"/>
    <x v="84"/>
    <x v="3"/>
    <s v="Unknown"/>
    <s v="Jalalabad, Afghanistan"/>
    <s v="Ariana Afghan Airlines"/>
    <s v="Unknown"/>
    <s v="Kabul - Jalalabad"/>
    <x v="1764"/>
    <s v="YA-BAO"/>
    <n v="14305"/>
    <n v="51"/>
    <n v="44"/>
    <n v="7"/>
    <n v="3"/>
    <n v="3"/>
    <n v="0"/>
    <n v="0"/>
    <s v="Crashed after running out of fuel."/>
    <n v="48"/>
    <n v="5.8823529411764705E-2"/>
    <x v="2"/>
  </r>
  <r>
    <n v="3966"/>
    <x v="3600"/>
    <x v="84"/>
    <x v="3"/>
    <d v="1899-12-30T07:20:00"/>
    <s v="Off Colombo, Sri Lanka"/>
    <s v="Military - Sri Lanka Air Force"/>
    <s v="Unknown"/>
    <s v="Ratmalana - Palali base"/>
    <x v="1625"/>
    <s v="CR861"/>
    <n v="3502"/>
    <n v="81"/>
    <n v="76"/>
    <n v="5"/>
    <n v="81"/>
    <n v="76"/>
    <n v="5"/>
    <n v="0"/>
    <s v="The pilot reported an instrument problem after taking off from Ratmalana Airport and was returning for an emergency landing when the plane fell from 8,000 feet and crashed into the sea."/>
    <n v="0"/>
    <n v="1"/>
    <x v="1"/>
  </r>
  <r>
    <n v="3967"/>
    <x v="3601"/>
    <x v="84"/>
    <x v="3"/>
    <d v="1899-12-30T12:22:00"/>
    <s v="Tawau,  Malaysia"/>
    <s v="Malaysia Airlines"/>
    <n v="2133"/>
    <s v="Kota Kinabalu - Tawau"/>
    <x v="1830"/>
    <s v="9M-MGH"/>
    <n v="20174"/>
    <n v="53"/>
    <n v="49"/>
    <n v="4"/>
    <n v="34"/>
    <n v="32"/>
    <n v="2"/>
    <n v="0"/>
    <s v="Following a visual approach, the aircraft landed long and fast and overran the end of the runway into a shanty town while attempting a go-around."/>
    <n v="19"/>
    <n v="0.64150943396226412"/>
    <x v="0"/>
  </r>
  <r>
    <n v="3968"/>
    <x v="3602"/>
    <x v="84"/>
    <x v="3"/>
    <d v="1899-12-30T12:30:00"/>
    <s v="Near Moron, Mongolia"/>
    <s v="MIAT - Mongolian Airlines"/>
    <s v="Unknown"/>
    <s v="Ulan Bator - Moron"/>
    <x v="1275"/>
    <s v="BNMAU-10103"/>
    <n v="573101103"/>
    <n v="43"/>
    <n v="37"/>
    <n v="6"/>
    <n v="42"/>
    <n v="36"/>
    <n v="6"/>
    <n v="0"/>
    <s v="The plane crashed into mountains after a premature descent."/>
    <n v="1"/>
    <n v="0.97674418604651159"/>
    <x v="1"/>
  </r>
  <r>
    <n v="3969"/>
    <x v="3603"/>
    <x v="84"/>
    <x v="3"/>
    <d v="1899-12-30T07:45:00"/>
    <s v="Anchorage, Alaska"/>
    <s v="Military - U.S. Air Force"/>
    <n v="27"/>
    <s v="Anchorage-Elmendorf AFB - Anchorage-Elmendorf AFB"/>
    <x v="1831"/>
    <s v="77-0354"/>
    <s v="21554/933"/>
    <n v="24"/>
    <n v="20"/>
    <n v="4"/>
    <n v="24"/>
    <n v="20"/>
    <n v="4"/>
    <n v="0"/>
    <s v="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
    <n v="0"/>
    <n v="1"/>
    <x v="1"/>
  </r>
  <r>
    <n v="3970"/>
    <x v="3604"/>
    <x v="84"/>
    <x v="3"/>
    <s v="Unknown"/>
    <s v="Sterligov Cape, Russia"/>
    <s v="Norilsk Flight Company"/>
    <s v="Unknown"/>
    <s v="Cape Chelyuskin - Sterligov Cope"/>
    <x v="1692"/>
    <s v="RA-24553"/>
    <n v="98522942"/>
    <n v="15"/>
    <n v="10"/>
    <n v="5"/>
    <n v="15"/>
    <n v="10"/>
    <n v="5"/>
    <n v="0"/>
    <s v="Crashed through the ice while attempting to land and sank in shallow water. The weather conditions were below minima and the helicopter exceeded its maximum takeoff weight."/>
    <n v="0"/>
    <n v="1"/>
    <x v="1"/>
  </r>
  <r>
    <n v="3971"/>
    <x v="3605"/>
    <x v="84"/>
    <x v="3"/>
    <d v="1899-12-30T19:10:00"/>
    <s v="Campbell River, British Columbia, Canada"/>
    <s v="Western Straits Air"/>
    <s v="-"/>
    <s v="Triumph Bay - Campbell River"/>
    <x v="1832"/>
    <s v="C-FEBX"/>
    <n v="38"/>
    <n v="10"/>
    <n v="9"/>
    <n v="1"/>
    <n v="8"/>
    <n v="7"/>
    <n v="1"/>
    <n v="0"/>
    <s v="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
    <n v="2"/>
    <n v="0.8"/>
    <x v="1"/>
  </r>
  <r>
    <n v="3972"/>
    <x v="3606"/>
    <x v="84"/>
    <x v="3"/>
    <d v="1899-12-30T08:00:00"/>
    <s v="Gunung Antara, Indonesia"/>
    <s v="Sabang Merauke Raya Air Charter"/>
    <n v="1994"/>
    <s v="Medan - Meulaboh"/>
    <x v="1833"/>
    <s v="PK-ZAG"/>
    <s v="158/28N"/>
    <n v="14"/>
    <n v="12"/>
    <n v="2"/>
    <n v="1"/>
    <n v="0"/>
    <n v="1"/>
    <n v="0"/>
    <s v="Thirty minutes into the flight the aircraft was not able to maintain altitude after oil pressure was lost in the No. 1 engine. Crashed into trees."/>
    <n v="13"/>
    <n v="7.1428571428571425E-2"/>
    <x v="2"/>
  </r>
  <r>
    <n v="3973"/>
    <x v="3607"/>
    <x v="84"/>
    <x v="3"/>
    <s v="Unknown"/>
    <s v="Barskoon, Kirghizia"/>
    <s v="Kirghizia Aba Zaoldoru"/>
    <s v="Unknown"/>
    <s v="Unknown"/>
    <x v="1834"/>
    <s v="EX-25179"/>
    <n v="95489"/>
    <n v="15"/>
    <n v="12"/>
    <n v="3"/>
    <n v="15"/>
    <n v="12"/>
    <n v="3"/>
    <n v="0"/>
    <s v="The helicopter crashed into mountains at Barskoon Pass while en route."/>
    <n v="0"/>
    <n v="1"/>
    <x v="1"/>
  </r>
  <r>
    <n v="3974"/>
    <x v="3608"/>
    <x v="84"/>
    <x v="3"/>
    <d v="1899-12-30T21:00:00"/>
    <s v="Near Luyaba, Argentina"/>
    <s v="Military - Argentine Air Force"/>
    <s v="Unknown"/>
    <s v="Comodoro Rivadavia - Cordoba"/>
    <x v="1161"/>
    <s v="TC-72"/>
    <n v="10619"/>
    <n v="53"/>
    <n v="48"/>
    <n v="5"/>
    <n v="53"/>
    <n v="48"/>
    <n v="5"/>
    <n v="0"/>
    <s v="The aircraft crashed into a 8,000 ft. mountain  in the Sierra Grande range while climbing en route from Comodoro Rivadavia to Cordoba in heavy rain and strong turbulence. The passengers included military personnel and their dependents."/>
    <n v="0"/>
    <n v="1"/>
    <x v="1"/>
  </r>
  <r>
    <n v="3975"/>
    <x v="3609"/>
    <x v="84"/>
    <x v="3"/>
    <d v="1899-12-30T08:55:00"/>
    <s v="Kaduna, Nigeria"/>
    <s v="Nigeria Airways"/>
    <n v="357"/>
    <s v="Jos - Kano"/>
    <x v="1835"/>
    <s v="5N-AUA"/>
    <n v="22985"/>
    <n v="137"/>
    <n v="129"/>
    <n v="8"/>
    <n v="9"/>
    <n v="9"/>
    <n v="0"/>
    <n v="0"/>
    <s v="The aircraft touched down halfway down the runway, veered off the runway where dry grass caught fire under the aircraft and eventually spread destroying the aircraft."/>
    <n v="128"/>
    <n v="6.569343065693431E-2"/>
    <x v="2"/>
  </r>
  <r>
    <n v="3976"/>
    <x v="3610"/>
    <x v="84"/>
    <x v="3"/>
    <d v="1899-12-30T19:00:00"/>
    <s v="Off Jaffna Peninsula , Sri Lanka"/>
    <s v="Military - Sri Lanka Air Force"/>
    <s v="Unknown"/>
    <s v="Colombo - Palay AFB"/>
    <x v="1625"/>
    <s v="CR862"/>
    <n v="3503"/>
    <n v="63"/>
    <n v="57"/>
    <n v="6"/>
    <n v="63"/>
    <n v="57"/>
    <n v="6"/>
    <n v="0"/>
    <s v="Crashed into the Indian Ocean while attempting to land at Palay Air Force Base. Most likely shot down by Tamil rebels."/>
    <n v="0"/>
    <n v="1"/>
    <x v="1"/>
  </r>
  <r>
    <n v="3977"/>
    <x v="3611"/>
    <x v="84"/>
    <x v="3"/>
    <d v="1899-12-30T10:15:00"/>
    <s v="Off Labuan, Malaysia"/>
    <s v="Sabah Air"/>
    <s v="Unknown"/>
    <s v="Unknown"/>
    <x v="1836"/>
    <s v="9M-AYW"/>
    <n v="33171"/>
    <n v="10"/>
    <n v="8"/>
    <n v="2"/>
    <n v="10"/>
    <n v="8"/>
    <n v="2"/>
    <n v="0"/>
    <s v="Crashed at sea disappearing while en route. Debris found near Labuan Island.  Strong winds and thunderstorms were in the area at the time."/>
    <n v="0"/>
    <n v="1"/>
    <x v="1"/>
  </r>
  <r>
    <n v="3978"/>
    <x v="3612"/>
    <x v="84"/>
    <x v="3"/>
    <d v="1899-12-30T19:10:00"/>
    <s v="Baku, Azerbaijan"/>
    <s v="Azerbaijan Airlines"/>
    <s v="Unknown"/>
    <s v="Unknown"/>
    <x v="1837"/>
    <s v="4K-401"/>
    <s v="19584/663"/>
    <n v="6"/>
    <n v="0"/>
    <n v="6"/>
    <n v="2"/>
    <n v="0"/>
    <n v="2"/>
    <n v="0"/>
    <s v="While attempting to land the cargo plane struck light posts and crashed into a field."/>
    <n v="4"/>
    <n v="0.33333333333333331"/>
    <x v="2"/>
  </r>
  <r>
    <n v="3979"/>
    <x v="3613"/>
    <x v="84"/>
    <x v="3"/>
    <d v="1899-12-30T22:44:00"/>
    <s v="Near Douala, Cameroon"/>
    <s v="Cameroon Airlines"/>
    <n v="3701"/>
    <s v="Cotonou - Douala"/>
    <x v="1838"/>
    <s v="TJ-CBE"/>
    <s v="23386/1143"/>
    <n v="78"/>
    <n v="72"/>
    <n v="6"/>
    <n v="72"/>
    <n v="68"/>
    <n v="4"/>
    <n v="0"/>
    <s v="The plane went into a dive and crashed 6 km short of the runway into a swamp during a second attempt at landing. Loss of power in the No. 1 engine."/>
    <n v="6"/>
    <n v="0.92307692307692313"/>
    <x v="1"/>
  </r>
  <r>
    <n v="3980"/>
    <x v="3614"/>
    <x v="84"/>
    <x v="3"/>
    <d v="1899-12-30T17:55:00"/>
    <s v="Near Nakhichevan, Azerbaijan, Russia"/>
    <s v="Azerbaijani Airlines"/>
    <n v="56"/>
    <s v="Nakhichevan - Baku"/>
    <x v="1839"/>
    <s v="4K-65703"/>
    <n v="63383"/>
    <n v="82"/>
    <n v="76"/>
    <n v="6"/>
    <n v="54"/>
    <n v="52"/>
    <n v="2"/>
    <n v="0"/>
    <s v="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
    <n v="28"/>
    <n v="0.65853658536585369"/>
    <x v="1"/>
  </r>
  <r>
    <n v="3981"/>
    <x v="3615"/>
    <x v="84"/>
    <x v="3"/>
    <d v="1899-12-30T05:20:00"/>
    <s v="Near Grossevichi, Russia"/>
    <s v="Far East Aviation"/>
    <n v="3949"/>
    <s v="Yushno - Khabarovk"/>
    <x v="1293"/>
    <s v="RA-85164"/>
    <s v="76A-0164"/>
    <n v="98"/>
    <n v="90"/>
    <n v="8"/>
    <n v="98"/>
    <n v="90"/>
    <n v="8"/>
    <n v="0"/>
    <s v="The aircraft crashed into mountainous terrain while en route. Crew error. Fuel-feed selected from wing tanks on one side only, causing an imbalance and banking to the right. The autopilot was able to counteract the imbalance for approximately 35 minutes into the flight."/>
    <n v="0"/>
    <n v="1"/>
    <x v="1"/>
  </r>
  <r>
    <n v="3982"/>
    <x v="3616"/>
    <x v="84"/>
    <x v="3"/>
    <d v="1899-12-30T19:00:00"/>
    <s v="Verona  - Villafranca, Italy"/>
    <s v="Romanian Banat Air"/>
    <n v="166"/>
    <s v="Verona - Timisoara"/>
    <x v="1009"/>
    <s v="YR-AMR"/>
    <n v="77303309"/>
    <n v="49"/>
    <n v="41"/>
    <n v="8"/>
    <n v="49"/>
    <n v="41"/>
    <n v="8"/>
    <n v="0"/>
    <s v="The plane crashed and burned shortly after takeoff after reaching a height of 500 ft. Combination of overloading and icing."/>
    <n v="0"/>
    <n v="1"/>
    <x v="1"/>
  </r>
  <r>
    <n v="3983"/>
    <x v="3617"/>
    <x v="84"/>
    <x v="3"/>
    <s v="Unknown"/>
    <s v="Cahungula, Angola"/>
    <s v="Trans Service Airlift"/>
    <s v="Unknown"/>
    <s v="Jamba Airport - ?"/>
    <x v="880"/>
    <s v="9Q-CRR"/>
    <n v="1080"/>
    <n v="144"/>
    <n v="139"/>
    <n v="5"/>
    <n v="141"/>
    <n v="137"/>
    <n v="4"/>
    <n v="0"/>
    <s v="The plane, chartered by the UNITA rebel movement, stalled and crashed shortly after takeoff from Jamba. Overloaded by 40 passengers. One report stated baggage shifted to the rear of the plane."/>
    <n v="3"/>
    <n v="0.97916666666666663"/>
    <x v="1"/>
  </r>
  <r>
    <n v="3984"/>
    <x v="3618"/>
    <x v="84"/>
    <x v="3"/>
    <d v="1899-12-30T21:38:00"/>
    <s v="Near Buga, Valle del Cauca, Colombia"/>
    <s v="American Airlines"/>
    <n v="965"/>
    <s v="Miami - Cali"/>
    <x v="1840"/>
    <s v="N651AA"/>
    <s v="24609/390"/>
    <n v="164"/>
    <n v="156"/>
    <n v="8"/>
    <n v="160"/>
    <n v="152"/>
    <n v="8"/>
    <n v="0"/>
    <s v="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quot;R&quot;,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
    <n v="4"/>
    <n v="0.97560975609756095"/>
    <x v="1"/>
  </r>
  <r>
    <n v="3985"/>
    <x v="3619"/>
    <x v="84"/>
    <x v="3"/>
    <s v="Unknown"/>
    <s v="Bagasin, Papua New Guinea"/>
    <s v="Island Airways"/>
    <s v="Unknown"/>
    <s v="Madang - Bundi"/>
    <x v="1789"/>
    <s v="P2-NAM"/>
    <n v="207"/>
    <n v="12"/>
    <n v="11"/>
    <n v="1"/>
    <n v="2"/>
    <n v="1"/>
    <n v="1"/>
    <n v="0"/>
    <s v="Diverted from Madang to Bagasin, overran the runway and crashed."/>
    <n v="10"/>
    <n v="0.16666666666666666"/>
    <x v="2"/>
  </r>
  <r>
    <n v="3986"/>
    <x v="3620"/>
    <x v="85"/>
    <x v="3"/>
    <s v="Unknown"/>
    <s v="Off Bridgetown, Barbados"/>
    <s v="Mustique Airways"/>
    <s v="Unknown"/>
    <s v="Union Island - Bridgetown"/>
    <x v="1841"/>
    <s v="J8-VAK"/>
    <n v="436"/>
    <n v="10"/>
    <n v="9"/>
    <n v="1"/>
    <n v="1"/>
    <n v="1"/>
    <n v="0"/>
    <n v="0"/>
    <s v="After losing an engine the plane began to lose altitude and ditched in the Atlantic Ocean 30 km southwest of Bridgetown."/>
    <n v="9"/>
    <n v="0.1"/>
    <x v="2"/>
  </r>
  <r>
    <n v="3987"/>
    <x v="3620"/>
    <x v="85"/>
    <x v="3"/>
    <d v="1899-12-30T12:43:00"/>
    <s v="Kinshasa, Zaire"/>
    <s v="African Air"/>
    <s v="Unknown"/>
    <s v="Kinshasa - Kahemba"/>
    <x v="1805"/>
    <s v="RA-26222"/>
    <n v="2301"/>
    <n v="6"/>
    <n v="0"/>
    <n v="6"/>
    <n v="2"/>
    <n v="0"/>
    <n v="2"/>
    <n v="225"/>
    <s v="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
    <n v="4"/>
    <n v="0.33333333333333331"/>
    <x v="2"/>
  </r>
  <r>
    <n v="3988"/>
    <x v="3621"/>
    <x v="85"/>
    <x v="3"/>
    <d v="1899-12-30T20:20:00"/>
    <s v="Near Kano, Nigeria"/>
    <s v="Military - Nigerian Air Force"/>
    <s v="Unknown"/>
    <s v="Lagos - Kano"/>
    <x v="1842"/>
    <s v="5N-AXO"/>
    <n v="257196"/>
    <n v="14"/>
    <n v="10"/>
    <n v="4"/>
    <n v="14"/>
    <n v="10"/>
    <n v="4"/>
    <n v="0"/>
    <s v="Crashed 4.5 miles short of the runway while making an approach to Kano. Claimed to be shot down by the United Front for Nigeria's Liberation."/>
    <n v="0"/>
    <n v="1"/>
    <x v="1"/>
  </r>
  <r>
    <n v="3989"/>
    <x v="3622"/>
    <x v="85"/>
    <x v="3"/>
    <d v="1899-12-30T12:00:00"/>
    <s v="Off Point Pedro, Sri Lanka"/>
    <s v="Military - Sri Lanka Air Force"/>
    <s v="Unknown"/>
    <s v="Unknown"/>
    <x v="1569"/>
    <s v="CH-587"/>
    <s v="Unknown"/>
    <n v="39"/>
    <s v="NULL"/>
    <s v="NULL"/>
    <n v="39"/>
    <s v="NULL"/>
    <s v="NULL"/>
    <n v="0"/>
    <s v="Shot down by Tamil rebels and crashed into the Indian Ocean."/>
    <n v="0"/>
    <n v="1"/>
    <x v="1"/>
  </r>
  <r>
    <n v="3990"/>
    <x v="3623"/>
    <x v="85"/>
    <x v="3"/>
    <d v="1899-12-30T14:12:00"/>
    <s v="Asuncion, Paraguay"/>
    <s v="Lineas Aereas del Caribe"/>
    <s v="Unknown"/>
    <s v="Asuncion - Campina Grande"/>
    <x v="1272"/>
    <s v="HK-3979X"/>
    <s v="45882/282"/>
    <n v="4"/>
    <n v="1"/>
    <n v="3"/>
    <n v="4"/>
    <n v="1"/>
    <n v="3"/>
    <n v="24"/>
    <s v="The No. 1 engine failed or power was reduced after takeoff followed by loss of the second engine. With the gear down and flaps extended,  the crew lost control of the aircraft and crashed 1.2 miles past the runway into a soccer field killing 24 on the ground."/>
    <n v="0"/>
    <n v="1"/>
    <x v="1"/>
  </r>
  <r>
    <n v="3991"/>
    <x v="3624"/>
    <x v="85"/>
    <x v="3"/>
    <d v="1899-12-30T09:50:00"/>
    <s v="St. Johns, Arizona"/>
    <s v="Business Air Connection"/>
    <s v="Unknown"/>
    <s v="St. Johns, AZ - Brownsville, TX"/>
    <x v="1843"/>
    <s v="N131T"/>
    <n v="338"/>
    <n v="4"/>
    <n v="2"/>
    <n v="2"/>
    <n v="4"/>
    <n v="2"/>
    <n v="2"/>
    <n v="0"/>
    <s v="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
    <n v="0"/>
    <n v="1"/>
    <x v="1"/>
  </r>
  <r>
    <n v="3992"/>
    <x v="3625"/>
    <x v="85"/>
    <x v="3"/>
    <d v="1899-12-30T23:47:00"/>
    <s v="Off Puerto Plata, Domincan Republic"/>
    <s v="Alas Nacionales, leased from Birgen Air"/>
    <n v="301"/>
    <s v="Puerto Plata - Gander"/>
    <x v="1844"/>
    <s v="TC-GEN"/>
    <s v="22206/31"/>
    <n v="189"/>
    <n v="176"/>
    <n v="13"/>
    <n v="189"/>
    <n v="176"/>
    <n v="13"/>
    <n v="0"/>
    <s v="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
    <n v="0"/>
    <n v="1"/>
    <x v="1"/>
  </r>
  <r>
    <n v="3993"/>
    <x v="3626"/>
    <x v="85"/>
    <x v="3"/>
    <s v="Unknown"/>
    <s v="Near Kandahar, Afghanistan"/>
    <s v="Military - Taliban Militia"/>
    <s v="Unknown"/>
    <s v="Unknown"/>
    <x v="45"/>
    <s v="Unknown"/>
    <s v="Unknown"/>
    <n v="20"/>
    <s v="NULL"/>
    <s v="NULL"/>
    <n v="20"/>
    <s v="NULL"/>
    <s v="NULL"/>
    <n v="0"/>
    <s v="The helicopter was shot down."/>
    <n v="0"/>
    <n v="1"/>
    <x v="1"/>
  </r>
  <r>
    <n v="3994"/>
    <x v="3627"/>
    <x v="85"/>
    <x v="3"/>
    <d v="1899-12-30T12:01:00"/>
    <s v="Port-au-Prince, Hati"/>
    <s v="Hati Express"/>
    <s v="Unknown"/>
    <s v="Port-au-Prince - Cap Haitien"/>
    <x v="1845"/>
    <s v="N224E"/>
    <n v="62"/>
    <n v="15"/>
    <n v="13"/>
    <n v="2"/>
    <n v="11"/>
    <n v="9"/>
    <n v="2"/>
    <n v="0"/>
    <s v="Shortly after lifting off of the ground, the aircraft rolled to the right and struck the ground ending up inverted in a ditch."/>
    <n v="4"/>
    <n v="0.73333333333333328"/>
    <x v="1"/>
  </r>
  <r>
    <n v="3995"/>
    <x v="3628"/>
    <x v="85"/>
    <x v="3"/>
    <d v="1899-12-30T19:00:00"/>
    <s v="Near Jabal Awliya, Sudan"/>
    <s v="Military - Sudanese Air Force"/>
    <s v="Unknown"/>
    <s v="El Obeid - Khartoum"/>
    <x v="1262"/>
    <s v="Unknown"/>
    <s v="Unknown"/>
    <n v="91"/>
    <n v="85"/>
    <n v="6"/>
    <n v="91"/>
    <n v="85"/>
    <n v="6"/>
    <n v="0"/>
    <s v="Crashed SW of Khartoum while attempting an emergency landing after reporting an in-flight out of control fire."/>
    <n v="0"/>
    <n v="1"/>
    <x v="1"/>
  </r>
  <r>
    <n v="3996"/>
    <x v="3629"/>
    <x v="85"/>
    <x v="3"/>
    <d v="1899-12-30T05:40:00"/>
    <s v="Near Lukapa, Angola"/>
    <s v="Aero Tropical"/>
    <s v="Unknown"/>
    <s v="Ludana - Lukapa"/>
    <x v="1621"/>
    <s v="ER-ACE"/>
    <n v="402812"/>
    <n v="8"/>
    <n v="3"/>
    <n v="5"/>
    <n v="8"/>
    <n v="3"/>
    <n v="5"/>
    <n v="0"/>
    <s v="The cargo plane crashed in rain and poor visibility while on approach."/>
    <n v="0"/>
    <n v="1"/>
    <x v="1"/>
  </r>
  <r>
    <n v="3997"/>
    <x v="3630"/>
    <x v="85"/>
    <x v="3"/>
    <d v="1899-12-30T20:25:00"/>
    <s v="Arequipa, Peru"/>
    <s v="Compania de Aviacion Faucett SA (Peru)"/>
    <n v="251"/>
    <s v="Lima - Arequipa"/>
    <x v="1218"/>
    <s v="OB-1451"/>
    <s v="19072/86"/>
    <n v="123"/>
    <n v="117"/>
    <n v="6"/>
    <n v="123"/>
    <n v="117"/>
    <n v="6"/>
    <n v="0"/>
    <s v="The aircraft crashed into a hillside several miles from the airport while attempting to land. The pilot reported flying at 9,500 ft. when the aircraft was actually flying 8,640 ft. Controlled flight into terrain."/>
    <n v="0"/>
    <n v="1"/>
    <x v="1"/>
  </r>
  <r>
    <n v="3998"/>
    <x v="3631"/>
    <x v="85"/>
    <x v="3"/>
    <s v="Unknown"/>
    <s v="Near Mesones Muro, Peru"/>
    <s v="Military - Peruvian Army Aviation"/>
    <s v="Unknown"/>
    <s v="Condorcanqui - Bagua"/>
    <x v="1846"/>
    <s v="EP561"/>
    <s v="Unknown"/>
    <n v="23"/>
    <s v="NULL"/>
    <s v="NULL"/>
    <n v="23"/>
    <s v="NULL"/>
    <s v="NULL"/>
    <n v="0"/>
    <s v="Crashed and exploded north of it's destination in heavy fog after flying into a mountain ridge."/>
    <n v="0"/>
    <n v="1"/>
    <x v="1"/>
  </r>
  <r>
    <n v="3999"/>
    <x v="3632"/>
    <x v="85"/>
    <x v="3"/>
    <s v="Unknown"/>
    <s v="Karabogazgol Bay, Turkmenistan"/>
    <s v="Akhal Air"/>
    <s v="Unknown"/>
    <s v="Unknown"/>
    <x v="1847"/>
    <s v="EZ-22684"/>
    <n v="8142"/>
    <n v="12"/>
    <n v="9"/>
    <n v="3"/>
    <n v="12"/>
    <n v="9"/>
    <n v="3"/>
    <n v="0"/>
    <s v="Crashed into the sea while approaching an oil rig to land in strong winds."/>
    <n v="0"/>
    <n v="1"/>
    <x v="1"/>
  </r>
  <r>
    <n v="4000"/>
    <x v="3633"/>
    <x v="85"/>
    <x v="3"/>
    <d v="1899-12-30T14:52:00"/>
    <s v="Near Dubrovnik, Croatia"/>
    <s v="Military - U.S. Air Force"/>
    <n v="21"/>
    <s v="Tizla - Dubrovnik"/>
    <x v="1848"/>
    <s v="73-1149"/>
    <s v="20696/347"/>
    <n v="35"/>
    <n v="29"/>
    <n v="6"/>
    <n v="35"/>
    <n v="29"/>
    <n v="6"/>
    <n v="0"/>
    <s v="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
    <n v="0"/>
    <n v="1"/>
    <x v="1"/>
  </r>
  <r>
    <n v="4001"/>
    <x v="3634"/>
    <x v="85"/>
    <x v="3"/>
    <d v="1899-12-30T14:44:00"/>
    <s v="Near Petropavlovsk, Russia"/>
    <s v="Krasnoyarskie Avialinii"/>
    <s v="Unknown"/>
    <s v="Novosibirsk - Petropavlovsk"/>
    <x v="1658"/>
    <s v="RA-76752"/>
    <n v="93498967"/>
    <n v="20"/>
    <n v="11"/>
    <n v="9"/>
    <n v="20"/>
    <n v="11"/>
    <n v="9"/>
    <n v="0"/>
    <s v="The cargo plane, carrying 57 tones of detergent, crashed into a mountain at an altitude of 2,900 feet. The airplane descended through clouds to an altitude of 900m and flew into the side of a mountain, 300m below the summit."/>
    <n v="0"/>
    <n v="1"/>
    <x v="1"/>
  </r>
  <r>
    <n v="4002"/>
    <x v="3634"/>
    <x v="85"/>
    <x v="3"/>
    <s v="Unknown"/>
    <s v="Off Matsu Island, Taiwan"/>
    <s v="Formosa Airlines"/>
    <s v="Unknown"/>
    <s v="Taipei - Matsu Island"/>
    <x v="1849"/>
    <s v="B-12257"/>
    <n v="8223"/>
    <n v="17"/>
    <n v="15"/>
    <n v="2"/>
    <n v="6"/>
    <n v="6"/>
    <n v="0"/>
    <n v="0"/>
    <s v="After holding for 30 minutes the aircraft undershot the runway during a visual approach and crashed into the sea in heavy fog."/>
    <n v="11"/>
    <n v="0.35294117647058826"/>
    <x v="0"/>
  </r>
  <r>
    <n v="4003"/>
    <x v="3635"/>
    <x v="85"/>
    <x v="3"/>
    <d v="1899-12-30T08:24:00"/>
    <s v="Cheyenne, Wyoming"/>
    <s v="Private"/>
    <s v="Unknown"/>
    <s v="Cheyenne, WY - Lincoln, NE"/>
    <x v="1850"/>
    <s v="N35207"/>
    <n v="17702266"/>
    <n v="3"/>
    <n v="2"/>
    <n v="1"/>
    <n v="3"/>
    <n v="2"/>
    <n v="1"/>
    <n v="0"/>
    <s v="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
    <n v="0"/>
    <n v="1"/>
    <x v="1"/>
  </r>
  <r>
    <n v="4004"/>
    <x v="3636"/>
    <x v="85"/>
    <x v="3"/>
    <d v="1899-12-30T22:00:00"/>
    <s v="Near Haj Yousif, Sudan"/>
    <s v="Federal Airlines"/>
    <s v="Unknown"/>
    <s v="Wadi Halfa - Khartoum"/>
    <x v="968"/>
    <s v="ST-FAG"/>
    <s v="STFA001"/>
    <n v="53"/>
    <n v="48"/>
    <n v="5"/>
    <n v="53"/>
    <n v="48"/>
    <n v="5"/>
    <n v="0"/>
    <s v="After a number of failed landing attempts during a sandstorm, the aircraft made a forced landing in a local suburb crashing into a building."/>
    <n v="0"/>
    <n v="1"/>
    <x v="1"/>
  </r>
  <r>
    <n v="4005"/>
    <x v="3637"/>
    <x v="85"/>
    <x v="3"/>
    <s v="Unknown"/>
    <s v="Near Terrace, British Columbia, Canada"/>
    <s v="Buffalo Narrows Airways"/>
    <s v="Unknown"/>
    <s v="Unknown"/>
    <x v="781"/>
    <s v="C-GDOB"/>
    <n v="194"/>
    <n v="2"/>
    <n v="0"/>
    <n v="2"/>
    <n v="2"/>
    <n v="0"/>
    <n v="2"/>
    <n v="0"/>
    <s v="On a positioning flight the aircraft flew into a mountain."/>
    <n v="0"/>
    <n v="1"/>
    <x v="1"/>
  </r>
  <r>
    <n v="4006"/>
    <x v="3638"/>
    <x v="85"/>
    <x v="3"/>
    <s v="Unknown"/>
    <s v="Otaez, Mexico"/>
    <s v="Aeroservicios Empresariales de Durango"/>
    <s v="Unknown"/>
    <s v="Durango - Otaez"/>
    <x v="1095"/>
    <s v="XA-SWJ"/>
    <n v="126"/>
    <n v="19"/>
    <n v="17"/>
    <n v="2"/>
    <n v="16"/>
    <n v="14"/>
    <n v="2"/>
    <n v="0"/>
    <s v="Crashed into high ground while attempting to land at a mine airstrip in turbulence and stong gusty winds."/>
    <n v="3"/>
    <n v="0.84210526315789469"/>
    <x v="1"/>
  </r>
  <r>
    <n v="4007"/>
    <x v="3639"/>
    <x v="85"/>
    <x v="3"/>
    <d v="1899-12-30T14:15:00"/>
    <s v="Everglades, Miami, Florida"/>
    <s v="ValuJet"/>
    <n v="592"/>
    <s v="Miami - Atlanta"/>
    <x v="1104"/>
    <s v="N904VJ"/>
    <s v="47377/496"/>
    <n v="110"/>
    <n v="105"/>
    <n v="5"/>
    <n v="110"/>
    <n v="105"/>
    <n v="5"/>
    <n v="0"/>
    <s v="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
    <n v="0"/>
    <n v="1"/>
    <x v="1"/>
  </r>
  <r>
    <n v="4008"/>
    <x v="3639"/>
    <x v="85"/>
    <x v="3"/>
    <d v="1899-12-30T13:15:00"/>
    <s v="Oumba, Papua New Guinea"/>
    <s v="Milne Bay Air"/>
    <s v="Unknown"/>
    <s v="Menyamya - Marakawa"/>
    <x v="1851"/>
    <s v="P2-ISD"/>
    <n v="582"/>
    <n v="10"/>
    <n v="9"/>
    <n v="1"/>
    <n v="1"/>
    <n v="1"/>
    <n v="0"/>
    <n v="0"/>
    <s v="Crashed into a ridge line shrouded in clouds while en route."/>
    <n v="9"/>
    <n v="0.1"/>
    <x v="2"/>
  </r>
  <r>
    <n v="4009"/>
    <x v="3640"/>
    <x v="85"/>
    <x v="3"/>
    <d v="1899-12-30T23:36:00"/>
    <s v="Griesta, United Kingdom"/>
    <s v="Loganair"/>
    <s v="Unknown"/>
    <s v="Inverness - Lerwick"/>
    <x v="1852"/>
    <s v="G-BEDZ"/>
    <n v="544"/>
    <n v="3"/>
    <n v="2"/>
    <n v="1"/>
    <n v="3"/>
    <n v="2"/>
    <n v="1"/>
    <n v="0"/>
    <s v="Crashed during a second attempt at landing"/>
    <n v="0"/>
    <n v="1"/>
    <x v="1"/>
  </r>
  <r>
    <n v="4010"/>
    <x v="3641"/>
    <x v="85"/>
    <x v="3"/>
    <s v="Unknown"/>
    <s v="Kinshasa, Democratic Republic Congo"/>
    <s v="Hoseba"/>
    <s v="Unknown"/>
    <s v="Kinshasa, Congo  - Athens, Greece"/>
    <x v="1853"/>
    <s v="UR-76539"/>
    <n v="33442234"/>
    <n v="10"/>
    <n v="2"/>
    <n v="8"/>
    <n v="10"/>
    <n v="2"/>
    <n v="8"/>
    <n v="0"/>
    <s v="Crashed during takeoff."/>
    <n v="0"/>
    <n v="1"/>
    <x v="1"/>
  </r>
  <r>
    <n v="4011"/>
    <x v="3642"/>
    <x v="85"/>
    <x v="3"/>
    <d v="1899-12-30T14:55:00"/>
    <s v="Rasht, Iran"/>
    <s v="Iran Air"/>
    <s v="Unknown"/>
    <s v="Training"/>
    <x v="1854"/>
    <s v="EP-IRU"/>
    <s v="21079/1131"/>
    <n v="7"/>
    <n v="0"/>
    <n v="7"/>
    <n v="7"/>
    <n v="0"/>
    <n v="7"/>
    <n v="0"/>
    <s v="The training flight crashed into a field during touch-and-go landings."/>
    <n v="0"/>
    <n v="1"/>
    <x v="1"/>
  </r>
  <r>
    <n v="4012"/>
    <x v="3643"/>
    <x v="85"/>
    <x v="3"/>
    <d v="1899-12-30T19:00:00"/>
    <s v="Near Rollingstone, Queensland  Australia"/>
    <s v="Military - Australian Army Aviation"/>
    <s v="Unknown"/>
    <s v="Unknown"/>
    <x v="1855"/>
    <s v="A25-113/A25-209"/>
    <s v="70-1186 / 70-1346"/>
    <n v="28"/>
    <s v="NULL"/>
    <s v="NULL"/>
    <n v="18"/>
    <s v="NULL"/>
    <s v="NULL"/>
    <n v="0"/>
    <s v="The two helicopters collided in mid-air while flying in formation. The pilots may have possibly been  stressed fatigued and inadequately prepared and were flying too low to see the target."/>
    <n v="10"/>
    <n v="0.6428571428571429"/>
    <x v="0"/>
  </r>
  <r>
    <n v="4013"/>
    <x v="3644"/>
    <x v="85"/>
    <x v="3"/>
    <d v="1899-12-30T12:07:00"/>
    <s v="Fukuoka, Japan"/>
    <s v="Garuda Indonesia Airlines"/>
    <n v="865"/>
    <s v="Fukuoka - Denpasar"/>
    <x v="1405"/>
    <s v="PK-GIE"/>
    <s v="46685/284"/>
    <n v="275"/>
    <n v="260"/>
    <n v="15"/>
    <n v="3"/>
    <n v="3"/>
    <n v="0"/>
    <n v="0"/>
    <s v="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
    <n v="272"/>
    <n v="1.090909090909091E-2"/>
    <x v="2"/>
  </r>
  <r>
    <n v="4014"/>
    <x v="3645"/>
    <x v="85"/>
    <x v="3"/>
    <d v="1899-12-30T17:04:00"/>
    <s v="Shanghai, China"/>
    <s v="China Flying Dragon Aviation (Feilong Airlines)"/>
    <s v="Unknown"/>
    <s v="Dalian - Shanghai"/>
    <x v="1856"/>
    <s v="B-3822"/>
    <n v="1"/>
    <n v="12"/>
    <n v="9"/>
    <n v="3"/>
    <n v="2"/>
    <n v="1"/>
    <n v="1"/>
    <n v="0"/>
    <s v="The aircraft crashed into a mountain after deviating off course during a landing attempt."/>
    <n v="10"/>
    <n v="0.16666666666666666"/>
    <x v="2"/>
  </r>
  <r>
    <n v="4015"/>
    <x v="3646"/>
    <x v="85"/>
    <x v="3"/>
    <d v="1899-12-30T15:42:00"/>
    <s v="Pensacola, Florida"/>
    <s v="Delta Air Lines"/>
    <n v="1288"/>
    <s v="Pensacola - Atlanta"/>
    <x v="1857"/>
    <s v="N927DA"/>
    <s v="49714/1524"/>
    <n v="142"/>
    <n v="137"/>
    <n v="5"/>
    <n v="2"/>
    <n v="2"/>
    <n v="0"/>
    <n v="0"/>
    <s v="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
    <n v="140"/>
    <n v="1.4084507042253521E-2"/>
    <x v="2"/>
  </r>
  <r>
    <n v="4016"/>
    <x v="3647"/>
    <x v="85"/>
    <x v="3"/>
    <d v="1899-12-30T16:30:00"/>
    <s v="Papua, New Guinea"/>
    <s v="Milne Bay Air"/>
    <s v="Unknown"/>
    <s v="Bosavi - Mendi"/>
    <x v="1220"/>
    <s v="P2-MBB"/>
    <n v="290"/>
    <n v="20"/>
    <n v="19"/>
    <n v="1"/>
    <n v="20"/>
    <n v="19"/>
    <n v="1"/>
    <n v="0"/>
    <s v="Just after beginning its final approach, the aircraft crashed into the side of a  mountain at about 9,200 feet in rain and poor visibility."/>
    <n v="0"/>
    <n v="1"/>
    <x v="1"/>
  </r>
  <r>
    <n v="4017"/>
    <x v="3648"/>
    <x v="85"/>
    <x v="3"/>
    <d v="1899-12-30T09:00:00"/>
    <s v="Near Kanda, India"/>
    <s v="Archana Airlines"/>
    <s v="Unknown"/>
    <s v="Delhi - Shimla - Kulu"/>
    <x v="1858"/>
    <s v="VT-ETC"/>
    <n v="942703"/>
    <n v="9"/>
    <n v="6"/>
    <n v="3"/>
    <n v="9"/>
    <n v="6"/>
    <n v="3"/>
    <n v="0"/>
    <s v="The aircraft flew into a Bandi Hill while descending inbound to Kulu in heavy fog."/>
    <n v="0"/>
    <n v="1"/>
    <x v="1"/>
  </r>
  <r>
    <n v="4018"/>
    <x v="3649"/>
    <x v="85"/>
    <x v="3"/>
    <d v="1899-12-30T18:00:00"/>
    <s v="Near Eindhoven, The Netherlands"/>
    <s v="Military - Belgian Air Force"/>
    <s v="Unknown"/>
    <s v="Villafranca, Italy - Eindhoven AB"/>
    <x v="1262"/>
    <s v="CH-06"/>
    <n v="4473"/>
    <n v="41"/>
    <n v="37"/>
    <n v="4"/>
    <n v="34"/>
    <n v="30"/>
    <n v="4"/>
    <n v="0"/>
    <s v="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
    <n v="7"/>
    <n v="0.82926829268292679"/>
    <x v="1"/>
  </r>
  <r>
    <n v="4019"/>
    <x v="3650"/>
    <x v="85"/>
    <x v="3"/>
    <d v="1899-12-30T16:35:00"/>
    <s v="Near Playa del Carmen, Mexico"/>
    <s v="Aerolatino (Aerocaribe)"/>
    <s v="Unknown"/>
    <s v="Holvox Island - Playa del Carmen"/>
    <x v="1220"/>
    <s v="XA-TCF"/>
    <n v="734"/>
    <n v="18"/>
    <n v="16"/>
    <n v="2"/>
    <n v="1"/>
    <n v="1"/>
    <n v="0"/>
    <n v="0"/>
    <s v="Crashed 150 ft. short of the runway."/>
    <n v="17"/>
    <n v="5.5555555555555552E-2"/>
    <x v="2"/>
  </r>
  <r>
    <n v="4020"/>
    <x v="3650"/>
    <x v="85"/>
    <x v="3"/>
    <d v="1899-12-30T20:31:00"/>
    <s v="Off East Moriches, New York"/>
    <s v="Trans World Airlines"/>
    <n v="800"/>
    <s v="New York City - Paris"/>
    <x v="1859"/>
    <s v="N93119"/>
    <s v="20083/153"/>
    <n v="230"/>
    <n v="212"/>
    <n v="18"/>
    <n v="230"/>
    <n v="212"/>
    <n v="18"/>
    <n v="0"/>
    <s v="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
    <n v="0"/>
    <n v="1"/>
    <x v="1"/>
  </r>
  <r>
    <n v="4021"/>
    <x v="3651"/>
    <x v="85"/>
    <x v="3"/>
    <d v="1899-12-30T15:15:00"/>
    <s v="Russian Mission, Alaska"/>
    <s v="Northern Air Cargo"/>
    <n v="33"/>
    <s v="Emmonak - Aniak"/>
    <x v="681"/>
    <s v="N313RS"/>
    <s v="44663/630"/>
    <n v="4"/>
    <n v="1"/>
    <n v="3"/>
    <n v="4"/>
    <n v="1"/>
    <n v="3"/>
    <n v="0"/>
    <s v="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n v="0"/>
    <n v="1"/>
    <x v="1"/>
  </r>
  <r>
    <n v="4022"/>
    <x v="3652"/>
    <x v="85"/>
    <x v="3"/>
    <s v="Unknown"/>
    <s v="Near Mergui, Manmar"/>
    <s v="Myanmar Airways"/>
    <s v="Unknown"/>
    <s v="Rangoon - Mergui"/>
    <x v="1108"/>
    <s v="XY-AET"/>
    <n v="10433"/>
    <n v="49"/>
    <n v="44"/>
    <n v="5"/>
    <n v="8"/>
    <n v="8"/>
    <n v="0"/>
    <n v="0"/>
    <s v="A straight-in visual approach to Mergui was being attempted when the aircraft entered a squall line of heavy rain. The aircraft then started to lose height quickly, undershot the runway by 800ft. And crashed into a ravine."/>
    <n v="41"/>
    <n v="0.16326530612244897"/>
    <x v="2"/>
  </r>
  <r>
    <n v="4023"/>
    <x v="3653"/>
    <x v="85"/>
    <x v="3"/>
    <d v="1899-12-30T13:47:00"/>
    <s v="Markham Bay, Canada"/>
    <s v="First Air"/>
    <n v="64"/>
    <s v="Iqaluit - Markham Bay"/>
    <x v="1220"/>
    <s v="C-GNDN"/>
    <n v="427"/>
    <n v="2"/>
    <n v="0"/>
    <n v="2"/>
    <n v="2"/>
    <n v="0"/>
    <n v="2"/>
    <n v="0"/>
    <s v="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
    <n v="0"/>
    <n v="1"/>
    <x v="1"/>
  </r>
  <r>
    <n v="4024"/>
    <x v="3654"/>
    <x v="85"/>
    <x v="3"/>
    <s v="Unknown"/>
    <s v="Near Bronson Creek, British Columbia, Canada"/>
    <s v="Air North"/>
    <s v="Unknown"/>
    <s v="Bronson Creek - Wrangell"/>
    <x v="487"/>
    <s v="C-FGNI"/>
    <s v="10389/120"/>
    <n v="3"/>
    <n v="0"/>
    <n v="3"/>
    <n v="1"/>
    <n v="0"/>
    <n v="1"/>
    <n v="0"/>
    <s v="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
    <n v="2"/>
    <n v="0.33333333333333331"/>
    <x v="2"/>
  </r>
  <r>
    <n v="4025"/>
    <x v="3655"/>
    <x v="85"/>
    <x v="3"/>
    <d v="1899-12-30T23:48:00"/>
    <s v="Near Jackson Hole, Wyoming"/>
    <s v="Military - U.S. Air Force"/>
    <s v="Unknown"/>
    <s v="Jackson Hole, WY - New York, NY"/>
    <x v="1444"/>
    <s v="74-1662"/>
    <n v="4597"/>
    <n v="9"/>
    <n v="1"/>
    <n v="8"/>
    <n v="9"/>
    <n v="1"/>
    <n v="8"/>
    <n v="0"/>
    <s v="The plane struck a mountain. Failure of the crew to monitor the aircraft's position and flight path relative to high terrain surrounding Jackson Hole Airport."/>
    <n v="0"/>
    <n v="1"/>
    <x v="1"/>
  </r>
  <r>
    <n v="4026"/>
    <x v="3656"/>
    <x v="85"/>
    <x v="3"/>
    <d v="1899-12-30T19:50:00"/>
    <s v=" Near Alliford Bay, British Columbia, Canada2"/>
    <s v="Harbour Air"/>
    <s v="Unknown"/>
    <s v="Tasu - Alliford"/>
    <x v="1860"/>
    <s v="C-GCMY"/>
    <n v="32"/>
    <n v="3"/>
    <n v="2"/>
    <n v="1"/>
    <n v="3"/>
    <n v="2"/>
    <n v="1"/>
    <n v="0"/>
    <s v="While en route, flew into the side of a mountain. The pilot probably made a navigational error because of restricted visibility in fog and light drizzle and entered the wrong valley, and he delayed his decision to reverse course until he was unable to avoid the weather."/>
    <n v="0"/>
    <n v="1"/>
    <x v="1"/>
  </r>
  <r>
    <n v="4027"/>
    <x v="3657"/>
    <x v="85"/>
    <x v="3"/>
    <d v="1899-12-30T03:16:00"/>
    <s v="Belgrade, Yugosalvia"/>
    <s v="Spair Air Transport"/>
    <s v="Unknown"/>
    <s v="Belgrade - Malta"/>
    <x v="1861"/>
    <s v="RA-76513"/>
    <n v="83414451"/>
    <n v="12"/>
    <n v="2"/>
    <n v="10"/>
    <n v="12"/>
    <n v="2"/>
    <n v="10"/>
    <n v="0"/>
    <s v="After taking off from Belgrade, the plane experienced electrical problems and returned to the airport. After dumping fuel and circling for 3 hours, the plane crashed into a corn field 800m short of the runway."/>
    <n v="0"/>
    <n v="1"/>
    <x v="1"/>
  </r>
  <r>
    <n v="4028"/>
    <x v="3658"/>
    <x v="85"/>
    <x v="3"/>
    <d v="1899-12-30T10:22:00"/>
    <s v="Near Longyearbyen, Norway"/>
    <s v="Vnokovo Airlines"/>
    <n v="2801"/>
    <s v="Moscow - Svalbard"/>
    <x v="1780"/>
    <s v="RA-85621"/>
    <s v="86A-742"/>
    <n v="141"/>
    <n v="129"/>
    <n v="12"/>
    <n v="141"/>
    <n v="129"/>
    <n v="12"/>
    <n v="0"/>
    <s v="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
    <n v="0"/>
    <n v="1"/>
    <x v="1"/>
  </r>
  <r>
    <n v="4029"/>
    <x v="3659"/>
    <x v="85"/>
    <x v="3"/>
    <d v="1899-12-30T16:37:00"/>
    <s v="Waddenzee, Netherlands"/>
    <s v="Dutch Dakota Association"/>
    <s v="Unknown"/>
    <s v="Texel - Amsterdam"/>
    <x v="507"/>
    <s v="PH-DDA"/>
    <n v="19109"/>
    <n v="32"/>
    <n v="26"/>
    <n v="6"/>
    <n v="32"/>
    <n v="26"/>
    <n v="6"/>
    <n v="0"/>
    <s v="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
    <n v="0"/>
    <n v="1"/>
    <x v="1"/>
  </r>
  <r>
    <n v="4030"/>
    <x v="3660"/>
    <x v="85"/>
    <x v="3"/>
    <d v="1899-12-30T01:16:00"/>
    <s v="Off Pasamayo, Peru"/>
    <s v="Aeroperu"/>
    <n v="603"/>
    <s v="Lima - Santiago"/>
    <x v="1862"/>
    <s v="N52AW"/>
    <s v="25489/505"/>
    <n v="70"/>
    <n v="61"/>
    <n v="9"/>
    <n v="70"/>
    <n v="61"/>
    <n v="9"/>
    <n v="0"/>
    <s v="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
    <n v="0"/>
    <n v="1"/>
    <x v="1"/>
  </r>
  <r>
    <n v="4031"/>
    <x v="3661"/>
    <x v="85"/>
    <x v="3"/>
    <s v="Unknown"/>
    <s v="Kahemba, Congo"/>
    <s v="Malu Aviation"/>
    <s v="Unknown"/>
    <s v="Unknown"/>
    <x v="1095"/>
    <s v="9Q-CXK"/>
    <n v="74"/>
    <n v="21"/>
    <n v="19"/>
    <n v="2"/>
    <n v="6"/>
    <n v="4"/>
    <n v="2"/>
    <n v="0"/>
    <s v="Crashed on take off."/>
    <n v="15"/>
    <n v="0.2857142857142857"/>
    <x v="2"/>
  </r>
  <r>
    <n v="4032"/>
    <x v="3662"/>
    <x v="85"/>
    <x v="3"/>
    <s v="Unknown"/>
    <s v="Lukapa, Angola"/>
    <s v="Savanair"/>
    <s v="Unknown"/>
    <s v="Unknown"/>
    <x v="1863"/>
    <s v="RA-11101"/>
    <n v="1347703"/>
    <n v="19"/>
    <n v="13"/>
    <n v="6"/>
    <n v="6"/>
    <n v="5"/>
    <n v="1"/>
    <n v="0"/>
    <s v="While attempting to land the landing lights malfunctioned causing the cargo plane to veer off the runway and crash into a house."/>
    <n v="13"/>
    <n v="0.31578947368421051"/>
    <x v="2"/>
  </r>
  <r>
    <n v="4033"/>
    <x v="3663"/>
    <x v="85"/>
    <x v="3"/>
    <d v="1899-12-30T10:50:00"/>
    <s v="San Francesco al Campo, Italy"/>
    <s v="Aeroflot"/>
    <n v="9981"/>
    <s v="Moscow - Turin, Italy"/>
    <x v="1775"/>
    <s v="RA-82069"/>
    <n v="9773053359122"/>
    <n v="23"/>
    <n v="0"/>
    <n v="23"/>
    <n v="2"/>
    <n v="0"/>
    <n v="2"/>
    <n v="2"/>
    <s v="The cargo plane struck trees and a house while making a second attempt to land. Poor communication and lack of training for the crew. Poor planning approach, the decision to leave late in the second round.  Structural deficiencies in engine control."/>
    <n v="21"/>
    <n v="8.6956521739130432E-2"/>
    <x v="2"/>
  </r>
  <r>
    <n v="4034"/>
    <x v="3664"/>
    <x v="85"/>
    <x v="3"/>
    <d v="1899-12-30T22:41:00"/>
    <s v="Manta, Ecuador"/>
    <s v="Million Air"/>
    <s v="Unknown"/>
    <s v="Manta - Miami"/>
    <x v="1864"/>
    <s v="N751MA"/>
    <s v="19582/639"/>
    <n v="4"/>
    <n v="0"/>
    <n v="4"/>
    <n v="4"/>
    <n v="0"/>
    <n v="4"/>
    <n v="30"/>
    <s v="The cargo plane, carrying flowers and frozen fish crashed into the Dolorosa district, bursting into flames shortly after taking off. One engine caught fire during the climb-out."/>
    <n v="0"/>
    <n v="1"/>
    <x v="1"/>
  </r>
  <r>
    <n v="4035"/>
    <x v="3665"/>
    <x v="85"/>
    <x v="3"/>
    <d v="1899-12-30T20:45:00"/>
    <s v="Khanty, Russia"/>
    <s v="Tyumen Aviatrans"/>
    <s v="Unknown"/>
    <s v="Tyumen - Khanty"/>
    <x v="1146"/>
    <s v="RA-88527"/>
    <n v="9711252"/>
    <n v="34"/>
    <n v="30"/>
    <n v="4"/>
    <n v="5"/>
    <n v="3"/>
    <n v="2"/>
    <n v="0"/>
    <s v="In a heavy snowstorm, the aircraft landed short and right of the runway striking three Mil Mi-8 helicopters and bursting into flames."/>
    <n v="29"/>
    <n v="0.14705882352941177"/>
    <x v="2"/>
  </r>
  <r>
    <n v="4036"/>
    <x v="3666"/>
    <x v="85"/>
    <x v="3"/>
    <d v="1899-12-30T08:27:00"/>
    <s v="Sao Paolo, Brazil"/>
    <s v="TAM (Brazil)"/>
    <n v="402"/>
    <s v="Sao Paulo - Rio de Janiero"/>
    <x v="1758"/>
    <s v="PT-MRK"/>
    <n v="11440"/>
    <n v="95"/>
    <n v="89"/>
    <n v="6"/>
    <n v="95"/>
    <n v="89"/>
    <n v="6"/>
    <n v="3"/>
    <s v="The aircraft crashed shortly after takeoff into a residential area striking a building. Uncommanded deployment of the thrust reverser on the right engine caused the plane to roll right and lose control."/>
    <n v="0"/>
    <n v="1"/>
    <x v="1"/>
  </r>
  <r>
    <n v="4037"/>
    <x v="3667"/>
    <x v="85"/>
    <x v="3"/>
    <d v="1899-12-30T08:10:00"/>
    <s v="Near Tikal, Guatemala"/>
    <s v="Transported Areos Profesionales - TAPSA"/>
    <s v="Unknown"/>
    <s v="Guatemala City - Flores"/>
    <x v="1449"/>
    <s v="TG-TPA"/>
    <n v="110313"/>
    <n v="16"/>
    <n v="14"/>
    <n v="2"/>
    <n v="16"/>
    <n v="14"/>
    <n v="2"/>
    <n v="0"/>
    <s v="The plane crashed into a mountain 1 hour after take off, at an altitude of 900 ft., in strong winds, while on approach to Santa Elena."/>
    <n v="0"/>
    <n v="1"/>
    <x v="1"/>
  </r>
  <r>
    <n v="4038"/>
    <x v="3668"/>
    <x v="85"/>
    <x v="3"/>
    <d v="1899-12-30T17:00:00"/>
    <s v="Lagos, Nigeria"/>
    <s v="Aviation Development Corporation"/>
    <n v="86"/>
    <s v="Port Harcourt - Lagos"/>
    <x v="1269"/>
    <s v="5N-BBF"/>
    <s v="20054/718"/>
    <n v="143"/>
    <n v="134"/>
    <n v="9"/>
    <n v="143"/>
    <n v="134"/>
    <n v="9"/>
    <n v="0"/>
    <s v="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
    <n v="0"/>
    <n v="1"/>
    <x v="1"/>
  </r>
  <r>
    <n v="4039"/>
    <x v="3668"/>
    <x v="85"/>
    <x v="3"/>
    <d v="1899-12-30T09:29:00"/>
    <s v="Aubusson, France"/>
    <s v="Jetcom S.A."/>
    <s v="Unknown"/>
    <s v="Geneva - Bordeaux"/>
    <x v="1829"/>
    <s v="HB-LRX"/>
    <s v="421C02172"/>
    <n v="8"/>
    <n v="7"/>
    <n v="1"/>
    <n v="8"/>
    <n v="7"/>
    <n v="1"/>
    <n v="0"/>
    <s v="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
    <n v="0"/>
    <n v="1"/>
    <x v="1"/>
  </r>
  <r>
    <n v="4040"/>
    <x v="3669"/>
    <x v="85"/>
    <x v="3"/>
    <d v="1899-12-30T18:40:00"/>
    <s v="Near Charkhi Dadri, India"/>
    <s v="Saudi Arabian Airlines / Kazakhstan Airlines"/>
    <s v="763/1907"/>
    <s v="New Delhi - Dhahran / Chimkent - New Delhi"/>
    <x v="1865"/>
    <s v="HZ-AIH/UN-76435"/>
    <s v="22748/555/1023413428"/>
    <n v="349"/>
    <n v="316"/>
    <n v="33"/>
    <n v="349"/>
    <n v="316"/>
    <n v="33"/>
    <n v="0"/>
    <s v="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
    <n v="0"/>
    <n v="1"/>
    <x v="1"/>
  </r>
  <r>
    <n v="4041"/>
    <x v="3670"/>
    <x v="85"/>
    <x v="3"/>
    <d v="1899-12-30T13:02:00"/>
    <s v="BolchaÃ¯a Pyssa, Russia"/>
    <s v="Komi Avia"/>
    <s v="Unknown"/>
    <s v="Most Pyssa - Koslan"/>
    <x v="997"/>
    <s v="RA-40309"/>
    <s v="1G221-39"/>
    <n v="15"/>
    <n v="13"/>
    <n v="2"/>
    <n v="14"/>
    <n v="13"/>
    <n v="1"/>
    <n v="0"/>
    <s v="Lost altitude and crashed while en route in poor weather. Stall of the left wing due to icing."/>
    <n v="1"/>
    <n v="0.93333333333333335"/>
    <x v="1"/>
  </r>
  <r>
    <n v="4042"/>
    <x v="3671"/>
    <x v="85"/>
    <x v="3"/>
    <d v="1899-12-30T17:01:00"/>
    <s v="Quincy, Illinois"/>
    <s v="United Express  / Private"/>
    <n v="5925"/>
    <s v="Burlington, IA - Quincy, IA"/>
    <x v="1866"/>
    <s v="N87GL / N1127D"/>
    <s v="UC-87 /"/>
    <n v="14"/>
    <n v="10"/>
    <n v="4"/>
    <n v="14"/>
    <n v="10"/>
    <n v="4"/>
    <n v="0"/>
    <s v="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quot;see-and-avoid&quot; procedures at an uncontrolled airport. Involvement of a third aircraft that transmitted unnecessary and inappropriate messages."/>
    <n v="0"/>
    <n v="1"/>
    <x v="1"/>
  </r>
  <r>
    <n v="4043"/>
    <x v="3672"/>
    <x v="85"/>
    <x v="3"/>
    <d v="1899-12-30T19:30:00"/>
    <s v="Off Cape Mendocino, CA"/>
    <s v="Military - U.S. Air Force"/>
    <s v="Unknown"/>
    <s v="San Diego, CA - Portland, OR"/>
    <x v="1557"/>
    <s v="64-14856"/>
    <n v="4072"/>
    <n v="11"/>
    <n v="0"/>
    <n v="11"/>
    <n v="10"/>
    <n v="0"/>
    <n v="10"/>
    <n v="0"/>
    <s v="Crashed 60 miles west of Cape Mendocino in the Pacific Ocean. The crew reported losing an engine, followed by complete electrical failure."/>
    <n v="1"/>
    <n v="0.90909090909090906"/>
    <x v="1"/>
  </r>
  <r>
    <n v="4044"/>
    <x v="3673"/>
    <x v="85"/>
    <x v="3"/>
    <d v="1899-12-30T15:15:00"/>
    <s v="Off Mitsamiouli, Comoros"/>
    <s v="Ethiopian Airlines"/>
    <n v="961"/>
    <s v="Addis Ababa - Nairobi"/>
    <x v="1867"/>
    <s v="ET-AIZ"/>
    <s v="23916/187"/>
    <n v="175"/>
    <n v="163"/>
    <n v="12"/>
    <n v="127"/>
    <n v="117"/>
    <n v="10"/>
    <n v="0"/>
    <s v="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
    <n v="48"/>
    <n v="0.72571428571428576"/>
    <x v="1"/>
  </r>
  <r>
    <n v="4045"/>
    <x v="3674"/>
    <x v="85"/>
    <x v="3"/>
    <d v="1899-12-30T11:54:00"/>
    <s v="Abakan, Siberia, Russia"/>
    <s v="Military - Russian Air Force"/>
    <s v="Unknown"/>
    <s v="Abakan - Petropavlosk - Kamchatsky"/>
    <x v="1657"/>
    <s v="RA-76804"/>
    <n v="93492278"/>
    <n v="23"/>
    <n v="19"/>
    <n v="4"/>
    <n v="23"/>
    <n v="19"/>
    <n v="4"/>
    <n v="0"/>
    <s v="The aircraft crashed shortly after takeoff. Overloaded."/>
    <n v="0"/>
    <n v="1"/>
    <x v="1"/>
  </r>
  <r>
    <n v="4046"/>
    <x v="3675"/>
    <x v="85"/>
    <x v="3"/>
    <d v="1899-12-30T10:33:00"/>
    <s v="Medellin, Colombia"/>
    <s v="ACES Colombia"/>
    <n v="148"/>
    <s v="Medellin - Bahia Solano"/>
    <x v="1220"/>
    <s v="HK-2602"/>
    <n v="746"/>
    <n v="15"/>
    <n v="13"/>
    <n v="2"/>
    <n v="14"/>
    <n v="12"/>
    <n v="2"/>
    <n v="0"/>
    <s v="The aircraft crashed into a mountain 5 minutes after takeoff. The plane stalled while trying to clear a mountain.  Overloaded."/>
    <n v="1"/>
    <n v="0.93333333333333335"/>
    <x v="1"/>
  </r>
  <r>
    <n v="4047"/>
    <x v="3676"/>
    <x v="85"/>
    <x v="3"/>
    <d v="1899-12-30T15:23:00"/>
    <s v="Banjarmasin, Indonesia"/>
    <s v="Dirgantara Air Services"/>
    <s v="Unknown"/>
    <s v="Banjarmasin - Sampit"/>
    <x v="1413"/>
    <s v="PK-VSO"/>
    <s v="152/26N"/>
    <n v="17"/>
    <n v="15"/>
    <n v="2"/>
    <n v="16"/>
    <n v="14"/>
    <n v="2"/>
    <n v="2"/>
    <s v="After experiencing a No.2 engine fire and while attempting to return to the airport, the aircraft's wing struck a building short of the runway."/>
    <n v="1"/>
    <n v="0.94117647058823528"/>
    <x v="1"/>
  </r>
  <r>
    <n v="4048"/>
    <x v="3677"/>
    <x v="85"/>
    <x v="3"/>
    <d v="1899-12-30T18:03:00"/>
    <s v="Boise, Idaho"/>
    <s v="Emery Worldwide"/>
    <s v="Unknown"/>
    <s v="Boise - Salt Lake City"/>
    <x v="402"/>
    <s v="N75142"/>
    <n v="9173"/>
    <n v="2"/>
    <n v="0"/>
    <n v="2"/>
    <n v="2"/>
    <n v="0"/>
    <n v="2"/>
    <n v="0"/>
    <s v="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
    <n v="0"/>
    <n v="1"/>
    <x v="1"/>
  </r>
  <r>
    <n v="4049"/>
    <x v="3678"/>
    <x v="85"/>
    <x v="3"/>
    <s v="Unknown"/>
    <s v="Tver, Russia"/>
    <s v="Military - Russian Air Force"/>
    <s v="Unknown"/>
    <s v="St. Petersburg - Krasnodar"/>
    <x v="942"/>
    <s v="Unknown"/>
    <s v="Unknown"/>
    <n v="18"/>
    <n v="11"/>
    <n v="7"/>
    <n v="18"/>
    <n v="11"/>
    <n v="7"/>
    <n v="0"/>
    <s v="Crashed 8km from the airfield after taking off in strong winds and heavy snow."/>
    <n v="0"/>
    <n v="1"/>
    <x v="1"/>
  </r>
  <r>
    <n v="4050"/>
    <x v="3679"/>
    <x v="85"/>
    <x v="3"/>
    <d v="1899-12-30T22:32:00"/>
    <s v="Rio Negro, Colombia"/>
    <s v="SELVA"/>
    <s v="Unknown"/>
    <s v="Bogota - Medellin"/>
    <x v="1805"/>
    <s v="HK-4008X"/>
    <n v="3402"/>
    <n v="4"/>
    <n v="1"/>
    <n v="3"/>
    <n v="4"/>
    <n v="1"/>
    <n v="3"/>
    <n v="0"/>
    <s v="The cargo plane crashed short of the runway while attempting to land."/>
    <n v="0"/>
    <n v="1"/>
    <x v="1"/>
  </r>
  <r>
    <n v="4051"/>
    <x v="3680"/>
    <x v="85"/>
    <x v="3"/>
    <d v="1899-12-30T18:10:00"/>
    <s v="Narrows, Virginia"/>
    <s v="Airborne Express"/>
    <n v="827"/>
    <s v="Test flight"/>
    <x v="1243"/>
    <s v="N827AX"/>
    <s v="45901/293"/>
    <n v="6"/>
    <n v="3"/>
    <n v="3"/>
    <n v="6"/>
    <n v="3"/>
    <n v="3"/>
    <n v="0"/>
    <s v="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
    <n v="0"/>
    <n v="1"/>
    <x v="1"/>
  </r>
  <r>
    <n v="4052"/>
    <x v="3681"/>
    <x v="85"/>
    <x v="3"/>
    <d v="1899-12-30T10:05:00"/>
    <s v="Dorchester, New Hampshire"/>
    <s v="Aircraft Charter Group Inc"/>
    <s v="Unknown"/>
    <s v="Bridgeport, CT - Lebanon, NH"/>
    <x v="1868"/>
    <s v="N388LS"/>
    <s v="35-388"/>
    <n v="2"/>
    <n v="0"/>
    <n v="2"/>
    <n v="2"/>
    <n v="0"/>
    <n v="2"/>
    <n v="0"/>
    <s v="The cargo plane was on a positioning flight when it struck rising terrain while making an approach to land. The captain's failure to maintain situational awareness, which resulted in the airplane being outside the confines of the instrument approach"/>
    <n v="0"/>
    <n v="1"/>
    <x v="1"/>
  </r>
  <r>
    <n v="4053"/>
    <x v="3681"/>
    <x v="85"/>
    <x v="3"/>
    <d v="1899-12-30T15:00:00"/>
    <s v="Near Nellore, India"/>
    <s v="Military - Indian Air Force"/>
    <s v="Unknown"/>
    <s v="Tanbaram AFB - Hyderabad"/>
    <x v="1703"/>
    <s v="H1032"/>
    <n v="528"/>
    <n v="22"/>
    <n v="17"/>
    <n v="5"/>
    <n v="22"/>
    <n v="17"/>
    <n v="5"/>
    <n v="0"/>
    <s v="Crashed while en route after the pilot reported an engine fire. Undetected cracks in the engine not detected during routine maintenance."/>
    <n v="0"/>
    <n v="1"/>
    <x v="1"/>
  </r>
  <r>
    <n v="4054"/>
    <x v="3682"/>
    <x v="86"/>
    <x v="3"/>
    <d v="1899-12-30T11:00:00"/>
    <s v="Near Moamoa, Samoa"/>
    <s v="Polynesian Airlines"/>
    <n v="211"/>
    <s v="Pago Pago - FagaliI"/>
    <x v="1220"/>
    <s v="5W-FAU"/>
    <n v="678"/>
    <n v="5"/>
    <n v="3"/>
    <n v="2"/>
    <n v="3"/>
    <n v="2"/>
    <n v="1"/>
    <n v="0"/>
    <s v="Crashed onto a mountin in high winds and rain after being diverted from another airport."/>
    <n v="2"/>
    <n v="0.6"/>
    <x v="0"/>
  </r>
  <r>
    <n v="4055"/>
    <x v="3683"/>
    <x v="86"/>
    <x v="3"/>
    <d v="1899-12-30T15:54:00"/>
    <s v="Near Monroe, Michigan"/>
    <s v="Comair"/>
    <n v="3272"/>
    <s v="Cincinnati - Detroit"/>
    <x v="1565"/>
    <s v="N265CA"/>
    <n v="120257"/>
    <n v="29"/>
    <n v="26"/>
    <n v="3"/>
    <n v="29"/>
    <n v="26"/>
    <n v="3"/>
    <n v="0"/>
    <s v="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
    <n v="0"/>
    <n v="1"/>
    <x v="1"/>
  </r>
  <r>
    <n v="4056"/>
    <x v="3684"/>
    <x v="86"/>
    <x v="3"/>
    <d v="1899-12-30T23:10:00"/>
    <s v="Sparrevohn, Alaska"/>
    <s v="Southcentral Air"/>
    <s v="Unknown"/>
    <s v="St. Marys - Kenai"/>
    <x v="1389"/>
    <s v="N702SC"/>
    <n v="126"/>
    <n v="2"/>
    <n v="0"/>
    <n v="2"/>
    <n v="1"/>
    <n v="0"/>
    <n v="1"/>
    <n v="0"/>
    <s v="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n v="1"/>
    <n v="0.5"/>
    <x v="0"/>
  </r>
  <r>
    <n v="4057"/>
    <x v="3685"/>
    <x v="86"/>
    <x v="3"/>
    <s v="Unknown"/>
    <s v="Yola, Nigeria"/>
    <s v="Skypower Express Airways"/>
    <s v="Unknown"/>
    <s v="Jos - Yola"/>
    <x v="1869"/>
    <s v="5N-AXS"/>
    <n v="110458"/>
    <n v="16"/>
    <n v="13"/>
    <n v="3"/>
    <n v="5"/>
    <n v="2"/>
    <n v="3"/>
    <n v="0"/>
    <s v="After being in a holding pattern for over an hour the plane hit trees and a  power line and crashed 700m short of the runway. Failure to maintain the aircraft above the Minimum Descent Altitude while the aircraft was not positioned in the final landing phase."/>
    <n v="11"/>
    <n v="0.3125"/>
    <x v="2"/>
  </r>
  <r>
    <n v="4058"/>
    <x v="3686"/>
    <x v="86"/>
    <x v="3"/>
    <d v="1899-12-30T14:38:00"/>
    <s v="Tambacoumba, Senegal"/>
    <s v="Air Senegal"/>
    <s v="Unknown"/>
    <s v="Tambacounda - Dakar"/>
    <x v="1870"/>
    <s v="6AV-AEO"/>
    <n v="1769"/>
    <n v="52"/>
    <n v="49"/>
    <n v="3"/>
    <n v="25"/>
    <n v="22"/>
    <n v="3"/>
    <n v="0"/>
    <s v="The aircraft crashed shortly after taking off fromTambacoumba after losing power in the left engine. Fuel contamination."/>
    <n v="27"/>
    <n v="0.48076923076923078"/>
    <x v="0"/>
  </r>
  <r>
    <n v="4059"/>
    <x v="3687"/>
    <x v="86"/>
    <x v="3"/>
    <d v="1899-12-30T17:30:00"/>
    <s v="Near Quiangala, Angola"/>
    <s v="Force Area Populaire de Angola"/>
    <s v="Unknown"/>
    <s v="Luanda - Cafunfo"/>
    <x v="1577"/>
    <s v="T-400"/>
    <n v="325"/>
    <n v="37"/>
    <n v="33"/>
    <n v="4"/>
    <n v="37"/>
    <n v="33"/>
    <n v="4"/>
    <n v="0"/>
    <s v="The plane took off from Luanda bound for Cafunfo in northeastern Angola when it disappeared en route.  Witnesses later stated the plane appeared to be in trouble and flying at a low altitude before it crashed."/>
    <n v="0"/>
    <n v="1"/>
    <x v="1"/>
  </r>
  <r>
    <n v="4060"/>
    <x v="3688"/>
    <x v="86"/>
    <x v="3"/>
    <d v="1899-12-30T19:00:00"/>
    <s v="Northern Israel"/>
    <s v="Military - Israel Air Force /Military -  Israel Air Force"/>
    <s v="Unknown"/>
    <s v="Unknown"/>
    <x v="1871"/>
    <s v="357 / 903"/>
    <s v="Unknown"/>
    <n v="73"/>
    <s v="NULL"/>
    <s v="NULL"/>
    <n v="73"/>
    <s v="NULL"/>
    <s v="NULL"/>
    <n v="0"/>
    <s v="The two military helicopters crashed into each other while taking off in darkness killing all aboard."/>
    <n v="0"/>
    <n v="1"/>
    <x v="1"/>
  </r>
  <r>
    <n v="4061"/>
    <x v="3689"/>
    <x v="86"/>
    <x v="3"/>
    <d v="1899-12-30T12:34:00"/>
    <s v="Carajas, Brazil"/>
    <s v="Varig"/>
    <n v="265"/>
    <s v="Maraba - Carajas"/>
    <x v="1872"/>
    <s v="PP-CJO"/>
    <s v="21013/393"/>
    <n v="52"/>
    <n v="46"/>
    <n v="6"/>
    <n v="1"/>
    <n v="0"/>
    <n v="1"/>
    <n v="0"/>
    <s v="The aircraft touched down hard. The right main landing gear collapsed causing the plane to veer to the right and end up in a wooded area. The first officer was killed."/>
    <n v="51"/>
    <n v="1.9230769230769232E-2"/>
    <x v="2"/>
  </r>
  <r>
    <n v="4062"/>
    <x v="3690"/>
    <x v="86"/>
    <x v="3"/>
    <d v="1899-12-30T03:06:00"/>
    <s v="Guatemala City, Guatemala"/>
    <s v="Transpolar"/>
    <s v="Unknown"/>
    <s v="Lima, Peru - Guatemala City, Guatemala"/>
    <x v="1546"/>
    <s v="YV-160CP"/>
    <n v="211"/>
    <n v="5"/>
    <n v="4"/>
    <n v="1"/>
    <n v="5"/>
    <n v="4"/>
    <n v="1"/>
    <n v="0"/>
    <s v="Flew into a mountain while on approach."/>
    <n v="0"/>
    <n v="1"/>
    <x v="1"/>
  </r>
  <r>
    <n v="4063"/>
    <x v="3691"/>
    <x v="86"/>
    <x v="3"/>
    <s v="Unknown"/>
    <s v="Lucapa, Angola"/>
    <s v="ALADA"/>
    <s v="Unknown"/>
    <s v="Luanda - Lucapa"/>
    <x v="1160"/>
    <s v="D2-FVG"/>
    <n v="6344506"/>
    <n v="16"/>
    <n v="12"/>
    <n v="4"/>
    <n v="16"/>
    <n v="12"/>
    <n v="4"/>
    <n v="0"/>
    <s v="Crashed short of the runway in dense fog while attempting to land a second time at Lucapa."/>
    <n v="0"/>
    <n v="1"/>
    <x v="1"/>
  </r>
  <r>
    <n v="4064"/>
    <x v="3692"/>
    <x v="86"/>
    <x v="3"/>
    <d v="1899-12-30T18:06:00"/>
    <s v="Near Mashhad, Iran"/>
    <s v="Military - Iranian Air Force"/>
    <s v="Unknown"/>
    <s v="Dezful - Mashhad"/>
    <x v="1873"/>
    <s v="Unknown"/>
    <s v="Unknown"/>
    <n v="88"/>
    <n v="80"/>
    <n v="8"/>
    <n v="88"/>
    <n v="80"/>
    <n v="8"/>
    <n v="0"/>
    <s v="The plane was carrying military personnel and their families and crashed 24 miles NE of Mashhad in the Binalud Heights. The pilot reported engine failure prior the crash."/>
    <n v="0"/>
    <n v="1"/>
    <x v="1"/>
  </r>
  <r>
    <n v="4065"/>
    <x v="3693"/>
    <x v="86"/>
    <x v="3"/>
    <d v="1899-12-30T10:04:00"/>
    <s v="Cherkessk, Russia"/>
    <s v="Stavropol Airlines"/>
    <n v="1023"/>
    <s v="Stavropol - Trabzon"/>
    <x v="1275"/>
    <s v="RA-46516"/>
    <n v="37308502"/>
    <n v="50"/>
    <n v="44"/>
    <n v="6"/>
    <n v="50"/>
    <n v="44"/>
    <n v="6"/>
    <n v="0"/>
    <s v="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
    <n v="0"/>
    <n v="1"/>
    <x v="1"/>
  </r>
  <r>
    <n v="4066"/>
    <x v="3694"/>
    <x v="86"/>
    <x v="3"/>
    <s v="Unknown"/>
    <s v="Tegucigalpa, Honduras"/>
    <s v="Military - U.S. Air Force"/>
    <s v="Unknown"/>
    <s v="Howard AFB - Tegucigalpa"/>
    <x v="1444"/>
    <s v="88-4408"/>
    <n v="5161"/>
    <n v="10"/>
    <s v="NULL"/>
    <s v="NULL"/>
    <n v="3"/>
    <s v="NULL"/>
    <s v="NULL"/>
    <n v="0"/>
    <s v="While landing the aircraft overran the runway, hit a concrete drainage ditch, when through a fence and came to rest on a highway where it caught fire."/>
    <n v="7"/>
    <n v="0.3"/>
    <x v="2"/>
  </r>
  <r>
    <n v="4067"/>
    <x v="3695"/>
    <x v="86"/>
    <x v="3"/>
    <d v="1899-12-30T00:16:00"/>
    <s v="Griffin, Georgia"/>
    <s v="Custom Air Service"/>
    <s v="Unknown"/>
    <s v="Griffin - Americus"/>
    <x v="1874"/>
    <s v="N83FA"/>
    <n v="10365"/>
    <n v="2"/>
    <n v="0"/>
    <n v="2"/>
    <n v="2"/>
    <n v="0"/>
    <n v="2"/>
    <n v="0"/>
    <s v="On a positioning flight, while taking off the plane suffered engine failure, overran the runway and crashed into a vacant building."/>
    <n v="0"/>
    <n v="1"/>
    <x v="1"/>
  </r>
  <r>
    <n v="4068"/>
    <x v="3696"/>
    <x v="86"/>
    <x v="3"/>
    <d v="1899-12-30T20:30:00"/>
    <s v="Near Wainwright, Alaska"/>
    <s v="Hageland Aviation Services"/>
    <n v="502"/>
    <s v="Barrow - Wainwright"/>
    <x v="1669"/>
    <s v="N408GV"/>
    <s v="208B-0455"/>
    <n v="5"/>
    <n v="4"/>
    <n v="1"/>
    <n v="5"/>
    <n v="4"/>
    <n v="1"/>
    <n v="0"/>
    <s v="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
    <n v="0"/>
    <n v="1"/>
    <x v="1"/>
  </r>
  <r>
    <n v="4069"/>
    <x v="3697"/>
    <x v="86"/>
    <x v="3"/>
    <s v="Unknown"/>
    <s v="Brazzaville, Democratic Republic Congo"/>
    <s v="TAAG Angola Airlines"/>
    <s v="Unknown"/>
    <s v="Brazzaville - Luanda"/>
    <x v="1108"/>
    <s v="D2-TFP"/>
    <n v="10424"/>
    <n v="7"/>
    <n v="4"/>
    <n v="3"/>
    <n v="3"/>
    <n v="0"/>
    <n v="3"/>
    <n v="0"/>
    <s v="The cargo plane became airborne but soon lost altitude and crashed to the ground and burst into flames."/>
    <n v="4"/>
    <n v="0.42857142857142855"/>
    <x v="0"/>
  </r>
  <r>
    <n v="4070"/>
    <x v="3698"/>
    <x v="86"/>
    <x v="3"/>
    <s v="Unknown"/>
    <s v="Gyandzha, Azerbaijan"/>
    <s v="Azerbaijan Airlines"/>
    <s v="Unknown"/>
    <s v="Training"/>
    <x v="1274"/>
    <s v="4K-87504"/>
    <n v="9510640"/>
    <n v="6"/>
    <n v="0"/>
    <n v="6"/>
    <n v="6"/>
    <n v="0"/>
    <n v="6"/>
    <n v="0"/>
    <s v="A stray bullet from training soldiers struck the landing plane, hitting an oxygen cylinder. A fire broke out and control of the plane was lost and it crashed."/>
    <n v="0"/>
    <n v="1"/>
    <x v="1"/>
  </r>
  <r>
    <n v="4071"/>
    <x v="3699"/>
    <x v="86"/>
    <x v="3"/>
    <s v="Unknown"/>
    <s v="Near Sorei, Niger"/>
    <s v="Military - Niger Air Force"/>
    <s v="Unknown"/>
    <s v="Lome - Niamey"/>
    <x v="1444"/>
    <s v="5U-MBD"/>
    <n v="4829"/>
    <n v="14"/>
    <s v="NULL"/>
    <s v="NULL"/>
    <n v="14"/>
    <s v="NULL"/>
    <s v="NULL"/>
    <n v="0"/>
    <s v="Crashed after an engine fire."/>
    <n v="0"/>
    <n v="1"/>
    <x v="1"/>
  </r>
  <r>
    <n v="4072"/>
    <x v="3700"/>
    <x v="86"/>
    <x v="3"/>
    <d v="1899-12-30T07:39:00"/>
    <s v="Tanjung Pandan, Indonesia"/>
    <s v="Merpati Nusantara Airlines"/>
    <n v="106"/>
    <s v="Jakarta - Tanjung Pandan"/>
    <x v="1875"/>
    <s v="PK-MTX"/>
    <n v="2048"/>
    <n v="53"/>
    <n v="48"/>
    <n v="5"/>
    <n v="15"/>
    <n v="11"/>
    <n v="4"/>
    <n v="0"/>
    <s v="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
    <n v="38"/>
    <n v="0.28301886792452829"/>
    <x v="2"/>
  </r>
  <r>
    <n v="4073"/>
    <x v="3701"/>
    <x v="86"/>
    <x v="3"/>
    <d v="1899-12-30T18:00:00"/>
    <s v="Near Konduz, Afghanistan"/>
    <s v="Military - Afghan Republican Air Force"/>
    <s v="Unknown"/>
    <s v="Unknown"/>
    <x v="1195"/>
    <s v="Unknown"/>
    <s v="Unknown"/>
    <n v="36"/>
    <s v="NULL"/>
    <s v="NULL"/>
    <n v="36"/>
    <s v="NULL"/>
    <s v="NULL"/>
    <n v="0"/>
    <s v="The transport crashed into a mountain."/>
    <n v="0"/>
    <n v="1"/>
    <x v="1"/>
  </r>
  <r>
    <n v="4074"/>
    <x v="3702"/>
    <x v="86"/>
    <x v="3"/>
    <d v="1899-12-30T21:28:00"/>
    <s v="Huangtian, China"/>
    <s v="China Southern Airlines"/>
    <n v="3456"/>
    <s v="Chongqing - Shenzen"/>
    <x v="1876"/>
    <s v="B-2925"/>
    <s v="27288/2577"/>
    <n v="74"/>
    <n v="65"/>
    <n v="9"/>
    <n v="35"/>
    <n v="33"/>
    <n v="2"/>
    <n v="0"/>
    <s v="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
    <n v="39"/>
    <n v="0.47297297297297297"/>
    <x v="0"/>
  </r>
  <r>
    <n v="4075"/>
    <x v="3703"/>
    <x v="86"/>
    <x v="3"/>
    <d v="1899-12-30T07:35:00"/>
    <s v="Near Irumu, Congo"/>
    <s v="Bazair"/>
    <s v="Unknown"/>
    <s v="Bunia - Kisangani"/>
    <x v="1877"/>
    <s v="9Q-CWL"/>
    <n v="280"/>
    <n v="27"/>
    <n v="20"/>
    <n v="7"/>
    <n v="27"/>
    <n v="20"/>
    <n v="7"/>
    <n v="0"/>
    <s v="Crashed shortly after taking off. Fire in the cabin."/>
    <n v="0"/>
    <n v="1"/>
    <x v="1"/>
  </r>
  <r>
    <n v="4076"/>
    <x v="3704"/>
    <x v="86"/>
    <x v="3"/>
    <s v="Unknown"/>
    <s v="Mandalgobi, Mongolia"/>
    <s v="MIAT - Mongolian Airlines"/>
    <s v="Unknown"/>
    <s v="Ulan Bator - Mandalgobi"/>
    <x v="1878"/>
    <s v="JU-1020"/>
    <n v="6"/>
    <n v="12"/>
    <n v="10"/>
    <n v="2"/>
    <n v="7"/>
    <n v="7"/>
    <n v="0"/>
    <n v="0"/>
    <s v="The aircraft crashed while attemping to land. Windshear. Lack of windshear equipment at the airport."/>
    <n v="5"/>
    <n v="0.58333333333333337"/>
    <x v="0"/>
  </r>
  <r>
    <n v="4077"/>
    <x v="3705"/>
    <x v="86"/>
    <x v="3"/>
    <d v="1899-12-30T03:49:00"/>
    <s v="Madh Island, India"/>
    <s v="Elbee Airlines"/>
    <s v="Unknown"/>
    <s v="Mumbai - Banglaor"/>
    <x v="986"/>
    <s v="VT-SSA"/>
    <n v="10670"/>
    <n v="2"/>
    <n v="0"/>
    <n v="2"/>
    <n v="2"/>
    <n v="0"/>
    <n v="2"/>
    <n v="0"/>
    <s v="Shortly after taking off the cargo plane crashed into the ocean. The pilot lost control when he encountered severe weather conditions soon after taking off."/>
    <n v="0"/>
    <n v="1"/>
    <x v="1"/>
  </r>
  <r>
    <n v="4078"/>
    <x v="3706"/>
    <x v="86"/>
    <x v="3"/>
    <s v="Unknown"/>
    <s v="Near Saravena, Colombia"/>
    <s v="Military - Colombian Army"/>
    <s v="Unknown"/>
    <s v="Unknown"/>
    <x v="1569"/>
    <s v="Unknown"/>
    <s v="Unknown"/>
    <n v="29"/>
    <n v="25"/>
    <n v="4"/>
    <n v="25"/>
    <n v="21"/>
    <n v="4"/>
    <n v="0"/>
    <s v="Shot down by rebels."/>
    <n v="4"/>
    <n v="0.86206896551724133"/>
    <x v="1"/>
  </r>
  <r>
    <n v="4079"/>
    <x v="3707"/>
    <x v="86"/>
    <x v="3"/>
    <d v="1899-12-30T09:30:00"/>
    <s v="Suzano, Brazil"/>
    <s v="TAM (Brazil)"/>
    <n v="283"/>
    <s v="Sao Jose dos Campos - Congonhas"/>
    <x v="1758"/>
    <s v="PT-WHK"/>
    <n v="11440"/>
    <n v="60"/>
    <n v="55"/>
    <n v="5"/>
    <n v="1"/>
    <n v="1"/>
    <n v="0"/>
    <n v="0"/>
    <s v="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
    <n v="59"/>
    <n v="1.6666666666666666E-2"/>
    <x v="2"/>
  </r>
  <r>
    <n v="4080"/>
    <x v="3708"/>
    <x v="86"/>
    <x v="3"/>
    <d v="1899-12-30T21:55:00"/>
    <s v="Off Santiago de Cuba, Cuba"/>
    <s v="Cubana de Aviacion"/>
    <n v="787"/>
    <s v="Santiago de Cuba - Havana"/>
    <x v="968"/>
    <s v="CU-T1262"/>
    <n v="27307610"/>
    <n v="44"/>
    <n v="39"/>
    <n v="5"/>
    <n v="44"/>
    <n v="39"/>
    <n v="5"/>
    <n v="0"/>
    <s v="The plane crashed into the ocean 4 miles off the coast shortly after takeoff. Possible failure of the left engine during takeoff."/>
    <n v="0"/>
    <n v="1"/>
    <x v="1"/>
  </r>
  <r>
    <n v="4081"/>
    <x v="3709"/>
    <x v="86"/>
    <x v="3"/>
    <d v="1899-12-30T11:56:00"/>
    <s v="Bandung, Indonesia"/>
    <s v="Sempati Air"/>
    <n v="304"/>
    <s v="Bangdung - Jakarta"/>
    <x v="1108"/>
    <s v="PK-YPM"/>
    <n v="10415"/>
    <n v="50"/>
    <n v="45"/>
    <n v="5"/>
    <n v="30"/>
    <n v="25"/>
    <n v="5"/>
    <n v="0"/>
    <s v="The aircraft developed engine trouble (left engine caught on fire) shortly after taking off.  While attempting to make an emergency landing at Sulaiman AFB, the plane clipped roof tops of a housing project and crashed into a nearby field."/>
    <n v="20"/>
    <n v="0.6"/>
    <x v="0"/>
  </r>
  <r>
    <n v="4082"/>
    <x v="3710"/>
    <x v="86"/>
    <x v="3"/>
    <d v="1899-12-30T10:32:00"/>
    <s v="Goroka,  New Guinea"/>
    <s v="Goroka Air Services"/>
    <s v="Unknown"/>
    <s v="Chimbu - Goroka"/>
    <x v="1220"/>
    <s v="P2-MMU"/>
    <n v="250"/>
    <n v="4"/>
    <n v="3"/>
    <n v="1"/>
    <n v="2"/>
    <n v="1"/>
    <n v="1"/>
    <n v="0"/>
    <s v="Crashed into Mt. Yasirua in poor weather. Navigational error. No published instrument flying procedures. No GPS used for primary navigation."/>
    <n v="2"/>
    <n v="0.5"/>
    <x v="0"/>
  </r>
  <r>
    <n v="4083"/>
    <x v="3711"/>
    <x v="86"/>
    <x v="3"/>
    <s v="Unknown"/>
    <s v="Calabar , Nigeria"/>
    <s v="ADC Airlines"/>
    <s v="Unknown"/>
    <s v="Lagos - Calabar"/>
    <x v="1015"/>
    <s v="5N-BAA"/>
    <n v="41"/>
    <n v="55"/>
    <n v="49"/>
    <n v="6"/>
    <n v="1"/>
    <n v="0"/>
    <n v="1"/>
    <n v="0"/>
    <s v="Overshot the runway in heavy rain and came to rest in brush."/>
    <n v="54"/>
    <n v="1.8181818181818181E-2"/>
    <x v="2"/>
  </r>
  <r>
    <n v="4084"/>
    <x v="3712"/>
    <x v="86"/>
    <x v="3"/>
    <d v="1899-12-30T10:30:00"/>
    <s v="Florence, Italy"/>
    <s v="Air Littoral"/>
    <n v="701"/>
    <s v="Nice - Florence"/>
    <x v="1879"/>
    <s v="F-GPYE"/>
    <n v="492"/>
    <n v="17"/>
    <n v="14"/>
    <n v="3"/>
    <n v="1"/>
    <n v="0"/>
    <n v="1"/>
    <n v="0"/>
    <s v="The aircraft touched down at excessive speed, far down the runway threshold, bounced twice and overran the runway."/>
    <n v="16"/>
    <n v="5.8823529411764705E-2"/>
    <x v="2"/>
  </r>
  <r>
    <n v="4085"/>
    <x v="3713"/>
    <x v="86"/>
    <x v="3"/>
    <d v="1899-12-30T01:42:00"/>
    <s v="Agana, Guam"/>
    <s v="Korean Airlines"/>
    <n v="801"/>
    <s v="Seoul - Guam"/>
    <x v="1880"/>
    <s v="HL-7468"/>
    <s v="22487/605"/>
    <n v="254"/>
    <n v="231"/>
    <n v="23"/>
    <n v="228"/>
    <n v="206"/>
    <n v="22"/>
    <n v="0"/>
    <s v="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
    <n v="26"/>
    <n v="0.89763779527559051"/>
    <x v="1"/>
  </r>
  <r>
    <n v="4086"/>
    <x v="3714"/>
    <x v="86"/>
    <x v="3"/>
    <d v="1899-12-30T12:36:00"/>
    <s v="Miami, Florida"/>
    <s v="Fine Air"/>
    <s v="101A"/>
    <s v="Miami - Santo Domingo"/>
    <x v="1881"/>
    <s v="N27UA"/>
    <s v="45942/349"/>
    <n v="4"/>
    <n v="1"/>
    <n v="3"/>
    <n v="4"/>
    <n v="1"/>
    <n v="3"/>
    <n v="1"/>
    <s v="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
    <n v="0"/>
    <n v="1"/>
    <x v="1"/>
  </r>
  <r>
    <n v="4087"/>
    <x v="3715"/>
    <x v="86"/>
    <x v="3"/>
    <d v="1899-12-30T08:15:00"/>
    <s v="Matsu Island, Taiwan"/>
    <s v="Formosa Airlines"/>
    <n v="7601"/>
    <s v="Taipei - Matsu"/>
    <x v="1706"/>
    <s v="B-12256"/>
    <n v="8220"/>
    <n v="16"/>
    <n v="14"/>
    <n v="2"/>
    <n v="16"/>
    <n v="14"/>
    <n v="2"/>
    <n v="0"/>
    <s v="The aircraft flew into a mountain and exploded in flames after a missed approach and while executing a go-around in rain and high winds. The pilot turned right instead of left when initiating the go-around."/>
    <n v="0"/>
    <n v="1"/>
    <x v="1"/>
  </r>
  <r>
    <n v="4088"/>
    <x v="3716"/>
    <x v="86"/>
    <x v="3"/>
    <s v="Unknown"/>
    <s v="Puerto Inirida, Venezuela"/>
    <s v="SATENA"/>
    <s v="Unknown"/>
    <s v="San Felipe - Puerto Inirida"/>
    <x v="1882"/>
    <s v="FAC1115"/>
    <n v="820"/>
    <n v="12"/>
    <n v="10"/>
    <n v="2"/>
    <n v="12"/>
    <n v="10"/>
    <n v="2"/>
    <n v="0"/>
    <s v="Collided with a Cessna 206 (OB-1450) and crashed 3 miles from the airfield. Six killed on the Pilatus and 6 on the Cessna"/>
    <n v="0"/>
    <n v="1"/>
    <x v="1"/>
  </r>
  <r>
    <n v="4089"/>
    <x v="3717"/>
    <x v="86"/>
    <x v="3"/>
    <d v="1899-12-30T14:00:00"/>
    <s v="Phnom Penh, Cambodia"/>
    <s v="Vietnam Airlines"/>
    <n v="815"/>
    <s v="Ho Chi Minh City - Phnom Penh"/>
    <x v="1292"/>
    <s v="VN-A120"/>
    <n v="66360"/>
    <n v="66"/>
    <n v="60"/>
    <n v="6"/>
    <n v="65"/>
    <n v="59"/>
    <n v="6"/>
    <n v="0"/>
    <s v="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
    <n v="1"/>
    <n v="0.98484848484848486"/>
    <x v="1"/>
  </r>
  <r>
    <n v="4090"/>
    <x v="3718"/>
    <x v="86"/>
    <x v="3"/>
    <d v="1899-12-30T19:44:00"/>
    <s v="Near Miri, Malaysia"/>
    <s v="Borneo Airways"/>
    <n v="238"/>
    <s v="Bandar Seri Begawan - Miri"/>
    <x v="1849"/>
    <s v="9M-MIA"/>
    <n v="8217"/>
    <n v="10"/>
    <n v="8"/>
    <n v="2"/>
    <n v="10"/>
    <n v="8"/>
    <n v="2"/>
    <n v="0"/>
    <s v="Struck tree tops and crashed into Lambir Hill while on approach to land at Miri."/>
    <n v="0"/>
    <n v="1"/>
    <x v="1"/>
  </r>
  <r>
    <n v="4091"/>
    <x v="3719"/>
    <x v="86"/>
    <x v="3"/>
    <s v="Unknown"/>
    <s v="Near Uvira, Zaire"/>
    <s v="TMK Air Commuter"/>
    <s v="Unknown"/>
    <s v="Buknavu - Uvira"/>
    <x v="1220"/>
    <s v="9Q-CBO"/>
    <n v="735"/>
    <n v="22"/>
    <n v="21"/>
    <n v="1"/>
    <n v="22"/>
    <n v="21"/>
    <n v="1"/>
    <n v="0"/>
    <s v="The aircraft was destroyed when it flew into a hillside during an approach to Uvira."/>
    <n v="0"/>
    <n v="1"/>
    <x v="1"/>
  </r>
  <r>
    <n v="4092"/>
    <x v="3720"/>
    <x v="86"/>
    <x v="3"/>
    <d v="1899-12-30T17:10:00"/>
    <s v="Off Namibia, Africa"/>
    <s v="Military - Luftwaffe / Military - USAF"/>
    <n v="74"/>
    <s v="Niamey - Windhoek"/>
    <x v="1883"/>
    <s v="1102/65-9405"/>
    <s v="89A-813"/>
    <n v="33"/>
    <n v="23"/>
    <n v="10"/>
    <n v="33"/>
    <n v="23"/>
    <n v="10"/>
    <n v="0"/>
    <s v="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
    <n v="0"/>
    <n v="1"/>
    <x v="1"/>
  </r>
  <r>
    <n v="4093"/>
    <x v="3721"/>
    <x v="86"/>
    <x v="3"/>
    <d v="1899-12-30T13:34:00"/>
    <s v="Buah Nabar, Indonesia"/>
    <s v="Garuda Indonesia Airlines"/>
    <n v="152"/>
    <s v="Jakarta - Medan"/>
    <x v="1884"/>
    <s v="PK-GAI"/>
    <n v="214"/>
    <n v="234"/>
    <n v="222"/>
    <n v="12"/>
    <n v="234"/>
    <n v="222"/>
    <n v="12"/>
    <n v="0"/>
    <s v="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
    <n v="0"/>
    <n v="1"/>
    <x v="1"/>
  </r>
  <r>
    <n v="4094"/>
    <x v="3722"/>
    <x v="86"/>
    <x v="3"/>
    <d v="1899-12-30T07:23:00"/>
    <s v="Near Montrose, Colorado"/>
    <s v="Scenic Airlines"/>
    <s v="-"/>
    <s v="Montrose, CO - Page, AZ"/>
    <x v="1669"/>
    <s v="N12022"/>
    <s v="208B-0432"/>
    <n v="9"/>
    <n v="8"/>
    <n v="1"/>
    <n v="9"/>
    <n v="8"/>
    <n v="1"/>
    <n v="0"/>
    <s v="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
    <n v="0"/>
    <n v="1"/>
    <x v="1"/>
  </r>
  <r>
    <n v="4095"/>
    <x v="3723"/>
    <x v="86"/>
    <x v="3"/>
    <d v="1899-12-30T22:23:00"/>
    <s v="Nuevo Berlin, Uruguay"/>
    <s v="Austral Lineas Aeras (Argentina)"/>
    <n v="2553"/>
    <s v="Posadas - Buenos Aires"/>
    <x v="1104"/>
    <s v="LV-WEG"/>
    <s v="47446/561"/>
    <n v="74"/>
    <n v="69"/>
    <n v="5"/>
    <n v="74"/>
    <n v="69"/>
    <n v="5"/>
    <n v="0"/>
    <s v="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
    <n v="0"/>
    <n v="1"/>
    <x v="1"/>
  </r>
  <r>
    <n v="4096"/>
    <x v="3723"/>
    <x v="86"/>
    <x v="3"/>
    <s v="Unknown"/>
    <s v="Taipei, Taiwan"/>
    <s v="Military - Republic of China Air Force"/>
    <s v="Unknown"/>
    <s v="Unknown"/>
    <x v="1444"/>
    <n v="1310"/>
    <n v="5067"/>
    <n v="5"/>
    <n v="0"/>
    <n v="5"/>
    <n v="5"/>
    <n v="0"/>
    <n v="5"/>
    <n v="0"/>
    <s v="Crashed in poor weather after a go-around."/>
    <n v="0"/>
    <n v="1"/>
    <x v="1"/>
  </r>
  <r>
    <n v="4097"/>
    <x v="3724"/>
    <x v="86"/>
    <x v="3"/>
    <d v="1899-12-30T17:28:00"/>
    <s v="Monterey Bay, near Pacific Grove, California"/>
    <s v="Private"/>
    <s v="-"/>
    <s v="Unknown"/>
    <x v="1885"/>
    <s v="N555JD"/>
    <n v="54"/>
    <n v="1"/>
    <n v="0"/>
    <n v="1"/>
    <n v="1"/>
    <n v="0"/>
    <n v="1"/>
    <n v="0"/>
    <s v="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
    <n v="0"/>
    <n v="1"/>
    <x v="1"/>
  </r>
  <r>
    <n v="4098"/>
    <x v="3725"/>
    <x v="86"/>
    <x v="3"/>
    <s v="Unknown"/>
    <s v="Jalal-Abad, Afghanistan"/>
    <s v="Ariana Afghan Airlines"/>
    <s v="Unknown"/>
    <s v="Unknown"/>
    <x v="1146"/>
    <s v="YA-KAE"/>
    <n v="9441037"/>
    <n v="26"/>
    <n v="20"/>
    <n v="6"/>
    <n v="2"/>
    <n v="2"/>
    <n v="0"/>
    <n v="0"/>
    <s v="Crashed during a landing attempt."/>
    <n v="24"/>
    <n v="7.6923076923076927E-2"/>
    <x v="2"/>
  </r>
  <r>
    <n v="4099"/>
    <x v="3726"/>
    <x v="86"/>
    <x v="3"/>
    <d v="1899-12-30T08:08:00"/>
    <s v="Near Barrow, Alaska"/>
    <s v="Hageland Aviation Services"/>
    <n v="500"/>
    <s v="Barrow - Wainwright"/>
    <x v="1669"/>
    <s v="N750GC"/>
    <s v="208B-0504"/>
    <n v="8"/>
    <n v="7"/>
    <n v="1"/>
    <n v="8"/>
    <n v="7"/>
    <n v="1"/>
    <n v="0"/>
    <s v="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
    <n v="0"/>
    <n v="1"/>
    <x v="1"/>
  </r>
  <r>
    <n v="4100"/>
    <x v="3727"/>
    <x v="86"/>
    <x v="3"/>
    <d v="1899-12-30T14:46:00"/>
    <s v="Irkutsk-2, Russia"/>
    <s v="Military - Russian Air Force"/>
    <s v="Unknown"/>
    <s v="Irkutsk - Vladivostok"/>
    <x v="1886"/>
    <s v="RA-82005/08"/>
    <n v="4516003"/>
    <n v="23"/>
    <n v="17"/>
    <n v="6"/>
    <n v="23"/>
    <n v="17"/>
    <n v="6"/>
    <n v="44"/>
    <s v="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
    <n v="0"/>
    <n v="1"/>
    <x v="1"/>
  </r>
  <r>
    <n v="4101"/>
    <x v="3728"/>
    <x v="86"/>
    <x v="3"/>
    <d v="1899-12-30T15:26:00"/>
    <s v="Little Grand Rapids, Canada"/>
    <s v="Sowind Air"/>
    <n v="301"/>
    <s v="Winnipeg - Little Grand Rapids"/>
    <x v="1449"/>
    <s v="C-GVRO"/>
    <n v="110285"/>
    <n v="17"/>
    <n v="15"/>
    <n v="2"/>
    <n v="4"/>
    <n v="3"/>
    <n v="1"/>
    <n v="0"/>
    <s v="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
    <n v="13"/>
    <n v="0.23529411764705882"/>
    <x v="2"/>
  </r>
  <r>
    <n v="4102"/>
    <x v="3729"/>
    <x v="86"/>
    <x v="3"/>
    <d v="1899-12-30T17:05:00"/>
    <s v="La Veriente, Bolivia"/>
    <s v="STAP"/>
    <s v="Unknown"/>
    <s v="Villamontes - Santa Cruz"/>
    <x v="1887"/>
    <s v="CP-1635"/>
    <s v="TC-359"/>
    <n v="19"/>
    <n v="17"/>
    <n v="2"/>
    <n v="10"/>
    <n v="9"/>
    <n v="1"/>
    <n v="0"/>
    <s v="During take off, shortly after the landing gear was retracted, one of the aircraft's engines lost power and the propeller autofeathered. The aircraft rolled to the right, struck trees and crashed inverted."/>
    <n v="9"/>
    <n v="0.52631578947368418"/>
    <x v="0"/>
  </r>
  <r>
    <n v="4103"/>
    <x v="3730"/>
    <x v="86"/>
    <x v="3"/>
    <d v="1899-12-30T18:35:00"/>
    <s v="Sharjah, United Arab Emirates"/>
    <s v="Tajikistan Airlines"/>
    <n v="3183"/>
    <s v="Dushanbe - Sharjah"/>
    <x v="1225"/>
    <s v="EY-85281"/>
    <s v="78A-281"/>
    <n v="86"/>
    <n v="77"/>
    <n v="9"/>
    <n v="85"/>
    <n v="77"/>
    <n v="8"/>
    <n v="0"/>
    <s v="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
    <n v="1"/>
    <n v="0.98837209302325579"/>
    <x v="1"/>
  </r>
  <r>
    <n v="4104"/>
    <x v="3731"/>
    <x v="86"/>
    <x v="3"/>
    <d v="1899-12-30T19:13:00"/>
    <s v="Fotina, Greece"/>
    <s v="Aerosweet Airlines (LVOV)"/>
    <n v="241"/>
    <s v="Odessa - Thessaloniki"/>
    <x v="1472"/>
    <s v="UR-42334"/>
    <n v="4520422606"/>
    <n v="70"/>
    <n v="62"/>
    <n v="8"/>
    <n v="70"/>
    <n v="62"/>
    <n v="8"/>
    <n v="0"/>
    <s v="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
    <n v="0"/>
    <n v="1"/>
    <x v="1"/>
  </r>
  <r>
    <n v="4105"/>
    <x v="3732"/>
    <x v="86"/>
    <x v="3"/>
    <d v="1899-12-30T16:13:00"/>
    <s v="Near Palembang, Indonesia"/>
    <s v="SilkAir"/>
    <n v="185"/>
    <s v="Jakarta - Hatta - Singapore"/>
    <x v="1888"/>
    <s v="9V-TRF"/>
    <s v="28556/2851"/>
    <n v="104"/>
    <n v="97"/>
    <n v="7"/>
    <n v="104"/>
    <n v="97"/>
    <n v="7"/>
    <n v="0"/>
    <s v="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
    <n v="0"/>
    <n v="1"/>
    <x v="1"/>
  </r>
  <r>
    <n v="4106"/>
    <x v="3733"/>
    <x v="86"/>
    <x v="3"/>
    <s v="Unknown"/>
    <s v="Tanagra, Greece"/>
    <s v="Military - Greek Air Force"/>
    <s v="Unknown"/>
    <s v="Search mission"/>
    <x v="1444"/>
    <n v="750"/>
    <n v="4729"/>
    <n v="5"/>
    <n v="0"/>
    <n v="5"/>
    <n v="5"/>
    <n v="0"/>
    <n v="5"/>
    <n v="0"/>
    <s v="Crashed in the Pastra mountains while searching for the wreckage of an Aerosweet Yak-42 that was missing."/>
    <n v="0"/>
    <n v="1"/>
    <x v="1"/>
  </r>
  <r>
    <n v="4107"/>
    <x v="3734"/>
    <x v="86"/>
    <x v="3"/>
    <s v="Unknown"/>
    <s v="Atlantic Ocean, off Angola"/>
    <s v="Renan Airways"/>
    <s v="Unknown"/>
    <s v="Abidjan - Rundu, Nambia"/>
    <x v="1716"/>
    <s v="ER-ACF"/>
    <n v="36572094888"/>
    <n v="5"/>
    <n v="0"/>
    <n v="5"/>
    <n v="5"/>
    <n v="0"/>
    <n v="5"/>
    <n v="0"/>
    <s v="Went missing while en route. May have been shot down."/>
    <n v="0"/>
    <n v="1"/>
    <x v="1"/>
  </r>
  <r>
    <n v="4108"/>
    <x v="3735"/>
    <x v="86"/>
    <x v="3"/>
    <d v="1899-12-30T23:10:00"/>
    <s v="Over the Pacific Ocean"/>
    <s v="United Air Lines"/>
    <n v="826"/>
    <s v="Tokyo - Honolulu"/>
    <x v="1631"/>
    <s v="N4723U"/>
    <s v="19882/175"/>
    <n v="393"/>
    <n v="374"/>
    <n v="19"/>
    <n v="1"/>
    <n v="1"/>
    <n v="0"/>
    <n v="0"/>
    <s v="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
    <n v="392"/>
    <n v="2.5445292620865142E-3"/>
    <x v="2"/>
  </r>
  <r>
    <n v="4109"/>
    <x v="3736"/>
    <x v="86"/>
    <x v="3"/>
    <d v="1899-12-30T07:45:00"/>
    <s v="Rio Sidra, Panama"/>
    <s v="Parsa"/>
    <s v="Unknown"/>
    <s v="Panama City - Rio Sidra"/>
    <x v="1376"/>
    <s v="HP-986PS"/>
    <n v="178"/>
    <n v="10"/>
    <n v="9"/>
    <n v="1"/>
    <n v="10"/>
    <n v="9"/>
    <n v="1"/>
    <n v="0"/>
    <s v="Crashed into dense jungle, 4 miles short of its destination in heavy fog."/>
    <n v="0"/>
    <n v="1"/>
    <x v="1"/>
  </r>
  <r>
    <n v="4110"/>
    <x v="3737"/>
    <x v="87"/>
    <x v="3"/>
    <d v="1899-12-30T18:30:00"/>
    <s v="Brno, Czech Republic"/>
    <s v="Aeroservice International"/>
    <s v="Unknown"/>
    <s v="Gomel - Kunovice"/>
    <x v="1624"/>
    <s v="YV-928CP"/>
    <n v="871919"/>
    <n v="2"/>
    <n v="0"/>
    <n v="2"/>
    <n v="2"/>
    <n v="0"/>
    <n v="2"/>
    <n v="0"/>
    <s v="Fog and low visibility forced the plane to divert to divert to Brno. After a missed approach the aircraft crashed 3.5 km short of the runway threshold and was destroyed."/>
    <n v="0"/>
    <n v="1"/>
    <x v="1"/>
  </r>
  <r>
    <n v="4111"/>
    <x v="3737"/>
    <x v="87"/>
    <x v="3"/>
    <d v="1899-12-30T22:30:00"/>
    <s v="Tor Kach, Pakistan"/>
    <s v="Military - Ariana Afghan Airlines"/>
    <s v="Unknown"/>
    <s v="Kandahar - Herart"/>
    <x v="1060"/>
    <s v="YA-DAB"/>
    <n v="5342801"/>
    <n v="51"/>
    <n v="45"/>
    <n v="6"/>
    <n v="51"/>
    <n v="45"/>
    <n v="6"/>
    <n v="0"/>
    <s v="The aircraft  was on a flight from Kandahar to Herat but was forced to return to Kandahar because of poor weather when it crashed into a mountain 70 miles north of Quetta in Khojak Pass. The last message from the pilot was &quot;we are running low on fuel.&quot; Crashed due to fuel starvation."/>
    <n v="0"/>
    <n v="1"/>
    <x v="1"/>
  </r>
  <r>
    <n v="4112"/>
    <x v="3738"/>
    <x v="87"/>
    <x v="3"/>
    <d v="1899-12-30T11:45:00"/>
    <s v="Yangon (Rangoon), Myanmar"/>
    <s v="Myanmar Airways"/>
    <n v="403"/>
    <s v="Thandwe - Sittwe"/>
    <x v="1108"/>
    <s v="XY-AES"/>
    <n v="10576"/>
    <n v="45"/>
    <n v="41"/>
    <n v="4"/>
    <n v="16"/>
    <n v="15"/>
    <n v="1"/>
    <n v="0"/>
    <s v="The aircraft crashed on takeoff after the No. 2 engine failed and caused the aircraft to swerve off the runway and crash into an embankment and burst into flames."/>
    <n v="29"/>
    <n v="0.35555555555555557"/>
    <x v="0"/>
  </r>
  <r>
    <n v="4113"/>
    <x v="3739"/>
    <x v="87"/>
    <x v="3"/>
    <d v="1899-12-30T11:00:00"/>
    <s v=" Cagyan de Oro, Philippines"/>
    <s v="Cebu Pacific Air"/>
    <n v="387"/>
    <s v="Tacloban - Cagayan de Oro"/>
    <x v="1104"/>
    <s v="RP-C1507"/>
    <s v="47069/175"/>
    <n v="104"/>
    <n v="99"/>
    <n v="5"/>
    <n v="104"/>
    <n v="99"/>
    <n v="5"/>
    <n v="0"/>
    <s v="Flight 387 originated in Manila on a flight to Tacloban and Cagayan de Oro. The aircraft crashed while on approach to Cagay de Oro into a remote mountainous area.  Wreckage was found near the town of Pagalungan, NE of Cagay de Oro. The last radio message from the pilot was &quot;leveling off at 5,000 feet sir.&quot;  The cockpit voice recorder revealed that the GPWS warned of terrain a dozen times just before impact. The crew apparently got lost in a cloud, never realizing they were headed into a mountain. Pilot error, inadequate training standards and deficient equipment."/>
    <n v="0"/>
    <n v="1"/>
    <x v="1"/>
  </r>
  <r>
    <n v="4114"/>
    <x v="3740"/>
    <x v="87"/>
    <x v="3"/>
    <d v="1899-12-30T15:15:00"/>
    <s v="Near Cavalese, Trento, Italy"/>
    <s v="Military - U.S. Marine Corps"/>
    <s v="-"/>
    <s v="Unknown"/>
    <x v="1889"/>
    <s v="163045/CY-02"/>
    <s v="P-130"/>
    <n v="2"/>
    <n v="0"/>
    <n v="2"/>
    <n v="0"/>
    <n v="0"/>
    <n v="0"/>
    <n v="20"/>
    <s v="The aircraft struck and severed the cable to a gondola causing it to fall 300 ft. to the ground and killing 20 on board. The plane landed safely. Negligence by the crew in flying above the speed limit and well below the prescribed minimum altitude in the area."/>
    <n v="2"/>
    <n v="0"/>
    <x v="2"/>
  </r>
  <r>
    <n v="4115"/>
    <x v="3741"/>
    <x v="87"/>
    <x v="3"/>
    <d v="1899-12-30T22:17:00"/>
    <s v="Terceira, Portugal"/>
    <s v="Air Luxor"/>
    <s v="Unknown"/>
    <s v="Terceira - Lisbon"/>
    <x v="1621"/>
    <s v="LZ-SFG"/>
    <n v="3341605"/>
    <n v="7"/>
    <n v="0"/>
    <n v="7"/>
    <n v="7"/>
    <n v="0"/>
    <n v="7"/>
    <n v="0"/>
    <s v="Shortly after taking off the plane lost power in the No. 3 engine followed by the No. 4 engine. The plane rolled to the right, stalled, entered an spin and crashed."/>
    <n v="0"/>
    <n v="1"/>
    <x v="1"/>
  </r>
  <r>
    <n v="4116"/>
    <x v="3742"/>
    <x v="87"/>
    <x v="3"/>
    <d v="1899-12-30T12:10:00"/>
    <s v="Near Navafria, Spain"/>
    <s v="Military - Spanish Air Force"/>
    <s v="Unknown"/>
    <s v="Unknown"/>
    <x v="1890"/>
    <s v="D-3B-9"/>
    <n v="297"/>
    <n v="5"/>
    <n v="0"/>
    <n v="5"/>
    <n v="5"/>
    <n v="0"/>
    <n v="5"/>
    <n v="0"/>
    <s v="Crashed in the Los Hoyos mountains while on a military training flight."/>
    <n v="0"/>
    <n v="1"/>
    <x v="1"/>
  </r>
  <r>
    <n v="4117"/>
    <x v="3743"/>
    <x v="87"/>
    <x v="3"/>
    <d v="1899-12-30T08:30:00"/>
    <s v="Near Nasir, Sudan"/>
    <s v="Military - Sudan Air Force"/>
    <s v="Unknown"/>
    <s v="Unknown"/>
    <x v="1625"/>
    <s v="Unknown"/>
    <s v="AN32052"/>
    <n v="57"/>
    <n v="50"/>
    <n v="7"/>
    <n v="27"/>
    <n v="24"/>
    <n v="3"/>
    <n v="0"/>
    <s v="Overshot the runway in heavy fog and crashed into the Sobat River."/>
    <n v="30"/>
    <n v="0.47368421052631576"/>
    <x v="0"/>
  </r>
  <r>
    <n v="4118"/>
    <x v="3744"/>
    <x v="87"/>
    <x v="3"/>
    <d v="1899-12-30T20:09:00"/>
    <s v="Taipei, Taiwan"/>
    <s v="China Airlines (Taiwan)"/>
    <n v="676"/>
    <s v="Denpasar - Taipei"/>
    <x v="1891"/>
    <s v="B-1814"/>
    <n v="578"/>
    <n v="196"/>
    <n v="182"/>
    <n v="14"/>
    <n v="196"/>
    <n v="182"/>
    <n v="14"/>
    <n v="7"/>
    <s v="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
    <n v="0"/>
    <n v="1"/>
    <x v="1"/>
  </r>
  <r>
    <n v="4119"/>
    <x v="3745"/>
    <x v="87"/>
    <x v="3"/>
    <d v="1899-12-30T16:35:00"/>
    <s v="Mombasa, Kenya"/>
    <s v="Air Memphis"/>
    <s v="Unknown"/>
    <s v="Mombasa, Kenya - Cairo, Egypt"/>
    <x v="1543"/>
    <s v="SU-PBA"/>
    <s v="19843/735"/>
    <n v="6"/>
    <n v="0"/>
    <n v="6"/>
    <n v="6"/>
    <n v="0"/>
    <n v="6"/>
    <n v="0"/>
    <s v="The cargo plane struck the approach lights as it took off from Runway 3, then struck a hill and disintegrated."/>
    <n v="0"/>
    <n v="1"/>
    <x v="1"/>
  </r>
  <r>
    <n v="4120"/>
    <x v="3746"/>
    <x v="87"/>
    <x v="3"/>
    <d v="1899-12-30T19:31:00"/>
    <s v="Off Hsinchu, Taiwan"/>
    <s v="Formosa Airlines"/>
    <n v="7623"/>
    <s v="Hsinchu - Kao Hsiung"/>
    <x v="1892"/>
    <s v="B-12255"/>
    <s v="340B-377"/>
    <n v="13"/>
    <n v="8"/>
    <n v="5"/>
    <n v="13"/>
    <n v="8"/>
    <n v="5"/>
    <n v="0"/>
    <s v="The aircraft crashed in the sea, 11 km off Hsinchu, shortly after taking off from Hsinchu. Instrument failure and loss of power in the aircraft's right engine in turbulence."/>
    <n v="0"/>
    <n v="1"/>
    <x v="1"/>
  </r>
  <r>
    <n v="4121"/>
    <x v="3747"/>
    <x v="87"/>
    <x v="3"/>
    <d v="1899-12-30T14:00:00"/>
    <s v="Near Charasyab, Afghanistan"/>
    <s v="Ariana Afghan Airlines"/>
    <s v="Unknown"/>
    <s v="Dubai - Kandahar - Kabul"/>
    <x v="1893"/>
    <s v="YA-FAZ"/>
    <s v="22288/1712"/>
    <n v="45"/>
    <n v="32"/>
    <n v="13"/>
    <n v="45"/>
    <n v="32"/>
    <n v="13"/>
    <n v="0"/>
    <s v="The plane was descending for a landing at Kabul on visual when it struck 3,000 ft. Sharhi Baranta Mountain, 300 feet below the summit in dense fog and rain."/>
    <n v="0"/>
    <n v="1"/>
    <x v="1"/>
  </r>
  <r>
    <n v="4122"/>
    <x v="3748"/>
    <x v="87"/>
    <x v="3"/>
    <d v="1899-12-30T19:42:00"/>
    <s v="Bacolod, Philippines"/>
    <s v="Philippine Air Lines"/>
    <n v="137"/>
    <s v="Manila - Bacolod"/>
    <x v="1894"/>
    <s v="RP-C3222"/>
    <n v="708"/>
    <n v="127"/>
    <n v="121"/>
    <n v="6"/>
    <n v="0"/>
    <n v="0"/>
    <n v="0"/>
    <n v="3"/>
    <s v="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
    <n v="127"/>
    <n v="0"/>
    <x v="2"/>
  </r>
  <r>
    <n v="4123"/>
    <x v="3749"/>
    <x v="87"/>
    <x v="3"/>
    <d v="1899-12-30T09:35:00"/>
    <s v="Piura, Peru"/>
    <s v="Fuerza AÃ©rea del Peru"/>
    <n v="388"/>
    <s v="Tumbes - Piura"/>
    <x v="1625"/>
    <s v="OB-1388"/>
    <n v="1203"/>
    <n v="55"/>
    <n v="50"/>
    <n v="5"/>
    <n v="22"/>
    <n v="22"/>
    <n v="0"/>
    <n v="1"/>
    <s v="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
    <n v="33"/>
    <n v="0.4"/>
    <x v="0"/>
  </r>
  <r>
    <n v="4124"/>
    <x v="3750"/>
    <x v="87"/>
    <x v="3"/>
    <s v="Unknown"/>
    <s v="Near Mexico City, Mexico"/>
    <s v="Linea AÃ©rea Mexicana de Carga"/>
    <s v="Unknown"/>
    <s v="Unknown"/>
    <x v="1895"/>
    <s v="XA-TAP"/>
    <s v="53-13"/>
    <n v="4"/>
    <n v="0"/>
    <n v="4"/>
    <n v="2"/>
    <n v="0"/>
    <n v="2"/>
    <n v="0"/>
    <s v="Shortly after taking off the cargo plane experienced a fire in the No. 2 engine. The plane crashed while attempting to make an emergency landing on a road."/>
    <n v="2"/>
    <n v="0.5"/>
    <x v="0"/>
  </r>
  <r>
    <n v="4125"/>
    <x v="3751"/>
    <x v="87"/>
    <x v="3"/>
    <d v="1899-12-30T16:47:00"/>
    <s v="Near Bogota, Colombia"/>
    <s v="Air France"/>
    <n v="422"/>
    <s v="Bogota - Quito"/>
    <x v="1896"/>
    <s v="HC-BSU"/>
    <s v="21622/1431"/>
    <n v="53"/>
    <n v="43"/>
    <n v="10"/>
    <n v="53"/>
    <n v="43"/>
    <n v="10"/>
    <n v="0"/>
    <s v="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
    <n v="0"/>
    <n v="1"/>
    <x v="1"/>
  </r>
  <r>
    <n v="4126"/>
    <x v="3752"/>
    <x v="87"/>
    <x v="3"/>
    <d v="1899-12-30T21:30:00"/>
    <s v="Andoas, Peru"/>
    <s v="Fuerza AÃ©rea del Peru"/>
    <s v="Unknown"/>
    <s v="Iquitos - Andoas"/>
    <x v="1897"/>
    <s v="FAP-351"/>
    <s v="23041/962"/>
    <n v="88"/>
    <n v="81"/>
    <n v="7"/>
    <n v="75"/>
    <n v="69"/>
    <n v="6"/>
    <n v="0"/>
    <s v="The aircraft was chartered by the Los Angeles-based Occidental Petroleum Corporation. The plane crashed in light rain, while on final approach, in a swampy area, three miles short of Andoas. There were reports of a lightning flash preceding the accident."/>
    <n v="13"/>
    <n v="0.85227272727272729"/>
    <x v="1"/>
  </r>
  <r>
    <n v="4127"/>
    <x v="3753"/>
    <x v="87"/>
    <x v="3"/>
    <d v="1899-12-30T19:30:00"/>
    <s v="Near Nema, Mauritania"/>
    <s v="Military - Mauritanian Air Force"/>
    <s v="Unknown"/>
    <s v="Nema - Nouakchott"/>
    <x v="1898"/>
    <s v="5T-MAG"/>
    <s v="007H03"/>
    <n v="42"/>
    <n v="35"/>
    <n v="7"/>
    <n v="39"/>
    <n v="32"/>
    <n v="7"/>
    <n v="0"/>
    <s v="Crashed shortly after taking off in a sandstorm."/>
    <n v="3"/>
    <n v="0.9285714285714286"/>
    <x v="1"/>
  </r>
  <r>
    <n v="4128"/>
    <x v="3754"/>
    <x v="87"/>
    <x v="3"/>
    <d v="1899-12-30T10:20:00"/>
    <s v="Near Longtiang, Laos"/>
    <s v="Military - Lao People's Liberation Army Air Force"/>
    <s v="Unknown"/>
    <s v="Vientiane - Xiang Khoang"/>
    <x v="1146"/>
    <n v="34001"/>
    <n v="9431835"/>
    <n v="26"/>
    <n v="20"/>
    <n v="6"/>
    <n v="26"/>
    <n v="20"/>
    <n v="6"/>
    <n v="0"/>
    <s v="The aircraft struck a jungle covered mountain at 1,800m, after making a premature descent to land during a heavy rainstorm."/>
    <n v="0"/>
    <n v="1"/>
    <x v="1"/>
  </r>
  <r>
    <n v="4129"/>
    <x v="3754"/>
    <x v="87"/>
    <x v="3"/>
    <d v="1899-12-30T00:32:00"/>
    <s v="Indian Trail, North Carolina"/>
    <s v="Air Taxi - US Helicopters Inc."/>
    <s v="Unknown"/>
    <s v="Charlotte, NC - Monroe, NC"/>
    <x v="1899"/>
    <s v="N96CW"/>
    <s v="Unknown"/>
    <n v="5"/>
    <n v="4"/>
    <n v="1"/>
    <n v="5"/>
    <n v="4"/>
    <n v="1"/>
    <n v="0"/>
    <s v="The helicopter's skids contacted a high-tension static ground wire about 150 feet above the ground. The pilot's failure to maintain altitude while operating in adverse weather. A contributing factor was the incoming fog and high tension static wire."/>
    <n v="0"/>
    <n v="1"/>
    <x v="1"/>
  </r>
  <r>
    <n v="4130"/>
    <x v="3755"/>
    <x v="87"/>
    <x v="3"/>
    <d v="1899-12-30T09:30:00"/>
    <s v="Near Erdenet, Mongolia"/>
    <s v="MIAT - Mongolian Airlines"/>
    <s v="Unknown"/>
    <s v="Erdenet - Moron"/>
    <x v="1878"/>
    <s v="JU-1017"/>
    <s v="Unknown"/>
    <n v="28"/>
    <n v="26"/>
    <n v="2"/>
    <n v="28"/>
    <n v="26"/>
    <n v="2"/>
    <n v="0"/>
    <s v="The aircraft crashed into the side of a mountain at 2,800m,  13 minutes after taking off from Erdenet. The plane, designed to carry a maximum of 19 passengers, was carring 26. Overloaded."/>
    <n v="0"/>
    <n v="1"/>
    <x v="1"/>
  </r>
  <r>
    <n v="4131"/>
    <x v="3756"/>
    <x v="87"/>
    <x v="3"/>
    <d v="1899-12-30T07:28:00"/>
    <s v="Montreal, Canada"/>
    <s v="Propair"/>
    <n v="420"/>
    <s v="Montreal - Peterborough"/>
    <x v="1900"/>
    <s v="C-GQAL"/>
    <s v="TC-233"/>
    <n v="11"/>
    <n v="9"/>
    <n v="2"/>
    <n v="11"/>
    <n v="9"/>
    <n v="2"/>
    <n v="0"/>
    <s v="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n v="0"/>
    <n v="1"/>
    <x v="1"/>
  </r>
  <r>
    <n v="4132"/>
    <x v="3757"/>
    <x v="87"/>
    <x v="3"/>
    <d v="1899-12-30T09:32:00"/>
    <s v="Mt. Waialeale, Hawaii"/>
    <s v="Air Taxi - Ohana Helicopter Tours"/>
    <s v="Unknown"/>
    <s v="Sightseeing"/>
    <x v="1901"/>
    <s v="N594BK"/>
    <n v="2735"/>
    <n v="6"/>
    <n v="4"/>
    <n v="2"/>
    <n v="6"/>
    <n v="4"/>
    <n v="2"/>
    <n v="0"/>
    <s v="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
    <n v="0"/>
    <n v="1"/>
    <x v="1"/>
  </r>
  <r>
    <n v="4133"/>
    <x v="3758"/>
    <x v="87"/>
    <x v="3"/>
    <d v="1899-12-30T23:15:00"/>
    <s v="Off Rasal, United Arab Emirates"/>
    <s v="ATI Aircompany"/>
    <s v="Unknown"/>
    <s v="Rasal - Nikolaev, Ukraine"/>
    <x v="1853"/>
    <s v="UR-76424"/>
    <n v="63470096"/>
    <n v="8"/>
    <n v="0"/>
    <n v="8"/>
    <n v="8"/>
    <n v="0"/>
    <n v="8"/>
    <n v="0"/>
    <s v="The cargo plane lifted off from the runway, slowly sank and impacted the sea. The plane was grossly overloaded."/>
    <n v="0"/>
    <n v="1"/>
    <x v="1"/>
  </r>
  <r>
    <n v="4134"/>
    <x v="3759"/>
    <x v="87"/>
    <x v="3"/>
    <d v="1899-12-30T21:41:00"/>
    <s v="CÃ³rdoba, Argentina"/>
    <s v="Alas del Sur"/>
    <s v="Unknown"/>
    <s v="TucumÃ¡n - CÃ³rdoba"/>
    <x v="1902"/>
    <s v="LV-WPO"/>
    <s v="306-3"/>
    <n v="3"/>
    <n v="1"/>
    <n v="2"/>
    <n v="3"/>
    <n v="1"/>
    <n v="2"/>
    <n v="0"/>
    <s v="The cargo plane crashed short of the runway."/>
    <n v="0"/>
    <n v="1"/>
    <x v="1"/>
  </r>
  <r>
    <n v="4135"/>
    <x v="3760"/>
    <x v="87"/>
    <x v="3"/>
    <d v="1899-12-30T04:15:00"/>
    <s v="Asmara, Eritrea"/>
    <s v="Ukraine Aviation Transport Company"/>
    <s v="Unknown"/>
    <s v="Bourgas, Bulgaria - Asmara, Eritrea"/>
    <x v="1903"/>
    <s v="UR-UCI"/>
    <n v="83481440"/>
    <n v="10"/>
    <n v="1"/>
    <n v="9"/>
    <n v="10"/>
    <n v="1"/>
    <n v="9"/>
    <n v="0"/>
    <s v="While on an ILS approach, the cargo plane struck a hill."/>
    <n v="0"/>
    <n v="1"/>
    <x v="1"/>
  </r>
  <r>
    <n v="4136"/>
    <x v="3761"/>
    <x v="87"/>
    <x v="3"/>
    <s v="Unknown"/>
    <s v="Pico de Orizaba, Mexico"/>
    <s v="Military - Mexican Air Force"/>
    <s v="Unknown"/>
    <s v="Mexico City - Tuxtla GutiÃ©rrez"/>
    <x v="1590"/>
    <s v="XC-UTQ"/>
    <s v="SH1946"/>
    <n v="4"/>
    <n v="0"/>
    <n v="4"/>
    <n v="4"/>
    <n v="0"/>
    <n v="4"/>
    <n v="0"/>
    <s v="The aircraft crashed into a volcano."/>
    <n v="0"/>
    <n v="1"/>
    <x v="1"/>
  </r>
  <r>
    <n v="4137"/>
    <x v="3762"/>
    <x v="87"/>
    <x v="3"/>
    <s v="Unknown"/>
    <s v="Southhampton, England"/>
    <s v="Plane Sailing"/>
    <s v="Unknown"/>
    <s v="VP-BPS"/>
    <x v="522"/>
    <s v="VP-BPS"/>
    <n v="1997"/>
    <n v="18"/>
    <n v="14"/>
    <n v="4"/>
    <n v="4"/>
    <n v="2"/>
    <n v="2"/>
    <n v="0"/>
    <s v="The plane was flying lower than 500 ft. prior to attempting to land. After a missed attempt the plane landed on the water and soon after water entered the cockpit and the plane broke up. Possible collision with debris which caused the doors to collapse inward."/>
    <n v="14"/>
    <n v="0.22222222222222221"/>
    <x v="2"/>
  </r>
  <r>
    <n v="4138"/>
    <x v="3763"/>
    <x v="87"/>
    <x v="3"/>
    <s v="Unknown"/>
    <s v="Barcelona, Spain"/>
    <s v="Swifair"/>
    <n v="704"/>
    <s v="Palma de Mallorca - Barcelona"/>
    <x v="1480"/>
    <s v="EC-FXD"/>
    <s v="AC-651B"/>
    <n v="2"/>
    <n v="0"/>
    <n v="2"/>
    <n v="2"/>
    <n v="0"/>
    <n v="2"/>
    <n v="0"/>
    <s v="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
    <n v="0"/>
    <n v="1"/>
    <x v="1"/>
  </r>
  <r>
    <n v="4139"/>
    <x v="3764"/>
    <x v="87"/>
    <x v="3"/>
    <d v="1899-12-30T16:00:00"/>
    <s v="Manacapuru River, Brazil"/>
    <s v="Selva Taxi Aero"/>
    <s v="Unknown"/>
    <s v="Tefe - Manaus"/>
    <x v="1791"/>
    <s v="PT-LGN"/>
    <n v="110343"/>
    <n v="24"/>
    <n v="22"/>
    <n v="2"/>
    <n v="5"/>
    <n v="4"/>
    <n v="1"/>
    <n v="0"/>
    <s v="The aircraft ditched in the Manacapuru River while en route from Tefe to Manaus. The pilot had reported an engine problem about 20 minutes earlier."/>
    <n v="19"/>
    <n v="0.20833333333333334"/>
    <x v="2"/>
  </r>
  <r>
    <n v="4140"/>
    <x v="3765"/>
    <x v="87"/>
    <x v="3"/>
    <d v="1899-12-30T15:58:00"/>
    <s v="Near Quiberon, France"/>
    <s v="Proteus Air / Private"/>
    <n v="706"/>
    <s v="Lyon - Lorient"/>
    <x v="1904"/>
    <s v="F-GSJM/F-GAJE"/>
    <s v="UE-238"/>
    <n v="15"/>
    <n v="12"/>
    <n v="3"/>
    <n v="15"/>
    <n v="12"/>
    <n v="3"/>
    <n v="0"/>
    <s v="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quot;see and avoid&quot; each other under VFR conditions."/>
    <n v="0"/>
    <n v="1"/>
    <x v="1"/>
  </r>
  <r>
    <n v="4141"/>
    <x v="3765"/>
    <x v="87"/>
    <x v="3"/>
    <d v="1899-12-30T11:05:00"/>
    <s v="Kochi, India"/>
    <s v="Alliance Airlines"/>
    <n v="503"/>
    <s v="Agathi - Kochi - Thiruvananthapuram"/>
    <x v="1757"/>
    <s v="VT-EJW"/>
    <s v="8075/2017"/>
    <n v="6"/>
    <n v="3"/>
    <n v="3"/>
    <n v="6"/>
    <n v="3"/>
    <n v="3"/>
    <n v="2"/>
    <s v="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
    <n v="0"/>
    <n v="1"/>
    <x v="1"/>
  </r>
  <r>
    <n v="4142"/>
    <x v="3766"/>
    <x v="87"/>
    <x v="3"/>
    <d v="1899-12-30T17:58:00"/>
    <s v="Kincolith, British Columbia, Canada"/>
    <s v="Harbour Air Seaplanes Ltd."/>
    <n v="709"/>
    <s v="Prince Rupert - Kincolith"/>
    <x v="1905"/>
    <s v="C-FOCJ"/>
    <n v="39"/>
    <n v="5"/>
    <n v="4"/>
    <n v="1"/>
    <n v="5"/>
    <n v="4"/>
    <n v="1"/>
    <n v="0"/>
    <s v="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
    <n v="0"/>
    <n v="1"/>
    <x v="1"/>
  </r>
  <r>
    <n v="4143"/>
    <x v="3767"/>
    <x v="87"/>
    <x v="3"/>
    <s v="Unknown"/>
    <s v="Saurimo, Angola"/>
    <s v="Alada"/>
    <s v="Unknown"/>
    <s v="Unknown"/>
    <x v="1060"/>
    <s v="D2-FAZ"/>
    <n v="8345601"/>
    <n v="13"/>
    <n v="6"/>
    <n v="7"/>
    <n v="1"/>
    <n v="0"/>
    <n v="1"/>
    <n v="0"/>
    <s v="Blew a tire while landing causing the plane to to run off the runway and crash."/>
    <n v="12"/>
    <n v="7.6923076923076927E-2"/>
    <x v="2"/>
  </r>
  <r>
    <n v="4144"/>
    <x v="3768"/>
    <x v="87"/>
    <x v="3"/>
    <d v="1899-12-30T16:40:00"/>
    <s v="Foveaux Strait, New Zealand"/>
    <s v="Vincent Aviation"/>
    <s v="Unknown"/>
    <s v="Stewart Island - Invercargill"/>
    <x v="1522"/>
    <s v="ZK-VAC"/>
    <s v="402C0512"/>
    <n v="10"/>
    <n v="9"/>
    <n v="1"/>
    <n v="5"/>
    <n v="4"/>
    <n v="1"/>
    <n v="0"/>
    <s v="While en route, the aircraft experienced double engine failure. The plane ditched into Foveaux Strait. Five passengers were rescued, but four passengers and the pilot did not have lifejackets and did not survive. The double engine failure was possibly related to fuel management."/>
    <n v="5"/>
    <n v="0.5"/>
    <x v="0"/>
  </r>
  <r>
    <n v="4145"/>
    <x v="3769"/>
    <x v="87"/>
    <x v="3"/>
    <d v="1899-12-30T11:30:00"/>
    <s v="Near Ghorepani, Nepal"/>
    <s v="Lumbini Airways"/>
    <s v="Unknown"/>
    <s v="Jomsom - Pokhara"/>
    <x v="1220"/>
    <s v="9N-ACC"/>
    <n v="710"/>
    <n v="18"/>
    <n v="15"/>
    <n v="3"/>
    <n v="18"/>
    <n v="15"/>
    <n v="3"/>
    <n v="0"/>
    <s v="The aircraft crashed in a remote mountainous area at an elevation of 12,000 feet while on a flight from Jomsom to Potokari. Radio contact was lost 5 minutes after takeoff from Jomson."/>
    <n v="0"/>
    <n v="1"/>
    <x v="1"/>
  </r>
  <r>
    <n v="4146"/>
    <x v="3770"/>
    <x v="87"/>
    <x v="3"/>
    <d v="1899-12-30T16:46:00"/>
    <s v="Pretoria, South Africa"/>
    <s v="Speed Service Couriers"/>
    <s v="Unknown"/>
    <s v="Pretoria - Durban"/>
    <x v="1906"/>
    <s v="ZS-NKK"/>
    <n v="13143"/>
    <n v="2"/>
    <n v="0"/>
    <n v="2"/>
    <n v="1"/>
    <n v="0"/>
    <n v="1"/>
    <n v="0"/>
    <s v="The cargo plane took off in a steep angle, rolled to the left and crashed and burned. The taking off with the elevator trim set to the full nose-up position. This resulted in the nose of the aircraft pitching up after rotation, causing the pilot to lose control of the aircraft."/>
    <n v="1"/>
    <n v="0.5"/>
    <x v="0"/>
  </r>
  <r>
    <n v="4147"/>
    <x v="3770"/>
    <x v="87"/>
    <x v="3"/>
    <d v="1899-12-30T08:35:00"/>
    <s v="Manibagi, Myanmar"/>
    <s v="Myanmar Airways"/>
    <n v="635"/>
    <s v="Rangoon - Tachilek"/>
    <x v="1108"/>
    <s v="XY-AEN"/>
    <n v="10476"/>
    <n v="44"/>
    <n v="40"/>
    <n v="4"/>
    <n v="44"/>
    <n v="40"/>
    <n v="4"/>
    <n v="0"/>
    <s v="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
    <n v="0"/>
    <n v="1"/>
    <x v="1"/>
  </r>
  <r>
    <n v="4148"/>
    <x v="3771"/>
    <x v="87"/>
    <x v="3"/>
    <d v="1899-12-30T13:03:00"/>
    <s v="Quito, Ecuador"/>
    <s v="Cubana de Aviacion"/>
    <n v="389"/>
    <s v="Quito - Guayaquil - Havana"/>
    <x v="1780"/>
    <s v="CU-T1264"/>
    <n v="720"/>
    <n v="91"/>
    <n v="77"/>
    <n v="14"/>
    <n v="70"/>
    <n v="56"/>
    <n v="14"/>
    <n v="10"/>
    <s v="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
    <n v="21"/>
    <n v="0.76923076923076927"/>
    <x v="1"/>
  </r>
  <r>
    <n v="4149"/>
    <x v="3772"/>
    <x v="87"/>
    <x v="3"/>
    <d v="1899-12-30T21:30:00"/>
    <s v="Off Peggy's Cove, Nova Scotia, Canada"/>
    <s v="Swissair"/>
    <n v="111"/>
    <s v="New York City - Geneva"/>
    <x v="1762"/>
    <s v="HB-IWF"/>
    <s v="48448/465"/>
    <n v="229"/>
    <n v="215"/>
    <n v="14"/>
    <n v="229"/>
    <n v="215"/>
    <n v="14"/>
    <n v="0"/>
    <s v="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
    <n v="0"/>
    <n v="1"/>
    <x v="1"/>
  </r>
  <r>
    <n v="4150"/>
    <x v="3772"/>
    <x v="87"/>
    <x v="3"/>
    <s v="Unknown"/>
    <s v="Angola"/>
    <s v="Permaviatrans"/>
    <s v="Unknown"/>
    <s v="Unknown"/>
    <x v="1195"/>
    <s v="RA-26028"/>
    <n v="10408"/>
    <n v="24"/>
    <n v="20"/>
    <n v="4"/>
    <n v="24"/>
    <n v="20"/>
    <n v="4"/>
    <n v="0"/>
    <s v="Shot down by UNITA rebels 30 minutes after taking off."/>
    <n v="0"/>
    <n v="1"/>
    <x v="1"/>
  </r>
  <r>
    <n v="4151"/>
    <x v="3773"/>
    <x v="87"/>
    <x v="3"/>
    <d v="1899-12-30T10:45:00"/>
    <s v="Port Alsworth, Alaska"/>
    <s v="Rusts Flying Service Inc."/>
    <s v="Unknown"/>
    <s v="Anchorage, AK - Hoholitna River, AK"/>
    <x v="1907"/>
    <s v="N1433Z"/>
    <n v="595"/>
    <n v="5"/>
    <n v="4"/>
    <n v="1"/>
    <n v="5"/>
    <n v="4"/>
    <n v="1"/>
    <n v="0"/>
    <s v="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
    <n v="0"/>
    <n v="1"/>
    <x v="1"/>
  </r>
  <r>
    <n v="4152"/>
    <x v="3774"/>
    <x v="87"/>
    <x v="3"/>
    <s v="Unknown"/>
    <s v="Islamabad, Pakistan"/>
    <s v="Military - Pakistan Air Force"/>
    <s v="Unknown"/>
    <s v="Unknown"/>
    <x v="1013"/>
    <n v="24143"/>
    <n v="3781"/>
    <n v="5"/>
    <n v="0"/>
    <n v="5"/>
    <n v="5"/>
    <n v="0"/>
    <n v="5"/>
    <n v="0"/>
    <s v="The aircraft was returning to a ramp with it's brakes on fire when it struck another aircraft and caught fire."/>
    <n v="0"/>
    <n v="1"/>
    <x v="1"/>
  </r>
  <r>
    <n v="4153"/>
    <x v="3775"/>
    <x v="87"/>
    <x v="3"/>
    <d v="1899-12-30T09:00:00"/>
    <s v="Near Nador, Morroco"/>
    <s v="Paukn Air"/>
    <n v="4101"/>
    <s v="Malaga - Melilla"/>
    <x v="1908"/>
    <s v="EC-GEO"/>
    <s v="E1007"/>
    <n v="38"/>
    <n v="34"/>
    <n v="4"/>
    <n v="38"/>
    <n v="34"/>
    <n v="4"/>
    <n v="0"/>
    <s v="The aircraft crashed into a hill in a forest 20 miles north of Nador and 12 miles from its destination as it made an approach for Melilla. Controlled flight into terrain."/>
    <n v="0"/>
    <n v="1"/>
    <x v="1"/>
  </r>
  <r>
    <n v="4154"/>
    <x v="3776"/>
    <x v="87"/>
    <x v="3"/>
    <d v="1899-12-30T13:30:00"/>
    <s v="Praia, Cape Verde"/>
    <s v="Cabo Verde Airlines"/>
    <s v="Unknown"/>
    <s v="Sao Nicolau - Praia"/>
    <x v="1220"/>
    <s v="D4-CAX"/>
    <n v="550"/>
    <n v="22"/>
    <n v="20"/>
    <n v="2"/>
    <n v="1"/>
    <n v="1"/>
    <n v="0"/>
    <n v="0"/>
    <s v="The aircraft crashed to the ground while making a final turn for landing in low clouds, reduced visibility and strong, rapidly veering wind conditions associated with the approach of a severe thunderstorm."/>
    <n v="21"/>
    <n v="4.5454545454545456E-2"/>
    <x v="2"/>
  </r>
  <r>
    <n v="4155"/>
    <x v="3777"/>
    <x v="87"/>
    <x v="3"/>
    <d v="1899-12-30T13:50:00"/>
    <s v="Off Mannar, Sri Lanka"/>
    <s v="Lionair"/>
    <n v="602"/>
    <s v="Jaffna - Colombo"/>
    <x v="1275"/>
    <s v="EW-46465"/>
    <n v="27307901"/>
    <n v="55"/>
    <n v="48"/>
    <n v="7"/>
    <n v="55"/>
    <n v="48"/>
    <n v="7"/>
    <n v="0"/>
    <s v="Ten minutes after taking off from Jaffna, the plane disappeared from radar. The aircraft crashed into the sea 35 nm north of Mannar. The plane was shot down by LTTE (Liberation Tigers of Tamil Eelam) rebels."/>
    <n v="0"/>
    <n v="1"/>
    <x v="1"/>
  </r>
  <r>
    <n v="4156"/>
    <x v="3778"/>
    <x v="87"/>
    <x v="3"/>
    <d v="1899-12-30T09:45:00"/>
    <s v="Near Canaima, Venezuela"/>
    <s v="Servivensa"/>
    <s v="Unknown"/>
    <s v="Sighteeing"/>
    <x v="507"/>
    <s v="YV-611C"/>
    <n v="1977"/>
    <n v="27"/>
    <n v="24"/>
    <n v="3"/>
    <n v="1"/>
    <n v="0"/>
    <n v="1"/>
    <n v="0"/>
    <s v="The sightseeing plane, after a flight over Angel Falls, crashed short of the runway into a swamp."/>
    <n v="26"/>
    <n v="3.7037037037037035E-2"/>
    <x v="2"/>
  </r>
  <r>
    <n v="4157"/>
    <x v="3779"/>
    <x v="87"/>
    <x v="3"/>
    <s v="Unknown"/>
    <s v="Near Kindu, Congo"/>
    <s v="Congo Airline"/>
    <s v="Unknown"/>
    <s v="Kindu - Kinshasa"/>
    <x v="1909"/>
    <s v="9Q-CSG"/>
    <s v="18369/125"/>
    <n v="41"/>
    <n v="38"/>
    <n v="3"/>
    <n v="41"/>
    <n v="38"/>
    <n v="3"/>
    <n v="0"/>
    <s v="The aircraft crashed into the jungle after the rear engine was hit by a Russian  SA-7 missile, fired by Tutsi rebel forces shortly after the plane took off from Kindu Airport bound for Kinshasa."/>
    <n v="0"/>
    <n v="1"/>
    <x v="1"/>
  </r>
  <r>
    <n v="4158"/>
    <x v="3780"/>
    <x v="87"/>
    <x v="3"/>
    <d v="1899-12-30T13:51:00"/>
    <s v="Yerevan, Armenia"/>
    <s v="Ararat Avia"/>
    <s v="Unknown"/>
    <s v="Yerevan - Krasnodar"/>
    <x v="1146"/>
    <s v="EK-88272"/>
    <n v="9721053"/>
    <n v="37"/>
    <n v="33"/>
    <n v="4"/>
    <n v="0"/>
    <n v="0"/>
    <n v="0"/>
    <n v="4"/>
    <s v="While attempting to take off, the aircraft struck a military bus as it crossed the runway."/>
    <n v="37"/>
    <n v="0"/>
    <x v="2"/>
  </r>
  <r>
    <n v="4159"/>
    <x v="3781"/>
    <x v="87"/>
    <x v="3"/>
    <s v="Unknown"/>
    <s v="Rwenzori mountains, Uganda"/>
    <s v="TanaMana Aviation"/>
    <s v="Unknown"/>
    <s v=" Entebbe - Kasese"/>
    <x v="1910"/>
    <s v="5Y-ANV"/>
    <n v="284"/>
    <n v="11"/>
    <n v="10"/>
    <n v="1"/>
    <n v="4"/>
    <n v="3"/>
    <n v="1"/>
    <n v="0"/>
    <s v="Crashed in the Rwenzori mountains."/>
    <n v="7"/>
    <n v="0.36363636363636365"/>
    <x v="0"/>
  </r>
  <r>
    <n v="4160"/>
    <x v="3782"/>
    <x v="87"/>
    <x v="3"/>
    <d v="1899-12-30T13:14:00"/>
    <s v="Near Quetzaltenango, Guatemala"/>
    <s v="Living Water Teaching Ministries Charter"/>
    <s v="Unknown"/>
    <s v="Plaa Grande - Quetzaltenango"/>
    <x v="507"/>
    <s v="N3FY"/>
    <n v="20562"/>
    <n v="18"/>
    <n v="16"/>
    <n v="2"/>
    <n v="11"/>
    <n v="9"/>
    <n v="2"/>
    <n v="0"/>
    <s v="The aircraft crashed into mountainous terrain in fog and rain 44 minutes after leaving Playa Grande, Guatemala. The plane was returning from doing a medical clinic for 3 days in the remote jungles of Playa Grande where no one had seen a doctor before."/>
    <n v="7"/>
    <n v="0.61111111111111116"/>
    <x v="0"/>
  </r>
  <r>
    <n v="4161"/>
    <x v="3783"/>
    <x v="87"/>
    <x v="3"/>
    <d v="1899-12-30T11:22:00"/>
    <s v="Near Krasnoyarsk, Russia"/>
    <s v="Sakha Airlines"/>
    <s v="Unknown"/>
    <s v="Krasnoyarsk - Mirny"/>
    <x v="942"/>
    <s v="RA-12955"/>
    <n v="8345506"/>
    <n v="13"/>
    <n v="7"/>
    <n v="6"/>
    <n v="13"/>
    <n v="7"/>
    <n v="6"/>
    <n v="0"/>
    <s v="The aircraft, carrying freight and seven passengers, crashed and burned, 25 km from Krasnoyarsk, 4 minutes after taking off in a snowstorm. Icing."/>
    <n v="0"/>
    <n v="1"/>
    <x v="1"/>
  </r>
  <r>
    <n v="4162"/>
    <x v="3784"/>
    <x v="87"/>
    <x v="3"/>
    <d v="1899-12-30T17:43:00"/>
    <s v="Edgewater, Maryland"/>
    <s v="Private"/>
    <s v="Unknown"/>
    <s v="Brunswick, GA - Annapolis, MD"/>
    <x v="1911"/>
    <s v="N956DB"/>
    <n v="21119"/>
    <n v="1"/>
    <n v="0"/>
    <n v="1"/>
    <n v="1"/>
    <n v="0"/>
    <n v="1"/>
    <n v="0"/>
    <s v="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
    <n v="0"/>
    <n v="1"/>
    <x v="1"/>
  </r>
  <r>
    <n v="4163"/>
    <x v="3785"/>
    <x v="87"/>
    <x v="3"/>
    <d v="1899-12-30T11:03:00"/>
    <s v="Baie-Comeau, Canada"/>
    <s v="Air Satellite"/>
    <s v="Unknown"/>
    <s v="Point-Lebel - Rimouski"/>
    <x v="1912"/>
    <s v="C-FCVK"/>
    <n v="2028"/>
    <n v="10"/>
    <n v="8"/>
    <n v="2"/>
    <n v="7"/>
    <n v="6"/>
    <n v="1"/>
    <n v="0"/>
    <s v="The aircraft crashed into the St. Lawrence River in shallow water, 2km from the runway after taking off from Point-Lebel."/>
    <n v="3"/>
    <n v="0.7"/>
    <x v="1"/>
  </r>
  <r>
    <n v="4164"/>
    <x v="3786"/>
    <x v="87"/>
    <x v="3"/>
    <d v="1899-12-30T19:10:00"/>
    <s v="Near Surat Thani, Thailand"/>
    <s v="Thai Airways"/>
    <n v="261"/>
    <s v="Bangkok - Surat Thani"/>
    <x v="1913"/>
    <s v="HS-TIA"/>
    <n v="415"/>
    <n v="146"/>
    <n v="132"/>
    <n v="14"/>
    <n v="102"/>
    <n v="91"/>
    <n v="11"/>
    <n v="0"/>
    <s v="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
    <n v="44"/>
    <n v="0.69863013698630139"/>
    <x v="1"/>
  </r>
  <r>
    <n v="4165"/>
    <x v="3787"/>
    <x v="87"/>
    <x v="3"/>
    <s v="Unknown"/>
    <s v="Near Cuito, Angola"/>
    <s v="Khors Aircompany"/>
    <s v="Unknown"/>
    <s v="Unknown"/>
    <x v="1060"/>
    <s v="UR-11319"/>
    <n v="4342510"/>
    <n v="11"/>
    <n v="6"/>
    <n v="5"/>
    <n v="11"/>
    <n v="6"/>
    <n v="5"/>
    <n v="0"/>
    <s v="The leased aircraft was shot down by UNITA rebels as it flew at FL 150 carrying relief supplies."/>
    <n v="0"/>
    <n v="1"/>
    <x v="1"/>
  </r>
  <r>
    <n v="4166"/>
    <x v="3788"/>
    <x v="87"/>
    <x v="3"/>
    <s v="Unknown"/>
    <s v="Saurimo, Angola"/>
    <s v="Zanex"/>
    <s v="Unknown"/>
    <s v="Luanda - Saurimo"/>
    <x v="1914"/>
    <s v="S9-SAT"/>
    <n v="12357"/>
    <n v="10"/>
    <n v="2"/>
    <n v="8"/>
    <n v="1"/>
    <s v="NULL"/>
    <s v="NULL"/>
    <n v="0"/>
    <s v="After encountering a vehicle on the runway, the crew attempted a go-around but the aircraft touched down in a nose-high attitude and crashed."/>
    <n v="9"/>
    <n v="0.1"/>
    <x v="2"/>
  </r>
  <r>
    <n v="4167"/>
    <x v="3789"/>
    <x v="87"/>
    <x v="3"/>
    <d v="1899-12-30T00:15:00"/>
    <s v="MedellÃ­n, Colombia"/>
    <s v="SELVA"/>
    <s v="Unknown"/>
    <s v="BogotÃ¡ - MedellÃ­n"/>
    <x v="1915"/>
    <s v="HK-3930X"/>
    <n v="3309"/>
    <n v="5"/>
    <n v="2"/>
    <n v="3"/>
    <n v="5"/>
    <n v="2"/>
    <n v="3"/>
    <n v="0"/>
    <s v="The cargo plane crashed in fog and poor visibility while attempting to land."/>
    <n v="0"/>
    <n v="1"/>
    <x v="1"/>
  </r>
  <r>
    <n v="4168"/>
    <x v="3790"/>
    <x v="87"/>
    <x v="3"/>
    <d v="1899-12-30T12:00:00"/>
    <s v="Vila Nova, Angola"/>
    <s v="Transafrik"/>
    <n v="806"/>
    <s v="Huambo - Saurimo"/>
    <x v="1916"/>
    <s v="S9-CAO"/>
    <n v="4561"/>
    <n v="14"/>
    <n v="10"/>
    <n v="4"/>
    <n v="14"/>
    <n v="10"/>
    <n v="4"/>
    <n v="0"/>
    <s v="The plane crashed in dense jungle, 25 km from the departure town of Huambo. Heavy fighting was reported between government forces and UNITA rebels at the time of the crash."/>
    <n v="0"/>
    <n v="1"/>
    <x v="1"/>
  </r>
  <r>
    <n v="4169"/>
    <x v="3791"/>
    <x v="88"/>
    <x v="3"/>
    <s v="Unknown"/>
    <s v="Near Huambo, Angola"/>
    <s v="Transafrik - United Nations Charter"/>
    <s v="Unknown"/>
    <s v="Huambo - Luanda"/>
    <x v="1259"/>
    <s v="D2-EHD"/>
    <n v="4839"/>
    <n v="9"/>
    <n v="5"/>
    <n v="4"/>
    <n v="9"/>
    <n v="5"/>
    <n v="4"/>
    <n v="0"/>
    <s v="he United Nations-chartered plane was shot down by UNITA rebels, 20 minutes after takeoff from Huambo."/>
    <n v="0"/>
    <n v="1"/>
    <x v="1"/>
  </r>
  <r>
    <n v="4170"/>
    <x v="3792"/>
    <x v="88"/>
    <x v="3"/>
    <d v="1899-12-30T17:00:00"/>
    <s v="Guernsey, Channel Islands, England"/>
    <s v="Channel Express"/>
    <s v="Unknown"/>
    <s v="London - Guernsey"/>
    <x v="1108"/>
    <s v="G-CHNL"/>
    <n v="10508"/>
    <n v="2"/>
    <n v="0"/>
    <n v="2"/>
    <n v="2"/>
    <n v="0"/>
    <n v="2"/>
    <n v="0"/>
    <s v="During approach the cargo planel,assumed a nose-high attitude, stalled, hit a house and crashed into a field short of the runway. The aircraft was operated outside the load and balance limitations"/>
    <n v="0"/>
    <n v="1"/>
    <x v="1"/>
  </r>
  <r>
    <n v="4171"/>
    <x v="3793"/>
    <x v="88"/>
    <x v="3"/>
    <s v="Unknown"/>
    <s v="Geilenkirchen, Germany"/>
    <s v="Military - German Air National Guard"/>
    <s v="Unknown"/>
    <s v="Refueling"/>
    <x v="1917"/>
    <s v="59-1452"/>
    <s v="17940/355"/>
    <n v="4"/>
    <n v="0"/>
    <n v="4"/>
    <n v="4"/>
    <n v="0"/>
    <n v="4"/>
    <n v="0"/>
    <s v="After completing an air refueling mission the plane pitched upward, stalled and crashed."/>
    <n v="0"/>
    <n v="1"/>
    <x v="1"/>
  </r>
  <r>
    <n v="4172"/>
    <x v="3793"/>
    <x v="88"/>
    <x v="3"/>
    <d v="1899-12-30T06:33:00"/>
    <s v="Mayne Island, British Columbia, Canada"/>
    <s v="Kelowna Flightcraft Air Charter"/>
    <s v="Unknown"/>
    <s v="Vancouver - Victoria"/>
    <x v="507"/>
    <s v="C-GWUG"/>
    <n v="32963"/>
    <n v="2"/>
    <n v="0"/>
    <n v="2"/>
    <n v="2"/>
    <n v="0"/>
    <n v="2"/>
    <n v="0"/>
    <s v="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
    <n v="0"/>
    <n v="1"/>
    <x v="1"/>
  </r>
  <r>
    <n v="4173"/>
    <x v="3794"/>
    <x v="88"/>
    <x v="3"/>
    <d v="1899-12-30T14:30:00"/>
    <s v="Coconut Island, QLD, Australia"/>
    <s v="Uzu Air"/>
    <s v="Unknown"/>
    <s v="Horn Island - Coconut Island"/>
    <x v="1918"/>
    <s v="VH-XFF"/>
    <n v="763"/>
    <n v="4"/>
    <n v="3"/>
    <n v="1"/>
    <n v="3"/>
    <n v="2"/>
    <n v="1"/>
    <n v="0"/>
    <s v="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
    <n v="1"/>
    <n v="0.75"/>
    <x v="1"/>
  </r>
  <r>
    <n v="4174"/>
    <x v="3795"/>
    <x v="88"/>
    <x v="3"/>
    <d v="1899-12-30T08:10:00"/>
    <s v="Bluefields, Nicaragua"/>
    <s v="Fuerza AÃ©rea Nicaragua"/>
    <s v="Unknown"/>
    <s v="Managua - Bluefields"/>
    <x v="1195"/>
    <s v="Unknown"/>
    <s v="Unknown"/>
    <n v="28"/>
    <n v="21"/>
    <n v="7"/>
    <n v="28"/>
    <n v="21"/>
    <n v="7"/>
    <n v="0"/>
    <s v="The plane, on a relief mission to Bluefields was waved off from landing because of a blocked runway. While navigating around for another landing attempt, the aircraft crashed into mountainous terrain."/>
    <n v="0"/>
    <n v="1"/>
    <x v="1"/>
  </r>
  <r>
    <n v="4175"/>
    <x v="3796"/>
    <x v="88"/>
    <x v="3"/>
    <d v="1899-12-30T05:08:00"/>
    <s v="Luanda, Angola"/>
    <s v="Savannair"/>
    <s v="Unknown"/>
    <s v="Luanda - Lucapa"/>
    <x v="942"/>
    <s v="EL-ASS"/>
    <n v="3340909"/>
    <n v="14"/>
    <n v="10"/>
    <n v="4"/>
    <n v="14"/>
    <n v="10"/>
    <n v="4"/>
    <n v="13"/>
    <s v="The plane was on a flight to Lucapa, when it was forced to return to Luanda due to engine trouble. While approaching Luanda, the aircraft crashed into the Cazenga district of Luanda destroying five houses."/>
    <n v="0"/>
    <n v="1"/>
    <x v="1"/>
  </r>
  <r>
    <n v="4176"/>
    <x v="3797"/>
    <x v="88"/>
    <x v="3"/>
    <d v="1899-12-30T10:20:00"/>
    <s v="Hoskins, Papua New Guinea"/>
    <s v="Airlink"/>
    <s v="Unknown"/>
    <s v="Hoskins - Kandrian"/>
    <x v="1376"/>
    <s v="P2-ALH"/>
    <n v="761"/>
    <n v="11"/>
    <n v="10"/>
    <n v="1"/>
    <n v="11"/>
    <n v="10"/>
    <n v="1"/>
    <n v="0"/>
    <s v="The aircraft crashed 15 minutes after taking off from Hoskins en route to Kandrian. The aircraft broke-up in midair after encountering severe weather and crashed into a oil palm plantation in flat terrain."/>
    <n v="0"/>
    <n v="1"/>
    <x v="1"/>
  </r>
  <r>
    <n v="4177"/>
    <x v="3798"/>
    <x v="88"/>
    <x v="3"/>
    <s v="Unknown"/>
    <s v="Kinshasa,  Democratic Republic Congo"/>
    <s v="Air Karibu"/>
    <s v="Unknown"/>
    <s v="Kinshasa - Mbandaka"/>
    <x v="1240"/>
    <s v="9Q-CDI"/>
    <n v="1037"/>
    <n v="7"/>
    <n v="0"/>
    <n v="7"/>
    <n v="7"/>
    <n v="0"/>
    <n v="7"/>
    <n v="0"/>
    <s v="After taking off, the cargo plane lost the No. 3 engine. The crew tried to return to the airport but the plane lost altitude and crashed."/>
    <n v="0"/>
    <n v="1"/>
    <x v="1"/>
  </r>
  <r>
    <n v="4178"/>
    <x v="3799"/>
    <x v="88"/>
    <x v="3"/>
    <d v="1899-12-30T16:34:00"/>
    <s v="Rui'an, China"/>
    <s v="China Southwest Airlines"/>
    <n v="4509"/>
    <s v="Chengdu - Wenzhou"/>
    <x v="1225"/>
    <s v="B-2622"/>
    <s v="90A-846"/>
    <n v="61"/>
    <n v="50"/>
    <n v="11"/>
    <n v="61"/>
    <n v="50"/>
    <n v="11"/>
    <n v="0"/>
    <s v="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
    <n v="0"/>
    <n v="1"/>
    <x v="1"/>
  </r>
  <r>
    <n v="4179"/>
    <x v="3800"/>
    <x v="88"/>
    <x v="3"/>
    <d v="1899-12-30T12:30:00"/>
    <s v="Genoa, Italy"/>
    <s v="Minerva Airlines"/>
    <n v="1553"/>
    <s v="Cagliar - Genoa"/>
    <x v="1919"/>
    <s v="D-CPRR"/>
    <n v="3054"/>
    <n v="31"/>
    <n v="27"/>
    <n v="4"/>
    <n v="4"/>
    <n v="3"/>
    <n v="1"/>
    <n v="0"/>
    <s v="The aircraft touched down briefly, overran the runway and crashed into the sea in strong winds."/>
    <n v="27"/>
    <n v="0.12903225806451613"/>
    <x v="2"/>
  </r>
  <r>
    <n v="4180"/>
    <x v="3801"/>
    <x v="88"/>
    <x v="3"/>
    <d v="1899-12-30T08:23:00"/>
    <s v="New Delhi, India"/>
    <s v="Military - Indian Air Force"/>
    <s v="Unknown"/>
    <s v="Gwalior -  Pokhran - New Delhi"/>
    <x v="1920"/>
    <s v="K2673"/>
    <n v="108"/>
    <n v="19"/>
    <n v="15"/>
    <n v="4"/>
    <n v="19"/>
    <n v="15"/>
    <n v="4"/>
    <n v="3"/>
    <s v="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
    <n v="0"/>
    <n v="1"/>
    <x v="1"/>
  </r>
  <r>
    <n v="4181"/>
    <x v="3802"/>
    <x v="88"/>
    <x v="3"/>
    <d v="1899-12-30T16:05:00"/>
    <s v="Near Tame, Colombia"/>
    <s v="ALIANSA Colombia"/>
    <s v="Unknown"/>
    <s v="Cucuta - El Yopal"/>
    <x v="1921"/>
    <s v="HK-337"/>
    <n v="11831"/>
    <n v="8"/>
    <n v="5"/>
    <n v="3"/>
    <n v="8"/>
    <n v="5"/>
    <n v="3"/>
    <n v="8"/>
    <s v="Crashed into Huirotico Hill. Wreckage found 4 days later."/>
    <n v="0"/>
    <n v="1"/>
    <x v="1"/>
  </r>
  <r>
    <n v="4182"/>
    <x v="3803"/>
    <x v="88"/>
    <x v="3"/>
    <d v="1899-12-30T09:45:00"/>
    <s v="Davis Inlet, Newfoundland, Canada"/>
    <s v="Provincial Airlines"/>
    <n v="960"/>
    <s v="Goose Bay - Davis Inlet"/>
    <x v="1220"/>
    <s v="C-FWLQ"/>
    <n v="724"/>
    <n v="2"/>
    <n v="0"/>
    <n v="2"/>
    <n v="1"/>
    <n v="0"/>
    <n v="1"/>
    <n v="0"/>
    <s v="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n v="1"/>
    <n v="0.5"/>
    <x v="0"/>
  </r>
  <r>
    <n v="4183"/>
    <x v="3804"/>
    <x v="88"/>
    <x v="3"/>
    <d v="1899-12-30T11:30:00"/>
    <s v="Ribeirao Preto, Brazil"/>
    <s v="ManacÃ¡ TÃ¡xi AÃ©reo"/>
    <s v="Unknown"/>
    <s v="Training"/>
    <x v="1922"/>
    <s v="PT-LEM"/>
    <s v="24-270"/>
    <n v="5"/>
    <n v="0"/>
    <n v="5"/>
    <n v="5"/>
    <n v="0"/>
    <n v="5"/>
    <n v="0"/>
    <s v="The pilot-in-command lost control during touch-and-go landing and crashed."/>
    <n v="0"/>
    <n v="1"/>
    <x v="1"/>
  </r>
  <r>
    <n v="4184"/>
    <x v="3804"/>
    <x v="88"/>
    <x v="3"/>
    <d v="1899-12-30T00:33:00"/>
    <s v="Near Ceyhan, Turkey"/>
    <s v="Turkish Airlines (THY)"/>
    <n v="5904"/>
    <s v="Adana - Ciddah"/>
    <x v="1923"/>
    <s v="TC-JEP"/>
    <s v="25378/2732"/>
    <n v="6"/>
    <n v="0"/>
    <n v="6"/>
    <n v="6"/>
    <n v="0"/>
    <n v="6"/>
    <n v="0"/>
    <s v="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
    <n v="0"/>
    <n v="1"/>
    <x v="1"/>
  </r>
  <r>
    <n v="4185"/>
    <x v="3805"/>
    <x v="88"/>
    <x v="3"/>
    <d v="1899-12-30T11:35:00"/>
    <s v="Near Malaga, Colombia"/>
    <s v="Aerotaca"/>
    <s v="Unknown"/>
    <s v="Bucaramanga - Malaga"/>
    <x v="1220"/>
    <s v="HK-2760"/>
    <n v="777"/>
    <n v="5"/>
    <n v="3"/>
    <n v="2"/>
    <n v="5"/>
    <n v="3"/>
    <n v="2"/>
    <n v="0"/>
    <s v="The aircraft crashed into La Caida Hill in fog, 10 minutes from its destination. The aircraft was off course."/>
    <n v="0"/>
    <n v="1"/>
    <x v="1"/>
  </r>
  <r>
    <n v="4186"/>
    <x v="3806"/>
    <x v="88"/>
    <x v="3"/>
    <d v="1899-12-30T16:05:00"/>
    <s v="Shanghi, China"/>
    <s v="Korean Air"/>
    <n v="6316"/>
    <s v="Shanghi, China - Seoul, Korea"/>
    <x v="1762"/>
    <s v="HL-7373"/>
    <s v="48409/490"/>
    <n v="3"/>
    <n v="0"/>
    <n v="3"/>
    <n v="3"/>
    <n v="0"/>
    <n v="3"/>
    <n v="0"/>
    <s v="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
    <n v="0"/>
    <n v="1"/>
    <x v="1"/>
  </r>
  <r>
    <n v="4187"/>
    <x v="3807"/>
    <x v="88"/>
    <x v="3"/>
    <d v="1899-12-30T19:21:00"/>
    <s v="Off Port Vila, Vanuatu"/>
    <s v="Vanair"/>
    <s v="Unknown"/>
    <s v="EspÃ­rita Santo - Port Vila"/>
    <x v="1220"/>
    <s v="YJ-RV9"/>
    <n v="694"/>
    <n v="12"/>
    <n v="11"/>
    <n v="1"/>
    <n v="7"/>
    <n v="6"/>
    <n v="1"/>
    <n v="0"/>
    <s v="Crashed into the ocean during a heavy rain. It is reported that the flight had appeared to be proceeding normally until impact with the water."/>
    <n v="5"/>
    <n v="0.58333333333333337"/>
    <x v="0"/>
  </r>
  <r>
    <n v="4188"/>
    <x v="3808"/>
    <x v="88"/>
    <x v="3"/>
    <d v="1899-12-30T13:15:00"/>
    <s v="Kuching, Malaysia"/>
    <s v="Military - Malaysian Air Force"/>
    <s v="Unknown"/>
    <s v="Training"/>
    <x v="1924"/>
    <s v="M21-05"/>
    <n v="270"/>
    <n v="5"/>
    <n v="0"/>
    <n v="5"/>
    <n v="5"/>
    <n v="0"/>
    <n v="5"/>
    <n v="0"/>
    <s v="Crashed while attempting to take off."/>
    <n v="0"/>
    <n v="1"/>
    <x v="1"/>
  </r>
  <r>
    <n v="4189"/>
    <x v="3809"/>
    <x v="88"/>
    <x v="3"/>
    <d v="1899-12-30T14:30:00"/>
    <s v="Ol Kiombo, Kenya"/>
    <s v="Malindi Air Services"/>
    <s v="Unknown"/>
    <s v="Ol Kiombo - Mara Sika AS"/>
    <x v="1771"/>
    <s v="5Y-LET"/>
    <n v="912620"/>
    <n v="2"/>
    <n v="0"/>
    <n v="2"/>
    <n v="2"/>
    <n v="0"/>
    <n v="2"/>
    <n v="0"/>
    <s v="Failed to gain altitude while taking off and crashed. The plane was on a positioning flight to pick up passengers."/>
    <n v="0"/>
    <n v="1"/>
    <x v="1"/>
  </r>
  <r>
    <n v="4190"/>
    <x v="3810"/>
    <x v="88"/>
    <x v="3"/>
    <d v="1899-12-30T23:50:00"/>
    <s v="Little Rock, Arkansas"/>
    <s v="American Airlines"/>
    <n v="1420"/>
    <s v="Dallas-Fort Worth - Little Rock"/>
    <x v="1584"/>
    <s v="N215AA"/>
    <s v="49163/1111"/>
    <n v="145"/>
    <n v="139"/>
    <n v="6"/>
    <n v="11"/>
    <n v="10"/>
    <n v="1"/>
    <n v="0"/>
    <s v="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
    <n v="134"/>
    <n v="7.586206896551724E-2"/>
    <x v="2"/>
  </r>
  <r>
    <n v="4191"/>
    <x v="3811"/>
    <x v="88"/>
    <x v="3"/>
    <s v="Unknown"/>
    <s v="Near Khartoum, Sudan"/>
    <s v="Military - Sudan Air Force"/>
    <s v="Unknown"/>
    <s v="Kassala - Khartoum"/>
    <x v="1743"/>
    <s v="Unknown"/>
    <s v="Unknown"/>
    <n v="50"/>
    <n v="44"/>
    <n v="6"/>
    <n v="50"/>
    <n v="44"/>
    <n v="6"/>
    <n v="0"/>
    <s v="No data available"/>
    <n v="0"/>
    <n v="1"/>
    <x v="1"/>
  </r>
  <r>
    <n v="4192"/>
    <x v="3812"/>
    <x v="88"/>
    <x v="3"/>
    <s v="Unknown"/>
    <s v="Coron, Philippines"/>
    <s v="Pacific Airways"/>
    <s v="Unknown"/>
    <s v="Unknown"/>
    <x v="1303"/>
    <s v="RP-C471"/>
    <n v="473"/>
    <n v="1"/>
    <n v="0"/>
    <n v="1"/>
    <n v="1"/>
    <n v="0"/>
    <n v="1"/>
    <n v="0"/>
    <s v="No data available"/>
    <n v="0"/>
    <n v="1"/>
    <x v="1"/>
  </r>
  <r>
    <n v="4193"/>
    <x v="3812"/>
    <x v="88"/>
    <x v="3"/>
    <d v="1899-12-30T10:50:00"/>
    <s v="Juneau, Alaska"/>
    <s v="Air Taxi - Coastal Helicopters Inc."/>
    <s v="Unknown"/>
    <s v="Sightseeing"/>
    <x v="1925"/>
    <s v="N6099S"/>
    <n v="2810"/>
    <n v="7"/>
    <n v="6"/>
    <n v="1"/>
    <n v="7"/>
    <n v="6"/>
    <n v="1"/>
    <n v="0"/>
    <s v="The sightseeing helicopter impacted a glacier.The pilot's continued VFR flight into adverse weather, spatial disorientation, and failure to maintain aircraft control. Factors associated with the accident were pressure by the company to continue flights in marginal weather, and the &quot;flat&quot; lighting leading to whiteout conditions."/>
    <n v="0"/>
    <n v="1"/>
    <x v="1"/>
  </r>
  <r>
    <n v="4194"/>
    <x v="3813"/>
    <x v="88"/>
    <x v="3"/>
    <d v="1899-12-30T08:52:00"/>
    <s v="Goroka, Papua New Guinea"/>
    <s v="Airlink"/>
    <s v="Unknown"/>
    <s v="Nadzab - Goroka"/>
    <x v="1576"/>
    <s v="P2-ALX"/>
    <n v="110210"/>
    <n v="17"/>
    <n v="15"/>
    <n v="2"/>
    <n v="17"/>
    <n v="15"/>
    <n v="2"/>
    <n v="0"/>
    <s v="The aircraft was 19 miles or six minutes out of Goroka when it crashed into a hillside. At the time of the crash, the pilot was in routine communication with Goroka and gave no indications of any problems."/>
    <n v="0"/>
    <n v="1"/>
    <x v="1"/>
  </r>
  <r>
    <n v="4195"/>
    <x v="3814"/>
    <x v="88"/>
    <x v="3"/>
    <d v="1899-12-30T13:20:00"/>
    <s v="Long Haul Lake, Manatoba, Canada"/>
    <s v="Blue Water Aviation Services"/>
    <s v="Unknown"/>
    <s v="Test flight"/>
    <x v="781"/>
    <s v="C-FIFP"/>
    <n v="73"/>
    <n v="2"/>
    <n v="0"/>
    <n v="2"/>
    <n v="1"/>
    <n v="0"/>
    <n v="1"/>
    <n v="0"/>
    <s v="During the takeoff the engine failed and the plane crashed into trees. The most likely accident scenario during the second take-off is that water contamination migrated from the center fuel tank to the engine, resulting in a loss of engine power."/>
    <n v="1"/>
    <n v="0.5"/>
    <x v="0"/>
  </r>
  <r>
    <n v="4196"/>
    <x v="3815"/>
    <x v="88"/>
    <x v="3"/>
    <s v="Unknown"/>
    <s v="Luzamba, Angola"/>
    <s v="Savanair"/>
    <s v="Unknown"/>
    <s v="Huambo - Luanda"/>
    <x v="1863"/>
    <s v="TN-AFR"/>
    <n v="8345502"/>
    <n v="5"/>
    <n v="0"/>
    <n v="5"/>
    <n v="1"/>
    <n v="0"/>
    <n v="1"/>
    <n v="0"/>
    <s v="The cargo plane was shot down by UNITA rebels."/>
    <n v="4"/>
    <n v="0.2"/>
    <x v="2"/>
  </r>
  <r>
    <n v="4197"/>
    <x v="3816"/>
    <x v="88"/>
    <x v="3"/>
    <d v="1899-12-30T14:27:00"/>
    <s v="Sittwe, Myanmar"/>
    <s v="Myanmar Airways"/>
    <s v="Unknown"/>
    <s v="Yangon - Sittwe"/>
    <x v="1108"/>
    <s v="XY-AEO"/>
    <n v="10594"/>
    <n v="8"/>
    <n v="4"/>
    <n v="4"/>
    <n v="8"/>
    <n v="4"/>
    <n v="4"/>
    <n v="0"/>
    <s v="The aircraft, carrying freight, flew into the side of a fog covered ridge, 8 km E of Sittwe, while on approach to Sittwe."/>
    <n v="0"/>
    <n v="1"/>
    <x v="1"/>
  </r>
  <r>
    <n v="4198"/>
    <x v="3817"/>
    <x v="88"/>
    <x v="3"/>
    <d v="1899-12-30T12:05:00"/>
    <s v="Villavicencio, Colombia"/>
    <s v="LANC Colombia"/>
    <s v="Unknown"/>
    <s v="Villavicencio - Mitu"/>
    <x v="681"/>
    <s v="HK-1776"/>
    <s v="45499/1011"/>
    <n v="18"/>
    <n v="12"/>
    <n v="6"/>
    <n v="5"/>
    <n v="5"/>
    <n v="0"/>
    <n v="0"/>
    <s v="The aircraft developed engine trouble shortly after taking off and returned to the airport. The plane made a steep descent and struck an embankment of the Guatiquia River."/>
    <n v="13"/>
    <n v="0.27777777777777779"/>
    <x v="2"/>
  </r>
  <r>
    <n v="4199"/>
    <x v="3818"/>
    <x v="88"/>
    <x v="3"/>
    <d v="1899-12-30T19:51:00"/>
    <s v="Near Kathmandu, Nepal"/>
    <s v="Lufthansa Cargo Airlines"/>
    <n v="8533"/>
    <s v="Kathmandu - New Delhi"/>
    <x v="1926"/>
    <s v="VT-LCI"/>
    <s v="22168/1770"/>
    <n v="5"/>
    <n v="0"/>
    <n v="5"/>
    <n v="5"/>
    <n v="0"/>
    <n v="5"/>
    <n v="0"/>
    <s v="The cargo plane crashed into the Champadevi mountains at an altitude of 7,500 ft. The plane was flying too low.  Failure to the adhere to Standard Instrument Departure Procedure by the crew and failure of the controllers to warn the flight."/>
    <n v="0"/>
    <n v="1"/>
    <x v="1"/>
  </r>
  <r>
    <n v="4200"/>
    <x v="3819"/>
    <x v="88"/>
    <x v="3"/>
    <d v="1899-12-30T04:30:00"/>
    <s v="Toluca , Mexico"/>
    <s v="Aero Jet Express"/>
    <s v="Unknown"/>
    <s v="Los Mochis - Toluca"/>
    <x v="1927"/>
    <s v="XA-TAL"/>
    <n v="25064"/>
    <n v="4"/>
    <n v="2"/>
    <n v="2"/>
    <n v="4"/>
    <n v="2"/>
    <n v="2"/>
    <n v="0"/>
    <s v="While on approach, the cargo plane hit a wall, 400 meters short of the runway."/>
    <n v="0"/>
    <n v="1"/>
    <x v="1"/>
  </r>
  <r>
    <n v="4201"/>
    <x v="3820"/>
    <x v="88"/>
    <x v="3"/>
    <d v="1899-12-30T21:41:00"/>
    <s v="Off Martha's Vineyard, Massachusetts"/>
    <s v="Private"/>
    <s v="-"/>
    <s v="Fairfield, N.J. - Martha's Vineyard, MA"/>
    <x v="1928"/>
    <s v="N9253N"/>
    <n v="3213100"/>
    <n v="3"/>
    <n v="2"/>
    <n v="1"/>
    <n v="3"/>
    <n v="2"/>
    <n v="1"/>
    <n v="0"/>
    <s v="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
    <n v="0"/>
    <n v="1"/>
    <x v="1"/>
  </r>
  <r>
    <n v="4202"/>
    <x v="3821"/>
    <x v="88"/>
    <x v="3"/>
    <d v="1899-12-30T11:25:00"/>
    <s v="Tokyo, Japan"/>
    <s v="All Nippon Airways"/>
    <n v="61"/>
    <s v="Tokyo, Japan - Chitose, Japan"/>
    <x v="1254"/>
    <s v="JA8966"/>
    <s v="27442/1066"/>
    <n v="517"/>
    <n v="503"/>
    <n v="14"/>
    <n v="1"/>
    <n v="0"/>
    <n v="1"/>
    <n v="0"/>
    <s v="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
    <n v="516"/>
    <n v="1.9342359767891683E-3"/>
    <x v="2"/>
  </r>
  <r>
    <n v="4203"/>
    <x v="3821"/>
    <x v="88"/>
    <x v="3"/>
    <d v="1899-12-30T03:30:00"/>
    <s v="Near Orito, Colombia"/>
    <s v="Military - U.S. Army"/>
    <s v="Unknown"/>
    <s v="Unknown"/>
    <x v="1611"/>
    <s v="N5382W"/>
    <n v="95"/>
    <n v="7"/>
    <n v="0"/>
    <n v="7"/>
    <n v="7"/>
    <n v="0"/>
    <n v="7"/>
    <n v="0"/>
    <s v="The plane crashed into Patascoy mountain at 7,000 ft. on a reconnaissance flight over drug producing areas."/>
    <n v="0"/>
    <n v="1"/>
    <x v="1"/>
  </r>
  <r>
    <n v="4204"/>
    <x v="3822"/>
    <x v="88"/>
    <x v="3"/>
    <d v="1899-12-30T05:35:00"/>
    <s v="Nasevou Village, Fiji"/>
    <s v="Air Fiji"/>
    <n v="121"/>
    <s v="Nausori - Nadi"/>
    <x v="1449"/>
    <s v="DQ-AFN"/>
    <n v="110416"/>
    <n v="17"/>
    <n v="15"/>
    <n v="2"/>
    <n v="17"/>
    <n v="15"/>
    <n v="2"/>
    <n v="0"/>
    <s v="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
    <n v="0"/>
    <n v="1"/>
    <x v="1"/>
  </r>
  <r>
    <n v="4205"/>
    <x v="3823"/>
    <x v="88"/>
    <x v="3"/>
    <d v="1899-12-30T12:00:00"/>
    <s v="Santo Antao, Cape Verde Islands"/>
    <s v="TACV-Cabo Verde Airlines"/>
    <n v="5002"/>
    <s v="Sao Vicente - Santo Antao"/>
    <x v="1757"/>
    <s v="D4-CBC"/>
    <n v="8091"/>
    <n v="18"/>
    <n v="16"/>
    <n v="2"/>
    <n v="18"/>
    <n v="16"/>
    <n v="2"/>
    <n v="0"/>
    <s v="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
    <n v="0"/>
    <n v="1"/>
    <x v="1"/>
  </r>
  <r>
    <n v="4206"/>
    <x v="3824"/>
    <x v="88"/>
    <x v="3"/>
    <d v="1899-12-30T18:45:00"/>
    <s v="Hong Kong, China"/>
    <s v="China Airlines (Taiwan)"/>
    <n v="642"/>
    <s v="Bangkok - Hong Kong"/>
    <x v="1762"/>
    <s v="B-150"/>
    <s v="48468/518"/>
    <n v="315"/>
    <n v="300"/>
    <n v="15"/>
    <n v="3"/>
    <n v="3"/>
    <n v="0"/>
    <n v="0"/>
    <s v="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
    <n v="312"/>
    <n v="9.5238095238095247E-3"/>
    <x v="2"/>
  </r>
  <r>
    <n v="4207"/>
    <x v="3825"/>
    <x v="88"/>
    <x v="3"/>
    <d v="1899-12-30T12:36:00"/>
    <s v="Hualian, Taiwan"/>
    <s v="Uni Air"/>
    <n v="873"/>
    <s v="Taipei - Hualian"/>
    <x v="1929"/>
    <s v="B-17912"/>
    <s v="53536/2160"/>
    <n v="96"/>
    <n v="90"/>
    <n v="6"/>
    <n v="1"/>
    <n v="1"/>
    <n v="0"/>
    <n v="0"/>
    <s v="A fire in the front portion of the cabin, in the overhead luggage compartment, caused thick black smoke to accumulate in the cabin.  Accidental ignition of gas taken aboard in 2 bleach and softner bottles, stored in a overhead locker."/>
    <n v="95"/>
    <n v="1.0416666666666666E-2"/>
    <x v="2"/>
  </r>
  <r>
    <n v="4208"/>
    <x v="3826"/>
    <x v="88"/>
    <x v="3"/>
    <d v="1899-12-30T10:54:00"/>
    <s v="Turtkul, Uzbekistan"/>
    <s v="Uzbekistan Airways"/>
    <s v="Unknown"/>
    <s v="Tashkent - Turtkul"/>
    <x v="1146"/>
    <s v="UK-87848"/>
    <n v="9331730"/>
    <n v="33"/>
    <n v="29"/>
    <n v="4"/>
    <n v="2"/>
    <n v="2"/>
    <n v="0"/>
    <n v="0"/>
    <s v="The aircraft struck power lines 2,000m past the end of the runway after a second attempted go-around."/>
    <n v="31"/>
    <n v="6.0606060606060608E-2"/>
    <x v="2"/>
  </r>
  <r>
    <n v="4209"/>
    <x v="3827"/>
    <x v="88"/>
    <x v="3"/>
    <d v="1899-12-30T20:55:00"/>
    <s v="Buenos Aires, Argentina"/>
    <s v="LAPA, Lineas Aereas Privadas Argentinas"/>
    <n v="3142"/>
    <s v="Buenos Aires - Cordoba"/>
    <x v="1930"/>
    <s v="LV-WRZ"/>
    <s v="20389/251"/>
    <n v="103"/>
    <n v="98"/>
    <n v="5"/>
    <n v="63"/>
    <n v="60"/>
    <n v="3"/>
    <n v="2"/>
    <s v="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
    <n v="40"/>
    <n v="0.61165048543689315"/>
    <x v="0"/>
  </r>
  <r>
    <n v="4210"/>
    <x v="3828"/>
    <x v="88"/>
    <x v="3"/>
    <d v="1899-12-30T10:30:00"/>
    <s v="Near Kathmandu, Nepal"/>
    <s v="Necon Air"/>
    <n v="128"/>
    <s v="Pokhara - Kathmandu"/>
    <x v="1931"/>
    <s v="9N-AEG"/>
    <n v="1806"/>
    <n v="15"/>
    <n v="10"/>
    <n v="5"/>
    <n v="15"/>
    <n v="10"/>
    <n v="5"/>
    <n v="0"/>
    <s v=" While on approach to Tribhuvan International Airport, the aircraft struck a telecommunication tower with its left wing and crashed onto slopes of a wooded area, 6 miles southwest of the airport."/>
    <n v="0"/>
    <n v="1"/>
    <x v="1"/>
  </r>
  <r>
    <n v="4211"/>
    <x v="3829"/>
    <x v="88"/>
    <x v="3"/>
    <d v="1899-12-30T23:47:00"/>
    <s v="Girona, Spain"/>
    <s v="Britannia Airways"/>
    <s v="226A"/>
    <s v="Cardiff, Wales, UK - Girona, Spain"/>
    <x v="1932"/>
    <s v="G-BYAG"/>
    <s v="26965/517"/>
    <n v="245"/>
    <n v="236"/>
    <n v="9"/>
    <n v="1"/>
    <n v="1"/>
    <n v="0"/>
    <n v="0"/>
    <s v="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
    <n v="244"/>
    <n v="4.0816326530612249E-3"/>
    <x v="2"/>
  </r>
  <r>
    <n v="4212"/>
    <x v="3829"/>
    <x v="88"/>
    <x v="3"/>
    <s v="Unknown"/>
    <s v="Bucharest, Romania"/>
    <s v="Greek Government"/>
    <n v="3838"/>
    <s v="Athens - Bucharest"/>
    <x v="1933"/>
    <s v="SX-ECH"/>
    <n v="26"/>
    <n v="13"/>
    <n v="10"/>
    <n v="3"/>
    <n v="7"/>
    <n v="7"/>
    <n v="0"/>
    <n v="0"/>
    <s v="Experienced pitch oscillations during descent and crashed while landing. Inadequate risk assessment of the pitch feel malfunctions. Overriding of the A/P on the pitch channel by the crew."/>
    <n v="6"/>
    <n v="0.53846153846153844"/>
    <x v="0"/>
  </r>
  <r>
    <n v="4213"/>
    <x v="3829"/>
    <x v="88"/>
    <x v="3"/>
    <d v="1899-12-30T21:20:00"/>
    <s v="Belelm, Brazil"/>
    <s v="Norte Jet TÃ¡xi AÃ©reo"/>
    <s v="Unknown"/>
    <s v="Belem - Monte Dourado"/>
    <x v="1791"/>
    <s v="PT-ODK"/>
    <n v="110002"/>
    <n v="2"/>
    <n v="0"/>
    <n v="2"/>
    <n v="2"/>
    <n v="0"/>
    <n v="2"/>
    <n v="0"/>
    <s v="The cargo plane crashed while on approach."/>
    <n v="0"/>
    <n v="1"/>
    <x v="1"/>
  </r>
  <r>
    <n v="4214"/>
    <x v="3830"/>
    <x v="88"/>
    <x v="3"/>
    <s v="Unknown"/>
    <s v="Mt. Hidalgo, Mexico"/>
    <s v="Military - Mexican Air Force"/>
    <s v="Unknown"/>
    <s v="Test flight"/>
    <x v="805"/>
    <n v="3610"/>
    <n v="3217"/>
    <n v="5"/>
    <n v="0"/>
    <n v="5"/>
    <n v="5"/>
    <n v="0"/>
    <n v="5"/>
    <n v="0"/>
    <s v="The plane crashed just after maintenance personell replaced parts and were testing the plane."/>
    <n v="0"/>
    <n v="1"/>
    <x v="1"/>
  </r>
  <r>
    <n v="4215"/>
    <x v="3831"/>
    <x v="88"/>
    <x v="3"/>
    <d v="1899-12-30T19:15:00"/>
    <s v="Dhahran, Saudi Arabia"/>
    <s v="Aramco Associated Company"/>
    <s v="Unknown"/>
    <s v="Unknown"/>
    <x v="1934"/>
    <s v="N704H"/>
    <n v="28108"/>
    <n v="20"/>
    <n v="18"/>
    <n v="2"/>
    <n v="12"/>
    <n v="10"/>
    <n v="2"/>
    <n v="0"/>
    <s v="The helicopter, crashed into the water shortly after liftoff from the 88 foot tall helideck located 35 miles offshore. The landing was soft and gentle but the helicopter rolled over inverted in the water."/>
    <n v="8"/>
    <n v="0.6"/>
    <x v="0"/>
  </r>
  <r>
    <n v="4216"/>
    <x v="3832"/>
    <x v="88"/>
    <x v="3"/>
    <s v="Unknown"/>
    <s v="San Carlos, Venezuela"/>
    <s v="Military - Venezuelan Army"/>
    <s v="Unknown"/>
    <s v="La Carlota - Acarigua"/>
    <x v="1475"/>
    <s v="EV-8012"/>
    <n v="62"/>
    <n v="6"/>
    <n v="3"/>
    <n v="3"/>
    <n v="6"/>
    <n v="3"/>
    <n v="3"/>
    <n v="0"/>
    <s v="Crashed during a rainstorm."/>
    <n v="0"/>
    <n v="1"/>
    <x v="1"/>
  </r>
  <r>
    <n v="4217"/>
    <x v="3833"/>
    <x v="88"/>
    <x v="3"/>
    <d v="1899-12-30T11:20:00"/>
    <s v="Aberdeen, South Dakota"/>
    <s v="Private charter"/>
    <s v="Unknown"/>
    <s v="Orlando, FL - Dallas, TX"/>
    <x v="1935"/>
    <s v="N47BA"/>
    <n v="60"/>
    <n v="6"/>
    <n v="4"/>
    <n v="2"/>
    <n v="6"/>
    <n v="4"/>
    <n v="2"/>
    <n v="0"/>
    <s v="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
    <n v="0"/>
    <n v="1"/>
    <x v="1"/>
  </r>
  <r>
    <n v="4218"/>
    <x v="3834"/>
    <x v="88"/>
    <x v="3"/>
    <d v="1899-12-30T01:52:00"/>
    <s v="Off Nantucket Island, Massachusetts"/>
    <s v="EgyptAir"/>
    <n v="990"/>
    <s v="New York City - Cairo"/>
    <x v="1936"/>
    <s v="SU-GAP"/>
    <s v="24542/282"/>
    <n v="217"/>
    <n v="202"/>
    <n v="15"/>
    <n v="217"/>
    <n v="202"/>
    <n v="15"/>
    <n v="0"/>
    <s v="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
    <n v="0"/>
    <n v="1"/>
    <x v="1"/>
  </r>
  <r>
    <n v="4219"/>
    <x v="3835"/>
    <x v="88"/>
    <x v="3"/>
    <d v="1899-12-30T19:03:00"/>
    <s v="Near Uruapan, Mexico"/>
    <s v="TAESA"/>
    <n v="725"/>
    <s v="Uruapan - Mexico City"/>
    <x v="1153"/>
    <s v="XA-TKN"/>
    <s v="47418/570"/>
    <n v="18"/>
    <n v="13"/>
    <n v="5"/>
    <n v="18"/>
    <n v="13"/>
    <n v="5"/>
    <n v="0"/>
    <s v="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
    <n v="0"/>
    <n v="1"/>
    <x v="1"/>
  </r>
  <r>
    <n v="4220"/>
    <x v="3836"/>
    <x v="88"/>
    <x v="3"/>
    <d v="1899-12-30T11:13:00"/>
    <s v="Near Pristina, Kosovo"/>
    <s v="Si Fly - U.N. charter"/>
    <n v="3275"/>
    <s v="Rome - Pristina"/>
    <x v="1937"/>
    <s v="F-OHFV"/>
    <n v="12"/>
    <n v="24"/>
    <n v="21"/>
    <n v="3"/>
    <n v="24"/>
    <n v="21"/>
    <n v="3"/>
    <n v="0"/>
    <s v="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
    <n v="0"/>
    <n v="1"/>
    <x v="1"/>
  </r>
  <r>
    <n v="4221"/>
    <x v="3837"/>
    <x v="88"/>
    <x v="3"/>
    <d v="1899-12-30T05:12:00"/>
    <s v="Moscow, Russia"/>
    <s v="Tashkent Aircraft Production Corporation"/>
    <s v="Unknown"/>
    <s v="Moscow, Russia - Tashkent, Uzbekistan"/>
    <x v="1938"/>
    <s v="UK-91004"/>
    <n v="1083800305"/>
    <n v="7"/>
    <n v="0"/>
    <n v="7"/>
    <n v="5"/>
    <n v="0"/>
    <n v="5"/>
    <n v="0"/>
    <s v="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
    <n v="2"/>
    <n v="0.7142857142857143"/>
    <x v="1"/>
  </r>
  <r>
    <n v="4222"/>
    <x v="3838"/>
    <x v="88"/>
    <x v="3"/>
    <d v="1899-12-30T09:25:00"/>
    <s v="Near Bayombang, Philippines"/>
    <s v="Asian Spirit"/>
    <s v="Unknown"/>
    <s v="Manila - Cauayan"/>
    <x v="1624"/>
    <s v="RP-C-3883"/>
    <n v="851429"/>
    <n v="17"/>
    <n v="15"/>
    <n v="2"/>
    <n v="17"/>
    <n v="15"/>
    <n v="2"/>
    <n v="0"/>
    <s v="The aircraft apparently flew into a mountainside towards the end of a flight from Manila to Cauayan in rain and poor visibility."/>
    <n v="0"/>
    <n v="1"/>
    <x v="1"/>
  </r>
  <r>
    <n v="4223"/>
    <x v="3839"/>
    <x v="88"/>
    <x v="3"/>
    <d v="1899-12-30T02:50:00"/>
    <s v="Kuwait City, Kuwait"/>
    <s v="Military - U.S. Air Force"/>
    <s v="Unknown"/>
    <s v="Kuwait  IA - Kuwait-Ahmed Al-jaber AB"/>
    <x v="1262"/>
    <s v="63-7854"/>
    <n v="3924"/>
    <n v="94"/>
    <n v="86"/>
    <n v="8"/>
    <n v="3"/>
    <n v="3"/>
    <n v="0"/>
    <n v="0"/>
    <s v="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
    <n v="91"/>
    <n v="3.1914893617021274E-2"/>
    <x v="2"/>
  </r>
  <r>
    <n v="4224"/>
    <x v="3840"/>
    <x v="88"/>
    <x v="3"/>
    <d v="1899-12-30T09:20:00"/>
    <s v="Sao Jorge, Azores (Portugal)"/>
    <s v="SATA"/>
    <n v="530"/>
    <s v="Ponta Delgada - Horta"/>
    <x v="1939"/>
    <s v="CS-TGM"/>
    <n v="2030"/>
    <n v="35"/>
    <n v="31"/>
    <n v="4"/>
    <n v="35"/>
    <n v="31"/>
    <n v="4"/>
    <n v="0"/>
    <s v="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
    <n v="0"/>
    <n v="1"/>
    <x v="1"/>
  </r>
  <r>
    <n v="4225"/>
    <x v="3841"/>
    <x v="88"/>
    <x v="3"/>
    <d v="1899-12-30T09:40:00"/>
    <s v="Guatemala City, Guatemala"/>
    <s v="Cubana de Aviacon"/>
    <n v="261"/>
    <s v="Havana - Guatemala City"/>
    <x v="1405"/>
    <s v="F-GTDI"/>
    <s v="46890/77"/>
    <n v="314"/>
    <n v="296"/>
    <n v="18"/>
    <n v="16"/>
    <n v="8"/>
    <n v="8"/>
    <n v="2"/>
    <s v="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
    <n v="298"/>
    <n v="5.0955414012738856E-2"/>
    <x v="2"/>
  </r>
  <r>
    <n v="4226"/>
    <x v="3842"/>
    <x v="88"/>
    <x v="3"/>
    <d v="1899-12-30T18:38:00"/>
    <s v="Great Hallingbury, United Kingdom"/>
    <s v="Korean Air"/>
    <n v="8509"/>
    <s v="London, England - Milan, Italy"/>
    <x v="1940"/>
    <s v="HL-7451"/>
    <s v="22480/448"/>
    <n v="4"/>
    <n v="0"/>
    <n v="4"/>
    <n v="4"/>
    <n v="0"/>
    <n v="4"/>
    <n v="0"/>
    <s v="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
    <n v="0"/>
    <n v="1"/>
    <x v="1"/>
  </r>
  <r>
    <n v="4227"/>
    <x v="3843"/>
    <x v="88"/>
    <x v="3"/>
    <s v="Unknown"/>
    <s v="Amritsar, India / Kandahar, Afghanistan"/>
    <s v="Indian Airlines"/>
    <n v="814"/>
    <s v="Kathmandu - New Delhi"/>
    <x v="1941"/>
    <s v="VT-EDW"/>
    <n v="36"/>
    <n v="189"/>
    <n v="174"/>
    <n v="15"/>
    <n v="1"/>
    <n v="0"/>
    <n v="1"/>
    <n v="0"/>
    <s v="The plane was hijacked and subsequently flown to Amritsar, India, Lahore, Pakistan, al-Minhar Air Base, Dubai and Kandahar, Afghanistan. The hijacking lasted 7 days. One crewmember was killed."/>
    <n v="188"/>
    <n v="5.2910052910052907E-3"/>
    <x v="2"/>
  </r>
  <r>
    <n v="4228"/>
    <x v="3844"/>
    <x v="88"/>
    <x v="3"/>
    <d v="1899-12-30T20:15:00"/>
    <s v="Bejuma, Venezuela"/>
    <s v="Cubana de Aviacion"/>
    <n v="310"/>
    <s v="Havana - Valencia"/>
    <x v="1735"/>
    <s v="CU-T1285"/>
    <n v="4520424914068"/>
    <n v="22"/>
    <n v="12"/>
    <n v="10"/>
    <n v="22"/>
    <n v="12"/>
    <n v="10"/>
    <n v="0"/>
    <s v="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
    <n v="0"/>
    <n v="1"/>
    <x v="1"/>
  </r>
  <r>
    <n v="4229"/>
    <x v="3844"/>
    <x v="88"/>
    <x v="3"/>
    <d v="1899-12-30T15:02:00"/>
    <s v="Near Simara, Nepal"/>
    <s v="Skyline Airways"/>
    <s v="Unknown"/>
    <s v="Simara - Kathmandu"/>
    <x v="1196"/>
    <s v="9N-AFL"/>
    <n v="796"/>
    <n v="10"/>
    <n v="7"/>
    <n v="3"/>
    <n v="10"/>
    <n v="7"/>
    <n v="3"/>
    <n v="0"/>
    <s v="The aircraft crashed 5 minutes after taking off from Simara.  The aircraft was observed not following the usual route into the mountains."/>
    <n v="0"/>
    <n v="1"/>
    <x v="1"/>
  </r>
  <r>
    <n v="4230"/>
    <x v="3845"/>
    <x v="88"/>
    <x v="3"/>
    <s v="Unknown"/>
    <s v="Near Zonguldak, Turkey"/>
    <s v="Ecuato Guineana de Aviacion"/>
    <s v="Unknown"/>
    <s v="Kiev, Russia - Tehran, Iran"/>
    <x v="1942"/>
    <s v="3C-JJI"/>
    <s v="Unknown"/>
    <n v="6"/>
    <n v="4"/>
    <n v="2"/>
    <n v="6"/>
    <n v="4"/>
    <n v="2"/>
    <n v="0"/>
    <s v="While on a positioning flight the aircraft crashed into the Black Sea after stating they were diverting to Ankara Turkey."/>
    <n v="0"/>
    <n v="1"/>
    <x v="1"/>
  </r>
  <r>
    <n v="4231"/>
    <x v="3846"/>
    <x v="89"/>
    <x v="4"/>
    <s v="Unknown"/>
    <s v="Abuja, Nigeria"/>
    <s v="Skypower Express Airways"/>
    <s v="Unknown"/>
    <s v="Lagos - Abuja"/>
    <x v="1869"/>
    <s v="5N-AXL"/>
    <s v="110-455"/>
    <n v="16"/>
    <n v="13"/>
    <n v="3"/>
    <n v="1"/>
    <n v="1"/>
    <n v="0"/>
    <n v="1"/>
    <s v="During a visual approach the aircraft stalled and pancaked 400 ft. short of the runway."/>
    <n v="15"/>
    <n v="6.25E-2"/>
    <x v="2"/>
  </r>
  <r>
    <n v="4232"/>
    <x v="3847"/>
    <x v="89"/>
    <x v="4"/>
    <d v="1899-12-30T17:54:00"/>
    <s v="Niederhasli, Switzerland"/>
    <s v="Crossair"/>
    <n v="498"/>
    <s v="ZÃ¼rich - Dresden"/>
    <x v="1786"/>
    <s v="HB-AKK"/>
    <n v="213"/>
    <n v="10"/>
    <n v="7"/>
    <n v="3"/>
    <n v="10"/>
    <n v="7"/>
    <n v="3"/>
    <n v="0"/>
    <s v="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n v="0"/>
    <n v="1"/>
    <x v="1"/>
  </r>
  <r>
    <n v="4233"/>
    <x v="3848"/>
    <x v="89"/>
    <x v="4"/>
    <d v="1899-12-30T12:38:00"/>
    <s v="Off Marsa el-Brega, Libya"/>
    <s v="Avisto"/>
    <s v="Unknown"/>
    <s v="Tripoli IAP - Marsa el-Brega"/>
    <x v="1595"/>
    <s v="HB-AAM"/>
    <s v="SH-3763"/>
    <n v="41"/>
    <n v="38"/>
    <n v="3"/>
    <n v="22"/>
    <n v="21"/>
    <n v="1"/>
    <n v="0"/>
    <s v="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
    <n v="19"/>
    <n v="0.53658536585365857"/>
    <x v="0"/>
  </r>
  <r>
    <n v="4234"/>
    <x v="3849"/>
    <x v="89"/>
    <x v="4"/>
    <d v="1899-12-30T13:10:00"/>
    <s v="San Jose, Costa Rica"/>
    <s v="TACA"/>
    <s v="Unknown"/>
    <s v="San Jose - Tortuguero"/>
    <x v="1771"/>
    <s v="YS-09-C"/>
    <n v="861620"/>
    <n v="20"/>
    <n v="17"/>
    <n v="3"/>
    <n v="5"/>
    <n v="4"/>
    <n v="1"/>
    <n v="0"/>
    <s v="The aircraft was not able to maintain altitude after taking off and crashed into a house. The aircraft was overloaded. Lack of safety instruction to passengers. Flaps not properly selected. Took off without clearance."/>
    <n v="15"/>
    <n v="0.25"/>
    <x v="2"/>
  </r>
  <r>
    <n v="4235"/>
    <x v="3850"/>
    <x v="89"/>
    <x v="4"/>
    <d v="1899-12-30T21:08:00"/>
    <s v="Off Abidjan, Ivory Coast"/>
    <s v="Kenya Airways"/>
    <n v="431"/>
    <s v="Abidjan - Lagos"/>
    <x v="1943"/>
    <s v="5Y-BEN"/>
    <n v="426"/>
    <n v="179"/>
    <n v="169"/>
    <n v="10"/>
    <n v="169"/>
    <n v="159"/>
    <n v="10"/>
    <n v="0"/>
    <s v="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
    <n v="10"/>
    <n v="0.94413407821229045"/>
    <x v="1"/>
  </r>
  <r>
    <n v="4236"/>
    <x v="3851"/>
    <x v="89"/>
    <x v="4"/>
    <d v="1899-12-30T16:21:00"/>
    <s v="Off Point Mugu, California"/>
    <s v="Alaska Airlines"/>
    <n v="261"/>
    <s v="Puerto Vallarta - San Francisco"/>
    <x v="1944"/>
    <s v="N963AS"/>
    <s v="53077/1995"/>
    <n v="88"/>
    <n v="83"/>
    <n v="5"/>
    <n v="88"/>
    <n v="83"/>
    <n v="5"/>
    <n v="0"/>
    <s v="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
    <n v="0"/>
    <n v="1"/>
    <x v="1"/>
  </r>
  <r>
    <n v="4237"/>
    <x v="3852"/>
    <x v="89"/>
    <x v="4"/>
    <s v="Unknown"/>
    <s v="Tehran, Iran"/>
    <s v="Military - Islamic Republic of Iran Air Force"/>
    <s v="Unknown"/>
    <s v="Training"/>
    <x v="1298"/>
    <s v="Unknown"/>
    <s v="Unknown"/>
    <n v="8"/>
    <s v="NULL"/>
    <s v="NULL"/>
    <n v="8"/>
    <s v="NULL"/>
    <s v="NULL"/>
    <n v="0"/>
    <s v="Crashed on take off."/>
    <n v="0"/>
    <n v="1"/>
    <x v="1"/>
  </r>
  <r>
    <n v="4238"/>
    <x v="3853"/>
    <x v="89"/>
    <x v="4"/>
    <d v="1899-12-30T19:50:00"/>
    <s v="Sacramento, California"/>
    <s v="Emery Worldwide"/>
    <n v="17"/>
    <s v="Sacramento, CA - Dayton, OH"/>
    <x v="1945"/>
    <s v="N8079U"/>
    <s v="45947/341"/>
    <n v="3"/>
    <n v="0"/>
    <n v="3"/>
    <n v="3"/>
    <n v="0"/>
    <n v="3"/>
    <n v="0"/>
    <s v="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
    <n v="0"/>
    <n v="1"/>
    <x v="1"/>
  </r>
  <r>
    <n v="4239"/>
    <x v="3854"/>
    <x v="89"/>
    <x v="4"/>
    <d v="1899-12-30T18:11:00"/>
    <s v="Burbank, Calilfornia"/>
    <s v="Southwest Airlines"/>
    <n v="1455"/>
    <s v="Las Vegas - Burbank"/>
    <x v="1946"/>
    <s v="N668SW"/>
    <s v="23060/1069"/>
    <n v="142"/>
    <n v="137"/>
    <n v="5"/>
    <n v="0"/>
    <n v="0"/>
    <n v="0"/>
    <n v="0"/>
    <s v="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
    <n v="142"/>
    <n v="0"/>
    <x v="2"/>
  </r>
  <r>
    <n v="4240"/>
    <x v="3855"/>
    <x v="89"/>
    <x v="4"/>
    <d v="1899-12-30T08:40:00"/>
    <s v="Moscow, Russia"/>
    <s v="Vologodskiye Airlines"/>
    <s v="Unknown"/>
    <s v="Moscow - Kiev"/>
    <x v="1146"/>
    <s v="RA-88170"/>
    <n v="9620847"/>
    <n v="9"/>
    <n v="4"/>
    <n v="5"/>
    <n v="9"/>
    <n v="4"/>
    <n v="5"/>
    <n v="0"/>
    <s v="The aircraft climbed to an altitude of about 100 ft., stalled, lost control and crashed. Ice build up on the wings. Flaps incorrectly set."/>
    <n v="0"/>
    <n v="1"/>
    <x v="1"/>
  </r>
  <r>
    <n v="4241"/>
    <x v="3856"/>
    <x v="89"/>
    <x v="4"/>
    <d v="1899-12-30T09:30:00"/>
    <s v="Near Kuna Yala, Panama"/>
    <s v="Aeroperlas"/>
    <s v="Unknown"/>
    <s v="Panama City - Puerto Obaldia"/>
    <x v="1220"/>
    <s v="HP-1267APP"/>
    <n v="624"/>
    <n v="10"/>
    <n v="8"/>
    <n v="2"/>
    <n v="10"/>
    <n v="8"/>
    <n v="2"/>
    <n v="0"/>
    <s v="Crashed into a jungle mountainside 15 miles short of its destination while en route. The wreckage was found at the 2,500 ft. level of a 2,790 ft. mountain.  Weather was poor at the time."/>
    <n v="0"/>
    <n v="1"/>
    <x v="1"/>
  </r>
  <r>
    <n v="4242"/>
    <x v="3856"/>
    <x v="89"/>
    <x v="4"/>
    <d v="1899-12-30T12:31:00"/>
    <s v="Ennadai Lake, Canada"/>
    <s v="Points North Air Services"/>
    <s v="Unknown"/>
    <s v="Points North Landing, SK - Ennadai Lake"/>
    <x v="1441"/>
    <s v="C-FNTF"/>
    <n v="12344"/>
    <n v="2"/>
    <n v="0"/>
    <n v="2"/>
    <n v="2"/>
    <n v="0"/>
    <n v="2"/>
    <n v="0"/>
    <s v="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
    <n v="0"/>
    <n v="1"/>
    <x v="1"/>
  </r>
  <r>
    <n v="4243"/>
    <x v="3857"/>
    <x v="89"/>
    <x v="4"/>
    <d v="1899-12-30T17:45:00"/>
    <s v="Herreira, Spain"/>
    <s v="Military - EjÃ©rcito del Aire"/>
    <s v="Unknown"/>
    <s v="Sevilla - Herreira"/>
    <x v="1947"/>
    <s v="TM-12D-73"/>
    <n v="314"/>
    <n v="7"/>
    <n v="0"/>
    <n v="7"/>
    <n v="7"/>
    <n v="0"/>
    <n v="7"/>
    <n v="0"/>
    <s v="Crashed while attempting to land in poor weather."/>
    <n v="0"/>
    <n v="1"/>
    <x v="1"/>
  </r>
  <r>
    <n v="4244"/>
    <x v="3858"/>
    <x v="89"/>
    <x v="4"/>
    <d v="1899-12-30T18:04:00"/>
    <s v="Kadirana, Sri Lanka"/>
    <s v="Sky Cabs"/>
    <s v="Unknown"/>
    <s v="Bangkok - Colombo"/>
    <x v="1948"/>
    <s v="RA-11302"/>
    <n v="8346004"/>
    <n v="8"/>
    <n v="0"/>
    <n v="8"/>
    <n v="6"/>
    <n v="0"/>
    <n v="6"/>
    <n v="2"/>
    <s v="The pilot -in-command made two requests to land because he was low on fuel. While attempting to land, he ran out of fuel and crashed short of the runway. The Cargo plane broke into four parts and crashed into houses."/>
    <n v="2"/>
    <n v="0.75"/>
    <x v="1"/>
  </r>
  <r>
    <n v="4245"/>
    <x v="3859"/>
    <x v="89"/>
    <x v="4"/>
    <s v="Unknown"/>
    <s v="Huambo, Angola"/>
    <s v="Uralex"/>
    <s v="Unknown"/>
    <s v="Huambo - Luanda"/>
    <x v="1625"/>
    <s v="D2-MAJ"/>
    <s v="ZZX3201"/>
    <n v="33"/>
    <n v="29"/>
    <n v="4"/>
    <n v="3"/>
    <n v="3"/>
    <n v="0"/>
    <n v="0"/>
    <s v="The aircraft, leased from a Ukrainian company, overran they runway and crashed into a ditch after an aborted takeoff. Brake failure as the pilot attempted to avoid a hole in the runway."/>
    <n v="30"/>
    <n v="9.0909090909090912E-2"/>
    <x v="2"/>
  </r>
  <r>
    <n v="4246"/>
    <x v="3860"/>
    <x v="89"/>
    <x v="4"/>
    <s v="Unknown"/>
    <s v="Near Anuradhapura, Sri Lanka"/>
    <s v="Military - Sri Lankan Air Force"/>
    <s v="Unknown"/>
    <s v="Jaffna/Palaly AFB - Anuradhapura AFB"/>
    <x v="1195"/>
    <s v="UR-79170"/>
    <n v="13410"/>
    <n v="40"/>
    <n v="36"/>
    <n v="4"/>
    <n v="40"/>
    <n v="36"/>
    <n v="4"/>
    <n v="0"/>
    <s v="The crew reported engine trouble 10 minutes before it crashed while en route. Members of the Liberation Tigers confessed to firing missiles at the plane."/>
    <n v="0"/>
    <n v="1"/>
    <x v="1"/>
  </r>
  <r>
    <n v="4247"/>
    <x v="3861"/>
    <x v="89"/>
    <x v="4"/>
    <d v="1899-12-30T09:30:00"/>
    <s v="Marianna, Florida"/>
    <s v="Bankair"/>
    <s v="Unknown"/>
    <s v="Opa-Locka - Marianna"/>
    <x v="1868"/>
    <s v="N86BE"/>
    <s v="35-194"/>
    <n v="3"/>
    <n v="0"/>
    <n v="3"/>
    <n v="3"/>
    <n v="0"/>
    <n v="3"/>
    <n v="0"/>
    <s v="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
    <n v="0"/>
    <n v="1"/>
    <x v="1"/>
  </r>
  <r>
    <n v="4248"/>
    <x v="3862"/>
    <x v="89"/>
    <x v="4"/>
    <s v="Unknown"/>
    <s v="Pepa ,Congo"/>
    <s v="Military - Centrafricain Airlines"/>
    <s v="Unknown"/>
    <s v="Pepa, Congo - Kigali, Rwanda"/>
    <x v="1746"/>
    <s v="TL-ACM"/>
    <n v="9340706"/>
    <n v="24"/>
    <n v="20"/>
    <n v="4"/>
    <n v="24"/>
    <n v="20"/>
    <n v="4"/>
    <n v="0"/>
    <s v="The military flight crashed after losing its engines after striking birds,unable to return to land."/>
    <n v="0"/>
    <n v="1"/>
    <x v="1"/>
  </r>
  <r>
    <n v="4249"/>
    <x v="3862"/>
    <x v="89"/>
    <x v="4"/>
    <d v="1899-12-30T07:02:00"/>
    <s v="Samal Island, Philippines"/>
    <s v="Air Philippines"/>
    <n v="541"/>
    <s v="Manila - Davao"/>
    <x v="1949"/>
    <s v="RP-C3010"/>
    <s v=" 21447/508"/>
    <n v="131"/>
    <n v="124"/>
    <n v="7"/>
    <n v="131"/>
    <n v="124"/>
    <n v="7"/>
    <n v="0"/>
    <s v="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
    <n v="0"/>
    <n v="1"/>
    <x v="1"/>
  </r>
  <r>
    <n v="4250"/>
    <x v="3863"/>
    <x v="89"/>
    <x v="4"/>
    <s v="Unknown"/>
    <s v="Bapi, Papua New Guinea"/>
    <s v="North Coast Aviation"/>
    <s v="Unknown"/>
    <s v="Unknown"/>
    <x v="1521"/>
    <s v="P2-ISA"/>
    <n v="703"/>
    <n v="4"/>
    <n v="1"/>
    <n v="3"/>
    <n v="4"/>
    <n v="1"/>
    <n v="3"/>
    <n v="0"/>
    <s v="While taking off the plane struck trees at the end of the runway, crashed and burned."/>
    <n v="0"/>
    <n v="1"/>
    <x v="1"/>
  </r>
  <r>
    <n v="4251"/>
    <x v="3864"/>
    <x v="89"/>
    <x v="4"/>
    <d v="1899-12-30T14:39:00"/>
    <s v="Lyon Satolas, France"/>
    <s v="Northern Executive Aviation"/>
    <s v="4B"/>
    <s v="Unknown"/>
    <x v="1868"/>
    <s v="G-MURI"/>
    <s v="35-646"/>
    <n v="5"/>
    <n v="3"/>
    <n v="2"/>
    <n v="2"/>
    <n v="0"/>
    <n v="2"/>
    <n v="0"/>
    <s v="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
    <n v="3"/>
    <n v="0.4"/>
    <x v="0"/>
  </r>
  <r>
    <n v="4252"/>
    <x v="3865"/>
    <x v="89"/>
    <x v="4"/>
    <s v="Unknown"/>
    <s v="Kurupung, Guyana"/>
    <s v="Trans Guyana Airways"/>
    <s v="Unknown"/>
    <s v="Unknown"/>
    <x v="1950"/>
    <s v="8R-GAC"/>
    <n v="694"/>
    <n v="1"/>
    <n v="0"/>
    <n v="1"/>
    <n v="1"/>
    <n v="0"/>
    <n v="1"/>
    <n v="0"/>
    <s v="The cargo plane crashed into a cloud covered mountain."/>
    <n v="0"/>
    <n v="1"/>
    <x v="1"/>
  </r>
  <r>
    <n v="4253"/>
    <x v="3866"/>
    <x v="89"/>
    <x v="4"/>
    <d v="1899-12-30T20:30:00"/>
    <s v="Kaunakakai, Hawaii"/>
    <s v="Price Aircraft Company"/>
    <s v="Unknown"/>
    <s v="Kahului - Hoolehua"/>
    <x v="1951"/>
    <s v="N241H"/>
    <s v="465-5"/>
    <n v="6"/>
    <n v="4"/>
    <n v="2"/>
    <n v="6"/>
    <n v="4"/>
    <n v="2"/>
    <n v="0"/>
    <s v="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
    <n v="0"/>
    <n v="1"/>
    <x v="1"/>
  </r>
  <r>
    <n v="4254"/>
    <x v="3867"/>
    <x v="89"/>
    <x v="4"/>
    <d v="1899-12-30T09:47:00"/>
    <s v="Moanda, Gabon"/>
    <s v="Avirex"/>
    <s v="Unknown"/>
    <s v="Libreville - Moanda"/>
    <x v="1681"/>
    <s v="TR-LFK"/>
    <s v="UC-133"/>
    <n v="10"/>
    <n v="8"/>
    <n v="2"/>
    <n v="3"/>
    <n v="2"/>
    <n v="1"/>
    <n v="0"/>
    <s v="The charter flight crashed while on approach in fog and mist."/>
    <n v="7"/>
    <n v="0.3"/>
    <x v="2"/>
  </r>
  <r>
    <n v="4255"/>
    <x v="3868"/>
    <x v="89"/>
    <x v="4"/>
    <d v="1899-12-30T11:28:00"/>
    <s v="Near Wilkes-Barre, Pennsylvania"/>
    <s v="Executive Airlines"/>
    <s v="Charter"/>
    <s v="Atlantic City - Wilkes-Barre"/>
    <x v="1952"/>
    <s v="N16EJ"/>
    <n v="834"/>
    <n v="19"/>
    <n v="17"/>
    <n v="2"/>
    <n v="19"/>
    <n v="17"/>
    <n v="2"/>
    <n v="0"/>
    <s v="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
    <n v="0"/>
    <n v="1"/>
    <x v="1"/>
  </r>
  <r>
    <n v="4256"/>
    <x v="3869"/>
    <x v="89"/>
    <x v="4"/>
    <s v="Unknown"/>
    <s v="Near Manila, Philippines"/>
    <s v="Philippine Air Lines"/>
    <n v="812"/>
    <s v="Davao - Manila"/>
    <x v="1953"/>
    <s v="F-OHZN"/>
    <s v="Unknown"/>
    <n v="298"/>
    <n v="284"/>
    <n v="14"/>
    <n v="1"/>
    <n v="1"/>
    <n v="0"/>
    <n v="0"/>
    <s v="A hijacker robbed passengers, jumped out of the plane with a homemade parachute and was killed in the jump."/>
    <n v="297"/>
    <n v="3.3557046979865771E-3"/>
    <x v="2"/>
  </r>
  <r>
    <n v="4257"/>
    <x v="3870"/>
    <x v="89"/>
    <x v="4"/>
    <d v="1899-12-30T19:05:00"/>
    <s v="Off Whyalla, Australia"/>
    <s v="Whyalla Airlines"/>
    <n v="904"/>
    <s v="Adelaide - Whyalla"/>
    <x v="1356"/>
    <s v="VH-MZK"/>
    <s v="31-8152180"/>
    <n v="8"/>
    <n v="1"/>
    <n v="7"/>
    <n v="8"/>
    <n v="1"/>
    <n v="7"/>
    <n v="0"/>
    <s v="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
    <n v="0"/>
    <n v="1"/>
    <x v="1"/>
  </r>
  <r>
    <n v="4258"/>
    <x v="3871"/>
    <x v="89"/>
    <x v="4"/>
    <d v="1899-12-30T11:35:00"/>
    <s v="Accra, Ghana"/>
    <s v="Ghana Airlink"/>
    <n v="200"/>
    <s v="Tamale - Accra"/>
    <x v="1108"/>
    <s v="G-524"/>
    <n v="10535"/>
    <n v="52"/>
    <n v="48"/>
    <n v="4"/>
    <n v="7"/>
    <n v="7"/>
    <n v="0"/>
    <n v="0"/>
    <s v="The plane made a hard landing, short of the runway and broke in two during a heavy rainstorm."/>
    <n v="45"/>
    <n v="0.13461538461538461"/>
    <x v="2"/>
  </r>
  <r>
    <n v="4259"/>
    <x v="3872"/>
    <x v="89"/>
    <x v="4"/>
    <d v="1899-12-30T01:16:00"/>
    <s v="Shitai, China"/>
    <s v="Wuhan Airlines"/>
    <n v="343"/>
    <s v="Enshi - Wuhan"/>
    <x v="1898"/>
    <s v="B-3479"/>
    <n v="6708"/>
    <n v="44"/>
    <n v="40"/>
    <n v="4"/>
    <n v="44"/>
    <n v="40"/>
    <n v="4"/>
    <n v="7"/>
    <s v="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
    <n v="0"/>
    <n v="1"/>
    <x v="1"/>
  </r>
  <r>
    <n v="4260"/>
    <x v="3873"/>
    <x v="89"/>
    <x v="4"/>
    <d v="1899-12-30T11:41:00"/>
    <s v="Boca Raton, Florida"/>
    <s v="Universal Jet Aviation"/>
    <s v="Unknown"/>
    <s v="Boca Raton - Fort Pierce"/>
    <x v="1954"/>
    <s v="N220JC"/>
    <s v="55-050"/>
    <n v="3"/>
    <n v="1"/>
    <n v="2"/>
    <n v="3"/>
    <n v="1"/>
    <n v="2"/>
    <n v="0"/>
    <s v="Shortly after takeoff the aircraft impacted another plane and crashed to the ground. The failure of the pilot's of both airplanes to maintain a visual lookout while climbing and maneuvering resulting in an in-flight collision and subsequent collision with residences and terrain."/>
    <n v="0"/>
    <n v="1"/>
    <x v="1"/>
  </r>
  <r>
    <n v="4261"/>
    <x v="3874"/>
    <x v="89"/>
    <x v="4"/>
    <s v="Unknown"/>
    <s v="Off Shimano, Japan"/>
    <s v="Military - Japanese Air Self-Defence Force"/>
    <s v="Unknown"/>
    <s v="Training"/>
    <x v="1955"/>
    <s v="88-1027"/>
    <n v="8027"/>
    <n v="5"/>
    <n v="0"/>
    <n v="5"/>
    <n v="5"/>
    <n v="0"/>
    <n v="5"/>
    <n v="0"/>
    <s v="Crashed into the sea during a test flight."/>
    <n v="0"/>
    <n v="1"/>
    <x v="1"/>
  </r>
  <r>
    <n v="4262"/>
    <x v="3875"/>
    <x v="89"/>
    <x v="4"/>
    <d v="1899-12-30T10:50:00"/>
    <s v="Off Cagayancillo, Philippines"/>
    <s v="Military - Philippine Air Force"/>
    <s v="Unknown"/>
    <s v="Cagayancillo - Puerto Princesa"/>
    <x v="1956"/>
    <s v="N286"/>
    <n v="86"/>
    <n v="15"/>
    <n v="11"/>
    <n v="4"/>
    <n v="14"/>
    <n v="10"/>
    <n v="4"/>
    <n v="0"/>
    <s v="Engine problems forced the pilot to return to the airport. However, he overshot the runway and crashed into the sea. One passenger was rescued by fishermen. Major General Santiago Madrid, chief of the southwestern military command, killed."/>
    <n v="1"/>
    <n v="0.93333333333333335"/>
    <x v="1"/>
  </r>
  <r>
    <n v="4263"/>
    <x v="3876"/>
    <x v="89"/>
    <x v="4"/>
    <d v="1899-12-30T19:50:00"/>
    <s v="Near Villahermosa, Mexico"/>
    <s v="Aerocaribe"/>
    <n v="7831"/>
    <s v="Tuxtla Gutierrez - Villahermosa"/>
    <x v="1957"/>
    <s v="N912FJ"/>
    <n v="912"/>
    <n v="19"/>
    <n v="17"/>
    <n v="2"/>
    <n v="19"/>
    <n v="17"/>
    <n v="2"/>
    <n v="0"/>
    <s v="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
    <n v="0"/>
    <n v="1"/>
    <x v="1"/>
  </r>
  <r>
    <n v="4264"/>
    <x v="3877"/>
    <x v="89"/>
    <x v="4"/>
    <d v="1899-12-30T08:37:00"/>
    <s v="Villavicencio, Colombia"/>
    <s v="CORAL Colombia"/>
    <s v="Unknown"/>
    <s v="Villavicencio - Mitu"/>
    <x v="1958"/>
    <s v="HK-851P"/>
    <n v="383"/>
    <n v="19"/>
    <n v="15"/>
    <n v="4"/>
    <n v="13"/>
    <n v="9"/>
    <n v="4"/>
    <n v="0"/>
    <s v="The cargo plane had 19 people aboard when it crashed into a farm after losing the No. 2 engine, two minutes after taking off from Villavicencio."/>
    <n v="6"/>
    <n v="0.68421052631578949"/>
    <x v="1"/>
  </r>
  <r>
    <n v="4265"/>
    <x v="3878"/>
    <x v="89"/>
    <x v="4"/>
    <d v="1899-12-30T00:34:00"/>
    <s v="Raleigh, North Carolina"/>
    <s v="Win Win Aviation"/>
    <s v="Unknown"/>
    <s v="Hinckley, IL - Louisburg, NC"/>
    <x v="1095"/>
    <s v="N201RH"/>
    <n v="163"/>
    <n v="3"/>
    <n v="2"/>
    <n v="1"/>
    <n v="1"/>
    <n v="0"/>
    <n v="1"/>
    <n v="0"/>
    <s v="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
    <n v="2"/>
    <n v="0.33333333333333331"/>
    <x v="2"/>
  </r>
  <r>
    <n v="4266"/>
    <x v="3879"/>
    <x v="89"/>
    <x v="4"/>
    <d v="1899-12-30T07:34:00"/>
    <s v="Patna, India"/>
    <s v="Indian Airlines/Alliance Airlines"/>
    <n v="7412"/>
    <s v="Calcutta - Patna - Lucknow - New Delhi"/>
    <x v="1959"/>
    <s v="VT-EGD"/>
    <s v="22280/671"/>
    <n v="58"/>
    <n v="52"/>
    <n v="6"/>
    <n v="55"/>
    <n v="49"/>
    <n v="6"/>
    <n v="5"/>
    <s v="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quot;go-around procedure&quot; instead of an &quot;approach to stall recovery procedure&quot; resulting in an actual stall of the aircraft, loss of control and subsequent impact with the ground."/>
    <n v="3"/>
    <n v="0.94827586206896552"/>
    <x v="1"/>
  </r>
  <r>
    <n v="4267"/>
    <x v="3880"/>
    <x v="89"/>
    <x v="4"/>
    <d v="1899-12-30T00:30:00"/>
    <s v="Linneus, Maine"/>
    <s v="Airwave Transport"/>
    <n v="9807"/>
    <s v="Moncton - Montreal"/>
    <x v="1540"/>
    <s v="C-GNAK"/>
    <n v="154"/>
    <n v="2"/>
    <n v="0"/>
    <n v="2"/>
    <n v="2"/>
    <n v="0"/>
    <n v="2"/>
    <n v="0"/>
    <s v="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
    <n v="0"/>
    <n v="1"/>
    <x v="1"/>
  </r>
  <r>
    <n v="4268"/>
    <x v="3881"/>
    <x v="89"/>
    <x v="4"/>
    <d v="1899-12-30T13:12:00"/>
    <s v="Nassau, Bahamas"/>
    <s v="Allied Air Freight"/>
    <s v="Unknown"/>
    <s v="Nassau - Freeport"/>
    <x v="472"/>
    <s v="N54AA"/>
    <n v="12475"/>
    <n v="2"/>
    <n v="0"/>
    <n v="2"/>
    <n v="2"/>
    <n v="0"/>
    <n v="2"/>
    <n v="0"/>
    <s v="The cargo plane lost an engine on takeoff lost altitude and crashed 2 miles east of the airport."/>
    <n v="0"/>
    <n v="1"/>
    <x v="1"/>
  </r>
  <r>
    <n v="4269"/>
    <x v="3882"/>
    <x v="89"/>
    <x v="4"/>
    <d v="1899-12-30T10:20:00"/>
    <s v="Maui, Hawaii"/>
    <s v="Blue Hawaiian Helicopters"/>
    <s v="Unknown"/>
    <s v="Sight seeing"/>
    <x v="1960"/>
    <s v="N510TG"/>
    <n v="5168"/>
    <n v="7"/>
    <n v="6"/>
    <n v="1"/>
    <n v="7"/>
    <n v="6"/>
    <n v="1"/>
    <n v="0"/>
    <s v="The helicopter, on a sightseeing tour, crashed into mountains on the western slopes of Maui at an elevation of 2,850 feet inclement weather."/>
    <n v="0"/>
    <n v="1"/>
    <x v="1"/>
  </r>
  <r>
    <n v="4270"/>
    <x v="3883"/>
    <x v="89"/>
    <x v="4"/>
    <d v="1899-12-30T16:44:00"/>
    <s v="Gonesse, France"/>
    <s v="Air France"/>
    <n v="4590"/>
    <s v="Paris - New York City"/>
    <x v="1961"/>
    <s v="F-BTSC"/>
    <n v="203"/>
    <n v="109"/>
    <n v="100"/>
    <n v="9"/>
    <n v="109"/>
    <n v="100"/>
    <n v="9"/>
    <n v="4"/>
    <s v="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
    <n v="0"/>
    <n v="1"/>
    <x v="1"/>
  </r>
  <r>
    <n v="4271"/>
    <x v="3884"/>
    <x v="89"/>
    <x v="4"/>
    <d v="1899-12-30T06:00:00"/>
    <s v="Mafraq, Jordan"/>
    <s v="Military - Royal Jordanian Air Force"/>
    <s v="Unknown"/>
    <s v="Unknown"/>
    <x v="1444"/>
    <n v="348"/>
    <n v="4073"/>
    <n v="13"/>
    <s v="NULL"/>
    <s v="NULL"/>
    <n v="13"/>
    <s v="NULL"/>
    <s v="NULL"/>
    <n v="0"/>
    <s v="Crashed on a training flight."/>
    <n v="0"/>
    <n v="1"/>
    <x v="1"/>
  </r>
  <r>
    <n v="4272"/>
    <x v="3885"/>
    <x v="89"/>
    <x v="4"/>
    <d v="1899-12-30T10:31:00"/>
    <s v="Jodhura, Nepal"/>
    <s v="Royal Nepal Airlines"/>
    <s v="Unknown"/>
    <s v="Bajhang - Dhangadhi"/>
    <x v="1220"/>
    <s v="9N-ABP"/>
    <n v="654"/>
    <n v="25"/>
    <n v="22"/>
    <n v="3"/>
    <n v="25"/>
    <n v="22"/>
    <n v="3"/>
    <n v="0"/>
    <s v="The aircraft crashed into the Churia mountain range at 4,300 ft., 20 minutes into a 30 minute flight to Dhangadhi in rain and fog."/>
    <n v="0"/>
    <n v="1"/>
    <x v="1"/>
  </r>
  <r>
    <n v="4273"/>
    <x v="3886"/>
    <x v="89"/>
    <x v="4"/>
    <d v="1899-12-30T08:45:00"/>
    <s v="Cubatao, Brazil"/>
    <s v="Air taxi - Lider Air Taxi"/>
    <s v="Unknown"/>
    <s v="Cubatao - Navegantes"/>
    <x v="1419"/>
    <s v="PT-HRD"/>
    <s v="Unknown"/>
    <n v="6"/>
    <n v="5"/>
    <n v="1"/>
    <n v="6"/>
    <n v="5"/>
    <n v="1"/>
    <n v="0"/>
    <s v="The helicopter exploded and crashed from a height of 1,000 ft."/>
    <n v="0"/>
    <n v="1"/>
    <x v="1"/>
  </r>
  <r>
    <n v="4274"/>
    <x v="3887"/>
    <x v="89"/>
    <x v="4"/>
    <d v="1899-12-30T15:55:00"/>
    <s v="Puerto Montt, Chile"/>
    <s v="Military - Fuerza AÃ©rea de Chile"/>
    <s v="-"/>
    <s v="Santiago - Coihaique"/>
    <x v="1962"/>
    <n v="230"/>
    <s v="AB10-454"/>
    <n v="14"/>
    <n v="10"/>
    <n v="4"/>
    <n v="14"/>
    <n v="10"/>
    <n v="4"/>
    <n v="0"/>
    <s v="The aircraft crashed into a volcano after the pilot reported he was diverting to Puerto Montt because of ice formation on the wings. The wreckage was found 15 days later."/>
    <n v="0"/>
    <n v="1"/>
    <x v="1"/>
  </r>
  <r>
    <n v="4275"/>
    <x v="3888"/>
    <x v="89"/>
    <x v="4"/>
    <d v="1899-12-30T08:00:00"/>
    <s v="Burlington Township, New Jersey"/>
    <s v="Patuxent Airways / Private"/>
    <s v="Unknown"/>
    <s v="Lakehurst, NY - Patuxent River, MD"/>
    <x v="1963"/>
    <s v="N27944 / N2225G"/>
    <s v="7952056/79951271"/>
    <n v="11"/>
    <n v="8"/>
    <n v="3"/>
    <n v="11"/>
    <n v="8"/>
    <n v="3"/>
    <n v="0"/>
    <s v="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
    <n v="0"/>
    <n v="1"/>
    <x v="1"/>
  </r>
  <r>
    <n v="4276"/>
    <x v="3889"/>
    <x v="89"/>
    <x v="4"/>
    <s v="Unknown"/>
    <s v="Near Tshikapa, Congo"/>
    <s v="Staer Air"/>
    <s v="Unknown"/>
    <s v="Kinshasa - Tshikapa"/>
    <x v="1764"/>
    <s v="9Q-CJI"/>
    <n v="6004"/>
    <n v="27"/>
    <n v="21"/>
    <n v="6"/>
    <n v="27"/>
    <n v="21"/>
    <n v="6"/>
    <n v="0"/>
    <s v="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
    <n v="0"/>
    <n v="1"/>
    <x v="1"/>
  </r>
  <r>
    <n v="4277"/>
    <x v="3890"/>
    <x v="89"/>
    <x v="4"/>
    <d v="1899-12-30T19:30:00"/>
    <s v="Off Manama, Bahrain"/>
    <s v="Gulf Air"/>
    <n v="72"/>
    <s v="Cairo - Manama"/>
    <x v="1964"/>
    <s v="A4O-EK"/>
    <n v="481"/>
    <n v="143"/>
    <n v="135"/>
    <n v="8"/>
    <n v="143"/>
    <n v="135"/>
    <n v="8"/>
    <n v="0"/>
    <s v="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quot;spatial disorientation&quot; to ground warning systems, which could have made him falsely perceive the aircraft was pitching up. He responded by making a nose down input, resulting in the aircraft starting to descend, when aircraft warning systems were saying he should increase altitude."/>
    <n v="0"/>
    <n v="1"/>
    <x v="1"/>
  </r>
  <r>
    <n v="4278"/>
    <x v="3891"/>
    <x v="89"/>
    <x v="4"/>
    <s v="Unknown"/>
    <s v="Mount Montezuma, Colombia"/>
    <s v="Military - Fuerza AÃ©rea Colombiana"/>
    <s v="Unknown"/>
    <s v="Unknown"/>
    <x v="368"/>
    <s v="FAC1659"/>
    <n v="32984"/>
    <n v="7"/>
    <n v="0"/>
    <n v="7"/>
    <n v="7"/>
    <n v="0"/>
    <n v="7"/>
    <n v="0"/>
    <s v="Flew into Mt. Montezuma."/>
    <n v="0"/>
    <n v="1"/>
    <x v="1"/>
  </r>
  <r>
    <n v="4279"/>
    <x v="3892"/>
    <x v="89"/>
    <x v="4"/>
    <d v="1899-12-30T15:10:00"/>
    <s v="Near Burketown, Australia"/>
    <s v="Charter - Central Air"/>
    <s v="Unknown"/>
    <s v="Perth - ?"/>
    <x v="1965"/>
    <s v="VH-SKC"/>
    <s v="BB-47"/>
    <n v="8"/>
    <n v="7"/>
    <n v="1"/>
    <n v="8"/>
    <n v="7"/>
    <n v="1"/>
    <n v="0"/>
    <s v="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
    <n v="0"/>
    <n v="1"/>
    <x v="1"/>
  </r>
  <r>
    <n v="4280"/>
    <x v="3893"/>
    <x v="89"/>
    <x v="4"/>
    <d v="1899-12-30T09:25:00"/>
    <s v="Kumarapura, Sri Lanka"/>
    <s v="Military - Sri Lanka Air Force"/>
    <s v="Unknown"/>
    <s v="Colombo - Kalmunai"/>
    <x v="1846"/>
    <s v="Unknown"/>
    <s v="Unknown"/>
    <n v="14"/>
    <n v="12"/>
    <n v="2"/>
    <n v="14"/>
    <n v="12"/>
    <n v="2"/>
    <n v="0"/>
    <s v="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
    <n v="0"/>
    <n v="1"/>
    <x v="1"/>
  </r>
  <r>
    <n v="4281"/>
    <x v="3894"/>
    <x v="89"/>
    <x v="4"/>
    <d v="1899-12-30T16:55:00"/>
    <s v="Reynosa, Mexico"/>
    <s v="Aeromexico"/>
    <n v="250"/>
    <s v="Mexico City - Reynosa - Matamoros"/>
    <x v="1153"/>
    <s v="N936ML"/>
    <s v="47501/571"/>
    <n v="88"/>
    <n v="83"/>
    <n v="5"/>
    <n v="0"/>
    <n v="0"/>
    <n v="0"/>
    <n v="4"/>
    <s v="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
    <n v="88"/>
    <n v="0"/>
    <x v="2"/>
  </r>
  <r>
    <n v="4282"/>
    <x v="3895"/>
    <x v="89"/>
    <x v="4"/>
    <d v="1899-12-30T15:20:00"/>
    <s v="Port Radium, Northwest Territories, Canada"/>
    <s v="Summit Air Charters"/>
    <s v="Unknown"/>
    <s v="Kuglluktuk - Yellowknife"/>
    <x v="1966"/>
    <s v="C-FSDZ"/>
    <s v="SH-1953"/>
    <n v="3"/>
    <n v="1"/>
    <n v="2"/>
    <n v="3"/>
    <n v="1"/>
    <n v="2"/>
    <n v="0"/>
    <s v="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
    <n v="0"/>
    <n v="1"/>
    <x v="1"/>
  </r>
  <r>
    <n v="4283"/>
    <x v="3896"/>
    <x v="89"/>
    <x v="4"/>
    <d v="1899-12-30T14:52:00"/>
    <s v="Wichita, Kansas"/>
    <s v="Bombardier Aerospace"/>
    <s v="Unknown"/>
    <s v="Test flight"/>
    <x v="1967"/>
    <s v="C-FTBZ"/>
    <n v="5991"/>
    <n v="3"/>
    <n v="0"/>
    <n v="3"/>
    <n v="2"/>
    <n v="0"/>
    <n v="2"/>
    <n v="0"/>
    <s v="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
    <n v="1"/>
    <n v="0.66666666666666663"/>
    <x v="1"/>
  </r>
  <r>
    <n v="4284"/>
    <x v="3897"/>
    <x v="89"/>
    <x v="4"/>
    <d v="1899-12-30T17:33:00"/>
    <s v="Hillsboro, Missouri"/>
    <s v="Private"/>
    <s v="Unknown"/>
    <s v="St. Louis - New Madrid"/>
    <x v="1968"/>
    <s v="N8354N"/>
    <s v="335-0064"/>
    <n v="3"/>
    <n v="2"/>
    <n v="1"/>
    <n v="3"/>
    <n v="2"/>
    <n v="1"/>
    <n v="0"/>
    <s v="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
    <n v="0"/>
    <n v="1"/>
    <x v="1"/>
  </r>
  <r>
    <n v="4285"/>
    <x v="3898"/>
    <x v="89"/>
    <x v="4"/>
    <d v="1899-12-30T12:12:00"/>
    <s v="Near Sam Neua, Laos"/>
    <s v="Lao Aviation"/>
    <n v="703"/>
    <s v="Vientiane - Sam Neua"/>
    <x v="1856"/>
    <s v="RDPL-34130"/>
    <n v="86"/>
    <n v="17"/>
    <n v="15"/>
    <n v="2"/>
    <n v="8"/>
    <n v="8"/>
    <n v="0"/>
    <n v="0"/>
    <s v="The aircraft crashed into a mountain at 4,800 ft., in poor weather, while making an apporach to Sam Neua."/>
    <n v="9"/>
    <n v="0.47058823529411764"/>
    <x v="0"/>
  </r>
  <r>
    <n v="4286"/>
    <x v="3899"/>
    <x v="89"/>
    <x v="4"/>
    <d v="1899-12-30T18:15:00"/>
    <s v="Near Batumi, Republic of Georgia"/>
    <s v="Military - Russian Air Force"/>
    <s v="Unknown"/>
    <s v="Moscow - Batumi"/>
    <x v="913"/>
    <s v="RA-74295"/>
    <n v="187010602"/>
    <n v="86"/>
    <n v="75"/>
    <n v="11"/>
    <n v="86"/>
    <n v="75"/>
    <n v="11"/>
    <n v="0"/>
    <s v="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
    <n v="0"/>
    <n v="1"/>
    <x v="1"/>
  </r>
  <r>
    <n v="4287"/>
    <x v="3900"/>
    <x v="89"/>
    <x v="4"/>
    <d v="1899-12-30T11:27:00"/>
    <s v="Near Monaquimbundo, Angola"/>
    <s v="Aca-Ancargo"/>
    <s v="Unknown"/>
    <s v="Saurimo - Luanda"/>
    <x v="1195"/>
    <s v="D2-FDI"/>
    <n v="27312009"/>
    <n v="44"/>
    <n v="39"/>
    <n v="5"/>
    <n v="44"/>
    <n v="39"/>
    <n v="5"/>
    <n v="0"/>
    <s v="The aircraft exploded in midair 20 minutes after taking off from Saurimo. UNITA rebels claimed they shot down the plane."/>
    <n v="0"/>
    <n v="1"/>
    <x v="1"/>
  </r>
  <r>
    <n v="4288"/>
    <x v="3900"/>
    <x v="89"/>
    <x v="4"/>
    <d v="1899-12-30T23:17:00"/>
    <s v="Taipei, Taiwan"/>
    <s v="Singapore Airlines"/>
    <n v="6"/>
    <s v="Taipei - Los Angeles"/>
    <x v="1969"/>
    <s v="9V-SPK"/>
    <s v="28023/1099"/>
    <n v="179"/>
    <n v="159"/>
    <n v="20"/>
    <n v="83"/>
    <n v="79"/>
    <n v="4"/>
    <n v="0"/>
    <s v="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quot;guard lights&quot;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
    <n v="96"/>
    <n v="0.46368715083798884"/>
    <x v="0"/>
  </r>
  <r>
    <n v="4289"/>
    <x v="3901"/>
    <x v="89"/>
    <x v="4"/>
    <s v="Unknown"/>
    <s v="Luabo, Democratic Republic Congo"/>
    <s v="Malu Aviation"/>
    <s v="Unknown"/>
    <s v="Unknown"/>
    <x v="1915"/>
    <s v="ER-AFA"/>
    <n v="3406"/>
    <n v="11"/>
    <n v="5"/>
    <n v="6"/>
    <n v="2"/>
    <n v="1"/>
    <n v="1"/>
    <n v="0"/>
    <s v="Due to a blown tire on takeoff the pilot aborted the takeoff, overran the runway, came to rest in a cemetery and caught fire."/>
    <n v="9"/>
    <n v="0.18181818181818182"/>
    <x v="2"/>
  </r>
  <r>
    <n v="4290"/>
    <x v="3902"/>
    <x v="89"/>
    <x v="4"/>
    <d v="1899-12-30T01:23:00"/>
    <s v="Fort Wayne, Indiana"/>
    <s v="Superior Aviation"/>
    <s v="Unknown"/>
    <s v="Fort Wayne, IN - Milwaukee, WI"/>
    <x v="1509"/>
    <s v="N731AC"/>
    <s v="TC-255"/>
    <n v="1"/>
    <n v="0"/>
    <n v="1"/>
    <n v="1"/>
    <n v="0"/>
    <n v="1"/>
    <n v="0"/>
    <s v="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
    <n v="0"/>
    <n v="1"/>
    <x v="1"/>
  </r>
  <r>
    <n v="4291"/>
    <x v="3903"/>
    <x v="89"/>
    <x v="4"/>
    <d v="1899-12-30T13:05:00"/>
    <s v="Near Luanda, Angola"/>
    <s v="Asa Pesada"/>
    <s v="Unknown"/>
    <s v="Luanda - Namibe"/>
    <x v="1195"/>
    <s v="D2-FCG"/>
    <s v="PESA001"/>
    <n v="57"/>
    <n v="52"/>
    <n v="5"/>
    <n v="57"/>
    <n v="52"/>
    <n v="5"/>
    <n v="0"/>
    <s v="The plane crashed and exploded in flames into an open field 3 miles from the runway shortly after takeoff.  Engine failure."/>
    <n v="0"/>
    <n v="1"/>
    <x v="1"/>
  </r>
  <r>
    <n v="4292"/>
    <x v="3904"/>
    <x v="89"/>
    <x v="4"/>
    <d v="1899-12-30T12:22:00"/>
    <s v="Miami, Florida"/>
    <s v="American Airlines"/>
    <s v="Unknown"/>
    <s v="Miami, FL - Port au Prince"/>
    <x v="1970"/>
    <s v="N14056"/>
    <n v="463"/>
    <n v="114"/>
    <n v="105"/>
    <n v="9"/>
    <n v="1"/>
    <n v="0"/>
    <n v="1"/>
    <n v="0"/>
    <s v="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
    <n v="113"/>
    <n v="8.771929824561403E-3"/>
    <x v="2"/>
  </r>
  <r>
    <n v="4293"/>
    <x v="3905"/>
    <x v="89"/>
    <x v="4"/>
    <d v="1899-12-30T14:45:00"/>
    <s v="Near Sumacal, Beni, BO"/>
    <s v="Servicio Aereo Manchupo"/>
    <s v="Unknown"/>
    <s v="Cashaschanes - Sumacal"/>
    <x v="1971"/>
    <s v="CP-1721"/>
    <s v="Unknown"/>
    <n v="6"/>
    <n v="5"/>
    <n v="1"/>
    <n v="6"/>
    <n v="5"/>
    <n v="1"/>
    <n v="0"/>
    <s v="Destabilized approach, attempted to establish runway alignment, insufficient altitude, struck a tree. The aircraft crashed and caught fire."/>
    <n v="0"/>
    <n v="1"/>
    <x v="1"/>
  </r>
  <r>
    <n v="4294"/>
    <x v="3906"/>
    <x v="90"/>
    <x v="4"/>
    <s v="Unknown"/>
    <s v="Zheng Zou AB, China"/>
    <s v="Military - People's Liberation Army"/>
    <s v="Unknown"/>
    <s v="Training"/>
    <x v="1972"/>
    <s v="31242/31243"/>
    <s v="Unknown"/>
    <n v="16"/>
    <n v="0"/>
    <n v="16"/>
    <n v="16"/>
    <n v="0"/>
    <n v="16"/>
    <n v="6"/>
    <s v="Two Antonov 12 planes collided in midair killing all aboard and 6 on the ground."/>
    <n v="0"/>
    <n v="1"/>
    <x v="1"/>
  </r>
  <r>
    <n v="4295"/>
    <x v="3907"/>
    <x v="90"/>
    <x v="4"/>
    <s v="Unknown"/>
    <s v="Near Silimo, Indonesia"/>
    <s v="Military - Tentara Nasional Indonesia Navy"/>
    <s v="Unknown"/>
    <s v="Timika - Jayapura"/>
    <x v="1973"/>
    <s v="U-614"/>
    <s v="223/63N"/>
    <n v="9"/>
    <n v="0"/>
    <n v="9"/>
    <n v="9"/>
    <n v="0"/>
    <n v="9"/>
    <n v="0"/>
    <s v="Struck Timika Peak at 11,800 ft. shortly after taking off. Controlled flight into terrain."/>
    <n v="0"/>
    <n v="1"/>
    <x v="1"/>
  </r>
  <r>
    <n v="4296"/>
    <x v="3908"/>
    <x v="90"/>
    <x v="4"/>
    <d v="1899-12-30T21:35:00"/>
    <s v="Eider Point, Alaska"/>
    <s v="Majestic Air Cargo"/>
    <s v="Unknown"/>
    <s v="Unknown"/>
    <x v="1974"/>
    <s v="N19454"/>
    <n v="13863"/>
    <n v="2"/>
    <n v="0"/>
    <n v="2"/>
    <n v="2"/>
    <n v="0"/>
    <n v="2"/>
    <n v="0"/>
    <s v="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
    <n v="0"/>
    <n v="1"/>
    <x v="1"/>
  </r>
  <r>
    <n v="4297"/>
    <x v="3909"/>
    <x v="90"/>
    <x v="4"/>
    <d v="1899-12-30T18:15:00"/>
    <s v="Ciudad Bolivar, Venezuela"/>
    <s v="Rutaca Airlines"/>
    <n v="224"/>
    <s v="Canaina - Ciudad Bolivar - Por La Mar"/>
    <x v="1975"/>
    <s v="YV-224C"/>
    <n v="19055"/>
    <n v="24"/>
    <n v="20"/>
    <n v="4"/>
    <n v="24"/>
    <n v="20"/>
    <n v="4"/>
    <n v="0"/>
    <s v="The plane caught fire shortly after taking off from Ciudad Bolivar where it had made a refueling stop. The pilot was unable to tell the tower what was wrong before rolling inverted and crashing into a neighborhood south of the city."/>
    <n v="0"/>
    <n v="1"/>
    <x v="1"/>
  </r>
  <r>
    <n v="4298"/>
    <x v="3910"/>
    <x v="90"/>
    <x v="4"/>
    <d v="1899-12-30T17:37:00"/>
    <s v="Byers, Colorado"/>
    <s v="North Bay Charter"/>
    <s v="Unknown"/>
    <s v="Broomfield, CO - Stillwater, OK"/>
    <x v="1976"/>
    <s v="N81PF"/>
    <s v="BB-158"/>
    <n v="10"/>
    <n v="8"/>
    <n v="2"/>
    <n v="10"/>
    <n v="8"/>
    <n v="2"/>
    <n v="0"/>
    <s v="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
    <n v="0"/>
    <n v="1"/>
    <x v="1"/>
  </r>
  <r>
    <n v="4299"/>
    <x v="3911"/>
    <x v="90"/>
    <x v="4"/>
    <d v="1899-12-30T16:50:00"/>
    <s v="El Yopal, Colombia"/>
    <s v="Lineas Aereas Suramericanas"/>
    <s v="Unknown"/>
    <s v="El Yopal - Mitu"/>
    <x v="1977"/>
    <s v="HK-3932X"/>
    <n v="201"/>
    <n v="6"/>
    <n v="3"/>
    <n v="3"/>
    <n v="3"/>
    <n v="2"/>
    <n v="1"/>
    <n v="0"/>
    <s v="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
    <n v="3"/>
    <n v="0.5"/>
    <x v="0"/>
  </r>
  <r>
    <n v="4300"/>
    <x v="3912"/>
    <x v="90"/>
    <x v="4"/>
    <d v="1899-12-30T15:40:00"/>
    <s v="Nurnberg, Germany"/>
    <s v="E.A.S. Aeroservizi"/>
    <s v="Unknown"/>
    <s v="Nurnberg - Rome, Italy"/>
    <x v="1868"/>
    <s v="I-MOCO"/>
    <s v="35-445"/>
    <n v="3"/>
    <n v="1"/>
    <n v="2"/>
    <n v="3"/>
    <n v="1"/>
    <n v="2"/>
    <n v="0"/>
    <s v="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
    <n v="0"/>
    <n v="1"/>
    <x v="1"/>
  </r>
  <r>
    <n v="4301"/>
    <x v="3912"/>
    <x v="90"/>
    <x v="4"/>
    <d v="1899-12-30T19:20:00"/>
    <s v="Beaver Island, Minnesota"/>
    <s v="Northern Illinois Flight Center"/>
    <s v="Unknown"/>
    <s v="Chicago - Beaver Island"/>
    <x v="1978"/>
    <s v="N318DH"/>
    <s v="AT-469"/>
    <n v="6"/>
    <n v="4"/>
    <n v="2"/>
    <n v="2"/>
    <n v="0"/>
    <n v="2"/>
    <n v="0"/>
    <s v="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
    <n v="4"/>
    <n v="0.33333333333333331"/>
    <x v="2"/>
  </r>
  <r>
    <n v="4302"/>
    <x v="3913"/>
    <x v="90"/>
    <x v="4"/>
    <s v="Unknown"/>
    <s v="Jakobkondre, Suriname"/>
    <s v="Gum Air Charter"/>
    <s v="Unknown"/>
    <s v="Paramaribo - Jakobkondre"/>
    <x v="1710"/>
    <s v="PZ-TBP"/>
    <s v="N24A-73"/>
    <n v="10"/>
    <n v="9"/>
    <n v="1"/>
    <n v="10"/>
    <n v="9"/>
    <n v="1"/>
    <n v="0"/>
    <s v="After losing radio contact with the airport, the aircraft was observed flying low before crashed into a mountainside 2 nm from Jakobkondre."/>
    <n v="0"/>
    <n v="1"/>
    <x v="1"/>
  </r>
  <r>
    <n v="4303"/>
    <x v="3914"/>
    <x v="90"/>
    <x v="4"/>
    <d v="1899-12-30T17:30:00"/>
    <s v="Near Granton Harbour, Scotland"/>
    <s v="Loganair"/>
    <n v="670"/>
    <s v="Edinburgh - Belfast"/>
    <x v="1979"/>
    <s v="G-BNMT"/>
    <s v="SH3723"/>
    <n v="2"/>
    <n v="0"/>
    <n v="2"/>
    <n v="2"/>
    <n v="0"/>
    <n v="2"/>
    <n v="0"/>
    <s v="Double engine failure on take off cause the cargo plane to ditch in Firth of the Forth estuary. Icing."/>
    <n v="0"/>
    <n v="1"/>
    <x v="1"/>
  </r>
  <r>
    <n v="4304"/>
    <x v="3915"/>
    <x v="90"/>
    <x v="4"/>
    <d v="1899-12-30T09:55:00"/>
    <s v="Unadilla, Georgia"/>
    <s v="Military - Florida Army National Guard"/>
    <s v="Unknown"/>
    <s v="Fort Walton Beach, Fl - Oceana Naval Air Station, VA"/>
    <x v="1980"/>
    <s v="93-1336"/>
    <s v="3684/3420"/>
    <n v="21"/>
    <n v="18"/>
    <n v="3"/>
    <n v="21"/>
    <n v="18"/>
    <n v="3"/>
    <n v="0"/>
    <s v="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
    <n v="0"/>
    <n v="1"/>
    <x v="1"/>
  </r>
  <r>
    <n v="4305"/>
    <x v="3915"/>
    <x v="90"/>
    <x v="4"/>
    <d v="1899-12-30T14:48:00"/>
    <s v="Bangkok, Thailand"/>
    <s v="Thai Airways"/>
    <n v="114"/>
    <s v="Bangkok - Chiang Mai."/>
    <x v="1981"/>
    <s v="HS-TDC"/>
    <s v="25321/2113"/>
    <n v="5"/>
    <n v="0"/>
    <n v="5"/>
    <n v="1"/>
    <n v="0"/>
    <n v="1"/>
    <n v="0"/>
    <s v="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
    <n v="4"/>
    <n v="0.2"/>
    <x v="2"/>
  </r>
  <r>
    <n v="4306"/>
    <x v="3916"/>
    <x v="90"/>
    <x v="4"/>
    <s v="Unknown"/>
    <s v="Medina, Saudi Arabia"/>
    <s v="Vnukovo Airlines"/>
    <s v="Unknown"/>
    <s v="Istanbul - Moscow"/>
    <x v="1982"/>
    <s v="RA-85619"/>
    <s v="86A-738"/>
    <n v="174"/>
    <n v="162"/>
    <n v="12"/>
    <n v="3"/>
    <n v="2"/>
    <n v="1"/>
    <n v="0"/>
    <s v="The plane was hijacked and flown to Medina, Saudi Arabia. The plane was stormed and three people killed."/>
    <n v="171"/>
    <n v="1.7241379310344827E-2"/>
    <x v="2"/>
  </r>
  <r>
    <n v="4307"/>
    <x v="3917"/>
    <x v="90"/>
    <x v="4"/>
    <d v="1899-12-30T16:30:00"/>
    <s v="Gustavia, St. BarthÃ©lÃ©my, French West Indies"/>
    <s v="Air Caraibes"/>
    <n v="1501"/>
    <s v="St. Maarten - St. BarthÃ©lÃ©my"/>
    <x v="1196"/>
    <s v="F-OGES"/>
    <n v="254"/>
    <n v="19"/>
    <n v="17"/>
    <n v="2"/>
    <n v="19"/>
    <n v="17"/>
    <n v="2"/>
    <n v="1"/>
    <s v="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
    <n v="0"/>
    <n v="1"/>
    <x v="1"/>
  </r>
  <r>
    <n v="4308"/>
    <x v="3918"/>
    <x v="90"/>
    <x v="4"/>
    <d v="1899-12-30T18:25:00"/>
    <s v="Jadura, Indonesia"/>
    <s v="Merpati Nusantara Airlines"/>
    <s v="Unknown"/>
    <s v="Training"/>
    <x v="1794"/>
    <s v="PK-MFL"/>
    <n v="10609"/>
    <n v="3"/>
    <n v="0"/>
    <n v="3"/>
    <n v="3"/>
    <n v="0"/>
    <n v="3"/>
    <n v="0"/>
    <s v="While approaching Juanda for the 8th touch-and-go landing the aircraft banked to the left, crashed and caught fire."/>
    <n v="0"/>
    <n v="1"/>
    <x v="1"/>
  </r>
  <r>
    <n v="4309"/>
    <x v="3919"/>
    <x v="90"/>
    <x v="4"/>
    <d v="1899-12-30T19:01:00"/>
    <s v="Near Aspen, Colorado"/>
    <s v="Jetwingsco Inc. - Private Charter"/>
    <s v="-"/>
    <s v="Los Angeles - Aspen"/>
    <x v="1983"/>
    <s v="N303GA"/>
    <n v="303"/>
    <n v="18"/>
    <n v="15"/>
    <n v="3"/>
    <n v="18"/>
    <n v="15"/>
    <n v="3"/>
    <n v="0"/>
    <s v="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
    <n v="0"/>
    <n v="1"/>
    <x v="1"/>
  </r>
  <r>
    <n v="4310"/>
    <x v="3920"/>
    <x v="90"/>
    <x v="4"/>
    <s v="Unknown"/>
    <s v="Adar Yeil, Sudan"/>
    <s v="Military - Sudan Air Force"/>
    <s v="Unknown"/>
    <s v="Adar Yeil - Khartoum"/>
    <x v="968"/>
    <s v="Unknown"/>
    <s v="Unknown"/>
    <n v="30"/>
    <s v="NULL"/>
    <s v="NULL"/>
    <n v="14"/>
    <s v="NULL"/>
    <s v="NULL"/>
    <n v="0"/>
    <s v="The aircraft crashed on takeoff during a sandstorm, killing Sudan's deputy defense minister and 13 high-ranking military officers."/>
    <n v="16"/>
    <n v="0.46666666666666667"/>
    <x v="0"/>
  </r>
  <r>
    <n v="4311"/>
    <x v="3921"/>
    <x v="90"/>
    <x v="4"/>
    <d v="1899-12-30T15:30:00"/>
    <s v="Thanh Tranh Village, Vietnam"/>
    <s v="SFC Vietnam - Charter - Full Account"/>
    <s v="Unknown"/>
    <s v="Vinh - Dong Hoi - Hue"/>
    <x v="1984"/>
    <s v="VN-8415"/>
    <n v="96168"/>
    <n v="16"/>
    <n v="13"/>
    <n v="3"/>
    <n v="16"/>
    <n v="13"/>
    <n v="3"/>
    <n v="0"/>
    <s v="The helicopter, carrying members of Full Account, a group searching for the remains of U.S. troops missing in action during the Vietnam War, crashed into a mountainside in heavy fog."/>
    <n v="0"/>
    <n v="1"/>
    <x v="1"/>
  </r>
  <r>
    <n v="4312"/>
    <x v="3922"/>
    <x v="90"/>
    <x v="4"/>
    <d v="1899-12-30T05:15:00"/>
    <s v="Near Roque Perez, Argentina"/>
    <s v="Private - Techint  group"/>
    <s v="Unknown"/>
    <s v="San Fernando - El Calafate"/>
    <x v="1985"/>
    <s v="LV-WSC"/>
    <s v="208B-0580"/>
    <n v="10"/>
    <n v="8"/>
    <n v="2"/>
    <n v="10"/>
    <n v="8"/>
    <n v="2"/>
    <n v="0"/>
    <s v="The aircraft crashed into rugged farm land, 120 miles south of Buenos Aires. Possible icing.  Agostino Rocca, president of the Buenos Aires-based Techint  construction group and German Sopena, managing editor of the Argentine newspaper La Nacion, were among those killed."/>
    <n v="0"/>
    <n v="1"/>
    <x v="1"/>
  </r>
  <r>
    <n v="4313"/>
    <x v="3923"/>
    <x v="90"/>
    <x v="4"/>
    <d v="1899-12-30T13:15:00"/>
    <s v="Malatya, Turkey"/>
    <s v="Military - Turkish Air Force"/>
    <s v="Unknown"/>
    <s v="Diyarbakir - Ankara"/>
    <x v="1986"/>
    <s v="Unknown"/>
    <s v="C-006"/>
    <n v="34"/>
    <n v="28"/>
    <n v="6"/>
    <n v="34"/>
    <n v="28"/>
    <n v="6"/>
    <n v="0"/>
    <s v="The aircraft went into a steep dive from 17,000 feet and crashed into a field. Hydraulic failure caused by ice."/>
    <n v="0"/>
    <n v="1"/>
    <x v="1"/>
  </r>
  <r>
    <n v="4314"/>
    <x v="3924"/>
    <x v="90"/>
    <x v="4"/>
    <d v="1899-12-30T07:45:00"/>
    <s v="Near Sari, Iran"/>
    <s v="Faraz Qeshm Airlines"/>
    <s v="Unknown"/>
    <s v="Tehran - Gorgan"/>
    <x v="1146"/>
    <s v="EP-TQP"/>
    <n v="9740856"/>
    <n v="30"/>
    <n v="25"/>
    <n v="5"/>
    <n v="30"/>
    <n v="25"/>
    <n v="5"/>
    <n v="0"/>
    <s v="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
    <n v="0"/>
    <n v="1"/>
    <x v="1"/>
  </r>
  <r>
    <n v="4315"/>
    <x v="3924"/>
    <x v="90"/>
    <x v="4"/>
    <d v="1899-12-30T12:21:00"/>
    <s v="Mendoza, Argentina"/>
    <s v="Fuerza AÃ©rea Argentina"/>
    <s v="Unknown"/>
    <s v="Mendoza - Parana"/>
    <x v="1139"/>
    <s v="TC-76"/>
    <n v="10412"/>
    <n v="5"/>
    <n v="0"/>
    <n v="5"/>
    <n v="5"/>
    <n v="0"/>
    <n v="5"/>
    <n v="0"/>
    <s v="Shortly after taking off the plane veered to the right and crashed into a field. Engine failure."/>
    <n v="0"/>
    <n v="1"/>
    <x v="1"/>
  </r>
  <r>
    <n v="4316"/>
    <x v="3925"/>
    <x v="90"/>
    <x v="4"/>
    <d v="1899-12-30T16:35:00"/>
    <s v="Near Myakotino, Russia"/>
    <s v="Military - Russian Air Force"/>
    <s v="Unknown"/>
    <s v="Rzhevsk - Morsansk"/>
    <x v="1987"/>
    <s v="RA-12135"/>
    <n v="347002"/>
    <n v="7"/>
    <n v="0"/>
    <n v="7"/>
    <n v="7"/>
    <n v="0"/>
    <n v="7"/>
    <n v="0"/>
    <s v="Crashed while en route."/>
    <n v="0"/>
    <n v="1"/>
    <x v="1"/>
  </r>
  <r>
    <n v="4317"/>
    <x v="3926"/>
    <x v="90"/>
    <x v="4"/>
    <d v="1899-12-30T14:30:00"/>
    <s v="Jayapura, Indonesia"/>
    <s v="Manunggal Air"/>
    <s v="Unknown"/>
    <s v="Jayapura - Wamena"/>
    <x v="1988"/>
    <s v="PK-VTP"/>
    <n v="233"/>
    <n v="19"/>
    <n v="16"/>
    <n v="3"/>
    <n v="1"/>
    <n v="1"/>
    <n v="0"/>
    <n v="0"/>
    <s v="The aircraft returned to Sentani Airport after experiencing engine trouble, skidded off the runway and struck a fence."/>
    <n v="18"/>
    <n v="5.2631578947368418E-2"/>
    <x v="2"/>
  </r>
  <r>
    <n v="4318"/>
    <x v="3927"/>
    <x v="90"/>
    <x v="4"/>
    <d v="1899-12-30T02:08:00"/>
    <s v="Near Irkutsk, Russia"/>
    <s v="Vladivostokavia"/>
    <n v="352"/>
    <s v="Yekaterinburg - Irkutsk - Vladivostok"/>
    <x v="1780"/>
    <s v="RA-85845"/>
    <s v="86A-735"/>
    <n v="145"/>
    <n v="136"/>
    <n v="9"/>
    <n v="145"/>
    <n v="136"/>
    <n v="9"/>
    <n v="0"/>
    <s v="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
    <n v="0"/>
    <n v="1"/>
    <x v="1"/>
  </r>
  <r>
    <n v="4319"/>
    <x v="3928"/>
    <x v="90"/>
    <x v="4"/>
    <d v="1899-12-30T11:40:00"/>
    <s v="Off Chinhae, South Korea"/>
    <s v="Private  - Daewoo Shipbuilding"/>
    <s v="Unknown"/>
    <s v="Jinhae - Ockpo"/>
    <x v="1989"/>
    <s v="HL9240"/>
    <n v="760341"/>
    <n v="12"/>
    <n v="9"/>
    <n v="3"/>
    <n v="8"/>
    <n v="7"/>
    <n v="1"/>
    <n v="0"/>
    <s v="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
    <n v="4"/>
    <n v="0.66666666666666663"/>
    <x v="1"/>
  </r>
  <r>
    <n v="4320"/>
    <x v="3929"/>
    <x v="90"/>
    <x v="4"/>
    <d v="1899-12-30T12:05:00"/>
    <s v="Near Puerto Cabello, Venezuela"/>
    <s v="Private - Overtec Company"/>
    <s v="Unknown"/>
    <s v="Puerto Cabello - Caracas"/>
    <x v="1990"/>
    <s v="YV-117CP"/>
    <s v="AJE 001-10"/>
    <n v="13"/>
    <n v="10"/>
    <n v="3"/>
    <n v="13"/>
    <n v="10"/>
    <n v="3"/>
    <n v="0"/>
    <s v="The aircraft crashed and burned moments after taking off from General Bartholomew SalÃ³m Airport during a National Guard demonstration. The right engine appeared to have failed at a critical stage in the takeoff. There were 8 civilians and 5 military personnel board."/>
    <n v="0"/>
    <n v="1"/>
    <x v="1"/>
  </r>
  <r>
    <n v="4321"/>
    <x v="3930"/>
    <x v="90"/>
    <x v="4"/>
    <d v="1899-12-30T08:53:00"/>
    <s v="Near Moscow, Russia"/>
    <s v="Russ Air Transport Company"/>
    <s v="Unknown"/>
    <s v="Moscow - Norilsk"/>
    <x v="1991"/>
    <s v="RA-76588"/>
    <n v="43451530"/>
    <n v="10"/>
    <n v="0"/>
    <n v="10"/>
    <n v="10"/>
    <n v="0"/>
    <n v="10"/>
    <n v="0"/>
    <s v="The cargo plane was taking off from Chkalovsky Airport with a load of construction material and cosmetics. After reaching a height of 150 feet, the plane the crashed and burned 1,600 feet past the end of the runway.  The plane was overloaded by 15 tones."/>
    <n v="0"/>
    <n v="1"/>
    <x v="1"/>
  </r>
  <r>
    <n v="4322"/>
    <x v="3931"/>
    <x v="90"/>
    <x v="4"/>
    <d v="1899-12-30T04:43:00"/>
    <s v="ReykjavÃ­k, Iceland"/>
    <s v="Naske Air"/>
    <s v="Unknown"/>
    <s v="ReykjavÃ­k, Iceland - Narsarsua, Greenland"/>
    <x v="1992"/>
    <s v="D-CBNA"/>
    <n v="63"/>
    <n v="3"/>
    <n v="1"/>
    <n v="2"/>
    <n v="3"/>
    <n v="1"/>
    <n v="2"/>
    <n v="0"/>
    <s v="The cargo plane crashed into a hill and broke up. Crew did not follow standard operating procedures. Crew fatigue."/>
    <n v="0"/>
    <n v="1"/>
    <x v="1"/>
  </r>
  <r>
    <n v="4323"/>
    <x v="3932"/>
    <x v="90"/>
    <x v="4"/>
    <d v="1899-12-30T14:35:00"/>
    <s v="Near Meadview, Arizona"/>
    <s v="Papillon Grand Canyon Helicopters of Las Vegas"/>
    <s v="Unknown"/>
    <s v="Grand Canyon NP - Las Vegas"/>
    <x v="1993"/>
    <s v="N169PA"/>
    <n v="2477"/>
    <n v="7"/>
    <n v="6"/>
    <n v="1"/>
    <n v="6"/>
    <n v="5"/>
    <n v="1"/>
    <n v="0"/>
    <s v="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
    <n v="1"/>
    <n v="0.8571428571428571"/>
    <x v="1"/>
  </r>
  <r>
    <n v="4324"/>
    <x v="3933"/>
    <x v="90"/>
    <x v="4"/>
    <s v="Unknown"/>
    <s v="Mugogo, Democratic Republic Congo"/>
    <s v="Victoria Airlines"/>
    <s v="Unknown"/>
    <s v="Kama - Kapmene"/>
    <x v="1942"/>
    <s v="3C-LLA"/>
    <s v="1AJ005-22"/>
    <n v="11"/>
    <n v="9"/>
    <n v="2"/>
    <n v="4"/>
    <n v="2"/>
    <n v="2"/>
    <n v="0"/>
    <s v="After an engine failed the crew declared an emergency and elected to divert to Bukavu but crashed 10 km short of the airport."/>
    <n v="7"/>
    <n v="0.36363636363636365"/>
    <x v="0"/>
  </r>
  <r>
    <n v="4325"/>
    <x v="3934"/>
    <x v="90"/>
    <x v="4"/>
    <d v="1899-12-30T05:42:00"/>
    <s v="Ithaca, New York"/>
    <s v="Ameristar Jet Charter"/>
    <s v="Unknown"/>
    <s v="Ithaca, NY - Jackson, MI"/>
    <x v="1484"/>
    <s v="N153TW"/>
    <s v="25-053"/>
    <n v="2"/>
    <n v="0"/>
    <n v="2"/>
    <n v="2"/>
    <n v="0"/>
    <n v="2"/>
    <n v="0"/>
    <s v="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
    <n v="0"/>
    <n v="1"/>
    <x v="1"/>
  </r>
  <r>
    <n v="4326"/>
    <x v="3934"/>
    <x v="90"/>
    <x v="4"/>
    <d v="1899-12-30T18:46:00"/>
    <s v="Lajes, Terceira, Azores"/>
    <s v="Air Transat"/>
    <n v="236"/>
    <s v="Toronto - Lisbon"/>
    <x v="1994"/>
    <s v="C-GITS"/>
    <n v="271"/>
    <n v="304"/>
    <n v="291"/>
    <n v="13"/>
    <n v="0"/>
    <n v="0"/>
    <n v="0"/>
    <n v="0"/>
    <s v="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quot;Caution&quot; note in the Fuel Imbalance checklist that might have caused them to consider that the real problem was not an imbalance but a fuel leak."/>
    <n v="304"/>
    <n v="0"/>
    <x v="2"/>
  </r>
  <r>
    <n v="4327"/>
    <x v="3935"/>
    <x v="90"/>
    <x v="4"/>
    <d v="1899-12-30T10:15:00"/>
    <s v="Near Malaga, Spain"/>
    <s v="Binter MediterrÃ¡neo"/>
    <n v="8261"/>
    <s v="Melilla - MÃ¡laga"/>
    <x v="1995"/>
    <s v="EC-FBC"/>
    <s v="C033"/>
    <n v="47"/>
    <n v="44"/>
    <n v="3"/>
    <n v="4"/>
    <n v="3"/>
    <n v="1"/>
    <n v="0"/>
    <s v="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
    <n v="43"/>
    <n v="8.5106382978723402E-2"/>
    <x v="2"/>
  </r>
  <r>
    <n v="4328"/>
    <x v="3936"/>
    <x v="90"/>
    <x v="4"/>
    <d v="1899-12-30T09:45:00"/>
    <s v="Arlington, Virginia."/>
    <s v="American Airlines"/>
    <n v="77"/>
    <s v="Washington D.C. - Los Angeles"/>
    <x v="1840"/>
    <s v="N644AA"/>
    <s v="24602/365"/>
    <n v="64"/>
    <n v="58"/>
    <n v="6"/>
    <n v="64"/>
    <n v="58"/>
    <n v="6"/>
    <n v="125"/>
    <s v="The aircraft was hijacked after taking off from Dulles International Airport. The hijackers took control of the aircraft and deliberately crashed it into the Pentagon. It was one of four planes that were hijacked the same day."/>
    <n v="0"/>
    <n v="1"/>
    <x v="1"/>
  </r>
  <r>
    <n v="4329"/>
    <x v="3936"/>
    <x v="90"/>
    <x v="4"/>
    <d v="1899-12-30T08:47:00"/>
    <s v="New York City, New York"/>
    <s v="American Airlines"/>
    <n v="11"/>
    <s v="Boston - Los Angeles"/>
    <x v="1996"/>
    <s v="N334AA"/>
    <s v="22332/169"/>
    <n v="92"/>
    <n v="81"/>
    <n v="11"/>
    <n v="92"/>
    <n v="81"/>
    <n v="11"/>
    <n v="2750"/>
    <s v="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
    <n v="0"/>
    <n v="1"/>
    <x v="1"/>
  </r>
  <r>
    <n v="4330"/>
    <x v="3936"/>
    <x v="90"/>
    <x v="4"/>
    <d v="1899-12-30T09:03:00"/>
    <s v="New York City, New York"/>
    <s v="United Air Lines"/>
    <n v="175"/>
    <s v="Boston - Los Angeles"/>
    <x v="1997"/>
    <s v="N612UA"/>
    <s v="21873/41"/>
    <n v="65"/>
    <n v="56"/>
    <n v="9"/>
    <n v="65"/>
    <n v="56"/>
    <n v="9"/>
    <n v="2750"/>
    <s v="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
    <n v="0"/>
    <n v="1"/>
    <x v="1"/>
  </r>
  <r>
    <n v="4331"/>
    <x v="3936"/>
    <x v="90"/>
    <x v="4"/>
    <d v="1899-12-30T10:03:00"/>
    <s v="Shanksville, Pennsylvania"/>
    <s v="United Air Lines"/>
    <n v="93"/>
    <s v="Newark - San Francisco"/>
    <x v="1998"/>
    <s v="N591UA"/>
    <s v="28142/718"/>
    <n v="44"/>
    <n v="37"/>
    <n v="7"/>
    <n v="44"/>
    <n v="37"/>
    <n v="7"/>
    <n v="0"/>
    <s v="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
    <n v="0"/>
    <n v="1"/>
    <x v="1"/>
  </r>
  <r>
    <n v="4332"/>
    <x v="3937"/>
    <x v="90"/>
    <x v="4"/>
    <d v="1899-12-30T16:25:00"/>
    <s v="Near Chichen Itza, Mexico"/>
    <s v="Aero Ferinco Charter"/>
    <s v="-"/>
    <s v="Chichen Itza - Cozumel"/>
    <x v="1624"/>
    <s v="XA-ACM"/>
    <n v="892401"/>
    <n v="19"/>
    <n v="17"/>
    <n v="2"/>
    <n v="19"/>
    <n v="17"/>
    <n v="2"/>
    <n v="0"/>
    <s v="The aircraft crashed 4.4 miles from Kura Airport shortly after a normal takeoff. The plane was flying at about 1,500 feet when it began turning onto a course requested by the air traffic controller. It did not stop turning and suddenly plunged to the ground."/>
    <n v="0"/>
    <n v="1"/>
    <x v="1"/>
  </r>
  <r>
    <n v="4333"/>
    <x v="3938"/>
    <x v="90"/>
    <x v="4"/>
    <s v="Unknown"/>
    <s v="Belo Horizonte, Brazil"/>
    <s v="TAM (Brazil)"/>
    <n v="9755"/>
    <s v="Recife  - Sao Paulo"/>
    <x v="1758"/>
    <s v="PT-MRN"/>
    <n v="11443"/>
    <n v="82"/>
    <n v="77"/>
    <n v="5"/>
    <n v="1"/>
    <n v="1"/>
    <n v="0"/>
    <n v="0"/>
    <s v="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
    <n v="81"/>
    <n v="1.2195121951219513E-2"/>
    <x v="2"/>
  </r>
  <r>
    <n v="4334"/>
    <x v="3939"/>
    <x v="90"/>
    <x v="4"/>
    <d v="1899-12-30T07:30:00"/>
    <s v="Guatemala City, Guatemala"/>
    <s v="Atlantic Airlines"/>
    <n v="870"/>
    <s v="Guatemala City - San Pedro Sula, Honduras"/>
    <x v="1771"/>
    <s v="TG-CPE"/>
    <n v="861705"/>
    <n v="13"/>
    <n v="11"/>
    <n v="2"/>
    <n v="9"/>
    <n v="8"/>
    <n v="1"/>
    <n v="0"/>
    <s v="The aircraft was taking off from Guatemala's Aurora Airport when it lost power in one of it's engines and crashed to the ground."/>
    <n v="4"/>
    <n v="0.69230769230769229"/>
    <x v="1"/>
  </r>
  <r>
    <n v="4335"/>
    <x v="3940"/>
    <x v="90"/>
    <x v="4"/>
    <d v="1899-12-30T13:44:00"/>
    <s v="110 miles SW of Sochi, Russia"/>
    <s v="Sibir Airlines"/>
    <n v="1812"/>
    <s v="Tel Aviv -  Novosibirsk, Russia"/>
    <x v="1780"/>
    <s v="RA-85693"/>
    <s v="90A-866"/>
    <n v="78"/>
    <n v="66"/>
    <n v="12"/>
    <n v="78"/>
    <n v="66"/>
    <n v="12"/>
    <n v="0"/>
    <s v="The aircraft exploded in mid-air at 36,000 ft. while  en route over the Black Sea. The plane then nose-dived crashing into the water. The airliner was brought down accidentally by a Ukrainian surface-to-air missile, fired during military exercises."/>
    <n v="0"/>
    <n v="1"/>
    <x v="1"/>
  </r>
  <r>
    <n v="4336"/>
    <x v="3941"/>
    <x v="90"/>
    <x v="4"/>
    <d v="1899-12-30T17:50:00"/>
    <s v="Mollet Lake, Quebec, Canada"/>
    <s v="Air Saint Maurice Inc."/>
    <s v="Unknown"/>
    <s v=" Iyachisakus Lake - Mollet Lake"/>
    <x v="1999"/>
    <s v="C-GPUO"/>
    <n v="810"/>
    <n v="7"/>
    <n v="6"/>
    <n v="1"/>
    <n v="3"/>
    <n v="2"/>
    <n v="1"/>
    <n v="0"/>
    <s v="The seaplane crashed into Mollet Lake while attempting to land. The seaplane stalled at an altitude that did not allow the pilot time to recover from the stall. The stall occurred in circumstances conducive to illusions created by drift."/>
    <n v="4"/>
    <n v="0.42857142857142855"/>
    <x v="0"/>
  </r>
  <r>
    <n v="4337"/>
    <x v="3941"/>
    <x v="90"/>
    <x v="4"/>
    <d v="1899-12-30T08:10:00"/>
    <s v="Milan, Italy"/>
    <s v="Scandinavian Airlines (SAS) / Private"/>
    <s v="686 / -"/>
    <s v="Milan - Copenhagen / Milan - Paris"/>
    <x v="2000"/>
    <s v="SE-DMA / D-IEVX"/>
    <s v="53009/ 525A-0036"/>
    <n v="114"/>
    <n v="106"/>
    <n v="8"/>
    <n v="114"/>
    <n v="106"/>
    <n v="8"/>
    <n v="4"/>
    <s v="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quot;in English and Italian,&quot;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
    <n v="0"/>
    <n v="1"/>
    <x v="1"/>
  </r>
  <r>
    <n v="4338"/>
    <x v="3942"/>
    <x v="90"/>
    <x v="4"/>
    <d v="1899-12-30T10:42:00"/>
    <s v="Off Valencia, Spain"/>
    <s v="Flightline"/>
    <n v="101"/>
    <s v="Barcelona - Oran, Algeria"/>
    <x v="2001"/>
    <s v="EC-GDV"/>
    <s v="AT-043"/>
    <n v="10"/>
    <n v="8"/>
    <n v="2"/>
    <n v="10"/>
    <n v="8"/>
    <n v="2"/>
    <n v="0"/>
    <s v="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
    <n v="0"/>
    <n v="1"/>
    <x v="1"/>
  </r>
  <r>
    <n v="4339"/>
    <x v="3942"/>
    <x v="90"/>
    <x v="4"/>
    <d v="1899-12-30T09:26:00"/>
    <s v="Dillingham, Alaska"/>
    <s v="PenAir"/>
    <n v="350"/>
    <s v="Dillingham - King Salmon"/>
    <x v="2002"/>
    <s v="N9530F"/>
    <n v="20800088"/>
    <n v="10"/>
    <n v="9"/>
    <n v="1"/>
    <n v="10"/>
    <n v="9"/>
    <n v="1"/>
    <n v="0"/>
    <s v="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
    <n v="0"/>
    <n v="1"/>
    <x v="1"/>
  </r>
  <r>
    <n v="4340"/>
    <x v="3943"/>
    <x v="90"/>
    <x v="4"/>
    <d v="1899-12-30T23:35:00"/>
    <s v="Shamattawa, Canada"/>
    <s v="Perimeter Airlines"/>
    <s v="Unknown"/>
    <s v="Gods Narrows - Shamattawa"/>
    <x v="2003"/>
    <s v="C-GYPA"/>
    <s v="TC-250"/>
    <n v="3"/>
    <n v="1"/>
    <n v="2"/>
    <n v="2"/>
    <n v="0"/>
    <n v="2"/>
    <n v="0"/>
    <s v="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
    <n v="1"/>
    <n v="0.66666666666666663"/>
    <x v="1"/>
  </r>
  <r>
    <n v="4341"/>
    <x v="3944"/>
    <x v="90"/>
    <x v="4"/>
    <d v="1899-12-30T15:43:00"/>
    <s v="Anchorage, Alaska"/>
    <s v="ERA Aviation - Air Taxi"/>
    <s v="Unknown"/>
    <s v="Fire Island, AK - Anchorage, AK"/>
    <x v="2004"/>
    <s v="N400EH"/>
    <n v="45108"/>
    <n v="5"/>
    <n v="4"/>
    <n v="1"/>
    <n v="3"/>
    <n v="2"/>
    <n v="1"/>
    <n v="0"/>
    <s v="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
    <n v="2"/>
    <n v="0.6"/>
    <x v="0"/>
  </r>
  <r>
    <n v="4342"/>
    <x v="3945"/>
    <x v="90"/>
    <x v="4"/>
    <d v="1899-12-30T09:16:00"/>
    <s v="Belle Harbor, Queens, New York"/>
    <s v="American Airlines"/>
    <n v="587"/>
    <s v="New York City - Santo Domingo, Dominican Rep."/>
    <x v="2005"/>
    <s v="N14053"/>
    <n v="420"/>
    <n v="260"/>
    <n v="251"/>
    <n v="9"/>
    <n v="260"/>
    <n v="251"/>
    <n v="9"/>
    <n v="5"/>
    <s v="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
    <n v="0"/>
    <n v="1"/>
    <x v="1"/>
  </r>
  <r>
    <n v="4343"/>
    <x v="3946"/>
    <x v="90"/>
    <x v="4"/>
    <d v="1899-12-30T18:19:00"/>
    <s v="Kalyazin, Russia"/>
    <s v="Charter - IRS Aero"/>
    <s v="LDF -9601/02"/>
    <s v="Khatanga - Moscow"/>
    <x v="2006"/>
    <s v="RA-75840"/>
    <n v="182005301"/>
    <n v="27"/>
    <n v="18"/>
    <n v="9"/>
    <n v="27"/>
    <n v="18"/>
    <n v="9"/>
    <n v="0"/>
    <s v="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
    <n v="0"/>
    <n v="1"/>
    <x v="1"/>
  </r>
  <r>
    <n v="4344"/>
    <x v="3947"/>
    <x v="90"/>
    <x v="4"/>
    <d v="1899-12-30T13:05:00"/>
    <s v="Pittsburgh, Pennsylvania"/>
    <s v="Universal Jet Aviation"/>
    <s v="Unknown"/>
    <s v="Pittsburgh, PA - Baca Raton, Fl"/>
    <x v="2007"/>
    <s v="N5UJ"/>
    <s v="25-088"/>
    <n v="2"/>
    <n v="0"/>
    <n v="2"/>
    <n v="2"/>
    <n v="0"/>
    <n v="2"/>
    <n v="0"/>
    <s v="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
    <n v="0"/>
    <n v="1"/>
    <x v="1"/>
  </r>
  <r>
    <n v="4345"/>
    <x v="3948"/>
    <x v="90"/>
    <x v="4"/>
    <d v="1899-12-30T18:35:00"/>
    <s v="Palade, Estonia"/>
    <s v="ELK Aviation Co. (leased from Eminex)"/>
    <s v="Unknown"/>
    <s v="Tallinn - Kardla"/>
    <x v="1745"/>
    <s v="ES-NOV"/>
    <s v="1AJ003-03"/>
    <n v="17"/>
    <n v="14"/>
    <n v="3"/>
    <n v="2"/>
    <n v="2"/>
    <n v="0"/>
    <n v="0"/>
    <s v="The plane crashed into a marshy forested area about 2 kilometer short of its destination at Kardla Airport. Several errors by the pilot."/>
    <n v="15"/>
    <n v="0.11764705882352941"/>
    <x v="2"/>
  </r>
  <r>
    <n v="4346"/>
    <x v="3949"/>
    <x v="90"/>
    <x v="4"/>
    <d v="1899-12-30T22:07:00"/>
    <s v="Birchwil, Switzerland"/>
    <s v="Crossair"/>
    <n v="3597"/>
    <s v="Berlin - Zurich"/>
    <x v="2008"/>
    <s v="HB-IXM"/>
    <s v="E-3291"/>
    <n v="33"/>
    <n v="28"/>
    <n v="5"/>
    <n v="24"/>
    <n v="21"/>
    <n v="3"/>
    <n v="0"/>
    <s v="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quot;minimum&quot;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
    <n v="9"/>
    <n v="0.72727272727272729"/>
    <x v="1"/>
  </r>
  <r>
    <n v="4347"/>
    <x v="3950"/>
    <x v="90"/>
    <x v="4"/>
    <d v="1899-12-30T01:56:00"/>
    <s v="Port Harcourt, Nigeria"/>
    <s v="MK Airlines"/>
    <s v="Unknown"/>
    <s v="Luxembourg - Port Harcourt"/>
    <x v="2009"/>
    <s v="9G-MKI"/>
    <s v="22063/432"/>
    <n v="13"/>
    <n v="0"/>
    <n v="13"/>
    <n v="1"/>
    <n v="0"/>
    <n v="1"/>
    <n v="0"/>
    <s v="The cargo plane contacted the ground 700 meters short of the runway, broke in two and burned."/>
    <n v="12"/>
    <n v="7.6923076923076927E-2"/>
    <x v="2"/>
  </r>
  <r>
    <n v="4348"/>
    <x v="3951"/>
    <x v="90"/>
    <x v="4"/>
    <d v="1899-12-30T01:43:00"/>
    <s v="Near Novaya Inya , Russia"/>
    <s v="Military - Russian, cargo"/>
    <s v="-"/>
    <s v="Moscow - Bratsk - Anadyr"/>
    <x v="2010"/>
    <s v="RA-76839"/>
    <n v="1023411375"/>
    <n v="18"/>
    <n v="9"/>
    <n v="9"/>
    <n v="18"/>
    <n v="9"/>
    <n v="9"/>
    <n v="0"/>
    <s v="A fire broke out aboard the aircraft while en route at FL290. The crew was preparing for an emergency landing when two explosions tore apart the plane causing it to crash."/>
    <n v="0"/>
    <n v="1"/>
    <x v="1"/>
  </r>
  <r>
    <n v="4349"/>
    <x v="3952"/>
    <x v="90"/>
    <x v="4"/>
    <s v="Unknown"/>
    <s v="Geti, Democratic Republic Congo"/>
    <s v="Eagle Air"/>
    <s v="Unknown"/>
    <s v="Bunia - Beni"/>
    <x v="2011"/>
    <s v="5X-CNF"/>
    <n v="730208"/>
    <n v="6"/>
    <n v="4"/>
    <n v="2"/>
    <n v="6"/>
    <n v="4"/>
    <n v="2"/>
    <n v="0"/>
    <s v="The plane may have been shot down by Allied Democratic Forces rebels."/>
    <n v="0"/>
    <n v="1"/>
    <x v="1"/>
  </r>
  <r>
    <n v="4350"/>
    <x v="3953"/>
    <x v="90"/>
    <x v="4"/>
    <d v="1899-12-30T10:21:00"/>
    <s v="Near Medellin, Colombia"/>
    <s v="Heliandes"/>
    <s v="Unknown"/>
    <s v="Medellin - Quibdo"/>
    <x v="1771"/>
    <s v="HK-4175X"/>
    <n v="861618"/>
    <n v="16"/>
    <n v="14"/>
    <n v="2"/>
    <n v="16"/>
    <n v="14"/>
    <n v="2"/>
    <n v="0"/>
    <s v="The aircraft crashed into El Silencio de El manzanillo mountain at 7,800 ft., 3 minutes after taking off in heavy rain and poor visibility from Medellin Airport."/>
    <n v="0"/>
    <n v="1"/>
    <x v="1"/>
  </r>
  <r>
    <n v="4351"/>
    <x v="3954"/>
    <x v="90"/>
    <x v="4"/>
    <d v="1899-12-30T10:20:00"/>
    <s v="Bremerhaven, Germany"/>
    <s v="BAL Bremerhaven Airline"/>
    <s v="Unknown"/>
    <s v="Bremerhaven - Wangerooge"/>
    <x v="2012"/>
    <s v="D-IAAI"/>
    <n v="2167"/>
    <n v="9"/>
    <n v="8"/>
    <n v="1"/>
    <n v="8"/>
    <n v="7"/>
    <n v="1"/>
    <n v="0"/>
    <s v=" The aircraft crashed into the Weser River shortly after taking off from Bremerhaven Airport. Three persons were pulled from the river, two of whom died shortly thereafter as a result of their injuries."/>
    <n v="1"/>
    <n v="0.88888888888888884"/>
    <x v="1"/>
  </r>
  <r>
    <n v="4352"/>
    <x v="3955"/>
    <x v="91"/>
    <x v="4"/>
    <d v="1899-12-30T12:07:00"/>
    <s v="Birmingham, England"/>
    <s v="Agco Corp"/>
    <s v="Unknown"/>
    <s v="Birmingham, England - Bangor, MA"/>
    <x v="2013"/>
    <s v=" N90AG"/>
    <n v="5414"/>
    <n v="5"/>
    <n v="3"/>
    <n v="2"/>
    <n v="5"/>
    <n v="3"/>
    <n v="2"/>
    <n v="0"/>
    <s v="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
    <n v="0"/>
    <n v="1"/>
    <x v="1"/>
  </r>
  <r>
    <n v="4353"/>
    <x v="3956"/>
    <x v="91"/>
    <x v="4"/>
    <s v="Unknown"/>
    <s v="Shamsi AFB, Pakistan"/>
    <s v="Military - U.S. Air Force"/>
    <s v="Unknown"/>
    <s v="Jacobabad - Shamsi"/>
    <x v="2014"/>
    <n v="160021"/>
    <n v="4702"/>
    <n v="7"/>
    <n v="0"/>
    <n v="7"/>
    <n v="7"/>
    <n v="0"/>
    <n v="7"/>
    <n v="0"/>
    <s v="While on approach the aircraft struck a hill a few hundred feet short of runway in poor weather."/>
    <n v="0"/>
    <n v="1"/>
    <x v="1"/>
  </r>
  <r>
    <n v="4354"/>
    <x v="3957"/>
    <x v="91"/>
    <x v="4"/>
    <d v="1899-12-30T07:28:00"/>
    <s v="Bilbao, Spain"/>
    <s v="Ibertrans AÃ©rea"/>
    <n v="1278"/>
    <s v="Madrid - Bilbao"/>
    <x v="2015"/>
    <s v="EC-GTJ"/>
    <s v="120-024"/>
    <n v="3"/>
    <n v="0"/>
    <n v="3"/>
    <n v="3"/>
    <n v="0"/>
    <n v="3"/>
    <n v="0"/>
    <s v="While descending, the cargo plane struck Mount Santa Maria Vieja, 35 km from the airport in fog and poor visibility."/>
    <n v="0"/>
    <n v="1"/>
    <x v="1"/>
  </r>
  <r>
    <n v="4355"/>
    <x v="3958"/>
    <x v="91"/>
    <x v="4"/>
    <d v="1899-12-30T08:45:00"/>
    <s v="Chilpancingo, Mexico"/>
    <s v="ProcuradurÃ­a General de la RepÃºblica"/>
    <s v="Unknown"/>
    <s v="Mexico City - Chilpancingo"/>
    <x v="1647"/>
    <s v="XC-FIT"/>
    <n v="752"/>
    <n v="17"/>
    <n v="15"/>
    <n v="2"/>
    <n v="5"/>
    <n v="5"/>
    <n v="0"/>
    <n v="0"/>
    <s v="During a landing attempt at Chilpancingo, the aircraft left the runway, struck a concrete perimeter wall, overturned and burned. The government plane belonged to the General Office of the judge advocate."/>
    <n v="12"/>
    <n v="0.29411764705882354"/>
    <x v="2"/>
  </r>
  <r>
    <n v="4356"/>
    <x v="3959"/>
    <x v="91"/>
    <x v="4"/>
    <d v="1899-12-30T16:29:00"/>
    <s v="Near Solo, Indonesia"/>
    <s v="Garuda Indonesia Airlines"/>
    <n v="421"/>
    <s v="Mataram - Yogyakarta - Jakarta"/>
    <x v="2016"/>
    <s v="PK-GWA"/>
    <s v="24403/1706"/>
    <n v="62"/>
    <n v="54"/>
    <n v="8"/>
    <n v="1"/>
    <n v="0"/>
    <n v="1"/>
    <n v="0"/>
    <s v="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
    <n v="61"/>
    <n v="1.6129032258064516E-2"/>
    <x v="2"/>
  </r>
  <r>
    <n v="4357"/>
    <x v="3960"/>
    <x v="91"/>
    <x v="4"/>
    <d v="1899-12-30T11:00:00"/>
    <s v="Near La Bonita, Ecuador"/>
    <s v="PetroproducciÃ³n"/>
    <s v="Unknown"/>
    <s v="Quito - Lago Agrio"/>
    <x v="2017"/>
    <s v="HC-AYM"/>
    <n v="511"/>
    <n v="26"/>
    <n v="21"/>
    <n v="5"/>
    <n v="26"/>
    <n v="21"/>
    <n v="5"/>
    <n v="0"/>
    <s v="The plane crashed into del cerro El Tigre mountain in the jungles of the Amazon at an elevation of 14,700 ft.  The 35 minute flight was transporting oil workers to a remote oil field."/>
    <n v="0"/>
    <n v="1"/>
    <x v="1"/>
  </r>
  <r>
    <n v="4358"/>
    <x v="3961"/>
    <x v="91"/>
    <x v="4"/>
    <s v="Unknown"/>
    <s v="Near Luena, Angola"/>
    <s v="Military - Angolan  Air Force"/>
    <s v="-"/>
    <s v="Unknown"/>
    <x v="942"/>
    <s v="T-304"/>
    <s v="A12244"/>
    <n v="40"/>
    <n v="34"/>
    <n v="6"/>
    <n v="5"/>
    <n v="3"/>
    <n v="2"/>
    <n v="0"/>
    <s v="Crashed 2km short of the runway  from the Luena Airport while attempting to land in heavy rain."/>
    <n v="35"/>
    <n v="0.125"/>
    <x v="2"/>
  </r>
  <r>
    <n v="4359"/>
    <x v="3962"/>
    <x v="91"/>
    <x v="4"/>
    <d v="1899-12-30T11:00:00"/>
    <s v="Near Ipiales, Colombia"/>
    <s v="TAME"/>
    <n v="120"/>
    <s v="Quito -  TulcÃ¡n - Cali"/>
    <x v="2018"/>
    <s v="HC-BLF"/>
    <s v="19692/498"/>
    <n v="92"/>
    <n v="83"/>
    <n v="9"/>
    <n v="92"/>
    <n v="83"/>
    <n v="9"/>
    <n v="0"/>
    <s v="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
    <n v="0"/>
    <n v="1"/>
    <x v="1"/>
  </r>
  <r>
    <n v="4360"/>
    <x v="3963"/>
    <x v="91"/>
    <x v="4"/>
    <d v="1899-12-30T07:50:00"/>
    <s v="Near Khorramabed, Iran"/>
    <s v="Iran Air Tours"/>
    <n v="956"/>
    <s v="Tehran - Khorramabed"/>
    <x v="1225"/>
    <s v="EP-MBS"/>
    <s v="91A-871"/>
    <n v="117"/>
    <n v="108"/>
    <n v="9"/>
    <n v="117"/>
    <n v="108"/>
    <n v="9"/>
    <n v="0"/>
    <s v="Crashed against the side of a mountain in heavy fog in the Sefid Kouh mountain range while on approach to Khorramabad. The plane was totally destroyed and scattered in small pieces across the mountain. Pilot error."/>
    <n v="0"/>
    <n v="1"/>
    <x v="1"/>
  </r>
  <r>
    <n v="4361"/>
    <x v="3964"/>
    <x v="91"/>
    <x v="4"/>
    <d v="1899-12-30T06:08:00"/>
    <s v="Monrovia, Liberia"/>
    <s v="Tiramavia"/>
    <s v="Unknown"/>
    <s v="Unknown"/>
    <x v="1621"/>
    <s v="ER-ADL"/>
    <n v="4342610"/>
    <n v="10"/>
    <n v="3"/>
    <n v="7"/>
    <n v="1"/>
    <n v="0"/>
    <n v="1"/>
    <n v="0"/>
    <s v="The cargo plane crashed while attempting to make an emergency landing."/>
    <n v="9"/>
    <n v="0.1"/>
    <x v="2"/>
  </r>
  <r>
    <n v="4362"/>
    <x v="3965"/>
    <x v="91"/>
    <x v="4"/>
    <d v="1899-12-30T20:44:00"/>
    <s v="Lakhta, Russia"/>
    <s v="Military - Russian Navy"/>
    <s v="Unknown"/>
    <s v="Sanofov - Lakhta"/>
    <x v="1195"/>
    <s v="07RED"/>
    <s v="ZR726001"/>
    <n v="20"/>
    <n v="12"/>
    <n v="8"/>
    <n v="17"/>
    <n v="12"/>
    <n v="5"/>
    <n v="0"/>
    <s v="The plane was making an emergency landing after two previous attempts in heavy snow and strong winds when it clipped treetops and crashed into a field, approximately 1.5km short of the runway."/>
    <n v="3"/>
    <n v="0.85"/>
    <x v="1"/>
  </r>
  <r>
    <n v="4363"/>
    <x v="3966"/>
    <x v="91"/>
    <x v="4"/>
    <d v="1899-12-30T02:30:00"/>
    <s v="Off Dumaguete, Philippines"/>
    <s v="Military - U.S. Army"/>
    <s v="Unknown"/>
    <s v="Basilan - Mactan Island"/>
    <x v="2019"/>
    <s v="92-0471"/>
    <s v="M-3719"/>
    <n v="10"/>
    <n v="4"/>
    <n v="6"/>
    <n v="10"/>
    <n v="4"/>
    <n v="6"/>
    <n v="0"/>
    <s v="A helicopter ferrying U.S. troops in a counter-terrorism exercise, crashed into the sea, 30 minutes before its scheduled arrival at Mactan Island. The helicopter was flying in tandem with another U.S. Army Chinook when it crashed."/>
    <n v="0"/>
    <n v="1"/>
    <x v="1"/>
  </r>
  <r>
    <n v="4364"/>
    <x v="3967"/>
    <x v="91"/>
    <x v="4"/>
    <d v="1899-12-30T13:40:00"/>
    <s v="Monte Rotondo, Italy"/>
    <s v="Svedijos PrekÃ©s"/>
    <n v="2801"/>
    <s v="Budapest, Hungary - Tunis, Tunisia"/>
    <x v="2020"/>
    <s v="LY-AVD"/>
    <s v="1G137-53"/>
    <n v="3"/>
    <n v="1"/>
    <n v="2"/>
    <n v="3"/>
    <n v="1"/>
    <n v="2"/>
    <n v="0"/>
    <s v="While en route the cargo plane impacted the side of a mountain at an altitude of 6,167 ft.  Pilot error. The crew did not conform to the VFR that required a track change to maintain the required flight parameters and/or a diversion to a suitable alternate airport."/>
    <n v="0"/>
    <n v="1"/>
    <x v="1"/>
  </r>
  <r>
    <n v="4365"/>
    <x v="3968"/>
    <x v="91"/>
    <x v="4"/>
    <d v="1899-12-30T16:30:00"/>
    <s v="Near Placetas, Cuba"/>
    <s v="Charter - Aerotaxi"/>
    <s v="Unknown"/>
    <s v="Cienfuegos -- Cayo Coco"/>
    <x v="997"/>
    <s v="CU-T1020"/>
    <s v="Unknown"/>
    <n v="17"/>
    <n v="15"/>
    <n v="2"/>
    <n v="17"/>
    <n v="15"/>
    <n v="2"/>
    <n v="0"/>
    <s v="While en-route, 35 minutes into the flight, the bi-plane crashed near Santa Clara. The plane was seen spinning out of control before it hit the ground. A strong gust of wind, possibly a small tornado, tore off the top part of the left wing."/>
    <n v="0"/>
    <n v="1"/>
    <x v="1"/>
  </r>
  <r>
    <n v="4366"/>
    <x v="3969"/>
    <x v="91"/>
    <x v="4"/>
    <d v="1899-12-30T08:02:00"/>
    <s v="Off Djibouti, Republic of Djibouti"/>
    <s v="Djibouti Airlines"/>
    <s v="Unknown"/>
    <s v="Mogadishu, Somalia - Djibouti"/>
    <x v="1771"/>
    <s v="J2-KBC"/>
    <n v="912537"/>
    <n v="4"/>
    <n v="0"/>
    <n v="4"/>
    <n v="4"/>
    <n v="0"/>
    <n v="4"/>
    <n v="0"/>
    <s v="The cargo plane crashed into the ocean while on approach to Runway 27."/>
    <n v="0"/>
    <n v="1"/>
    <x v="1"/>
  </r>
  <r>
    <n v="4367"/>
    <x v="3970"/>
    <x v="91"/>
    <x v="4"/>
    <d v="1899-12-30T04:07:00"/>
    <s v="Palma de Mallorca, Spain"/>
    <s v="Tadair"/>
    <n v="306"/>
    <s v="Madrid - Palma de Mallorca"/>
    <x v="1480"/>
    <s v="EC-GKR"/>
    <s v="AC-620"/>
    <n v="2"/>
    <n v="0"/>
    <n v="2"/>
    <n v="2"/>
    <n v="0"/>
    <n v="2"/>
    <n v="0"/>
    <s v="The cargo plane crashed into lights near the runway threshold while attempting to land on Runway 24L."/>
    <n v="0"/>
    <n v="1"/>
    <x v="1"/>
  </r>
  <r>
    <n v="4368"/>
    <x v="3971"/>
    <x v="91"/>
    <x v="4"/>
    <d v="1899-12-30T11:23:00"/>
    <s v="Busan, South Korea"/>
    <s v="Air China"/>
    <n v="129"/>
    <s v="Beijing - Busan"/>
    <x v="2021"/>
    <s v="B-2552"/>
    <s v="23308/127"/>
    <n v="166"/>
    <n v="155"/>
    <n v="11"/>
    <n v="128"/>
    <n v="120"/>
    <n v="8"/>
    <n v="0"/>
    <s v="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
    <n v="38"/>
    <n v="0.77108433734939763"/>
    <x v="1"/>
  </r>
  <r>
    <n v="4369"/>
    <x v="3972"/>
    <x v="91"/>
    <x v="4"/>
    <d v="1899-12-30T09:15:00"/>
    <s v="PopayÃ¡n, Colombia"/>
    <s v="SELVA Colombia"/>
    <s v="Unknown"/>
    <s v="MedellÃ­n - PopayÃ¡n"/>
    <x v="2022"/>
    <s v="HK-4171X"/>
    <n v="2508"/>
    <n v="8"/>
    <n v="5"/>
    <n v="3"/>
    <n v="3"/>
    <n v="3"/>
    <n v="0"/>
    <n v="0"/>
    <s v="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
    <n v="5"/>
    <n v="0.375"/>
    <x v="0"/>
  </r>
  <r>
    <n v="4370"/>
    <x v="3973"/>
    <x v="91"/>
    <x v="4"/>
    <d v="1899-12-30T06:15:00"/>
    <s v="Near Abakan, Russia"/>
    <s v="Private"/>
    <s v="Unknown"/>
    <s v="Unknown"/>
    <x v="2023"/>
    <s v="Unknown"/>
    <s v="Unknown"/>
    <n v="20"/>
    <n v="17"/>
    <n v="3"/>
    <n v="8"/>
    <n v="6"/>
    <n v="2"/>
    <n v="0"/>
    <s v="The helicopter struck power lines and crashed in near-zero visibility. Governor of Krasnoyarsk territory, Alexander Lebed, 52, was among those killed. &quot;Power line, power line!&quot; were the last words of the pilot. Thick fog concealing a frost-covered power line led to the helicopter crash."/>
    <n v="12"/>
    <n v="0.4"/>
    <x v="0"/>
  </r>
  <r>
    <n v="4371"/>
    <x v="3974"/>
    <x v="91"/>
    <x v="4"/>
    <d v="1899-12-30T13:30:00"/>
    <s v="Kano, Nigeria"/>
    <s v="EAS Airlines (Executive Airline Services)"/>
    <n v="4226"/>
    <s v="Abuja - Jos - Kano - Lagos"/>
    <x v="2024"/>
    <s v="5N-ESF"/>
    <n v="266"/>
    <n v="77"/>
    <n v="69"/>
    <n v="8"/>
    <n v="74"/>
    <n v="67"/>
    <n v="7"/>
    <n v="78"/>
    <s v="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
    <n v="3"/>
    <n v="0.96103896103896103"/>
    <x v="1"/>
  </r>
  <r>
    <n v="4372"/>
    <x v="3975"/>
    <x v="91"/>
    <x v="4"/>
    <d v="1899-12-30T15:17:00"/>
    <s v="Near Tunis, Tunisia"/>
    <s v="EgyptAir"/>
    <n v="843"/>
    <s v="Cairo - Tunis"/>
    <x v="2025"/>
    <s v="SU-GBI"/>
    <s v="25307/2135"/>
    <n v="62"/>
    <n v="56"/>
    <n v="6"/>
    <n v="14"/>
    <n v="11"/>
    <n v="3"/>
    <n v="0"/>
    <s v="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
    <n v="48"/>
    <n v="0.22580645161290322"/>
    <x v="2"/>
  </r>
  <r>
    <n v="4373"/>
    <x v="3975"/>
    <x v="91"/>
    <x v="4"/>
    <d v="1899-12-30T21:32:00"/>
    <s v="Off Dalian, China"/>
    <s v="China Northern Airlines"/>
    <n v="6136"/>
    <s v="Beijing - Dalian"/>
    <x v="1584"/>
    <s v="B-2138"/>
    <s v="49522/17023"/>
    <n v="112"/>
    <n v="103"/>
    <n v="9"/>
    <n v="112"/>
    <n v="103"/>
    <n v="9"/>
    <n v="0"/>
    <s v="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
    <n v="0"/>
    <n v="1"/>
    <x v="1"/>
  </r>
  <r>
    <n v="4374"/>
    <x v="3976"/>
    <x v="91"/>
    <x v="4"/>
    <d v="1899-12-30T19:30:00"/>
    <s v="Near Calabar, Nigeria"/>
    <s v="Sky Executive Air Services"/>
    <s v="Unknown"/>
    <s v="Port Harcourt - Calabar"/>
    <x v="1624"/>
    <s v="9Q-CEX"/>
    <n v="851402"/>
    <n v="5"/>
    <n v="0"/>
    <n v="5"/>
    <n v="5"/>
    <n v="0"/>
    <n v="5"/>
    <n v="0"/>
    <s v="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
    <n v="0"/>
    <n v="1"/>
    <x v="1"/>
  </r>
  <r>
    <n v="4375"/>
    <x v="3977"/>
    <x v="91"/>
    <x v="4"/>
    <d v="1899-12-30T15:29:00"/>
    <s v="Off Penghu Island, Taiwan"/>
    <s v="China Airlines (Taiwan)"/>
    <n v="611"/>
    <s v="Taipei - Hong Kong"/>
    <x v="2026"/>
    <s v="B-18255"/>
    <s v="21843/386"/>
    <n v="225"/>
    <n v="206"/>
    <n v="19"/>
    <n v="225"/>
    <n v="206"/>
    <n v="19"/>
    <n v="0"/>
    <s v="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
    <n v="0"/>
    <n v="1"/>
    <x v="1"/>
  </r>
  <r>
    <n v="4376"/>
    <x v="3977"/>
    <x v="91"/>
    <x v="4"/>
    <d v="1899-12-30T07:00:00"/>
    <s v="Near Nabire, Indonesia"/>
    <s v="Trigana Air Service"/>
    <s v="Unknown"/>
    <s v="Nabire - Enaotali"/>
    <x v="1220"/>
    <s v="PK-YPZ"/>
    <n v="458"/>
    <n v="6"/>
    <n v="2"/>
    <n v="4"/>
    <n v="6"/>
    <n v="2"/>
    <n v="4"/>
    <n v="0"/>
    <s v="The aircraft crashed in thunderstorms and heavy rain while en route."/>
    <n v="0"/>
    <n v="1"/>
    <x v="1"/>
  </r>
  <r>
    <n v="4377"/>
    <x v="3978"/>
    <x v="91"/>
    <x v="4"/>
    <d v="1899-12-30T06:45:00"/>
    <s v="George, South Africa"/>
    <s v="Airquarius Aviation - Charter"/>
    <s v="Unknown"/>
    <s v="Bloemfontein - George"/>
    <x v="2027"/>
    <s v="ZS-OJU"/>
    <n v="1782"/>
    <n v="3"/>
    <n v="1"/>
    <n v="2"/>
    <n v="3"/>
    <n v="1"/>
    <n v="2"/>
    <n v="0"/>
    <s v="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
    <n v="0"/>
    <n v="1"/>
    <x v="1"/>
  </r>
  <r>
    <n v="4378"/>
    <x v="3979"/>
    <x v="91"/>
    <x v="4"/>
    <s v="Unknown"/>
    <s v="Near Ndalatando, Angola"/>
    <s v="Military - Angolan Armed Forces"/>
    <s v="Unknown"/>
    <s v="Luanda - demobilization camp"/>
    <x v="2028"/>
    <s v="Unknown"/>
    <s v="Unknown"/>
    <n v="25"/>
    <n v="23"/>
    <n v="2"/>
    <n v="20"/>
    <n v="18"/>
    <n v="2"/>
    <n v="0"/>
    <s v="The helicopter crashed in poor weather while on its way to a remote town for the symbolic surrender of arms held by Unita rebels. Two top ranking generals were among those killed in the crash."/>
    <n v="5"/>
    <n v="0.8"/>
    <x v="1"/>
  </r>
  <r>
    <n v="4379"/>
    <x v="3980"/>
    <x v="91"/>
    <x v="4"/>
    <d v="1899-12-30T21:24:00"/>
    <s v="Near Gardez, Afghanistan"/>
    <s v="Military - U.S. Air Force"/>
    <s v="Unknown"/>
    <s v="Unknown"/>
    <x v="2029"/>
    <s v="84-0475"/>
    <n v="5041"/>
    <n v="10"/>
    <n v="2"/>
    <n v="8"/>
    <n v="3"/>
    <n v="0"/>
    <n v="3"/>
    <n v="0"/>
    <s v="While participating in a night mission to remove U.S. Special Forces troops the plane crashed 2.5 miles from the airstrip. Overloaded. The excessive cargo weight loaded on the aircraft at the Band E Sardeh Dam landing zone."/>
    <n v="7"/>
    <n v="0.3"/>
    <x v="2"/>
  </r>
  <r>
    <n v="4380"/>
    <x v="3981"/>
    <x v="91"/>
    <x v="4"/>
    <d v="1899-12-30T23:36:00"/>
    <s v="Uberlingen, Germany"/>
    <s v="Bashkirian Airlines / DHL Worldwide Express"/>
    <s v="2937 / 611"/>
    <s v="Moscow-Munich-Barcelona / Bahrain/Brussels"/>
    <x v="2030"/>
    <s v="RA85816/A9C-DHL"/>
    <s v="1006 / 24635/258"/>
    <n v="71"/>
    <n v="57"/>
    <n v="14"/>
    <n v="71"/>
    <n v="57"/>
    <n v="14"/>
    <n v="0"/>
    <s v="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
    <n v="0"/>
    <n v="1"/>
    <x v="1"/>
  </r>
  <r>
    <n v="4381"/>
    <x v="3982"/>
    <x v="91"/>
    <x v="4"/>
    <d v="1899-12-30T11:15:00"/>
    <s v="Bangui, Central African Republic"/>
    <s v="Prestige Airlines (Cargo) Charter"/>
    <s v="Unknown"/>
    <s v="N'Djamena, Chad - Brazzaville, Congo"/>
    <x v="897"/>
    <s v="9XR-IS"/>
    <n v="19335"/>
    <n v="27"/>
    <n v="19"/>
    <n v="8"/>
    <n v="27"/>
    <n v="19"/>
    <n v="8"/>
    <n v="0"/>
    <s v="The aircraft crashed 2 miles short of the runway into the Guitangola neighborhood of Bangui. The plane was bound for Brazzaville but diverted to Bangui because of mechanical problems. Two survived but succumbed to their injuries."/>
    <n v="0"/>
    <n v="1"/>
    <x v="1"/>
  </r>
  <r>
    <n v="4382"/>
    <x v="3983"/>
    <x v="91"/>
    <x v="4"/>
    <s v="Unknown"/>
    <s v="Near Long Barai, Indonesia"/>
    <s v="Sabang Merauke Raya Air Charter"/>
    <s v="Unknown"/>
    <s v="Tarakan - Krayan"/>
    <x v="1145"/>
    <s v="PK-TAR"/>
    <n v="860"/>
    <n v="10"/>
    <n v="8"/>
    <n v="2"/>
    <n v="10"/>
    <n v="8"/>
    <n v="2"/>
    <n v="0"/>
    <s v="Air traffic control lost contact with the aircraft 15 minutes before it was scheduled to land. The wreckage was found atop a 5,300 ft. mountain, surrounded by thick jungle, 5 miles from its destination."/>
    <n v="0"/>
    <n v="1"/>
    <x v="1"/>
  </r>
  <r>
    <n v="4383"/>
    <x v="3983"/>
    <x v="91"/>
    <x v="4"/>
    <d v="1899-12-30T19:45:00"/>
    <s v="Off Cromer, Norfork, England"/>
    <s v="Bristow Helicopters"/>
    <s v="-"/>
    <s v="Gas platform Clipper - drilling rig Golbal Sante Fe Monach"/>
    <x v="2031"/>
    <s v="G-BJVX"/>
    <n v="760100"/>
    <n v="11"/>
    <n v="9"/>
    <n v="2"/>
    <n v="11"/>
    <n v="9"/>
    <n v="2"/>
    <n v="0"/>
    <s v="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
    <n v="0"/>
    <n v="1"/>
    <x v="1"/>
  </r>
  <r>
    <n v="4384"/>
    <x v="3984"/>
    <x v="91"/>
    <x v="4"/>
    <d v="1899-12-30T14:22:00"/>
    <s v="Surkhet, Nepal"/>
    <s v="Skyline Airways"/>
    <s v="Unknown"/>
    <s v="Jumla - Surkhet"/>
    <x v="1220"/>
    <s v="9N-AGF"/>
    <n v="828"/>
    <n v="4"/>
    <n v="2"/>
    <n v="2"/>
    <n v="4"/>
    <n v="2"/>
    <n v="2"/>
    <n v="0"/>
    <s v="The aircraft hit a tree and crashed into a hill, 6 miles north of Surkhet in poor weather conditions. Wreckage was strewn over a wide area."/>
    <n v="0"/>
    <n v="1"/>
    <x v="1"/>
  </r>
  <r>
    <n v="4385"/>
    <x v="3985"/>
    <x v="91"/>
    <x v="4"/>
    <d v="1899-12-30T12:45:00"/>
    <s v="Lviv, Ukraine"/>
    <s v="Military - Ukraine Air Force"/>
    <s v="Unknown"/>
    <s v="Unknown"/>
    <x v="2032"/>
    <n v="42"/>
    <s v="Unknown"/>
    <n v="2"/>
    <n v="0"/>
    <n v="2"/>
    <n v="0"/>
    <n v="0"/>
    <n v="0"/>
    <n v="85"/>
    <s v="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
    <n v="2"/>
    <n v="0"/>
    <x v="2"/>
  </r>
  <r>
    <n v="4386"/>
    <x v="3986"/>
    <x v="91"/>
    <x v="4"/>
    <d v="1899-12-30T15:25:00"/>
    <s v="Moscow, Russia"/>
    <s v="Pulkovo Aviation Enterprise"/>
    <s v="Unknown"/>
    <s v="Moscow - St. Petersburgh"/>
    <x v="2033"/>
    <s v="RA-86060"/>
    <n v="51483203027"/>
    <n v="16"/>
    <n v="0"/>
    <n v="16"/>
    <n v="14"/>
    <n v="0"/>
    <n v="14"/>
    <n v="0"/>
    <s v="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
    <n v="2"/>
    <n v="0.875"/>
    <x v="1"/>
  </r>
  <r>
    <n v="4387"/>
    <x v="3987"/>
    <x v="91"/>
    <x v="4"/>
    <d v="1899-12-30T22:00:00"/>
    <s v="Caguas, Puerto Rico"/>
    <s v="Military - U.S. Air Force"/>
    <s v="-"/>
    <s v="Roosevelt Roads NS - Borinquen NGB"/>
    <x v="2029"/>
    <s v="90-0161"/>
    <n v="5265"/>
    <n v="10"/>
    <n v="3"/>
    <n v="7"/>
    <n v="10"/>
    <n v="3"/>
    <n v="7"/>
    <n v="0"/>
    <s v="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
    <n v="0"/>
    <n v="1"/>
    <x v="1"/>
  </r>
  <r>
    <n v="4388"/>
    <x v="3988"/>
    <x v="91"/>
    <x v="4"/>
    <d v="1899-12-30T12:35:00"/>
    <s v="Kadjuduwa Watta, Sri Lanka"/>
    <s v="Military - Sri Lanka Air Force"/>
    <s v="Unknown"/>
    <s v="Unknown"/>
    <x v="2034"/>
    <s v="CR-873"/>
    <n v="70802"/>
    <n v="5"/>
    <n v="0"/>
    <n v="5"/>
    <n v="5"/>
    <n v="0"/>
    <n v="5"/>
    <n v="0"/>
    <s v="The military plane developed engine trouble while en route, tried to return to the airport but crashed into a paddy field and was destroyed."/>
    <n v="0"/>
    <n v="1"/>
    <x v="1"/>
  </r>
  <r>
    <n v="4389"/>
    <x v="3989"/>
    <x v="91"/>
    <x v="4"/>
    <s v="Unknown"/>
    <s v="Khankala, Chechnya"/>
    <s v="Military - Russian Air Force"/>
    <s v="Unknown"/>
    <s v="Unknown"/>
    <x v="2035"/>
    <s v="89RED"/>
    <s v="Unknown"/>
    <n v="147"/>
    <n v="142"/>
    <n v="5"/>
    <n v="121"/>
    <n v="121"/>
    <n v="0"/>
    <n v="0"/>
    <s v="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
    <n v="26"/>
    <n v="0.8231292517006803"/>
    <x v="1"/>
  </r>
  <r>
    <n v="4390"/>
    <x v="3990"/>
    <x v="91"/>
    <x v="4"/>
    <d v="1899-12-30T09:41:00"/>
    <s v="Pokhara, Nepal"/>
    <s v="Shangri La Air"/>
    <s v="Unknown"/>
    <s v="Jomsom - Pokhara"/>
    <x v="2036"/>
    <s v="9N-AFR"/>
    <n v="726"/>
    <n v="18"/>
    <n v="15"/>
    <n v="3"/>
    <n v="18"/>
    <n v="15"/>
    <n v="3"/>
    <n v="0"/>
    <s v="The plane crashed into a hill 3 miles southeast of Pokhara Airport while on approach. The plane broke into several pieces and bodies and wreckage was scattered over a small area. There was poor weather in the area at the time of the accident. Controlled flight into terrain."/>
    <n v="0"/>
    <n v="1"/>
    <x v="1"/>
  </r>
  <r>
    <n v="4391"/>
    <x v="3991"/>
    <x v="91"/>
    <x v="4"/>
    <d v="1899-12-30T11:58:00"/>
    <s v="Near Ayan, Russia"/>
    <s v="Vostok Aviakompania"/>
    <s v="HH-359"/>
    <s v="Khabarovsk - Ayan"/>
    <x v="1745"/>
    <s v="RA-28932"/>
    <s v="1A-J008-19"/>
    <n v="16"/>
    <n v="14"/>
    <n v="2"/>
    <n v="16"/>
    <n v="14"/>
    <n v="2"/>
    <n v="0"/>
    <s v="The twin prop plane crashed into a cliff in dense fog as it prepared to land at Ayan. ATC lost contact with the aircraft 12 minutes before it was scheduled to land.  The crew made four attempts to land before disappearing off radar. Crew error."/>
    <n v="0"/>
    <n v="1"/>
    <x v="1"/>
  </r>
  <r>
    <n v="4392"/>
    <x v="3992"/>
    <x v="91"/>
    <x v="4"/>
    <d v="1899-12-30T18:30:00"/>
    <s v="Rio Branco, Brazil"/>
    <s v="Rico Taxi AÃ©reo"/>
    <s v="Unknown"/>
    <s v="Cruzeiro do Sul - Tarauaca - Rio Branco"/>
    <x v="2037"/>
    <s v="PT-WRQ"/>
    <n v="120043"/>
    <n v="31"/>
    <n v="28"/>
    <n v="3"/>
    <n v="23"/>
    <n v="20"/>
    <n v="3"/>
    <n v="0"/>
    <s v="The plane crashed about 1 mile short of the runway in heavy rain and strong winds while attempting to land at Rio Branco Airport. Congressman Ildefonso Cordeiro was among the victims."/>
    <n v="8"/>
    <n v="0.74193548387096775"/>
    <x v="1"/>
  </r>
  <r>
    <n v="4393"/>
    <x v="3993"/>
    <x v="91"/>
    <x v="4"/>
    <s v="Unknown"/>
    <s v="Paranapanema, Sao Paulo, Brazil"/>
    <s v="Total  Air Lines"/>
    <s v="Unknown"/>
    <s v="Guarulhos - Londrina"/>
    <x v="2038"/>
    <s v="PT-MTS"/>
    <n v="26"/>
    <n v="2"/>
    <n v="0"/>
    <n v="2"/>
    <n v="2"/>
    <n v="0"/>
    <n v="2"/>
    <n v="0"/>
    <s v="One hour after the takeoff , the the plane disappeared of  Curitiba  ATC. The wreckage was found on a farm, around a crater. Unknown cause."/>
    <n v="0"/>
    <n v="1"/>
    <x v="1"/>
  </r>
  <r>
    <n v="4394"/>
    <x v="3994"/>
    <x v="91"/>
    <x v="4"/>
    <d v="1899-12-30T11:35:00"/>
    <s v="Near Natashquan, Quebec, Canada"/>
    <s v="Deraps Aviation"/>
    <s v="Unknown"/>
    <s v="Lake de l'Avion - Agunish River"/>
    <x v="781"/>
    <s v="C-FLGA"/>
    <n v="279"/>
    <n v="4"/>
    <n v="3"/>
    <n v="1"/>
    <n v="3"/>
    <n v="3"/>
    <n v="0"/>
    <n v="0"/>
    <s v="The hunting charter crashed inverted in a forest while attempting to land at Agunish River. Because of the geographic and weather conditions, the pilot probably had trouble judging his horizontal and vertical distance with respect to the mountain, and the aircraft crashed."/>
    <n v="1"/>
    <n v="0.75"/>
    <x v="1"/>
  </r>
  <r>
    <n v="4395"/>
    <x v="3995"/>
    <x v="91"/>
    <x v="4"/>
    <s v="Unknown"/>
    <s v="Vasco, India"/>
    <s v="Military - Indian Navy"/>
    <s v="Unknown"/>
    <s v="Military exercises"/>
    <x v="2039"/>
    <s v="IN302 / IN304"/>
    <s v="IL38002/IL38004"/>
    <n v="12"/>
    <n v="0"/>
    <n v="12"/>
    <n v="12"/>
    <n v="0"/>
    <n v="12"/>
    <n v="5"/>
    <s v="The two Navy aircraft flying in formation in a military flyby, crashed, after their wings collided. One plane crashed into a house under construction while the other crashed onto a field next to a highway. Six crew members on each plane were killed along with 5 on the ground."/>
    <n v="0"/>
    <n v="1"/>
    <x v="1"/>
  </r>
  <r>
    <n v="4396"/>
    <x v="3996"/>
    <x v="91"/>
    <x v="4"/>
    <d v="1899-12-30T10:10:00"/>
    <s v="Near Niederanven, Luxembourg"/>
    <s v="Luxair"/>
    <s v="9642/2420"/>
    <s v="Berlin, Germany - Luxembourg"/>
    <x v="1830"/>
    <s v="LX-LGB"/>
    <n v="20221"/>
    <n v="22"/>
    <n v="19"/>
    <n v="3"/>
    <n v="20"/>
    <n v="18"/>
    <n v="2"/>
    <n v="0"/>
    <s v="The plane crashed 6 miles short of the runway at Findel Airport while attempting to land in heavy fog.  Crew error caused by aborting a &quot;go-around&quot;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
    <n v="2"/>
    <n v="0.90909090909090906"/>
    <x v="1"/>
  </r>
  <r>
    <n v="4397"/>
    <x v="3997"/>
    <x v="91"/>
    <x v="4"/>
    <d v="1899-12-30T10:27:00"/>
    <s v="Tarakan, Indonesia"/>
    <s v="Dirgantara Air Services"/>
    <s v="Unknown"/>
    <s v="Tarakan - Long Bawan"/>
    <x v="1715"/>
    <s v="PK-VIZ"/>
    <n v="697"/>
    <n v="10"/>
    <n v="9"/>
    <n v="1"/>
    <n v="7"/>
    <n v="6"/>
    <n v="1"/>
    <n v="0"/>
    <s v="Two minutes after taking off, the aircraft went down in a swamp, about 1 mile from Juwata airport. The pilot radioed he was returning to the airport because of an engine failure."/>
    <n v="3"/>
    <n v="0.7"/>
    <x v="1"/>
  </r>
  <r>
    <n v="4398"/>
    <x v="3998"/>
    <x v="91"/>
    <x v="4"/>
    <d v="1899-12-30T14:58:00"/>
    <s v="Taos, New Mexico"/>
    <s v="Richmor Aviation"/>
    <s v="Unknown"/>
    <s v="Las Vegas, NV - Taos, NM"/>
    <x v="2040"/>
    <s v="N61RS"/>
    <n v="384"/>
    <n v="2"/>
    <n v="0"/>
    <n v="2"/>
    <n v="2"/>
    <n v="0"/>
    <n v="2"/>
    <n v="0"/>
    <s v="While on a positioning flight the plane entered an uncontrolled descent and crashed. The pilot's inadvertent flight into mountain wave weather conditions while IMC, resulting in a loss of aircraft control."/>
    <n v="0"/>
    <n v="1"/>
    <x v="1"/>
  </r>
  <r>
    <n v="4399"/>
    <x v="3999"/>
    <x v="91"/>
    <x v="4"/>
    <d v="1899-12-30T06:09:00"/>
    <s v="Manila, Philippines"/>
    <s v="Laoag International Airlines"/>
    <n v="585"/>
    <s v="Manila - Laoag"/>
    <x v="2041"/>
    <s v="RP-C6888"/>
    <n v="10571"/>
    <n v="34"/>
    <n v="29"/>
    <n v="5"/>
    <n v="19"/>
    <n v="18"/>
    <n v="1"/>
    <n v="0"/>
    <s v="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
    <n v="15"/>
    <n v="0.55882352941176472"/>
    <x v="0"/>
  </r>
  <r>
    <n v="4400"/>
    <x v="4000"/>
    <x v="91"/>
    <x v="4"/>
    <d v="1899-12-30T14:15:00"/>
    <s v="Masai Mara Game Reserve, Kenya"/>
    <s v="Eagle Aviation"/>
    <s v="-"/>
    <s v="Ol Kiombo - Mombasa"/>
    <x v="2042"/>
    <s v="5Y-ONT"/>
    <n v="871812"/>
    <n v="20"/>
    <n v="18"/>
    <n v="2"/>
    <n v="1"/>
    <n v="0"/>
    <n v="1"/>
    <n v="0"/>
    <s v="The plane crashed after developing engine trouble while flying from one airstrip to another in the Masai Mara National Reserve. The copilot was the only fatality."/>
    <n v="19"/>
    <n v="0.05"/>
    <x v="2"/>
  </r>
  <r>
    <n v="4401"/>
    <x v="4001"/>
    <x v="91"/>
    <x v="4"/>
    <s v="Unknown"/>
    <s v="Gohu Airstrip, Papua New Guinea"/>
    <s v="Island Airways Ltd."/>
    <s v="Unknown"/>
    <s v="Gohu - Madang"/>
    <x v="1852"/>
    <s v="P2-CBB"/>
    <n v="140"/>
    <n v="8"/>
    <n v="7"/>
    <n v="1"/>
    <n v="8"/>
    <n v="7"/>
    <n v="1"/>
    <n v="0"/>
    <s v="The aircraft flew into the side of a cliff during it's inaugural flight from Gohu Airstrip in the Finisterre Mountains."/>
    <n v="0"/>
    <n v="1"/>
    <x v="1"/>
  </r>
  <r>
    <n v="4402"/>
    <x v="4002"/>
    <x v="91"/>
    <x v="4"/>
    <d v="1899-12-30T22:51:00"/>
    <s v="Rockford, Illinois"/>
    <s v="Planemasters"/>
    <n v="1627"/>
    <s v="Decatur - Rockford"/>
    <x v="1670"/>
    <s v="N277PM"/>
    <s v="208B-0143"/>
    <n v="1"/>
    <n v="0"/>
    <n v="1"/>
    <n v="1"/>
    <n v="0"/>
    <n v="1"/>
    <n v="0"/>
    <s v="While attempting to land, the cargo plane struck trees and crashed into a field. The pilot's failure to maintain control of the airplane during the ILS approach. Factors associated with the accident were the low ceilings, high winds, crosswind, and wind shear conditions that existed."/>
    <n v="0"/>
    <n v="1"/>
    <x v="1"/>
  </r>
  <r>
    <n v="4403"/>
    <x v="4003"/>
    <x v="91"/>
    <x v="4"/>
    <d v="1899-12-30T01:52:00"/>
    <s v="Off Pachao Tao, Taiwan"/>
    <s v="Transasia Airways"/>
    <n v="791"/>
    <s v="Taipei - Macau"/>
    <x v="2043"/>
    <s v="B-22708"/>
    <n v="322"/>
    <n v="2"/>
    <n v="0"/>
    <n v="2"/>
    <n v="2"/>
    <n v="0"/>
    <n v="2"/>
    <n v="0"/>
    <s v="While en route the stall warning sounded and the stick shaker activated. The crew of the cargo plane disconnected the autopilot and tried to gain control of the plane. The plane began to descend from FL170 until it impacted the ocean."/>
    <n v="0"/>
    <n v="1"/>
    <x v="1"/>
  </r>
  <r>
    <n v="4404"/>
    <x v="4004"/>
    <x v="91"/>
    <x v="4"/>
    <d v="1899-12-30T19:30:00"/>
    <s v="Near Isfanan, Iran"/>
    <s v="Aeromist-Kharkiv"/>
    <n v="2137"/>
    <s v="Kharkiv, Ukraine - Trabzon, Turkey - Isfanan, Iran"/>
    <x v="2044"/>
    <s v="UR-14003"/>
    <n v="204"/>
    <n v="44"/>
    <n v="38"/>
    <n v="6"/>
    <n v="44"/>
    <n v="38"/>
    <n v="6"/>
    <n v="0"/>
    <s v="While descending to land at Isfanan, the Ukrainian passenger plane crashed in a mountainous area  70 km from Isfanan after losing contact with ground controllers. Improper use of the Global Positioning System by the pilot. The passengers were aerospace scientists and executives."/>
    <n v="0"/>
    <n v="1"/>
    <x v="1"/>
  </r>
  <r>
    <n v="4405"/>
    <x v="4005"/>
    <x v="91"/>
    <x v="4"/>
    <d v="1899-12-30T11:20:00"/>
    <s v="Curitiba, Brazil"/>
    <s v="Military - Brazilian Air Force"/>
    <s v="Unknown"/>
    <s v="Sao Paulo - Porto Alegre"/>
    <x v="2045"/>
    <s v="FAB-2292"/>
    <n v="174"/>
    <n v="16"/>
    <n v="13"/>
    <n v="3"/>
    <n v="3"/>
    <n v="2"/>
    <n v="1"/>
    <n v="0"/>
    <s v="The plane diverted from it's original route to make an emergency landing at Curitiba after experiencing engine trouble and crashed 3.5km short of the runway."/>
    <n v="13"/>
    <n v="0.1875"/>
    <x v="2"/>
  </r>
  <r>
    <n v="4406"/>
    <x v="4006"/>
    <x v="91"/>
    <x v="4"/>
    <d v="1899-12-30T15:00:00"/>
    <s v="Anjouan, Comoros Islands"/>
    <s v="Ocean Airlines"/>
    <s v="Unknown"/>
    <s v="Moroni Hahaya - Anjouan"/>
    <x v="1624"/>
    <s v="9XR-RB"/>
    <n v="810636"/>
    <n v="16"/>
    <n v="14"/>
    <n v="2"/>
    <n v="1"/>
    <n v="1"/>
    <n v="0"/>
    <n v="0"/>
    <s v="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
    <n v="15"/>
    <n v="6.25E-2"/>
    <x v="2"/>
  </r>
  <r>
    <n v="4407"/>
    <x v="4007"/>
    <x v="92"/>
    <x v="4"/>
    <d v="1899-12-30T08:53:00"/>
    <s v="Charlotte, North Carolina"/>
    <s v="US Air Express/Air Midwest"/>
    <n v="5481"/>
    <s v="Charlotte, NC - Greer, SC"/>
    <x v="2046"/>
    <s v="N233YV"/>
    <s v="UE-233"/>
    <n v="21"/>
    <n v="19"/>
    <n v="2"/>
    <n v="21"/>
    <n v="19"/>
    <n v="2"/>
    <n v="0"/>
    <s v="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
    <n v="0"/>
    <n v="1"/>
    <x v="1"/>
  </r>
  <r>
    <n v="4408"/>
    <x v="4007"/>
    <x v="92"/>
    <x v="4"/>
    <d v="1899-12-30T20:28:00"/>
    <s v="Diyarbakir, Turkey"/>
    <s v="Turkish Airlines (THY)"/>
    <n v="634"/>
    <s v="Istanbul - Ankara - Diyarbakir"/>
    <x v="2047"/>
    <s v="TC-THG"/>
    <s v="E-3241"/>
    <n v="80"/>
    <n v="75"/>
    <n v="5"/>
    <n v="75"/>
    <n v="71"/>
    <n v="4"/>
    <n v="0"/>
    <s v="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
    <n v="5"/>
    <n v="0.9375"/>
    <x v="1"/>
  </r>
  <r>
    <n v="4409"/>
    <x v="4008"/>
    <x v="92"/>
    <x v="4"/>
    <d v="1899-12-30T08:43:00"/>
    <s v="Near Chachapoyas, Peru"/>
    <s v="TANS Airlines"/>
    <n v="222"/>
    <s v="Chiclayo - Chachapoyas"/>
    <x v="2048"/>
    <s v="OB-1396"/>
    <n v="11100"/>
    <n v="46"/>
    <n v="42"/>
    <n v="4"/>
    <n v="46"/>
    <n v="42"/>
    <n v="4"/>
    <n v="0"/>
    <s v="The aircraft crashed into 11,500 ft. Coloque mountain at an altitude of 7,550 ft., about 30 minutes after leaving Chiclayo and three minutes from landing at Chachapoyas. Controlled flight into terrain. Crew did not follow standard procedures. Lack of communication between the crew."/>
    <n v="0"/>
    <n v="1"/>
    <x v="1"/>
  </r>
  <r>
    <n v="4410"/>
    <x v="4009"/>
    <x v="92"/>
    <x v="4"/>
    <s v="Unknown"/>
    <s v="Near NdjolÃ©, Gabon"/>
    <s v="Aerocom"/>
    <s v="Unknown"/>
    <s v="Brazzaville - Douala"/>
    <x v="2049"/>
    <s v="ER-AFT"/>
    <n v="89901508"/>
    <n v="7"/>
    <n v="5"/>
    <n v="2"/>
    <n v="7"/>
    <n v="5"/>
    <n v="2"/>
    <n v="0"/>
    <s v="On a positioning flight the plane, over Gabon, had problems with its navigation equipment, circled the airport 4 times before crashing into a wooded hillside."/>
    <n v="0"/>
    <n v="1"/>
    <x v="1"/>
  </r>
  <r>
    <n v="4411"/>
    <x v="4010"/>
    <x v="92"/>
    <x v="4"/>
    <d v="1899-12-30T16:45:00"/>
    <s v="Busia, Kenya"/>
    <s v="African Commuter Services"/>
    <s v="Unknown"/>
    <s v="Busia - Nairobi"/>
    <x v="1540"/>
    <s v="5Y-EMJ"/>
    <n v="158"/>
    <n v="13"/>
    <n v="11"/>
    <n v="2"/>
    <n v="3"/>
    <n v="1"/>
    <n v="2"/>
    <n v="0"/>
    <s v="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
    <n v="10"/>
    <n v="0.23076923076923078"/>
    <x v="2"/>
  </r>
  <r>
    <n v="4412"/>
    <x v="4011"/>
    <x v="92"/>
    <x v="4"/>
    <d v="1899-12-30T15:21:00"/>
    <s v="Baucau, East Timor"/>
    <s v="Euro Asia Aviation"/>
    <s v="Unknown"/>
    <s v="Macau - Baucau"/>
    <x v="2050"/>
    <s v="RDPL-34141"/>
    <n v="53465941"/>
    <n v="6"/>
    <n v="2"/>
    <n v="4"/>
    <n v="6"/>
    <n v="2"/>
    <n v="4"/>
    <n v="0"/>
    <s v="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
    <n v="0"/>
    <n v="1"/>
    <x v="1"/>
  </r>
  <r>
    <n v="4413"/>
    <x v="4012"/>
    <x v="92"/>
    <x v="4"/>
    <s v="Unknown"/>
    <s v="Near Agadir, Morocco"/>
    <s v="Volare Aviation Enterprise"/>
    <s v="Unknown"/>
    <s v="Agadir - Algiers"/>
    <x v="1621"/>
    <s v="UR-LIP"/>
    <n v="9346405"/>
    <n v="8"/>
    <n v="0"/>
    <n v="8"/>
    <n v="8"/>
    <n v="0"/>
    <n v="8"/>
    <n v="0"/>
    <s v="Crashed in the Atlas mountain range at 9,900 feet while en route."/>
    <n v="0"/>
    <n v="1"/>
    <x v="1"/>
  </r>
  <r>
    <n v="4414"/>
    <x v="4013"/>
    <x v="92"/>
    <x v="4"/>
    <d v="1899-12-30T19:42:00"/>
    <s v="Tallinn, Estonia"/>
    <s v="Enimex"/>
    <n v="827"/>
    <s v="Tallinn - Helsinki"/>
    <x v="1745"/>
    <s v="ES-NOY"/>
    <s v="1AJ006-04"/>
    <n v="3"/>
    <n v="0"/>
    <n v="3"/>
    <n v="2"/>
    <n v="0"/>
    <n v="2"/>
    <n v="0"/>
    <s v="Shortly after takeoff, the aircraft stalled, crashed and burst into flames in a wooded area. Engine failure."/>
    <n v="1"/>
    <n v="0.66666666666666663"/>
    <x v="1"/>
  </r>
  <r>
    <n v="4415"/>
    <x v="4014"/>
    <x v="92"/>
    <x v="4"/>
    <d v="1899-12-30T20:02:00"/>
    <s v="Ferguson, Kentucky"/>
    <s v="Air Taxi - Great Northern Aircraft Co."/>
    <s v="Unknown"/>
    <s v="Griffith-Merrill, IN - Somerset, KY"/>
    <x v="2051"/>
    <s v="N421TJ"/>
    <s v="421-0051"/>
    <n v="7"/>
    <n v="6"/>
    <n v="1"/>
    <n v="3"/>
    <n v="2"/>
    <n v="1"/>
    <n v="0"/>
    <s v="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
    <n v="4"/>
    <n v="0.42857142857142855"/>
    <x v="0"/>
  </r>
  <r>
    <n v="4416"/>
    <x v="4015"/>
    <x v="92"/>
    <x v="4"/>
    <d v="1899-12-30T17:30:00"/>
    <s v="Near Shahdad, Iran"/>
    <s v="Military - Islamic Revolution's Guards Corps"/>
    <s v="Unknown"/>
    <s v="Zahedan - Kerman"/>
    <x v="1657"/>
    <s v="15-22"/>
    <n v="63471155"/>
    <n v="275"/>
    <n v="257"/>
    <n v="18"/>
    <n v="275"/>
    <n v="257"/>
    <n v="18"/>
    <n v="0"/>
    <s v="The plane crashed into an 11,500 ft.  mountain in poor weather, about 20 miles from its destination of Kerman. Besides the 18 crew members, the victims included Iran's Revolutionary Guard."/>
    <n v="0"/>
    <n v="1"/>
    <x v="1"/>
  </r>
  <r>
    <n v="4417"/>
    <x v="4016"/>
    <x v="92"/>
    <x v="4"/>
    <d v="1899-12-30T08:52:00"/>
    <s v="Near Kohat, Pakistan"/>
    <s v="Military - Pakistan Air Force"/>
    <s v="-"/>
    <s v="Islamabad - Kohat"/>
    <x v="986"/>
    <n v="10254"/>
    <n v="10254"/>
    <n v="17"/>
    <n v="9"/>
    <n v="8"/>
    <n v="17"/>
    <n v="9"/>
    <n v="8"/>
    <n v="0"/>
    <s v="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
    <n v="0"/>
    <n v="1"/>
    <x v="1"/>
  </r>
  <r>
    <n v="4418"/>
    <x v="4017"/>
    <x v="92"/>
    <x v="4"/>
    <d v="1899-12-30T14:25:00"/>
    <s v="Near Barki, Russia"/>
    <s v="Private - Kabanov - skydiving"/>
    <s v="-"/>
    <s v="Skydiving"/>
    <x v="2052"/>
    <s v="FLARF-01032"/>
    <n v="831109"/>
    <n v="25"/>
    <n v="23"/>
    <n v="2"/>
    <n v="11"/>
    <n v="9"/>
    <n v="2"/>
    <n v="0"/>
    <s v="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
    <n v="14"/>
    <n v="0.44"/>
    <x v="0"/>
  </r>
  <r>
    <n v="4419"/>
    <x v="4018"/>
    <x v="92"/>
    <x v="4"/>
    <d v="1899-12-30T15:45:00"/>
    <s v="Tamanrasset, Algeria"/>
    <s v="Air Algerie"/>
    <n v="6289"/>
    <s v="Tamanrasset - Algiers"/>
    <x v="2053"/>
    <s v="7T-VEZ"/>
    <s v="22700/885"/>
    <n v="103"/>
    <n v="97"/>
    <n v="6"/>
    <n v="102"/>
    <n v="96"/>
    <n v="6"/>
    <n v="0"/>
    <s v="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
    <n v="1"/>
    <n v="0.99029126213592233"/>
    <x v="1"/>
  </r>
  <r>
    <n v="4420"/>
    <x v="4019"/>
    <x v="92"/>
    <x v="4"/>
    <d v="1899-12-30T12:30:00"/>
    <s v="Mulia, Indonesia"/>
    <s v="PT Air Regional"/>
    <s v="Unknown"/>
    <s v="Mulia - Wamena"/>
    <x v="1196"/>
    <s v="PK-WAY"/>
    <n v="261"/>
    <n v="16"/>
    <n v="14"/>
    <n v="2"/>
    <n v="4"/>
    <n v="2"/>
    <n v="2"/>
    <n v="0"/>
    <s v="Crashed into a 7,000 ft. mountain three minutes after after taking off."/>
    <n v="12"/>
    <n v="0.25"/>
    <x v="2"/>
  </r>
  <r>
    <n v="4421"/>
    <x v="4020"/>
    <x v="92"/>
    <x v="4"/>
    <d v="1899-12-30T15:49:00"/>
    <s v="New Vienna, Iowa"/>
    <s v="Morris Hancock Flying Club - Charter"/>
    <s v="-"/>
    <s v="Aurora, IL - Morris, MN"/>
    <x v="2054"/>
    <s v="N1636W"/>
    <s v="E-348"/>
    <n v="3"/>
    <n v="2"/>
    <n v="1"/>
    <n v="3"/>
    <n v="2"/>
    <n v="1"/>
    <n v="0"/>
    <s v="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
    <n v="0"/>
    <n v="1"/>
    <x v="1"/>
  </r>
  <r>
    <n v="4422"/>
    <x v="4021"/>
    <x v="92"/>
    <x v="4"/>
    <s v="Unknown"/>
    <s v="Near Kinshasa, Congo"/>
    <s v="Ukrainian Cargo Airlines -  Congolese Army Charter"/>
    <s v="Unknown"/>
    <s v="Kinshasa - Lubumbashi"/>
    <x v="2055"/>
    <s v="UR-UCB"/>
    <n v="63467003"/>
    <n v="200"/>
    <s v="NULL"/>
    <s v="NULL"/>
    <n v="129"/>
    <s v="NULL"/>
    <s v="NULL"/>
    <n v="0"/>
    <s v="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
    <n v="71"/>
    <n v="0.64500000000000002"/>
    <x v="0"/>
  </r>
  <r>
    <n v="4423"/>
    <x v="4022"/>
    <x v="92"/>
    <x v="4"/>
    <d v="1899-12-30T04:45:00"/>
    <s v="Near Macka, Turkey"/>
    <s v="Ukranian-Mediterranean Airlines"/>
    <n v="4230"/>
    <s v="Kabul, Afghanistan - Trabzon, Turkey - Zaragoza, Spain"/>
    <x v="2056"/>
    <s v="UR-42352"/>
    <n v="2042181195"/>
    <n v="75"/>
    <n v="62"/>
    <n v="13"/>
    <n v="75"/>
    <n v="62"/>
    <n v="13"/>
    <n v="0"/>
    <s v="The plane struck the side of a steep mountain in heavy fog on its third attempt to land at Trabzon to refuel. The pilot reported not being able to see the runway on the first two attempts.  The aircraft charter was carrying Spanish peacekeeping forces back to Zaragoza. Crew error."/>
    <n v="0"/>
    <n v="1"/>
    <x v="1"/>
  </r>
  <r>
    <n v="4424"/>
    <x v="4023"/>
    <x v="92"/>
    <x v="4"/>
    <d v="1899-12-30T13:30:00"/>
    <s v="Talkeetna, Alaska"/>
    <s v="McKinley Air Service - Air Taxi"/>
    <s v="Unknown"/>
    <s v="Unknown"/>
    <x v="951"/>
    <s v="N70176"/>
    <n v="18502037"/>
    <n v="4"/>
    <n v="3"/>
    <n v="1"/>
    <n v="4"/>
    <n v="3"/>
    <n v="1"/>
    <n v="0"/>
    <s v="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
    <n v="0"/>
    <n v="1"/>
    <x v="1"/>
  </r>
  <r>
    <n v="4425"/>
    <x v="4024"/>
    <x v="92"/>
    <x v="4"/>
    <d v="1899-12-30T15:26:00"/>
    <s v="Milan, Italy"/>
    <s v="Eurojet Italila"/>
    <s v="Unknown"/>
    <s v="Milan - Genoa - Farnborough"/>
    <x v="2057"/>
    <s v="I-ERJC"/>
    <s v="45-093"/>
    <n v="2"/>
    <n v="0"/>
    <n v="2"/>
    <n v="2"/>
    <n v="0"/>
    <n v="2"/>
    <n v="0"/>
    <s v="Shortly after taking off the jet nosed into the ground. Malfunction of the trim tab system."/>
    <n v="0"/>
    <n v="1"/>
    <x v="1"/>
  </r>
  <r>
    <n v="4426"/>
    <x v="4025"/>
    <x v="92"/>
    <x v="4"/>
    <s v="Unknown"/>
    <s v="Near Oiapoque,  Brazil"/>
    <s v="Air Taxi - Marco Zero Air Taxi"/>
    <s v="Unknown"/>
    <s v="Oiapoque - Macapa"/>
    <x v="2058"/>
    <s v="PT-EPH"/>
    <s v="Unknown"/>
    <n v="5"/>
    <n v="4"/>
    <n v="1"/>
    <n v="5"/>
    <n v="4"/>
    <n v="1"/>
    <n v="0"/>
    <s v="Forty miles into it flight the aircraft crashed into the Amazon forest. The aircraft was not certified for IFR flight. Heavy cloud cover existed along the flight route."/>
    <n v="0"/>
    <n v="1"/>
    <x v="1"/>
  </r>
  <r>
    <n v="4427"/>
    <x v="4026"/>
    <x v="92"/>
    <x v="4"/>
    <d v="1899-12-30T19:15:00"/>
    <s v="Christchurch, New Zealand"/>
    <s v="Charter - Air Adventures New Zealand Ltd"/>
    <s v="-"/>
    <s v="Palmerston North - Christchurch"/>
    <x v="2059"/>
    <s v="ZK-NCA"/>
    <s v="31-7405203"/>
    <n v="10"/>
    <n v="9"/>
    <n v="1"/>
    <n v="8"/>
    <n v="7"/>
    <n v="1"/>
    <n v="0"/>
    <s v="The aircraft crashed short of the runway in fog while on approach to Christchurch Airport. The plane crashed two kilometers from the airport, hitting a farm hedge and sliding across a paddock before smashing into a row of trees."/>
    <n v="2"/>
    <n v="0.8"/>
    <x v="1"/>
  </r>
  <r>
    <n v="4428"/>
    <x v="4027"/>
    <x v="92"/>
    <x v="4"/>
    <s v="Unknown"/>
    <s v="Belo Horizonte, Brazil"/>
    <s v="Astro Air Taxi"/>
    <s v="Unknown"/>
    <s v="Unknown"/>
    <x v="2060"/>
    <s v="PT-EHH"/>
    <s v="Unknown"/>
    <n v="4"/>
    <n v="2"/>
    <n v="2"/>
    <n v="4"/>
    <n v="2"/>
    <n v="2"/>
    <n v="0"/>
    <s v="After takeoff, the pilot reported low pressure of oil  in an engine and  decided to return to the airport. The plane made a 270 degree turn in the final approach, stalled  and crashed to the ground."/>
    <n v="0"/>
    <n v="1"/>
    <x v="1"/>
  </r>
  <r>
    <n v="4429"/>
    <x v="4028"/>
    <x v="92"/>
    <x v="4"/>
    <d v="1899-12-30T09:35:00"/>
    <s v="Volcano, Hawaii"/>
    <s v="Paradise Tour Helicopters"/>
    <s v="Unknown"/>
    <s v="Sightseeing"/>
    <x v="2061"/>
    <s v="N4493M"/>
    <s v="570137D"/>
    <n v="4"/>
    <n v="3"/>
    <n v="1"/>
    <n v="4"/>
    <n v="3"/>
    <n v="1"/>
    <n v="0"/>
    <s v="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
    <n v="0"/>
    <n v="1"/>
    <x v="1"/>
  </r>
  <r>
    <n v="4430"/>
    <x v="4029"/>
    <x v="92"/>
    <x v="4"/>
    <d v="1899-12-30T23:55:00"/>
    <s v="Near Brest, France"/>
    <s v="Brit Air"/>
    <n v="5672"/>
    <s v="Nantes - Brest"/>
    <x v="2062"/>
    <s v="F-GRJS"/>
    <n v="7377"/>
    <n v="24"/>
    <n v="21"/>
    <n v="3"/>
    <n v="1"/>
    <n v="0"/>
    <n v="1"/>
    <n v="0"/>
    <s v="The aircraft crashed onto a road and caught fire 1 km from Brest-Guipavas Airport in France's Brittany region, killing the pilot and injuring three others. There were thunderstorms in the area with 800 meters visibility at the time the accident took place."/>
    <n v="23"/>
    <n v="4.1666666666666664E-2"/>
    <x v="2"/>
  </r>
  <r>
    <n v="4431"/>
    <x v="4030"/>
    <x v="92"/>
    <x v="4"/>
    <d v="1899-12-30T13:00:00"/>
    <s v="Near Rudshour, Iran"/>
    <s v="Military - Islamic Republic of Iran Air Force"/>
    <s v="Unknown"/>
    <s v="Unknown"/>
    <x v="1298"/>
    <s v="Unknown"/>
    <s v="Unknown"/>
    <n v="7"/>
    <n v="0"/>
    <n v="7"/>
    <n v="7"/>
    <n v="0"/>
    <n v="7"/>
    <n v="0"/>
    <s v="Nose dived into the ground shortly after takeoff near the Shur River."/>
    <n v="0"/>
    <n v="1"/>
    <x v="1"/>
  </r>
  <r>
    <n v="4432"/>
    <x v="4030"/>
    <x v="92"/>
    <x v="4"/>
    <d v="1899-12-30T15:50:00"/>
    <s v="Anchor Point, Alaska"/>
    <s v="Hallo Bay Air - Air Taxi"/>
    <s v="Unknown"/>
    <s v="Hallo Bay, AK - Homer, AK"/>
    <x v="2063"/>
    <s v="N91303"/>
    <n v="18052039"/>
    <n v="3"/>
    <n v="2"/>
    <n v="1"/>
    <n v="3"/>
    <n v="2"/>
    <n v="1"/>
    <n v="0"/>
    <s v="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
    <n v="0"/>
    <n v="1"/>
    <x v="1"/>
  </r>
  <r>
    <n v="4433"/>
    <x v="4031"/>
    <x v="92"/>
    <x v="4"/>
    <d v="1899-12-30T19:30:00"/>
    <s v="Near Rooisand Desert Ranch, Namibia"/>
    <s v="Comvac Aviation"/>
    <s v="Unknown"/>
    <s v="Unknown"/>
    <x v="1985"/>
    <s v="V5-CAS"/>
    <s v="208B-0549"/>
    <n v="4"/>
    <n v="3"/>
    <n v="1"/>
    <n v="4"/>
    <n v="3"/>
    <n v="1"/>
    <n v="0"/>
    <s v="Shortly after taking off the air ambulance hit a hill side in the Gamsberg Mountains."/>
    <n v="0"/>
    <n v="1"/>
    <x v="1"/>
  </r>
  <r>
    <n v="4434"/>
    <x v="4032"/>
    <x v="92"/>
    <x v="4"/>
    <d v="1899-12-30T10:50:00"/>
    <s v="Blida, Algeria"/>
    <s v="Military - Algerian Air Force"/>
    <s v="Unknown"/>
    <s v="Training"/>
    <x v="1444"/>
    <s v="7T-WHQ"/>
    <n v="4926"/>
    <n v="4"/>
    <n v="0"/>
    <n v="4"/>
    <n v="4"/>
    <n v="0"/>
    <n v="4"/>
    <n v="11"/>
    <s v="The military plane crashed into houses in the Beni Mered neighborhood, west of the Algerian capital, shortly after takeoff from the Boufarik military airport, 25 miles southwest of the capital. Witnesses reported seeing an engine on fire prior to the crash."/>
    <n v="0"/>
    <n v="1"/>
    <x v="1"/>
  </r>
  <r>
    <n v="4435"/>
    <x v="4033"/>
    <x v="92"/>
    <x v="4"/>
    <d v="1899-12-30T19:57:00"/>
    <s v="Belem, Para, Brazil"/>
    <s v="Heringer Air Taxi"/>
    <s v="Unknown"/>
    <s v="Unknown"/>
    <x v="2064"/>
    <s v="PT-LFX"/>
    <s v="Unknown"/>
    <n v="4"/>
    <n v="2"/>
    <n v="2"/>
    <n v="4"/>
    <n v="2"/>
    <n v="2"/>
    <n v="0"/>
    <s v="The plane crashed on final approach to Belem Airport during a strong  thunderstorm."/>
    <n v="0"/>
    <n v="1"/>
    <x v="1"/>
  </r>
  <r>
    <n v="4436"/>
    <x v="4034"/>
    <x v="92"/>
    <x v="4"/>
    <d v="1899-12-30T11:30:00"/>
    <s v="MacaÃ©, Rio de Janeiro, Brazil"/>
    <s v="BHS - Brazilian Helicopter Services"/>
    <s v="Unknown"/>
    <s v="Unknown"/>
    <x v="2065"/>
    <s v="PT-YVM"/>
    <s v="Unknown"/>
    <n v="5"/>
    <n v="3"/>
    <n v="2"/>
    <n v="5"/>
    <n v="3"/>
    <n v="2"/>
    <n v="0"/>
    <s v="The helicopter  was landing on the helideck of the ship Toisa Mariner, when the tail rotor collided with the flagpole on the ship. The pilot lost the control and the helicopter crashed into the  sea."/>
    <n v="0"/>
    <n v="1"/>
    <x v="1"/>
  </r>
  <r>
    <n v="4437"/>
    <x v="4035"/>
    <x v="92"/>
    <x v="4"/>
    <d v="1899-12-30T04:00:00"/>
    <s v="Port Sudan, Sudan"/>
    <s v="Sudan Airways"/>
    <n v="139"/>
    <s v="Port Sudan - Khartoum"/>
    <x v="2066"/>
    <s v="ST-AFK"/>
    <s v="21169/429"/>
    <n v="117"/>
    <n v="106"/>
    <n v="11"/>
    <n v="117"/>
    <n v="106"/>
    <n v="11"/>
    <n v="0"/>
    <s v="The plane's crew reported technical difficulties (engine failure) 10 minutes after taking off from Port Sudan Airport. The plane crashed into a hillside, 3 miles from the airport as the crew tried to return and make emergency landing. A three-year-old boy was the only survivor."/>
    <n v="0"/>
    <n v="1"/>
    <x v="1"/>
  </r>
  <r>
    <n v="4438"/>
    <x v="4036"/>
    <x v="92"/>
    <x v="4"/>
    <d v="1899-12-30T12:15:00"/>
    <s v="Near San Cristobal, Venezuela"/>
    <s v="Ruiban &amp; Duran Compania AÃ©rea"/>
    <s v="Unknown"/>
    <s v="La Carlota - San Cristobal"/>
    <x v="1771"/>
    <s v="YV-1060CP"/>
    <n v="902505"/>
    <n v="10"/>
    <n v="8"/>
    <n v="2"/>
    <n v="4"/>
    <n v="4"/>
    <n v="0"/>
    <n v="0"/>
    <s v="Crashed atop a hill in Chorro del Indio National Park during a descent to San Cristobal."/>
    <n v="6"/>
    <n v="0.4"/>
    <x v="0"/>
  </r>
  <r>
    <n v="4439"/>
    <x v="4036"/>
    <x v="92"/>
    <x v="4"/>
    <d v="1899-12-30T15:30:00"/>
    <s v="Off Treasure Cay, Bahamas"/>
    <s v="Air Sunshine"/>
    <s v="Unknown"/>
    <s v="Ft. Lauderdale, FL - Treasure Cay"/>
    <x v="1522"/>
    <s v="N314AB"/>
    <s v="402C0413"/>
    <n v="10"/>
    <n v="9"/>
    <n v="1"/>
    <n v="2"/>
    <n v="2"/>
    <n v="0"/>
    <n v="0"/>
    <s v="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
    <n v="8"/>
    <n v="0.2"/>
    <x v="2"/>
  </r>
  <r>
    <n v="4440"/>
    <x v="4037"/>
    <x v="92"/>
    <x v="4"/>
    <d v="1899-12-30T18:00:00"/>
    <s v="Mount Kenya, Kenya"/>
    <s v="Ryan Blake Air Charter"/>
    <s v="-"/>
    <s v="Nairobi - Samburu National Park"/>
    <x v="1887"/>
    <s v="ZS-OYI"/>
    <s v="TC-349"/>
    <n v="14"/>
    <n v="12"/>
    <n v="2"/>
    <n v="14"/>
    <n v="12"/>
    <n v="2"/>
    <n v="0"/>
    <s v="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
    <n v="0"/>
    <n v="1"/>
    <x v="1"/>
  </r>
  <r>
    <n v="4441"/>
    <x v="4038"/>
    <x v="92"/>
    <x v="4"/>
    <d v="1899-12-30T08:53:00"/>
    <s v="Waialeale,Kauai, Hawaii"/>
    <s v="Jack Harter Helicopters"/>
    <s v="Unknown"/>
    <s v="Sightseeing"/>
    <x v="1226"/>
    <s v="N37741"/>
    <n v="1695"/>
    <n v="5"/>
    <n v="4"/>
    <n v="1"/>
    <n v="5"/>
    <n v="4"/>
    <n v="1"/>
    <n v="0"/>
    <s v="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
    <n v="0"/>
    <n v="1"/>
    <x v="1"/>
  </r>
  <r>
    <n v="4442"/>
    <x v="4039"/>
    <x v="92"/>
    <x v="4"/>
    <d v="1899-12-30T06:39:00"/>
    <s v="Groton, Connecticut"/>
    <s v="Jet Pro"/>
    <s v="Unknown"/>
    <s v="Farmingdale - Groton"/>
    <x v="2067"/>
    <s v="N135PT"/>
    <s v="35A-509"/>
    <n v="2"/>
    <n v="0"/>
    <n v="2"/>
    <n v="2"/>
    <n v="0"/>
    <n v="2"/>
    <n v="0"/>
    <s v="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
    <n v="0"/>
    <n v="1"/>
    <x v="1"/>
  </r>
  <r>
    <n v="4443"/>
    <x v="4040"/>
    <x v="92"/>
    <x v="4"/>
    <d v="1899-12-30T09:32:00"/>
    <s v="Tocomita, Venezuela"/>
    <s v="Servicios Aeronauticos Sucre (SASCA)"/>
    <s v="Unknown"/>
    <s v="Porlamar - Canaima"/>
    <x v="1985"/>
    <s v="YV-1069C"/>
    <s v="208B-0713"/>
    <n v="16"/>
    <n v="14"/>
    <n v="2"/>
    <n v="1"/>
    <n v="0"/>
    <n v="1"/>
    <n v="0"/>
    <s v="The pilot decided to divert to Tocomita after experiencing engine problems but crashed into trees 100 meters short of the runway."/>
    <n v="15"/>
    <n v="6.25E-2"/>
    <x v="2"/>
  </r>
  <r>
    <n v="4444"/>
    <x v="4041"/>
    <x v="92"/>
    <x v="4"/>
    <d v="1899-12-30T12:49:00"/>
    <s v="Near Barrow, Alaska"/>
    <s v="Hageland Aviation Services Inc."/>
    <s v="Unknown"/>
    <s v="Barrow - Wainwright"/>
    <x v="2068"/>
    <s v="N6591L"/>
    <s v="Unknown"/>
    <n v="2"/>
    <n v="1"/>
    <n v="1"/>
    <n v="2"/>
    <n v="1"/>
    <n v="1"/>
    <n v="0"/>
    <s v="The cargo plane crashed into the ocean 30.5 miles southwest of Barrow, Alaska. While some wreckage was recovered the pilot and passenger were never recovered."/>
    <n v="0"/>
    <n v="1"/>
    <x v="1"/>
  </r>
  <r>
    <n v="4445"/>
    <x v="4042"/>
    <x v="92"/>
    <x v="4"/>
    <d v="1899-12-30T13:05:00"/>
    <s v="Kamchatka Peninsula, Russia"/>
    <s v="Khalatyrka"/>
    <s v="Unknown"/>
    <s v="Kamchatka - Kuril Islands"/>
    <x v="2023"/>
    <s v="Unknown"/>
    <s v="Unknown"/>
    <n v="20"/>
    <n v="19"/>
    <n v="1"/>
    <n v="20"/>
    <n v="19"/>
    <n v="1"/>
    <n v="0"/>
    <s v="The helicopter was flying at a 13-meter height when the pilot pulled up its nose in an attempt to avoid a close obstacle. The maneuver caused the helicopter's rotor blades to swing back, slicing its tail, causing the crash. Sakhalin Governor, Igor Farkhutdinov, was among the casualties."/>
    <n v="0"/>
    <n v="1"/>
    <x v="1"/>
  </r>
  <r>
    <n v="4446"/>
    <x v="4043"/>
    <x v="92"/>
    <x v="4"/>
    <d v="1899-12-30T14:00:00"/>
    <s v="Cap Haitien, Haiti"/>
    <s v="Tropical Airways"/>
    <n v="1301"/>
    <s v="Cap Haitien - Port au Paix"/>
    <x v="2069"/>
    <s v="HH-TAD"/>
    <n v="861702"/>
    <n v="21"/>
    <n v="19"/>
    <n v="2"/>
    <n v="21"/>
    <n v="19"/>
    <n v="2"/>
    <n v="0"/>
    <s v="The plane crashed shortly after taking off from Cap Haitien Airport. Witnesses reported seeing smoke coming out of the back of the aircraft. The plane then nose dived into a sugarcane field and exploded."/>
    <n v="0"/>
    <n v="1"/>
    <x v="1"/>
  </r>
  <r>
    <n v="4447"/>
    <x v="4044"/>
    <x v="92"/>
    <x v="4"/>
    <d v="1899-12-30T15:38:00"/>
    <s v="Off Hyannis, Massachusetts"/>
    <s v="US Airways Express"/>
    <n v="9446"/>
    <s v="Unknown"/>
    <x v="2070"/>
    <s v="N240CJ"/>
    <n v="24637"/>
    <n v="2"/>
    <n v="0"/>
    <n v="2"/>
    <n v="2"/>
    <n v="0"/>
    <n v="2"/>
    <n v="0"/>
    <s v="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
    <n v="0"/>
    <n v="1"/>
    <x v="1"/>
  </r>
  <r>
    <n v="4448"/>
    <x v="4045"/>
    <x v="92"/>
    <x v="4"/>
    <d v="1899-12-30T20:30:00"/>
    <s v="Near Summer Beaver, Canada"/>
    <s v="Wasaya Airways"/>
    <n v="125"/>
    <s v="Pickle Lake - Summer Beaver"/>
    <x v="1985"/>
    <s v="C-FKAB"/>
    <s v="208B-0305"/>
    <n v="8"/>
    <n v="7"/>
    <n v="1"/>
    <n v="8"/>
    <n v="7"/>
    <n v="1"/>
    <n v="0"/>
    <s v="The aircraft crashed ten kilometers northwest of Summer Beaver one hour after leaving Pickle Lake Airport. Thunderstorm activity was reported along the route."/>
    <n v="0"/>
    <n v="1"/>
    <x v="1"/>
  </r>
  <r>
    <n v="4449"/>
    <x v="4046"/>
    <x v="92"/>
    <x v="4"/>
    <d v="1899-12-30T20:00:00"/>
    <s v="Near La Quemada, Mexico"/>
    <s v="Military - Mexican Air Force"/>
    <s v="Unknown"/>
    <s v="Mexicali - Santa Lucia"/>
    <x v="805"/>
    <n v="3603"/>
    <n v="3025"/>
    <n v="6"/>
    <n v="0"/>
    <n v="6"/>
    <n v="6"/>
    <n v="0"/>
    <n v="6"/>
    <n v="0"/>
    <s v="Crashed while en route"/>
    <n v="0"/>
    <n v="1"/>
    <x v="1"/>
  </r>
  <r>
    <n v="4450"/>
    <x v="4046"/>
    <x v="92"/>
    <x v="4"/>
    <d v="1899-12-30T17:10:00"/>
    <s v="Del Rio, Texas"/>
    <s v="Ameristar Jet Charter"/>
    <n v="982"/>
    <s v="El Paso - Del Rio"/>
    <x v="2007"/>
    <s v="N666TW"/>
    <s v="25-116"/>
    <n v="2"/>
    <n v="0"/>
    <n v="2"/>
    <n v="1"/>
    <n v="0"/>
    <n v="1"/>
    <n v="0"/>
    <s v="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
    <n v="1"/>
    <n v="0.5"/>
    <x v="0"/>
  </r>
  <r>
    <n v="4451"/>
    <x v="4047"/>
    <x v="92"/>
    <x v="4"/>
    <d v="1899-12-30T19:55:00"/>
    <s v="Near Meadview, Arizona"/>
    <s v="Sundance Helicopters"/>
    <s v="Unknown"/>
    <s v="Sightseeing"/>
    <x v="2071"/>
    <s v="N270SH"/>
    <n v="1864"/>
    <n v="7"/>
    <n v="6"/>
    <n v="1"/>
    <n v="7"/>
    <n v="6"/>
    <n v="1"/>
    <n v="0"/>
    <s v="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
    <n v="0"/>
    <n v="1"/>
    <x v="1"/>
  </r>
  <r>
    <n v="4452"/>
    <x v="4048"/>
    <x v="92"/>
    <x v="4"/>
    <d v="1899-12-30T18:57:00"/>
    <s v="GaspÃ©, Quebec, Canada"/>
    <s v="Les Ailes de GaspÃ© Inc."/>
    <s v="Unknown"/>
    <s v="GaspÃ© - ÃŽles-de-la-Madeleine"/>
    <x v="2072"/>
    <s v="C-FARL"/>
    <n v="31306"/>
    <n v="3"/>
    <n v="2"/>
    <n v="1"/>
    <n v="3"/>
    <n v="2"/>
    <n v="1"/>
    <n v="0"/>
    <s v="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
    <n v="0"/>
    <n v="1"/>
    <x v="1"/>
  </r>
  <r>
    <n v="4453"/>
    <x v="4049"/>
    <x v="92"/>
    <x v="4"/>
    <s v="Unknown"/>
    <s v="Sao Gabriel de Cachoeria"/>
    <s v="Air taxi - Rumo Notre Air Taxi"/>
    <s v="Unknown"/>
    <s v="Sao Gabriel de Cachoeria - Yauarete"/>
    <x v="2058"/>
    <s v="PT-EBK"/>
    <s v="Unknown"/>
    <n v="4"/>
    <n v="3"/>
    <n v="1"/>
    <n v="4"/>
    <n v="3"/>
    <n v="1"/>
    <n v="0"/>
    <s v="The plane disappeared shortly after taking off. Wreckage was found at  2 miles south of Gabrielâ€™s runaway,  in the Amazon forest, 2 days later.  Mechanical failure after the takoff.  Remote area without ATC or radar."/>
    <n v="0"/>
    <n v="1"/>
    <x v="1"/>
  </r>
  <r>
    <n v="4454"/>
    <x v="4049"/>
    <x v="92"/>
    <x v="4"/>
    <d v="1899-12-30T21:25:00"/>
    <s v="Off Waikanae, New Zealand"/>
    <s v="Air Freight New Zealand"/>
    <n v="642"/>
    <s v="Christchurch - Palmerston North"/>
    <x v="2073"/>
    <s v="ZK-KFU"/>
    <n v="17"/>
    <n v="2"/>
    <n v="0"/>
    <n v="2"/>
    <n v="2"/>
    <n v="0"/>
    <n v="2"/>
    <n v="0"/>
    <s v="While at crusing altitude, one hour after taking off, the aircraft suddenly exploded in midair for unknown reasons."/>
    <n v="0"/>
    <n v="1"/>
    <x v="1"/>
  </r>
  <r>
    <n v="4455"/>
    <x v="4050"/>
    <x v="92"/>
    <x v="4"/>
    <d v="1899-12-30T16:00:00"/>
    <s v="Uriman, Venezuela"/>
    <s v="Transmandu"/>
    <s v="Unknown"/>
    <s v="Unknown"/>
    <x v="1401"/>
    <s v="YV-1128C"/>
    <s v="1G238-12"/>
    <n v="2"/>
    <n v="0"/>
    <n v="2"/>
    <n v="1"/>
    <n v="0"/>
    <n v="1"/>
    <n v="0"/>
    <s v="Crashed into the Caroni River shortly after taking off."/>
    <n v="1"/>
    <n v="0.5"/>
    <x v="0"/>
  </r>
  <r>
    <n v="4456"/>
    <x v="4051"/>
    <x v="92"/>
    <x v="4"/>
    <d v="1899-12-30T04:31:00"/>
    <s v="Buenos Aires, Argentina"/>
    <s v="CATA Linea Aerea"/>
    <n v="760"/>
    <s v="Unknown"/>
    <x v="2074"/>
    <s v="LV-MGV"/>
    <n v="567"/>
    <n v="5"/>
    <n v="0"/>
    <n v="5"/>
    <n v="5"/>
    <n v="0"/>
    <n v="5"/>
    <n v="0"/>
    <s v="Three minutes after taking off from Buenos Aires Airport the crew reported a technical problem and asked to turn around. They were cleared to land on Runway 17 but crashed 30 km southwest of Buenos Aires."/>
    <n v="0"/>
    <n v="1"/>
    <x v="1"/>
  </r>
  <r>
    <n v="4457"/>
    <x v="4052"/>
    <x v="92"/>
    <x v="4"/>
    <d v="1899-12-30T08:08:00"/>
    <s v="Tampico, Mexico"/>
    <s v="Aeroextra"/>
    <s v="Unknown"/>
    <s v="Tampico - Las Potrancas Ranch Airstrip"/>
    <x v="2075"/>
    <s v="XA-ISH"/>
    <n v="258036"/>
    <n v="3"/>
    <n v="0"/>
    <n v="3"/>
    <n v="3"/>
    <n v="0"/>
    <n v="3"/>
    <n v="0"/>
    <s v="While on approach on a positioning flight,  in poor weather, the crew decided to go-around turned left and struck a 1,600 ft. hill."/>
    <n v="0"/>
    <n v="1"/>
    <x v="1"/>
  </r>
  <r>
    <n v="4458"/>
    <x v="4053"/>
    <x v="92"/>
    <x v="4"/>
    <d v="1899-12-30T08:51:00"/>
    <s v="Cody, Wyoming"/>
    <s v="FedEx"/>
    <n v="8773"/>
    <s v="Casper - Cody"/>
    <x v="1670"/>
    <s v="N791FE"/>
    <s v="208-0289"/>
    <n v="1"/>
    <n v="0"/>
    <n v="1"/>
    <n v="1"/>
    <n v="0"/>
    <n v="1"/>
    <n v="0"/>
    <s v="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
    <n v="0"/>
    <n v="1"/>
    <x v="1"/>
  </r>
  <r>
    <n v="4459"/>
    <x v="4054"/>
    <x v="92"/>
    <x v="4"/>
    <d v="1899-12-30T09:00:00"/>
    <s v="Near Hasi, Iraq"/>
    <s v="Military - U.S. Army"/>
    <s v="-"/>
    <s v="Fallujah - Baghdad"/>
    <x v="2076"/>
    <s v="Unknown"/>
    <s v="Unknown"/>
    <n v="36"/>
    <n v="34"/>
    <n v="2"/>
    <n v="15"/>
    <n v="15"/>
    <n v="0"/>
    <n v="0"/>
    <s v="The helicopter crashed into a corn field while ferrying troops from Fallujah to Baghdad. The CH-47 helicopter belonged to the 12th Aviation Brigade. The helicopter was shot down by a shoulder-fired missile."/>
    <n v="21"/>
    <n v="0.41666666666666669"/>
    <x v="0"/>
  </r>
  <r>
    <n v="4460"/>
    <x v="4055"/>
    <x v="92"/>
    <x v="4"/>
    <d v="1899-12-30T10:26:00"/>
    <s v="200 miles NE of Derby, Australia"/>
    <s v="Heliwork WA Pty Ltd. - Air Taxi"/>
    <s v="Unknown"/>
    <s v="Unknown"/>
    <x v="2077"/>
    <s v="VH-YKL"/>
    <n v="170"/>
    <n v="4"/>
    <n v="3"/>
    <n v="1"/>
    <n v="4"/>
    <n v="3"/>
    <n v="1"/>
    <n v="0"/>
    <s v="The helicopter crashed in the remote outback after colliding with terrain. The helicopter was destroyed in the post crash fire. Visual meteorological conditions prevailed at the time of the accident."/>
    <n v="0"/>
    <n v="1"/>
    <x v="1"/>
  </r>
  <r>
    <n v="4461"/>
    <x v="4055"/>
    <x v="92"/>
    <x v="4"/>
    <d v="1899-12-30T10:59:00"/>
    <s v="Near Ogle, Guyana"/>
    <s v="Trans Guyana Airways"/>
    <s v="Unknown"/>
    <s v="Ogle, Guyana - Ekereku, Guyana"/>
    <x v="2078"/>
    <s v="8R-GMC"/>
    <s v="SH-1959"/>
    <n v="7"/>
    <n v="4"/>
    <n v="3"/>
    <n v="2"/>
    <n v="1"/>
    <n v="1"/>
    <n v="0"/>
    <s v="The right engine failed one minute after takeoff. The pilot declared an emergency and made a forced landing in a cane field. The plane hit a ridge and slid approximately 100 ft. before coming to rest. A flight attendant and one passenger received fatal injuries."/>
    <n v="5"/>
    <n v="0.2857142857142857"/>
    <x v="2"/>
  </r>
  <r>
    <n v="4462"/>
    <x v="4056"/>
    <x v="92"/>
    <x v="4"/>
    <d v="1899-12-30T18:30:00"/>
    <s v="Mosul, Iraq"/>
    <s v="Military - U.S. Army"/>
    <s v="Unknown"/>
    <s v="Unknown"/>
    <x v="2079"/>
    <s v="? / ?"/>
    <s v="Unknown"/>
    <n v="22"/>
    <n v="18"/>
    <n v="4"/>
    <n v="17"/>
    <n v="13"/>
    <n v="4"/>
    <n v="0"/>
    <s v="A midair collision occurred between two Black Hawk helicopters. One helicopter was climbing to avoid gunfire when it's rotor struck the other."/>
    <n v="5"/>
    <n v="0.77272727272727271"/>
    <x v="1"/>
  </r>
  <r>
    <n v="4463"/>
    <x v="4057"/>
    <x v="92"/>
    <x v="4"/>
    <d v="1899-12-30T08:01:00"/>
    <s v="Spokane, Washington"/>
    <s v="Ameriflight"/>
    <n v="1996"/>
    <s v="Seattle - Spokane"/>
    <x v="2080"/>
    <s v="N439AF"/>
    <s v="AT-439B"/>
    <n v="1"/>
    <n v="0"/>
    <n v="1"/>
    <n v="1"/>
    <n v="0"/>
    <n v="1"/>
    <n v="0"/>
    <s v="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
    <n v="0"/>
    <n v="1"/>
    <x v="1"/>
  </r>
  <r>
    <n v="4464"/>
    <x v="4057"/>
    <x v="92"/>
    <x v="4"/>
    <d v="1899-12-30T15:20:00"/>
    <s v="Boende, Congo"/>
    <s v="Military - Congolese Air Force"/>
    <s v="Unknown"/>
    <s v="Boende, Congo - Kinshasa, Congo"/>
    <x v="1195"/>
    <s v="9T-TAD"/>
    <s v="Unknown"/>
    <n v="24"/>
    <n v="18"/>
    <n v="6"/>
    <n v="20"/>
    <n v="14"/>
    <n v="6"/>
    <n v="13"/>
    <s v="The aircraft suffered a blowout of a tire while taking off for the second time after aborting the first takeoff. The pilot was not able to stop the aircraft and overran the runway and crashed into a small market square"/>
    <n v="4"/>
    <n v="0.83333333333333337"/>
    <x v="1"/>
  </r>
  <r>
    <n v="4465"/>
    <x v="4058"/>
    <x v="92"/>
    <x v="4"/>
    <d v="1899-12-30T12:00:00"/>
    <s v="Jellicoe, Ontario, Canada"/>
    <s v="Huron Air"/>
    <s v="Unknown"/>
    <s v="Unknown"/>
    <x v="2081"/>
    <s v="C-GOFF"/>
    <n v="65"/>
    <n v="3"/>
    <n v="2"/>
    <n v="1"/>
    <n v="2"/>
    <n v="1"/>
    <n v="1"/>
    <n v="0"/>
    <s v="Crashed into Blackwater Lake shortly after taking off from a remote landing strip."/>
    <n v="1"/>
    <n v="0.66666666666666663"/>
    <x v="1"/>
  </r>
  <r>
    <n v="4466"/>
    <x v="4059"/>
    <x v="92"/>
    <x v="4"/>
    <d v="1899-12-30T22:00:00"/>
    <s v="Mitu, Colombia"/>
    <s v="LÃ­neas AÃ©reas Suramericanas"/>
    <s v="Unknown"/>
    <s v="El Yopal - Mitu"/>
    <x v="2082"/>
    <s v="HK-4246X"/>
    <n v="47062"/>
    <n v="3"/>
    <n v="0"/>
    <n v="3"/>
    <n v="3"/>
    <n v="0"/>
    <n v="3"/>
    <n v="0"/>
    <s v="While on approach to , the cargo plane obtained the authorization to descend from 23,000 to 7,000 ft. but  disappeared from radar screen when it struck a mountain. Wreckage was found 5 days later."/>
    <n v="0"/>
    <n v="1"/>
    <x v="1"/>
  </r>
  <r>
    <n v="4467"/>
    <x v="4060"/>
    <x v="92"/>
    <x v="4"/>
    <d v="1899-12-30T09:13:00"/>
    <s v="Helendale, California"/>
    <s v="Pavair"/>
    <s v="Unknown"/>
    <s v="Chino,CA - Sun Valley, ID"/>
    <x v="1329"/>
    <s v="N600XJ"/>
    <s v="24B-190"/>
    <n v="2"/>
    <n v="0"/>
    <n v="2"/>
    <n v="2"/>
    <n v="0"/>
    <n v="2"/>
    <n v="0"/>
    <s v="While en route and cruising at 24,000 ft. the crew of the cargo plane declared an emergency and tried to return to Chino Airport but the aircraft suddenly nose dived and crashed into the Mojave Desert. A loss of airplane control for undetermined reasons."/>
    <n v="0"/>
    <n v="1"/>
    <x v="1"/>
  </r>
  <r>
    <n v="4468"/>
    <x v="4061"/>
    <x v="92"/>
    <x v="4"/>
    <d v="1899-12-30T14:55:00"/>
    <s v="Cotonou, Benin"/>
    <s v="Union des Transports Aeriens de Guinee"/>
    <n v="141"/>
    <s v="Conakry, Guinea - Cotonou, Benin - Beirut, Lebanon"/>
    <x v="2083"/>
    <s v="3X-GDO"/>
    <s v="21370/1276"/>
    <n v="161"/>
    <n v="151"/>
    <n v="10"/>
    <n v="140"/>
    <n v="132"/>
    <n v="8"/>
    <n v="0"/>
    <s v="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
    <n v="21"/>
    <n v="0.86956521739130432"/>
    <x v="1"/>
  </r>
  <r>
    <n v="4469"/>
    <x v="4062"/>
    <x v="93"/>
    <x v="4"/>
    <d v="1899-12-30T04:44:00"/>
    <s v="Off Sharm el Sheikh, Egypt"/>
    <s v="Flash Air"/>
    <n v="604"/>
    <s v="Sharm el Sheikh, Egypt - Cairo, Egypt"/>
    <x v="2016"/>
    <s v="SU-ZCF"/>
    <s v="26283/2383"/>
    <n v="148"/>
    <n v="135"/>
    <n v="13"/>
    <n v="148"/>
    <n v="135"/>
    <n v="13"/>
    <n v="0"/>
    <s v="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
    <n v="0"/>
    <n v="1"/>
    <x v="1"/>
  </r>
  <r>
    <n v="4470"/>
    <x v="4063"/>
    <x v="93"/>
    <x v="4"/>
    <d v="1899-12-30T19:40:00"/>
    <s v="Tashkent, Uzbekistan"/>
    <s v="Uzbekistan Airways"/>
    <n v="1154"/>
    <s v="Termez - Tashkent"/>
    <x v="1146"/>
    <s v="UK-87985"/>
    <n v="9540844"/>
    <n v="37"/>
    <n v="32"/>
    <n v="5"/>
    <n v="37"/>
    <n v="32"/>
    <n v="5"/>
    <n v="0"/>
    <s v="Crashed while attempting to land in heavy fog. The aircraft struck a stanchion of approach lights and flipped over, hitting the outside of a wall surrounding the landing area. Crew error."/>
    <n v="0"/>
    <n v="1"/>
    <x v="1"/>
  </r>
  <r>
    <n v="4471"/>
    <x v="4064"/>
    <x v="93"/>
    <x v="4"/>
    <d v="1899-12-30T08:01:00"/>
    <s v="Bitonja, Bosnia-Herzegovina"/>
    <s v="Military - Government of Macedonia"/>
    <s v="Unknown"/>
    <s v="Skopje - Mostar"/>
    <x v="1416"/>
    <s v="Z3-BAB"/>
    <s v="BB-652"/>
    <n v="9"/>
    <n v="7"/>
    <n v="2"/>
    <n v="9"/>
    <n v="7"/>
    <n v="2"/>
    <n v="0"/>
    <s v="The twin engine aircraft crashed in the southern mountains of Bosnia in poor weather conditions, minutes away from landing at Mostar. Macedonian president, Boris Trajkovski, 47, killed along with 6 aids. Pilot error. The two-man crew misinterpreted crucial flight data in stormy weather."/>
    <n v="0"/>
    <n v="1"/>
    <x v="1"/>
  </r>
  <r>
    <n v="4472"/>
    <x v="4065"/>
    <x v="93"/>
    <x v="4"/>
    <d v="1899-12-30T11:40:00"/>
    <s v="Sharjah, United Arab Emirates"/>
    <s v="Kish Airlines"/>
    <n v="1770"/>
    <s v="Kish Island - Sharjah"/>
    <x v="2084"/>
    <s v="EP-LCA"/>
    <n v="20273"/>
    <n v="46"/>
    <n v="40"/>
    <n v="6"/>
    <n v="43"/>
    <n v="37"/>
    <n v="6"/>
    <n v="0"/>
    <s v="The aircraft crashed on approach, 2 miles short of the runway while attempting an emergency landing at Sharjah. The plane crashed midway between two residential compounds. The flight data recorder showed that the two engines went into reverse 10 seconds before the accident."/>
    <n v="3"/>
    <n v="0.93478260869565222"/>
    <x v="1"/>
  </r>
  <r>
    <n v="4473"/>
    <x v="4066"/>
    <x v="93"/>
    <x v="4"/>
    <d v="1899-12-30T09:40:00"/>
    <s v="Bakou, Azerbaijan _x0009_ Bakou, Azerbaijan"/>
    <s v="Azov Avia Airlines"/>
    <s v="Unknown"/>
    <s v="Ankara - Baku - Kabul"/>
    <x v="1903"/>
    <s v="UR-ZVA"/>
    <n v="63468036"/>
    <n v="7"/>
    <n v="0"/>
    <n v="7"/>
    <n v="3"/>
    <n v="0"/>
    <n v="3"/>
    <n v="0"/>
    <s v="Shortly after taking off and climbing to about 150 feet, the aircraft pitch down and crashed into a field 4 km from the airport."/>
    <n v="4"/>
    <n v="0.42857142857142855"/>
    <x v="0"/>
  </r>
  <r>
    <n v="4474"/>
    <x v="4067"/>
    <x v="93"/>
    <x v="4"/>
    <d v="1899-12-30T04:01:00"/>
    <s v="Tonopah, Nevada"/>
    <s v="Military - United States Air Force"/>
    <s v="Unknown"/>
    <s v="Unknown"/>
    <x v="1591"/>
    <s v="N27RA"/>
    <s v="UB-37"/>
    <n v="5"/>
    <n v="4"/>
    <n v="1"/>
    <n v="5"/>
    <n v="4"/>
    <n v="1"/>
    <n v="0"/>
    <s v="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
    <n v="0"/>
    <n v="1"/>
    <x v="1"/>
  </r>
  <r>
    <n v="4475"/>
    <x v="4068"/>
    <x v="93"/>
    <x v="4"/>
    <d v="1899-12-30T02:20:00"/>
    <s v="Pyote, Texas"/>
    <s v="Air Ambulance - Med-Trans Corp."/>
    <s v="Unknown"/>
    <s v="Odessa, TX - Lubbock, TX"/>
    <x v="2085"/>
    <s v="N502MT"/>
    <n v="53549"/>
    <n v="5"/>
    <n v="4"/>
    <n v="1"/>
    <n v="4"/>
    <n v="3"/>
    <n v="1"/>
    <n v="0"/>
    <s v="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
    <n v="1"/>
    <n v="0.8"/>
    <x v="1"/>
  </r>
  <r>
    <n v="4476"/>
    <x v="4069"/>
    <x v="93"/>
    <x v="4"/>
    <d v="1899-12-30T16:00:00"/>
    <s v="Near Milpillas, Mexico"/>
    <s v="Procuradoria General de la Republica"/>
    <s v="Unknown"/>
    <s v="Ciudad Juarez - Mexico City"/>
    <x v="2086"/>
    <s v="  XC-JEH"/>
    <n v="11678"/>
    <n v="7"/>
    <n v="5"/>
    <n v="2"/>
    <n v="7"/>
    <n v="5"/>
    <n v="2"/>
    <n v="0"/>
    <s v="The aircraft crashed and was destroyed following a loss of control while en route at cruise altitude at 23,000 ft. after encountering unfavorable weather conditions."/>
    <n v="0"/>
    <n v="1"/>
    <x v="1"/>
  </r>
  <r>
    <n v="4477"/>
    <x v="4070"/>
    <x v="93"/>
    <x v="4"/>
    <d v="1899-12-30T13:00:00"/>
    <s v="Carepa, Colombia"/>
    <s v="Aerotransportes Petroleros"/>
    <s v="Unknown"/>
    <s v="Bogota - Carepa"/>
    <x v="2087"/>
    <s v="HK-4275"/>
    <s v="AC-676"/>
    <n v="7"/>
    <n v="5"/>
    <n v="2"/>
    <n v="3"/>
    <n v="1"/>
    <n v="2"/>
    <n v="0"/>
    <s v="While on approach the plane hit the ground 300 ft. short of the runway."/>
    <n v="4"/>
    <n v="0.42857142857142855"/>
    <x v="0"/>
  </r>
  <r>
    <n v="4478"/>
    <x v="4071"/>
    <x v="93"/>
    <x v="4"/>
    <d v="1899-12-30T15:00:00"/>
    <s v="Jiech, Sudan"/>
    <s v="Charter - Air Cush"/>
    <s v="Unknown"/>
    <s v="Jiech - Ayod"/>
    <x v="1624"/>
    <s v="9XR-DC"/>
    <s v="Unknown"/>
    <n v="10"/>
    <n v="8"/>
    <n v="2"/>
    <n v="6"/>
    <n v="5"/>
    <n v="1"/>
    <n v="0"/>
    <s v="The plane crashed just seconds after taking off. It was on a mission of delivering humanitarian aid in Sudan. The cargo shifted after takeoff, causing the cg to change and the plane to stall and crash."/>
    <n v="4"/>
    <n v="0.6"/>
    <x v="0"/>
  </r>
  <r>
    <n v="4479"/>
    <x v="4072"/>
    <x v="93"/>
    <x v="4"/>
    <s v="Unknown"/>
    <s v="Dalang, Sudan"/>
    <s v="El Magal Aviation"/>
    <s v="Unknown"/>
    <s v="Khartoum - Juba - El Obeid"/>
    <x v="942"/>
    <s v="ST-SIG"/>
    <n v="1400101"/>
    <n v="7"/>
    <n v="0"/>
    <n v="7"/>
    <n v="7"/>
    <n v="0"/>
    <n v="7"/>
    <n v="0"/>
    <s v="While flying in a thunderstorm the plane hit the side of a mountain. One survivor died a few hours after the accident."/>
    <n v="0"/>
    <n v="1"/>
    <x v="1"/>
  </r>
  <r>
    <n v="4480"/>
    <x v="4073"/>
    <x v="93"/>
    <x v="4"/>
    <d v="1899-12-30T18:30:00"/>
    <s v="Near Manaus, Brazil"/>
    <s v="Rico Linhas Aereas"/>
    <n v="4815"/>
    <s v="Sao Paulo - Tefe - Manaus"/>
    <x v="2037"/>
    <s v="PT-WRO"/>
    <n v="120070"/>
    <n v="33"/>
    <n v="30"/>
    <n v="3"/>
    <n v="33"/>
    <n v="30"/>
    <n v="3"/>
    <n v="0"/>
    <s v="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
    <n v="0"/>
    <n v="1"/>
    <x v="1"/>
  </r>
  <r>
    <n v="4481"/>
    <x v="4074"/>
    <x v="93"/>
    <x v="4"/>
    <d v="1899-12-30T10:50:00"/>
    <s v="Urumqi, China"/>
    <s v="AZAL Cargo Company"/>
    <s v="Unknown"/>
    <s v="Taiyuan - Urumqi - Baku"/>
    <x v="2050"/>
    <s v="4K-AZ27"/>
    <n v="53460827"/>
    <n v="7"/>
    <n v="0"/>
    <n v="7"/>
    <n v="7"/>
    <n v="0"/>
    <n v="7"/>
    <n v="0"/>
    <s v="About two minutes after takeoff and  while climbing, the aircraft stalled and crashed in a field 10 km from the  airport."/>
    <n v="0"/>
    <n v="1"/>
    <x v="1"/>
  </r>
  <r>
    <n v="4482"/>
    <x v="4074"/>
    <x v="93"/>
    <x v="4"/>
    <d v="1899-12-30T10:40:00"/>
    <s v="Bozoy, Kazakhstan"/>
    <s v="Aray-Avia"/>
    <s v="Unknown"/>
    <s v="Kyzyl-Orda - Bozoy - Vozrozhdenya Island"/>
    <x v="2088"/>
    <s v="UN-70276"/>
    <s v="1G139-35"/>
    <n v="12"/>
    <n v="10"/>
    <n v="2"/>
    <n v="1"/>
    <n v="1"/>
    <n v="0"/>
    <n v="0"/>
    <s v="Crashed and stalled near the end of the runway while attempting to take off. The aircraft was overloaded."/>
    <n v="11"/>
    <n v="8.3333333333333329E-2"/>
    <x v="2"/>
  </r>
  <r>
    <n v="4483"/>
    <x v="4075"/>
    <x v="93"/>
    <x v="4"/>
    <d v="1899-12-30T07:30:00"/>
    <s v="Mwingi, Kenya"/>
    <s v="Blue Bird Aviation"/>
    <s v="Unknown"/>
    <s v="Nairobi - Mogadiscio"/>
    <x v="1624"/>
    <s v="5Y-VVD"/>
    <n v="872009"/>
    <n v="2"/>
    <n v="0"/>
    <n v="2"/>
    <n v="2"/>
    <n v="0"/>
    <n v="2"/>
    <n v="0"/>
    <s v="While en route the cargo plane collided with another Let 410 of the same operator. The first aircraft crashed killing both pilots while the second  made a safe landing."/>
    <n v="0"/>
    <n v="1"/>
    <x v="1"/>
  </r>
  <r>
    <n v="4484"/>
    <x v="4076"/>
    <x v="93"/>
    <x v="4"/>
    <d v="1899-12-30T13:56:00"/>
    <s v="Near Lukla, Nepal"/>
    <s v="Yeti Airlines"/>
    <n v="117"/>
    <s v="Katmandou - Lukla"/>
    <x v="1647"/>
    <s v="9N-AFD"/>
    <n v="651"/>
    <n v="3"/>
    <n v="0"/>
    <n v="3"/>
    <n v="3"/>
    <n v="0"/>
    <n v="3"/>
    <n v="0"/>
    <s v="While on approach to Lukla, the cargo plane crashed into Lamjura Hill in heavy cloud cover. Hazardous behavior and attitudes of the captain such as over-confidence, being care-free, and non-compliance of the regulations caused the accident."/>
    <n v="0"/>
    <n v="1"/>
    <x v="1"/>
  </r>
  <r>
    <n v="4485"/>
    <x v="4077"/>
    <x v="93"/>
    <x v="4"/>
    <d v="1899-12-30T09:38:00"/>
    <s v="Off Libreville, Gabon"/>
    <s v="Gabon Express"/>
    <n v="221"/>
    <s v="Libreville - Franceville"/>
    <x v="2089"/>
    <s v="TR-LFW"/>
    <s v="1611/82"/>
    <n v="30"/>
    <n v="26"/>
    <n v="4"/>
    <n v="19"/>
    <n v="18"/>
    <n v="1"/>
    <n v="0"/>
    <s v="The aircraft nosedived into the sea about 100 meters off a beach shortly after taking off from Leon Mba international airport. Engine failure forced the plane back towards the airport."/>
    <n v="11"/>
    <n v="0.6333333333333333"/>
    <x v="0"/>
  </r>
  <r>
    <n v="4486"/>
    <x v="4078"/>
    <x v="93"/>
    <x v="4"/>
    <d v="1899-12-30T09:17:00"/>
    <s v="Near Yengema, Sierra Leone"/>
    <s v="United Nations -  UTair Charter"/>
    <s v="Unknown"/>
    <s v="Freetown - Kailahun"/>
    <x v="2090"/>
    <s v="RA-27113"/>
    <s v="Unknown"/>
    <n v="24"/>
    <n v="21"/>
    <n v="3"/>
    <n v="24"/>
    <n v="21"/>
    <n v="3"/>
    <n v="0"/>
    <s v="The helicopter crashed into a slope of a mountain in a forested area. The helicopter took off from the Sierra Leone capital but never arrived at its destination in the western city of Kailahun."/>
    <n v="0"/>
    <n v="1"/>
    <x v="1"/>
  </r>
  <r>
    <n v="4487"/>
    <x v="4079"/>
    <x v="93"/>
    <x v="4"/>
    <d v="1899-12-30T07:15:00"/>
    <s v="Off Beef Island, British Virgin Islands"/>
    <s v="Dodita Air Cargo"/>
    <s v="Unknown"/>
    <s v="San Juan - Saint Martten"/>
    <x v="962"/>
    <s v="N4826C"/>
    <n v="391"/>
    <n v="2"/>
    <n v="0"/>
    <n v="2"/>
    <n v="1"/>
    <n v="0"/>
    <n v="1"/>
    <n v="0"/>
    <s v="While en route the cargo plane experienced a fire in the right engine which led to a ditching of the plane. The plane sank in 1,000 ft. of water the copilot was rescued but the captain was never found."/>
    <n v="1"/>
    <n v="0.5"/>
    <x v="0"/>
  </r>
  <r>
    <n v="4488"/>
    <x v="4080"/>
    <x v="93"/>
    <x v="4"/>
    <d v="1899-12-30T08:30:00"/>
    <s v="Off  MacaÃ© , Rio de Janeiro , Brazil"/>
    <s v="BHS - Brazilian Helicopter Service  Air Taxi"/>
    <s v="Unknown"/>
    <s v="Campos, Brazil  -  Off-shore oil rig"/>
    <x v="2091"/>
    <s v="PP-MYM"/>
    <s v="Unknown"/>
    <n v="11"/>
    <n v="9"/>
    <n v="2"/>
    <n v="6"/>
    <n v="6"/>
    <n v="0"/>
    <n v="0"/>
    <s v="During the approach to P-31 oil rig, at an altitude of 500 ft, an alarm sounded for the left turbine after which there was a loud noise. Then the main rotor and right turbine lost rotation and the helicopter crashed in the sea."/>
    <n v="5"/>
    <n v="0.54545454545454541"/>
    <x v="0"/>
  </r>
  <r>
    <n v="4489"/>
    <x v="4081"/>
    <x v="93"/>
    <x v="4"/>
    <d v="1899-12-30T10:30:00"/>
    <s v="Ononge, Papua New Guinea"/>
    <s v="Airlines of PNG"/>
    <s v="Unknown"/>
    <s v="Port Moresby - Ononge"/>
    <x v="1647"/>
    <s v="P2-MBA"/>
    <n v="353"/>
    <n v="3"/>
    <n v="0"/>
    <n v="3"/>
    <n v="2"/>
    <n v="0"/>
    <n v="2"/>
    <n v="0"/>
    <s v="The cargo plane diverted to Yongai airport because of bad weather but collided with trees and crashed.The loadmaster was rescued a day later."/>
    <n v="1"/>
    <n v="0.66666666666666663"/>
    <x v="1"/>
  </r>
  <r>
    <n v="4490"/>
    <x v="4082"/>
    <x v="93"/>
    <x v="4"/>
    <d v="1899-12-30T00:50:00"/>
    <s v="Cincinnati, Ohio"/>
    <s v="Air Taroma"/>
    <n v="185"/>
    <s v="Memphis - Cincinnati"/>
    <x v="1030"/>
    <s v="N586P"/>
    <n v="68"/>
    <n v="2"/>
    <n v="0"/>
    <n v="2"/>
    <n v="1"/>
    <n v="0"/>
    <n v="1"/>
    <n v="0"/>
    <s v="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
    <n v="1"/>
    <n v="0.5"/>
    <x v="0"/>
  </r>
  <r>
    <n v="4491"/>
    <x v="4083"/>
    <x v="93"/>
    <x v="4"/>
    <d v="1899-12-30T16:28:00"/>
    <s v="Near Maracay, Venezuela"/>
    <s v="Military - Venezuelan Air Force"/>
    <s v="Unknown"/>
    <s v="La Orchila Air Base - Maracay"/>
    <x v="2092"/>
    <s v="FAV-1652"/>
    <s v="SH3123"/>
    <n v="25"/>
    <n v="22"/>
    <n v="3"/>
    <n v="25"/>
    <n v="22"/>
    <n v="3"/>
    <n v="0"/>
    <s v="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
    <n v="0"/>
    <n v="1"/>
    <x v="1"/>
  </r>
  <r>
    <n v="4492"/>
    <x v="4084"/>
    <x v="93"/>
    <x v="4"/>
    <d v="1899-12-30T22:59:00"/>
    <s v="Near Rostov-on-Don, Russia"/>
    <s v="Sibir Airlines"/>
    <n v="1047"/>
    <s v="Moscow - Sochi"/>
    <x v="2093"/>
    <s v="RA-85556"/>
    <s v="82A-556"/>
    <n v="46"/>
    <n v="38"/>
    <n v="8"/>
    <n v="46"/>
    <n v="38"/>
    <n v="8"/>
    <n v="0"/>
    <s v="The plane crashed 19 minutes after taking off from Moscow. It crashed almost simultaneously with a Volga-Avia Express Tupolov134 which crashed at 22:56. Detonation of an exposive device aboard."/>
    <n v="0"/>
    <n v="1"/>
    <x v="1"/>
  </r>
  <r>
    <n v="4493"/>
    <x v="4084"/>
    <x v="93"/>
    <x v="4"/>
    <d v="1899-12-30T22:56:00"/>
    <s v="Near Toula, Russia"/>
    <s v="Volga-Avia Express"/>
    <n v="1303"/>
    <s v="Moscow - Volograd"/>
    <x v="2094"/>
    <s v="RA-65080"/>
    <n v="60065"/>
    <n v="41"/>
    <n v="34"/>
    <n v="7"/>
    <n v="41"/>
    <n v="34"/>
    <n v="7"/>
    <n v="0"/>
    <s v="The plane crashed 26 minutes after taking off from Moscow. Witnesses stated they saw the plane explode in midair before crashing. It crashed almost simultaneously with a Sibir Tupolov154 which crashed at 22:59. Detonation of an exposive device aboard."/>
    <n v="0"/>
    <n v="1"/>
    <x v="1"/>
  </r>
  <r>
    <n v="4494"/>
    <x v="4085"/>
    <x v="93"/>
    <x v="4"/>
    <d v="1899-12-30T16:30:00"/>
    <s v="Near Mc Grath, Alaska"/>
    <s v="Mavrik Aire Transport"/>
    <s v="Unknown"/>
    <s v="Kenai - McGrath - Kotzebue"/>
    <x v="2081"/>
    <s v="N197TT"/>
    <n v="197"/>
    <n v="3"/>
    <n v="2"/>
    <n v="1"/>
    <n v="1"/>
    <n v="1"/>
    <n v="0"/>
    <n v="0"/>
    <s v="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
    <n v="2"/>
    <n v="0.33333333333333331"/>
    <x v="2"/>
  </r>
  <r>
    <n v="4495"/>
    <x v="4086"/>
    <x v="93"/>
    <x v="4"/>
    <d v="1899-12-30T06:50:00"/>
    <s v="Villahermosa, Mexico"/>
    <s v="Jett Paqueteria SA"/>
    <s v="Unknown"/>
    <s v="Mexico City - Villahermosa"/>
    <x v="2095"/>
    <s v="XA-TFD"/>
    <s v="265-10"/>
    <n v="2"/>
    <n v="0"/>
    <n v="2"/>
    <n v="2"/>
    <n v="0"/>
    <n v="2"/>
    <n v="0"/>
    <s v="On final approach the cargo flight crashed in a wooded area 3 km from the runway and was destroyed."/>
    <n v="0"/>
    <n v="1"/>
    <x v="1"/>
  </r>
  <r>
    <n v="4496"/>
    <x v="4087"/>
    <x v="93"/>
    <x v="4"/>
    <d v="1899-12-30T11:10:00"/>
    <s v="Off Mount Athos, Greece"/>
    <s v="Military - Greek Army"/>
    <s v="Unknown"/>
    <s v="Athens - Mount Athos"/>
    <x v="2096"/>
    <s v="Unknown"/>
    <s v="Unknown"/>
    <n v="17"/>
    <n v="13"/>
    <n v="4"/>
    <n v="17"/>
    <n v="13"/>
    <n v="4"/>
    <n v="0"/>
    <s v="The helicopter crashed into the Aegean Sea, 5.5 nautical miles off Halkidiki peninsula.  Patriarch Petros VII of Alexandria , Egypt, spiritual leader of orthodox Christians throughout Africa, killed along with other clergy."/>
    <n v="0"/>
    <n v="1"/>
    <x v="1"/>
  </r>
  <r>
    <n v="4497"/>
    <x v="4088"/>
    <x v="93"/>
    <x v="4"/>
    <d v="1899-12-30T18:59:00"/>
    <s v="Tortuguero lagoon, Puerto Rico"/>
    <s v="Air Flamence"/>
    <s v="Unknown"/>
    <s v="Mayaguez - San Juan"/>
    <x v="2097"/>
    <s v="N902GD"/>
    <n v="905"/>
    <n v="1"/>
    <n v="0"/>
    <n v="1"/>
    <n v="1"/>
    <n v="0"/>
    <n v="1"/>
    <n v="0"/>
    <s v="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
    <n v="0"/>
    <n v="1"/>
    <x v="1"/>
  </r>
  <r>
    <n v="4498"/>
    <x v="4089"/>
    <x v="93"/>
    <x v="4"/>
    <d v="1899-12-30T12:37:00"/>
    <s v="Kaduqli, Sudan"/>
    <s v="Sarit Airlines"/>
    <s v="Unknown"/>
    <s v="El Obeid - Juba"/>
    <x v="942"/>
    <s v="ST-SAF"/>
    <n v="347606"/>
    <n v="4"/>
    <n v="0"/>
    <n v="4"/>
    <n v="4"/>
    <n v="0"/>
    <n v="4"/>
    <n v="0"/>
    <s v="The cargo plane reported an engine failure and tried to divert to the nearest airport but crashed and burned in a wooded area about 50 km from Kaduqli."/>
    <n v="0"/>
    <n v="1"/>
    <x v="1"/>
  </r>
  <r>
    <n v="4499"/>
    <x v="4090"/>
    <x v="93"/>
    <x v="4"/>
    <d v="1899-12-30T03:56:00"/>
    <s v="Halifax, Nova Scotia, Canada"/>
    <s v="MK Airlines"/>
    <n v="1602"/>
    <s v="Windsor Locks - Halifax - Zaragoza, Spain"/>
    <x v="2098"/>
    <s v="9G-MKJ"/>
    <n v="22170"/>
    <n v="7"/>
    <n v="0"/>
    <n v="7"/>
    <n v="7"/>
    <n v="0"/>
    <n v="7"/>
    <n v="0"/>
    <s v="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
    <n v="0"/>
    <n v="1"/>
    <x v="1"/>
  </r>
  <r>
    <n v="4500"/>
    <x v="4090"/>
    <x v="93"/>
    <x v="4"/>
    <d v="1899-12-30T22:15:00"/>
    <s v="Jefferson City, Missouri"/>
    <s v="Pinnacle Airlines/Northwest Airlink"/>
    <n v="3701"/>
    <s v="Little Rock - Minneapolis"/>
    <x v="2099"/>
    <s v="N8396A"/>
    <n v="10161"/>
    <n v="2"/>
    <n v="0"/>
    <n v="2"/>
    <n v="2"/>
    <n v="0"/>
    <n v="2"/>
    <n v="0"/>
    <s v="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
    <n v="0"/>
    <n v="1"/>
    <x v="1"/>
  </r>
  <r>
    <n v="4501"/>
    <x v="4091"/>
    <x v="93"/>
    <x v="4"/>
    <d v="1899-12-30T07:46:00"/>
    <s v="Near Medellin, Colombia"/>
    <s v="Aerovanguardia"/>
    <s v="Unknown"/>
    <s v="Villavicencio - Medellin"/>
    <x v="507"/>
    <s v="HK-1503"/>
    <n v="34331"/>
    <n v="3"/>
    <n v="0"/>
    <n v="3"/>
    <n v="3"/>
    <n v="0"/>
    <n v="3"/>
    <n v="0"/>
    <s v="During descent in poor weather, the cargo plane struck a mountain near the airport."/>
    <n v="0"/>
    <n v="1"/>
    <x v="1"/>
  </r>
  <r>
    <n v="4502"/>
    <x v="4092"/>
    <x v="93"/>
    <x v="4"/>
    <d v="1899-12-30T15:00:00"/>
    <s v="Coron Island, Philippines"/>
    <s v="Pacific Air"/>
    <s v="Unknown"/>
    <s v="Coron Island - Manila"/>
    <x v="2100"/>
    <s v="RP-C1325"/>
    <n v="593"/>
    <n v="2"/>
    <n v="0"/>
    <n v="2"/>
    <n v="2"/>
    <n v="0"/>
    <n v="2"/>
    <n v="0"/>
    <s v="A few minutes after takeoff, the cargo plane struck the side Tagbao mountain a few  kilometers from the airport."/>
    <n v="0"/>
    <n v="1"/>
    <x v="1"/>
  </r>
  <r>
    <n v="4503"/>
    <x v="4093"/>
    <x v="93"/>
    <x v="4"/>
    <d v="1899-12-30T07:45:00"/>
    <s v="Near Kirksville, Missouri"/>
    <s v="Corporate Airlines (American Connection)"/>
    <n v="5966"/>
    <s v="St. Louis, MO - Kirkville, MO"/>
    <x v="2101"/>
    <s v="N875JX"/>
    <n v="875"/>
    <n v="15"/>
    <n v="13"/>
    <n v="2"/>
    <n v="13"/>
    <n v="11"/>
    <n v="2"/>
    <n v="0"/>
    <s v="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
    <n v="2"/>
    <n v="0.8666666666666667"/>
    <x v="1"/>
  </r>
  <r>
    <n v="4504"/>
    <x v="4094"/>
    <x v="93"/>
    <x v="4"/>
    <d v="1899-12-30T00:30:00"/>
    <s v="San Diego, California"/>
    <s v="Med Flight Air Ambulance - Private"/>
    <s v="Unknown"/>
    <s v="San Diego, CA - Albuquerque, NM"/>
    <x v="1868"/>
    <s v="N30DK"/>
    <s v="35A-345"/>
    <n v="5"/>
    <n v="4"/>
    <n v="1"/>
    <n v="5"/>
    <n v="4"/>
    <n v="1"/>
    <n v="0"/>
    <s v="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
    <n v="0"/>
    <n v="1"/>
    <x v="1"/>
  </r>
  <r>
    <n v="4505"/>
    <x v="4094"/>
    <x v="93"/>
    <x v="4"/>
    <d v="1899-12-30T16:30:00"/>
    <s v="Martinsville, Virginia"/>
    <s v="Private - Hendrick Motorsports Inc."/>
    <s v="Unknown"/>
    <s v="Concord, NC - Martinsville, VA"/>
    <x v="2102"/>
    <s v="N501RH"/>
    <s v="BB-805"/>
    <n v="10"/>
    <n v="8"/>
    <n v="2"/>
    <n v="10"/>
    <n v="8"/>
    <n v="2"/>
    <n v="0"/>
    <s v="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
    <n v="0"/>
    <n v="1"/>
    <x v="1"/>
  </r>
  <r>
    <n v="4506"/>
    <x v="4095"/>
    <x v="93"/>
    <x v="4"/>
    <d v="1899-12-30T13:02:00"/>
    <s v="Caracas, Venezuela"/>
    <s v="Venezolana"/>
    <n v="213"/>
    <s v="El Vigia - Caracas"/>
    <x v="2103"/>
    <s v="YV-1083C"/>
    <n v="762"/>
    <n v="21"/>
    <n v="19"/>
    <n v="2"/>
    <n v="3"/>
    <n v="3"/>
    <n v="0"/>
    <n v="0"/>
    <s v="The aircraft was arriving on runway 09 at Simon Bolivar Airport when it departed the right side of the runway and cashed into the airport fire house. Weather at the time of the accident was poor, with low ceiling and torrential rain."/>
    <n v="18"/>
    <n v="0.14285714285714285"/>
    <x v="2"/>
  </r>
  <r>
    <n v="4507"/>
    <x v="4096"/>
    <x v="93"/>
    <x v="4"/>
    <d v="1899-12-30T08:20:00"/>
    <s v="Baotou, Inner Mongolia, China"/>
    <s v="China Eastern Airlines"/>
    <s v="Unknown"/>
    <s v="Baotou - Shanghai"/>
    <x v="2104"/>
    <s v="B-3072"/>
    <n v="7697"/>
    <n v="53"/>
    <n v="47"/>
    <n v="6"/>
    <n v="53"/>
    <n v="47"/>
    <n v="6"/>
    <n v="0"/>
    <s v="The aircraft crashed into a frozen lake in Nanhai Park, 10 seconds after taking off. Ice pollution of the wings of the aircraft led to the accident. Failure to deice the plane."/>
    <n v="0"/>
    <n v="1"/>
    <x v="1"/>
  </r>
  <r>
    <n v="4508"/>
    <x v="4097"/>
    <x v="93"/>
    <x v="4"/>
    <d v="1899-12-30T06:15:00"/>
    <s v="Houston, Texas"/>
    <s v="Business Jet Services"/>
    <s v="Unknown"/>
    <s v="Dallas - Houston"/>
    <x v="2105"/>
    <s v="N85VT"/>
    <n v="449"/>
    <n v="3"/>
    <n v="0"/>
    <n v="3"/>
    <n v="3"/>
    <n v="0"/>
    <n v="3"/>
    <n v="0"/>
    <s v="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
    <n v="0"/>
    <n v="1"/>
    <x v="1"/>
  </r>
  <r>
    <n v="4509"/>
    <x v="4098"/>
    <x v="93"/>
    <x v="4"/>
    <d v="1899-12-30T08:20:00"/>
    <s v="Near Bagram, Afghanstan"/>
    <s v="Presidental Airways Inc. - Air Taxi"/>
    <s v="Unknown"/>
    <s v="Bagram - Farah, Afghanstan"/>
    <x v="2106"/>
    <s v="N960BW"/>
    <n v="231"/>
    <n v="6"/>
    <n v="3"/>
    <n v="3"/>
    <n v="6"/>
    <n v="3"/>
    <n v="3"/>
    <n v="0"/>
    <s v="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
    <n v="0"/>
    <n v="1"/>
    <x v="1"/>
  </r>
  <r>
    <n v="4510"/>
    <x v="4099"/>
    <x v="93"/>
    <x v="4"/>
    <d v="1899-12-30T09:55:00"/>
    <s v="Montrose, Colorado"/>
    <s v="Glow Air/Air Castle - Charter"/>
    <n v="73"/>
    <s v="Montrose, CO - South Bend, IN"/>
    <x v="2107"/>
    <s v="N873G"/>
    <n v="3009"/>
    <n v="6"/>
    <n v="3"/>
    <n v="3"/>
    <n v="3"/>
    <n v="1"/>
    <n v="2"/>
    <n v="0"/>
    <s v="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
    <n v="3"/>
    <n v="0.5"/>
    <x v="0"/>
  </r>
  <r>
    <n v="4511"/>
    <x v="4100"/>
    <x v="93"/>
    <x v="4"/>
    <d v="1899-12-30T18:14:00"/>
    <s v="Solo, Indonesia"/>
    <s v="Lion Air"/>
    <n v="583"/>
    <s v="Jakarta, Indonesia - Solo, Indonesia"/>
    <x v="2108"/>
    <s v="PK-LMN"/>
    <s v="49189/1173"/>
    <n v="163"/>
    <n v="156"/>
    <n v="7"/>
    <n v="25"/>
    <n v="23"/>
    <n v="2"/>
    <n v="0"/>
    <s v="While attempting to land, the plane overran the runway and crashed through the airport barrier fence, into a rice field, broke in two and  came to rest at a cemetery, 300 meters beyond the runway. Bad weather and a malfunctioning spoiler may have caused the crash."/>
    <n v="138"/>
    <n v="0.15337423312883436"/>
    <x v="2"/>
  </r>
  <r>
    <n v="4512"/>
    <x v="4101"/>
    <x v="93"/>
    <x v="4"/>
    <s v="Unknown"/>
    <s v="El Junquito, Venezuela"/>
    <s v="Guardia Nacional de Venezuela"/>
    <s v="Unknown"/>
    <s v="Puerto Ayacucho - La Carlota"/>
    <x v="2109"/>
    <s v="GN-97121"/>
    <s v="AJE001-15"/>
    <n v="16"/>
    <n v="13"/>
    <n v="3"/>
    <n v="16"/>
    <n v="13"/>
    <n v="3"/>
    <n v="0"/>
    <s v="Crashed while en route in mountainous terrain."/>
    <n v="0"/>
    <n v="1"/>
    <x v="1"/>
  </r>
  <r>
    <n v="4513"/>
    <x v="4102"/>
    <x v="93"/>
    <x v="4"/>
    <s v="Unknown"/>
    <s v="Near Jeddah, Saudi Arabia"/>
    <s v="Airline Transport"/>
    <s v="Unknown"/>
    <s v="Baku - Kabul"/>
    <x v="2050"/>
    <s v="ER-IBW"/>
    <n v="33448390"/>
    <n v="7"/>
    <n v="0"/>
    <n v="7"/>
    <n v="1"/>
    <n v="0"/>
    <n v="1"/>
    <n v="0"/>
    <s v="A forward emergency exit opened in flight causing one of the crew members to be sucked out. An emergency landing was made in Jeddah."/>
    <n v="6"/>
    <n v="0.14285714285714285"/>
    <x v="2"/>
  </r>
  <r>
    <n v="4514"/>
    <x v="4102"/>
    <x v="93"/>
    <x v="4"/>
    <d v="1899-12-30T05:30:00"/>
    <s v="Uberaba, Brazil"/>
    <s v="NHR TÃ¡xi-AÃ©reo"/>
    <s v="Unknown"/>
    <s v="Sao Paulo - Uberaba"/>
    <x v="1759"/>
    <s v="PT-WAK"/>
    <n v="110071"/>
    <n v="2"/>
    <n v="0"/>
    <n v="2"/>
    <n v="2"/>
    <n v="0"/>
    <n v="2"/>
    <n v="1"/>
    <s v="The crew was performing a mail flight under Total Linhas AÃ©reas from Sao Paulo-Guarulhos airport to Uberaba. While on final approach at night, the cargo plane crashed into houses located short of runway and burned."/>
    <n v="0"/>
    <n v="1"/>
    <x v="1"/>
  </r>
  <r>
    <n v="4515"/>
    <x v="4103"/>
    <x v="94"/>
    <x v="4"/>
    <d v="1899-12-30T16:10:00"/>
    <s v="Tura,Siberia, Russia"/>
    <s v="Tura Air Enterprise"/>
    <s v="Unknown"/>
    <s v="Vanavara - Tura"/>
    <x v="997"/>
    <s v="RA-62597"/>
    <s v="1G177-44"/>
    <n v="9"/>
    <n v="7"/>
    <n v="2"/>
    <n v="9"/>
    <n v="7"/>
    <n v="2"/>
    <n v="0"/>
    <s v="The aircraft disappeared from radar as it was attempting to land. It crashed into a hill 6 miles from its destination. Poor weather conditions existed at the time of the accident. Crew error. Ground proximity warning disabled. Artificial horizon not working."/>
    <n v="0"/>
    <n v="1"/>
    <x v="1"/>
  </r>
  <r>
    <n v="4516"/>
    <x v="4103"/>
    <x v="94"/>
    <x v="4"/>
    <s v="Unknown"/>
    <s v="Manguipayan, Colombia"/>
    <s v="Military - Colombian government"/>
    <s v="Unknown"/>
    <s v="Unknown"/>
    <x v="2110"/>
    <s v="Unknown"/>
    <s v="Unknown"/>
    <n v="20"/>
    <n v="18"/>
    <n v="2"/>
    <n v="20"/>
    <n v="18"/>
    <n v="2"/>
    <n v="0"/>
    <s v="The helicopter was on a counter-narcotics mission when it crashed in heavy fog."/>
    <n v="0"/>
    <n v="1"/>
    <x v="1"/>
  </r>
  <r>
    <n v="4517"/>
    <x v="4103"/>
    <x v="94"/>
    <x v="4"/>
    <d v="1899-12-30T22:18:00"/>
    <s v="Keene, New Hampshire"/>
    <s v="AirNow"/>
    <s v="Unknown"/>
    <s v="Bangor, ME - Concord, NH"/>
    <x v="1759"/>
    <s v="N49BA"/>
    <n v="110301"/>
    <n v="1"/>
    <n v="0"/>
    <n v="1"/>
    <n v="1"/>
    <n v="0"/>
    <n v="1"/>
    <n v="0"/>
    <s v="The cargo plane diverted to Keene due to poor weather. During the final approach at night, the plane hit the ground short of Runway 02 and was destroyed."/>
    <n v="0"/>
    <n v="1"/>
    <x v="1"/>
  </r>
  <r>
    <n v="4518"/>
    <x v="4104"/>
    <x v="94"/>
    <x v="4"/>
    <d v="1899-12-30T01:20:00"/>
    <s v="Rutbah, Iraq"/>
    <s v="Military - U.S. Marines"/>
    <s v="Unknown"/>
    <s v="Ferrying troops"/>
    <x v="2111"/>
    <n v="164536"/>
    <s v="Unknown"/>
    <n v="31"/>
    <n v="29"/>
    <n v="2"/>
    <n v="31"/>
    <n v="29"/>
    <n v="2"/>
    <n v="0"/>
    <s v="The helicopter crashed in rain and a sandstorm."/>
    <n v="0"/>
    <n v="1"/>
    <x v="1"/>
  </r>
  <r>
    <n v="4519"/>
    <x v="4105"/>
    <x v="94"/>
    <x v="4"/>
    <d v="1899-12-30T08:10:00"/>
    <s v="Lasi, Hungary"/>
    <s v="Farnair Hungary"/>
    <s v="Unknown"/>
    <s v="Bucharest -Lasi"/>
    <x v="2112"/>
    <s v="HA-LAR"/>
    <n v="871923"/>
    <n v="2"/>
    <n v="0"/>
    <n v="2"/>
    <n v="2"/>
    <n v="0"/>
    <n v="2"/>
    <n v="0"/>
    <s v="The cargo plane was attempting to land in a snowstorm when it turned left and descended until it crashed a mile from the airport."/>
    <n v="0"/>
    <n v="1"/>
    <x v="1"/>
  </r>
  <r>
    <n v="4520"/>
    <x v="4106"/>
    <x v="94"/>
    <x v="4"/>
    <d v="1899-12-30T16:30:00"/>
    <s v="Near Al Taji, Iraq"/>
    <s v="Military - Royal Air Force"/>
    <s v="Unknown"/>
    <s v="Bagdad - Balad"/>
    <x v="2113"/>
    <s v="XV179"/>
    <n v="4195"/>
    <n v="10"/>
    <n v="8"/>
    <n v="2"/>
    <n v="10"/>
    <n v="8"/>
    <n v="2"/>
    <n v="0"/>
    <s v="The plane was flying at a low level when it was hit by enemy fire. The right wing separated from the fuselage and the plane lost control, crashed and was destroyed."/>
    <n v="0"/>
    <n v="1"/>
    <x v="1"/>
  </r>
  <r>
    <n v="4521"/>
    <x v="4107"/>
    <x v="94"/>
    <x v="4"/>
    <d v="1899-12-30T17:00:00"/>
    <s v="Near Kabul, Afghanistan"/>
    <s v="Kam Air"/>
    <n v="904"/>
    <s v="Herat - Kabul"/>
    <x v="1468"/>
    <s v="EX-037"/>
    <s v="22075/630"/>
    <n v="104"/>
    <n v="96"/>
    <n v="8"/>
    <n v="104"/>
    <n v="96"/>
    <n v="8"/>
    <n v="0"/>
    <s v="Unable to land at Kabul because of a blizzard, the crew tried to reach Peshawar, Pakistan but crashed into 11,000 ft. Chaperi Mountain near Kabul."/>
    <n v="0"/>
    <n v="1"/>
    <x v="1"/>
  </r>
  <r>
    <n v="4522"/>
    <x v="4107"/>
    <x v="94"/>
    <x v="4"/>
    <d v="1899-12-30T08:07:00"/>
    <s v="Near Khartoum, Sudan"/>
    <s v="Air West"/>
    <s v="Unknown"/>
    <s v="Sharjah - Khartoum - Nyala"/>
    <x v="1708"/>
    <s v="ST-EWB"/>
    <n v="23438122"/>
    <n v="7"/>
    <n v="0"/>
    <n v="7"/>
    <n v="7"/>
    <n v="0"/>
    <n v="7"/>
    <n v="0"/>
    <s v="After developing fuel system problems the cargo flight carrying humanitarian goods, was advised to land at Aad Babaker. The plane did not make it and crashed 15 km east of Khartoum."/>
    <n v="0"/>
    <n v="1"/>
    <x v="1"/>
  </r>
  <r>
    <n v="4523"/>
    <x v="4108"/>
    <x v="94"/>
    <x v="4"/>
    <d v="1899-12-30T09:13:00"/>
    <s v="Near Pueblo, Colorado"/>
    <s v="Circuit City Stores - Charter"/>
    <s v="Unknown"/>
    <s v="Richmond, VA - Saint Louis, MO  - Pueblo,CO - Irvine, CA"/>
    <x v="2114"/>
    <s v="N500AT"/>
    <s v="560-0146"/>
    <n v="8"/>
    <n v="6"/>
    <n v="2"/>
    <n v="8"/>
    <n v="6"/>
    <n v="2"/>
    <n v="0"/>
    <s v="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
    <n v="0"/>
    <n v="1"/>
    <x v="1"/>
  </r>
  <r>
    <n v="4524"/>
    <x v="4109"/>
    <x v="94"/>
    <x v="4"/>
    <d v="1899-12-30T13:22:00"/>
    <s v="Bimin, Papua, New Guinea"/>
    <s v="Missionary Aviation Fellowship"/>
    <s v="Unknown"/>
    <s v="Tabubil - Bimin"/>
    <x v="1647"/>
    <s v="P2-MFQ"/>
    <n v="174"/>
    <n v="13"/>
    <n v="10"/>
    <n v="3"/>
    <n v="2"/>
    <n v="0"/>
    <n v="2"/>
    <n v="0"/>
    <s v="While on approach to Runway 29 the aircraft crashed on a mountain."/>
    <n v="11"/>
    <n v="0.15384615384615385"/>
    <x v="2"/>
  </r>
  <r>
    <n v="4525"/>
    <x v="4109"/>
    <x v="94"/>
    <x v="4"/>
    <d v="1899-12-30T07:15:00"/>
    <s v="Off Sarmi, Indonesia _x0009_ Sarmi, Indonesia"/>
    <s v="Indonesian National Police"/>
    <s v="Unknown"/>
    <s v="Jayapura - Sarmi"/>
    <x v="1660"/>
    <s v="P-2032 P-2032"/>
    <s v="Unknown"/>
    <n v="18"/>
    <n v="14"/>
    <n v="4"/>
    <n v="15"/>
    <n v="11"/>
    <n v="4"/>
    <n v="0"/>
    <s v="On final approach, the aircraft crashed into the sea 100 meters off shore, 400 meters short of runway."/>
    <n v="3"/>
    <n v="0.83333333333333337"/>
    <x v="1"/>
  </r>
  <r>
    <n v="4526"/>
    <x v="4110"/>
    <x v="94"/>
    <x v="4"/>
    <d v="1899-12-30T09:23:00"/>
    <s v="Chrallave, Venezuela"/>
    <s v="Air Global"/>
    <s v="Unknown"/>
    <s v="Maturin - Charallave"/>
    <x v="1268"/>
    <s v="YV-21CP"/>
    <s v="500-0115"/>
    <n v="2"/>
    <n v="0"/>
    <n v="2"/>
    <n v="2"/>
    <n v="0"/>
    <n v="2"/>
    <n v="0"/>
    <s v="The cargo plane crashed into a wooded area short of the runway and was destroyed."/>
    <n v="0"/>
    <n v="1"/>
    <x v="1"/>
  </r>
  <r>
    <n v="4527"/>
    <x v="4111"/>
    <x v="94"/>
    <x v="4"/>
    <d v="1899-12-30T00:15:00"/>
    <s v="Off Campbeltown, United Kingdom"/>
    <s v="Loganair"/>
    <s v="Unknown"/>
    <s v="Glasgow - Campbeltown"/>
    <x v="2115"/>
    <s v="G-BOMG"/>
    <n v="2205"/>
    <n v="2"/>
    <n v="1"/>
    <n v="1"/>
    <n v="2"/>
    <n v="1"/>
    <n v="1"/>
    <n v="0"/>
    <s v="While on final approach, the air ambulance crashed into the sea at night and in poor visibility."/>
    <n v="0"/>
    <n v="1"/>
    <x v="1"/>
  </r>
  <r>
    <n v="4528"/>
    <x v="4112"/>
    <x v="94"/>
    <x v="4"/>
    <d v="1899-12-30T13:57:00"/>
    <s v="Varandey, Russia"/>
    <s v="Regional Airlines"/>
    <s v="Unknown"/>
    <s v="Ufa - Usinsk - Perm - Varandey - Naryan Mar"/>
    <x v="2116"/>
    <s v="RA-46489"/>
    <n v="27308107"/>
    <n v="52"/>
    <n v="45"/>
    <n v="7"/>
    <n v="28"/>
    <n v="26"/>
    <n v="2"/>
    <n v="0"/>
    <s v="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
    <n v="24"/>
    <n v="0.53846153846153844"/>
    <x v="0"/>
  </r>
  <r>
    <n v="4529"/>
    <x v="4113"/>
    <x v="94"/>
    <x v="4"/>
    <d v="1899-12-30T23:07:00"/>
    <s v="Off Mwanza, Tanzania"/>
    <s v="Air Transport"/>
    <s v="Unknown"/>
    <s v="Mwanza - Khartoum - Zagreb"/>
    <x v="1658"/>
    <s v="ER-IBR"/>
    <n v="43454623"/>
    <n v="8"/>
    <n v="0"/>
    <n v="8"/>
    <n v="8"/>
    <n v="0"/>
    <n v="8"/>
    <n v="0"/>
    <s v="The cargo plane, after takeoff and climbing lost altitude and crashed into Lake Victoria."/>
    <n v="0"/>
    <n v="1"/>
    <x v="1"/>
  </r>
  <r>
    <n v="4530"/>
    <x v="4114"/>
    <x v="94"/>
    <x v="4"/>
    <d v="1899-12-30T10:15:00"/>
    <s v="El Embrujo, Providencia Island, Colombia"/>
    <s v="West Caribbean Airways"/>
    <s v="Unknown"/>
    <s v="Old Providence - San Andres"/>
    <x v="2117"/>
    <s v="HK-4146"/>
    <n v="902426"/>
    <n v="14"/>
    <n v="12"/>
    <n v="2"/>
    <n v="8"/>
    <n v="6"/>
    <n v="2"/>
    <n v="0"/>
    <s v="The small airliner crashed while taking off from the Colombian Caribbean Island of Old Providence. The aircraft climbed to a height of about 100 feet and then lost control and crashed into a hill."/>
    <n v="6"/>
    <n v="0.5714285714285714"/>
    <x v="0"/>
  </r>
  <r>
    <n v="4531"/>
    <x v="4115"/>
    <x v="94"/>
    <x v="4"/>
    <d v="1899-12-30T20:00:00"/>
    <s v="Near Rovie, Albania"/>
    <s v="Military - U.S. Air Force"/>
    <s v="Unknown"/>
    <s v="Training"/>
    <x v="2118"/>
    <s v="87-0127"/>
    <n v="5118"/>
    <n v="9"/>
    <n v="0"/>
    <n v="9"/>
    <n v="9"/>
    <n v="0"/>
    <n v="9"/>
    <n v="0"/>
    <s v="While on a training mission the aircraft crashed into a mountainous area and was destroyed."/>
    <n v="0"/>
    <n v="1"/>
    <x v="1"/>
  </r>
  <r>
    <n v="4532"/>
    <x v="4116"/>
    <x v="94"/>
    <x v="4"/>
    <d v="1899-12-30T12:10:00"/>
    <s v="Enarotali, Indonesia"/>
    <s v="GT Air"/>
    <s v="Unknown"/>
    <s v="Timika - Enarotali"/>
    <x v="1034"/>
    <s v="PK-LTZ"/>
    <n v="23"/>
    <n v="18"/>
    <n v="15"/>
    <n v="3"/>
    <n v="18"/>
    <n v="15"/>
    <n v="3"/>
    <n v="0"/>
    <s v="The plane crashed while en route on a one hour flight. The wreckage was found 5 days later."/>
    <n v="0"/>
    <n v="1"/>
    <x v="1"/>
  </r>
  <r>
    <n v="4533"/>
    <x v="4117"/>
    <x v="94"/>
    <x v="4"/>
    <d v="1899-12-30T22:15:00"/>
    <s v="Tehran, Iran"/>
    <s v="Saha Airline Services"/>
    <s v="Unknown"/>
    <s v="Krish - Teran"/>
    <x v="2119"/>
    <s v="EP-SHE"/>
    <s v="21127/915"/>
    <n v="169"/>
    <n v="157"/>
    <n v="12"/>
    <n v="3"/>
    <n v="3"/>
    <n v="0"/>
    <n v="0"/>
    <s v="Soon after experiencing a hard landing an engine began burning while the aircraft was taxiing. The plane then skidded of the runway and fell into the Kan River. One of the passenger's infant fell into the river and drowned while exiting the aircraft."/>
    <n v="166"/>
    <n v="1.7751479289940829E-2"/>
    <x v="2"/>
  </r>
  <r>
    <n v="4534"/>
    <x v="4118"/>
    <x v="94"/>
    <x v="4"/>
    <s v="Unknown"/>
    <s v="Near Baghdad, Iraq"/>
    <s v="Military - Bulgarian"/>
    <s v="Unknown"/>
    <s v="Unknown"/>
    <x v="1756"/>
    <s v="Unknown"/>
    <s v="Unknown"/>
    <n v="11"/>
    <s v="NULL"/>
    <s v="NULL"/>
    <n v="11"/>
    <s v="NULL"/>
    <s v="NULL"/>
    <n v="0"/>
    <s v="Shot down."/>
    <n v="0"/>
    <n v="1"/>
    <x v="1"/>
  </r>
  <r>
    <n v="4535"/>
    <x v="4119"/>
    <x v="94"/>
    <x v="4"/>
    <d v="1899-12-30T11:28:00"/>
    <s v="Pisco, Peru"/>
    <s v="Military - Fuerza Del Peru"/>
    <s v="Unknown"/>
    <s v="Training"/>
    <x v="1624"/>
    <s v="EP-830"/>
    <n v="790304"/>
    <n v="13"/>
    <n v="11"/>
    <n v="2"/>
    <n v="13"/>
    <n v="11"/>
    <n v="2"/>
    <n v="0"/>
    <s v="While taking off on a training flight, the twin engine aircraft stalled and crashed near a petroleum facility near the airport."/>
    <n v="0"/>
    <n v="1"/>
    <x v="1"/>
  </r>
  <r>
    <n v="4536"/>
    <x v="4120"/>
    <x v="94"/>
    <x v="4"/>
    <d v="1899-12-30T22:14:00"/>
    <s v="Near Stratford, New Zealand"/>
    <s v="Airwork NZ"/>
    <n v="23"/>
    <s v="Auckland - Blenheim"/>
    <x v="1480"/>
    <s v="ZK-POA"/>
    <s v="AC-551B"/>
    <n v="2"/>
    <n v="0"/>
    <n v="2"/>
    <n v="2"/>
    <n v="0"/>
    <n v="2"/>
    <n v="0"/>
    <s v="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quot;bank angle&quot;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
    <n v="0"/>
    <n v="1"/>
    <x v="1"/>
  </r>
  <r>
    <n v="4537"/>
    <x v="4121"/>
    <x v="94"/>
    <x v="4"/>
    <d v="1899-12-30T13:30:00"/>
    <s v="Near Kisangani, Democratic Republic Congo"/>
    <s v="Kisangani Airlift"/>
    <s v="Unknown"/>
    <s v="Bangboka - Isiro"/>
    <x v="1195"/>
    <s v="EK-26060"/>
    <n v="17311107"/>
    <n v="11"/>
    <n v="7"/>
    <n v="4"/>
    <n v="10"/>
    <n v="6"/>
    <n v="4"/>
    <n v="0"/>
    <s v="The plane was heading for the town of Isiro when it lost radio contact. As it was returning to Kisangani its propeller hit a tree and the plane lost control."/>
    <n v="1"/>
    <n v="0.90909090909090906"/>
    <x v="1"/>
  </r>
  <r>
    <n v="4538"/>
    <x v="4122"/>
    <x v="94"/>
    <x v="4"/>
    <d v="1899-12-30T11:45:00"/>
    <s v="Lockhart River, Queensland, Australia"/>
    <s v="Aero-Tropics"/>
    <s v="Unknown"/>
    <s v="Bamaga - Lockhart River"/>
    <x v="1737"/>
    <s v="VH-TFU"/>
    <s v="DC-818B"/>
    <n v="15"/>
    <n v="13"/>
    <n v="2"/>
    <n v="15"/>
    <n v="13"/>
    <n v="2"/>
    <n v="0"/>
    <s v="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
    <n v="0"/>
    <n v="1"/>
    <x v="1"/>
  </r>
  <r>
    <n v="4539"/>
    <x v="4123"/>
    <x v="94"/>
    <x v="4"/>
    <d v="1899-12-30T12:20:00"/>
    <s v="El Portezulo, Argentina"/>
    <s v="Transportes Aereos Don Carlos - Charter"/>
    <s v="Unknown"/>
    <s v="Balmaceda, Argentina - Chile Chiro, Chile"/>
    <x v="2120"/>
    <s v="CC-CFS"/>
    <s v="LD-220"/>
    <n v="10"/>
    <n v="9"/>
    <n v="1"/>
    <n v="10"/>
    <n v="9"/>
    <n v="1"/>
    <n v="0"/>
    <s v="The charter flight crashed a few minutes after takeoff under unkown circumstances."/>
    <n v="0"/>
    <n v="1"/>
    <x v="1"/>
  </r>
  <r>
    <n v="4540"/>
    <x v="4124"/>
    <x v="94"/>
    <x v="4"/>
    <d v="1899-12-30T13:27:00"/>
    <s v="Mongu, Zambia"/>
    <s v="Military - Zambia Air Force"/>
    <s v="Unknown"/>
    <s v="Lusaka - Livingstone - Mongu - Lusaka"/>
    <x v="2121"/>
    <s v="AF-216"/>
    <n v="89"/>
    <n v="13"/>
    <n v="8"/>
    <n v="5"/>
    <n v="13"/>
    <n v="8"/>
    <n v="5"/>
    <n v="0"/>
    <s v="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
    <n v="0"/>
    <n v="1"/>
    <x v="1"/>
  </r>
  <r>
    <n v="4541"/>
    <x v="4125"/>
    <x v="94"/>
    <x v="4"/>
    <s v="Unknown"/>
    <s v="Walungu, Congo"/>
    <s v="Charter - Maniema Union (owner Victoria Air)"/>
    <s v="Unknown"/>
    <s v="Goma - Kindu - Kongolo"/>
    <x v="1060"/>
    <s v="9Q-CVG"/>
    <n v="4342404"/>
    <n v="27"/>
    <n v="22"/>
    <n v="5"/>
    <n v="27"/>
    <n v="22"/>
    <n v="5"/>
    <n v="0"/>
    <s v="Crashed into mountains and dense forest. The plane lost contact with the tower 30 minutes after taking off from Goma. The wreckage was found at the bottom of a cliff."/>
    <n v="0"/>
    <n v="1"/>
    <x v="1"/>
  </r>
  <r>
    <n v="4542"/>
    <x v="4126"/>
    <x v="94"/>
    <x v="4"/>
    <d v="1899-12-30T11:15:00"/>
    <s v="Khartoom, Sudan"/>
    <s v="Marsland Aviation"/>
    <n v="430"/>
    <s v="Kartoom - El Obeid - El Fasher"/>
    <x v="1009"/>
    <s v="ST-WAL"/>
    <n v="6991004"/>
    <n v="42"/>
    <n v="36"/>
    <n v="6"/>
    <n v="7"/>
    <n v="6"/>
    <n v="1"/>
    <n v="0"/>
    <s v="The plane crashed during takeoff after a fire erupted in the No. 1 engine. The crew aborted the takeoff but crashed at the end of the runway."/>
    <n v="35"/>
    <n v="0.16666666666666666"/>
    <x v="2"/>
  </r>
  <r>
    <n v="4543"/>
    <x v="4127"/>
    <x v="94"/>
    <x v="4"/>
    <d v="1899-12-30T10:00:00"/>
    <s v="Baney, Equatorial Guinea"/>
    <s v="Ecuatair"/>
    <s v="Unknown"/>
    <s v="Malabala, Bioko Island - Bata"/>
    <x v="1009"/>
    <s v="3C-VQR"/>
    <n v="79901104"/>
    <n v="60"/>
    <n v="54"/>
    <n v="6"/>
    <n v="60"/>
    <n v="54"/>
    <n v="6"/>
    <n v="0"/>
    <s v="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
    <n v="0"/>
    <n v="1"/>
    <x v="1"/>
  </r>
  <r>
    <n v="4544"/>
    <x v="4128"/>
    <x v="94"/>
    <x v="4"/>
    <d v="1899-12-30T16:04:00"/>
    <s v="Toronto, Canada"/>
    <s v="Air France"/>
    <n v="358"/>
    <s v="Paris, France - Toronto Canada"/>
    <x v="2122"/>
    <s v="F-GLZQ"/>
    <n v="289"/>
    <n v="309"/>
    <n v="297"/>
    <n v="12"/>
    <n v="0"/>
    <n v="0"/>
    <n v="0"/>
    <n v="0"/>
    <s v="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
    <n v="309"/>
    <n v="0"/>
    <x v="2"/>
  </r>
  <r>
    <n v="4545"/>
    <x v="4129"/>
    <x v="94"/>
    <x v="4"/>
    <d v="1899-12-30T15:40:00"/>
    <s v="Off Palermo, Italy"/>
    <s v="Tuninter"/>
    <n v="1153"/>
    <s v="Bari, Italy - Djerba, Tunisia"/>
    <x v="2123"/>
    <s v="TS-LBB"/>
    <n v="258"/>
    <n v="39"/>
    <n v="35"/>
    <n v="4"/>
    <n v="16"/>
    <n v="14"/>
    <n v="2"/>
    <n v="0"/>
    <s v="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quot;Punta Raisi&quot; Airport, or even the standard runway 20. Witnesses say he succumbed to panic and began praying out loud, rather than attempting to maneuver the plane to the nearest airport."/>
    <n v="23"/>
    <n v="0.41025641025641024"/>
    <x v="0"/>
  </r>
  <r>
    <n v="4546"/>
    <x v="4130"/>
    <x v="94"/>
    <x v="4"/>
    <d v="1899-12-30T12:43:00"/>
    <s v="Off Talinn, Estonia"/>
    <s v="Copterline"/>
    <s v="Unknown"/>
    <s v="Talinn, Estonia - Helsinki, Finland"/>
    <x v="2124"/>
    <s v="OH-HCI"/>
    <n v="760508"/>
    <n v="14"/>
    <n v="12"/>
    <n v="2"/>
    <n v="14"/>
    <n v="12"/>
    <n v="2"/>
    <n v="0"/>
    <s v="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
    <n v="0"/>
    <n v="1"/>
    <x v="1"/>
  </r>
  <r>
    <n v="4547"/>
    <x v="4131"/>
    <x v="94"/>
    <x v="4"/>
    <d v="1899-12-30T12:20:00"/>
    <s v="Near Grammatikos, Greece"/>
    <s v="Helios Airways"/>
    <n v="522"/>
    <s v="Larnaca, Cyprus - Athens, Greece - Prague, Czech Republic"/>
    <x v="2125"/>
    <s v="5B-DBY"/>
    <s v="29099/2982"/>
    <n v="121"/>
    <n v="115"/>
    <n v="6"/>
    <n v="121"/>
    <n v="115"/>
    <n v="6"/>
    <n v="0"/>
    <s v="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
    <n v="0"/>
    <n v="1"/>
    <x v="1"/>
  </r>
  <r>
    <n v="4548"/>
    <x v="4132"/>
    <x v="94"/>
    <x v="4"/>
    <d v="1899-12-30T03:30:00"/>
    <s v="Near La Cucharita, Venezuela"/>
    <s v="West Caribbean Airways"/>
    <n v="708"/>
    <s v="Panama City - Fort de France, Martinique"/>
    <x v="1584"/>
    <s v="HK-4374X"/>
    <s v="49484/1315"/>
    <n v="160"/>
    <n v="152"/>
    <n v="8"/>
    <n v="160"/>
    <n v="152"/>
    <n v="8"/>
    <n v="0"/>
    <s v="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
    <n v="0"/>
    <n v="1"/>
    <x v="1"/>
  </r>
  <r>
    <n v="4549"/>
    <x v="4133"/>
    <x v="94"/>
    <x v="4"/>
    <d v="1899-12-30T15:06:00"/>
    <s v="Near Pucallpa, Peru"/>
    <s v="TANS Peru"/>
    <n v="204"/>
    <s v="Lima - Pucallpa - Iquitos"/>
    <x v="2126"/>
    <s v="OB-1809"/>
    <s v="22580/87"/>
    <n v="98"/>
    <n v="92"/>
    <n v="6"/>
    <n v="40"/>
    <n v="36"/>
    <n v="4"/>
    <n v="0"/>
    <s v="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
    <n v="58"/>
    <n v="0.40816326530612246"/>
    <x v="0"/>
  </r>
  <r>
    <n v="4550"/>
    <x v="4134"/>
    <x v="94"/>
    <x v="4"/>
    <d v="1899-12-30T09:40:00"/>
    <s v="Medan, Indonesia"/>
    <s v="Mandala Airlines"/>
    <n v="91"/>
    <s v="Medan - Jakarta"/>
    <x v="2127"/>
    <s v="PK-RIM"/>
    <s v="22136/738"/>
    <n v="117"/>
    <n v="112"/>
    <n v="5"/>
    <n v="99"/>
    <n v="94"/>
    <n v="5"/>
    <n v="44"/>
    <s v="Seconds after taking off the jetliner shook violently, veered to the left and crashed into a residential neighborhood 500 yards past the end of the runway. It is speculated that the plane was overloaded."/>
    <n v="18"/>
    <n v="0.84615384615384615"/>
    <x v="1"/>
  </r>
  <r>
    <n v="4551"/>
    <x v="4134"/>
    <x v="94"/>
    <x v="4"/>
    <d v="1899-12-30T07:30:00"/>
    <s v="Isiro, Democtratic Republic Congo"/>
    <s v="Kavatshi Airlines"/>
    <s v="Unknown"/>
    <s v="Beni - Isiro"/>
    <x v="1815"/>
    <s v="ER-AZT"/>
    <n v="9005"/>
    <n v="11"/>
    <n v="7"/>
    <n v="4"/>
    <n v="11"/>
    <n v="7"/>
    <n v="4"/>
    <n v="0"/>
    <s v="While on approach to Runway 31 the plane hit trees, crashed and burned."/>
    <n v="0"/>
    <n v="1"/>
    <x v="1"/>
  </r>
  <r>
    <n v="4552"/>
    <x v="4135"/>
    <x v="94"/>
    <x v="4"/>
    <d v="1899-12-30T15:45:00"/>
    <s v="Near Brazzaville, Congo"/>
    <s v="Air Kasai"/>
    <s v="Unknown"/>
    <s v="Boende - Kinshasa"/>
    <x v="2128"/>
    <s v="9Q-CFD"/>
    <n v="37312901"/>
    <n v="14"/>
    <n v="11"/>
    <n v="3"/>
    <n v="14"/>
    <n v="11"/>
    <n v="3"/>
    <n v="0"/>
    <s v="While en route, a witness saw the plane lose altitude and crash to the ground and disintegrate into pieces north of Brazzaville. Weather was poor with thunderstorms and strong winds."/>
    <n v="0"/>
    <n v="1"/>
    <x v="1"/>
  </r>
  <r>
    <n v="4553"/>
    <x v="4136"/>
    <x v="94"/>
    <x v="4"/>
    <s v="Unknown"/>
    <s v="Aru, Democratic Republic Cogo"/>
    <s v="Wimbi Dira Airways"/>
    <s v="Unknown"/>
    <s v="Kisangani - Bunia"/>
    <x v="2129"/>
    <s v="9Q-CWC"/>
    <n v="2400901"/>
    <n v="100"/>
    <n v="96"/>
    <n v="4"/>
    <n v="2"/>
    <n v="2"/>
    <n v="0"/>
    <n v="0"/>
    <s v="The aircraft carrying troops made a hard landing causing the landing gear to penetrate the fuselage. Two passengers were killed when they exited the plane and ran into the propellers which were still turning."/>
    <n v="98"/>
    <n v="0.02"/>
    <x v="2"/>
  </r>
  <r>
    <n v="4554"/>
    <x v="4137"/>
    <x v="94"/>
    <x v="4"/>
    <d v="1899-12-30T20:40:00"/>
    <s v="Lisa, Nigeria"/>
    <s v="Bellview Airlines"/>
    <n v="3210"/>
    <s v="Lagos - Abuja"/>
    <x v="2130"/>
    <s v="5N-BFN"/>
    <s v="22734/818"/>
    <n v="117"/>
    <n v="111"/>
    <n v="6"/>
    <n v="117"/>
    <n v="111"/>
    <n v="6"/>
    <n v="0"/>
    <s v="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
    <n v="0"/>
    <n v="1"/>
    <x v="1"/>
  </r>
  <r>
    <n v="4555"/>
    <x v="4138"/>
    <x v="94"/>
    <x v="4"/>
    <d v="1899-12-30T14:15:00"/>
    <s v="Tehran, Iran"/>
    <s v="Military - Islamic Republic of Iran Air Force"/>
    <s v="Unknown"/>
    <s v="Tehran - Bandar Abbas"/>
    <x v="1013"/>
    <d v="8512-05-01T00:00:00"/>
    <n v="4386"/>
    <n v="94"/>
    <n v="84"/>
    <n v="10"/>
    <n v="94"/>
    <n v="84"/>
    <n v="10"/>
    <n v="14"/>
    <s v="The military plane crashed into an apartment building in the Azari district after taking off from Mehrabad Airport. The plane suffered engine failure and was attempting to return for a emergency landing."/>
    <n v="0"/>
    <n v="1"/>
    <x v="1"/>
  </r>
  <r>
    <n v="4556"/>
    <x v="4139"/>
    <x v="94"/>
    <x v="4"/>
    <d v="1899-12-30T19:15:00"/>
    <s v="Chicago, Illinois"/>
    <s v="Southwest Airlines"/>
    <n v="1248"/>
    <s v="Baltimore, Maryland - Chicago, Illinois - Las Vegas, Nevada"/>
    <x v="2131"/>
    <s v="N471WN"/>
    <s v="32471/1535"/>
    <n v="103"/>
    <n v="98"/>
    <n v="5"/>
    <n v="0"/>
    <n v="0"/>
    <n v="0"/>
    <n v="1"/>
    <s v="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n v="103"/>
    <n v="0"/>
    <x v="2"/>
  </r>
  <r>
    <n v="4557"/>
    <x v="4140"/>
    <x v="94"/>
    <x v="4"/>
    <d v="1899-12-30T14:08:00"/>
    <s v="Near Port Harcourt, Nigeria"/>
    <s v="Sosoliso Airlines"/>
    <n v="1145"/>
    <s v="Abuja - Port Harcourt"/>
    <x v="2132"/>
    <s v="5N-BFD"/>
    <s v="47562/685"/>
    <n v="110"/>
    <n v="103"/>
    <n v="7"/>
    <n v="108"/>
    <n v="101"/>
    <n v="7"/>
    <n v="0"/>
    <s v="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
    <n v="2"/>
    <n v="0.98181818181818181"/>
    <x v="1"/>
  </r>
  <r>
    <n v="4558"/>
    <x v="4141"/>
    <x v="94"/>
    <x v="4"/>
    <d v="1899-12-30T14:40:00"/>
    <s v="Off Miami Beach, Florida"/>
    <s v="Chalk's Ocean Airways"/>
    <n v="101"/>
    <s v="Miami, Florida - Bimini, Bahamas"/>
    <x v="2133"/>
    <s v="N2969"/>
    <s v="J-27"/>
    <n v="20"/>
    <n v="18"/>
    <n v="2"/>
    <n v="20"/>
    <n v="18"/>
    <n v="2"/>
    <n v="0"/>
    <s v="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
    <n v="0"/>
    <n v="1"/>
    <x v="1"/>
  </r>
  <r>
    <n v="4559"/>
    <x v="4142"/>
    <x v="94"/>
    <x v="4"/>
    <d v="1899-12-30T22:27:00"/>
    <s v="Nardaran, Azerbaijan"/>
    <s v="Azerbaijan Airlines"/>
    <n v="217"/>
    <s v="Baku, Azerbaijan - Aktau, Kazakhstan"/>
    <x v="2134"/>
    <s v="  4K-AZ48"/>
    <n v="36525307036"/>
    <n v="23"/>
    <n v="18"/>
    <n v="5"/>
    <n v="23"/>
    <n v="18"/>
    <n v="5"/>
    <n v="0"/>
    <s v="The plane crashed along the shore of the Caspian Sea 8 minutes after taking off from Baku. Instrument failure left the crew unable to control the aircraft."/>
    <n v="0"/>
    <n v="1"/>
    <x v="1"/>
  </r>
  <r>
    <n v="4560"/>
    <x v="4143"/>
    <x v="95"/>
    <x v="4"/>
    <d v="1899-12-30T11:11:00"/>
    <s v="Near Karkov"/>
    <s v="Evolga"/>
    <s v="Unknown"/>
    <s v="Moscow - Karkov"/>
    <x v="2135"/>
    <s v="P4-AOD"/>
    <n v="257153"/>
    <n v="3"/>
    <n v="0"/>
    <n v="3"/>
    <n v="3"/>
    <n v="0"/>
    <n v="3"/>
    <n v="0"/>
    <s v="On a positionning flight from Sheremetyevo to Kharkov to pick up passengers, while on final approach, the aircraft crashed in a frozen lake 3 km from runway threshold."/>
    <n v="0"/>
    <n v="1"/>
    <x v="1"/>
  </r>
  <r>
    <n v="4561"/>
    <x v="4144"/>
    <x v="95"/>
    <x v="4"/>
    <s v="Unknown"/>
    <s v="Near Tal Afar, Iraq"/>
    <s v="Military - US Army"/>
    <s v="Unknown"/>
    <s v="Unknown"/>
    <x v="2136"/>
    <s v="91-26346"/>
    <s v="Unknown"/>
    <n v="12"/>
    <s v="NULL"/>
    <s v="NULL"/>
    <n v="12"/>
    <s v="NULL"/>
    <s v="NULL"/>
    <n v="0"/>
    <s v="Crashed in bad weather."/>
    <n v="0"/>
    <n v="1"/>
    <x v="1"/>
  </r>
  <r>
    <n v="4562"/>
    <x v="4145"/>
    <x v="95"/>
    <x v="4"/>
    <d v="1899-12-30T13:00:00"/>
    <s v="Bukalaza, Uganda"/>
    <s v="Service Air"/>
    <s v="Unknown"/>
    <s v="Entebbe - Kinshasa"/>
    <x v="1914"/>
    <s v="9Q-CIH"/>
    <n v="4341803"/>
    <n v="6"/>
    <n v="0"/>
    <n v="6"/>
    <n v="6"/>
    <n v="0"/>
    <n v="6"/>
    <n v="0"/>
    <s v="The cargo plane carrying humanitarian relief items crashed shortly after takeoff. The cause was determined to be engine failure and an overweight and improperly balanced plane."/>
    <n v="0"/>
    <n v="1"/>
    <x v="1"/>
  </r>
  <r>
    <n v="4563"/>
    <x v="4146"/>
    <x v="95"/>
    <x v="4"/>
    <d v="1899-12-30T09:30:00"/>
    <s v="Near Orumiyeh, Iran"/>
    <s v="Military - Iranian Revolutionary Guard Corps Air Force"/>
    <s v="Unknown"/>
    <s v="Tehran - Orumiyeh"/>
    <x v="1643"/>
    <s v="15-2233"/>
    <n v="318"/>
    <n v="11"/>
    <n v="8"/>
    <n v="3"/>
    <n v="11"/>
    <n v="8"/>
    <n v="3"/>
    <n v="0"/>
    <s v="After a flyby to check on a stuck landing gear, the plane suffered a double engine flame-out and crashed into a field in poor weather conditions."/>
    <n v="0"/>
    <n v="1"/>
    <x v="1"/>
  </r>
  <r>
    <n v="4564"/>
    <x v="4147"/>
    <x v="95"/>
    <x v="4"/>
    <d v="1899-12-30T19:30:00"/>
    <s v="Near Telkibanya, Hungary"/>
    <s v="Military - Slovak Air Force"/>
    <s v="Unknown"/>
    <s v="Pristina - Kosice"/>
    <x v="1086"/>
    <n v="5605"/>
    <n v="97305605"/>
    <n v="43"/>
    <n v="35"/>
    <n v="8"/>
    <n v="42"/>
    <n v="34"/>
    <n v="8"/>
    <n v="0"/>
    <s v="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
    <n v="1"/>
    <n v="0.97674418604651159"/>
    <x v="1"/>
  </r>
  <r>
    <n v="4565"/>
    <x v="4148"/>
    <x v="95"/>
    <x v="4"/>
    <d v="1899-12-30T16:53:00"/>
    <s v="Near Watertown, Wisconson"/>
    <s v="Air Cargo Carriers"/>
    <s v="Unknown"/>
    <s v="Unknown"/>
    <x v="2137"/>
    <s v="N3735W/N372AC"/>
    <s v="SH-3735/SH-3720"/>
    <n v="3"/>
    <n v="1"/>
    <n v="2"/>
    <n v="3"/>
    <n v="1"/>
    <n v="2"/>
    <n v="0"/>
    <s v="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
    <n v="0"/>
    <n v="1"/>
    <x v="1"/>
  </r>
  <r>
    <n v="4566"/>
    <x v="4149"/>
    <x v="95"/>
    <x v="4"/>
    <d v="1899-12-30T12:12:00"/>
    <s v="Near Paris, Tennessee"/>
    <s v="TriCoastal Air"/>
    <s v="Unknown"/>
    <s v="Dayton, Ohio -"/>
    <x v="1509"/>
    <s v="N629EK"/>
    <s v="TC-396"/>
    <n v="1"/>
    <n v="0"/>
    <n v="1"/>
    <n v="1"/>
    <n v="0"/>
    <n v="1"/>
    <n v="0"/>
    <s v="The pilot of the cargo flight reported he had an asymmetric fuel condition. The pilot  asked for a lower altitude and controllers cleared the flight to 4,000 feet. About a minute later the pilot transmitted six &quot;Maydays.&quot; The airplane then descended in  a near vertical dive until it crashed into a pasture. The pilot's inflight loss of control following a reported fuel asymmetry condition for undetermined reasons."/>
    <n v="0"/>
    <n v="1"/>
    <x v="1"/>
  </r>
  <r>
    <n v="4567"/>
    <x v="4150"/>
    <x v="95"/>
    <x v="4"/>
    <d v="1899-12-30T17:39:00"/>
    <s v="Rio Bonito, Brazil"/>
    <s v="Team Air"/>
    <n v="6865"/>
    <s v="MacaÃ© - Rio de Janeiro"/>
    <x v="2138"/>
    <s v="PT-FSE"/>
    <n v="912532"/>
    <n v="19"/>
    <n v="17"/>
    <n v="2"/>
    <n v="19"/>
    <n v="17"/>
    <n v="2"/>
    <n v="0"/>
    <s v="Twenty minutes after taking off from MacaÃ©, the plane disappeared of Rio de Janeiro radar. The crew was flying VFR in poor weather conditions and changed their route attempting to fly to the coast. The plane crashed in a wooded area, exploded and burned."/>
    <n v="0"/>
    <n v="1"/>
    <x v="1"/>
  </r>
  <r>
    <n v="4568"/>
    <x v="4151"/>
    <x v="95"/>
    <x v="4"/>
    <d v="1899-12-30T10:00:00"/>
    <s v="Marsabit, Kenya"/>
    <s v="Military - Kenya Air Force"/>
    <s v="Unknown"/>
    <s v="Nairobi - Eastleigh AFB"/>
    <x v="1856"/>
    <n v="132"/>
    <n v="98"/>
    <n v="17"/>
    <n v="13"/>
    <n v="4"/>
    <n v="14"/>
    <n v="12"/>
    <n v="2"/>
    <n v="0"/>
    <s v="While on approach the airplane flew into the side of Mount Marsabit which was obscured by clouds."/>
    <n v="3"/>
    <n v="0.82352941176470584"/>
    <x v="1"/>
  </r>
  <r>
    <n v="4569"/>
    <x v="4152"/>
    <x v="95"/>
    <x v="4"/>
    <d v="1899-12-30T04:55:00"/>
    <s v="KoussÃ©ri, Cameroon"/>
    <s v="Military - Lybian Arab Air Force"/>
    <s v="Unknown"/>
    <s v="Sebha - N'Djamena"/>
    <x v="2139"/>
    <s v="UR-74038"/>
    <n v="36547097933"/>
    <n v="6"/>
    <n v="0"/>
    <n v="6"/>
    <n v="6"/>
    <n v="0"/>
    <n v="6"/>
    <n v="0"/>
    <s v="Upon arrival of the cargo flight, the crew indicated a technical problem to ATC and few minutes later the plane crashed in an open field located near N'Djamena,"/>
    <n v="0"/>
    <n v="1"/>
    <x v="1"/>
  </r>
  <r>
    <n v="4570"/>
    <x v="4153"/>
    <x v="95"/>
    <x v="4"/>
    <d v="1899-12-30T11:45:00"/>
    <s v="Lashkar Gah, Afghanistan"/>
    <s v="U.S. Government (leased)"/>
    <s v="Unknown"/>
    <s v="Kabul - Kandahar - Lashkar Gah"/>
    <x v="1805"/>
    <s v="ZS-PDV"/>
    <n v="3003"/>
    <n v="16"/>
    <n v="12"/>
    <n v="4"/>
    <n v="2"/>
    <n v="0"/>
    <n v="2"/>
    <n v="3"/>
    <s v="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
    <n v="14"/>
    <n v="0.125"/>
    <x v="2"/>
  </r>
  <r>
    <n v="4571"/>
    <x v="4154"/>
    <x v="95"/>
    <x v="4"/>
    <d v="1899-12-30T02:15:00"/>
    <s v="Off Adler, Russia"/>
    <s v="Armavia"/>
    <n v="967"/>
    <s v="Yerevan, Armenia - Sochi, Russia"/>
    <x v="1772"/>
    <s v="EK-32009"/>
    <n v="547"/>
    <n v="113"/>
    <n v="105"/>
    <n v="8"/>
    <n v="113"/>
    <n v="105"/>
    <n v="8"/>
    <n v="0"/>
    <s v="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
    <n v="0"/>
    <n v="1"/>
    <x v="1"/>
  </r>
  <r>
    <n v="4572"/>
    <x v="4155"/>
    <x v="95"/>
    <x v="4"/>
    <d v="1899-12-30T12:32:00"/>
    <s v="La Ronge, Saskatchewan"/>
    <s v="Saskatchewan Government Northern Air Operations"/>
    <s v="Unknown"/>
    <s v="Training"/>
    <x v="1030"/>
    <s v="C-GSKJ"/>
    <n v="202"/>
    <n v="3"/>
    <n v="0"/>
    <n v="3"/>
    <n v="1"/>
    <n v="0"/>
    <n v="1"/>
    <n v="0"/>
    <s v="On a climbout after a touch-and-go landing, the aircraft veered to the left, lost altitude and crashed in a wooded area 1 nm northwest of the airport."/>
    <n v="2"/>
    <n v="0.33333333333333331"/>
    <x v="2"/>
  </r>
  <r>
    <n v="4573"/>
    <x v="4156"/>
    <x v="95"/>
    <x v="4"/>
    <d v="1899-12-30T18:22:00"/>
    <s v="Off SÃ£o TomÃ© Island"/>
    <s v="Air SÃ£o TomÃ©"/>
    <s v="Unknown"/>
    <s v="Training"/>
    <x v="1220"/>
    <s v="S9-BAL"/>
    <n v="648"/>
    <n v="4"/>
    <n v="2"/>
    <n v="2"/>
    <n v="4"/>
    <n v="2"/>
    <n v="2"/>
    <n v="0"/>
    <s v="The aircraft disappeared from radar screens while on approach to SÃ£o TomÃ© Island. The aircraft crashed in sea a  few km off shore."/>
    <n v="0"/>
    <n v="1"/>
    <x v="1"/>
  </r>
  <r>
    <n v="4574"/>
    <x v="4157"/>
    <x v="95"/>
    <x v="4"/>
    <d v="1899-12-30T15:00:00"/>
    <s v="Yaocun, China"/>
    <s v="Military - Chinese Air Force"/>
    <s v="Unknown"/>
    <s v="Unknown"/>
    <x v="2140"/>
    <s v="Unknown"/>
    <s v="Unknown"/>
    <n v="40"/>
    <n v="35"/>
    <n v="5"/>
    <n v="40"/>
    <n v="35"/>
    <n v="5"/>
    <n v="0"/>
    <s v="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
    <n v="0"/>
    <n v="1"/>
    <x v="1"/>
  </r>
  <r>
    <n v="4575"/>
    <x v="4158"/>
    <x v="95"/>
    <x v="4"/>
    <d v="1899-12-30T18:30:00"/>
    <s v="AbÃ©chÃ©, Chad"/>
    <s v="Military - Chadian Air Force"/>
    <s v="Unknown"/>
    <s v="N'djamena - AbÃ©chÃ©"/>
    <x v="1298"/>
    <s v="TT-PAF"/>
    <n v="5141"/>
    <n v="7"/>
    <n v="0"/>
    <n v="7"/>
    <n v="5"/>
    <n v="0"/>
    <n v="5"/>
    <n v="0"/>
    <s v="The military plane crashed into trees past the end of the runway as it tried to land at night at an unlit airport. Chadian rebels however, claim to have shot it down with a surface-to-air missile. The pilot and copilot survived."/>
    <n v="2"/>
    <n v="0.7142857142857143"/>
    <x v="1"/>
  </r>
  <r>
    <n v="4576"/>
    <x v="4159"/>
    <x v="95"/>
    <x v="4"/>
    <d v="1899-12-30T12:03:00"/>
    <s v="Jumla, Napal"/>
    <s v="Yeti Airlines"/>
    <s v="Unknown"/>
    <s v="Surkhet - Jumla"/>
    <x v="1220"/>
    <s v="9N-AEQ"/>
    <n v="708"/>
    <n v="9"/>
    <n v="6"/>
    <n v="3"/>
    <n v="9"/>
    <n v="6"/>
    <n v="3"/>
    <n v="0"/>
    <s v="The plane crashed into a mountain on the east side of the airport after the pilot executed a go-around. The accident happened 1 kilometer from the airport."/>
    <n v="0"/>
    <n v="1"/>
    <x v="1"/>
  </r>
  <r>
    <n v="4577"/>
    <x v="4160"/>
    <x v="95"/>
    <x v="4"/>
    <d v="1899-12-30T15:35:00"/>
    <s v="Sake, Democratic Republic Congo"/>
    <s v="Mango Airlines"/>
    <s v="Unknown"/>
    <s v="Goma - Kisangani"/>
    <x v="1160"/>
    <s v="9Q-CVT"/>
    <n v="3341506"/>
    <n v="5"/>
    <n v="2"/>
    <n v="3"/>
    <n v="5"/>
    <n v="2"/>
    <n v="3"/>
    <n v="0"/>
    <s v="The cargo plane had engine failure and struck a hill as it lost altitude."/>
    <n v="0"/>
    <n v="1"/>
    <x v="1"/>
  </r>
  <r>
    <n v="4578"/>
    <x v="4161"/>
    <x v="95"/>
    <x v="4"/>
    <d v="1899-12-30T07:44:00"/>
    <s v="Irkutsk, Russia"/>
    <s v="Sibir (S7)"/>
    <s v="S7-778"/>
    <s v="Moscow - Irkutsk"/>
    <x v="2141"/>
    <s v="F-OGYP"/>
    <n v="442"/>
    <n v="203"/>
    <n v="195"/>
    <n v="8"/>
    <n v="125"/>
    <n v="120"/>
    <n v="5"/>
    <n v="0"/>
    <s v="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
    <n v="78"/>
    <n v="0.61576354679802958"/>
    <x v="0"/>
  </r>
  <r>
    <n v="4579"/>
    <x v="4162"/>
    <x v="95"/>
    <x v="4"/>
    <d v="1899-12-30T12:05:00"/>
    <s v="Multan, Pakistan"/>
    <s v="Pakistan International Airlines"/>
    <n v="688"/>
    <s v="Multan - Lahore"/>
    <x v="986"/>
    <s v="AP-BAL"/>
    <n v="10243"/>
    <n v="45"/>
    <n v="41"/>
    <n v="4"/>
    <n v="45"/>
    <n v="41"/>
    <n v="4"/>
    <n v="0"/>
    <s v="The plane lost an engine during take off, struck power lines and crashed into a wheat field bursting into flames. Possible engine fire."/>
    <n v="0"/>
    <n v="1"/>
    <x v="1"/>
  </r>
  <r>
    <n v="4580"/>
    <x v="4163"/>
    <x v="95"/>
    <x v="4"/>
    <s v="Unknown"/>
    <s v="Afghanistan"/>
    <s v="Afghan Army"/>
    <s v="Unknown"/>
    <s v="Khost to Kabul"/>
    <x v="1756"/>
    <s v="Unknown"/>
    <s v="Unknown"/>
    <n v="17"/>
    <n v="14"/>
    <n v="3"/>
    <n v="17"/>
    <n v="14"/>
    <n v="3"/>
    <n v="0"/>
    <s v="Crashed while en route"/>
    <n v="0"/>
    <n v="1"/>
    <x v="1"/>
  </r>
  <r>
    <n v="4581"/>
    <x v="4164"/>
    <x v="95"/>
    <x v="4"/>
    <s v="Unknown"/>
    <s v="Bukavu, Democratic Republic Congo"/>
    <s v="Tracep"/>
    <s v="Unknown"/>
    <s v="Lugushwa - Bukavu"/>
    <x v="1745"/>
    <s v="9Q-COM"/>
    <s v="1AJ008-21"/>
    <n v="17"/>
    <n v="14"/>
    <n v="3"/>
    <n v="17"/>
    <n v="14"/>
    <n v="3"/>
    <n v="0"/>
    <s v="The aircraft was flying in low cloud and poor weather conditions as it approached the airport at Bukavu when it clipped a mountainside and plunged into the forest in flames 9 miles short of the runway."/>
    <n v="0"/>
    <n v="1"/>
    <x v="1"/>
  </r>
  <r>
    <n v="4582"/>
    <x v="4165"/>
    <x v="95"/>
    <x v="4"/>
    <d v="1899-12-30T09:30:00"/>
    <s v="Near Pownal, Vermont"/>
    <s v="AirNow"/>
    <n v="59"/>
    <s v="Binghamton, NY - Benningham, VT"/>
    <x v="1791"/>
    <s v="N59BA"/>
    <s v="110-396"/>
    <n v="1"/>
    <n v="0"/>
    <n v="1"/>
    <n v="1"/>
    <n v="0"/>
    <n v="1"/>
    <n v="0"/>
    <s v="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
    <n v="0"/>
    <n v="1"/>
    <x v="1"/>
  </r>
  <r>
    <n v="4583"/>
    <x v="4166"/>
    <x v="95"/>
    <x v="4"/>
    <d v="1899-12-30T20:15:00"/>
    <s v="Near Piacenza, Italy"/>
    <s v="Air Algerie"/>
    <n v="2208"/>
    <s v="Algiers - Frankfurt"/>
    <x v="1259"/>
    <s v="7T-VHG"/>
    <n v="4880"/>
    <n v="3"/>
    <n v="0"/>
    <n v="3"/>
    <n v="3"/>
    <n v="0"/>
    <n v="3"/>
    <n v="0"/>
    <s v="The cargo plane crashed after reporting engine problems while en route ."/>
    <n v="0"/>
    <n v="1"/>
    <x v="1"/>
  </r>
  <r>
    <n v="4584"/>
    <x v="4167"/>
    <x v="95"/>
    <x v="4"/>
    <d v="1899-12-30T15:30:00"/>
    <s v="Near Donetsk, Ukraine"/>
    <s v="Pulkovo Airlines"/>
    <s v="SP-612"/>
    <s v="Anapa - St. Petersburg"/>
    <x v="1780"/>
    <s v="RA-85185"/>
    <n v="894"/>
    <n v="170"/>
    <n v="160"/>
    <n v="10"/>
    <n v="170"/>
    <n v="160"/>
    <n v="10"/>
    <n v="0"/>
    <s v="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n v="0"/>
    <n v="1"/>
    <x v="1"/>
  </r>
  <r>
    <n v="4585"/>
    <x v="4168"/>
    <x v="95"/>
    <x v="4"/>
    <d v="1899-12-30T06:07:00"/>
    <s v="Lexington, Kentucky"/>
    <s v="Comair"/>
    <n v="5191"/>
    <s v="Lexington - Atlanta"/>
    <x v="2142"/>
    <s v="N431CA"/>
    <n v="7472"/>
    <n v="50"/>
    <n v="47"/>
    <n v="3"/>
    <n v="49"/>
    <n v="47"/>
    <n v="2"/>
    <n v="0"/>
    <s v="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
    <n v="1"/>
    <n v="0.98"/>
    <x v="1"/>
  </r>
  <r>
    <n v="4586"/>
    <x v="4169"/>
    <x v="95"/>
    <x v="4"/>
    <d v="1899-12-30T13:45:00"/>
    <s v="Mahad, Iran"/>
    <s v="Iran Air Tours"/>
    <s v="Unknown"/>
    <s v="Bandar Abbas - Mashad"/>
    <x v="1780"/>
    <s v="EP-MCF"/>
    <s v="88A788"/>
    <n v="148"/>
    <n v="137"/>
    <n v="11"/>
    <n v="29"/>
    <n v="29"/>
    <n v="0"/>
    <n v="0"/>
    <s v="The plane crashed while attempting to land. The plane's left wing may have come into contact with the ground causing the plane to skid off the runway and catch fire."/>
    <n v="119"/>
    <n v="0.19594594594594594"/>
    <x v="2"/>
  </r>
  <r>
    <n v="4587"/>
    <x v="4170"/>
    <x v="95"/>
    <x v="4"/>
    <d v="1899-12-30T16:30:00"/>
    <s v="Near Kandahar, Afghanistan"/>
    <s v="Military - Royal Air Force"/>
    <s v="Unknown"/>
    <s v="Unknown"/>
    <x v="2143"/>
    <s v="XV-230"/>
    <n v="8005"/>
    <n v="14"/>
    <n v="12"/>
    <n v="2"/>
    <n v="14"/>
    <n v="12"/>
    <n v="2"/>
    <n v="0"/>
    <s v="The NATO supporting aircraft crashed 12 miles west of Kandahar after the crew reported technical problems. The accident was most likely caused by an ignited fuel leak."/>
    <n v="0"/>
    <n v="1"/>
    <x v="1"/>
  </r>
  <r>
    <n v="4588"/>
    <x v="4171"/>
    <x v="95"/>
    <x v="4"/>
    <d v="1899-12-30T17:30:00"/>
    <s v="Vladikavkaz, Russia"/>
    <s v="Military - Russian Army"/>
    <s v="Unknown"/>
    <s v="Gizel - Khankala"/>
    <x v="2023"/>
    <s v="Unknown"/>
    <s v="Unknown"/>
    <n v="15"/>
    <n v="12"/>
    <n v="3"/>
    <n v="12"/>
    <n v="12"/>
    <n v="0"/>
    <n v="0"/>
    <s v="Eleven high ranking officers were killed when the helicopter crashed to the ground, split in two and caught fire. A North Ossetian militant group called Kataib al-Khoul claimed responsibility for shooting down the helicopter."/>
    <n v="3"/>
    <n v="0.8"/>
    <x v="1"/>
  </r>
  <r>
    <n v="4589"/>
    <x v="4172"/>
    <x v="95"/>
    <x v="4"/>
    <d v="1899-12-30T10:15:00"/>
    <s v="Vandeikya, Nigeria"/>
    <s v="Military - Nigerian Air Force"/>
    <s v="Unknown"/>
    <s v="Abuja - Obudu"/>
    <x v="2144"/>
    <s v="NAF033"/>
    <n v="8229"/>
    <n v="18"/>
    <n v="15"/>
    <n v="3"/>
    <n v="13"/>
    <n v="11"/>
    <n v="2"/>
    <n v="0"/>
    <s v="The military plane crashed en route less than 20 minutes from the end of a one-hour flight, 18 nm from its destination. Ten top ranking military officials were killed in the crash. The weather was poor at the time of the accident."/>
    <n v="5"/>
    <n v="0.72222222222222221"/>
    <x v="1"/>
  </r>
  <r>
    <n v="4590"/>
    <x v="4173"/>
    <x v="95"/>
    <x v="4"/>
    <d v="1899-12-30T15:59:00"/>
    <s v="Near Sao Felix do Araguaia , Brazil"/>
    <s v="Gol Airlines / Private"/>
    <n v="1907"/>
    <s v="Manaus - Brasilia"/>
    <x v="2145"/>
    <s v="PR-GTD / N600XL"/>
    <s v="34653/2039 /14500965"/>
    <n v="161"/>
    <n v="153"/>
    <n v="8"/>
    <n v="154"/>
    <n v="148"/>
    <n v="6"/>
    <n v="0"/>
    <s v="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
    <n v="7"/>
    <n v="0.95652173913043481"/>
    <x v="1"/>
  </r>
  <r>
    <n v="4591"/>
    <x v="4174"/>
    <x v="95"/>
    <x v="4"/>
    <d v="1899-12-30T07:35:00"/>
    <s v="Stord, Norway"/>
    <s v="Atlantic Airways"/>
    <n v="670"/>
    <s v="Stavanger - Stord"/>
    <x v="2146"/>
    <s v="OY-CRG"/>
    <s v="2075/75"/>
    <n v="16"/>
    <n v="12"/>
    <n v="4"/>
    <n v="4"/>
    <n v="3"/>
    <n v="1"/>
    <n v="0"/>
    <s v="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
    <n v="12"/>
    <n v="0.25"/>
    <x v="2"/>
  </r>
  <r>
    <n v="4592"/>
    <x v="4175"/>
    <x v="95"/>
    <x v="4"/>
    <d v="1899-12-30T07:30:00"/>
    <s v="Tashkent, Russia"/>
    <s v="Military - Russian Air Force/Uzbekistan Airways"/>
    <s v="Unknown"/>
    <s v="Training/Aranchi"/>
    <x v="997"/>
    <s v="UK-70152"/>
    <s v="1G137-26Â "/>
    <n v="15"/>
    <n v="13"/>
    <n v="2"/>
    <n v="15"/>
    <n v="13"/>
    <n v="2"/>
    <n v="0"/>
    <s v="The plane belonging to Uzbekistan Airways and carrying Uzbek servicemen, crashed after losing control while attempting to land in poor weather conditions. On it's final approach, fog reduced visibility and the aircraft descended below the MDA. It crashed a few miles from the airport."/>
    <n v="0"/>
    <n v="1"/>
    <x v="1"/>
  </r>
  <r>
    <n v="4593"/>
    <x v="4176"/>
    <x v="95"/>
    <x v="4"/>
    <d v="1899-12-30T11:30:00"/>
    <s v="Near Abuja, Nigeria"/>
    <s v="ADC Airlines"/>
    <n v="53"/>
    <s v="Lagos - Abuja - Sokoto"/>
    <x v="2147"/>
    <s v="5N-BFK"/>
    <s v="22891/998"/>
    <n v="105"/>
    <n v="100"/>
    <n v="5"/>
    <n v="96"/>
    <n v="92"/>
    <n v="4"/>
    <n v="0"/>
    <s v="The jetliner crashed into a corn field about a mile from the end of the runway while attempting to take off from Abuja. The pilot did not heed air traffic controllers' advice to not depart in stormy weather. The pilotsâ€™ incorrect actions stalled the plane."/>
    <n v="9"/>
    <n v="0.91428571428571426"/>
    <x v="1"/>
  </r>
  <r>
    <n v="4594"/>
    <x v="4177"/>
    <x v="95"/>
    <x v="4"/>
    <d v="1899-12-30T08:07:00"/>
    <s v="Puncak Jaya, Indonesia"/>
    <s v="Trigana Air Service"/>
    <s v="Unknown"/>
    <s v="Mulia - Ilaga"/>
    <x v="1220"/>
    <s v="PK-YPY"/>
    <n v="535"/>
    <n v="12"/>
    <n v="9"/>
    <n v="3"/>
    <n v="12"/>
    <n v="9"/>
    <n v="3"/>
    <n v="0"/>
    <s v="The aircraft struck a mountain seven minutes before it was scheduled to land in the remote Indonesian province of Papua."/>
    <n v="0"/>
    <n v="1"/>
    <x v="1"/>
  </r>
  <r>
    <n v="4595"/>
    <x v="4178"/>
    <x v="95"/>
    <x v="4"/>
    <d v="1899-12-30T21:00:00"/>
    <s v="Near Leticia, Colombia"/>
    <s v="Aerosucre Colombia"/>
    <s v="Unknown"/>
    <s v="Bogota - Leticia"/>
    <x v="2148"/>
    <s v="HK-3667X"/>
    <s v="19430/366"/>
    <n v="5"/>
    <n v="2"/>
    <n v="3"/>
    <n v="5"/>
    <n v="2"/>
    <n v="3"/>
    <n v="0"/>
    <s v="The cargo plane was on final approach when it hit a antenna tower and crashed. Fog and poor visibility prevailed at the time of the accident."/>
    <n v="0"/>
    <n v="1"/>
    <x v="1"/>
  </r>
  <r>
    <n v="4596"/>
    <x v="4179"/>
    <x v="95"/>
    <x v="4"/>
    <d v="1899-12-30T07:20:00"/>
    <s v="Tehran, Iran"/>
    <s v="Military - Iranian Revolutionary Guard Corps Air Force"/>
    <s v="Unknown"/>
    <s v="Tehran - Shiraz"/>
    <x v="2149"/>
    <s v="15-2255"/>
    <s v="470991045/2010"/>
    <n v="38"/>
    <n v="32"/>
    <n v="6"/>
    <n v="38"/>
    <n v="32"/>
    <n v="6"/>
    <n v="0"/>
    <s v="The aircraft crashed after losing the right engine during a critical point in the takeoff. The plane stalled, veered to the right and crashed in flames. Three survivors later died in the hospital."/>
    <n v="0"/>
    <n v="1"/>
    <x v="1"/>
  </r>
  <r>
    <n v="4597"/>
    <x v="4180"/>
    <x v="95"/>
    <x v="4"/>
    <d v="1899-12-30T02:00:00"/>
    <s v="Cajon Pass, California"/>
    <s v="Air ambulance - Mercy Air Services"/>
    <s v="Unknown"/>
    <s v="Loma Linda - Victorville"/>
    <x v="1638"/>
    <s v="N410MA"/>
    <n v="33125"/>
    <n v="3"/>
    <n v="0"/>
    <n v="3"/>
    <n v="3"/>
    <n v="0"/>
    <n v="3"/>
    <n v="0"/>
    <s v="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
    <n v="0"/>
    <n v="1"/>
    <x v="1"/>
  </r>
  <r>
    <n v="4598"/>
    <x v="4181"/>
    <x v="96"/>
    <x v="4"/>
    <d v="1899-12-30T14:07:00"/>
    <s v="Off Parepare, Indonesia"/>
    <s v="Adam Air"/>
    <n v="574"/>
    <s v="Surabaya, East Java - Manado, Indonesia"/>
    <x v="2150"/>
    <s v="PK-KKW"/>
    <n v="24070"/>
    <n v="102"/>
    <n v="96"/>
    <n v="6"/>
    <n v="102"/>
    <n v="96"/>
    <n v="6"/>
    <n v="0"/>
    <s v="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
    <n v="0"/>
    <n v="1"/>
    <x v="1"/>
  </r>
  <r>
    <n v="4599"/>
    <x v="4182"/>
    <x v="96"/>
    <x v="4"/>
    <s v="Unknown"/>
    <s v="Near Balad Air Base, Iraq"/>
    <s v="Moldovan Aeriantur-M Air Cargo"/>
    <s v="Unknown"/>
    <s v="Adana, Turkey - Balad Air Base, Iraq"/>
    <x v="2151"/>
    <s v="ER-26068"/>
    <n v="11308"/>
    <n v="35"/>
    <n v="30"/>
    <n v="5"/>
    <n v="34"/>
    <n v="29"/>
    <n v="5"/>
    <n v="0"/>
    <s v="The cargo plane crashed in fog while attempting to land for a second time at Balad Air Base. After the first attempt to land was aborted, the plane crashed 2.5km short of the runway.The plane was carrying Turkish construction workers."/>
    <n v="1"/>
    <n v="0.97142857142857142"/>
    <x v="1"/>
  </r>
  <r>
    <n v="4600"/>
    <x v="4183"/>
    <x v="96"/>
    <x v="4"/>
    <s v="Unknown"/>
    <s v="Near Baghdad, Iraq"/>
    <s v="Military - US Army"/>
    <s v="Unknown"/>
    <s v="Unknown"/>
    <x v="2152"/>
    <s v="Unknown"/>
    <s v="Unknown"/>
    <n v="12"/>
    <n v="10"/>
    <n v="4"/>
    <n v="12"/>
    <n v="10"/>
    <n v="4"/>
    <n v="0"/>
    <s v="The helicopter crashed northeast of Baghdad. Shot down by a combination of several heavy machine guns and a shoulder-fired missile"/>
    <n v="0"/>
    <n v="1"/>
    <x v="1"/>
  </r>
  <r>
    <n v="4601"/>
    <x v="4184"/>
    <x v="96"/>
    <x v="4"/>
    <d v="1899-12-30T11:15:00"/>
    <s v="Pau, France"/>
    <s v="Regional Compagnie Aerienne Europeenne"/>
    <n v="7775"/>
    <s v="Pau - Paris"/>
    <x v="1758"/>
    <s v="F-GMPGÂ "/>
    <n v="11362"/>
    <n v="54"/>
    <n v="50"/>
    <n v="4"/>
    <n v="0"/>
    <n v="0"/>
    <n v="0"/>
    <n v="1"/>
    <s v="The crew abandoned their takeoff after the loss of an engine due to bird ingestion. The jet overshot the runway and collided with a truck, killing the driver. The landing gear sheared off and the plane came to rest in a field."/>
    <n v="54"/>
    <n v="0"/>
    <x v="2"/>
  </r>
  <r>
    <n v="4602"/>
    <x v="4185"/>
    <x v="96"/>
    <x v="4"/>
    <d v="1899-12-30T07:14:00"/>
    <s v="Yogyakarta, Indonesia"/>
    <s v="Garuda Indonesia Airlines"/>
    <n v="200"/>
    <s v="Jakarta - Yogyakarta"/>
    <x v="2153"/>
    <s v="PK-GZC"/>
    <s v="25664/2393"/>
    <n v="140"/>
    <n v="133"/>
    <n v="7"/>
    <n v="22"/>
    <n v="21"/>
    <n v="1"/>
    <n v="0"/>
    <s v="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
    <n v="118"/>
    <n v="0.15714285714285714"/>
    <x v="2"/>
  </r>
  <r>
    <n v="4603"/>
    <x v="4186"/>
    <x v="96"/>
    <x v="4"/>
    <d v="1899-12-30T15:00:00"/>
    <s v="Princeville, Hawaii"/>
    <s v="Heli-USA Airways"/>
    <s v="Unknown"/>
    <s v="Sightseeing"/>
    <x v="2154"/>
    <s v="N354NT"/>
    <n v="1168"/>
    <n v="7"/>
    <n v="6"/>
    <n v="1"/>
    <n v="4"/>
    <n v="3"/>
    <n v="1"/>
    <n v="0"/>
    <s v="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
    <n v="3"/>
    <n v="0.5714285714285714"/>
    <x v="0"/>
  </r>
  <r>
    <n v="4604"/>
    <x v="4187"/>
    <x v="96"/>
    <x v="4"/>
    <d v="1899-12-30T23:20:00"/>
    <s v="Hanea, Kauai, Hawaii"/>
    <s v="Inter-Island"/>
    <s v="Unknown"/>
    <s v="Unknown"/>
    <x v="2155"/>
    <s v="N911VC"/>
    <s v="0049FF"/>
    <n v="5"/>
    <n v="4"/>
    <n v="1"/>
    <n v="1"/>
    <n v="1"/>
    <n v="0"/>
    <n v="0"/>
    <s v="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
    <n v="4"/>
    <n v="0.2"/>
    <x v="2"/>
  </r>
  <r>
    <n v="4605"/>
    <x v="4188"/>
    <x v="96"/>
    <x v="4"/>
    <s v="Unknown"/>
    <s v="Fazenda Nossa Senhora de Lourdes, Brazil"/>
    <s v="Bahia Taxi AÃ©reo _x0009_ Bahia Taxi AÃ©reo _x0009_ Bahia Taxi AÃ©reo"/>
    <s v="Unknown"/>
    <s v="Petrolina - Salvador"/>
    <x v="2156"/>
    <s v="PP-SEC"/>
    <s v="3094_x0009_3094"/>
    <n v="4"/>
    <n v="2"/>
    <n v="2"/>
    <n v="4"/>
    <n v="2"/>
    <n v="2"/>
    <n v="0"/>
    <s v="Fifteen minutes before arriving at its destination  the crew informed ATC about a technical problem and that they were losing altitude. Few minutes  later, the twin engine plane crashed into an open field."/>
    <n v="0"/>
    <n v="1"/>
    <x v="1"/>
  </r>
  <r>
    <n v="4606"/>
    <x v="4189"/>
    <x v="96"/>
    <x v="4"/>
    <d v="1899-12-30T11:40:00"/>
    <s v="Samara, Russia"/>
    <s v="UTAir Airlines"/>
    <s v="UT-471"/>
    <s v="Surgut - Samara"/>
    <x v="2157"/>
    <s v="RA-65021"/>
    <n v="48390"/>
    <n v="57"/>
    <n v="50"/>
    <n v="7"/>
    <n v="6"/>
    <n v="6"/>
    <n v="0"/>
    <n v="0"/>
    <s v="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
    <n v="51"/>
    <n v="0.10526315789473684"/>
    <x v="2"/>
  </r>
  <r>
    <n v="4607"/>
    <x v="4190"/>
    <x v="96"/>
    <x v="4"/>
    <d v="1899-12-30T17:00:00"/>
    <s v="Mogadishu, Somalia"/>
    <s v="Transaviaexport Airlines"/>
    <s v="Unknown"/>
    <s v="Mogadishu - Djibouti"/>
    <x v="2158"/>
    <s v="EW-78849Â "/>
    <n v="1013405192"/>
    <n v="11"/>
    <n v="5"/>
    <n v="6"/>
    <n v="11"/>
    <n v="5"/>
    <n v="6"/>
    <n v="0"/>
    <s v="The cargo plane, carrying African peacekeepers, was struck by an anti-aircraft missile shortly after taking off from Mogadishu Airport. The aircraft lost a wing into the Indian Ocean and shortly thereafter crashed in the eastern outskirts of Mogadishu."/>
    <n v="0"/>
    <n v="1"/>
    <x v="1"/>
  </r>
  <r>
    <n v="4608"/>
    <x v="4191"/>
    <x v="96"/>
    <x v="4"/>
    <d v="1899-12-30T14:05:00"/>
    <s v="Near Kopinang, Guyana"/>
    <s v="Air Services"/>
    <s v="Unknown"/>
    <s v="Kato - Kopinang"/>
    <x v="2159"/>
    <s v="8R-GET"/>
    <n v="484"/>
    <n v="5"/>
    <n v="4"/>
    <n v="1"/>
    <n v="3"/>
    <n v="2"/>
    <n v="1"/>
    <n v="0"/>
    <s v="The plane landed at Kato and could not take off because of bad weather. Twenty minutes after eventually taking off the plane crashed into mountains while en route. A mother and her five-year-old son walked for about 16 hours through Guyana's jungle to safety after surviving the crash."/>
    <n v="2"/>
    <n v="0.6"/>
    <x v="0"/>
  </r>
  <r>
    <n v="4609"/>
    <x v="4192"/>
    <x v="96"/>
    <x v="4"/>
    <d v="1899-12-30T11:34:00"/>
    <s v="Shatoi, Chechnya"/>
    <s v="Military - Russian"/>
    <s v="Unknown"/>
    <s v="Unknown"/>
    <x v="2160"/>
    <s v="Unknown"/>
    <s v="Unknown"/>
    <n v="18"/>
    <n v="15"/>
    <n v="3"/>
    <n v="18"/>
    <n v="15"/>
    <n v="3"/>
    <n v="0"/>
    <s v="The helicopter was carrying out a missiion with two other aircraft when a rotor blade struck an object while attempting to land. Conflicting reports say the helicopter may have been shot down by Chechnyan rebels."/>
    <n v="0"/>
    <n v="1"/>
    <x v="1"/>
  </r>
  <r>
    <n v="4610"/>
    <x v="4193"/>
    <x v="96"/>
    <x v="4"/>
    <d v="1899-12-30T00:08:00"/>
    <s v="Near Dizangue, Cameroon"/>
    <s v="Kenya Airways"/>
    <n v="507"/>
    <s v="Abidjan, Ivory Coast - Douala, Cameroon - Nairobi, Kenya"/>
    <x v="2161"/>
    <s v="5Y-KYA"/>
    <s v="35071/2079"/>
    <n v="114"/>
    <n v="105"/>
    <n v="9"/>
    <n v="114"/>
    <n v="105"/>
    <n v="9"/>
    <n v="0"/>
    <s v="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quot;we are crashing.&quot; The first officer told him to level the aircraft, but quickly corrected himself and said &quot;left, left, left captain. The aircraft  then plunged nose down into a mangrove swamp."/>
    <n v="0"/>
    <n v="1"/>
    <x v="1"/>
  </r>
  <r>
    <n v="4611"/>
    <x v="4194"/>
    <x v="96"/>
    <x v="4"/>
    <d v="1899-12-30T09:10:00"/>
    <s v="Near El-Thamad, Egypt"/>
    <s v="Military - French Air Force"/>
    <s v="Unknown"/>
    <s v="El-Gora - Santa Katarina"/>
    <x v="1196"/>
    <s v="742/CB"/>
    <n v="742"/>
    <n v="9"/>
    <n v="5"/>
    <n v="4"/>
    <n v="9"/>
    <n v="5"/>
    <n v="4"/>
    <n v="0"/>
    <s v="Collided with a truck while attempting to make an emergency landing on a road. French soldiers aboard were with  the Sinai's peacekeeping force, the Multinational Force &amp; Observers."/>
    <n v="0"/>
    <n v="1"/>
    <x v="1"/>
  </r>
  <r>
    <n v="4612"/>
    <x v="4195"/>
    <x v="96"/>
    <x v="4"/>
    <d v="1899-12-30T11:00:00"/>
    <s v="Walikale Airstrip, Congo"/>
    <s v="Safe Air Complany"/>
    <s v="Unknown"/>
    <s v="Walikale - Goma"/>
    <x v="1624"/>
    <s v="TN-AHE"/>
    <n v="851335"/>
    <n v="3"/>
    <n v="1"/>
    <n v="2"/>
    <n v="3"/>
    <n v="1"/>
    <n v="2"/>
    <n v="0"/>
    <s v="An engine on the cargo plane caught fire shortly after taking off. An emergency return attempt to the airstrip was unsuccessful and the plane crashed into a nearby forest."/>
    <n v="0"/>
    <n v="1"/>
    <x v="1"/>
  </r>
  <r>
    <n v="4614"/>
    <x v="4196"/>
    <x v="96"/>
    <x v="4"/>
    <d v="1899-12-30T20:30:00"/>
    <s v="Freetown, Sierra Leone"/>
    <s v="Paramount Airlilnes"/>
    <s v="Unknown"/>
    <s v="Shuttle"/>
    <x v="2162"/>
    <s v="Unknown"/>
    <s v="Unknown"/>
    <n v="22"/>
    <n v="20"/>
    <n v="2"/>
    <n v="21"/>
    <n v="20"/>
    <n v="1"/>
    <n v="0"/>
    <s v="The helicopter crashed and burned on the airport runway while attempting to land. It was shuttling passengers between Sierra Leone's coastal capital of Freetown and Lungi Airport."/>
    <n v="1"/>
    <n v="0.95454545454545459"/>
    <x v="1"/>
  </r>
  <r>
    <n v="4615"/>
    <x v="4197"/>
    <x v="96"/>
    <x v="4"/>
    <d v="1899-12-30T16:04:00"/>
    <s v="Near Milwaukee, Wisconson"/>
    <s v="University of Michigan Health System"/>
    <s v="Unknown"/>
    <s v="Milwaukee, WI - Detroit, MI"/>
    <x v="2163"/>
    <s v="N550BP"/>
    <s v="550-0246"/>
    <n v="6"/>
    <n v="4"/>
    <n v="2"/>
    <n v="6"/>
    <n v="4"/>
    <n v="2"/>
    <n v="0"/>
    <s v="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
    <n v="0"/>
    <n v="1"/>
    <x v="1"/>
  </r>
  <r>
    <n v="4616"/>
    <x v="4198"/>
    <x v="96"/>
    <x v="4"/>
    <s v="Unknown"/>
    <s v="Selenge province, Mongolia"/>
    <s v="Mongolian Defense Ministry"/>
    <s v="Unknown"/>
    <s v="Unknown"/>
    <x v="2162"/>
    <s v="Unknown"/>
    <s v="Unknown"/>
    <n v="22"/>
    <n v="19"/>
    <n v="3"/>
    <n v="15"/>
    <n v="12"/>
    <n v="3"/>
    <n v="0"/>
    <s v="While en route to a forest fire, the helicopter crashed into dense forest on a mountain at an altitude of 6,100 feet."/>
    <n v="7"/>
    <n v="0.68181818181818177"/>
    <x v="1"/>
  </r>
  <r>
    <n v="4617"/>
    <x v="4199"/>
    <x v="96"/>
    <x v="4"/>
    <s v="Unknown"/>
    <s v="Near Kamina, Congo"/>
    <s v="Karibu Airways"/>
    <s v="Unknown"/>
    <s v="Kamina - Lubumbashi"/>
    <x v="1624"/>
    <s v="9Q-CEU"/>
    <n v="841217"/>
    <n v="25"/>
    <n v="22"/>
    <n v="3"/>
    <n v="1"/>
    <n v="1"/>
    <n v="0"/>
    <n v="0"/>
    <s v="The plane crashed shortly after taking off into a swamp coming to rest upside down. A parliment member of the Democratic Republic of Congo was killed."/>
    <n v="24"/>
    <n v="0.04"/>
    <x v="2"/>
  </r>
  <r>
    <n v="4618"/>
    <x v="4200"/>
    <x v="96"/>
    <x v="4"/>
    <d v="1899-12-30T10:40:00"/>
    <s v="Near Sihanoukville, Cambodia"/>
    <s v="PMT Air"/>
    <n v="241"/>
    <s v="Siem Reap - Sihanoukville"/>
    <x v="1086"/>
    <s v="XU-U4A"/>
    <n v="99901908"/>
    <n v="22"/>
    <n v="16"/>
    <n v="6"/>
    <n v="22"/>
    <n v="16"/>
    <n v="6"/>
    <n v="0"/>
    <s v="The aircraft crashed into Phnom Damrey Mountain at an elevation of 1,640 feet, about 5 minutes from its destination of Sihanoukville."/>
    <n v="0"/>
    <n v="1"/>
    <x v="1"/>
  </r>
  <r>
    <n v="4619"/>
    <x v="4201"/>
    <x v="96"/>
    <x v="4"/>
    <d v="1899-12-30T13:40:00"/>
    <s v="M'Banza Congo, Angola"/>
    <s v="TAAG Angola Airlines"/>
    <s v="Unknown"/>
    <s v="Luanda - M'Banza"/>
    <x v="2164"/>
    <s v="D2-TBP"/>
    <s v="23220/1084"/>
    <n v="78"/>
    <n v="69"/>
    <n v="9"/>
    <n v="5"/>
    <n v="4"/>
    <n v="1"/>
    <n v="0"/>
    <s v="The crew undershot the runway and blew two tires on landing, causing the landing gear to collapse and one wing to dip and touch the runway. The plane then veered out of control, overran the runway and crashed into cars and a building."/>
    <n v="73"/>
    <n v="6.4102564102564097E-2"/>
    <x v="2"/>
  </r>
  <r>
    <n v="4620"/>
    <x v="4202"/>
    <x v="96"/>
    <x v="4"/>
    <d v="1899-12-30T09:30:00"/>
    <s v="Culiacan, Mexico"/>
    <s v="Jett Paqueteria SA"/>
    <s v="Unknown"/>
    <s v="Unknown"/>
    <x v="2165"/>
    <s v="XA-TFL"/>
    <s v="265-48"/>
    <n v="3"/>
    <n v="0"/>
    <n v="3"/>
    <n v="3"/>
    <n v="0"/>
    <n v="3"/>
    <n v="6"/>
    <s v="The small cargo jet blew a tire and failed to take off, barreling onto the CuliacÃ¡n-Navolato highway and crashing into cars, coming to a stop after hitting a building."/>
    <n v="0"/>
    <n v="1"/>
    <x v="1"/>
  </r>
  <r>
    <n v="4621"/>
    <x v="4203"/>
    <x v="96"/>
    <x v="4"/>
    <d v="1899-12-30T13:00:00"/>
    <s v="Muncho Lake, British Columbia, Canada"/>
    <s v="Liard Air"/>
    <s v="Unknown"/>
    <s v="Muncho Lake - Vancouver"/>
    <x v="2166"/>
    <s v="C-FAWC"/>
    <n v="108"/>
    <n v="5"/>
    <n v="3"/>
    <n v="2"/>
    <n v="1"/>
    <n v="1"/>
    <n v="0"/>
    <n v="0"/>
    <s v="The twin engine plane crashed shortly after taking off from a gravel airstrip at Muncho Lake. One passenger was killed."/>
    <n v="4"/>
    <n v="0.2"/>
    <x v="2"/>
  </r>
  <r>
    <n v="4622"/>
    <x v="4204"/>
    <x v="96"/>
    <x v="4"/>
    <d v="1899-12-30T18:52:00"/>
    <s v="Sao Paulo, Brazil"/>
    <s v="TAM (Brazil)"/>
    <n v="3054"/>
    <s v="Porto Alegre - Sao Paulo"/>
    <x v="2167"/>
    <s v="PR-MBK"/>
    <n v="789"/>
    <n v="187"/>
    <n v="181"/>
    <n v="6"/>
    <n v="187"/>
    <n v="181"/>
    <n v="6"/>
    <n v="12"/>
    <s v="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
    <n v="0"/>
    <n v="1"/>
    <x v="1"/>
  </r>
  <r>
    <n v="4623"/>
    <x v="4205"/>
    <x v="96"/>
    <x v="4"/>
    <d v="1899-12-30T13:00:00"/>
    <s v="Near Shinile, Ethiopia"/>
    <s v="Djibouti Airlines"/>
    <s v="Unknown"/>
    <s v="Dire Dawa - Djibouti"/>
    <x v="1667"/>
    <s v="EX-030"/>
    <n v="7306103"/>
    <n v="9"/>
    <n v="3"/>
    <n v="6"/>
    <n v="1"/>
    <n v="1"/>
    <n v="0"/>
    <n v="0"/>
    <s v="The cargo plane crashed shortly after taking off after an engine failed. The pilot was trying to return for an emergency landing."/>
    <n v="8"/>
    <n v="0.1111111111111111"/>
    <x v="2"/>
  </r>
  <r>
    <n v="4624"/>
    <x v="4206"/>
    <x v="96"/>
    <x v="4"/>
    <d v="1899-12-30T14:05:00"/>
    <s v="Rudyerd Bay, Alaska"/>
    <s v="Taquan Air Service"/>
    <s v="Unknown"/>
    <s v="Sightseeing"/>
    <x v="2168"/>
    <s v="N995WA"/>
    <n v="1100"/>
    <n v="5"/>
    <n v="4"/>
    <n v="1"/>
    <n v="5"/>
    <n v="4"/>
    <n v="1"/>
    <n v="0"/>
    <s v="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
    <n v="0"/>
    <n v="1"/>
    <x v="1"/>
  </r>
  <r>
    <n v="4625"/>
    <x v="4207"/>
    <x v="96"/>
    <x v="4"/>
    <d v="1899-12-30T04:17:00"/>
    <s v="Moscow, Russia"/>
    <s v="Atran"/>
    <n v="9655"/>
    <s v="Sightseeing"/>
    <x v="1060"/>
    <s v="RA-93912"/>
    <n v="4341709"/>
    <n v="9"/>
    <n v="0"/>
    <n v="9"/>
    <n v="9"/>
    <n v="0"/>
    <n v="9"/>
    <n v="0"/>
    <s v="The cargo plane, carrying 9 tons of cargo, crashed 4 km from the runway as it was attempting to take off from Domodedovo airport. The aircraft slammed into a field shattering debris over a wide area."/>
    <n v="0"/>
    <n v="1"/>
    <x v="1"/>
  </r>
  <r>
    <n v="4626"/>
    <x v="4208"/>
    <x v="96"/>
    <x v="4"/>
    <d v="1899-12-30T12:00:00"/>
    <s v="Off Moorea, French Polynesia"/>
    <s v="Air Moorea"/>
    <n v="1121"/>
    <s v="Moorea - Papeete"/>
    <x v="1220"/>
    <s v="F-OIQ"/>
    <n v="608"/>
    <n v="20"/>
    <n v="19"/>
    <n v="1"/>
    <n v="20"/>
    <n v="19"/>
    <n v="1"/>
    <n v="0"/>
    <s v="Soon after taking off the plane began loosing altitude and veered to the right until it crashed into the sea 1 mile beyond the runway. Loss of pitch control of the aircraft following a break in an elevator cable."/>
    <n v="0"/>
    <n v="1"/>
    <x v="1"/>
  </r>
  <r>
    <n v="4627"/>
    <x v="4209"/>
    <x v="96"/>
    <x v="4"/>
    <d v="1899-12-30T23:16:00"/>
    <s v="Near Ketchikan, Alaska"/>
    <s v="SeaWind Aviation"/>
    <s v="Unknown"/>
    <s v="Sightseeing"/>
    <x v="2169"/>
    <s v="N345KA"/>
    <n v="1306"/>
    <n v="10"/>
    <n v="9"/>
    <n v="1"/>
    <n v="6"/>
    <n v="6"/>
    <n v="0"/>
    <n v="0"/>
    <s v="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
    <n v="4"/>
    <n v="0.6"/>
    <x v="0"/>
  </r>
  <r>
    <n v="4628"/>
    <x v="4210"/>
    <x v="96"/>
    <x v="4"/>
    <d v="1899-12-30T10:33:00"/>
    <s v="Okinawa, Japan"/>
    <s v="China Airlines"/>
    <n v="120"/>
    <s v="Taipei - Naha"/>
    <x v="2170"/>
    <s v="B-18616"/>
    <s v="30175/1182"/>
    <n v="165"/>
    <n v="157"/>
    <n v="8"/>
    <n v="0"/>
    <n v="0"/>
    <n v="0"/>
    <n v="0"/>
    <s v="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
    <n v="165"/>
    <n v="0"/>
    <x v="2"/>
  </r>
  <r>
    <n v="4629"/>
    <x v="4211"/>
    <x v="96"/>
    <x v="4"/>
    <d v="1899-12-30T00:36:00"/>
    <s v="Near Curitiba, Brazil"/>
    <s v="Two Taxi Aero"/>
    <s v="Unknown"/>
    <s v="Curitiba - Jundiai"/>
    <x v="2171"/>
    <s v="PT-SDB"/>
    <n v="110323"/>
    <n v="2"/>
    <n v="0"/>
    <n v="2"/>
    <n v="2"/>
    <n v="0"/>
    <n v="2"/>
    <n v="0"/>
    <s v="Crashed shortly after taking off from Curitiba"/>
    <n v="0"/>
    <n v="1"/>
    <x v="1"/>
  </r>
  <r>
    <n v="4630"/>
    <x v="4211"/>
    <x v="96"/>
    <x v="4"/>
    <s v="Unknown"/>
    <s v="Near Kirkuk, Iraq"/>
    <s v="Military - U.S. Army"/>
    <s v="Unknown"/>
    <s v="Transporting troops"/>
    <x v="2172"/>
    <s v="Unknown"/>
    <s v="Unknown"/>
    <n v="14"/>
    <n v="12"/>
    <n v="2"/>
    <n v="14"/>
    <n v="12"/>
    <n v="2"/>
    <n v="0"/>
    <s v="Crashed most likely due to a mechanical problem while traveling with a second helicopter."/>
    <n v="0"/>
    <n v="1"/>
    <x v="1"/>
  </r>
  <r>
    <n v="4631"/>
    <x v="4212"/>
    <x v="96"/>
    <x v="4"/>
    <d v="1899-12-30T16:00:00"/>
    <s v="Kongolo, Democratic Republic Congo"/>
    <s v="Great Lakes Business Complany"/>
    <s v="Unknown"/>
    <s v="Kongolo - Goma"/>
    <x v="1625"/>
    <s v="9Q-CAC"/>
    <d v="2022-07-14T00:00:00"/>
    <n v="15"/>
    <n v="12"/>
    <n v="3"/>
    <n v="14"/>
    <n v="11"/>
    <n v="3"/>
    <n v="0"/>
    <s v="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
    <n v="1"/>
    <n v="0.93333333333333335"/>
    <x v="1"/>
  </r>
  <r>
    <n v="4632"/>
    <x v="4213"/>
    <x v="96"/>
    <x v="4"/>
    <s v="Unknown"/>
    <s v="Goma, Democratic Republic Congo"/>
    <s v="Galaxy Kavatsi Airlines"/>
    <s v="Unknown"/>
    <s v="Kisangi - Goma - Bukavu"/>
    <x v="1060"/>
    <s v="4L-SAS"/>
    <n v="3341108"/>
    <n v="8"/>
    <n v="6"/>
    <n v="2"/>
    <n v="8"/>
    <n v="6"/>
    <n v="2"/>
    <n v="0"/>
    <s v="The cargo plane, carrying palm oil, overshot the runway, crashed into a petrified lava flow and caught fire."/>
    <n v="0"/>
    <n v="1"/>
    <x v="1"/>
  </r>
  <r>
    <n v="4633"/>
    <x v="4214"/>
    <x v="96"/>
    <x v="4"/>
    <d v="1899-12-30T15:35:00"/>
    <s v="Phuket, Thailand"/>
    <s v="One-Two-Go Airlines"/>
    <n v="269"/>
    <s v="Bangkok - Phuket"/>
    <x v="1584"/>
    <s v="HS-OMG"/>
    <s v="49183/1129"/>
    <n v="130"/>
    <n v="123"/>
    <n v="7"/>
    <n v="90"/>
    <n v="85"/>
    <n v="5"/>
    <n v="0"/>
    <s v="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
    <n v="40"/>
    <n v="0.69230769230769229"/>
    <x v="1"/>
  </r>
  <r>
    <n v="4634"/>
    <x v="4215"/>
    <x v="96"/>
    <x v="4"/>
    <d v="1899-12-30T13:00:00"/>
    <s v="Malemba Nkulu, DR Congo"/>
    <s v="Karibu Airways"/>
    <s v="Unknown"/>
    <s v="Lubumbashi - Malemba Nkulu"/>
    <x v="1858"/>
    <s v="9Q-CVL"/>
    <s v=" 81 06 17"/>
    <n v="6"/>
    <n v="5"/>
    <n v="1"/>
    <n v="1"/>
    <n v="0"/>
    <n v="1"/>
    <n v="0"/>
    <s v="Crashed while attempting to land and came to rest in a cemetery."/>
    <n v="5"/>
    <n v="0.16666666666666666"/>
    <x v="2"/>
  </r>
  <r>
    <n v="4635"/>
    <x v="4216"/>
    <x v="96"/>
    <x v="4"/>
    <d v="1899-12-30T10:40:00"/>
    <s v="Kinshasa, DR Congo"/>
    <s v="Africa One Congo"/>
    <s v="Unknown"/>
    <s v="Kinshasa - Tshikapa"/>
    <x v="1195"/>
    <s v="9Q-COS"/>
    <n v="47302001"/>
    <n v="22"/>
    <n v="17"/>
    <n v="5"/>
    <n v="21"/>
    <n v="17"/>
    <n v="4"/>
    <n v="30"/>
    <s v="While attempting to take off the No. 2 engine failed. The cargo plane crashed into a Congolese neighborhood and caught fire about three miles from the airport. The plane's mechanic was the only survivor aboard the plane."/>
    <n v="1"/>
    <n v="0.95454545454545459"/>
    <x v="1"/>
  </r>
  <r>
    <n v="4636"/>
    <x v="4217"/>
    <x v="96"/>
    <x v="4"/>
    <d v="1899-12-30T15:30:00"/>
    <s v="Near Cubarral, Colombia"/>
    <s v="Nacional de Aviacion"/>
    <s v="Unknown"/>
    <s v="Villavicencio - Uribe"/>
    <x v="2173"/>
    <s v="HK-4055"/>
    <n v="902521"/>
    <n v="17"/>
    <n v="15"/>
    <n v="2"/>
    <n v="17"/>
    <n v="15"/>
    <n v="2"/>
    <n v="0"/>
    <s v="Disappeared while en route."/>
    <n v="0"/>
    <n v="1"/>
    <x v="1"/>
  </r>
  <r>
    <n v="4637"/>
    <x v="4218"/>
    <x v="96"/>
    <x v="4"/>
    <d v="1899-12-30T08:00:00"/>
    <s v="Khartoum, Sudan"/>
    <s v="Juba Air Cargo"/>
    <s v="Unknown"/>
    <s v="Khartoum - Juba"/>
    <x v="1914"/>
    <s v="ST-JUA"/>
    <n v="3341110"/>
    <n v="4"/>
    <n v="0"/>
    <n v="4"/>
    <n v="0"/>
    <n v="0"/>
    <n v="0"/>
    <n v="2"/>
    <s v="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
    <n v="4"/>
    <n v="0"/>
    <x v="2"/>
  </r>
  <r>
    <n v="4638"/>
    <x v="4219"/>
    <x v="96"/>
    <x v="4"/>
    <d v="1899-12-30T01:36:00"/>
    <s v="Near Isparta, Turkey"/>
    <s v="Atlasjet Airlines"/>
    <n v="4203"/>
    <s v="Istanbul - Isparta"/>
    <x v="1944"/>
    <s v="TC-AKM"/>
    <s v="53185/2090"/>
    <n v="57"/>
    <n v="50"/>
    <n v="7"/>
    <n v="57"/>
    <n v="50"/>
    <n v="7"/>
    <n v="0"/>
    <s v="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
    <n v="0"/>
    <n v="1"/>
    <x v="1"/>
  </r>
  <r>
    <n v="4639"/>
    <x v="4220"/>
    <x v="96"/>
    <x v="4"/>
    <d v="1899-12-30T17:18:00"/>
    <s v="Off Whittier, Alaska"/>
    <s v="Evergreen Alaska Helicopters, Inc."/>
    <s v="Unknown"/>
    <s v="Cordova - Ancorage"/>
    <x v="2174"/>
    <s v="N141LG"/>
    <s v="Unknown"/>
    <n v="4"/>
    <n v="3"/>
    <n v="1"/>
    <n v="4"/>
    <n v="3"/>
    <n v="1"/>
    <n v="0"/>
    <s v="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
    <n v="0"/>
    <n v="1"/>
    <x v="1"/>
  </r>
  <r>
    <n v="4640"/>
    <x v="4221"/>
    <x v="96"/>
    <x v="4"/>
    <d v="1899-12-30T06:48:00"/>
    <s v="Columbus, Ohio"/>
    <s v="Castle Aviation"/>
    <s v="Unknown"/>
    <s v="Columbus, OH - Buffalo, NY"/>
    <x v="1670"/>
    <s v="N28MG"/>
    <s v="208B-0732"/>
    <n v="2"/>
    <n v="1"/>
    <n v="1"/>
    <n v="2"/>
    <n v="1"/>
    <n v="1"/>
    <n v="0"/>
    <s v="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
    <n v="0"/>
    <n v="1"/>
    <x v="1"/>
  </r>
  <r>
    <n v="4641"/>
    <x v="4222"/>
    <x v="97"/>
    <x v="4"/>
    <d v="1899-12-30T09:48:00"/>
    <s v="Los Roques, Venezuela"/>
    <s v="Transaven"/>
    <s v="Unknown"/>
    <s v="Los Rogues - Carac"/>
    <x v="2175"/>
    <s v="YV2081"/>
    <n v="872051"/>
    <n v="18"/>
    <n v="16"/>
    <n v="2"/>
    <n v="18"/>
    <n v="16"/>
    <n v="2"/>
    <n v="0"/>
    <s v="The commuter airliner crashed into the sea while en route after the pilot reported engine problems."/>
    <n v="0"/>
    <n v="1"/>
    <x v="1"/>
  </r>
  <r>
    <n v="4642"/>
    <x v="4223"/>
    <x v="97"/>
    <x v="4"/>
    <s v="Unknown"/>
    <s v="Blace, Macedonia"/>
    <s v="Military - Macedonian Air Force"/>
    <s v="Unknown"/>
    <s v="Bosnia - Skopje, Macedonia"/>
    <x v="2176"/>
    <s v="VAM-304"/>
    <s v="223M98"/>
    <n v="11"/>
    <n v="10"/>
    <n v="1"/>
    <n v="11"/>
    <n v="10"/>
    <n v="1"/>
    <n v="0"/>
    <s v="The helicopter crashed 15 miles southeast of Skopje in heavy fog while attempting to land. The aircraft was returning from European Union-led peacekeeping operations in Bosnia."/>
    <n v="0"/>
    <n v="1"/>
    <x v="1"/>
  </r>
  <r>
    <n v="4643"/>
    <x v="4224"/>
    <x v="97"/>
    <x v="4"/>
    <d v="1899-12-30T12:43:00"/>
    <s v="London, England"/>
    <s v="British Airways"/>
    <n v="38"/>
    <s v="Bejing, China - London, England"/>
    <x v="2177"/>
    <s v="G-YMMM"/>
    <s v="30314/342"/>
    <n v="152"/>
    <n v="136"/>
    <n v="16"/>
    <n v="0"/>
    <n v="0"/>
    <n v="0"/>
    <n v="0"/>
    <s v="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n v="152"/>
    <n v="0"/>
    <x v="2"/>
  </r>
  <r>
    <n v="4644"/>
    <x v="4225"/>
    <x v="97"/>
    <x v="4"/>
    <d v="1899-12-30T19:00:00"/>
    <s v="Miroslawiec, Poland"/>
    <s v="Military - Polish Air Force"/>
    <s v="Unknown"/>
    <s v="Warsaw - Miroslawiec"/>
    <x v="2178"/>
    <n v="19"/>
    <s v="S-043"/>
    <n v="20"/>
    <n v="16"/>
    <n v="4"/>
    <n v="20"/>
    <n v="16"/>
    <n v="4"/>
    <n v="0"/>
    <s v="While attempting to land, the plane fell to the ground from about 500-650 feet and crashed into a wooded area, 2 miles from the airport."/>
    <n v="0"/>
    <n v="1"/>
    <x v="1"/>
  </r>
  <r>
    <n v="4645"/>
    <x v="4226"/>
    <x v="97"/>
    <x v="4"/>
    <d v="1899-12-30T09:35:00"/>
    <s v="Near Malinau, Indonesia"/>
    <s v="Dirgantara Air Service"/>
    <s v="Unknown"/>
    <s v="Tarakan - Long Apung"/>
    <x v="2179"/>
    <s v="PK-VSEÂ "/>
    <s v="92N/412"/>
    <n v="3"/>
    <n v="0"/>
    <n v="3"/>
    <n v="3"/>
    <n v="0"/>
    <n v="3"/>
    <n v="0"/>
    <s v="The cargo plane crashed while en route."/>
    <n v="0"/>
    <n v="1"/>
    <x v="1"/>
  </r>
  <r>
    <n v="4646"/>
    <x v="4227"/>
    <x v="97"/>
    <x v="4"/>
    <d v="1899-12-30T17:00:00"/>
    <s v="Merida, Venezuela"/>
    <s v="Santa Barbara Airlines"/>
    <n v="518"/>
    <s v="Merida - Caracas"/>
    <x v="2180"/>
    <s v="YV-1449"/>
    <n v="28"/>
    <n v="46"/>
    <n v="43"/>
    <n v="3"/>
    <n v="46"/>
    <n v="43"/>
    <n v="3"/>
    <n v="0"/>
    <s v="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
    <n v="0"/>
    <n v="1"/>
    <x v="1"/>
  </r>
  <r>
    <n v="4647"/>
    <x v="4228"/>
    <x v="97"/>
    <x v="4"/>
    <d v="1899-12-30T16:16:00"/>
    <s v="Off Macae , Rio de Janeiro , Argentina"/>
    <s v="BHS - Brazilian Helicopter Service Air Taxi"/>
    <s v="Unknown"/>
    <s v="Oil Rig P18 - Macae"/>
    <x v="2181"/>
    <s v="PP-MUM"/>
    <n v="2570"/>
    <n v="20"/>
    <n v="17"/>
    <n v="3"/>
    <n v="5"/>
    <n v="4"/>
    <n v="1"/>
    <n v="0"/>
    <s v="Less than half minute after the taking-off from the Oil Rig P-18,  and while still in low altitude, a failure in the tail rotor caused loss of control of the aircraft by the crew. The helicopter crashed in the sea."/>
    <n v="15"/>
    <n v="0.25"/>
    <x v="2"/>
  </r>
  <r>
    <n v="4648"/>
    <x v="4229"/>
    <x v="97"/>
    <x v="4"/>
    <d v="1899-12-30T16:00:00"/>
    <s v="Near Bethani, Nepal"/>
    <s v="United Nations Mission"/>
    <s v="Unknown"/>
    <s v="Unknown"/>
    <x v="2028"/>
    <s v="Unknown"/>
    <s v="Unknown"/>
    <n v="10"/>
    <n v="7"/>
    <n v="3"/>
    <n v="10"/>
    <n v="7"/>
    <n v="3"/>
    <n v="0"/>
    <s v="The helicopter, carrying United Nations personnel, crashed in hilly terrain, in poor weather conditions and burst into flames."/>
    <n v="0"/>
    <n v="1"/>
    <x v="1"/>
  </r>
  <r>
    <n v="4649"/>
    <x v="4230"/>
    <x v="97"/>
    <x v="4"/>
    <d v="1899-12-30T11:00:00"/>
    <s v="Lawa, Suriname"/>
    <s v="Blue Wing Airlines"/>
    <s v="Unknown"/>
    <s v="Paramaribo - Lawa"/>
    <x v="1745"/>
    <s v="PZ-TSO"/>
    <s v="1AJ007-17"/>
    <n v="19"/>
    <n v="17"/>
    <n v="2"/>
    <n v="19"/>
    <n v="17"/>
    <n v="2"/>
    <n v="0"/>
    <s v="While attempting to land the crew aborted the the approach and executed a go-around. Soon after the plane flew into a hillside."/>
    <n v="0"/>
    <n v="1"/>
    <x v="1"/>
  </r>
  <r>
    <n v="4650"/>
    <x v="4231"/>
    <x v="97"/>
    <x v="4"/>
    <d v="1899-12-30T23:27:00"/>
    <s v="Bundeena, Australia"/>
    <s v="Avtex Air Services"/>
    <s v="Unknown"/>
    <s v="Sydney - Brisbane"/>
    <x v="2182"/>
    <s v="VH-OZA"/>
    <s v="AC-600"/>
    <n v="1"/>
    <n v="0"/>
    <n v="1"/>
    <n v="1"/>
    <n v="0"/>
    <n v="1"/>
    <n v="0"/>
    <s v="The pilot of the mail plane reported some minor problems before the aircraft disapppeared off radar."/>
    <n v="0"/>
    <n v="1"/>
    <x v="1"/>
  </r>
  <r>
    <n v="4651"/>
    <x v="4232"/>
    <x v="97"/>
    <x v="4"/>
    <d v="1899-12-30T22:15:00"/>
    <s v="Chrisinau, Moldova"/>
    <s v="Kata Transportation"/>
    <s v="Unknown"/>
    <s v="Chrisinau, Moldova - Antalya, Turkey - Sudan"/>
    <x v="1625"/>
    <s v="ST-AZL"/>
    <n v="3009"/>
    <n v="8"/>
    <n v="0"/>
    <n v="8"/>
    <n v="8"/>
    <n v="0"/>
    <n v="8"/>
    <n v="0"/>
    <s v="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
    <n v="0"/>
    <n v="1"/>
    <x v="1"/>
  </r>
  <r>
    <n v="4652"/>
    <x v="4233"/>
    <x v="97"/>
    <x v="4"/>
    <d v="1899-12-30T14:30:00"/>
    <s v="Goma, Congo"/>
    <s v="Hewa Bora Airways"/>
    <s v="Unknown"/>
    <s v="Goma - Kisangani - Kinshasa"/>
    <x v="2183"/>
    <s v="9Q-CHN"/>
    <n v="47731"/>
    <n v="85"/>
    <n v="79"/>
    <n v="6"/>
    <n v="0"/>
    <n v="0"/>
    <n v="0"/>
    <n v="47"/>
    <s v="While attempting to takeoff, the plane failed to reach takeoff speed, overran the runway, proceeded through a perimeter fence and cashed into a crowded market."/>
    <n v="85"/>
    <n v="0"/>
    <x v="2"/>
  </r>
  <r>
    <n v="4653"/>
    <x v="4234"/>
    <x v="97"/>
    <x v="4"/>
    <d v="1899-12-30T14:23:00"/>
    <s v="Off Annobon Island, Equatorial Guinea"/>
    <s v="Military - Government of Equatorial Guinea"/>
    <s v="Unknown"/>
    <s v="Bata - Annobon Island"/>
    <x v="1805"/>
    <s v="3C-5GE"/>
    <n v="1609"/>
    <n v="13"/>
    <n v="8"/>
    <n v="5"/>
    <n v="13"/>
    <n v="8"/>
    <n v="5"/>
    <n v="0"/>
    <s v="Crashed into the ocean after skidding off the runway in high winds and heavy rain."/>
    <n v="0"/>
    <n v="1"/>
    <x v="1"/>
  </r>
  <r>
    <n v="4654"/>
    <x v="4235"/>
    <x v="97"/>
    <x v="4"/>
    <d v="1899-12-30T09:38:00"/>
    <s v="Off Crimea, Black Sea"/>
    <s v="Naftogaz"/>
    <s v="Unknown"/>
    <s v="Unknown"/>
    <x v="1692"/>
    <s v="UR-24275"/>
    <n v="98734295"/>
    <n v="20"/>
    <n v="18"/>
    <n v="2"/>
    <n v="20"/>
    <n v="18"/>
    <n v="2"/>
    <n v="0"/>
    <s v="The helicopter crashed after the tail section hit the tower of the offshore drilling platform while it was attempting to land. The pilot was a trainee flying with an instructor. One survivor succumbed to his injuries soon after the crash."/>
    <n v="0"/>
    <n v="1"/>
    <x v="1"/>
  </r>
  <r>
    <n v="4655"/>
    <x v="4236"/>
    <x v="97"/>
    <x v="4"/>
    <d v="1899-12-30T16:30:00"/>
    <s v="Stehekin, Washington"/>
    <s v="Chelan Air Service"/>
    <s v="Unknown"/>
    <s v="Chelan - Stehekin"/>
    <x v="2184"/>
    <s v="N5998Q"/>
    <n v="1151"/>
    <n v="5"/>
    <n v="4"/>
    <n v="1"/>
    <n v="2"/>
    <n v="2"/>
    <n v="0"/>
    <n v="0"/>
    <s v="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
    <n v="3"/>
    <n v="0.4"/>
    <x v="0"/>
  </r>
  <r>
    <n v="4656"/>
    <x v="4237"/>
    <x v="97"/>
    <x v="4"/>
    <d v="1899-12-30T09:30:00"/>
    <s v="Two Harbors, Catalina Island, California"/>
    <s v="Island Express Helicopter Service"/>
    <s v="Unknown"/>
    <s v="Long Beach - Two Harbors"/>
    <x v="2185"/>
    <s v="N67GE"/>
    <n v="1604"/>
    <n v="6"/>
    <n v="5"/>
    <n v="1"/>
    <n v="4"/>
    <n v="3"/>
    <n v="1"/>
    <n v="0"/>
    <s v="The tour helicopter crashed near Banning House lodge in rain and poor visibility. The engine appears to have failed. Loss of engine power during approach for landing due to a fatigue fracture of a power turbine blade."/>
    <n v="2"/>
    <n v="0.66666666666666663"/>
    <x v="1"/>
  </r>
  <r>
    <n v="4657"/>
    <x v="4238"/>
    <x v="97"/>
    <x v="4"/>
    <d v="1899-12-30T18:15:00"/>
    <s v="Near Chelyabinsk, Russia"/>
    <s v="Moskovia Airlines"/>
    <s v="GAI-9675"/>
    <s v="Chelyabinsk - Perm"/>
    <x v="942"/>
    <s v="RA-12957"/>
    <n v="8345508"/>
    <n v="9"/>
    <n v="0"/>
    <n v="9"/>
    <n v="9"/>
    <n v="0"/>
    <n v="9"/>
    <n v="0"/>
    <s v="The crew of the cargo plane reported a fire shortly after taking off from Chelyabinsk. The plane crashed in a field while attempting to make an emergency landing, after striking a power transmission line."/>
    <n v="0"/>
    <n v="1"/>
    <x v="1"/>
  </r>
  <r>
    <n v="4658"/>
    <x v="4239"/>
    <x v="97"/>
    <x v="4"/>
    <d v="1899-12-30T14:13:00"/>
    <s v="Panama City, Panama"/>
    <s v="Military - Servicio Aereo Nacional"/>
    <s v="Unknown"/>
    <s v="Tocumen - Colon"/>
    <x v="2186"/>
    <s v="SAN-100"/>
    <s v="Unknown"/>
    <n v="12"/>
    <n v="9"/>
    <n v="3"/>
    <n v="11"/>
    <n v="9"/>
    <n v="2"/>
    <n v="0"/>
    <s v="Chile's national police chief General Jose Alejandro Bernales, 59, and five others were killed when their helicopter crashed into a three story building. The helicopter pitched wildly before crashing into the building."/>
    <n v="1"/>
    <n v="0.91666666666666663"/>
    <x v="1"/>
  </r>
  <r>
    <n v="4659"/>
    <x v="4240"/>
    <x v="97"/>
    <x v="4"/>
    <d v="1899-12-30T09:40:00"/>
    <s v="Tegucigalpa, Honduras"/>
    <s v="TACA International Airlines"/>
    <n v="390"/>
    <s v="San Salvador, El Salvador - Tegucigalpa, Honduras - Miami"/>
    <x v="2167"/>
    <s v="EI-TAF"/>
    <n v="1374"/>
    <n v="136"/>
    <n v="131"/>
    <n v="5"/>
    <n v="3"/>
    <n v="2"/>
    <n v="1"/>
    <n v="2"/>
    <s v="After making a missed approach and during the second attempt at landing at Toncontin Airport, the plane overran the runway, skidded across a street, struck cars and came to rest against an embankment. The runway was wet with rain from Tropical Storm Alma."/>
    <n v="133"/>
    <n v="2.2058823529411766E-2"/>
    <x v="2"/>
  </r>
  <r>
    <n v="4660"/>
    <x v="4241"/>
    <x v="97"/>
    <x v="4"/>
    <d v="1899-12-30T07:45:00"/>
    <s v="Huntsville, Texas"/>
    <s v="PHI Air Medical"/>
    <s v="Unknown"/>
    <s v="Huntsville-Houston"/>
    <x v="2085"/>
    <s v="N416PH"/>
    <n v="53276"/>
    <n v="4"/>
    <n v="1"/>
    <n v="3"/>
    <n v="4"/>
    <n v="1"/>
    <n v="3"/>
    <n v="0"/>
    <s v="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
    <n v="0"/>
    <n v="1"/>
    <x v="1"/>
  </r>
  <r>
    <n v="4661"/>
    <x v="4242"/>
    <x v="97"/>
    <x v="4"/>
    <d v="1899-12-30T20:45:00"/>
    <s v="Khartoum, Sudan"/>
    <s v="Sudan Airways"/>
    <n v="548"/>
    <s v="Aman - Damascus - Khartoum"/>
    <x v="2187"/>
    <s v="ST-ATN"/>
    <n v="548"/>
    <n v="214"/>
    <n v="203"/>
    <n v="11"/>
    <n v="32"/>
    <n v="31"/>
    <n v="1"/>
    <n v="0"/>
    <s v="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
    <n v="182"/>
    <n v="0.14953271028037382"/>
    <x v="2"/>
  </r>
  <r>
    <n v="4662"/>
    <x v="4243"/>
    <x v="97"/>
    <x v="4"/>
    <d v="1899-12-30T10:03:00"/>
    <s v="Hyannis, Massachusetts"/>
    <s v="Wiggins Airways"/>
    <s v="Unknown"/>
    <s v="Hyannis - Nantucket"/>
    <x v="1034"/>
    <s v="N656WA"/>
    <n v="47"/>
    <n v="1"/>
    <n v="0"/>
    <n v="1"/>
    <n v="1"/>
    <n v="0"/>
    <n v="1"/>
    <n v="0"/>
    <s v="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
    <n v="0"/>
    <n v="1"/>
    <x v="1"/>
  </r>
  <r>
    <n v="4663"/>
    <x v="4244"/>
    <x v="97"/>
    <x v="4"/>
    <s v="Unknown"/>
    <s v="Bannang Sata, Thailand"/>
    <s v="Military - Thai Army"/>
    <s v="Unknown"/>
    <s v="Unknown"/>
    <x v="2188"/>
    <s v="Unknown"/>
    <s v="Unknown"/>
    <n v="10"/>
    <n v="8"/>
    <n v="2"/>
    <n v="10"/>
    <n v="8"/>
    <n v="2"/>
    <n v="0"/>
    <s v="The military helicopter developed a mechanical problem and crashed into a hill while attemping to land."/>
    <n v="0"/>
    <n v="1"/>
    <x v="1"/>
  </r>
  <r>
    <n v="4664"/>
    <x v="4245"/>
    <x v="97"/>
    <x v="4"/>
    <d v="1899-12-30T15:03:00"/>
    <s v="Near Salak Mountain, Indonesia"/>
    <s v="Military - Indonesian Air Force"/>
    <s v="Unknown"/>
    <s v="Jakarta - aerial survelliance"/>
    <x v="2189"/>
    <s v="A-2106"/>
    <s v="228/N68"/>
    <n v="18"/>
    <n v="13"/>
    <n v="5"/>
    <n v="18"/>
    <n v="13"/>
    <n v="5"/>
    <n v="0"/>
    <s v="The plane went missing in an area approximately 60 miles south of Jakarta while on a aerial surveillance mission."/>
    <n v="0"/>
    <n v="1"/>
    <x v="1"/>
  </r>
  <r>
    <n v="4665"/>
    <x v="4246"/>
    <x v="97"/>
    <x v="4"/>
    <d v="1899-12-30T07:05:00"/>
    <s v="Near Malakal, Sudan"/>
    <s v="Juba Air Cargo"/>
    <s v="Unknown"/>
    <s v="Khartoum - Juba"/>
    <x v="1731"/>
    <s v="ST-ARN"/>
    <n v="8346010"/>
    <n v="8"/>
    <n v="6"/>
    <n v="2"/>
    <n v="7"/>
    <n v="5"/>
    <n v="2"/>
    <n v="0"/>
    <s v="The cargo plane crashed mid-flight after entering an area of thunderstorms. Triple engine failure."/>
    <n v="1"/>
    <n v="0.875"/>
    <x v="1"/>
  </r>
  <r>
    <n v="4666"/>
    <x v="4247"/>
    <x v="97"/>
    <x v="4"/>
    <d v="1899-12-30T15:48:00"/>
    <s v="Flagstaff, Arizona"/>
    <s v="Air Methods / Classic Helicopters"/>
    <s v="Unknown"/>
    <s v="Medical flight"/>
    <x v="2190"/>
    <s v="N407GA / N407MJ"/>
    <s v="53104 / 53079"/>
    <n v="7"/>
    <n v="5"/>
    <n v="2"/>
    <n v="6"/>
    <n v="4"/>
    <n v="2"/>
    <n v="0"/>
    <s v="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
    <n v="1"/>
    <n v="0.8571428571428571"/>
    <x v="1"/>
  </r>
  <r>
    <n v="4667"/>
    <x v="4248"/>
    <x v="97"/>
    <x v="4"/>
    <d v="1899-12-30T07:00:00"/>
    <s v="Near Khartoum, Sudan"/>
    <s v="Ababeel Aviaition"/>
    <s v="Unknown"/>
    <s v="Khartoum - Juba"/>
    <x v="2191"/>
    <s v="ST-WTB"/>
    <n v="1003499994"/>
    <n v="4"/>
    <n v="0"/>
    <n v="4"/>
    <n v="4"/>
    <n v="0"/>
    <n v="4"/>
    <n v="0"/>
    <s v="While taking off, the cargo plane hit an electricity pole, crashed into a field and burst into flames. All four crew members were killed."/>
    <n v="0"/>
    <n v="1"/>
    <x v="1"/>
  </r>
  <r>
    <n v="4668"/>
    <x v="4249"/>
    <x v="97"/>
    <x v="4"/>
    <d v="1899-12-30T02:15:00"/>
    <s v="Saltillo, Mexico"/>
    <s v="USA Jet Airlines"/>
    <n v="199"/>
    <s v="Hamilton, Ont, Can.- Shreveport, LA - Saltillo, Mexico"/>
    <x v="2192"/>
    <s v="N199US"/>
    <s v="47153/185"/>
    <n v="2"/>
    <n v="0"/>
    <n v="2"/>
    <n v="1"/>
    <n v="0"/>
    <n v="1"/>
    <n v="0"/>
    <s v="While attempting to land, the cargo plane, loaded with auto parts, and experiencing engine trouble, crashed splitting into four pieces and scattering debris across an area of about 600 meters in diameter. The pilot was killed and the copilot seriously injured."/>
    <n v="1"/>
    <n v="0.5"/>
    <x v="0"/>
  </r>
  <r>
    <n v="4669"/>
    <x v="4250"/>
    <x v="97"/>
    <x v="4"/>
    <d v="1899-12-30T03:50:00"/>
    <s v="Near Bogota, Colombia"/>
    <s v="Centurian Air Cargo"/>
    <s v="Unknown"/>
    <s v="Bogota, Colombia - Miami, FL"/>
    <x v="2193"/>
    <s v="N714CK"/>
    <s v="22446/519"/>
    <n v="8"/>
    <n v="0"/>
    <n v="8"/>
    <n v="0"/>
    <n v="0"/>
    <n v="0"/>
    <n v="3"/>
    <s v="The cargo plane carrying a load of flowers had taken off from Bogota when the crew radioed that they had an engine fire. They attempted to return to the airport, but crashed in a field and destroyed a farm house killing three people inside. Double engine failure."/>
    <n v="8"/>
    <n v="0"/>
    <x v="2"/>
  </r>
  <r>
    <n v="4670"/>
    <x v="4251"/>
    <x v="97"/>
    <x v="4"/>
    <d v="1899-12-30T09:53:00"/>
    <s v="Owatonna, Minnesota"/>
    <s v="East Coast Jets"/>
    <n v="81"/>
    <s v="Atlantic City, NJ- Owatonna,MN"/>
    <x v="2194"/>
    <s v="N818MV"/>
    <n v="258186"/>
    <n v="8"/>
    <n v="6"/>
    <n v="2"/>
    <n v="8"/>
    <n v="6"/>
    <n v="2"/>
    <n v="0"/>
    <s v="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n v="0"/>
    <n v="1"/>
    <x v="1"/>
  </r>
  <r>
    <n v="4671"/>
    <x v="4252"/>
    <x v="97"/>
    <x v="4"/>
    <d v="1899-12-30T07:00:00"/>
    <s v="North Vancouver Island, British Colombia, Canada"/>
    <s v="Pacific Coastal Airlines"/>
    <s v="Unknown"/>
    <s v="Port Hardy - Chamiss Bay, Vancouver Island"/>
    <x v="894"/>
    <s v="C-GPCD"/>
    <s v="B-76"/>
    <n v="7"/>
    <n v="6"/>
    <n v="1"/>
    <n v="5"/>
    <n v="4"/>
    <n v="1"/>
    <n v="0"/>
    <s v="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
    <n v="2"/>
    <n v="0.7142857142857143"/>
    <x v="1"/>
  </r>
  <r>
    <n v="4672"/>
    <x v="4253"/>
    <x v="97"/>
    <x v="4"/>
    <d v="1899-12-30T19:30:00"/>
    <s v="Near Junction City, California"/>
    <s v="Junction City Fire Department"/>
    <s v="Unknown"/>
    <s v="Ferrying fire fighters"/>
    <x v="1367"/>
    <s v="N612AZ"/>
    <n v="61297"/>
    <n v="13"/>
    <n v="11"/>
    <n v="2"/>
    <n v="9"/>
    <n v="8"/>
    <n v="1"/>
    <n v="0"/>
    <s v="The helicopter was ferrying fire fighters in Northern California's Shasta-Trinity National Forest when it crashed. The four survivors were seriously burned, with two listed in critical condition. The helicopter lost main rotor power during liftoff."/>
    <n v="4"/>
    <n v="0.69230769230769229"/>
    <x v="1"/>
  </r>
  <r>
    <n v="4673"/>
    <x v="4254"/>
    <x v="97"/>
    <x v="4"/>
    <d v="1899-12-30T11:40:00"/>
    <s v="Sunat Tanon, Thailand"/>
    <s v="Military - Royal Thai Air Force"/>
    <s v="Unknown"/>
    <s v="Betong - ?"/>
    <x v="2195"/>
    <s v="Unknown"/>
    <s v="Unknown"/>
    <n v="10"/>
    <n v="8"/>
    <n v="2"/>
    <n v="10"/>
    <n v="8"/>
    <n v="2"/>
    <n v="0"/>
    <s v="The helicopter crashed while ferrying a forensic team to the site of a gun battle between Muslim rebels and security forces. The aircraft suffered engine failure and crashed into the side of a hill."/>
    <n v="0"/>
    <n v="1"/>
    <x v="1"/>
  </r>
  <r>
    <n v="4674"/>
    <x v="4255"/>
    <x v="97"/>
    <x v="4"/>
    <d v="1899-12-30T07:30:00"/>
    <s v="K-50 Airport, Somalia"/>
    <s v="Fly 540"/>
    <s v="Unknown"/>
    <s v="Kenya - Somalia"/>
    <x v="1161"/>
    <s v="5Y-BVF"/>
    <n v="10627"/>
    <n v="3"/>
    <n v="0"/>
    <n v="3"/>
    <n v="3"/>
    <n v="0"/>
    <n v="3"/>
    <n v="0"/>
    <s v="While on approach in poor weather the cargo plane struck a telephone line and crashed. Extremely poor weather conditions."/>
    <n v="0"/>
    <n v="1"/>
    <x v="1"/>
  </r>
  <r>
    <n v="4675"/>
    <x v="4256"/>
    <x v="97"/>
    <x v="4"/>
    <d v="1899-12-30T14:45:00"/>
    <s v="Madrid, Spain"/>
    <s v="Spanair"/>
    <n v="5022"/>
    <s v="Madrid - Las Palmas, Canary Islands"/>
    <x v="1584"/>
    <s v="EC-HFPÂ "/>
    <s v="53148/2072"/>
    <n v="172"/>
    <n v="166"/>
    <n v="6"/>
    <n v="154"/>
    <n v="148"/>
    <n v="6"/>
    <n v="0"/>
    <s v="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
    <n v="18"/>
    <n v="0.89534883720930236"/>
    <x v="1"/>
  </r>
  <r>
    <n v="4676"/>
    <x v="4257"/>
    <x v="97"/>
    <x v="4"/>
    <d v="1899-12-30T20:30:00"/>
    <s v="Bishkek, Kyrgyzstan"/>
    <s v="Itek Air"/>
    <s v="IRC6895"/>
    <s v="Bishkek - Tehran, Iran"/>
    <x v="2196"/>
    <s v="EX-009"/>
    <s v="22088/676"/>
    <n v="90"/>
    <n v="83"/>
    <n v="7"/>
    <n v="68"/>
    <n v="67"/>
    <n v="1"/>
    <n v="0"/>
    <s v="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n v="22"/>
    <n v="0.75555555555555554"/>
    <x v="1"/>
  </r>
  <r>
    <n v="4677"/>
    <x v="4258"/>
    <x v="97"/>
    <x v="4"/>
    <d v="1899-12-30T21:50:00"/>
    <s v="Near Toacaso, Ecuador"/>
    <s v="Conviasa"/>
    <s v="Unknown"/>
    <s v="Caracas - Latacunga"/>
    <x v="1700"/>
    <s v="YV-102T"/>
    <s v="21545/525"/>
    <n v="3"/>
    <n v="0"/>
    <n v="3"/>
    <n v="3"/>
    <n v="0"/>
    <n v="3"/>
    <n v="0"/>
    <s v="The plane was on a positioning flight when it flew into the side of Iliniza Volcano."/>
    <n v="0"/>
    <n v="1"/>
    <x v="1"/>
  </r>
  <r>
    <n v="4678"/>
    <x v="4259"/>
    <x v="97"/>
    <x v="4"/>
    <d v="1899-12-30T12:10:00"/>
    <s v="Columbus, Ohio"/>
    <s v="Air Tahoma"/>
    <s v="Unknown"/>
    <s v="Colombus - Mansfield"/>
    <x v="1030"/>
    <s v="N587X"/>
    <n v="361"/>
    <n v="3"/>
    <n v="0"/>
    <n v="3"/>
    <n v="3"/>
    <n v="0"/>
    <n v="3"/>
    <n v="0"/>
    <s v="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
    <n v="0"/>
    <n v="1"/>
    <x v="1"/>
  </r>
  <r>
    <n v="4679"/>
    <x v="4260"/>
    <x v="97"/>
    <x v="4"/>
    <d v="1899-12-30T20:20:00"/>
    <s v="Off Dubai, United Arab Emirates"/>
    <s v="Aerogulf"/>
    <s v="Unknown"/>
    <s v="Unknown"/>
    <x v="1297"/>
    <s v="A6-AVL"/>
    <s v="Unknown"/>
    <n v="7"/>
    <n v="5"/>
    <n v="2"/>
    <n v="7"/>
    <n v="5"/>
    <n v="2"/>
    <n v="0"/>
    <s v="While attempting to take off, the helicopter struck a crane, crashed on to the deck of the Maersk Resilient oil drilling rig, broke up and fell into the sea 43 miles off Duabi."/>
    <n v="0"/>
    <n v="1"/>
    <x v="1"/>
  </r>
  <r>
    <n v="4680"/>
    <x v="4261"/>
    <x v="97"/>
    <x v="4"/>
    <d v="1899-12-30T03:15:00"/>
    <s v="Perm, Russia"/>
    <s v="Aeroflot"/>
    <s v="SU821"/>
    <s v="Moscow - Perm"/>
    <x v="2197"/>
    <s v="VP-BKO"/>
    <s v="25792/2353"/>
    <n v="88"/>
    <n v="82"/>
    <n v="6"/>
    <n v="88"/>
    <n v="82"/>
    <n v="6"/>
    <n v="0"/>
    <s v="The aircraft crashed into a ravine adjacent to railroad tracks and near an apartment building as it was approaching Perm for a landing. The plane was at 3,600 when contact was lost with the tower. Pilot error. The captain &quot;lost spatial orientation&quot; after he misread an altitude indicator on the instrument panel. The pilot  was determined to be intoxicated."/>
    <n v="0"/>
    <n v="1"/>
    <x v="1"/>
  </r>
  <r>
    <n v="4681"/>
    <x v="4262"/>
    <x v="97"/>
    <x v="4"/>
    <d v="1899-12-30T23:53:00"/>
    <s v="Columbia, South Carolina"/>
    <s v="Global Executive Aviation"/>
    <s v="Unknown"/>
    <s v="Colombia, SC - Los Angeles, CA"/>
    <x v="2198"/>
    <s v="N999LJ"/>
    <n v="314"/>
    <n v="6"/>
    <n v="4"/>
    <n v="2"/>
    <n v="4"/>
    <n v="2"/>
    <n v="2"/>
    <n v="0"/>
    <s v="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
    <n v="2"/>
    <n v="0.66666666666666663"/>
    <x v="1"/>
  </r>
  <r>
    <n v="4682"/>
    <x v="4263"/>
    <x v="97"/>
    <x v="4"/>
    <d v="1899-12-30T03:57:00"/>
    <s v="Camp Springs, Maryland"/>
    <s v="Maryland State Police"/>
    <s v="Unknown"/>
    <s v="Medical evacuation flight"/>
    <x v="2199"/>
    <s v="N92MD"/>
    <n v="6311"/>
    <n v="5"/>
    <n v="4"/>
    <n v="1"/>
    <n v="4"/>
    <n v="3"/>
    <n v="1"/>
    <n v="0"/>
    <s v="The medical helicopter carrying victims of a traffic accident crashed in fog at Walker Mill Regional Park. The pilot radioed for help prior to the accident."/>
    <n v="1"/>
    <n v="0.8"/>
    <x v="1"/>
  </r>
  <r>
    <n v="4683"/>
    <x v="4264"/>
    <x v="97"/>
    <x v="4"/>
    <d v="1899-12-30T07:31:00"/>
    <s v="Lukla, Nepal"/>
    <s v="Yeti Airlines"/>
    <s v="Unknown"/>
    <s v="Katmandu - Lukla"/>
    <x v="1220"/>
    <s v="9N-AFEÂ "/>
    <n v="720"/>
    <n v="19"/>
    <n v="16"/>
    <n v="3"/>
    <n v="18"/>
    <n v="16"/>
    <n v="2"/>
    <n v="0"/>
    <s v="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
    <n v="1"/>
    <n v="0.94736842105263153"/>
    <x v="1"/>
  </r>
  <r>
    <n v="4684"/>
    <x v="4265"/>
    <x v="97"/>
    <x v="4"/>
    <d v="1899-12-30T23:58:00"/>
    <s v="Aurora, Illinois"/>
    <s v="Air Angles Inc."/>
    <s v="Unknown"/>
    <s v="Sandwich - Chicago"/>
    <x v="2200"/>
    <s v="N992AA"/>
    <n v="47062"/>
    <n v="4"/>
    <n v="1"/>
    <n v="3"/>
    <n v="4"/>
    <n v="1"/>
    <n v="3"/>
    <n v="0"/>
    <s v="The helicopter clipped a radio tower wire, crashed and burned killing all aboard."/>
    <n v="0"/>
    <n v="1"/>
    <x v="1"/>
  </r>
  <r>
    <n v="4685"/>
    <x v="4266"/>
    <x v="97"/>
    <x v="4"/>
    <d v="1899-12-30T11:35:00"/>
    <s v="Fallujah, Iraq"/>
    <s v="Falcon Aviation Group"/>
    <s v="Unknown"/>
    <s v="al-Asad air base - Baghdad"/>
    <x v="942"/>
    <s v="S9-SAO"/>
    <n v="346908"/>
    <n v="7"/>
    <n v="0"/>
    <n v="7"/>
    <n v="7"/>
    <n v="0"/>
    <n v="7"/>
    <n v="0"/>
    <s v="The cargo plane, chartered by FedEx, crashed west of Baghdad, shortly after taking off from al Asad air base and after the crew reported a malfunction with the plane."/>
    <n v="0"/>
    <n v="1"/>
    <x v="1"/>
  </r>
  <r>
    <n v="4686"/>
    <x v="4267"/>
    <x v="97"/>
    <x v="4"/>
    <d v="1899-12-30T10:32:00"/>
    <s v="Thormanby Island, British Columbia, Canada"/>
    <s v="Pacific Coastal Airlines"/>
    <s v="Unknown"/>
    <s v="Vancouver - Powell River - Toba Inlet"/>
    <x v="894"/>
    <s v="C-FPCK"/>
    <n v="1187"/>
    <n v="8"/>
    <n v="7"/>
    <n v="1"/>
    <n v="7"/>
    <n v="6"/>
    <n v="1"/>
    <n v="0"/>
    <s v="The charter aircraft crashed into a steep hillside on south Thormanby Island 19 minutes after taking off and exploded into flames. Controlled flight into terrain caused by poor weather conditions and the decision by the pilot to fly in such conditions."/>
    <n v="1"/>
    <n v="0.875"/>
    <x v="1"/>
  </r>
  <r>
    <n v="4687"/>
    <x v="4268"/>
    <x v="97"/>
    <x v="4"/>
    <d v="1899-12-30T17:00:00"/>
    <s v="Off Perpignan, France"/>
    <s v="XL Airways leased from Air New Zealand"/>
    <s v="Unknown"/>
    <s v="Training"/>
    <x v="2201"/>
    <s v="D-AXLA"/>
    <n v="2500"/>
    <n v="7"/>
    <n v="0"/>
    <n v="7"/>
    <n v="7"/>
    <n v="0"/>
    <n v="7"/>
    <n v="0"/>
    <s v="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
    <n v="0"/>
    <n v="1"/>
    <x v="1"/>
  </r>
  <r>
    <n v="4688"/>
    <x v="4269"/>
    <x v="97"/>
    <x v="4"/>
    <d v="1899-12-30T12:13:00"/>
    <s v="San Juan, Puerto Rico"/>
    <s v="Webstas Aviation Services Inc."/>
    <s v="Unknown"/>
    <s v="Tortola Virgin Islands - San Juan, PR"/>
    <x v="2202"/>
    <s v="N318WAÂ "/>
    <n v="11444"/>
    <n v="3"/>
    <n v="2"/>
    <n v="1"/>
    <n v="3"/>
    <n v="2"/>
    <n v="1"/>
    <n v="0"/>
    <s v="The plane struck the side of El Yunque mountain 2,310 feet, east of San Juan in heavy fog."/>
    <n v="0"/>
    <n v="1"/>
    <x v="1"/>
  </r>
  <r>
    <n v="4689"/>
    <x v="4270"/>
    <x v="97"/>
    <x v="4"/>
    <d v="1899-12-30T06:25:00"/>
    <s v="Off Sabine Pass, Texas"/>
    <s v="Rotorcraft Leasing Co"/>
    <s v="Unknown"/>
    <s v="Sabine Pass - Oil Platform"/>
    <x v="2203"/>
    <s v="N180AL"/>
    <n v="52104"/>
    <n v="3"/>
    <n v="3"/>
    <n v="2"/>
    <n v="3"/>
    <n v="3"/>
    <n v="2"/>
    <n v="0"/>
    <s v="The helicopter ferrying workers to an off shore drilling platform crashed into the Gulf, 8 miles from Sabine Pass."/>
    <n v="0"/>
    <n v="1"/>
    <x v="1"/>
  </r>
  <r>
    <n v="4690"/>
    <x v="4271"/>
    <x v="97"/>
    <x v="4"/>
    <d v="1899-12-30T16:40:00"/>
    <s v="Off Turks and Caicos Islands"/>
    <s v="Alantis Aviation"/>
    <s v="Unknown"/>
    <s v="Santiago, Dominican Republic - Providenciales"/>
    <x v="2204"/>
    <s v="N650LP"/>
    <n v="1029"/>
    <n v="12"/>
    <n v="11"/>
    <n v="1"/>
    <n v="12"/>
    <n v="11"/>
    <n v="1"/>
    <n v="0"/>
    <s v="The charter flight disappeared from radar 35 minutes into the flight and after the pilot radioed a mayday call. Probably crashed into the ocean. Never found."/>
    <n v="0"/>
    <n v="1"/>
    <x v="1"/>
  </r>
  <r>
    <n v="4691"/>
    <x v="4272"/>
    <x v="98"/>
    <x v="4"/>
    <d v="1899-12-30T04:37:00"/>
    <s v="Lubock, Texas"/>
    <s v="Empire Airlines leased from FedEx"/>
    <n v="8284"/>
    <s v="Fort Worth - Lubbock"/>
    <x v="2205"/>
    <s v="N902FX"/>
    <n v="175"/>
    <n v="2"/>
    <n v="0"/>
    <n v="2"/>
    <n v="2"/>
    <n v="0"/>
    <n v="2"/>
    <n v="0"/>
    <s v="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
    <n v="0"/>
    <n v="1"/>
    <x v="1"/>
  </r>
  <r>
    <n v="4692"/>
    <x v="4273"/>
    <x v="98"/>
    <x v="4"/>
    <d v="1899-12-30T15:30:00"/>
    <s v="Near Houma Louisiana"/>
    <s v="Petroleum Helicopters Inc"/>
    <s v="Unknown"/>
    <s v="Bayou Penchant - Off shore oil fields"/>
    <x v="2206"/>
    <s v="N748P"/>
    <n v="760629"/>
    <n v="9"/>
    <n v="7"/>
    <n v="2"/>
    <n v="8"/>
    <n v="6"/>
    <n v="2"/>
    <n v="0"/>
    <s v="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
    <n v="1"/>
    <n v="0.88888888888888884"/>
    <x v="1"/>
  </r>
  <r>
    <n v="4693"/>
    <x v="4274"/>
    <x v="98"/>
    <x v="4"/>
    <s v="Unknown"/>
    <s v="Adraskan district, Afghanistan"/>
    <s v="Afghan Army"/>
    <s v="Unknown"/>
    <s v="Unknown"/>
    <x v="1846"/>
    <s v="Unknown"/>
    <s v="Unknown"/>
    <n v="13"/>
    <s v="NULL"/>
    <s v="NULL"/>
    <n v="13"/>
    <s v="NULL"/>
    <s v="NULL"/>
    <n v="0"/>
    <s v="Either shot down or crashed due to bad weather."/>
    <n v="0"/>
    <n v="1"/>
    <x v="1"/>
  </r>
  <r>
    <n v="4694"/>
    <x v="4274"/>
    <x v="98"/>
    <x v="4"/>
    <d v="1899-12-30T15:06:00"/>
    <s v="New York, New York"/>
    <s v="US Airways"/>
    <n v="1549"/>
    <s v="New York, NY- Charlotte, NC"/>
    <x v="2207"/>
    <s v="N106US"/>
    <n v="1044"/>
    <n v="155"/>
    <n v="150"/>
    <n v="5"/>
    <n v="0"/>
    <n v="0"/>
    <n v="0"/>
    <n v="0"/>
    <s v="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
    <n v="155"/>
    <n v="0"/>
    <x v="2"/>
  </r>
  <r>
    <n v="4695"/>
    <x v="4275"/>
    <x v="98"/>
    <x v="4"/>
    <d v="1899-12-30T14:00:00"/>
    <s v="Manacapuru, Brazil"/>
    <s v="Aerotaxi Manaus"/>
    <s v="Unknown"/>
    <s v="Coari - Manus"/>
    <x v="2208"/>
    <s v="PT-SEA"/>
    <n v="110352"/>
    <n v="28"/>
    <n v="26"/>
    <n v="2"/>
    <n v="24"/>
    <n v="22"/>
    <n v="2"/>
    <n v="0"/>
    <s v="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
    <n v="4"/>
    <n v="0.8571428571428571"/>
    <x v="1"/>
  </r>
  <r>
    <n v="4696"/>
    <x v="4276"/>
    <x v="98"/>
    <x v="4"/>
    <d v="1899-12-30T22:17:00"/>
    <s v="Clarence Center, New York"/>
    <s v="Continental Connection/Colgan Air"/>
    <n v="3407"/>
    <s v="Newark, N.J. - Buffalo, NY"/>
    <x v="2209"/>
    <s v="N200WQ"/>
    <n v="4200"/>
    <n v="49"/>
    <n v="44"/>
    <n v="5"/>
    <n v="49"/>
    <n v="44"/>
    <n v="5"/>
    <n v="1"/>
    <s v="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
    <n v="0"/>
    <n v="1"/>
    <x v="1"/>
  </r>
  <r>
    <n v="4697"/>
    <x v="4277"/>
    <x v="98"/>
    <x v="4"/>
    <d v="1899-12-30T19:15:00"/>
    <s v="Chanco, Chile"/>
    <s v="Flight Service"/>
    <s v="Unknown"/>
    <s v="Unknown"/>
    <x v="1517"/>
    <s v="CC-CBW"/>
    <s v="Unknown"/>
    <n v="13"/>
    <n v="12"/>
    <n v="1"/>
    <n v="13"/>
    <n v="12"/>
    <n v="1"/>
    <n v="0"/>
    <s v="The helicopter was carrying firemen to a nearby forest fire when it crashed into a fog shrouded mountain killing all aboard."/>
    <n v="0"/>
    <n v="1"/>
    <x v="1"/>
  </r>
  <r>
    <n v="4698"/>
    <x v="4278"/>
    <x v="98"/>
    <x v="4"/>
    <d v="1899-12-30T04:10:00"/>
    <s v="Luxor, Egypt"/>
    <s v="Aerolift"/>
    <s v="Unknown"/>
    <s v="Entebbe, Uganda - Luxor, Egypt - Niklaev, Ukraine"/>
    <x v="2129"/>
    <s v="S9-SVN"/>
    <n v="6344310"/>
    <n v="5"/>
    <n v="0"/>
    <n v="5"/>
    <n v="5"/>
    <n v="0"/>
    <n v="5"/>
    <n v="0"/>
    <s v="While attemping to take off from Luxor, the cargo plane slammed to the ground, slid down the runway and caught fire."/>
    <n v="0"/>
    <n v="1"/>
    <x v="1"/>
  </r>
  <r>
    <n v="4699"/>
    <x v="4279"/>
    <x v="98"/>
    <x v="4"/>
    <d v="1899-12-30T10:31:00"/>
    <s v="Amsterdam, Netherlands"/>
    <s v="Turkish Airlines"/>
    <n v="1951"/>
    <s v="Istanbul, Turkey - Amsterdam, Netherlands"/>
    <x v="2210"/>
    <s v="TC-JGE"/>
    <s v="29789/1065"/>
    <n v="134"/>
    <n v="127"/>
    <n v="7"/>
    <n v="9"/>
    <n v="6"/>
    <n v="3"/>
    <n v="0"/>
    <s v="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
    <n v="125"/>
    <n v="6.7164179104477612E-2"/>
    <x v="2"/>
  </r>
  <r>
    <n v="4700"/>
    <x v="4280"/>
    <x v="98"/>
    <x v="4"/>
    <d v="1899-12-30T05:40:00"/>
    <s v="Lake Victoria, Uganda"/>
    <s v="Aerolift"/>
    <s v="Unknown"/>
    <s v="Entebbe, Uganda - Mogadishu, Somalia"/>
    <x v="1861"/>
    <s v="S9-SAB"/>
    <n v="73410301"/>
    <n v="11"/>
    <n v="7"/>
    <n v="4"/>
    <n v="11"/>
    <n v="7"/>
    <n v="4"/>
    <n v="0"/>
    <s v="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
    <n v="0"/>
    <n v="1"/>
    <x v="1"/>
  </r>
  <r>
    <n v="4701"/>
    <x v="4281"/>
    <x v="98"/>
    <x v="4"/>
    <d v="1899-12-30T09:48:00"/>
    <s v="Off St. Johns, Newfoundland"/>
    <s v="Cougar Helicopters"/>
    <s v="Unknown"/>
    <s v="St. Johns - Hibernia platform"/>
    <x v="2211"/>
    <s v="C-GZCH"/>
    <n v="920048"/>
    <n v="18"/>
    <n v="16"/>
    <n v="2"/>
    <n v="17"/>
    <n v="15"/>
    <n v="2"/>
    <n v="0"/>
    <s v="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
    <n v="1"/>
    <n v="0.94444444444444442"/>
    <x v="1"/>
  </r>
  <r>
    <n v="4702"/>
    <x v="4282"/>
    <x v="98"/>
    <x v="4"/>
    <d v="1899-12-30T14:28:00"/>
    <s v="Butte, Montana"/>
    <s v="Eagle Cap Leasing"/>
    <s v="Unknown"/>
    <s v="Oroville, CA - Butte, MT"/>
    <x v="2212"/>
    <s v="N128CM"/>
    <n v="403"/>
    <n v="14"/>
    <n v="13"/>
    <n v="1"/>
    <n v="14"/>
    <n v="13"/>
    <n v="1"/>
    <n v="0"/>
    <s v="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
    <n v="0"/>
    <n v="1"/>
    <x v="1"/>
  </r>
  <r>
    <n v="4703"/>
    <x v="4283"/>
    <x v="98"/>
    <x v="4"/>
    <d v="1899-12-30T06:48:00"/>
    <s v="Tokyo, Japan"/>
    <s v="FedEx"/>
    <n v="80"/>
    <s v="Guangzhou, China - Tokyo, Japan"/>
    <x v="1762"/>
    <s v="N526FE"/>
    <s v="48600/560"/>
    <n v="2"/>
    <n v="0"/>
    <n v="2"/>
    <n v="2"/>
    <n v="0"/>
    <n v="2"/>
    <n v="0"/>
    <s v="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
    <n v="0"/>
    <n v="1"/>
    <x v="1"/>
  </r>
  <r>
    <n v="4704"/>
    <x v="4284"/>
    <x v="98"/>
    <x v="4"/>
    <d v="1899-12-30T14:00:00"/>
    <s v="Off Crimond, Scotland"/>
    <s v="Bond Offshore Helicopters"/>
    <s v="Unknown"/>
    <s v="Miller field - Aberdeen"/>
    <x v="2213"/>
    <s v="G-REDL"/>
    <s v="Unknown"/>
    <n v="16"/>
    <n v="14"/>
    <n v="2"/>
    <n v="16"/>
    <n v="14"/>
    <n v="2"/>
    <n v="0"/>
    <s v="The helicopter crashed 35 miles East of Crimond in the North Sea while transporting oil workers. A mayday was received prior to the crash. Catastrophic failure of the main rotor gearbox."/>
    <n v="0"/>
    <n v="1"/>
    <x v="1"/>
  </r>
  <r>
    <n v="4705"/>
    <x v="4285"/>
    <x v="98"/>
    <x v="4"/>
    <d v="1899-12-30T12:30:00"/>
    <s v="Bandung, Indonesia"/>
    <s v="Military - Indonesian Air Force"/>
    <s v="Unknown"/>
    <s v="Militiary training"/>
    <x v="1139"/>
    <s v="A-2703"/>
    <n v="10538"/>
    <n v="24"/>
    <n v="18"/>
    <n v="6"/>
    <n v="24"/>
    <n v="18"/>
    <n v="6"/>
    <n v="0"/>
    <s v="While returning from a military training exercise, and attempting to land, the aircraft struck a hanger and burst into flames."/>
    <n v="0"/>
    <n v="1"/>
    <x v="1"/>
  </r>
  <r>
    <n v="4706"/>
    <x v="4286"/>
    <x v="98"/>
    <x v="4"/>
    <d v="1899-12-30T07:00:00"/>
    <s v="Near Wamena, Indonesia"/>
    <s v="Aviastar Mandiri"/>
    <s v="Unknown"/>
    <s v="Jayapura - Wamena"/>
    <x v="2214"/>
    <s v="PK-BRD"/>
    <s v="E3189"/>
    <n v="6"/>
    <n v="0"/>
    <n v="6"/>
    <n v="6"/>
    <n v="0"/>
    <n v="6"/>
    <n v="0"/>
    <s v="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
    <n v="0"/>
    <n v="1"/>
    <x v="1"/>
  </r>
  <r>
    <n v="4707"/>
    <x v="4287"/>
    <x v="98"/>
    <x v="4"/>
    <d v="1899-12-30T06:00:00"/>
    <s v="Massamba, Democratic Republic of Congo"/>
    <s v="Bako Air"/>
    <s v="Unknown"/>
    <s v="Bangui, CAR- Brazzaville, Congo - Harare, Zimbabwe"/>
    <x v="1468"/>
    <s v="TL-ADMÂ "/>
    <s v="22264/753"/>
    <n v="7"/>
    <n v="5"/>
    <n v="2"/>
    <n v="7"/>
    <n v="5"/>
    <n v="2"/>
    <n v="0"/>
    <s v="Crashed while en route on a ferrying flight. The plane had not been flown for a year."/>
    <n v="0"/>
    <n v="1"/>
    <x v="1"/>
  </r>
  <r>
    <n v="4708"/>
    <x v="4288"/>
    <x v="98"/>
    <x v="4"/>
    <d v="1899-12-30T12:00:00"/>
    <s v="Near El Alto de Rubio, Venezuela"/>
    <s v="Military - Venezuelan Army"/>
    <s v="Unknown"/>
    <s v="Patrol"/>
    <x v="2215"/>
    <s v="EV08114Â "/>
    <s v="Unknown"/>
    <n v="18"/>
    <n v="16"/>
    <n v="2"/>
    <n v="18"/>
    <n v="16"/>
    <n v="2"/>
    <n v="0"/>
    <s v="The helicopter was patrolling along the Venezuelan / Colombian border when radar contact was lost."/>
    <n v="0"/>
    <n v="1"/>
    <x v="1"/>
  </r>
  <r>
    <n v="4709"/>
    <x v="4289"/>
    <x v="98"/>
    <x v="4"/>
    <d v="1899-12-30T06:30:00"/>
    <s v="Near Madiun, Indonesia"/>
    <s v="Military - Indonesian Air Force"/>
    <s v="Unknown"/>
    <s v="Jakarta - Maduin"/>
    <x v="1298"/>
    <s v="A-1325"/>
    <n v="1982"/>
    <n v="112"/>
    <n v="98"/>
    <n v="14"/>
    <n v="112"/>
    <n v="98"/>
    <n v="14"/>
    <n v="2"/>
    <s v="While on approach, the military transport crashed into 4 houses, skidded into a rice field and burst into flames."/>
    <n v="0"/>
    <n v="1"/>
    <x v="1"/>
  </r>
  <r>
    <n v="4710"/>
    <x v="4290"/>
    <x v="98"/>
    <x v="4"/>
    <s v="Unknown"/>
    <s v="Near Isiro, Democratic Republic Congo"/>
    <s v="Service Air"/>
    <s v="Unknown"/>
    <s v="Goma - Isiro"/>
    <x v="1195"/>
    <s v="9Q-CSA"/>
    <n v="5005"/>
    <n v="4"/>
    <n v="0"/>
    <n v="4"/>
    <n v="4"/>
    <n v="0"/>
    <n v="3"/>
    <s v="NULL"/>
    <s v="The cargo plane crashed while on approach to Isiro-Matari Airport."/>
    <n v="0"/>
    <n v="1"/>
    <x v="1"/>
  </r>
  <r>
    <n v="4711"/>
    <x v="4291"/>
    <x v="98"/>
    <x v="4"/>
    <d v="1899-12-30T00:15:00"/>
    <s v="Atlantic Ocean, 570 miles northeast of Natal, Brazil"/>
    <s v="Air France"/>
    <n v="447"/>
    <s v="Rio de Janeiro - Paris"/>
    <x v="2216"/>
    <s v="F-GZCP"/>
    <n v="660"/>
    <n v="228"/>
    <n v="216"/>
    <n v="12"/>
    <n v="228"/>
    <n v="216"/>
    <n v="12"/>
    <n v="0"/>
    <s v="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
    <n v="0"/>
    <n v="1"/>
    <x v="1"/>
  </r>
  <r>
    <n v="4712"/>
    <x v="4292"/>
    <x v="98"/>
    <x v="4"/>
    <d v="1899-12-30T08:30:00"/>
    <s v="Near Port Hope Simpson, Newfoundland, Canada"/>
    <s v="Strait Air"/>
    <s v="Unknown"/>
    <s v="Lourdes de Blanc Sablon - Port Hope Simpson"/>
    <x v="1841"/>
    <s v="C-FJJRÂ "/>
    <n v="424"/>
    <n v="1"/>
    <n v="0"/>
    <n v="1"/>
    <n v="1"/>
    <n v="0"/>
    <n v="1"/>
    <n v="0"/>
    <s v="The air ambulance crashed into hills while attempting to land in heavy fog about 4 miles from the airport."/>
    <n v="0"/>
    <n v="1"/>
    <x v="1"/>
  </r>
  <r>
    <n v="4713"/>
    <x v="4293"/>
    <x v="98"/>
    <x v="4"/>
    <s v="Unknown"/>
    <s v="State of Arunachal Pradesh, India"/>
    <s v="Military - Indian Air Force"/>
    <s v="Unknown"/>
    <s v="Mechuka - Jorhat"/>
    <x v="1625"/>
    <s v="Unknown"/>
    <s v="Unknown"/>
    <n v="13"/>
    <n v="6"/>
    <n v="7"/>
    <n v="13"/>
    <n v="6"/>
    <n v="7"/>
    <n v="0"/>
    <s v="The military transport went missing while en route and might have crashed due to heavy rain in the mountainous region."/>
    <n v="0"/>
    <n v="1"/>
    <x v="1"/>
  </r>
  <r>
    <n v="4714"/>
    <x v="4294"/>
    <x v="98"/>
    <x v="4"/>
    <d v="1899-12-30T16:01:00"/>
    <s v="Near Wamena, Indonesia"/>
    <s v="Aviastar Mandiri"/>
    <s v="Unknown"/>
    <s v="Dekari - Wamena, Indonesia"/>
    <x v="1220"/>
    <s v="PK-BRO"/>
    <n v="756"/>
    <n v="3"/>
    <n v="0"/>
    <n v="3"/>
    <n v="3"/>
    <n v="0"/>
    <n v="3"/>
    <n v="0"/>
    <s v="While en route and nearing it's destination, the cargo plane crashed into a 9,600 ft. mountain in the Tangma district."/>
    <n v="0"/>
    <n v="1"/>
    <x v="1"/>
  </r>
  <r>
    <n v="4715"/>
    <x v="4295"/>
    <x v="98"/>
    <x v="4"/>
    <d v="1899-12-30T01:51:00"/>
    <s v="Off Mitsamiouli, Comoros"/>
    <s v="Yemenia Airway"/>
    <n v="626"/>
    <s v="Sana'a, Yemen - Moroni, Comoros"/>
    <x v="1816"/>
    <s v="7O-ADJ"/>
    <n v="535"/>
    <n v="153"/>
    <n v="142"/>
    <n v="11"/>
    <n v="152"/>
    <n v="141"/>
    <n v="11"/>
    <n v="0"/>
    <s v="The plane crashed into the Indian Ocean, 10 miles off the coast,while attempting a second approach to Hahaya Airport in Moroni. A 12 year old girl survived the accident. Crew error. The accident was due to inappropriate action by the crew during a non-stabilizing maneuver."/>
    <n v="1"/>
    <n v="0.99346405228758172"/>
    <x v="1"/>
  </r>
  <r>
    <n v="4716"/>
    <x v="4296"/>
    <x v="98"/>
    <x v="4"/>
    <s v="Unknown"/>
    <s v="Near,  Peshawar ,  Pakistan"/>
    <s v="Military - Pakistan Army"/>
    <s v="Unknown"/>
    <s v="Unknown"/>
    <x v="1846"/>
    <s v="Unknown"/>
    <s v="Unknown"/>
    <n v="26"/>
    <n v="24"/>
    <n v="2"/>
    <n v="26"/>
    <n v="24"/>
    <n v="2"/>
    <n v="0"/>
    <s v="The military helicopter crashed en route while transporting troops."/>
    <n v="0"/>
    <n v="1"/>
    <x v="1"/>
  </r>
  <r>
    <n v="4717"/>
    <x v="4297"/>
    <x v="98"/>
    <x v="4"/>
    <d v="1899-12-30T11:33:00"/>
    <s v="Near Qazvin, Iran"/>
    <s v="Caspian Airlines"/>
    <s v="RV-7908"/>
    <s v="Tehran, Iran - Yerevan, Armenia"/>
    <x v="1982"/>
    <s v="EP-CPG"/>
    <s v="87A-748"/>
    <n v="168"/>
    <n v="153"/>
    <n v="15"/>
    <n v="168"/>
    <n v="153"/>
    <n v="15"/>
    <n v="0"/>
    <s v="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
    <n v="0"/>
    <n v="1"/>
    <x v="1"/>
  </r>
  <r>
    <n v="4718"/>
    <x v="4298"/>
    <x v="98"/>
    <x v="4"/>
    <d v="1899-12-30T11:50:00"/>
    <s v="Kandahar Airport, Afghanistan"/>
    <s v="Vertical-T Air"/>
    <s v="Unknown"/>
    <s v="Unknown"/>
    <x v="1756"/>
    <s v="Unknown"/>
    <s v="Unknown"/>
    <n v="21"/>
    <s v="NULL"/>
    <s v="NULL"/>
    <n v="16"/>
    <s v="NULL"/>
    <s v="NULL"/>
    <n v="0"/>
    <s v="A civilian contractor's helicopter crashed while attempting to take off."/>
    <n v="5"/>
    <n v="0.76190476190476186"/>
    <x v="1"/>
  </r>
  <r>
    <n v="4719"/>
    <x v="4299"/>
    <x v="98"/>
    <x v="4"/>
    <d v="1899-12-30T18:20:00"/>
    <s v="Mashad, Iran"/>
    <s v="Aria Airlines"/>
    <n v="1525"/>
    <s v="Tehran - Mashad"/>
    <x v="1336"/>
    <s v="UP-16208"/>
    <s v="1591525/257"/>
    <n v="153"/>
    <n v="138"/>
    <n v="15"/>
    <n v="16"/>
    <n v="3"/>
    <n v="13"/>
    <n v="0"/>
    <s v="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
    <n v="137"/>
    <n v="0.10457516339869281"/>
    <x v="2"/>
  </r>
  <r>
    <n v="4720"/>
    <x v="4300"/>
    <x v="98"/>
    <x v="4"/>
    <d v="1899-12-30T10:25:00"/>
    <s v="Ampisibil Village, Indonesia"/>
    <s v="Merpati Nusantara Airlines"/>
    <s v="9760D"/>
    <s v="Jayapura - Oksibil"/>
    <x v="1220"/>
    <s v="PK-NVC"/>
    <n v="626"/>
    <n v="16"/>
    <n v="13"/>
    <n v="3"/>
    <n v="16"/>
    <n v="13"/>
    <n v="3"/>
    <n v="0"/>
    <s v="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
    <n v="0"/>
    <n v="1"/>
    <x v="1"/>
  </r>
  <r>
    <n v="4721"/>
    <x v="4301"/>
    <x v="98"/>
    <x v="4"/>
    <d v="1899-12-30T14:30:00"/>
    <s v="Koh Samui, Thailand"/>
    <s v="Bangkok Airlines"/>
    <n v="226"/>
    <s v="Karabi - Koh Samui"/>
    <x v="2217"/>
    <s v="HS-PGL"/>
    <n v="670"/>
    <n v="72"/>
    <n v="68"/>
    <n v="4"/>
    <n v="1"/>
    <n v="0"/>
    <n v="1"/>
    <n v="0"/>
    <s v="The plane skidded off the runway and collided with an unused control tower, killing the pilot."/>
    <n v="71"/>
    <n v="1.3888888888888888E-2"/>
    <x v="2"/>
  </r>
  <r>
    <n v="4722"/>
    <x v="4302"/>
    <x v="98"/>
    <x v="4"/>
    <d v="1899-12-30T12:00:00"/>
    <s v="New York, New York"/>
    <s v="Liberty Helicopter Sightseeing Tours / Private"/>
    <s v="Unknown"/>
    <s v="Sightseeing / Teteboro - Ocean City, NJ"/>
    <x v="2218"/>
    <s v="N401lH / N71MC"/>
    <s v="3059 / 32R-7680172"/>
    <n v="9"/>
    <n v="7"/>
    <n v="2"/>
    <n v="9"/>
    <n v="7"/>
    <n v="2"/>
    <n v="0"/>
    <s v="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
    <n v="0"/>
    <n v="1"/>
    <x v="1"/>
  </r>
  <r>
    <n v="4723"/>
    <x v="4303"/>
    <x v="98"/>
    <x v="4"/>
    <d v="1899-12-30T11:14:00"/>
    <s v="Near Port Moresby, Papua New Guinea"/>
    <s v=" Airlines  PNG"/>
    <n v="4684"/>
    <s v="Port Moreby - Kokoda"/>
    <x v="1220"/>
    <s v="P2-MCB"/>
    <n v="441"/>
    <n v="13"/>
    <n v="11"/>
    <n v="2"/>
    <n v="13"/>
    <n v="11"/>
    <n v="2"/>
    <n v="0"/>
    <s v="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
    <n v="0"/>
    <n v="1"/>
    <x v="1"/>
  </r>
  <r>
    <n v="4724"/>
    <x v="4304"/>
    <x v="98"/>
    <x v="4"/>
    <d v="1899-12-30T05:00:00"/>
    <s v="Nganga Lingolo, Congo"/>
    <s v="Aero Fret Business"/>
    <s v="Unknown"/>
    <s v="Pointe Noire - Brazzaville"/>
    <x v="2219"/>
    <s v="TN-AIA"/>
    <n v="6344607"/>
    <n v="7"/>
    <n v="2"/>
    <n v="5"/>
    <n v="7"/>
    <n v="2"/>
    <n v="5"/>
    <n v="0"/>
    <s v="The cargo plane crashed 7 miles SE of Brazzaville into a cemetery, short of the runway, while on approach to land. Reports indicate the rear of the plane had been on fire and the aircraft broke up before it hit the ground."/>
    <n v="0"/>
    <n v="1"/>
    <x v="1"/>
  </r>
  <r>
    <n v="4725"/>
    <x v="4305"/>
    <x v="98"/>
    <x v="4"/>
    <d v="1899-12-30T10:30:00"/>
    <s v="Ugamsk Gorge, South Kazakistan"/>
    <s v="Military - Kazakhstan border guard service"/>
    <s v="Unknown"/>
    <s v="Patrol"/>
    <x v="1756"/>
    <s v="Unknown"/>
    <s v="Unknown"/>
    <n v="13"/>
    <s v="NULL"/>
    <s v="NULL"/>
    <n v="10"/>
    <s v="NULL"/>
    <s v="NULL"/>
    <n v="0"/>
    <s v="The helicopter crashed while while pursuing suspected gunmen near the Uzbek border."/>
    <n v="3"/>
    <n v="0.76923076923076927"/>
    <x v="1"/>
  </r>
  <r>
    <n v="4726"/>
    <x v="4306"/>
    <x v="98"/>
    <x v="4"/>
    <d v="1899-12-30T08:00:00"/>
    <s v="Merebank, South Africa"/>
    <s v="SA Airlink"/>
    <n v="8911"/>
    <s v="Durban - Pietemaritburg, South Africa"/>
    <x v="2220"/>
    <s v="ZS-NRM"/>
    <n v="41069"/>
    <n v="3"/>
    <n v="0"/>
    <n v="3"/>
    <n v="1"/>
    <n v="0"/>
    <n v="1"/>
    <n v="0"/>
    <s v="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
    <n v="2"/>
    <n v="0.33333333333333331"/>
    <x v="2"/>
  </r>
  <r>
    <n v="4727"/>
    <x v="4307"/>
    <x v="98"/>
    <x v="4"/>
    <d v="1899-12-30T23:30:00"/>
    <s v="Georgetown, South Carolina"/>
    <s v="Omniflight Helicopters Inc."/>
    <s v="Unknown"/>
    <s v="Charleston - Conway"/>
    <x v="2221"/>
    <s v="N417AE"/>
    <n v="9032"/>
    <n v="3"/>
    <n v="2"/>
    <n v="1"/>
    <n v="3"/>
    <n v="2"/>
    <n v="1"/>
    <n v="0"/>
    <s v="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
    <n v="0"/>
    <n v="1"/>
    <x v="1"/>
  </r>
  <r>
    <n v="4728"/>
    <x v="4308"/>
    <x v="98"/>
    <x v="4"/>
    <d v="1899-12-30T12:38:00"/>
    <s v="Manila, Philippines"/>
    <s v="Victoria Air"/>
    <s v="Unknown"/>
    <s v="Manila - Puerto Princesa, Philippines"/>
    <x v="507"/>
    <s v="RPC550Â "/>
    <s v="25737/14292"/>
    <n v="4"/>
    <n v="0"/>
    <n v="4"/>
    <n v="4"/>
    <n v="0"/>
    <n v="4"/>
    <n v="0"/>
    <s v="Shortly after take off the crew reported engine problems and requested an emergency return to the airport. The pilot was not able to make the turn and the cargo plane crashed into an abandoned warehouse and burst into flames."/>
    <n v="0"/>
    <n v="1"/>
    <x v="1"/>
  </r>
  <r>
    <n v="4729"/>
    <x v="4309"/>
    <x v="98"/>
    <x v="4"/>
    <d v="1899-12-30T15:31:00"/>
    <s v="Sharjah, United Arab Emirates"/>
    <s v="Azzi"/>
    <s v="Unknown"/>
    <s v="Sharjar, UAE- Khartoum, Sudan"/>
    <x v="2222"/>
    <s v="ST-AKW"/>
    <s v="20123/788"/>
    <n v="6"/>
    <n v="0"/>
    <n v="6"/>
    <n v="6"/>
    <n v="0"/>
    <n v="6"/>
    <n v="0"/>
    <s v="The cargo plane took off, banked to the right and crashed into the desert, 3km from the airport."/>
    <n v="0"/>
    <n v="1"/>
    <x v="1"/>
  </r>
  <r>
    <n v="4730"/>
    <x v="4310"/>
    <x v="98"/>
    <x v="4"/>
    <d v="1899-12-30T10:45:00"/>
    <s v="Off Bonaire, Netherlands Antilles"/>
    <s v="Divi Divi Air"/>
    <n v="16"/>
    <s v="Curacao - Bonaire, Netherlands Antilles"/>
    <x v="2223"/>
    <s v="PJ-SUN"/>
    <n v="377"/>
    <n v="10"/>
    <n v="9"/>
    <n v="1"/>
    <n v="1"/>
    <n v="0"/>
    <n v="1"/>
    <n v="0"/>
    <s v="While on approach, the right engine failed and the pilot was not able to maintain altitude. The plane ditched into the ocean.Nine passengers were rescued but the pilot was not able to leave the sinking plane and died."/>
    <n v="9"/>
    <n v="0.1"/>
    <x v="2"/>
  </r>
  <r>
    <n v="4731"/>
    <x v="4311"/>
    <x v="98"/>
    <x v="4"/>
    <d v="1899-12-30T21:19:00"/>
    <s v="Off Mongokhto, Russia"/>
    <s v="Military - Russian Navy"/>
    <s v="Unknown"/>
    <s v="Ferrying"/>
    <x v="2224"/>
    <s v="RF-76801"/>
    <s v="93495866/7207"/>
    <n v="11"/>
    <n v="0"/>
    <n v="11"/>
    <n v="11"/>
    <n v="0"/>
    <n v="11"/>
    <n v="0"/>
    <s v="Crashed 20 miles offshore in the Tartar Strait while on approach."/>
    <n v="0"/>
    <n v="1"/>
    <x v="1"/>
  </r>
  <r>
    <n v="4732"/>
    <x v="4311"/>
    <x v="98"/>
    <x v="4"/>
    <d v="1899-12-30T08:49:00"/>
    <s v="Mirny, Russia"/>
    <s v="Russian Ministry of Interior"/>
    <s v="Unknown"/>
    <s v="Mirnyy - Irkutsk"/>
    <x v="1991"/>
    <s v="RF-76801"/>
    <s v="93495866/7207"/>
    <n v="11"/>
    <n v="0"/>
    <n v="11"/>
    <n v="11"/>
    <n v="0"/>
    <n v="11"/>
    <n v="0"/>
    <s v="While taking off the aircraft barely rose off the ground, banked to the right and crashed 1.5 km from the airport. Seven crew as well as four members from a replacement crew were on board."/>
    <n v="0"/>
    <n v="1"/>
    <x v="1"/>
  </r>
  <r>
    <n v="4733"/>
    <x v="4312"/>
    <x v="98"/>
    <x v="4"/>
    <d v="1899-12-30T13:30:00"/>
    <s v="Kigali, Rwanda"/>
    <s v="Rwandair"/>
    <s v="Unknown"/>
    <s v="Kigali, Rwanda - Entebbe, Uganda"/>
    <x v="2062"/>
    <s v="5Y-JLD"/>
    <n v="7197"/>
    <n v="15"/>
    <n v="12"/>
    <n v="3"/>
    <n v="1"/>
    <n v="1"/>
    <n v="0"/>
    <n v="0"/>
    <s v="Fifteen minutes after taking off, the pilot announced that the aircraft had a mechanical problem and was returning to the airport. After coming to a stop, for some unexplained reason, the plane took off again at full power, made a right turn and crashed into the VIP lounge."/>
    <n v="14"/>
    <n v="6.6666666666666666E-2"/>
    <x v="2"/>
  </r>
  <r>
    <n v="4734"/>
    <x v="4313"/>
    <x v="98"/>
    <x v="4"/>
    <d v="1899-12-30T02:00:00"/>
    <s v="Near Reno, Nevada"/>
    <s v="Mountain Lifeflight"/>
    <s v="Unknown"/>
    <s v="Reno, NV - Susanville, CA"/>
    <x v="2225"/>
    <s v="N5793P"/>
    <n v="1476"/>
    <n v="3"/>
    <n v="0"/>
    <n v="3"/>
    <n v="3"/>
    <n v="0"/>
    <n v="3"/>
    <n v="0"/>
    <s v="The medical helicopter crashed and burned about 29 miles northwest of Reno, while returning to its base in Susanville, after dropping off a patient at a Reno hospital. All three crew members aboard were killled."/>
    <n v="0"/>
    <n v="1"/>
    <x v="1"/>
  </r>
  <r>
    <n v="4735"/>
    <x v="4314"/>
    <x v="98"/>
    <x v="4"/>
    <d v="1899-12-30T08:16:00"/>
    <s v="Shanghai, China"/>
    <s v="Avient Aviation"/>
    <n v="324"/>
    <s v="Shanghai, China - Bishkek, Kyrgyzstan"/>
    <x v="2226"/>
    <s v="Z-BAV"/>
    <s v="48408/457"/>
    <n v="7"/>
    <n v="0"/>
    <n v="7"/>
    <n v="3"/>
    <n v="0"/>
    <n v="3"/>
    <n v="0"/>
    <s v="The cargo plane veered off the runway, crashed and burned after the tail struck the ground as it attempted to take off."/>
    <n v="4"/>
    <n v="0.42857142857142855"/>
    <x v="0"/>
  </r>
  <r>
    <n v="4736"/>
    <x v="4315"/>
    <x v="98"/>
    <x v="4"/>
    <d v="1899-12-30T16:10:00"/>
    <s v="Lyall Harbour, BC, Canada"/>
    <s v="Seair Seaplanes"/>
    <s v="Unknown"/>
    <s v="Lyall Harbour - Vancouver"/>
    <x v="2227"/>
    <s v="C-GTMCÂ "/>
    <n v="1171"/>
    <n v="8"/>
    <n v="7"/>
    <n v="1"/>
    <n v="6"/>
    <n v="6"/>
    <n v="0"/>
    <n v="0"/>
    <s v="The float plane crashed off Saturna Island after taking off from Lyall Harbour. A female passenger and the pilot survived."/>
    <n v="2"/>
    <n v="0.75"/>
    <x v="1"/>
  </r>
  <r>
    <n v="4737"/>
    <x v="4316"/>
    <x v="99"/>
    <x v="5"/>
    <d v="1899-12-30T00:10:00"/>
    <s v="Off Sand Point, Alaska"/>
    <s v="Alaska Central Express"/>
    <n v="22"/>
    <s v="Sand Point - Anchorage"/>
    <x v="1681"/>
    <s v="N112AXÂ "/>
    <s v="UC-45"/>
    <n v="2"/>
    <n v="0"/>
    <n v="2"/>
    <n v="2"/>
    <n v="0"/>
    <n v="2"/>
    <n v="0"/>
    <s v="The cargo plane crashed into the water shortly after taking off with a cargo of fish and mail."/>
    <n v="0"/>
    <n v="1"/>
    <x v="1"/>
  </r>
  <r>
    <n v="4738"/>
    <x v="4317"/>
    <x v="99"/>
    <x v="5"/>
    <d v="1899-12-30T02:35:00"/>
    <s v="Off Na'ameh, Lebanon"/>
    <s v="Ethiopian Airlines"/>
    <n v="409"/>
    <s v="Beirut, Lebanon - Addis Ababa, Ethiopia"/>
    <x v="2228"/>
    <s v="ET-ANB"/>
    <s v="29935/1061"/>
    <n v="90"/>
    <n v="82"/>
    <n v="8"/>
    <n v="90"/>
    <n v="82"/>
    <n v="8"/>
    <n v="0"/>
    <s v="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
    <n v="0"/>
    <n v="1"/>
    <x v="1"/>
  </r>
  <r>
    <n v="4739"/>
    <x v="4317"/>
    <x v="99"/>
    <x v="5"/>
    <d v="1899-12-30T14:30:00"/>
    <s v="Near Senador Jose PorfÃ­rio, Brazil"/>
    <s v="Piquiatuba Taxi Aereo"/>
    <s v="Unknown"/>
    <s v="Belem - Senador Jose PorfÃ­rio"/>
    <x v="2229"/>
    <s v="PT-TAF"/>
    <n v="110103"/>
    <n v="10"/>
    <n v="8"/>
    <n v="2"/>
    <n v="2"/>
    <n v="1"/>
    <n v="1"/>
    <n v="0"/>
    <s v="The commuter plane crashed while attempting to land, killing the captain and one passenger."/>
    <n v="8"/>
    <n v="0.2"/>
    <x v="2"/>
  </r>
  <r>
    <n v="4740"/>
    <x v="4318"/>
    <x v="99"/>
    <x v="5"/>
    <d v="1899-12-30T11:30:00"/>
    <s v="Cotabato City, Philippines"/>
    <s v="Military - Philippine Air Force"/>
    <s v="Unknown"/>
    <s v="Cotabato Cty - Zamboanga City"/>
    <x v="2230"/>
    <n v="18"/>
    <s v="N22B-18"/>
    <n v="8"/>
    <n v="6"/>
    <n v="2"/>
    <n v="8"/>
    <n v="6"/>
    <n v="2"/>
    <n v="1"/>
    <s v="While taking off, the crew experienced an engine fire and tried to make an emergency landing but crashed into a residential neighborhood."/>
    <n v="0"/>
    <n v="1"/>
    <x v="1"/>
  </r>
  <r>
    <n v="4741"/>
    <x v="4319"/>
    <x v="99"/>
    <x v="5"/>
    <s v="Unknown"/>
    <s v="Near Saada, Yemen"/>
    <s v="Military - Yemeni Arm"/>
    <s v="Unknown"/>
    <s v="Unknown"/>
    <x v="2231"/>
    <s v="Unknown"/>
    <s v="Unknown"/>
    <n v="11"/>
    <n v="9"/>
    <n v="2"/>
    <n v="11"/>
    <n v="9"/>
    <n v="2"/>
    <n v="2"/>
    <s v="The helicopter crashed into a military vehicle shortly after taking off from the military airport carrying seven wounded soldiers and its crew of four soldiers. The accident was reported to have been caused by a technical fault."/>
    <n v="0"/>
    <n v="1"/>
    <x v="1"/>
  </r>
  <r>
    <n v="4742"/>
    <x v="4320"/>
    <x v="99"/>
    <x v="5"/>
    <d v="1899-12-30T10:41:00"/>
    <s v="Smolensk, Russia"/>
    <s v="Military - Polish Air Force"/>
    <s v=" PLF 101"/>
    <s v="Warsaw, Poland - Smolensk Russia"/>
    <x v="1982"/>
    <n v="101"/>
    <s v="90A837"/>
    <n v="96"/>
    <n v="88"/>
    <n v="8"/>
    <n v="96"/>
    <n v="88"/>
    <n v="8"/>
    <n v="0"/>
    <s v="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
    <n v="0"/>
    <n v="1"/>
    <x v="1"/>
  </r>
  <r>
    <n v="4743"/>
    <x v="4320"/>
    <x v="99"/>
    <x v="5"/>
    <d v="1899-12-30T03:27:00"/>
    <s v="Near Yelizovo, Russia"/>
    <s v="Kamchatka Airlines"/>
    <s v="Unknown"/>
    <s v="Elizovo - DukupÂ "/>
    <x v="2162"/>
    <s v="Unknown"/>
    <s v="Unknown"/>
    <n v="18"/>
    <n v="15"/>
    <n v="3"/>
    <n v="10"/>
    <n v="8"/>
    <n v="2"/>
    <s v="NULL"/>
    <s v="The helicopter was flying German and Russian snowboarders during a showboarding tour when it crash, 67 km away from Yelizovo."/>
    <n v="8"/>
    <n v="0.55555555555555558"/>
    <x v="0"/>
  </r>
  <r>
    <n v="4744"/>
    <x v="4321"/>
    <x v="99"/>
    <x v="5"/>
    <d v="1899-12-30T23:15:00"/>
    <s v="Monterey, Mexico"/>
    <s v="Airborne Freight Company Union"/>
    <n v="302"/>
    <s v="Mexico City - Monterey - Los Angeles"/>
    <x v="2232"/>
    <s v="XA-TUE"/>
    <n v="78"/>
    <n v="5"/>
    <n v="0"/>
    <n v="5"/>
    <n v="5"/>
    <n v="0"/>
    <n v="5"/>
    <n v="2"/>
    <s v="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
    <n v="0"/>
    <n v="1"/>
    <x v="1"/>
  </r>
  <r>
    <n v="4745"/>
    <x v="4322"/>
    <x v="99"/>
    <x v="5"/>
    <d v="1899-12-30T21:10:00"/>
    <s v="Pampanga, Philippines"/>
    <s v="Interisland Airlines"/>
    <s v="Unknown"/>
    <s v="Cebu - Pampanga"/>
    <x v="1060"/>
    <s v="UP-AN216"/>
    <n v="402001"/>
    <n v="6"/>
    <n v="0"/>
    <n v="6"/>
    <n v="3"/>
    <n v="0"/>
    <n v="3"/>
    <n v="0"/>
    <s v="An electrical fire forced the cargo plane's pilot to attempt an emergency landing in a rice field when the plane crashed, broke into pieces, and burst into flames."/>
    <n v="3"/>
    <n v="0.5"/>
    <x v="0"/>
  </r>
  <r>
    <n v="4746"/>
    <x v="4323"/>
    <x v="99"/>
    <x v="5"/>
    <d v="1899-12-30T06:10:00"/>
    <s v="Tripoli, Libya"/>
    <s v="Afriqiyah Airways"/>
    <n v="771"/>
    <s v="Johannesburg, South Africa - Tripoli, Libya"/>
    <x v="2233"/>
    <s v="5A-ONG"/>
    <n v="1024"/>
    <n v="104"/>
    <n v="93"/>
    <n v="11"/>
    <n v="103"/>
    <n v="92"/>
    <n v="11"/>
    <n v="0"/>
    <s v="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
    <n v="1"/>
    <n v="0.99038461538461542"/>
    <x v="1"/>
  </r>
  <r>
    <n v="4747"/>
    <x v="4324"/>
    <x v="99"/>
    <x v="5"/>
    <d v="1899-12-30T15:10:00"/>
    <s v="Near Poeketi, Suriname"/>
    <s v="Blue Wings Airlines"/>
    <s v="Unknown"/>
    <s v="Godo Holo Air Strip - Paramaribo"/>
    <x v="2234"/>
    <s v="PZ-TSV"/>
    <s v="1AJ007-10"/>
    <n v="8"/>
    <n v="6"/>
    <n v="2"/>
    <n v="8"/>
    <n v="6"/>
    <n v="2"/>
    <n v="0"/>
    <s v="The plane crashed during poor weather into a forest ,10 minutes after taking off from Godo Olo Air Strip."/>
    <n v="0"/>
    <n v="1"/>
    <x v="1"/>
  </r>
  <r>
    <n v="4748"/>
    <x v="4325"/>
    <x v="99"/>
    <x v="5"/>
    <d v="1899-12-30T09:30:00"/>
    <s v="Salang pass, Afghanistan"/>
    <s v="Pamir Airlines"/>
    <s v="Unknown"/>
    <s v="Kunduz - Kabul"/>
    <x v="2235"/>
    <s v="YA-PIS"/>
    <n v="27307903"/>
    <n v="44"/>
    <n v="38"/>
    <n v="6"/>
    <n v="44"/>
    <n v="38"/>
    <n v="6"/>
    <n v="0"/>
    <s v="The plane crashed in Salang pass, 60 miles north of Kabul. Weather was poor in the general area. It was reported that an early ground proximity warning system was misunderstood by the crew, either due to language problems or because of previous false alerts"/>
    <n v="0"/>
    <n v="1"/>
    <x v="1"/>
  </r>
  <r>
    <n v="4749"/>
    <x v="4326"/>
    <x v="99"/>
    <x v="5"/>
    <d v="1899-12-30T06:10:00"/>
    <s v="Mangalore, India"/>
    <s v="Air India Express"/>
    <n v="812"/>
    <s v="Dubai, UAE - Mangalore, India"/>
    <x v="2236"/>
    <s v="VT-AXV"/>
    <s v="36333/2481Â "/>
    <n v="166"/>
    <n v="160"/>
    <n v="6"/>
    <n v="159"/>
    <n v="153"/>
    <n v="6"/>
    <n v="0"/>
    <s v="While attempting to land at Mangalore Airport, the plane overran the runway, slid down a ravine into a wooded valley, and burst into flames. Despite being warned by the aircraft computers to &quot;pull up, the captain did not heed the warning. He also ignored the co-pilot telling him to go-around,"/>
    <n v="7"/>
    <n v="0.95783132530120485"/>
    <x v="1"/>
  </r>
  <r>
    <n v="4750"/>
    <x v="4327"/>
    <x v="99"/>
    <x v="5"/>
    <d v="1899-12-30T10:00:00"/>
    <s v="Yangadou, Cameroon"/>
    <s v="Aero Service"/>
    <s v="Unknown"/>
    <s v="YaoundÃ©-Nsimalen - Yangadou Mine Airstrip"/>
    <x v="1660"/>
    <s v="TN-AFAÂ "/>
    <n v="151"/>
    <n v="11"/>
    <n v="9"/>
    <n v="2"/>
    <n v="11"/>
    <n v="9"/>
    <n v="2"/>
    <n v="0"/>
    <s v="The plane crashed in a remote area on the Cameroon / Congo border. The plane was carrying executives of the mining company Sundance Resources."/>
    <n v="0"/>
    <n v="1"/>
    <x v="1"/>
  </r>
  <r>
    <n v="4751"/>
    <x v="4328"/>
    <x v="99"/>
    <x v="5"/>
    <d v="1899-12-30T05:59:00"/>
    <s v="Quebec, Canada"/>
    <s v="AÃ©ropro"/>
    <n v="201"/>
    <s v="Quebec -Sept-ÃŽles"/>
    <x v="2237"/>
    <s v="C-FGIN"/>
    <s v="B-164"/>
    <n v="7"/>
    <n v="5"/>
    <n v="2"/>
    <n v="7"/>
    <n v="5"/>
    <n v="2"/>
    <n v="0"/>
    <s v="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
    <n v="0"/>
    <n v="1"/>
    <x v="1"/>
  </r>
  <r>
    <n v="4752"/>
    <x v="4329"/>
    <x v="99"/>
    <x v="5"/>
    <d v="1899-12-30T17:40:00"/>
    <s v="Tuzla, Romania"/>
    <s v="Military - Romainian Air Force"/>
    <s v="Unknown"/>
    <s v="Tuzla - Tuzla"/>
    <x v="997"/>
    <n v="53"/>
    <s v="1G194-53"/>
    <n v="14"/>
    <n v="10"/>
    <n v="4"/>
    <n v="12"/>
    <s v="NULL"/>
    <n v="3"/>
    <n v="0"/>
    <s v="The military plane, on parachuting training flight, crashed 2 km from the airport  into a field shortly after taking off. Operational errors upon take-off most likely caused the accident."/>
    <n v="2"/>
    <n v="0.8571428571428571"/>
    <x v="1"/>
  </r>
  <r>
    <n v="4753"/>
    <x v="4330"/>
    <x v="99"/>
    <x v="5"/>
    <d v="1899-12-30T09:45:00"/>
    <s v="Islamabad, Pakistan"/>
    <s v="Airblue"/>
    <n v="202"/>
    <s v="Karachi - Islamabad"/>
    <x v="2238"/>
    <s v="AP-BJB"/>
    <n v="1218"/>
    <n v="152"/>
    <n v="146"/>
    <n v="6"/>
    <n v="152"/>
    <n v="146"/>
    <n v="6"/>
    <n v="0"/>
    <s v="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
    <n v="0"/>
    <n v="1"/>
    <x v="1"/>
  </r>
  <r>
    <n v="4754"/>
    <x v="4330"/>
    <x v="99"/>
    <x v="5"/>
    <d v="1899-12-30T18:22:00"/>
    <s v="Near Elmendorf AFB, Alaska"/>
    <s v="Military - US Air Force"/>
    <s v="Unknown"/>
    <s v="Practice maneuvers"/>
    <x v="2239"/>
    <s v="00-0173"/>
    <s v="P-73"/>
    <n v="4"/>
    <n v="0"/>
    <n v="4"/>
    <n v="4"/>
    <n v="0"/>
    <n v="4"/>
    <n v="0"/>
    <s v="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
    <n v="0"/>
    <n v="1"/>
    <x v="1"/>
  </r>
  <r>
    <n v="4755"/>
    <x v="4331"/>
    <x v="99"/>
    <x v="5"/>
    <d v="1899-12-30T15:15:00"/>
    <s v="Near Denali National Park, Alaska"/>
    <s v="All West Freight"/>
    <s v="Unknown"/>
    <s v="Palmer-Wolf - Unalakleet"/>
    <x v="1062"/>
    <s v="N709RR"/>
    <n v="20158"/>
    <n v="3"/>
    <n v="0"/>
    <n v="3"/>
    <n v="3"/>
    <n v="0"/>
    <n v="3"/>
    <n v="0"/>
    <s v="The cargo plane crashed into Mount Healy while en route. The pilot's failure to maintain adequate airspeed to avoid a low altitude stall, resulting in a loss of control and collision with terrain."/>
    <n v="0"/>
    <n v="1"/>
    <x v="1"/>
  </r>
  <r>
    <n v="4756"/>
    <x v="4332"/>
    <x v="99"/>
    <x v="5"/>
    <d v="1899-12-30T01:19:00"/>
    <s v="Igarka, Russia"/>
    <s v="Katekavia Airline"/>
    <s v="KYU9357"/>
    <s v="Karsnoyarsk - Igarka"/>
    <x v="2240"/>
    <s v="RA-46524"/>
    <n v="47310003"/>
    <n v="15"/>
    <n v="12"/>
    <n v="3"/>
    <n v="12"/>
    <n v="11"/>
    <n v="1"/>
    <n v="0"/>
    <s v="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
    <n v="3"/>
    <n v="0.8"/>
    <x v="1"/>
  </r>
  <r>
    <n v="4757"/>
    <x v="4333"/>
    <x v="99"/>
    <x v="5"/>
    <d v="1899-12-30T14:45:00"/>
    <s v="Near Dillingham, Alaska"/>
    <s v="GCI Communications Corp."/>
    <s v="Unknown"/>
    <s v="Lake Nerka - Nushagak River"/>
    <x v="2241"/>
    <s v="N455A"/>
    <n v="206"/>
    <n v="9"/>
    <n v="8"/>
    <n v="1"/>
    <n v="5"/>
    <n v="4"/>
    <n v="1"/>
    <n v="0"/>
    <s v="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
    <n v="4"/>
    <n v="0.55555555555555558"/>
    <x v="0"/>
  </r>
  <r>
    <n v="4758"/>
    <x v="4334"/>
    <x v="99"/>
    <x v="5"/>
    <d v="1899-12-30T01:49:00"/>
    <s v="San Andreas Island, Colombia"/>
    <s v="AIRES Colombia"/>
    <s v="Unknown"/>
    <s v="Bogota - San Andreas Island"/>
    <x v="2242"/>
    <s v="HK-4882Â "/>
    <s v="32416/1270"/>
    <n v="131"/>
    <n v="125"/>
    <n v="6"/>
    <n v="2"/>
    <n v="2"/>
    <n v="0"/>
    <n v="0"/>
    <s v="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
    <n v="129"/>
    <n v="1.5267175572519083E-2"/>
    <x v="2"/>
  </r>
  <r>
    <n v="4759"/>
    <x v="4335"/>
    <x v="99"/>
    <x v="5"/>
    <d v="1899-12-30T14:12:00"/>
    <s v="Off Kaminshak Bay, Alaska"/>
    <s v="Branch River Air Service"/>
    <s v="Unknown"/>
    <s v="Swikshak Lagoon - King Salmon"/>
    <x v="2169"/>
    <s v="N9313Z"/>
    <n v="441"/>
    <n v="4"/>
    <n v="3"/>
    <n v="1"/>
    <n v="4"/>
    <n v="3"/>
    <n v="1"/>
    <n v="0"/>
    <s v="Crashed in the water off Katmai National Park. Only fragments of the plane were foud. No bodies were ever found. The probable cause was undetermined."/>
    <n v="0"/>
    <n v="1"/>
    <x v="1"/>
  </r>
  <r>
    <n v="4760"/>
    <x v="4336"/>
    <x v="99"/>
    <x v="5"/>
    <d v="1899-12-30T07:30:00"/>
    <s v="Bastipur, Nepal"/>
    <s v="Agni AirÂ "/>
    <n v="101"/>
    <s v="Kathmandu - Lukla"/>
    <x v="2243"/>
    <s v="9NAHE"/>
    <n v="732"/>
    <n v="14"/>
    <n v="11"/>
    <n v="3"/>
    <n v="14"/>
    <n v="11"/>
    <n v="3"/>
    <n v="0"/>
    <s v="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
    <n v="0"/>
    <n v="1"/>
    <x v="1"/>
  </r>
  <r>
    <n v="4761"/>
    <x v="4336"/>
    <x v="99"/>
    <x v="5"/>
    <d v="1899-12-30T22:10:00"/>
    <s v="Yichun, China"/>
    <s v="Henan Airlines"/>
    <s v="Unknown"/>
    <s v="Harbin - Yichun"/>
    <x v="2244"/>
    <s v="B-3130"/>
    <n v="19000223"/>
    <n v="96"/>
    <n v="91"/>
    <n v="5"/>
    <n v="44"/>
    <n v="41"/>
    <n v="3"/>
    <n v="0"/>
    <s v="The plane overshot the runway while landing and burst into flames. The pilot violated aviation rules during the descent, did not locate the runway before landing and abandoned the crashed aircraft."/>
    <n v="52"/>
    <n v="0.45833333333333331"/>
    <x v="0"/>
  </r>
  <r>
    <n v="4762"/>
    <x v="4337"/>
    <x v="99"/>
    <x v="5"/>
    <d v="1899-12-30T13:00:00"/>
    <s v="Bandundu, Congo Democratic Republic"/>
    <s v="Filair"/>
    <s v="Unknown"/>
    <s v="Kinshasa - Bandundu"/>
    <x v="1771"/>
    <s v="9Q-CCN"/>
    <n v="912608"/>
    <n v="20"/>
    <n v="17"/>
    <n v="3"/>
    <n v="19"/>
    <n v="16"/>
    <n v="3"/>
    <n v="0"/>
    <s v="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
    <n v="1"/>
    <n v="0.95"/>
    <x v="1"/>
  </r>
  <r>
    <n v="4763"/>
    <x v="4338"/>
    <x v="99"/>
    <x v="5"/>
    <s v="Unknown"/>
    <s v="Buena Vista, Venezuela"/>
    <s v="Military - Venezuelan National Guard"/>
    <s v="Unknown"/>
    <s v="Buena Vista - Cararabo"/>
    <x v="2245"/>
    <s v="GN10139"/>
    <s v="Unknown"/>
    <n v="10"/>
    <s v="NULL"/>
    <s v="NULL"/>
    <n v="10"/>
    <s v="NULL"/>
    <s v="NULL"/>
    <n v="0"/>
    <s v="The helicopter crashed while taking off on a counter-drug mission, killing all 10 soldiers on board. They were searching for a group of suspected drug traffickers in southwestern Apure state."/>
    <n v="0"/>
    <n v="1"/>
    <x v="1"/>
  </r>
  <r>
    <n v="4764"/>
    <x v="4339"/>
    <x v="99"/>
    <x v="5"/>
    <d v="1899-12-30T19:39:00"/>
    <s v="Dubai, United Arab Emirates"/>
    <s v="United Parcel Service- UPS"/>
    <n v="6"/>
    <s v="Dubai - Bonn, Germany"/>
    <x v="2246"/>
    <s v="N571UP"/>
    <s v="35668/1393"/>
    <n v="2"/>
    <n v="0"/>
    <n v="2"/>
    <n v="2"/>
    <n v="0"/>
    <n v="2"/>
    <n v="0"/>
    <s v="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
    <n v="0"/>
    <n v="1"/>
    <x v="1"/>
  </r>
  <r>
    <n v="4765"/>
    <x v="4340"/>
    <x v="99"/>
    <x v="5"/>
    <d v="1899-12-30T01:15:00"/>
    <s v="Fox Glacier Airstrip"/>
    <s v="Sky Dive New Zealand"/>
    <s v="Unknown"/>
    <s v="Fox Glacier Airstrip - Fox Glacier Airstrip"/>
    <x v="2247"/>
    <s v="ZK-EUF"/>
    <n v="281"/>
    <n v="9"/>
    <n v="8"/>
    <n v="1"/>
    <n v="9"/>
    <n v="8"/>
    <n v="1"/>
    <n v="0"/>
    <s v="Seconds after taking off from Fox Glacier airstrip, the aircraft crashed and burned in a field. Investigators blamed an overloaded plane and too much weight towards the back of the plane."/>
    <n v="0"/>
    <n v="1"/>
    <x v="1"/>
  </r>
  <r>
    <n v="4766"/>
    <x v="4341"/>
    <x v="99"/>
    <x v="5"/>
    <d v="1899-12-30T10:32:00"/>
    <s v="Puerto Ordaz, Venezuela"/>
    <s v="ConviasaÂ Airline"/>
    <n v="2350"/>
    <s v="Porlamar - Puerto Ordaz"/>
    <x v="2248"/>
    <s v="YV-1010"/>
    <n v="371"/>
    <n v="51"/>
    <n v="47"/>
    <n v="4"/>
    <n v="17"/>
    <n v="14"/>
    <n v="3"/>
    <n v="0"/>
    <s v="While en route, the passenger plane crashed and burned in a storage yard of a steel foundry, six miles SE of Puerto Ordaz Airport, after the pilot reported having problems controlling the aircraft."/>
    <n v="34"/>
    <n v="0.33333333333333331"/>
    <x v="2"/>
  </r>
  <r>
    <n v="4767"/>
    <x v="4342"/>
    <x v="99"/>
    <x v="5"/>
    <s v="Unknown"/>
    <s v="Chopan district, Zabul Province, Afghanistan"/>
    <s v="International Security Assistance Force"/>
    <s v="Unknown"/>
    <s v="Unknown"/>
    <x v="2249"/>
    <s v="_x0009_93-26517"/>
    <s v="Unknown"/>
    <n v="13"/>
    <s v="NULL"/>
    <s v="NULL"/>
    <n v="10"/>
    <s v="NULL"/>
    <s v="NULL"/>
    <n v="0"/>
    <s v="The military helicopter crashed while en route. There were no reports of enemy fire prior to the accident."/>
    <n v="3"/>
    <n v="0.76923076923076927"/>
    <x v="1"/>
  </r>
  <r>
    <n v="4768"/>
    <x v="4343"/>
    <x v="99"/>
    <x v="5"/>
    <s v="Unknown"/>
    <s v="Rasht Valley, Tajikistan"/>
    <s v="_x0009_Military - Tajik National Guard"/>
    <s v="Unknown"/>
    <s v="Unknown"/>
    <x v="2162"/>
    <s v="Unknown"/>
    <s v="Unknown"/>
    <n v="28"/>
    <s v="NULL"/>
    <s v="NULL"/>
    <n v="28"/>
    <s v="NULL"/>
    <s v="NULL"/>
    <n v="0"/>
    <s v="The military helicopter crashed after hitting power lines."/>
    <n v="0"/>
    <n v="1"/>
    <x v="1"/>
  </r>
  <r>
    <n v="4769"/>
    <x v="4344"/>
    <x v="99"/>
    <x v="5"/>
    <d v="1899-12-30T19:50:00"/>
    <s v="Near Kabul, Afghanistan"/>
    <s v="National Air Cargo"/>
    <s v="Unknown"/>
    <s v="Bagram AB - Kabul"/>
    <x v="1097"/>
    <s v="5X-TUC"/>
    <n v="4362"/>
    <n v="8"/>
    <n v="0"/>
    <n v="8"/>
    <n v="8"/>
    <n v="0"/>
    <n v="8"/>
    <n v="0"/>
    <s v="The cargo plane crashed into a mountainside about 18 miles east of Kabul Airport."/>
    <n v="0"/>
    <n v="1"/>
    <x v="1"/>
  </r>
  <r>
    <n v="4770"/>
    <x v="4345"/>
    <x v="99"/>
    <x v="5"/>
    <s v="Unknown"/>
    <s v="Near Bugulumisa, Congo"/>
    <s v="Tracep"/>
    <s v="Unknown"/>
    <s v="Bukavu - Shabund"/>
    <x v="1624"/>
    <s v="9Q-CUA"/>
    <s v="X0101"/>
    <n v="2"/>
    <n v="0"/>
    <n v="2"/>
    <n v="2"/>
    <n v="0"/>
    <n v="2"/>
    <n v="0"/>
    <s v="The cargo plane experienced an engine failure 5 minutes after taking off causing the aircraft to crash."/>
    <n v="0"/>
    <n v="1"/>
    <x v="1"/>
  </r>
  <r>
    <n v="4771"/>
    <x v="4346"/>
    <x v="99"/>
    <x v="5"/>
    <d v="1899-12-30T17:45:00"/>
    <s v="Near Guasimal, Cuba"/>
    <s v="Aerocaribbean"/>
    <n v="883"/>
    <s v="Santiago de Cuba- Havana"/>
    <x v="1808"/>
    <s v="CU-T1549"/>
    <n v="459"/>
    <n v="68"/>
    <n v="61"/>
    <n v="7"/>
    <n v="68"/>
    <n v="61"/>
    <n v="7"/>
    <n v="0"/>
    <s v="While the plane was en route, the pilot radioed an emergency message. Contact was lost and the plane crashed into mountainous terrain. All 61 passenger and 7 crew were killed.Icing  in combination with crew errors in handling the situation."/>
    <n v="0"/>
    <n v="1"/>
    <x v="1"/>
  </r>
  <r>
    <n v="4772"/>
    <x v="4347"/>
    <x v="99"/>
    <x v="5"/>
    <d v="1899-12-30T07:10:00"/>
    <s v="Near Karachi, Pakistan"/>
    <s v="JS Air"/>
    <s v="Unknown"/>
    <s v="Karachi - Oil compound in Sindh province"/>
    <x v="1681"/>
    <s v="AP-BJD"/>
    <s v="UC-157"/>
    <n v="21"/>
    <n v="17"/>
    <n v="4"/>
    <n v="21"/>
    <n v="17"/>
    <n v="4"/>
    <n v="0"/>
    <s v="The plane, carrying Italian oil company personne,l suffered an engine failure on climb-out and was attempting to return to the airport when it nose-dived and crashed near a residential area in Gulistan-e-Jauhar."/>
    <n v="0"/>
    <n v="1"/>
    <x v="1"/>
  </r>
  <r>
    <n v="4773"/>
    <x v="4348"/>
    <x v="99"/>
    <x v="5"/>
    <d v="1899-12-30T12:07:00"/>
    <s v="Strezhevoy, Russia"/>
    <s v="NARZ"/>
    <s v="Unknown"/>
    <s v="Unknown"/>
    <x v="1692"/>
    <s v="RA-22376"/>
    <n v="7257"/>
    <n v="10"/>
    <s v="NULL"/>
    <s v="NULL"/>
    <n v="7"/>
    <s v="NULL"/>
    <s v="NULL"/>
    <n v="0"/>
    <s v="The helicopter, which was delivering workers to a drilling site, crashed and burned while attempting to land, after the tail rotor became entangled in wires."/>
    <n v="3"/>
    <n v="0.7"/>
    <x v="1"/>
  </r>
  <r>
    <n v="4774"/>
    <x v="4349"/>
    <x v="99"/>
    <x v="5"/>
    <d v="1899-12-30T01:53:00"/>
    <s v="Karachi, Pakistan"/>
    <s v="Sun Way"/>
    <n v="4412"/>
    <s v="Karachi - Khartoum"/>
    <x v="1658"/>
    <s v="4L-GNI"/>
    <n v="43452546"/>
    <n v="8"/>
    <n v="0"/>
    <n v="8"/>
    <n v="8"/>
    <n v="0"/>
    <n v="8"/>
    <n v="4"/>
    <s v="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
    <n v="0"/>
    <n v="1"/>
    <x v="1"/>
  </r>
  <r>
    <n v="4775"/>
    <x v="4350"/>
    <x v="99"/>
    <x v="5"/>
    <d v="1899-12-30T14:49:00"/>
    <s v="Moscow, Russia"/>
    <s v="Dagestan Airlines"/>
    <n v="372"/>
    <s v="Moscow -Makhachkala, Dagestan"/>
    <x v="1780"/>
    <s v="RA-85744"/>
    <s v="92A-927"/>
    <n v="169"/>
    <n v="160"/>
    <n v="9"/>
    <n v="2"/>
    <n v="2"/>
    <n v="0"/>
    <n v="0"/>
    <s v="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
    <n v="167"/>
    <n v="1.1834319526627219E-2"/>
    <x v="2"/>
  </r>
  <r>
    <n v="4776"/>
    <x v="4351"/>
    <x v="100"/>
    <x v="5"/>
    <d v="1899-12-30T15:25:00"/>
    <s v="Surgut, Russia"/>
    <s v="Kogalmavia"/>
    <n v="348"/>
    <s v="Surgut - Moscow"/>
    <x v="1455"/>
    <s v="RA-85588"/>
    <s v="83A588"/>
    <n v="124"/>
    <n v="116"/>
    <n v="8"/>
    <n v="3"/>
    <n v="3"/>
    <n v="0"/>
    <n v="0"/>
    <s v="The passenger jet caught fire and exploded as it taxied for take off. Three passenger were killed and 43 injured during the evacuation. Electrical short."/>
    <n v="121"/>
    <n v="2.4193548387096774E-2"/>
    <x v="2"/>
  </r>
  <r>
    <n v="4777"/>
    <x v="4352"/>
    <x v="100"/>
    <x v="5"/>
    <d v="1899-12-30T19:45:00"/>
    <s v="Orumiyeh, Iran"/>
    <s v="Iran Air"/>
    <n v="277"/>
    <s v="Tehran - Orumiyeh"/>
    <x v="2250"/>
    <s v="EP-IRPÂ "/>
    <s v="20945/1048"/>
    <n v="105"/>
    <n v="93"/>
    <n v="12"/>
    <n v="77"/>
    <n v="65"/>
    <n v="12"/>
    <n v="0"/>
    <s v="The accident happened after the plane was unable to land because of poor weather conditions and was attempting a go-around. The aircraft crashed 5 miles from the Orumiyeh airport in a snowy field.."/>
    <n v="28"/>
    <n v="0.73333333333333328"/>
    <x v="1"/>
  </r>
  <r>
    <n v="4778"/>
    <x v="4353"/>
    <x v="100"/>
    <x v="5"/>
    <d v="1899-12-30T16:40:00"/>
    <s v="Off Plettenberg Bay, South Africa"/>
    <s v="Majuba Aviation"/>
    <s v="Unknown"/>
    <s v="Queenstown - Plettenberg Bay"/>
    <x v="2251"/>
    <s v="ZS-GAA"/>
    <n v="858"/>
    <n v="9"/>
    <n v="7"/>
    <n v="2"/>
    <n v="9"/>
    <n v="7"/>
    <n v="2"/>
    <n v="0"/>
    <s v="When the crew encountered dense fog, limiting visibility, the pilot aborted the landing and was in the process of a go-around when the plane crashed into the sea."/>
    <n v="0"/>
    <n v="1"/>
    <x v="1"/>
  </r>
  <r>
    <n v="4779"/>
    <x v="4354"/>
    <x v="100"/>
    <x v="5"/>
    <d v="1899-12-30T09:45:00"/>
    <s v="Cork, Ireland"/>
    <s v="Manx2"/>
    <n v="7100"/>
    <s v="Belfast - Cork"/>
    <x v="2252"/>
    <s v="EC-ITPÂ "/>
    <s v="BC-789B"/>
    <n v="12"/>
    <n v="10"/>
    <n v="2"/>
    <n v="6"/>
    <n v="4"/>
    <n v="2"/>
    <n v="0"/>
    <s v="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
    <n v="6"/>
    <n v="0.5"/>
    <x v="0"/>
  </r>
  <r>
    <n v="4780"/>
    <x v="4355"/>
    <x v="100"/>
    <x v="5"/>
    <d v="1899-12-30T08:02:00"/>
    <s v="Near Santa Ana Francisco Morazan, Honduras"/>
    <s v="Central American Airways"/>
    <n v="731"/>
    <s v="San Pedro Sula - Tegucigalpa"/>
    <x v="2253"/>
    <s v="HR-AUQÂ "/>
    <n v="912603"/>
    <n v="14"/>
    <n v="12"/>
    <n v="2"/>
    <n v="14"/>
    <n v="12"/>
    <n v="2"/>
    <n v="0"/>
    <s v="The small airlilner crashed into a hill at an elevation of 2,000 feet while on approach in poor visibility. Windshear."/>
    <n v="0"/>
    <n v="1"/>
    <x v="1"/>
  </r>
  <r>
    <n v="4781"/>
    <x v="4356"/>
    <x v="100"/>
    <x v="5"/>
    <d v="1899-12-30T15:30:00"/>
    <s v="Pointe-Noire, Congo"/>
    <s v="Trans Air Cargo"/>
    <s v="Unknown"/>
    <s v="Brazzaville - Pointe Noire"/>
    <x v="1621"/>
    <s v="TN-AGK"/>
    <n v="402006"/>
    <n v="9"/>
    <n v="5"/>
    <n v="4"/>
    <n v="9"/>
    <n v="5"/>
    <n v="4"/>
    <n v="14"/>
    <s v="The cargo plane was approaching Runway 17 at Pointe-Noire Airport when it crashed in the Mvou Mvou residential area and was destroyed."/>
    <n v="0"/>
    <n v="1"/>
    <x v="1"/>
  </r>
  <r>
    <n v="4782"/>
    <x v="4357"/>
    <x v="100"/>
    <x v="5"/>
    <d v="1899-12-30T13:30:00"/>
    <s v="Kinshasa, Congo"/>
    <s v="United Nations"/>
    <n v="834"/>
    <s v="Kisangani - Kinshasa"/>
    <x v="2254"/>
    <s v="4L-GAEÂ "/>
    <n v="7070"/>
    <n v="33"/>
    <n v="29"/>
    <n v="4"/>
    <n v="32"/>
    <n v="28"/>
    <n v="4"/>
    <n v="0"/>
    <s v="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
    <n v="1"/>
    <n v="0.96969696969696972"/>
    <x v="1"/>
  </r>
  <r>
    <n v="4783"/>
    <x v="4358"/>
    <x v="100"/>
    <x v="5"/>
    <d v="1899-12-30T13:57:00"/>
    <s v="_x0009_Tawang, India"/>
    <s v="_x0009_Pawan Hans Helicopters Ltd."/>
    <s v="Unknown"/>
    <s v="Unknown"/>
    <x v="2255"/>
    <s v="_x0009_VT-PHF"/>
    <s v="356C06"/>
    <n v="23"/>
    <s v="NULL"/>
    <s v="NULL"/>
    <n v="18"/>
    <s v="NULL"/>
    <s v="NULL"/>
    <n v="0"/>
    <s v="The helicopter crashed into a hill as it attempted to land at a high altitude helipad Six, including the copilot escaped with minor injuries.."/>
    <n v="5"/>
    <n v="0.78260869565217395"/>
    <x v="1"/>
  </r>
  <r>
    <n v="4784"/>
    <x v="4359"/>
    <x v="100"/>
    <x v="5"/>
    <d v="1899-12-30T14:52:00"/>
    <s v="Manaus, Brazil"/>
    <s v="_x0009_AmazonavesAir Taxi"/>
    <s v="Unknown"/>
    <s v="Manaus - Santarem"/>
    <x v="2256"/>
    <s v="PT-EFS"/>
    <s v="_x0009_810055"/>
    <n v="7"/>
    <n v="6"/>
    <n v="1"/>
    <n v="7"/>
    <n v="6"/>
    <n v="1"/>
    <n v="0"/>
    <s v="The airl taxi crashed about one minute after taking off from Manaus Airport."/>
    <n v="0"/>
    <n v="1"/>
    <x v="1"/>
  </r>
  <r>
    <n v="4785"/>
    <x v="4360"/>
    <x v="100"/>
    <x v="5"/>
    <d v="1899-12-30T14:00:00"/>
    <s v="Off Kaimana, Indonesia"/>
    <s v="Merpati Nusantara Airlines"/>
    <s v="Unknown"/>
    <s v="Sorong - Kaimana"/>
    <x v="2257"/>
    <s v="PK-MZKÂ "/>
    <n v="603"/>
    <n v="27"/>
    <n v="21"/>
    <n v="6"/>
    <n v="27"/>
    <n v="21"/>
    <n v="6"/>
    <n v="0"/>
    <s v="The turboprop had been circling Kaimana Airport for about 15 minutes when it crashed into the sea, 400 meters offshore, in poor weather conditions."/>
    <n v="0"/>
    <n v="1"/>
    <x v="1"/>
  </r>
  <r>
    <n v="4786"/>
    <x v="4361"/>
    <x v="100"/>
    <x v="5"/>
    <d v="1899-12-30T20:53:00"/>
    <s v="Near Prahuaniyeu, Argentina"/>
    <s v="SOL Lineas Aereas"/>
    <n v="5428"/>
    <s v="Neuquen - Comodoro Rivadavia"/>
    <x v="2258"/>
    <s v="LV-CEJ"/>
    <n v="25"/>
    <n v="22"/>
    <n v="19"/>
    <n v="3"/>
    <n v="22"/>
    <n v="19"/>
    <n v="3"/>
    <n v="0"/>
    <s v="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
    <n v="0"/>
    <n v="1"/>
    <x v="1"/>
  </r>
  <r>
    <n v="4787"/>
    <x v="4362"/>
    <x v="100"/>
    <x v="5"/>
    <d v="1899-12-30T23:40:00"/>
    <s v="Petrozavodsk, Russia"/>
    <s v="RusAir Airlines"/>
    <s v="7R-243"/>
    <s v="Moscow - Petrozavodsk"/>
    <x v="1292"/>
    <s v="RA-65691"/>
    <s v="63195/5703"/>
    <n v="52"/>
    <n v="43"/>
    <n v="9"/>
    <n v="47"/>
    <n v="39"/>
    <n v="8"/>
    <n v="0"/>
    <s v="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
    <n v="5"/>
    <n v="0.90384615384615385"/>
    <x v="1"/>
  </r>
  <r>
    <n v="4788"/>
    <x v="4363"/>
    <x v="100"/>
    <x v="5"/>
    <d v="1899-12-30T23:00:00"/>
    <s v="Near Bagram Air Base, Afghanistan"/>
    <s v="Silk Way Airlines"/>
    <s v="Unknown"/>
    <s v="Baku, Azerbaijan - Bagram Air Base, Afghanistan"/>
    <x v="2259"/>
    <s v="4K-AZ55"/>
    <n v="2053420680"/>
    <n v="9"/>
    <n v="0"/>
    <n v="9"/>
    <n v="9"/>
    <n v="0"/>
    <n v="9"/>
    <n v="0"/>
    <s v="While flying at 12,500 feet, the cargo plane crashed into a mountain peak, exploded and burned about 15 miles from Bagram. The aircraft was loaded with fuel for the International Security Assistance Force in Afghanistan."/>
    <n v="0"/>
    <n v="1"/>
    <x v="1"/>
  </r>
  <r>
    <n v="4789"/>
    <x v="4364"/>
    <x v="100"/>
    <x v="5"/>
    <d v="1899-12-30T15:00:00"/>
    <s v="Kisangani, Congo"/>
    <s v="Hewa Bora Airways"/>
    <n v="952"/>
    <s v="Kinshasa - Kisangani"/>
    <x v="2260"/>
    <s v="9Q-COP"/>
    <n v="18933"/>
    <n v="115"/>
    <n v="108"/>
    <n v="7"/>
    <n v="77"/>
    <n v="72"/>
    <n v="5"/>
    <n v="0"/>
    <s v="The airliner crashed and broke up after missing the runway while attempting to land at Bangoka International Airport. There was heavy rain, thunderstorms and limited visibility at the time of the accident."/>
    <n v="38"/>
    <n v="0.66956521739130437"/>
    <x v="1"/>
  </r>
  <r>
    <n v="4790"/>
    <x v="4365"/>
    <x v="100"/>
    <x v="5"/>
    <d v="1899-12-30T11:55:00"/>
    <s v="Near Strezhevoy, Russia"/>
    <s v="Angara Airlines"/>
    <n v="5007"/>
    <s v="Tomsk - Surgut"/>
    <x v="1275"/>
    <s v="RA-47302"/>
    <n v="57310302"/>
    <n v="37"/>
    <n v="33"/>
    <n v="4"/>
    <n v="7"/>
    <n v="7"/>
    <n v="0"/>
    <n v="0"/>
    <s v="After reporting an engine fire in the left engine, the pilot attempted to make an emergency landing at Strezhevoy but ditched into the Orb River. Both pilots were not certified to fly. The captain's license was revoled and the first officer had not finished his requalification exam."/>
    <n v="30"/>
    <n v="0.1891891891891892"/>
    <x v="2"/>
  </r>
  <r>
    <n v="4791"/>
    <x v="4366"/>
    <x v="100"/>
    <x v="5"/>
    <d v="1899-12-30T11:53:00"/>
    <s v="Recife, Brazil"/>
    <s v="NOAR Linhas AÃ©reas"/>
    <s v="SP-5007"/>
    <s v="Recife - Natal"/>
    <x v="2261"/>
    <s v="PR-NOB"/>
    <n v="2722"/>
    <n v="16"/>
    <n v="14"/>
    <n v="2"/>
    <n v="16"/>
    <n v="14"/>
    <n v="2"/>
    <n v="0"/>
    <s v="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
    <n v="0"/>
    <n v="1"/>
    <x v="1"/>
  </r>
  <r>
    <n v="4792"/>
    <x v="4367"/>
    <x v="100"/>
    <x v="5"/>
    <d v="1899-12-30T09:00:00"/>
    <s v="Near Guelmim, Morocco"/>
    <s v="Military - Royal Moroccan Air Force"/>
    <s v="Unknown"/>
    <s v="Dakhla - Guelmim - Kinitra"/>
    <x v="2262"/>
    <s v="CNA-OQ"/>
    <n v="4892"/>
    <n v="80"/>
    <n v="71"/>
    <n v="9"/>
    <n v="80"/>
    <n v="71"/>
    <n v="9"/>
    <n v="0"/>
    <s v="The military transport plane crashed in the mountain, 6 miles northeast of Guelmim in bad weather while attempting to land."/>
    <n v="0"/>
    <n v="1"/>
    <x v="1"/>
  </r>
  <r>
    <n v="4793"/>
    <x v="4368"/>
    <x v="100"/>
    <x v="5"/>
    <d v="1899-12-30T04:12:00"/>
    <s v="Off Jeju, South Korean"/>
    <s v="Asiana Airlines"/>
    <n v="991"/>
    <s v="Seoul - Shanghai"/>
    <x v="2263"/>
    <s v="HL-7604"/>
    <s v="29907/1370"/>
    <n v="2"/>
    <n v="0"/>
    <n v="2"/>
    <n v="2"/>
    <n v="0"/>
    <n v="2"/>
    <n v="0"/>
    <s v="The cargo plane crashed into the sea about 70 miles west of Jeju after the crew reported a fire in a cargo hold. The plane was carrying 58 tons of electronic and machine parts, including lithium batteries."/>
    <n v="0"/>
    <n v="1"/>
    <x v="1"/>
  </r>
  <r>
    <n v="4794"/>
    <x v="4369"/>
    <x v="100"/>
    <x v="5"/>
    <s v="Unknown"/>
    <s v="Tangi Valley, Afghanistan"/>
    <s v="Military - U.S. Army"/>
    <s v="Unknown"/>
    <s v="Unknown"/>
    <x v="2264"/>
    <s v="Unknown"/>
    <s v="Unknown"/>
    <n v="38"/>
    <s v="NULL"/>
    <s v="NULL"/>
    <n v="38"/>
    <s v="NULL"/>
    <s v="NULL"/>
    <n v="0"/>
    <s v="Thirty-eight people, including 31 U.S. special forces troops and 7 Afghan soldiers were killed when their helicopter was shot down with a rocket-propelled grenade during overnight operations against Taliban insurgents."/>
    <n v="0"/>
    <n v="1"/>
    <x v="1"/>
  </r>
  <r>
    <n v="4795"/>
    <x v="4370"/>
    <x v="100"/>
    <x v="5"/>
    <d v="1899-12-30T14:34:00"/>
    <s v="Near Omsukchan, Russia"/>
    <s v="Avis Amur"/>
    <s v=" LN-9209"/>
    <s v="Magdan - Keperveem"/>
    <x v="1914"/>
    <s v="RA-11125"/>
    <n v="3341006"/>
    <n v="11"/>
    <n v="2"/>
    <n v="9"/>
    <n v="11"/>
    <n v="2"/>
    <n v="9"/>
    <n v="0"/>
    <s v="After leaving Magdan the crew of the cargo plane reported a fuel leak and an engine fire. While trying to return to Magdan, the plane crashed 6 miels from Omsukchan, 190 miles from its original take-off point. The plane carried 18 tons of cargo."/>
    <n v="0"/>
    <n v="1"/>
    <x v="1"/>
  </r>
  <r>
    <n v="4796"/>
    <x v="4371"/>
    <x v="100"/>
    <x v="5"/>
    <d v="1899-12-30T12:50:00"/>
    <s v="Resolute Bay, Nunavut, Canada"/>
    <s v="First Air"/>
    <n v="6560"/>
    <s v="Yellowknife - Resolute Bay"/>
    <x v="2265"/>
    <s v="C-GNWN"/>
    <s v="21067/414"/>
    <n v="15"/>
    <n v="11"/>
    <n v="4"/>
    <n v="12"/>
    <n v="8"/>
    <n v="4"/>
    <n v="0"/>
    <s v="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
    <n v="3"/>
    <n v="0.8"/>
    <x v="1"/>
  </r>
  <r>
    <n v="4797"/>
    <x v="4372"/>
    <x v="100"/>
    <x v="5"/>
    <d v="1899-12-30T19:00:00"/>
    <s v="Mosby, Missouri"/>
    <s v="LifeNet"/>
    <s v="Unknown"/>
    <s v="Bethany - Mosby"/>
    <x v="2266"/>
    <s v="N352LN"/>
    <n v="3728"/>
    <n v="4"/>
    <n v="3"/>
    <n v="1"/>
    <n v="4"/>
    <n v="3"/>
    <n v="1"/>
    <n v="0"/>
    <s v="The helicopter was headed for Mosby to refuel when it crashed in a field 1.7 nm north-northeast of Midwest National Air Center. The pilot, nurse, paramedic and patient were all killed."/>
    <n v="0"/>
    <n v="1"/>
    <x v="1"/>
  </r>
  <r>
    <n v="4798"/>
    <x v="4373"/>
    <x v="100"/>
    <x v="5"/>
    <d v="1899-12-30T17:48:00"/>
    <s v="Juan Fernandez Island, Chile"/>
    <s v="Chilean Air Force"/>
    <s v="Unknown"/>
    <s v="Santiago - Juan Fernandez Island"/>
    <x v="2267"/>
    <n v="966"/>
    <n v="443"/>
    <n v="21"/>
    <n v="17"/>
    <n v="4"/>
    <n v="21"/>
    <n v="17"/>
    <n v="4"/>
    <n v="0"/>
    <s v="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
    <n v="0"/>
    <n v="1"/>
    <x v="1"/>
  </r>
  <r>
    <n v="4799"/>
    <x v="4374"/>
    <x v="100"/>
    <x v="5"/>
    <d v="1899-12-30T18:50:00"/>
    <s v="Near Trinidad, Bolivia"/>
    <s v="Aerocon"/>
    <s v="A4-238"/>
    <s v="Santa Cruz - Trinidad, Bolivia"/>
    <x v="2268"/>
    <s v="CP-2548"/>
    <s v="BC-768B"/>
    <n v="9"/>
    <n v="7"/>
    <n v="2"/>
    <n v="8"/>
    <n v="6"/>
    <n v="2"/>
    <n v="0"/>
    <s v="The plane crashed into the jungle while on approach to Runway 14 at Trinidad Airport. After the crew reported they were turning into the final approach, radio contact was lost. The plane was found 2 days later, 10 km from the airport. One passenger survived."/>
    <n v="1"/>
    <n v="0.88888888888888884"/>
    <x v="1"/>
  </r>
  <r>
    <n v="4800"/>
    <x v="4375"/>
    <x v="100"/>
    <x v="5"/>
    <d v="1899-12-30T15:50:00"/>
    <s v="Yaroslavl, Russia"/>
    <s v="YAK Service"/>
    <n v="9633"/>
    <s v="Yaroslavl - Minsk"/>
    <x v="2056"/>
    <s v="RA-42434"/>
    <n v="4520424305017"/>
    <n v="45"/>
    <n v="37"/>
    <n v="8"/>
    <n v="44"/>
    <n v="37"/>
    <n v="7"/>
    <n v="0"/>
    <s v="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
    <n v="1"/>
    <n v="0.97777777777777775"/>
    <x v="1"/>
  </r>
  <r>
    <n v="4801"/>
    <x v="4376"/>
    <x v="100"/>
    <x v="5"/>
    <d v="1899-12-30T12:00:00"/>
    <s v="Huambo, Angola"/>
    <s v="Military - FANA Forca Aerea Nacional Angolana"/>
    <s v="Unknown"/>
    <s v="Huambo - Luanda"/>
    <x v="2037"/>
    <s v="T-500"/>
    <n v="120357"/>
    <n v="36"/>
    <n v="34"/>
    <n v="2"/>
    <n v="30"/>
    <n v="30"/>
    <n v="0"/>
    <n v="0"/>
    <s v="The military plane crashed, broke in two and burned while attempting to takeoff from Huambo Airport. Six persons survived including the pilot and copilot."/>
    <n v="6"/>
    <n v="0.83333333333333337"/>
    <x v="1"/>
  </r>
  <r>
    <n v="4802"/>
    <x v="4377"/>
    <x v="100"/>
    <x v="5"/>
    <d v="1899-12-30T16:25:00"/>
    <s v="Reno, Nevada"/>
    <s v="Private - Aero Trans Corp"/>
    <s v="Unknown"/>
    <s v="Air race"/>
    <x v="2269"/>
    <s v="N79111"/>
    <s v="109-35934"/>
    <n v="1"/>
    <n v="0"/>
    <n v="1"/>
    <n v="1"/>
    <n v="0"/>
    <n v="1"/>
    <n v="10"/>
    <s v="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
    <n v="0"/>
    <n v="1"/>
    <x v="1"/>
  </r>
  <r>
    <n v="4803"/>
    <x v="4378"/>
    <x v="100"/>
    <x v="5"/>
    <d v="1899-12-30T13:15:00"/>
    <s v="Yellowknife, Northwest Territories, Canada"/>
    <s v="Arctic Sunwest Charters"/>
    <s v="Unknown"/>
    <s v="Thor Lake - Great Slave Lake"/>
    <x v="2036"/>
    <s v="C-GARWÂ "/>
    <n v="367"/>
    <n v="9"/>
    <n v="7"/>
    <n v="2"/>
    <n v="2"/>
    <n v="0"/>
    <n v="2"/>
    <n v="0"/>
    <s v="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
    <n v="7"/>
    <n v="0.22222222222222221"/>
    <x v="2"/>
  </r>
  <r>
    <n v="4804"/>
    <x v="4379"/>
    <x v="100"/>
    <x v="5"/>
    <d v="1899-12-30T07:31:00"/>
    <s v="Near Kathmandu, Nepal"/>
    <s v="Buddha Air"/>
    <s v="Unknown"/>
    <s v="Sightseeing"/>
    <x v="2070"/>
    <s v="9N-AEK"/>
    <s v="UE-295"/>
    <n v="19"/>
    <n v="16"/>
    <n v="3"/>
    <n v="19"/>
    <n v="16"/>
    <n v="3"/>
    <n v="0"/>
    <s v="The sightseeing flight of Mt. Everest struck terrain while on approach to Kathmandu-Tribhuvan Airport. One passenger survived the accident but died on the way to the hospital."/>
    <n v="0"/>
    <n v="1"/>
    <x v="1"/>
  </r>
  <r>
    <n v="4805"/>
    <x v="4380"/>
    <x v="100"/>
    <x v="5"/>
    <d v="1899-12-30T07:38:00"/>
    <s v="Near Bohorok, Indonesia"/>
    <s v="Nusantara Buana Air"/>
    <s v="Unknown"/>
    <s v="Medan - Kutacane"/>
    <x v="2270"/>
    <s v="PK-TLF"/>
    <s v="Unknown"/>
    <n v="18"/>
    <n v="14"/>
    <n v="4"/>
    <n v="18"/>
    <n v="14"/>
    <n v="4"/>
    <n v="0"/>
    <s v="Contact with the plane was lost 10 minutes after taking off from Medan. Wreckage was located near Bohorok, on the slope of a mountain 6,100 feet high. VFR flight into IMC conditions. Lack of crew coordination."/>
    <n v="0"/>
    <n v="1"/>
    <x v="1"/>
  </r>
  <r>
    <n v="4806"/>
    <x v="4381"/>
    <x v="100"/>
    <x v="5"/>
    <d v="1899-12-30T17:00:00"/>
    <s v="Near Madang, Papua New Guinea"/>
    <s v="Airline PNG"/>
    <n v="1600"/>
    <s v="Lae - Madang"/>
    <x v="1822"/>
    <s v="P2-MCJ"/>
    <n v="125"/>
    <n v="32"/>
    <n v="28"/>
    <n v="4"/>
    <n v="28"/>
    <n v="26"/>
    <n v="2"/>
    <n v="0"/>
    <s v="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
    <n v="4"/>
    <n v="0.875"/>
    <x v="1"/>
  </r>
  <r>
    <n v="4807"/>
    <x v="4382"/>
    <x v="100"/>
    <x v="5"/>
    <d v="1899-12-30T04:12:00"/>
    <s v="Vancouver, BC, Canada"/>
    <s v="Northern Thunderbird Air Inc."/>
    <s v="Unknown"/>
    <s v="Vancouver - Kelowna"/>
    <x v="2271"/>
    <s v="C-GXRX"/>
    <s v="B-36"/>
    <n v="9"/>
    <n v="7"/>
    <n v="2"/>
    <n v="1"/>
    <n v="0"/>
    <n v="1"/>
    <n v="0"/>
    <s v="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
    <n v="8"/>
    <n v="0.1111111111111111"/>
    <x v="2"/>
  </r>
  <r>
    <n v="4808"/>
    <x v="4383"/>
    <x v="100"/>
    <x v="5"/>
    <d v="1899-12-30T12:14:00"/>
    <s v="NearÂ Kilohana, Molokai, Hawaii"/>
    <s v="Blue Hawaiian Helicopter"/>
    <s v="Unknown"/>
    <s v="Sightseeing"/>
    <x v="2272"/>
    <s v="N11QV"/>
    <n v="4909"/>
    <n v="5"/>
    <n v="4"/>
    <n v="1"/>
    <n v="5"/>
    <n v="4"/>
    <n v="1"/>
    <n v="0"/>
    <s v="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
    <n v="0"/>
    <n v="1"/>
    <x v="1"/>
  </r>
  <r>
    <n v="4809"/>
    <x v="4384"/>
    <x v="100"/>
    <x v="5"/>
    <d v="1899-12-30T08:55:00"/>
    <s v="Near Santa Catarina Atoyzingo, Mexico"/>
    <s v="Fuerza Aerea Mexicana"/>
    <s v="Unknown"/>
    <s v="Campo Militar Marte - Ciudad de Cuernavaca, Morelos"/>
    <x v="2273"/>
    <s v="XC-UHM"/>
    <n v="2127"/>
    <n v="8"/>
    <n v="7"/>
    <n v="1"/>
    <n v="8"/>
    <n v="7"/>
    <n v="1"/>
    <n v="0"/>
    <s v="The Mexican presidential helicopter crashed into the side of a hill in low clouds, at a height of 2,600 meters.Â The helicopter carried the Secretary of the Interior, JosÃ© Francisco Blake Mora and other government officials."/>
    <n v="0"/>
    <n v="1"/>
    <x v="1"/>
  </r>
  <r>
    <n v="4810"/>
    <x v="4385"/>
    <x v="100"/>
    <x v="5"/>
    <d v="1899-12-30T16:45:00"/>
    <s v="Near Henderson, Nevada"/>
    <s v="Sundance Helicopters Inc."/>
    <s v="Unknown"/>
    <s v="Sightseeing"/>
    <x v="2274"/>
    <s v="N37SH"/>
    <n v="2300"/>
    <n v="5"/>
    <n v="4"/>
    <n v="1"/>
    <n v="5"/>
    <n v="4"/>
    <n v="1"/>
    <n v="0"/>
    <s v="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
    <n v="0"/>
    <n v="1"/>
    <x v="1"/>
  </r>
  <r>
    <n v="4811"/>
    <x v="4386"/>
    <x v="100"/>
    <x v="5"/>
    <d v="1899-12-30T05:54:00"/>
    <s v="Green Grove, Florida"/>
    <s v="Unknown"/>
    <s v="Unknown"/>
    <s v="Jacksonville, FL - Gainsville, FL"/>
    <x v="1226"/>
    <s v="N5016M"/>
    <n v="2636"/>
    <n v="3"/>
    <n v="2"/>
    <n v="1"/>
    <n v="3"/>
    <n v="2"/>
    <n v="1"/>
    <n v="0"/>
    <s v="The on-demand air taxi was on a flight to procure an organ for transplantation when it crashed in a wooded area near the Jacksonville Sheriff's Department Aviation Unit. The helicopter was at a height of 30 feet when it struck a 50 ft. tree."/>
    <n v="0"/>
    <n v="1"/>
    <x v="1"/>
  </r>
  <r>
    <n v="4812"/>
    <x v="4387"/>
    <x v="101"/>
    <x v="5"/>
    <d v="1899-12-30T08:45:00"/>
    <s v="Namoya, Congo"/>
    <s v="TRACEP Congo Aviation"/>
    <s v="Unknown"/>
    <s v="Bukavu - Namoya"/>
    <x v="1745"/>
    <s v="9Q-CUN"/>
    <s v="1AJ006-11"/>
    <n v="5"/>
    <n v="3"/>
    <n v="3"/>
    <n v="3"/>
    <n v="1"/>
    <n v="2"/>
    <n v="0"/>
    <s v="The cargo plane was on approach to land when it crashed in a forest 10km from Namoya.  The airworthiness of this aircraft had expired on June 12, 1993."/>
    <n v="2"/>
    <n v="0.6"/>
    <x v="0"/>
  </r>
  <r>
    <n v="4813"/>
    <x v="4388"/>
    <x v="101"/>
    <x v="5"/>
    <d v="1899-12-30T07:15:00"/>
    <s v="Near San Juan, Puerto Rico"/>
    <s v="Jet One Express"/>
    <s v="Unknown"/>
    <s v="San Juan - Saint Croix"/>
    <x v="712"/>
    <s v="N153JR"/>
    <n v="117"/>
    <n v="2"/>
    <n v="0"/>
    <n v="2"/>
    <n v="2"/>
    <n v="0"/>
    <n v="2"/>
    <n v="0"/>
    <s v="The cargo plane just took off and was carrying 2,500 lbs of bread when the pilot radioed he was having engine trouble and returning to the airport. The plane crashed in the Torrecilla Lagoon, killing both pilots."/>
    <n v="0"/>
    <n v="1"/>
    <x v="1"/>
  </r>
  <r>
    <n v="4814"/>
    <x v="4389"/>
    <x v="101"/>
    <x v="5"/>
    <d v="1899-12-30T10:45:00"/>
    <s v="Kabul, Afghanistan"/>
    <s v="Military - Turkish Army (NATO)"/>
    <s v="Unknown"/>
    <s v="Unknown"/>
    <x v="2275"/>
    <n v="10981"/>
    <s v="Unknown"/>
    <n v="12"/>
    <s v="NULL"/>
    <s v="NULL"/>
    <n v="12"/>
    <s v="NULL"/>
    <s v="NULL"/>
    <n v="4"/>
    <s v="The helicopter crashed on the outskirts of Kabul in the Bagrami District. It appeared the plane was trying to make an emergency landing when it crashed into houses killing four people on the ground."/>
    <n v="0"/>
    <n v="1"/>
    <x v="1"/>
  </r>
  <r>
    <n v="4815"/>
    <x v="4390"/>
    <x v="101"/>
    <x v="5"/>
    <d v="1899-12-30T07:44:00"/>
    <s v="Tyumen, Russia"/>
    <s v="UTAir"/>
    <n v="120"/>
    <s v="Tyurmen - Surgut"/>
    <x v="2276"/>
    <s v="VP-BYZ"/>
    <n v="332"/>
    <n v="43"/>
    <n v="39"/>
    <n v="4"/>
    <n v="33"/>
    <n v="29"/>
    <n v="4"/>
    <n v="0"/>
    <s v="After taking off, the plane lost height during the initial climb and crash landed in a snowy field, 1.5 miles past the end of the runway. The impact split the plane into three pieces.Â Icing. The plane was not deiced before taking off."/>
    <n v="10"/>
    <n v="0.76744186046511631"/>
    <x v="1"/>
  </r>
  <r>
    <n v="4816"/>
    <x v="4391"/>
    <x v="101"/>
    <x v="5"/>
    <d v="1899-12-30T18:40:00"/>
    <s v="Islamabad, Pakistan"/>
    <s v="Bhoja Airlines"/>
    <n v="213"/>
    <s v="Karachi - Islamabad"/>
    <x v="2277"/>
    <s v="AP-BKCÂ "/>
    <s v="23167/1074"/>
    <n v="127"/>
    <n v="121"/>
    <n v="6"/>
    <n v="127"/>
    <n v="121"/>
    <n v="6"/>
    <n v="0"/>
    <s v="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
    <n v="0"/>
    <n v="1"/>
    <x v="1"/>
  </r>
  <r>
    <n v="4817"/>
    <x v="4392"/>
    <x v="101"/>
    <x v="5"/>
    <d v="1899-12-30T16:30:00"/>
    <s v="Sabanagrande, Colombia"/>
    <s v="Military -Fuerza Aerea Colombiana"/>
    <s v="Unknown"/>
    <s v="Barranquilla - Caucasia"/>
    <x v="1297"/>
    <s v="FAC 4020Â "/>
    <n v="31272"/>
    <n v="13"/>
    <n v="11"/>
    <n v="2"/>
    <n v="13"/>
    <n v="11"/>
    <n v="2"/>
    <n v="0"/>
    <s v="The helicopter caught fire and crashed while en route."/>
    <n v="0"/>
    <n v="1"/>
    <x v="1"/>
  </r>
  <r>
    <n v="4818"/>
    <x v="4393"/>
    <x v="101"/>
    <x v="5"/>
    <d v="1899-12-30T15:30:00"/>
    <s v="Near Cidahu, Indonesia"/>
    <s v="Sukhoi"/>
    <n v="36801"/>
    <s v="Demonstration flight"/>
    <x v="2278"/>
    <s v="RA-97004"/>
    <n v="95004"/>
    <n v="45"/>
    <n v="39"/>
    <n v="6"/>
    <n v="45"/>
    <n v="39"/>
    <n v="6"/>
    <n v="0"/>
    <s v="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
    <n v="0"/>
    <n v="1"/>
    <x v="1"/>
  </r>
  <r>
    <n v="4819"/>
    <x v="4394"/>
    <x v="101"/>
    <x v="5"/>
    <d v="1899-12-30T09:15:00"/>
    <s v="Jomsom, Nepal"/>
    <s v="Agni Air"/>
    <s v="Unknown"/>
    <s v="Pokhara - Jomsom"/>
    <x v="1849"/>
    <s v="9N-AIG"/>
    <n v="8216"/>
    <n v="21"/>
    <n v="18"/>
    <n v="3"/>
    <n v="15"/>
    <n v="13"/>
    <n v="2"/>
    <n v="0"/>
    <s v=" _x0009_The plane was attempting to land and went around on final approach to Runway 06. The aircraft joined a left downwind when a wing contacted a hilltop about 900 feet north of the airport.The flight attendant and 5 passengers survived the accident."/>
    <n v="6"/>
    <n v="0.7142857142857143"/>
    <x v="1"/>
  </r>
  <r>
    <n v="4820"/>
    <x v="4395"/>
    <x v="101"/>
    <x v="5"/>
    <d v="1899-12-30T15:30:00"/>
    <s v="Accra, Ghana"/>
    <s v="Allied Air"/>
    <n v="111"/>
    <s v="Lagos, Nigerai - Accra, Ghana"/>
    <x v="2279"/>
    <s v="5N-BJN"/>
    <s v=" 22540/1796"/>
    <n v="4"/>
    <n v="0"/>
    <n v="4"/>
    <n v="0"/>
    <n v="0"/>
    <n v="4"/>
    <n v="12"/>
    <s v="While on approach to Runway 21 at Kotika International Airport, the cargo plane overran the runway, broke through the perimeter fence, went across a main road and collided with a bus."/>
    <n v="4"/>
    <n v="0"/>
    <x v="2"/>
  </r>
  <r>
    <n v="4821"/>
    <x v="4396"/>
    <x v="101"/>
    <x v="5"/>
    <d v="1899-12-30T16:45:00"/>
    <s v="Lagos, Nigeria"/>
    <s v="Dana Air"/>
    <n v="992"/>
    <s v="Abuja - Lagos"/>
    <x v="1944"/>
    <s v="5N-RAM"/>
    <s v="53019/1783"/>
    <n v="153"/>
    <n v="146"/>
    <n v="7"/>
    <n v="153"/>
    <n v="146"/>
    <n v="7"/>
    <n v="10"/>
    <s v="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
    <n v="0"/>
    <n v="1"/>
    <x v="1"/>
  </r>
  <r>
    <n v="4822"/>
    <x v="4397"/>
    <x v="101"/>
    <x v="5"/>
    <s v="Unknown"/>
    <s v="Hualla Hualla, Mount Mamarosa, Peru"/>
    <s v=" HeliCusco"/>
    <s v="Unknown"/>
    <s v="Mazuco - Cusco"/>
    <x v="2280"/>
    <s v="OB-1840-P"/>
    <n v="581672"/>
    <n v="14"/>
    <n v="12"/>
    <n v="2"/>
    <n v="14"/>
    <n v="12"/>
    <n v="2"/>
    <n v="0"/>
    <s v="The helicopter was flying back to Cusco after conducting aerial surveillance on a possible site for a hydroelectric project near Puno, in southern Peru when it hit the side of a cliff."/>
    <n v="0"/>
    <n v="1"/>
    <x v="1"/>
  </r>
  <r>
    <n v="4823"/>
    <x v="4398"/>
    <x v="101"/>
    <x v="5"/>
    <s v="Unknown"/>
    <s v="Near Serov, Russia"/>
    <s v="Illegal flight"/>
    <s v="Unknown"/>
    <s v="Unknown"/>
    <x v="1824"/>
    <s v="RA-40312"/>
    <s v="1G221-48"/>
    <n v="13"/>
    <n v="12"/>
    <n v="1"/>
    <n v="13"/>
    <n v="12"/>
    <n v="1"/>
    <n v="0"/>
    <s v="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
    <n v="0"/>
    <n v="1"/>
    <x v="1"/>
  </r>
  <r>
    <n v="4824"/>
    <x v="4399"/>
    <x v="101"/>
    <x v="5"/>
    <d v="1899-12-30T14:45:00"/>
    <s v="Jakarta, Indonesia"/>
    <s v="Military - Indonesian Air Force"/>
    <s v="Unknown"/>
    <s v="Training flight"/>
    <x v="1139"/>
    <s v="A-2708"/>
    <n v="10546"/>
    <n v="7"/>
    <n v="0"/>
    <n v="7"/>
    <n v="7"/>
    <n v="0"/>
    <n v="7"/>
    <n v="4"/>
    <s v="The plane was attempting to land on runway 18 during a training exercise when it crashed about 1 mile from the runway into houses in the Rajawali housing complex."/>
    <n v="0"/>
    <n v="1"/>
    <x v="1"/>
  </r>
  <r>
    <n v="4825"/>
    <x v="4400"/>
    <x v="101"/>
    <x v="5"/>
    <d v="1899-12-30T16:25:00"/>
    <s v="Off Masbate Island, Philippines"/>
    <s v="Aviatour's Fly'n Inc."/>
    <s v="Unknown"/>
    <s v="Cebu-Naga"/>
    <x v="2281"/>
    <s v="RP-C4431"/>
    <s v="34-7350051"/>
    <n v="4"/>
    <n v="2"/>
    <n v="2"/>
    <n v="3"/>
    <n v="2"/>
    <n v="1"/>
    <n v="0"/>
    <s v="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n v="1"/>
    <n v="0.75"/>
    <x v="1"/>
  </r>
  <r>
    <n v="4826"/>
    <x v="4401"/>
    <x v="101"/>
    <x v="5"/>
    <d v="1899-12-30T08:00:00"/>
    <s v="Talodi, Sudan"/>
    <s v="Alfa Airlines"/>
    <s v="Unknown"/>
    <s v="Khartoum - Talodi"/>
    <x v="2282"/>
    <s v="ST-ARL"/>
    <n v="2606"/>
    <n v="32"/>
    <n v="26"/>
    <n v="6"/>
    <n v="32"/>
    <n v="26"/>
    <n v="6"/>
    <n v="0"/>
    <s v="After an aborted landing, the plane flew into a slope of the Nuba mountains while on approach and attempting to land at Talodi air strip. There was a dust storm in the area at the time. All 26 passengers and crew of 6 were killed including 2 Sudanese ministers."/>
    <n v="0"/>
    <n v="1"/>
    <x v="1"/>
  </r>
  <r>
    <n v="4827"/>
    <x v="4402"/>
    <x v="101"/>
    <x v="5"/>
    <d v="1899-12-30T12:28:00"/>
    <s v="Near Palana, Russia"/>
    <s v="Petropavlovsk-Kamchatsky Air Enteprise"/>
    <n v="261"/>
    <s v="Petropavlovsk-Kamchatsky - Palana"/>
    <x v="1745"/>
    <s v="RA-28715"/>
    <s v="25-1AJ006"/>
    <n v="14"/>
    <n v="12"/>
    <n v="2"/>
    <n v="10"/>
    <n v="8"/>
    <n v="2"/>
    <n v="0"/>
    <s v="Crashed in a cedar forest, 6 miles from Palana Airport while on approach. There were heavy storm clouds and poor weather at the time of the accident. Both pilots were found to be intoxicated."/>
    <n v="4"/>
    <n v="0.7142857142857143"/>
    <x v="1"/>
  </r>
  <r>
    <n v="4828"/>
    <x v="4403"/>
    <x v="101"/>
    <x v="5"/>
    <d v="1899-12-30T06:15:00"/>
    <s v="Kathmandu, Nepal"/>
    <s v="Sita Air"/>
    <s v="Unknown"/>
    <s v="Unknown"/>
    <x v="2283"/>
    <s v="9N-AHA"/>
    <n v="8123"/>
    <n v="19"/>
    <n v="16"/>
    <n v="3"/>
    <n v="19"/>
    <n v="16"/>
    <n v="3"/>
    <n v="0"/>
    <s v="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
    <n v="0"/>
    <n v="1"/>
    <x v="1"/>
  </r>
  <r>
    <n v="4829"/>
    <x v="4404"/>
    <x v="101"/>
    <x v="5"/>
    <d v="1899-12-30T12:00:00"/>
    <s v="Near Omdurman, Sudan"/>
    <s v="Military - Sudanese Air Force"/>
    <s v="Unknown"/>
    <s v="Unknown"/>
    <x v="1060"/>
    <s v="ST-ASA"/>
    <n v="402010"/>
    <n v="22"/>
    <n v="16"/>
    <n v="6"/>
    <n v="15"/>
    <s v="NULL"/>
    <s v="NULL"/>
    <n v="0"/>
    <s v="The transport, carrying military personnel and equipment, crashed 25 miles southwest of Omdurman after experiencing engine trouble. The captain reported that both engines stopped working prior to the crash."/>
    <n v="7"/>
    <n v="0.68181818181818177"/>
    <x v="1"/>
  </r>
  <r>
    <n v="4830"/>
    <x v="4404"/>
    <x v="101"/>
    <x v="5"/>
    <d v="1899-12-30T16:16:00"/>
    <s v="Antigua"/>
    <s v="Fly Montserrat"/>
    <n v="107"/>
    <s v="Antigua - Montserrat"/>
    <x v="1852"/>
    <s v="VP-MO"/>
    <n v="82"/>
    <n v="4"/>
    <n v="3"/>
    <n v="1"/>
    <n v="3"/>
    <n v="2"/>
    <n v="1"/>
    <n v="0"/>
    <s v="The small airliner took off from Runway 7 at V.C. Bird International Airport, lost height immediately after becoming airborne and crashed to the ground, nose first. There was heavy rains and lightning at the time of the accident."/>
    <n v="1"/>
    <n v="0.75"/>
    <x v="1"/>
  </r>
  <r>
    <n v="4831"/>
    <x v="4405"/>
    <x v="101"/>
    <x v="5"/>
    <s v="Unknown"/>
    <s v="San'a, Yemen"/>
    <s v="Military - Yemen Air Force"/>
    <s v="Unknown"/>
    <s v="Training"/>
    <x v="1195"/>
    <n v="420"/>
    <s v="Unknown"/>
    <n v="10"/>
    <n v="0"/>
    <n v="10"/>
    <n v="10"/>
    <n v="0"/>
    <n v="10"/>
    <n v="0"/>
    <s v="The military transport crashed into the abandoned Al-Hasaba marketplace about 6 miles from Sanaa International Airport, shortly after taking off from runway 18. The crew was trying to make an emergency landing after an engine failed."/>
    <n v="0"/>
    <n v="1"/>
    <x v="1"/>
  </r>
  <r>
    <n v="4832"/>
    <x v="4406"/>
    <x v="101"/>
    <x v="5"/>
    <d v="1899-12-30T17:50:00"/>
    <s v="Near Brazzaville, Congo"/>
    <s v="Aero Service"/>
    <s v="Unknown"/>
    <s v="Pointe Noire - Brazzaville"/>
    <x v="2284"/>
    <s v="EK-76300"/>
    <n v="83410300"/>
    <n v="7"/>
    <n v="0"/>
    <n v="7"/>
    <n v="7"/>
    <n v="0"/>
    <n v="7"/>
    <n v="25"/>
    <s v="The cargo plane crashed into a dozen houses in the Mselou district in Bazzaville while attempting to land at the local airport. The plane caught on fire and came to rest in a ravine. There was heavy rain and thunderstorms in the area at the time of the accident."/>
    <n v="0"/>
    <n v="1"/>
    <x v="1"/>
  </r>
  <r>
    <n v="4833"/>
    <x v="4407"/>
    <x v="101"/>
    <x v="5"/>
    <d v="1899-12-30T09:45:00"/>
    <s v="Near Ladysmith, South Africa"/>
    <s v="Military - South African Air Force"/>
    <s v="Unknown"/>
    <s v="Pretoria - Mthatha Airport"/>
    <x v="2285"/>
    <n v="6840"/>
    <s v="13866/25311"/>
    <n v="11"/>
    <n v="5"/>
    <n v="6"/>
    <n v="11"/>
    <n v="5"/>
    <n v="6"/>
    <n v="0"/>
    <s v="The military transport went missing while en route. The wreckage was found in the Drakensberg mountains near Ladysmith in KwaZulu-Natal province, some 210 miles southeast of Waterkloof Air Force Base. There was severe weather at the time of the accident."/>
    <n v="0"/>
    <n v="1"/>
    <x v="1"/>
  </r>
  <r>
    <n v="4834"/>
    <x v="4408"/>
    <x v="101"/>
    <x v="5"/>
    <d v="1899-12-30T03:30:00"/>
    <s v="Near Iturbide, Mexico"/>
    <s v="Starwood Management LLC"/>
    <s v="Unknown"/>
    <s v="Monterey, Mexico - Toluca, Mexico"/>
    <x v="1484"/>
    <s v="N345MC"/>
    <s v="25-046"/>
    <n v="7"/>
    <n v="5"/>
    <n v="2"/>
    <n v="7"/>
    <n v="5"/>
    <n v="2"/>
    <n v="0"/>
    <s v="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
    <n v="0"/>
    <n v="1"/>
    <x v="1"/>
  </r>
  <r>
    <n v="4835"/>
    <x v="4409"/>
    <x v="101"/>
    <x v="5"/>
    <d v="1899-12-30T18:55:00"/>
    <s v="Near Shymkent, Kazakhstan"/>
    <s v="Military - Kazakhstan Border Guards"/>
    <s v="Unknown"/>
    <s v="Astana - Shymkent"/>
    <x v="2286"/>
    <s v="UN-72859"/>
    <n v="36576092859"/>
    <n v="27"/>
    <n v="20"/>
    <n v="7"/>
    <n v="27"/>
    <n v="20"/>
    <n v="7"/>
    <n v="0"/>
    <s v="The military transport crashed 12 miles from the Shymket Airport while making a descent to land, in heavy winds and snow.The fatalities included a crew of seven and 20 border guards, including the acting head of the ex-Soviet nation's border protection service, Col. Turganbek Stambekov"/>
    <n v="0"/>
    <n v="1"/>
    <x v="1"/>
  </r>
  <r>
    <n v="4836"/>
    <x v="4409"/>
    <x v="101"/>
    <x v="5"/>
    <d v="1899-12-30T08:50:00"/>
    <s v="Heho, Myanmar"/>
    <s v="Air Bagan"/>
    <s v="W9-011"/>
    <s v="Mandalay - Heho"/>
    <x v="1758"/>
    <s v="XY-AGC"/>
    <n v="11327"/>
    <n v="71"/>
    <n v="65"/>
    <n v="6"/>
    <n v="1"/>
    <n v="0"/>
    <n v="1"/>
    <n v="1"/>
    <s v="The passenger plane crash in a field two miles from Heho Airport and caught fire, after attempting to land in foggy weather. A tour guide and an 11-year-old child on board the plane, and a man riding a motorcycle on the ground were killed. Eleven others were injured."/>
    <n v="70"/>
    <n v="1.4084507042253521E-2"/>
    <x v="2"/>
  </r>
  <r>
    <n v="4837"/>
    <x v="4410"/>
    <x v="101"/>
    <x v="5"/>
    <d v="1899-12-30T16:33:00"/>
    <s v="Moscow, Russia"/>
    <s v="Red Wings Airlines"/>
    <n v="9268"/>
    <s v="Pardubice, Czech Republic - Moscow, Russia"/>
    <x v="2287"/>
    <s v="RA-64047"/>
    <n v="1450744864047"/>
    <n v="8"/>
    <n v="0"/>
    <n v="8"/>
    <n v="5"/>
    <n v="0"/>
    <n v="5"/>
    <n v="0"/>
    <s v="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
    <n v="3"/>
    <n v="0.625"/>
    <x v="0"/>
  </r>
  <r>
    <n v="4838"/>
    <x v="4411"/>
    <x v="102"/>
    <x v="5"/>
    <d v="1899-12-30T20:57:00"/>
    <s v="Near Clear Lake, Iowa"/>
    <s v="Med-Trans Corporaion"/>
    <s v="Unknown"/>
    <s v="Mercy Hospital - Palo Alto Couonty Hospital"/>
    <x v="2085"/>
    <s v="N445MT"/>
    <n v="53959"/>
    <n v="3"/>
    <n v="2"/>
    <n v="1"/>
    <n v="3"/>
    <n v="2"/>
    <n v="1"/>
    <n v="0"/>
    <s v="The air ambulance crashed and burned north of Ventura near Clear Lake Iowa in ice, haze and misty conditons."/>
    <n v="0"/>
    <n v="1"/>
    <x v="1"/>
  </r>
  <r>
    <n v="4839"/>
    <x v="4412"/>
    <x v="102"/>
    <x v="5"/>
    <d v="1899-12-30T11:40:00"/>
    <s v="Off Los Roques, Venezuela"/>
    <s v="Transaereo 5074"/>
    <s v="Unknown"/>
    <s v="Los Roques - Caracas"/>
    <x v="2288"/>
    <s v="YV-2615"/>
    <n v="20"/>
    <n v="6"/>
    <n v="5"/>
    <n v="1"/>
    <n v="6"/>
    <n v="5"/>
    <n v="1"/>
    <n v="0"/>
    <s v="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
    <n v="0"/>
    <n v="1"/>
    <x v="1"/>
  </r>
  <r>
    <n v="4840"/>
    <x v="4413"/>
    <x v="102"/>
    <x v="5"/>
    <d v="1899-12-30T13:13:00"/>
    <s v="Near Kyzyltu, Kazakhstan"/>
    <s v="SCAT Air"/>
    <n v="760"/>
    <s v="Kokshetau - Almaty, Kazakhstan"/>
    <x v="2142"/>
    <s v="UP-CJ006"/>
    <n v="7431"/>
    <n v="21"/>
    <n v="16"/>
    <n v="5"/>
    <n v="21"/>
    <n v="16"/>
    <n v="5"/>
    <n v="0"/>
    <s v="The jet crashed in heavy fog outside of Almaty while attempting to land at Almaty Airport for a second time. The aircraft was found in swampy terrain about 1 mile short of the runway threshold."/>
    <n v="0"/>
    <n v="1"/>
    <x v="1"/>
  </r>
  <r>
    <n v="4841"/>
    <x v="4414"/>
    <x v="102"/>
    <x v="5"/>
    <d v="1899-12-30T18:09:00"/>
    <s v="Donetsk, Ukraine"/>
    <s v="South Airlines"/>
    <n v="8971"/>
    <s v="Odessa - Donetsk"/>
    <x v="1275"/>
    <s v="UR-WRAÂ "/>
    <n v="37308709"/>
    <n v="45"/>
    <n v="41"/>
    <n v="4"/>
    <n v="5"/>
    <n v="5"/>
    <n v="0"/>
    <n v="0"/>
    <s v="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
    <n v="40"/>
    <n v="0.1111111111111111"/>
    <x v="2"/>
  </r>
  <r>
    <n v="4842"/>
    <x v="4415"/>
    <x v="102"/>
    <x v="5"/>
    <d v="1899-12-30T17:55:00"/>
    <s v="Goma, Congo"/>
    <s v="Compagnie Africaine d' Aviation (CAA)Â "/>
    <s v="Unknown"/>
    <s v="Lodja - Goma"/>
    <x v="1830"/>
    <s v="9Q-CBD"/>
    <s v="20270Â "/>
    <n v="10"/>
    <n v="4"/>
    <n v="6"/>
    <n v="7"/>
    <n v="1"/>
    <n v="6"/>
    <n v="0"/>
    <s v="The aircraft crashed short of the runway while attempting to land in heavy rain at Goma Airport crashing into the back yards of several houses in the Lake Kivu area."/>
    <n v="3"/>
    <n v="0.7"/>
    <x v="1"/>
  </r>
  <r>
    <n v="4843"/>
    <x v="4416"/>
    <x v="102"/>
    <x v="5"/>
    <d v="1899-12-30T08:15:00"/>
    <s v="Near Dillingham, Alaska"/>
    <s v="Ace Air Cargo"/>
    <n v="51"/>
    <s v="King Salmon - Dillingham"/>
    <x v="1591"/>
    <s v="N116AX"/>
    <s v="UC-17"/>
    <n v="2"/>
    <n v="0"/>
    <n v="2"/>
    <n v="2"/>
    <n v="0"/>
    <n v="2"/>
    <n v="0"/>
    <s v="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
    <n v="0"/>
    <n v="1"/>
    <x v="1"/>
  </r>
  <r>
    <n v="4844"/>
    <x v="4417"/>
    <x v="102"/>
    <x v="5"/>
    <d v="1899-12-30T15:35:00"/>
    <s v="Denpasar, Indonesia"/>
    <s v="Lion Air"/>
    <n v="904"/>
    <s v="Bandung - Denpasar"/>
    <x v="2289"/>
    <s v="PK-LKS"/>
    <s v="38728/4350"/>
    <n v="108"/>
    <n v="101"/>
    <n v="7"/>
    <n v="0"/>
    <n v="0"/>
    <n v="0"/>
    <n v="0"/>
    <s v="The airliner came down in the ocean, 150 feet short of the runway, while on final approach to Denpasar-Ngurah Rai Bali International Airport. All 101 passengers and crew of 7 survived. Forty-five people were injured."/>
    <n v="108"/>
    <n v="0"/>
    <x v="2"/>
  </r>
  <r>
    <n v="4845"/>
    <x v="4418"/>
    <x v="102"/>
    <x v="5"/>
    <d v="1899-12-30T15:25:00"/>
    <s v="Bagram Air Base, Afghanistan"/>
    <s v="National Air Cargo"/>
    <n v="102"/>
    <s v="Bagram - Dubai Al Maktoum"/>
    <x v="2290"/>
    <s v="N949CA"/>
    <s v="25630/960"/>
    <n v="7"/>
    <n v="0"/>
    <n v="7"/>
    <n v="7"/>
    <n v="0"/>
    <n v="7"/>
    <n v="0"/>
    <s v="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
    <n v="0"/>
    <n v="1"/>
    <x v="1"/>
  </r>
  <r>
    <n v="4846"/>
    <x v="4419"/>
    <x v="102"/>
    <x v="5"/>
    <d v="1899-12-30T12:11:00"/>
    <s v="Moosonee, Ontario"/>
    <s v="Ornge Air Ambulance"/>
    <s v="Unknown"/>
    <s v="Moosonee- Attawapiskat"/>
    <x v="1419"/>
    <s v="Unknown"/>
    <s v="Unknown"/>
    <n v="4"/>
    <n v="2"/>
    <n v="2"/>
    <n v="4"/>
    <n v="2"/>
    <n v="2"/>
    <n v="0"/>
    <s v="The air ambulance helicopter crashed 0.7 miles from its departure point. The pilot, copilot and two paramedics were killed. The helicopter was headed to Attawapiskat to pick up a patient."/>
    <n v="0"/>
    <n v="1"/>
    <x v="1"/>
  </r>
  <r>
    <n v="4847"/>
    <x v="4420"/>
    <x v="102"/>
    <x v="5"/>
    <s v="Unknown"/>
    <s v="Gaurikund, near Kedarnath, Uttarakhand State, India."/>
    <s v="Indian Air Force"/>
    <s v="Unknown"/>
    <s v="From Gauchar airstrip"/>
    <x v="2291"/>
    <s v="Unknown"/>
    <s v="Unknown"/>
    <n v="20"/>
    <n v="15"/>
    <n v="5"/>
    <n v="20"/>
    <n v="15"/>
    <n v="5"/>
    <n v="0"/>
    <s v="Crashed during flood relief operations. The passengers were from paramilitary forces."/>
    <n v="0"/>
    <n v="1"/>
    <x v="1"/>
  </r>
  <r>
    <n v="4848"/>
    <x v="4421"/>
    <x v="102"/>
    <x v="5"/>
    <d v="1899-12-30T11:38:00"/>
    <s v="San Francisco, California"/>
    <s v="Asiana Airlines"/>
    <n v="214"/>
    <s v="Shanghai - Seoul - San Francisco"/>
    <x v="2292"/>
    <s v="HL7742Â "/>
    <s v="29171/553"/>
    <n v="307"/>
    <n v="291"/>
    <n v="16"/>
    <n v="3"/>
    <n v="3"/>
    <n v="0"/>
    <n v="0"/>
    <s v="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quot;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
    <n v="304"/>
    <n v="9.7719869706840382E-3"/>
    <x v="2"/>
  </r>
  <r>
    <n v="4849"/>
    <x v="4422"/>
    <x v="102"/>
    <x v="5"/>
    <d v="1899-12-30T11:20:00"/>
    <s v="Soldotna, Alaksa"/>
    <s v="Rediske Air"/>
    <s v="Unknown"/>
    <s v="Soldotna - Bear Lodge"/>
    <x v="2293"/>
    <s v="N93PC"/>
    <n v="280"/>
    <n v="10"/>
    <n v="9"/>
    <n v="1"/>
    <n v="10"/>
    <n v="9"/>
    <n v="1"/>
    <n v="0"/>
    <s v="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
    <n v="0"/>
    <n v="1"/>
    <x v="1"/>
  </r>
  <r>
    <n v="4850"/>
    <x v="4423"/>
    <x v="102"/>
    <x v="5"/>
    <d v="1899-12-30T08:00:00"/>
    <s v="Mogadishu, Somalia"/>
    <s v="Military - Ethiopian Air Force"/>
    <s v="Unknown"/>
    <s v="Dire Dawa - Mogadishu"/>
    <x v="942"/>
    <s v="Unknown"/>
    <s v="Unknown"/>
    <n v="6"/>
    <n v="0"/>
    <n v="6"/>
    <n v="4"/>
    <n v="0"/>
    <n v="4"/>
    <n v="0"/>
    <s v="The cargo plane crashed on the runway and caught fire while attempting to land at Mofadisu International Airport."/>
    <n v="2"/>
    <n v="0.66666666666666663"/>
    <x v="1"/>
  </r>
  <r>
    <n v="4851"/>
    <x v="4424"/>
    <x v="102"/>
    <x v="5"/>
    <d v="1899-12-30T04:49:00"/>
    <s v="Birmingham, Alabama"/>
    <s v="United Parcel Service"/>
    <n v="1354"/>
    <s v="Louisville - Birmingham"/>
    <x v="2294"/>
    <s v="N155UP"/>
    <n v="841"/>
    <n v="2"/>
    <n v="0"/>
    <n v="2"/>
    <n v="2"/>
    <n v="0"/>
    <n v="2"/>
    <n v="0"/>
    <s v="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
    <n v="0"/>
    <n v="1"/>
    <x v="1"/>
  </r>
  <r>
    <n v="4852"/>
    <x v="4425"/>
    <x v="102"/>
    <x v="5"/>
    <d v="1899-12-30T09:32:00"/>
    <s v="Lagos, Nigeria"/>
    <s v="Associated Aviation"/>
    <n v="361"/>
    <s v="Lagos - Akure"/>
    <x v="1565"/>
    <s v="5N-BJY"/>
    <s v="120174Â "/>
    <n v="20"/>
    <n v="13"/>
    <n v="7"/>
    <n v="16"/>
    <n v="11"/>
    <n v="5"/>
    <n v="0"/>
    <s v="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
    <n v="4"/>
    <n v="0.8"/>
    <x v="1"/>
  </r>
  <r>
    <n v="4853"/>
    <x v="4426"/>
    <x v="102"/>
    <x v="5"/>
    <d v="1899-12-30T14:50:00"/>
    <s v="Kudat, Malaysia"/>
    <s v="MASwings"/>
    <n v="3002"/>
    <s v="Kota - Kudat"/>
    <x v="1479"/>
    <s v="9M-MDM"/>
    <n v="804"/>
    <n v="16"/>
    <n v="14"/>
    <n v="2"/>
    <n v="2"/>
    <n v="1"/>
    <n v="1"/>
    <n v="0"/>
    <s v="While attempting to land, the Twin Otter struck a house located to the right of runway 22. The nose section was destroyed and the right wing broke off. The co-pilot and one passenger were killed. Procedural errors by the captain."/>
    <n v="14"/>
    <n v="0.125"/>
    <x v="2"/>
  </r>
  <r>
    <n v="4854"/>
    <x v="4427"/>
    <x v="102"/>
    <x v="5"/>
    <d v="1899-12-30T16:10:00"/>
    <s v="Near Pakse, Laos"/>
    <s v="Lao Airlines"/>
    <n v="301"/>
    <s v="Vientiane - Pakse"/>
    <x v="2295"/>
    <s v="RDPL-34233Â "/>
    <n v="1071"/>
    <n v="49"/>
    <n v="44"/>
    <n v="5"/>
    <n v="49"/>
    <n v="44"/>
    <n v="5"/>
    <n v="0"/>
    <s v="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
    <n v="0"/>
    <n v="1"/>
    <x v="1"/>
  </r>
  <r>
    <n v="4855"/>
    <x v="4428"/>
    <x v="102"/>
    <x v="5"/>
    <d v="1899-12-30T16:00:00"/>
    <s v="Riberalta, Bolivia"/>
    <s v="Aerocon"/>
    <s v="Unknown"/>
    <s v="Trinidad, Bolivia - Riberalta, Bolivia"/>
    <x v="2296"/>
    <s v="CP-275"/>
    <s v="AC-721BÂ "/>
    <n v="18"/>
    <n v="16"/>
    <n v="2"/>
    <n v="8"/>
    <n v="8"/>
    <n v="0"/>
    <n v="0"/>
    <s v="While landing in heavy rain, the aircraft veered off the runway, caught fire after hitting some brush and came to rest inverted."/>
    <n v="10"/>
    <n v="0.44444444444444442"/>
    <x v="0"/>
  </r>
  <r>
    <n v="4856"/>
    <x v="4429"/>
    <x v="102"/>
    <x v="5"/>
    <d v="1899-12-30T10:30:00"/>
    <s v="Pujungan, Malinau district, Borneo"/>
    <s v="Military - Indonesian Army"/>
    <s v="Unknown"/>
    <s v="Tarakan - Malinau"/>
    <x v="2297"/>
    <s v="Unknown"/>
    <s v="Unknown"/>
    <n v="21"/>
    <n v="13"/>
    <n v="8"/>
    <n v="13"/>
    <n v="7"/>
    <n v="6"/>
    <n v="0"/>
    <s v="After losing power, the helicopter crashed into dense jungle and burst into flames. It was carrying construction materials, 8 military personnel and 13 civilian construction workers. Two military personnel and 6 passengers survived."/>
    <n v="8"/>
    <n v="0.61904761904761907"/>
    <x v="0"/>
  </r>
  <r>
    <n v="4857"/>
    <x v="4430"/>
    <x v="102"/>
    <x v="5"/>
    <d v="1899-12-30T18:34:00"/>
    <s v="Red Lake, Ontario, Canada"/>
    <s v="Bearskin Airlines"/>
    <s v="Unknown"/>
    <s v="Sioux Lookout - Red Lake"/>
    <x v="2298"/>
    <s v="C-FFZN"/>
    <s v="AC785B"/>
    <n v="7"/>
    <n v="5"/>
    <n v="2"/>
    <n v="5"/>
    <n v="3"/>
    <n v="2"/>
    <n v="0"/>
    <s v="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
    <n v="2"/>
    <n v="0.7142857142857143"/>
    <x v="1"/>
  </r>
  <r>
    <n v="4858"/>
    <x v="4431"/>
    <x v="102"/>
    <x v="5"/>
    <d v="1899-12-30T19:20:00"/>
    <s v="Near Kazan, Russia"/>
    <s v="Tararstan Airlilnes"/>
    <n v="363"/>
    <s v="Moscow - Kastan"/>
    <x v="2299"/>
    <s v="VQ-BBN"/>
    <s v="24785/1882"/>
    <n v="50"/>
    <n v="44"/>
    <n v="6"/>
    <n v="50"/>
    <n v="44"/>
    <n v="6"/>
    <n v="0"/>
    <s v="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
    <n v="0"/>
    <n v="1"/>
    <x v="1"/>
  </r>
  <r>
    <n v="4859"/>
    <x v="4432"/>
    <x v="102"/>
    <x v="5"/>
    <d v="1899-12-30T20:25:00"/>
    <s v="Glasgow Scotland"/>
    <s v="Bond Air Services Ltd."/>
    <s v="Unknown"/>
    <s v="Unknown"/>
    <x v="2300"/>
    <s v="G-SPAO"/>
    <n v="546"/>
    <n v="3"/>
    <n v="2"/>
    <n v="1"/>
    <n v="3"/>
    <n v="2"/>
    <n v="1"/>
    <n v="5"/>
    <s v="The police helicopter crashed into the roof of the Clutha Pub in central Glasgow killing at least 5 patrons along with 3 aboard he helicopter. The helicopter was carrying a civilian pilot and two Strathclyde police officers."/>
    <n v="0"/>
    <n v="1"/>
    <x v="1"/>
  </r>
  <r>
    <n v="4860"/>
    <x v="4432"/>
    <x v="102"/>
    <x v="5"/>
    <d v="1899-12-30T13:30:00"/>
    <s v="Bwabwata National Park, Nambia"/>
    <s v="Mozambique Airline"/>
    <n v="470"/>
    <s v="Maputo, Mozambique - Luanda, Angola"/>
    <x v="2301"/>
    <s v="C9-EMC"/>
    <n v="19000581"/>
    <n v="33"/>
    <n v="27"/>
    <n v="6"/>
    <n v="33"/>
    <n v="27"/>
    <n v="6"/>
    <n v="0"/>
    <s v="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
    <n v="0"/>
    <n v="1"/>
    <x v="1"/>
  </r>
  <r>
    <n v="4861"/>
    <x v="4433"/>
    <x v="102"/>
    <x v="5"/>
    <s v="Unknown"/>
    <s v="Near Cachimbo, Brazil"/>
    <s v="Heringer Taxi Aero"/>
    <s v="Unknown"/>
    <s v="Pukanu - Novo Progresso"/>
    <x v="2302"/>
    <s v="PT-WMY"/>
    <n v="314"/>
    <n v="5"/>
    <n v="3"/>
    <n v="2"/>
    <n v="5"/>
    <n v="3"/>
    <n v="2"/>
    <n v="0"/>
    <s v="While performing an ambulance flight, the aircraft crashed under unknown circumstances in a wooded area killing 3 passengers and 2 pilots."/>
    <n v="0"/>
    <n v="1"/>
    <x v="1"/>
  </r>
  <r>
    <n v="4862"/>
    <x v="4434"/>
    <x v="102"/>
    <x v="5"/>
    <d v="1899-12-30T21:39:00"/>
    <s v="Irkutsk, Russia"/>
    <s v="IrAvia"/>
    <s v="Unknown"/>
    <s v="Novosibirsk - Ikustsk"/>
    <x v="1914"/>
    <n v="12162"/>
    <n v="3341509"/>
    <n v="9"/>
    <n v="3"/>
    <n v="6"/>
    <n v="9"/>
    <n v="3"/>
    <n v="6"/>
    <n v="0"/>
    <s v="The cargo plane, carrying spare parts, crashed into a military army arsenal at Ikustsk-2 Airport while attempting to land. The crew of 6 and 3 technicians were all killed."/>
    <n v="0"/>
    <n v="1"/>
    <x v="1"/>
  </r>
  <r>
    <n v="4863"/>
    <x v="4435"/>
    <x v="103"/>
    <x v="5"/>
    <d v="1899-12-30T16:34:00"/>
    <s v="Near Petreasa Romania"/>
    <s v="Scoala Superioara de Aviatie Civla"/>
    <s v="Unknown"/>
    <s v="Bucharest - Oradea"/>
    <x v="2288"/>
    <s v="YR-BNP"/>
    <n v="822"/>
    <n v="7"/>
    <n v="5"/>
    <n v="2"/>
    <n v="2"/>
    <n v="1"/>
    <n v="1"/>
    <n v="0"/>
    <s v="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
    <n v="5"/>
    <n v="0.2857142857142857"/>
    <x v="2"/>
  </r>
  <r>
    <n v="4864"/>
    <x v="4436"/>
    <x v="103"/>
    <x v="5"/>
    <d v="1899-12-30T11:59:00"/>
    <s v="Near Ain Kercha, Algeria"/>
    <s v="Military - Algerian Air Force"/>
    <s v="Unknown"/>
    <s v="Tamanarasset - Constatine"/>
    <x v="2303"/>
    <s v="7T-WHM"/>
    <n v="4919"/>
    <n v="77"/>
    <n v="73"/>
    <n v="4"/>
    <n v="76"/>
    <n v="72"/>
    <n v="4"/>
    <n v="0"/>
    <s v="The military transport crashed into a mountainous region approximaely 30 miles southeast of Constatine Airport. Unfavorable weather conditions and storms accompanied by snow were reported in the area. The aircraft was too low on approach and hit the slope of mount Djebel Ta Fertas."/>
    <n v="1"/>
    <n v="0.98701298701298701"/>
    <x v="1"/>
  </r>
  <r>
    <n v="4865"/>
    <x v="4437"/>
    <x v="103"/>
    <x v="5"/>
    <d v="1899-12-30T13:15:00"/>
    <s v="Sandhikhark, Nepal"/>
    <s v="Nepal Airlines"/>
    <n v="183"/>
    <s v="Kathmandu - Pokhara - Jumla"/>
    <x v="1220"/>
    <s v="9N-ABBÂ "/>
    <n v="302"/>
    <n v="18"/>
    <n v="15"/>
    <n v="3"/>
    <n v="18"/>
    <n v="15"/>
    <n v="3"/>
    <n v="0"/>
    <s v="The passenger plane crashed into a snow covered mountain and burst into flames while en route from Pokhara to Jamia. Weather was poor at the time of the accident. The PIC lost situation awareness while cruising in IMC, causing the aircraft to collide with terrain."/>
    <n v="0"/>
    <n v="1"/>
    <x v="1"/>
  </r>
  <r>
    <n v="4866"/>
    <x v="4438"/>
    <x v="103"/>
    <x v="5"/>
    <d v="1899-12-30T01:45:00"/>
    <s v="Grombalia, Tunisia"/>
    <s v="Libyan Air Cargo"/>
    <s v="Unknown"/>
    <s v="Tripoli - Tunis"/>
    <x v="2304"/>
    <s v="5A-DOWÂ "/>
    <n v="11809"/>
    <n v="11"/>
    <n v="6"/>
    <n v="5"/>
    <n v="11"/>
    <n v="6"/>
    <n v="5"/>
    <n v="0"/>
    <s v="The aircraft, carrying a medical team with three patients, was destroyed when it crashed in a field, 20 miles from Tunis-Carthage Airport. The pilot reported an engine on fire prior to the accident."/>
    <n v="0"/>
    <n v="1"/>
    <x v="1"/>
  </r>
  <r>
    <n v="4867"/>
    <x v="4439"/>
    <x v="103"/>
    <x v="5"/>
    <d v="1899-12-30T02:41:00"/>
    <s v="South Indian Ocean"/>
    <s v="Malaysia Airlines"/>
    <n v="370"/>
    <s v="Kuala LumpurÂ - Beijing"/>
    <x v="2305"/>
    <s v="9M-MRO"/>
    <s v="28420/404"/>
    <n v="239"/>
    <n v="227"/>
    <n v="12"/>
    <n v="239"/>
    <n v="227"/>
    <n v="12"/>
    <n v="0"/>
    <s v="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n v="0"/>
    <n v="1"/>
    <x v="1"/>
  </r>
  <r>
    <n v="4868"/>
    <x v="4440"/>
    <x v="103"/>
    <x v="5"/>
    <d v="1899-12-30T07:52:00"/>
    <s v="Seattle, Washington"/>
    <s v="Helicopters Inc / KOMO TV"/>
    <s v="Unknown"/>
    <s v="News reporting"/>
    <x v="2306"/>
    <s v="N250FB"/>
    <n v="3669"/>
    <n v="2"/>
    <n v="1"/>
    <n v="1"/>
    <n v="2"/>
    <n v="1"/>
    <n v="1"/>
    <n v="0"/>
    <s v="The news helicopter crashed and burst into flames shortl after taking off striking three vehicles. One person in one of the vehicles was badly burned. The helicopter Photojournalist Bill Strothman and the pilot were both killed."/>
    <n v="0"/>
    <n v="1"/>
    <x v="1"/>
  </r>
  <r>
    <n v="4869"/>
    <x v="4441"/>
    <x v="103"/>
    <x v="5"/>
    <d v="1899-12-30T19:45:00"/>
    <s v="Ramos Arizpe, Mexico"/>
    <s v="Lineas Aereas Comerciales"/>
    <s v="Unknown"/>
    <s v="Cozumel - Ramos Arizpe"/>
    <x v="2307"/>
    <s v="XA-UKR"/>
    <n v="25719"/>
    <n v="8"/>
    <n v="6"/>
    <n v="2"/>
    <n v="8"/>
    <n v="6"/>
    <n v="2"/>
    <n v="0"/>
    <s v="While on approach, in fog, the jet crashed into an park about half-a-mile north of Saltillo-Plan de Guadalupe International Airport."/>
    <n v="0"/>
    <n v="1"/>
    <x v="1"/>
  </r>
  <r>
    <n v="4870"/>
    <x v="4442"/>
    <x v="103"/>
    <x v="5"/>
    <d v="1899-12-30T15:30:00"/>
    <s v="Jamijarvi, Finland"/>
    <s v="Suomen Urheiluilmailijat"/>
    <s v="Unknown"/>
    <s v="Skydiving"/>
    <x v="2308"/>
    <s v="OH-XDZÂ "/>
    <s v="Unknown"/>
    <n v="8"/>
    <n v="7"/>
    <n v="1"/>
    <n v="8"/>
    <n v="7"/>
    <n v="1"/>
    <n v="0"/>
    <s v="While carrying skydivers, the experimental plane went into a spin and crashed and burned in a forest. The pilot and two skydivers were able to parachute to safety with minor injuries."/>
    <n v="0"/>
    <n v="1"/>
    <x v="1"/>
  </r>
  <r>
    <n v="4871"/>
    <x v="4443"/>
    <x v="103"/>
    <x v="5"/>
    <d v="1899-12-30T12:45:00"/>
    <s v="Near San Vicente del Caguan, Colombia"/>
    <s v="Alisansa Colombia"/>
    <s v="Unknown"/>
    <s v="Villavicencio - Florencia"/>
    <x v="507"/>
    <s v="HK-4700"/>
    <n v="9700"/>
    <n v="6"/>
    <n v="0"/>
    <n v="6"/>
    <n v="6"/>
    <n v="0"/>
    <n v="6"/>
    <n v="0"/>
    <s v="The Cargo plane sruck the side of a mountain about 25 miles north of San Vicente del CaguÃ¡nÂ while en route. The accident was the result of a controlled flight into terrain. The crew failed to evaluate properly the risks and the danger of poor weather conditions and decided to perform the flight in VFR mode."/>
    <n v="0"/>
    <n v="1"/>
    <x v="1"/>
  </r>
  <r>
    <n v="4872"/>
    <x v="4444"/>
    <x v="103"/>
    <x v="5"/>
    <d v="1899-12-30T08:00:00"/>
    <s v="Xiang Khouang province, Laos"/>
    <s v="Laos Air Force"/>
    <s v="Unknown"/>
    <s v="Vientiane - Xiangkhoung"/>
    <x v="2309"/>
    <s v="RDPL-34020Â "/>
    <n v="36547098982"/>
    <n v="17"/>
    <n v="11"/>
    <n v="6"/>
    <n v="16"/>
    <n v="10"/>
    <n v="6"/>
    <n v="0"/>
    <s v="The military aircraft crashed in a wooded area while approaching Xiangkhoung's airport, killing 16 people. Among those killed were defense minister Douangchay Phichit and other high ranking officials. For unknown reason, crew was approaching at a too low altitude."/>
    <n v="1"/>
    <n v="0.94117647058823528"/>
    <x v="1"/>
  </r>
  <r>
    <n v="4873"/>
    <x v="4445"/>
    <x v="103"/>
    <x v="5"/>
    <d v="1899-12-30T00:50:00"/>
    <s v="Lugansk, Ukraine"/>
    <s v="Military - Ukraine Air Force"/>
    <s v="Unknown"/>
    <s v="Melitopol - Luhansk"/>
    <x v="1853"/>
    <n v="76777"/>
    <n v="83482490"/>
    <n v="49"/>
    <n v="40"/>
    <n v="9"/>
    <n v="49"/>
    <n v="40"/>
    <n v="9"/>
    <n v="0"/>
    <s v="The military transport crashed in a wheat field  near Lugansk Airport after being shot down by anti-aircraft fire."/>
    <n v="0"/>
    <n v="1"/>
    <x v="1"/>
  </r>
  <r>
    <n v="4874"/>
    <x v="4446"/>
    <x v="103"/>
    <x v="5"/>
    <s v="Unknown"/>
    <s v="Near Nairobi, Kenya"/>
    <s v="Skyward International Aviation"/>
    <s v="Unknown"/>
    <s v="Nairobi - Mogadishu, Somalia"/>
    <x v="1830"/>
    <s v="5Y-CET"/>
    <n v="20262"/>
    <n v="4"/>
    <n v="0"/>
    <n v="4"/>
    <n v="4"/>
    <n v="0"/>
    <n v="4"/>
    <n v="0"/>
    <s v="The cargo plane, transporting the mild stimulant known as Khat to the Somali capital, Mogadishu, crashed into a commercial building after taking off from Jomo Kenyatta International Airport. While climbing by night, crew lost control of the aircraft."/>
    <n v="0"/>
    <n v="1"/>
    <x v="1"/>
  </r>
  <r>
    <n v="4875"/>
    <x v="4447"/>
    <x v="103"/>
    <x v="5"/>
    <d v="1899-12-30T07:50:00"/>
    <s v="Thach That district, Vietnam"/>
    <s v="Military - Vietnam People's Army Air Force"/>
    <s v="Unknown"/>
    <s v="Training"/>
    <x v="2310"/>
    <s v="Unknown"/>
    <s v="Unknown"/>
    <n v="19"/>
    <n v="21"/>
    <n v="2"/>
    <n v="18"/>
    <s v="NULL"/>
    <s v="NULL"/>
    <n v="0"/>
    <s v="The helicopter crashed about  40 km west of Hanoi, 15 minutes after taking off during a parachute training mission."/>
    <n v="1"/>
    <n v="0.94736842105263153"/>
    <x v="1"/>
  </r>
  <r>
    <n v="4876"/>
    <x v="4448"/>
    <x v="103"/>
    <x v="5"/>
    <d v="1899-12-30T16:19:00"/>
    <s v="Hrabove, Ukraine"/>
    <s v="Malaysia Airlines"/>
    <n v="17"/>
    <s v="Amsterdam - Kuala Lumpur"/>
    <x v="2311"/>
    <s v="9M-MRD"/>
    <s v="28411/84"/>
    <n v="298"/>
    <n v="283"/>
    <n v="15"/>
    <n v="298"/>
    <n v="283"/>
    <n v="15"/>
    <n v="0"/>
    <s v="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
    <n v="0"/>
    <n v="1"/>
    <x v="1"/>
  </r>
  <r>
    <n v="4877"/>
    <x v="4449"/>
    <x v="103"/>
    <x v="5"/>
    <d v="1899-12-30T19:06:00"/>
    <s v="Magong, Taiwan"/>
    <s v="TransAsia Airways"/>
    <n v="222"/>
    <s v="Kaohsiung - Magong"/>
    <x v="2312"/>
    <s v="B-22810"/>
    <n v="642"/>
    <n v="58"/>
    <n v="54"/>
    <n v="4"/>
    <n v="48"/>
    <n v="44"/>
    <n v="4"/>
    <n v="0"/>
    <s v="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n v="10"/>
    <n v="0.82758620689655171"/>
    <x v="1"/>
  </r>
  <r>
    <n v="4878"/>
    <x v="4450"/>
    <x v="103"/>
    <x v="5"/>
    <d v="1899-12-30T01:47:00"/>
    <s v="Aguelhok, Mali"/>
    <s v="Air Algerie"/>
    <s v="AH5017"/>
    <s v="Ouagadougou, Burkina Faso - Algiers, Algeria"/>
    <x v="2313"/>
    <s v="EC-LTV"/>
    <s v="53190/2148"/>
    <n v="116"/>
    <n v="110"/>
    <n v="6"/>
    <n v="116"/>
    <n v="110"/>
    <n v="6"/>
    <n v="0"/>
    <s v="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
    <n v="0"/>
    <n v="1"/>
    <x v="1"/>
  </r>
  <r>
    <n v="4879"/>
    <x v="4451"/>
    <x v="103"/>
    <x v="5"/>
    <d v="1899-12-30T09:18:00"/>
    <s v="Tehran, Iran"/>
    <s v="Sepahan Airlines"/>
    <n v="5915"/>
    <s v="Tehran - Tabas"/>
    <x v="2314"/>
    <s v="EP-GPA"/>
    <n v="9005"/>
    <n v="48"/>
    <n v="40"/>
    <n v="8"/>
    <n v="39"/>
    <n v="31"/>
    <n v="8"/>
    <n v="0"/>
    <s v="After taking off, the passenger banked to the right, lost altitude, and crashed into a residential neighborhood, bursting into flames. The plane appeared to have lost an engine during the takeoff. Excessive load and malfuncioning propeller."/>
    <n v="9"/>
    <n v="0.8125"/>
    <x v="1"/>
  </r>
  <r>
    <n v="4880"/>
    <x v="4452"/>
    <x v="103"/>
    <x v="5"/>
    <d v="1899-12-30T02:44:00"/>
    <s v="Tamanraset, Algeria"/>
    <s v="Ukraine Air Alliance"/>
    <s v="Unknown"/>
    <s v="Glascow -Tamanraset - Equitorial Guinea"/>
    <x v="2219"/>
    <s v="UR-DWF"/>
    <n v="8345802"/>
    <n v="7"/>
    <n v="5"/>
    <n v="2"/>
    <n v="7"/>
    <n v="5"/>
    <n v="2"/>
    <n v="0"/>
    <s v="The cargo plane crashed in the mountainous southeastern region of Algereia, 15 km south of the airport, shortly after taking off."/>
    <n v="0"/>
    <n v="1"/>
    <x v="1"/>
  </r>
  <r>
    <n v="4881"/>
    <x v="4453"/>
    <x v="103"/>
    <x v="5"/>
    <d v="1899-12-30T19:45:00"/>
    <s v="Mwanza, Tanzania"/>
    <s v="Safari Express Cargo"/>
    <s v="Unknown"/>
    <s v="Mwanza - Nairobi"/>
    <x v="2315"/>
    <s v="5Y-SXP"/>
    <n v="10681"/>
    <n v="3"/>
    <n v="1"/>
    <n v="2"/>
    <n v="3"/>
    <n v="1"/>
    <n v="2"/>
    <n v="0"/>
    <s v="The cargo plane crashed within the borders of Serengeti National Park not far from the Kenya - Tanzania border, shortly after taking off from Mwanza."/>
    <n v="0"/>
    <n v="1"/>
    <x v="1"/>
  </r>
  <r>
    <n v="4882"/>
    <x v="4454"/>
    <x v="103"/>
    <x v="5"/>
    <d v="1899-12-30T09:35:00"/>
    <s v="Near Port Moresby, Papua New Guinea"/>
    <s v="Hevlift"/>
    <s v="Unknown"/>
    <s v="Woitape - Port Moresby"/>
    <x v="1220"/>
    <s v="P2-KSV"/>
    <n v="528"/>
    <n v="9"/>
    <n v="7"/>
    <n v="2"/>
    <n v="4"/>
    <n v="2"/>
    <n v="2"/>
    <n v="0"/>
    <s v="While approaching Port Moresby Jacksons International Airport, the unscheduled passenger plane impacted terrain near the top of Mt. Lawes, 7 miles east northeast of the airport in poor weather. The pl"/>
    <n v="5"/>
    <n v="0.44444444444444442"/>
    <x v="0"/>
  </r>
  <r>
    <n v="4883"/>
    <x v="4455"/>
    <x v="103"/>
    <x v="5"/>
    <d v="1899-12-30T01:56:00"/>
    <s v="Wichita Falls, Texas"/>
    <s v="Air Evac Lifeteam"/>
    <s v="Unknown"/>
    <s v="Waurika, OK - Wichita Falls, TX"/>
    <x v="2004"/>
    <s v="Unknown"/>
    <s v="Unknown"/>
    <n v="4"/>
    <n v="1"/>
    <n v="3"/>
    <n v="2"/>
    <n v="1"/>
    <n v="1"/>
    <n v="0"/>
    <s v="The air ambulance crashed while transporting a patient from Waurika, Oklahoma to United Regional Health Center. The patient was killed and 3 crew members injured."/>
    <n v="2"/>
    <n v="0.5"/>
    <x v="0"/>
  </r>
  <r>
    <n v="4884"/>
    <x v="4456"/>
    <x v="103"/>
    <x v="5"/>
    <d v="1899-12-30T03:00:00"/>
    <s v="Near Uvira, Congo"/>
    <s v="Air Sirin"/>
    <n v="902"/>
    <s v="Bujumbura, Burundi - Pointe Noire, Congo"/>
    <x v="1195"/>
    <s v="4L-AFS"/>
    <n v="8606"/>
    <n v="6"/>
    <n v="0"/>
    <n v="6"/>
    <n v="6"/>
    <n v="0"/>
    <n v="6"/>
    <n v="0"/>
    <s v="The cargo plane impacted a mountainside while en route."/>
    <n v="0"/>
    <n v="1"/>
    <x v="1"/>
  </r>
  <r>
    <n v="4885"/>
    <x v="4456"/>
    <x v="103"/>
    <x v="5"/>
    <d v="1899-12-30T06:18:00"/>
    <s v="Java Sea"/>
    <s v="AirAsia"/>
    <n v="8501"/>
    <s v="Surabaya - Singapore"/>
    <x v="2316"/>
    <s v="PK-AXC"/>
    <n v="3648"/>
    <n v="162"/>
    <n v="155"/>
    <n v="7"/>
    <n v="162"/>
    <n v="155"/>
    <n v="7"/>
    <n v="0"/>
    <s v="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
    <n v="0"/>
    <n v="1"/>
    <x v="1"/>
  </r>
  <r>
    <n v="4886"/>
    <x v="4457"/>
    <x v="104"/>
    <x v="5"/>
    <s v="Unknown"/>
    <s v="Near Abu adh Dhuhur Air Base, Syria"/>
    <s v="Syrian Air Force"/>
    <s v="Unknown"/>
    <s v="Damascus - Abu Adh Dhuhur"/>
    <x v="1195"/>
    <s v="Unknown"/>
    <s v="Unknown"/>
    <n v="37"/>
    <n v="35"/>
    <n v="2"/>
    <n v="37"/>
    <n v="35"/>
    <n v="2"/>
    <n v="0"/>
    <s v="The army transport crashed while attempting to land in fog after hitting electric lines. The Al Nursa front, claimed that it shot down the aircraft."/>
    <n v="0"/>
    <n v="1"/>
    <x v="1"/>
  </r>
  <r>
    <n v="4887"/>
    <x v="4458"/>
    <x v="104"/>
    <x v="5"/>
    <d v="1899-12-30T10:55:00"/>
    <s v="Taipei, Taiwan"/>
    <s v="Transasia"/>
    <n v="235"/>
    <s v="Taipei - Kinmen"/>
    <x v="2317"/>
    <s v="B-22816"/>
    <n v="1141"/>
    <n v="58"/>
    <n v="53"/>
    <n v="5"/>
    <n v="43"/>
    <n v="39"/>
    <n v="4"/>
    <n v="0"/>
    <s v="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
    <n v="15"/>
    <n v="0.74137931034482762"/>
    <x v="1"/>
  </r>
  <r>
    <n v="4888"/>
    <x v="4459"/>
    <x v="104"/>
    <x v="5"/>
    <s v="Unknown"/>
    <s v="Villa Castelli, Argenina"/>
    <s v="Private"/>
    <s v="Unknown"/>
    <s v="Unknown"/>
    <x v="45"/>
    <s v="Unknown"/>
    <s v="Unknown"/>
    <n v="10"/>
    <n v="8"/>
    <n v="2"/>
    <n v="10"/>
    <n v="8"/>
    <n v="2"/>
    <n v="0"/>
    <s v="Three French sports figures participating in a reality show were killed along with seven other people when the two helicopters filming the show collided."/>
    <n v="0"/>
    <n v="1"/>
    <x v="1"/>
  </r>
  <r>
    <n v="4889"/>
    <x v="4460"/>
    <x v="104"/>
    <x v="5"/>
    <d v="1899-12-30T10:53:00"/>
    <s v="Near Digne-Les-Bains, France"/>
    <s v="Germanwings"/>
    <n v="9525"/>
    <s v="Barcelona, Spain - Dusseldorf, Germany"/>
    <x v="1772"/>
    <s v="D-AIPX"/>
    <n v="147"/>
    <n v="150"/>
    <n v="144"/>
    <n v="6"/>
    <n v="150"/>
    <n v="144"/>
    <n v="6"/>
    <n v="0"/>
    <s v="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
    <n v="0"/>
    <n v="1"/>
    <x v="1"/>
  </r>
  <r>
    <n v="4890"/>
    <x v="4461"/>
    <x v="104"/>
    <x v="5"/>
    <d v="1899-12-30T13:43:00"/>
    <s v="Ella Lake, Alaska"/>
    <s v="Promech Air"/>
    <s v="Unknown"/>
    <s v="Sightseeing"/>
    <x v="2318"/>
    <s v="N270PA"/>
    <n v="270"/>
    <n v="9"/>
    <n v="8"/>
    <n v="1"/>
    <n v="9"/>
    <n v="8"/>
    <n v="1"/>
    <n v="0"/>
    <s v="The Twin Otter crashed while on a sightseeing tour carrying cruise ship passengers. The plane impacted a granite rock face cliff near Ella Lake, about 25 miles northeast of Ketchikan."/>
    <n v="0"/>
    <n v="1"/>
    <x v="1"/>
  </r>
  <r>
    <n v="4891"/>
    <x v="4462"/>
    <x v="104"/>
    <x v="5"/>
    <d v="1899-12-30T11:48:00"/>
    <s v="Medan, Indonesia"/>
    <s v="Military - Indonesian Air Force"/>
    <s v="Unknown"/>
    <s v="Medan - Tanjung Pinang, Sumatra."/>
    <x v="2319"/>
    <s v="A-1310"/>
    <n v="3616"/>
    <n v="122"/>
    <n v="110"/>
    <n v="12"/>
    <n v="122"/>
    <n v="110"/>
    <n v="12"/>
    <n v="19"/>
    <s v="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
    <n v="0"/>
    <n v="1"/>
    <x v="1"/>
  </r>
  <r>
    <n v="4892"/>
    <x v="4463"/>
    <x v="104"/>
    <x v="5"/>
    <s v="Unknown"/>
    <s v="Near Agustin Codazzi, Colombia"/>
    <s v="Military - Colombia Air Force"/>
    <s v="Unknown"/>
    <s v="Palanquero AB -Valledupar"/>
    <x v="2320"/>
    <s v="FAC1261"/>
    <s v="C-118"/>
    <n v="11"/>
    <n v="0"/>
    <n v="11"/>
    <n v="11"/>
    <n v="0"/>
    <n v="11"/>
    <n v="0"/>
    <s v="The military transport crashed while en route after the crew reported engine problems. The weather was reported to be poor at the time of the crash."/>
    <n v="0"/>
    <n v="1"/>
    <x v="1"/>
  </r>
  <r>
    <n v="4893"/>
    <x v="4464"/>
    <x v="104"/>
    <x v="5"/>
    <d v="1899-12-30T08:45:00"/>
    <s v="Ninia, Indonesia"/>
    <s v="Komala Air"/>
    <s v="Unknown"/>
    <s v="Wamena - Ninia"/>
    <x v="2321"/>
    <s v="PK-KIG"/>
    <s v="650-0151"/>
    <n v="6"/>
    <n v="4"/>
    <n v="2"/>
    <n v="1"/>
    <n v="0"/>
    <n v="1"/>
    <n v="0"/>
    <s v="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
    <n v="5"/>
    <n v="0.16666666666666666"/>
    <x v="2"/>
  </r>
  <r>
    <n v="4894"/>
    <x v="4465"/>
    <x v="104"/>
    <x v="5"/>
    <d v="1899-12-30T14:55:00"/>
    <s v="Tangok mountain, Papua"/>
    <s v="Trigana Air Service"/>
    <n v="267"/>
    <s v="Jayapura- Oksibil"/>
    <x v="2038"/>
    <s v="PK-YRN"/>
    <n v="102"/>
    <n v="54"/>
    <n v="49"/>
    <n v="5"/>
    <n v="54"/>
    <n v="49"/>
    <n v="5"/>
    <n v="0"/>
    <s v="The passenger plane crashed into Tangok mountain located in a remote area of Papua's eastern most provence. There was no distress call from the aircraft. High winds and heavy rain was reported in the accident area."/>
    <n v="0"/>
    <n v="1"/>
    <x v="1"/>
  </r>
  <r>
    <n v="4895"/>
    <x v="4466"/>
    <x v="104"/>
    <x v="5"/>
    <d v="1899-12-30T19:08:00"/>
    <s v="Off Dakar, Near Dioubel, Senegal"/>
    <s v="Senegalair"/>
    <n v="71"/>
    <s v="Ouagadougou - Dakar"/>
    <x v="1927"/>
    <s v="6V-AIM"/>
    <n v="257062"/>
    <n v="7"/>
    <n v="5"/>
    <n v="2"/>
    <n v="7"/>
    <n v="2"/>
    <n v="5"/>
    <n v="0"/>
    <s v="The air ambulance went missing while on a medical flight. Seven people were on board, including two pilots from Algeria, a flight engineer from Congo, three Senegalese medical crew and a French patient."/>
    <n v="0"/>
    <n v="1"/>
    <x v="1"/>
  </r>
  <r>
    <n v="4896"/>
    <x v="4467"/>
    <x v="104"/>
    <x v="5"/>
    <d v="1899-12-30T06:24:00"/>
    <s v="Iliamna East Wind Lake, Alaska"/>
    <s v="Rainbow King Lodge"/>
    <s v="Unknown"/>
    <s v="Iliamna - Remote lake"/>
    <x v="2322"/>
    <s v="N928PK"/>
    <n v="61"/>
    <n v="7"/>
    <n v="6"/>
    <n v="1"/>
    <n v="3"/>
    <n v="3"/>
    <n v="0"/>
    <n v="0"/>
    <s v="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
    <n v="4"/>
    <n v="0.42857142857142855"/>
    <x v="0"/>
  </r>
  <r>
    <n v="4897"/>
    <x v="4468"/>
    <x v="104"/>
    <x v="5"/>
    <d v="1899-12-30T00:19:00"/>
    <s v="Jalalabad, Afghanistan"/>
    <s v="Military - U.S. Army"/>
    <s v="Unknown"/>
    <s v="Jalalabad - Bagram"/>
    <x v="2323"/>
    <d v="3174-08-01T00:00:00"/>
    <n v="5648"/>
    <n v="11"/>
    <n v="5"/>
    <n v="6"/>
    <n v="11"/>
    <n v="5"/>
    <n v="6"/>
    <n v="2"/>
    <s v="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
    <n v="0"/>
    <n v="1"/>
    <x v="1"/>
  </r>
  <r>
    <n v="4898"/>
    <x v="4468"/>
    <x v="104"/>
    <x v="5"/>
    <d v="1899-12-30T14:29:00"/>
    <s v="Near Masamba, Indonesia"/>
    <s v="Avistar MandariÂ "/>
    <n v="7503"/>
    <s v="Masamba - Makassar"/>
    <x v="2324"/>
    <s v="PK-BRM"/>
    <n v="741"/>
    <n v="10"/>
    <n v="7"/>
    <n v="3"/>
    <n v="10"/>
    <n v="7"/>
    <n v="3"/>
    <n v="0"/>
    <s v="The aircraft went missing minutes after talking off from the airport. Seven passengers and three crew were on board. Wreckage was located on Mount Latimojong."/>
    <n v="0"/>
    <n v="1"/>
    <x v="1"/>
  </r>
  <r>
    <n v="4899"/>
    <x v="4469"/>
    <x v="104"/>
    <x v="5"/>
    <d v="1899-12-30T08:30:00"/>
    <s v="Near Ilaga, Indonesia"/>
    <s v="Trigana Air Service"/>
    <s v="Unknown"/>
    <s v="Timik - Ilaga"/>
    <x v="2325"/>
    <s v="PK-SWW"/>
    <n v="303"/>
    <n v="4"/>
    <n v="0"/>
    <n v="4"/>
    <n v="4"/>
    <n v="0"/>
    <n v="4"/>
    <n v="0"/>
    <s v="The cargo plane carrying construction materials, hit the slope of a mountain in Iiaga Pass, 12 km south of Ilaga airport and disintegrated upon impact."/>
    <n v="0"/>
    <n v="1"/>
    <x v="1"/>
  </r>
  <r>
    <n v="4900"/>
    <x v="4469"/>
    <x v="104"/>
    <x v="5"/>
    <d v="1899-12-30T06:13:00"/>
    <s v="Near Hasna, Egypt"/>
    <s v="Metrojet"/>
    <n v="9268"/>
    <s v="Sharem el Sheikh - St. Petersburg"/>
    <x v="2238"/>
    <s v="EI-ETJ"/>
    <n v="663"/>
    <n v="224"/>
    <n v="217"/>
    <n v="7"/>
    <n v="224"/>
    <n v="217"/>
    <n v="7"/>
    <n v="0"/>
    <s v="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
    <n v="0"/>
    <n v="1"/>
    <x v="1"/>
  </r>
  <r>
    <n v="4901"/>
    <x v="4470"/>
    <x v="104"/>
    <x v="5"/>
    <d v="1899-12-30T09:00:00"/>
    <s v="Juba, South Sudan"/>
    <s v="Allied Services LimitedÂ "/>
    <s v="Unknown"/>
    <s v="Juba - Paloich"/>
    <x v="1731"/>
    <s v="EY-406Â "/>
    <n v="1347704"/>
    <n v="43"/>
    <n v="38"/>
    <n v="5"/>
    <n v="41"/>
    <n v="37"/>
    <n v="4"/>
    <n v="0"/>
    <s v="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
    <n v="2"/>
    <n v="0.95348837209302328"/>
    <x v="1"/>
  </r>
  <r>
    <n v="4902"/>
    <x v="4471"/>
    <x v="104"/>
    <x v="5"/>
    <d v="1899-12-30T11:55:00"/>
    <s v="  Fox Glacier, South Valley, New Zealand"/>
    <s v="Alpine Adventures"/>
    <s v="Unknown"/>
    <s v="Sightseeing"/>
    <x v="2326"/>
    <s v="ZK-HKU"/>
    <n v="1132"/>
    <n v="7"/>
    <n v="6"/>
    <n v="1"/>
    <n v="7"/>
    <n v="6"/>
    <n v="1"/>
    <n v="0"/>
    <s v="The sightseeing helicopter crashed into a crevasse on Fox Glacier. The wreckage site was 2, 500 feet up the valley with debris scattered across hundreds of feet."/>
    <n v="0"/>
    <n v="1"/>
    <x v="1"/>
  </r>
  <r>
    <n v="4903"/>
    <x v="4472"/>
    <x v="104"/>
    <x v="5"/>
    <d v="1899-12-30T10:15:00"/>
    <s v="Near Igarka, Russia"/>
    <s v="Turuhan Avia"/>
    <s v="Unknown"/>
    <s v="Igarka - Krasnyi Selkub"/>
    <x v="1692"/>
    <s v="RA-2561"/>
    <s v="98206821/59"/>
    <n v="26"/>
    <n v="22"/>
    <n v="4"/>
    <n v="15"/>
    <n v="13"/>
    <n v="2"/>
    <n v="0"/>
    <s v="Contact with the helicopter, which was heading to an oil pumping station, was lost 15 minutes after taking off. One of the pilots and a mechanic were among the crew members killed."/>
    <n v="11"/>
    <n v="0.57692307692307687"/>
    <x v="0"/>
  </r>
  <r>
    <n v="4904"/>
    <x v="4473"/>
    <x v="105"/>
    <x v="5"/>
    <d v="1899-12-30T00:20:00"/>
    <s v="Akkajaure Lake, Norrbotten, Sweden"/>
    <s v="West Air Sweden"/>
    <n v="294"/>
    <s v="Oslo - TromsÃ¸"/>
    <x v="2327"/>
    <s v="SE-DUX"/>
    <n v="7010"/>
    <n v="2"/>
    <n v="0"/>
    <n v="2"/>
    <n v="2"/>
    <n v="0"/>
    <n v="2"/>
    <n v="0"/>
    <s v="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quot;declutter&quot; mode, which among other things removed the indication that the two pilots' instruments were conflicting."/>
    <n v="0"/>
    <n v="1"/>
    <x v="1"/>
  </r>
  <r>
    <n v="4905"/>
    <x v="4474"/>
    <x v="105"/>
    <x v="5"/>
    <s v="Unknown"/>
    <s v=" Near Mogadishu, Somalia"/>
    <s v="Daallo Airlines"/>
    <n v="3159"/>
    <s v="Mogadishu - Djibouti"/>
    <x v="2328"/>
    <s v="SX-BHS"/>
    <n v="642"/>
    <n v="72"/>
    <n v="72"/>
    <s v="NULL"/>
    <n v="1"/>
    <n v="1"/>
    <s v="NULL"/>
    <n v="0"/>
    <s v="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
    <n v="71"/>
    <n v="1.3888888888888888E-2"/>
    <x v="2"/>
  </r>
  <r>
    <n v="4906"/>
    <x v="4475"/>
    <x v="105"/>
    <x v="5"/>
    <d v="1899-12-30T08:15:00"/>
    <s v="Dana, Nepal"/>
    <s v="Tara Air"/>
    <n v="193"/>
    <s v=" Pokhara - Jomsom"/>
    <x v="2329"/>
    <s v="9N-AHH"/>
    <n v="926"/>
    <n v="23"/>
    <n v="20"/>
    <n v="3"/>
    <n v="23"/>
    <n v="20"/>
    <n v="3"/>
    <n v="0"/>
    <s v="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
    <n v="0"/>
    <n v="1"/>
    <x v="1"/>
  </r>
  <r>
    <n v="4907"/>
    <x v="4476"/>
    <x v="105"/>
    <x v="5"/>
    <s v="Unknown"/>
    <s v="250 miles northwest of Kathmandu, Nepal"/>
    <s v="Kasthamandap Airlines"/>
    <s v="Unknown"/>
    <s v="Nepalganj - Jumla"/>
    <x v="2330"/>
    <s v="9N-AJB"/>
    <n v="160"/>
    <n v="11"/>
    <n v="9"/>
    <n v="2"/>
    <n v="2"/>
    <n v="0"/>
    <n v="2"/>
    <n v="0"/>
    <s v="The plane went into a steep descent and crashed onto a field in the mountains of the Kalikot district. The plane was reported to be trying to make an emergency landing. Both the pilot and copilot were killed and nine passengers were injured."/>
    <n v="9"/>
    <n v="0.18181818181818182"/>
    <x v="2"/>
  </r>
  <r>
    <n v="4908"/>
    <x v="4477"/>
    <x v="105"/>
    <x v="5"/>
    <d v="1899-12-30T09:05:00"/>
    <s v="Cox's Bazar, Bangladesh"/>
    <s v="True Aviation Ltd."/>
    <s v="Unknown"/>
    <s v="Cox's Bazar - Jessore"/>
    <x v="2331"/>
    <s v="S2-AGZ"/>
    <n v="13408"/>
    <n v="4"/>
    <n v="0"/>
    <n v="4"/>
    <n v="3"/>
    <n v="0"/>
    <n v="3"/>
    <n v="0"/>
    <s v="The cargo plane, carrying shrimp, crashed less than 5 minutes after taking off from Cox's Bazar Airport. The pilot declaired an emergency and tried to return to the airport but crashed into the shallow waters of the Bay of Bengal just offshore."/>
    <n v="1"/>
    <n v="0.75"/>
    <x v="1"/>
  </r>
  <r>
    <n v="4909"/>
    <x v="4478"/>
    <x v="105"/>
    <x v="5"/>
    <d v="1899-12-30T14:30:00"/>
    <s v="Fatima Pastaza, Ecuador"/>
    <s v="Military - Ecuador Army"/>
    <s v="Unknown"/>
    <s v="Training"/>
    <x v="2332"/>
    <s v="E-206"/>
    <n v="90"/>
    <n v="22"/>
    <n v="19"/>
    <n v="3"/>
    <n v="22"/>
    <n v="19"/>
    <n v="3"/>
    <n v="0"/>
    <s v="The crew was conducting sky diving exercises when, an hour into the flight they radioed they were returning to base due to deuterating weather conditions. Shortly thereafter the plane went out of control and crashed in a wooded area. Nineteen passengers and the 3 pilots were killed."/>
    <n v="0"/>
    <n v="1"/>
    <x v="1"/>
  </r>
  <r>
    <n v="4910"/>
    <x v="4479"/>
    <x v="105"/>
    <x v="5"/>
    <d v="1899-12-30T03:41:00"/>
    <s v="_x0009_Rostov-on-Don, Russia"/>
    <s v="Flydubai"/>
    <n v="981"/>
    <s v="Dubai - Rostov"/>
    <x v="2333"/>
    <s v="A6-FDN"/>
    <s v="40241/3517"/>
    <n v="62"/>
    <n v="55"/>
    <n v="7"/>
    <n v="62"/>
    <n v="55"/>
    <n v="7"/>
    <n v="0"/>
    <s v="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n v="0"/>
    <n v="1"/>
    <x v="1"/>
  </r>
  <r>
    <n v="4911"/>
    <x v="4480"/>
    <x v="105"/>
    <x v="5"/>
    <d v="1899-12-30T11:40:00"/>
    <s v="Magdelen Islands, Quebec, Canada"/>
    <s v="Marquise Aviation Corp."/>
    <s v="Unknown"/>
    <s v="Montreal - Iles-de-la-Magdelen"/>
    <x v="2334"/>
    <s v="N246W"/>
    <s v="1552S-A"/>
    <n v="7"/>
    <n v="5"/>
    <n v="2"/>
    <n v="7"/>
    <n v="5"/>
    <n v="2"/>
    <n v="0"/>
    <s v="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
    <n v="0"/>
    <n v="1"/>
    <x v="1"/>
  </r>
  <r>
    <n v="4912"/>
    <x v="4481"/>
    <x v="105"/>
    <x v="5"/>
    <d v="1899-12-30T15:30:00"/>
    <s v="Near Pigeon Forge, Tennessee"/>
    <s v="Smoky Mountain Helicopters"/>
    <s v="Unknown"/>
    <s v="Sightseeing"/>
    <x v="2004"/>
    <s v="N16760"/>
    <n v="45081"/>
    <n v="5"/>
    <n v="4"/>
    <n v="1"/>
    <n v="5"/>
    <n v="4"/>
    <n v="1"/>
    <n v="0"/>
    <s v="The helicopter crashed in a wooded hillside while on a sightseeing flight.."/>
    <n v="0"/>
    <n v="1"/>
    <x v="1"/>
  </r>
  <r>
    <n v="4913"/>
    <x v="4482"/>
    <x v="105"/>
    <x v="5"/>
    <d v="1899-12-30T14:20:00"/>
    <s v="Kiunga, Papua New Guinea"/>
    <s v="Sunbird Aviation"/>
    <s v="Unknown"/>
    <s v="Oksapmin - Kiungaraining"/>
    <x v="2335"/>
    <s v="P2-SBC"/>
    <n v="3010"/>
    <n v="12"/>
    <n v="11"/>
    <n v="1"/>
    <n v="12"/>
    <n v="11"/>
    <n v="1"/>
    <n v="0"/>
    <s v="While on approach, the plane stalled and crased in a wooded area 1 km short of the runway. The accident took place in stormy weather.Three survived, but later died of their injuries. Possible engine failure."/>
    <n v="0"/>
    <n v="1"/>
    <x v="1"/>
  </r>
  <r>
    <n v="4914"/>
    <x v="4483"/>
    <x v="105"/>
    <x v="5"/>
    <d v="1899-12-30T11:50:00"/>
    <s v="Sorta, Norway"/>
    <s v="_x0009_CHC Helikopter Service"/>
    <s v="Unknown"/>
    <s v="Gullfflex B - Bergen"/>
    <x v="2336"/>
    <s v=" _x0009_LN-OJF"/>
    <n v="2721"/>
    <n v="13"/>
    <n v="11"/>
    <n v="2"/>
    <n v="13"/>
    <n v="11"/>
    <n v="2"/>
    <n v="0"/>
    <s v="The helicopter crashed on the rocky shores of Tuoy Island whle returning to Bergen from Oil platform Gullflex B. All 11 passengers and 2 pilots were killed. A video taken by an eyewitness shows the main rotor separating from the helicopter before it crashed."/>
    <n v="0"/>
    <n v="1"/>
    <x v="1"/>
  </r>
  <r>
    <n v="4915"/>
    <x v="4484"/>
    <x v="105"/>
    <x v="5"/>
    <d v="1899-12-30T02:49:00"/>
    <s v="175 miles off the Egyptian coast"/>
    <s v="EgyptAir"/>
    <n v="804"/>
    <s v="Paris - Cairo"/>
    <x v="2201"/>
    <s v="SU-GCC"/>
    <n v="2088"/>
    <n v="66"/>
    <n v="56"/>
    <n v="10"/>
    <n v="66"/>
    <n v="56"/>
    <n v="10"/>
    <n v="0"/>
    <s v="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
    <n v="0"/>
    <n v="1"/>
    <x v="1"/>
  </r>
  <r>
    <n v="4916"/>
    <x v="4485"/>
    <x v="105"/>
    <x v="5"/>
    <s v="Unknown"/>
    <s v="Bay of Bengal, Indian Ocean"/>
    <s v="Indian Air Force"/>
    <s v="Unknown"/>
    <s v="Chennai (Tambram AFB) - Port Blair"/>
    <x v="1743"/>
    <s v="K2743"/>
    <n v="809"/>
    <n v="29"/>
    <n v="23"/>
    <n v="6"/>
    <n v="29"/>
    <n v="23"/>
    <n v="6"/>
    <n v="0"/>
    <s v="The aircraft was taking part in fire fighting in the region of Bayanday, when under unknown circumstances, it impact trees and crashed in a wooded area."/>
    <n v="0"/>
    <n v="1"/>
    <x v="1"/>
  </r>
  <r>
    <n v="4917"/>
    <x v="4486"/>
    <x v="105"/>
    <x v="5"/>
    <d v="1899-12-30T07:42:00"/>
    <s v="Near Lockhart, Texas"/>
    <s v="Heart of Texas Hot Air Balloon Rides"/>
    <s v="Unknown"/>
    <s v="Sightseeing Fentress Airpark"/>
    <x v="2337"/>
    <s v="N2469L"/>
    <s v="Unknown"/>
    <n v="16"/>
    <n v="15"/>
    <n v="1"/>
    <n v="16"/>
    <n v="15"/>
    <n v="1"/>
    <s v="NULL"/>
    <s v="The hot air balloon struck power lines and crashed in a field. The pilot was likely impaired by opioids and sedatives when he ignored weather warnings and flew the ride into a power line."/>
    <n v="0"/>
    <n v="1"/>
    <x v="1"/>
  </r>
  <r>
    <n v="4918"/>
    <x v="4487"/>
    <x v="105"/>
    <x v="5"/>
    <d v="1899-12-30T12:38:00"/>
    <s v="Dubai, United Arab Emirates"/>
    <s v="Emirates"/>
    <n v="521"/>
    <s v="Thiruvanthapuram, India - Dubai, UAE"/>
    <x v="2338"/>
    <s v="A6-EMW"/>
    <s v="32700/434"/>
    <n v="300"/>
    <n v="282"/>
    <n v="18"/>
    <n v="0"/>
    <n v="0"/>
    <n v="0"/>
    <n v="1"/>
    <s v="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
    <n v="300"/>
    <n v="0"/>
    <x v="2"/>
  </r>
  <r>
    <n v="4919"/>
    <x v="4488"/>
    <x v="105"/>
    <x v="5"/>
    <d v="1899-12-30T11:00:00"/>
    <s v="Russian Mission, Alaksa"/>
    <s v="Hageland Aviiation"/>
    <n v="3190"/>
    <s v="_x0009_Russian Mission- Marshall"/>
    <x v="2339"/>
    <s v="_x0009_N752RV"/>
    <s v="208B5088"/>
    <n v="5"/>
    <n v="4"/>
    <n v="1"/>
    <n v="5"/>
    <n v="4"/>
    <n v="1"/>
    <n v="0"/>
    <s v="A midair collision occurred between a Cessna 208 and a Piper PA-18 Super Cub just northwest of Russian Mission Airport. Three on the Cessna and 2 on the Piper were fatally injured. Rough terrain complicated removal of the victims."/>
    <n v="0"/>
    <n v="1"/>
    <x v="1"/>
  </r>
  <r>
    <n v="4920"/>
    <x v="4489"/>
    <x v="105"/>
    <x v="5"/>
    <d v="1899-12-30T07:20:00"/>
    <s v="Malta International Airport"/>
    <s v="AE Aviation"/>
    <s v="Unknown"/>
    <s v="Malta-Luqa - Malta-Luga"/>
    <x v="2340"/>
    <s v="N577MX"/>
    <s v="AT-577"/>
    <n v="5"/>
    <n v="3"/>
    <n v="2"/>
    <n v="5"/>
    <n v="3"/>
    <n v="2"/>
    <n v="0"/>
    <s v="Shortly after taking off, the plane banked to the right, lost altitude and impacted the ground just past the airport. French ministry officials on board were attempting to trace routes of illicit trafficking both human and drug, leaving Libya."/>
    <n v="0"/>
    <n v="1"/>
    <x v="1"/>
  </r>
  <r>
    <n v="4921"/>
    <x v="4490"/>
    <x v="105"/>
    <x v="5"/>
    <d v="1899-12-30T22:00:00"/>
    <s v="Near La Union, Colombia"/>
    <s v="LAMIA Bolivia"/>
    <n v="2933"/>
    <s v="Santa Cruz, Bolivia - Medellin,Colombia"/>
    <x v="2341"/>
    <s v="CP-2933"/>
    <s v="E-2348"/>
    <n v="77"/>
    <n v="68"/>
    <n v="9"/>
    <n v="71"/>
    <n v="64"/>
    <n v="7"/>
    <n v="0"/>
    <s v="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
    <n v="6"/>
    <n v="0.92207792207792205"/>
    <x v="1"/>
  </r>
  <r>
    <n v="4922"/>
    <x v="4491"/>
    <x v="105"/>
    <x v="5"/>
    <d v="1899-12-30T11:22:00"/>
    <s v="Near Tanjung Pinanga, Indonesia"/>
    <s v="Indonesian Police"/>
    <s v="Unknown"/>
    <s v="Pangkal Pinang - Batam Island"/>
    <x v="2342"/>
    <s v="P-4201"/>
    <s v="Unknown"/>
    <n v="13"/>
    <n v="8"/>
    <n v="5"/>
    <n v="13"/>
    <n v="8"/>
    <n v="5"/>
    <n v="0"/>
    <s v="The Indonesian police aircraft crashed in the waters off Kabupaten Lingga, Riau Islands during a 1.5 hour scheduled flight."/>
    <n v="0"/>
    <n v="1"/>
    <x v="1"/>
  </r>
  <r>
    <n v="4923"/>
    <x v="4492"/>
    <x v="105"/>
    <x v="5"/>
    <d v="1899-12-30T16:20:00"/>
    <s v="Near Havlien, Pakistan"/>
    <s v="Pakistan International Airlines"/>
    <n v="661"/>
    <s v="Chitral - Islamabad"/>
    <x v="2343"/>
    <s v="AP-BHO"/>
    <n v="663"/>
    <n v="48"/>
    <n v="42"/>
    <n v="6"/>
    <n v="48"/>
    <n v="42"/>
    <n v="6"/>
    <n v="0"/>
    <s v="While en route, the crew made a mayday call reporting they lost one of two engines. Contact was lost and the plane soon after crashed into mountains near Abbottabad and Havelian."/>
    <n v="0"/>
    <n v="1"/>
    <x v="1"/>
  </r>
  <r>
    <n v="4924"/>
    <x v="4493"/>
    <x v="105"/>
    <x v="5"/>
    <d v="1899-12-30T06:10:00"/>
    <s v="Near Wamena, Papua, Indonesia"/>
    <s v="Indonesian Air Force"/>
    <s v="Unknown"/>
    <s v="Timika - Warmera"/>
    <x v="2344"/>
    <s v="  _x0009_A-1134"/>
    <n v="4785"/>
    <n v="13"/>
    <n v="10"/>
    <n v="3"/>
    <n v="13"/>
    <n v="10"/>
    <n v="3"/>
    <n v="0"/>
    <s v="The military plane crashed into mountainous terrain in an eastern section of the country while attempting to land at Warmera."/>
    <n v="0"/>
    <n v="1"/>
    <x v="1"/>
  </r>
  <r>
    <n v="4925"/>
    <x v="4494"/>
    <x v="105"/>
    <x v="5"/>
    <d v="1899-12-30T17:23:00"/>
    <s v="Puerto Carreno, Colombia"/>
    <s v="Aerosucre Colombia"/>
    <s v="Unknown"/>
    <s v="Puerto Carreno - Bogota"/>
    <x v="2345"/>
    <s v="HK-4544"/>
    <s v="21105/1158"/>
    <n v="6"/>
    <n v="0"/>
    <n v="6"/>
    <n v="5"/>
    <n v="0"/>
    <n v="5"/>
    <n v="0"/>
    <s v="After taking off on runway 24, the cargo jet failed to lift off properly, just cleared the perimeter fence, became airborne, turned to the right, lost altitude and crashed in an open field. One engine suffered a flame-out."/>
    <n v="1"/>
    <n v="0.83333333333333337"/>
    <x v="1"/>
  </r>
  <r>
    <n v="4926"/>
    <x v="4495"/>
    <x v="105"/>
    <x v="5"/>
    <d v="1899-12-30T05:27:00"/>
    <s v="Near Adar, Russia"/>
    <s v="Russian Air Force"/>
    <s v="Unknown"/>
    <s v="Chkalovsky AB -Ader - Latakia"/>
    <x v="2093"/>
    <s v="RA-85572"/>
    <s v="83A-572"/>
    <n v="92"/>
    <n v="84"/>
    <n v="8"/>
    <n v="92"/>
    <n v="84"/>
    <n v="8"/>
    <n v="0"/>
    <s v="The plane, carrying the Alexandrov Emsemble choir, reporters and service men, made a climbout out of Ader, turned back towards the coastline and crashed into the waters of the Black Sea about a mile offshore."/>
    <n v="0"/>
    <n v="1"/>
    <x v="1"/>
  </r>
  <r>
    <n v="4927"/>
    <x v="4496"/>
    <x v="106"/>
    <x v="5"/>
    <d v="1899-12-30T07:19:00"/>
    <s v="Bishkek, Kyrgyzstan"/>
    <s v="My Cargo Airlines (ACT Airlines)"/>
    <n v="6491"/>
    <s v="Hong Kong - Bishkek - Istanbul"/>
    <x v="2346"/>
    <s v="TC-MCL"/>
    <s v="32897/1322"/>
    <n v="4"/>
    <n v="0"/>
    <n v="4"/>
    <n v="4"/>
    <n v="0"/>
    <n v="4"/>
    <n v="35"/>
    <s v="While approaching Bishkek for a fuel stop, the cargo plane crashed past the end of the runway destroying 23 houses. The weather at the time of the accident was freezing fog."/>
    <n v="0"/>
    <n v="1"/>
    <x v="1"/>
  </r>
  <r>
    <n v="4928"/>
    <x v="4497"/>
    <x v="106"/>
    <x v="5"/>
    <d v="1899-12-30T09:00:00"/>
    <s v="Melbourne, Victoria, Australia"/>
    <s v="Australian Corporate Jet Centres PTY. LTD"/>
    <s v="Unknown"/>
    <s v="Melbournen - King Island"/>
    <x v="2347"/>
    <s v="VH-ZCRÂ "/>
    <s v="BB1544"/>
    <n v="5"/>
    <n v="4"/>
    <n v="1"/>
    <n v="5"/>
    <n v="4"/>
    <n v="1"/>
    <n v="0"/>
    <s v="The charter flight was just seconds into it's flight when it was observed flying low, before it nose diving into a building at a shopping center and bursting into flames. The pilot made two mayday calls before the aircraft crashed. It is reported the plane suffered engine failure."/>
    <n v="0"/>
    <n v="1"/>
    <x v="1"/>
  </r>
  <r>
    <n v="4929"/>
    <x v="4498"/>
    <x v="106"/>
    <x v="5"/>
    <d v="1899-12-30T11:20:00"/>
    <s v="Istanbul, Turkey"/>
    <s v="Swan Aviation"/>
    <s v="Unknown"/>
    <s v="Istanbul - Bozuyuk"/>
    <x v="2124"/>
    <s v="TC-HEZ"/>
    <n v="760717"/>
    <n v="7"/>
    <n v="5"/>
    <n v="2"/>
    <n v="7"/>
    <n v="5"/>
    <n v="2"/>
    <n v="0"/>
    <s v="The helicopter crashed on a highway after hitting a TV tower, six minutes after taking off. The helicopter was carrying an executive of the Eczacibasi group of companies, four of his Russian guests and two pilots."/>
    <n v="0"/>
    <n v="1"/>
    <x v="1"/>
  </r>
  <r>
    <n v="4930"/>
    <x v="4499"/>
    <x v="106"/>
    <x v="5"/>
    <d v="1899-12-30T08:15:00"/>
    <s v="Mautaer, Zimbabwe"/>
    <s v="ETA Air Charter"/>
    <s v="Unknown"/>
    <s v="Beira, Mozambique - Harare, Zimbabwe"/>
    <x v="2348"/>
    <s v="C9-AOV"/>
    <n v="24"/>
    <n v="6"/>
    <n v="4"/>
    <n v="2"/>
    <n v="6"/>
    <n v="4"/>
    <n v="2"/>
    <n v="0"/>
    <s v="While en route the air transport plane collided with Mount Vumba in poor weather conditions."/>
    <n v="0"/>
    <n v="1"/>
    <x v="1"/>
  </r>
  <r>
    <n v="4931"/>
    <x v="4500"/>
    <x v="106"/>
    <x v="5"/>
    <d v="1899-12-30T06:53:00"/>
    <s v="Charleston, West Virginia"/>
    <s v="Air Cargo Carriers"/>
    <s v="Unknown"/>
    <s v="Louisville - Charleston"/>
    <x v="2349"/>
    <s v="N334AC"/>
    <s v="SH-3029"/>
    <n v="2"/>
    <n v="0"/>
    <n v="2"/>
    <n v="2"/>
    <n v="0"/>
    <n v="2"/>
    <n v="0"/>
    <s v="The cargo plane was destroyed when it crashed while attempting to land on runway 05 at Charleston Yeager Airport. After touching down hard, the aircraft when off the left side of the runway and fell into a wooded ravine."/>
    <n v="0"/>
    <n v="1"/>
    <x v="1"/>
  </r>
  <r>
    <n v="4932"/>
    <x v="4501"/>
    <x v="106"/>
    <x v="5"/>
    <d v="1899-12-30T14:02:00"/>
    <s v="Tenzing, Nepal"/>
    <s v="Summit Air"/>
    <n v="409"/>
    <s v="Unknown"/>
    <x v="2350"/>
    <s v="9N-AKY"/>
    <n v="2917"/>
    <n v="3"/>
    <n v="0"/>
    <n v="3"/>
    <n v="2"/>
    <n v="0"/>
    <n v="2"/>
    <n v="0"/>
    <s v="The cargo plane crashed short of the runway threshhold whille attempting to land at Lukla-Tenzing Airport, coming to rest on a steep wooded area close to the airport perimeter fence. Both the pilot and copilot were killed."/>
    <n v="1"/>
    <n v="0.66666666666666663"/>
    <x v="1"/>
  </r>
  <r>
    <n v="4933"/>
    <x v="4502"/>
    <x v="106"/>
    <x v="5"/>
    <d v="1899-12-30T13:35:00"/>
    <s v="Off Dawei, Myanmar"/>
    <s v="Military - Myanmar Air Force"/>
    <s v="Unknown"/>
    <s v="Myeik - Yangon"/>
    <x v="2351"/>
    <n v="5820"/>
    <s v="Unknown"/>
    <n v="122"/>
    <n v="108"/>
    <n v="14"/>
    <n v="122"/>
    <n v="108"/>
    <n v="14"/>
    <n v="0"/>
    <s v="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
    <n v="0"/>
    <n v="1"/>
    <x v="1"/>
  </r>
  <r>
    <n v="4934"/>
    <x v="4503"/>
    <x v="106"/>
    <x v="5"/>
    <d v="1899-12-30T10:15:00"/>
    <s v="Mount Gambier, South Australia"/>
    <s v="Angel Flight"/>
    <s v="Unknown"/>
    <s v="Suttontown - Adelaide"/>
    <x v="2352"/>
    <s v="VH-YTM"/>
    <n v="1518"/>
    <n v="3"/>
    <n v="2"/>
    <n v="1"/>
    <n v="3"/>
    <n v="2"/>
    <n v="1"/>
    <n v="0"/>
    <s v="The medical flight crashed 3 km south of Mount Gambier Airport in heavy fog. The plane had just taken off and was bound for Adelaide with a patient and her daughter. Angel Flight is used to help people in rural areas access medical treatment."/>
    <n v="0"/>
    <n v="1"/>
    <x v="1"/>
  </r>
  <r>
    <n v="4935"/>
    <x v="4504"/>
    <x v="106"/>
    <x v="5"/>
    <d v="1899-12-30T16:00:00"/>
    <s v="Near Itta Bena, Mississipi"/>
    <s v="USMC"/>
    <s v="Unknown"/>
    <s v="Cherry Point, NC - El Centro, CA"/>
    <x v="2353"/>
    <n v="165000"/>
    <s v="382-5303"/>
    <n v="16"/>
    <n v="14"/>
    <n v="2"/>
    <n v="16"/>
    <n v="14"/>
    <n v="2"/>
    <n v="0"/>
    <s v="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
    <n v="0"/>
    <n v="1"/>
    <x v="1"/>
  </r>
  <r>
    <n v="4936"/>
    <x v="4505"/>
    <x v="106"/>
    <x v="5"/>
    <d v="1899-12-30T07:30:00"/>
    <s v="Near Kinshasa, Congo"/>
    <s v="Air Force of the Democratic Republic of the Congo"/>
    <s v="Unknown"/>
    <s v="Kinshasa, - Bunia"/>
    <x v="1160"/>
    <s v="EX-001"/>
    <n v="5343606"/>
    <n v="8"/>
    <n v="5"/>
    <n v="3"/>
    <n v="8"/>
    <n v="5"/>
    <n v="3"/>
    <n v="0"/>
    <s v="The aircraft departed Kinshasa and crashed about 20 km NE of Kinshasa."/>
    <n v="0"/>
    <n v="1"/>
    <x v="1"/>
  </r>
  <r>
    <n v="4937"/>
    <x v="4506"/>
    <x v="106"/>
    <x v="5"/>
    <d v="1899-12-30T17:15:00"/>
    <s v="Near CuÃ­lo, Angola"/>
    <s v="Guicango"/>
    <s v="Unknown"/>
    <s v="Dundo - Luanda"/>
    <x v="2354"/>
    <s v="D2-FDO"/>
    <n v="120082"/>
    <n v="7"/>
    <n v="4"/>
    <n v="3"/>
    <n v="7"/>
    <n v="4"/>
    <n v="3"/>
    <n v="0"/>
    <s v="The air ambulance crashed en route shortly after the pilot reported a malfunction in the engine, followed by fire."/>
    <n v="0"/>
    <n v="1"/>
    <x v="1"/>
  </r>
  <r>
    <n v="4938"/>
    <x v="4507"/>
    <x v="106"/>
    <x v="5"/>
    <d v="1899-12-30T08:30:00"/>
    <s v="Abidjan, Ivory Coast"/>
    <s v="Valan International Cargo Charter"/>
    <s v="Unknown"/>
    <s v="Burkina Faso - Abidjan"/>
    <x v="2282"/>
    <s v="ER-AVB"/>
    <n v="3204"/>
    <n v="10"/>
    <n v="4"/>
    <n v="6"/>
    <n v="4"/>
    <n v="4"/>
    <n v="0"/>
    <n v="0"/>
    <s v="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n v="6"/>
    <n v="0.4"/>
    <x v="0"/>
  </r>
  <r>
    <n v="4939"/>
    <x v="4508"/>
    <x v="106"/>
    <x v="5"/>
    <d v="1899-12-30T08:00:00"/>
    <s v="Empakaai, Tanzania"/>
    <s v="Costal Aviation"/>
    <s v="Unknown"/>
    <s v="Arusha - Serengeti"/>
    <x v="1985"/>
    <s v="5H-EGG"/>
    <s v="208B-0476"/>
    <n v="11"/>
    <n v="10"/>
    <n v="1"/>
    <n v="11"/>
    <n v="10"/>
    <n v="1"/>
    <n v="0"/>
    <s v="The chartered Cessna was flying tourists from Kilimanjaro to Arusha. The plane circled for 30 minuets due to poor weather conditions before crashing."/>
    <n v="0"/>
    <n v="1"/>
    <x v="1"/>
  </r>
  <r>
    <n v="4940"/>
    <x v="4509"/>
    <x v="106"/>
    <x v="5"/>
    <d v="1899-12-30T18:15:00"/>
    <s v="Near Fond-du-Lac, Saskatchewan"/>
    <s v="West Wind Aviation"/>
    <s v="Unknown"/>
    <s v="Fond-du-Lac - Stony Rapids"/>
    <x v="2355"/>
    <s v="C-GWEA"/>
    <n v="240"/>
    <n v="25"/>
    <n v="22"/>
    <n v="3"/>
    <n v="1"/>
    <n v="1"/>
    <n v="0"/>
    <n v="0"/>
    <s v="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
    <n v="24"/>
    <n v="0.04"/>
    <x v="2"/>
  </r>
  <r>
    <n v="4941"/>
    <x v="4510"/>
    <x v="106"/>
    <x v="5"/>
    <d v="1899-12-30T12:16:00"/>
    <s v="Punta Islita, Costa Rica"/>
    <s v="Naure Air"/>
    <s v="Unknown"/>
    <s v="Punta Islita - San Jose"/>
    <x v="1985"/>
    <s v="TI-BEI"/>
    <s v="208B-0900"/>
    <n v="12"/>
    <n v="10"/>
    <n v="2"/>
    <n v="12"/>
    <n v="10"/>
    <n v="2"/>
    <n v="0"/>
    <s v="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
    <n v="0"/>
    <n v="1"/>
    <x v="1"/>
  </r>
  <r>
    <n v="4942"/>
    <x v="4511"/>
    <x v="107"/>
    <x v="5"/>
    <s v="Unknown"/>
    <s v="_x0009_Zhengchang, Suiyang County, Guizhou Province"/>
    <s v="People's Liberation Army Air Force"/>
    <s v="Unknown"/>
    <s v="Training"/>
    <x v="2356"/>
    <n v="30513"/>
    <s v="Unknown"/>
    <n v="12"/>
    <n v="7"/>
    <n v="5"/>
    <n v="12"/>
    <n v="7"/>
    <n v="5"/>
    <n v="0"/>
    <s v="While completing a training mission, the airplane crashed in unknown circumstances near the Zhengchang village, in the Guizhou Province."/>
    <n v="0"/>
    <n v="1"/>
    <x v="1"/>
  </r>
  <r>
    <n v="4943"/>
    <x v="4512"/>
    <x v="107"/>
    <x v="5"/>
    <d v="1899-12-30T17:31:00"/>
    <s v="Grand Canyon, Arizona"/>
    <s v="Papillon"/>
    <s v="Unknown"/>
    <s v="Sightseeing"/>
    <x v="2357"/>
    <s v="N155GC"/>
    <n v="7091"/>
    <n v="7"/>
    <n v="6"/>
    <n v="1"/>
    <n v="3"/>
    <n v="3"/>
    <n v="0"/>
    <n v="0"/>
    <s v="The helicopter was observed making strange manoeuvres before clipping a cliff which snapped off its tail end. The aircraft then plummeted 600ft to the base of a gorge. There were strong winds in the area at the time of the accident."/>
    <n v="4"/>
    <n v="0.42857142857142855"/>
    <x v="0"/>
  </r>
  <r>
    <n v="4944"/>
    <x v="4513"/>
    <x v="107"/>
    <x v="5"/>
    <d v="1899-12-30T14:31:00"/>
    <s v="Argunovo, Russia"/>
    <s v="Saratov Airlines"/>
    <n v="703"/>
    <s v="Moscow - Orsk"/>
    <x v="2358"/>
    <s v="RA-61704"/>
    <n v="27015040004"/>
    <n v="71"/>
    <n v="65"/>
    <n v="6"/>
    <n v="71"/>
    <n v="65"/>
    <n v="6"/>
    <n v="0"/>
    <s v="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n v="0"/>
    <n v="1"/>
    <x v="1"/>
  </r>
  <r>
    <n v="4945"/>
    <x v="4514"/>
    <x v="107"/>
    <x v="5"/>
    <d v="1899-12-30T09:32:00"/>
    <s v="Kohangan village, Iran"/>
    <s v="Iran Aseman Airlines"/>
    <s v="EP3704"/>
    <s v="Tehran - Yasuj"/>
    <x v="2359"/>
    <s v="EP-ATS"/>
    <n v="391"/>
    <n v="66"/>
    <n v="60"/>
    <n v="6"/>
    <n v="66"/>
    <n v="60"/>
    <n v="6"/>
    <n v="0"/>
    <s v="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
    <n v="0"/>
    <n v="1"/>
    <x v="1"/>
  </r>
  <r>
    <n v="4946"/>
    <x v="4515"/>
    <x v="107"/>
    <x v="5"/>
    <d v="1899-12-30T14:51:00"/>
    <s v="Latakia, Syria"/>
    <s v="Military - Russian Air Force"/>
    <s v="Unknown"/>
    <s v="Kuweires Air Base - Latakia-Khmeimim Air Base"/>
    <x v="1195"/>
    <s v="RF-92955/52"/>
    <n v="10107"/>
    <n v="39"/>
    <n v="33"/>
    <n v="6"/>
    <n v="39"/>
    <n v="33"/>
    <n v="6"/>
    <n v="0"/>
    <s v="While on approach to Latakia-Khmeimim Air Base, the military transport plane crashed 1,600 feet short of the runway. The aircraft approached with a tail wind and was caught by a windshear on finals."/>
    <n v="0"/>
    <n v="1"/>
    <x v="1"/>
  </r>
  <r>
    <n v="4947"/>
    <x v="4516"/>
    <x v="107"/>
    <x v="5"/>
    <d v="1899-12-30T19:08:00"/>
    <s v="New York, New York"/>
    <s v="Liberty Helicopters"/>
    <s v="Unknown"/>
    <s v="Sightseeing"/>
    <x v="2360"/>
    <s v="N350LH"/>
    <n v="7654"/>
    <n v="6"/>
    <n v="5"/>
    <n v="1"/>
    <n v="5"/>
    <n v="5"/>
    <n v="0"/>
    <n v="0"/>
    <s v="The sightseeing helicopter suddenly lost power and crashed in the East River. Two passengers were killed. Three other passengers later died in the hospital."/>
    <n v="1"/>
    <n v="0.83333333333333337"/>
    <x v="1"/>
  </r>
  <r>
    <n v="4948"/>
    <x v="4517"/>
    <x v="107"/>
    <x v="5"/>
    <d v="1899-12-30T14:15:00"/>
    <s v="Kathmandu, Nepal"/>
    <s v="US-Bangla Airlines"/>
    <n v="221"/>
    <s v="Dhaka - Kathmandu"/>
    <x v="2361"/>
    <s v="S2-AGUÂ "/>
    <s v="BS4041"/>
    <n v="71"/>
    <n v="67"/>
    <n v="4"/>
    <n v="51"/>
    <n v="47"/>
    <n v="4"/>
    <n v="0"/>
    <s v="After getting clearance to land, the aircraft was observed flying low. Soon after, the plane impacted terrain and caught fire. The cause of the accident was due to disorientation and  complete loss of situational awareness of the crew."/>
    <n v="20"/>
    <n v="0.71830985915492962"/>
    <x v="1"/>
  </r>
  <r>
    <n v="4949"/>
    <x v="4518"/>
    <x v="107"/>
    <x v="5"/>
    <d v="1899-12-30T08:00:00"/>
    <s v="Boufarik AB, Algeria"/>
    <s v="Military - Algerian Air Force"/>
    <s v="Unknown"/>
    <s v="Boufarik AB - Bechar - Tindouf"/>
    <x v="2362"/>
    <s v="7T-WIP"/>
    <n v="1043419636"/>
    <n v="257"/>
    <n v="247"/>
    <n v="10"/>
    <n v="257"/>
    <n v="247"/>
    <n v="10"/>
    <n v="0"/>
    <s v="The Algerian military plane crashed soon after takeoff in a field and burst into flames. The plane was totally destroyed."/>
    <n v="0"/>
    <n v="1"/>
    <x v="1"/>
  </r>
  <r>
    <n v="4950"/>
    <x v="4519"/>
    <x v="107"/>
    <x v="5"/>
    <d v="1899-12-30T10:04:00"/>
    <s v="NW of Philadelphia, Pennsylvania"/>
    <s v="Southwest Airlines"/>
    <n v="1380"/>
    <s v="New York - Dallas"/>
    <x v="2363"/>
    <s v="N722SW"/>
    <s v="27880/601"/>
    <n v="149"/>
    <n v="144"/>
    <n v="5"/>
    <n v="1"/>
    <n v="1"/>
    <n v="0"/>
    <n v="0"/>
    <s v="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n v="148"/>
    <n v="6.7114093959731542E-3"/>
    <x v="2"/>
  </r>
  <r>
    <n v="4951"/>
    <x v="4520"/>
    <x v="107"/>
    <x v="5"/>
    <d v="1899-12-30T11:30:00"/>
    <s v="Port Wentworth, Georgia"/>
    <s v="Military - US Air Force"/>
    <s v="Unknown"/>
    <s v="Savannah - Tuscon"/>
    <x v="2364"/>
    <s v="65-0968"/>
    <s v="382-4110"/>
    <n v="9"/>
    <n v="0"/>
    <n v="9"/>
    <n v="9"/>
    <n v="0"/>
    <n v="9"/>
    <n v="0"/>
    <s v="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n v="0"/>
    <n v="1"/>
    <x v="1"/>
  </r>
  <r>
    <n v="4952"/>
    <x v="4521"/>
    <x v="107"/>
    <x v="5"/>
    <d v="1899-12-30T12:08:00"/>
    <s v="Havana, Cuba"/>
    <s v="Cubana (leased from Global Air)"/>
    <n v="972"/>
    <s v="Havana- Holguin"/>
    <x v="2365"/>
    <s v="XA-UHZ"/>
    <s v="21816/592"/>
    <n v="113"/>
    <n v="107"/>
    <n v="6"/>
    <n v="112"/>
    <n v="106"/>
    <n v="6"/>
    <n v="0"/>
    <s v="After taking off from runway 06 at Havana-JosÃ©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
    <n v="1"/>
    <n v="0.99115044247787609"/>
    <x v="1"/>
  </r>
  <r>
    <n v="4953"/>
    <x v="4522"/>
    <x v="107"/>
    <x v="5"/>
    <d v="1899-12-30T07:44:00"/>
    <s v="Pretoria, South Africa"/>
    <s v="Rovos Air"/>
    <s v="Unknown"/>
    <s v="Test Flight"/>
    <x v="712"/>
    <s v="ZS-BRV"/>
    <n v="215"/>
    <n v="19"/>
    <n v="16"/>
    <n v="3"/>
    <n v="1"/>
    <n v="0"/>
    <n v="1"/>
    <n v="1"/>
    <s v="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
    <n v="18"/>
    <n v="5.2631578947368418E-2"/>
    <x v="2"/>
  </r>
  <r>
    <n v="4954"/>
    <x v="4523"/>
    <x v="107"/>
    <x v="5"/>
    <d v="1899-12-30T16:55:00"/>
    <s v="Flims, Switzerland"/>
    <s v="Ju Air"/>
    <s v="Unknown"/>
    <s v="Locorno - Dubendorf"/>
    <x v="241"/>
    <s v="HB-HOT"/>
    <n v="6595"/>
    <n v="20"/>
    <n v="17"/>
    <n v="3"/>
    <n v="20"/>
    <n v="17"/>
    <n v="3"/>
    <n v="1"/>
    <s v="The vintage aircraft crashed onto Piz Segnas mountain while on a sightseeing flight. The plane plunged almost vertically at high speed and crashed at an elevation of 8,000 ft."/>
    <n v="0"/>
    <n v="1"/>
    <x v="1"/>
  </r>
  <r>
    <n v="4955"/>
    <x v="4524"/>
    <x v="107"/>
    <x v="5"/>
    <d v="1899-12-30T10:10:00"/>
    <s v="Chuuk, Micronesia"/>
    <s v="Air Niugini"/>
    <s v="Unknown"/>
    <s v="Pohnpei - Chuuk"/>
    <x v="2366"/>
    <s v="P2-PXE"/>
    <s v="33024/1688"/>
    <n v="47"/>
    <n v="35"/>
    <n v="12"/>
    <n v="1"/>
    <n v="1"/>
    <n v="0"/>
    <n v="0"/>
    <s v="The aircraft was approaching for a landing at Chuuk/Weno Airport in rain when it landed in a lagoon 500 feet short of the runway. A passenger was found in the plane 3 days after the accident."/>
    <n v="46"/>
    <n v="2.1276595744680851E-2"/>
    <x v="2"/>
  </r>
  <r>
    <n v="4956"/>
    <x v="4525"/>
    <x v="107"/>
    <x v="5"/>
    <d v="1899-12-30T06:31:00"/>
    <s v="Off Jakarta, Indonesia"/>
    <s v="Lion Air"/>
    <n v="610"/>
    <s v="Jakarta - Pangkal Pinang"/>
    <x v="2367"/>
    <s v="PK-LQP"/>
    <s v="43000/7058"/>
    <n v="189"/>
    <n v="181"/>
    <n v="8"/>
    <n v="189"/>
    <n v="181"/>
    <n v="8"/>
    <n v="0"/>
    <s v="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
    <n v="0"/>
    <n v="1"/>
    <x v="1"/>
  </r>
  <r>
    <n v="4957"/>
    <x v="4526"/>
    <x v="107"/>
    <x v="5"/>
    <d v="1899-12-30T02:53:00"/>
    <s v="Georgetown, Guyana"/>
    <s v="Fly Jamaica Airways"/>
    <s v="Unknown"/>
    <s v="Georgetown - Toronto"/>
    <x v="2368"/>
    <s v="N524ATÂ "/>
    <s v="30233/895"/>
    <n v="128"/>
    <n v="120"/>
    <n v="8"/>
    <n v="1"/>
    <n v="1"/>
    <n v="0"/>
    <n v="0"/>
    <s v="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
    <n v="127"/>
    <n v="7.8125E-3"/>
    <x v="2"/>
  </r>
  <r>
    <n v="4958"/>
    <x v="4527"/>
    <x v="108"/>
    <x v="5"/>
    <d v="1899-12-30T08:30:00"/>
    <s v="Karaj, Iran"/>
    <s v="Saha Air"/>
    <s v="Unknown"/>
    <s v="Bishkek - Payam"/>
    <x v="2369"/>
    <s v="EP-CPP"/>
    <s v="21128/917"/>
    <n v="16"/>
    <n v="13"/>
    <n v="3"/>
    <n v="15"/>
    <n v="13"/>
    <n v="2"/>
    <n v="0"/>
    <s v="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
    <n v="1"/>
    <n v="0.9375"/>
    <x v="1"/>
  </r>
  <r>
    <n v="4959"/>
    <x v="4528"/>
    <x v="108"/>
    <x v="5"/>
    <d v="1899-12-30T12:45:00"/>
    <s v="Houston, Texas"/>
    <s v="Atlas Air serving AmazonÂ "/>
    <n v="3591"/>
    <s v="Miami - Houston"/>
    <x v="2370"/>
    <s v="N1217A"/>
    <n v="25865"/>
    <n v="3"/>
    <n v="0"/>
    <n v="3"/>
    <n v="3"/>
    <n v="0"/>
    <n v="3"/>
    <n v="0"/>
    <s v="ATC lost radar contact with the cargo jet when it was 30 miles southeast of George Bush International Airport. The plane crashed into Trinity Bay and broke apart in muddy water about 5 feet deep."/>
    <n v="0"/>
    <n v="1"/>
    <x v="1"/>
  </r>
  <r>
    <n v="4960"/>
    <x v="4529"/>
    <x v="108"/>
    <x v="5"/>
    <d v="1899-12-30T10:40:00"/>
    <s v="Vereda La Bendicion, Colombia"/>
    <s v="Laser Aereo Colombia"/>
    <s v="Unknown"/>
    <s v="San Jose - Villavicencio"/>
    <x v="277"/>
    <s v="HK-2494"/>
    <s v=":33105/16357"/>
    <n v="14"/>
    <n v="11"/>
    <n v="3"/>
    <n v="14"/>
    <n v="11"/>
    <n v="3"/>
    <n v="0"/>
    <s v="While on approach to land, the crew contacted ATC and declared an emergency after which the airplane crashed in flames in a palm grove, 35 km south of La Vanguardia Airport. The crew reported engine problems."/>
    <n v="0"/>
    <n v="1"/>
    <x v="1"/>
  </r>
  <r>
    <n v="4961"/>
    <x v="4530"/>
    <x v="108"/>
    <x v="5"/>
    <d v="1899-12-30T08:44:00"/>
    <s v="Bishoftu, Ethiopia"/>
    <s v="Ethiopian Airlines"/>
    <n v="302"/>
    <s v="Addis Ababa - Nairobi"/>
    <x v="2371"/>
    <s v="ET-AVJ"/>
    <s v="63450/7243"/>
    <n v="157"/>
    <n v="149"/>
    <n v="8"/>
    <n v="157"/>
    <n v="149"/>
    <n v="8"/>
    <n v="0"/>
    <s v="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
    <n v="0"/>
    <n v="1"/>
    <x v="1"/>
  </r>
  <r>
    <n v="4962"/>
    <x v="4531"/>
    <x v="108"/>
    <x v="5"/>
    <d v="1899-12-30T11:00:00"/>
    <s v="Puerto Montt, Chile"/>
    <s v="Archipelagos Service Aereos"/>
    <s v="Unknown"/>
    <s v="Puerto Montt - Ayacara"/>
    <x v="2372"/>
    <s v="CC-CYRÂ "/>
    <n v="2169"/>
    <n v="6"/>
    <n v="5"/>
    <n v="1"/>
    <n v="6"/>
    <n v="5"/>
    <n v="1"/>
    <n v="0"/>
    <s v="While the aircraft was in the initial climb, plane lost height and crashed in flames into a house located in a residential area about 400 meters from the airfield."/>
    <n v="0"/>
    <n v="1"/>
    <x v="1"/>
  </r>
  <r>
    <n v="4963"/>
    <x v="4532"/>
    <x v="108"/>
    <x v="5"/>
    <d v="1899-12-30T18:30:00"/>
    <s v="Near Monclava, Mexico"/>
    <s v="TVPX Aircraft Solutions"/>
    <s v="Unknown"/>
    <s v="Las Vegas - Monterrey"/>
    <x v="2373"/>
    <s v="N601VH"/>
    <n v="5043"/>
    <n v="13"/>
    <n v="11"/>
    <n v="2"/>
    <n v="13"/>
    <n v="11"/>
    <n v="2"/>
    <n v="0"/>
    <s v="The aircraft crashed while en route on a return trip from Las Vegas to Monterrey, Mexico."/>
    <n v="0"/>
    <n v="1"/>
    <x v="1"/>
  </r>
  <r>
    <n v="4964"/>
    <x v="4532"/>
    <x v="108"/>
    <x v="5"/>
    <d v="1899-12-30T18:30:00"/>
    <s v="Moscow, Russia"/>
    <s v="Aeroflot Russian International Airlines"/>
    <s v="Unknown"/>
    <s v="Moscow - Murmansk"/>
    <x v="2374"/>
    <s v="RA-89098Â "/>
    <n v="95135"/>
    <n v="78"/>
    <n v="73"/>
    <n v="5"/>
    <n v="41"/>
    <n v="40"/>
    <n v="1"/>
    <n v="0"/>
    <s v="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quot;DIRECT MODE&quot;, the autopilot automatically disconnected"/>
    <n v="37"/>
    <n v="0.52564102564102566"/>
    <x v="0"/>
  </r>
  <r>
    <n v="4965"/>
    <x v="4533"/>
    <x v="108"/>
    <x v="5"/>
    <d v="1899-12-30T13:00:00"/>
    <s v="Near Lipo, India"/>
    <s v="Military - Indian Air Force"/>
    <s v="Unknown"/>
    <s v=" Jorhat-Rowriah - Mechuka"/>
    <x v="1625"/>
    <s v="K2752"/>
    <n v="1009"/>
    <n v="13"/>
    <n v="5"/>
    <n v="8"/>
    <n v="13"/>
    <n v="5"/>
    <n v="8"/>
    <n v="0"/>
    <s v="Crashed about 34km WNW of Mechuka."/>
    <n v="0"/>
    <n v="1"/>
    <x v="1"/>
  </r>
  <r>
    <n v="4966"/>
    <x v="4534"/>
    <x v="108"/>
    <x v="5"/>
    <d v="1899-12-30T02:00:00"/>
    <s v="Rawalpindi, India"/>
    <s v="Military - Pakistan Army"/>
    <s v="Unknown"/>
    <s v="Training"/>
    <x v="2375"/>
    <n v="766"/>
    <s v="B766"/>
    <n v="5"/>
    <n v="0"/>
    <n v="5"/>
    <n v="5"/>
    <n v="0"/>
    <n v="5"/>
    <n v="14"/>
    <s v="The Pakistani military plane, on a training flight, crashed into residential structures in Mora Kalu Village on the outskirts of Rawalpindi. The aircraft was destroyed killing 18 people, including the 2 pilots, 3 crew members and 14 civilians on the ground."/>
    <n v="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n v="73"/>
    <n v="2618"/>
    <n v="1920"/>
    <n v="0.73338426279602753"/>
    <n v="1860135152"/>
    <n v="1.0321830636530007E-6"/>
  </r>
  <r>
    <x v="1"/>
    <x v="0"/>
    <n v="58"/>
    <n v="2422"/>
    <n v="1784"/>
    <n v="0.73658133773740708"/>
    <n v="1990396724"/>
    <n v="8.9630372603044942E-7"/>
  </r>
  <r>
    <x v="2"/>
    <x v="0"/>
    <n v="77"/>
    <n v="3471"/>
    <n v="2796"/>
    <n v="0.80553154710458086"/>
    <n v="1828621140"/>
    <n v="1.5290209321325029E-6"/>
  </r>
  <r>
    <x v="3"/>
    <x v="0"/>
    <n v="64"/>
    <n v="3325"/>
    <n v="2323"/>
    <n v="0.6986466165413534"/>
    <n v="2401477400"/>
    <n v="9.6732119985805408E-7"/>
  </r>
  <r>
    <x v="4"/>
    <x v="0"/>
    <n v="58"/>
    <n v="2878"/>
    <n v="2242"/>
    <n v="0.77901320361362059"/>
    <n v="2873660900"/>
    <n v="7.8018947886300715E-7"/>
  </r>
  <r>
    <x v="5"/>
    <x v="0"/>
    <n v="51"/>
    <n v="2167"/>
    <n v="1460"/>
    <n v="0.67374250115366863"/>
    <n v="2988561500"/>
    <n v="4.8852934764768936E-7"/>
  </r>
  <r>
    <x v="6"/>
    <x v="0"/>
    <n v="57"/>
    <n v="2487"/>
    <n v="1842"/>
    <n v="0.7406513872135102"/>
    <n v="3278948076"/>
    <n v="5.6176552885432152E-7"/>
  </r>
  <r>
    <x v="7"/>
    <x v="0"/>
    <n v="63"/>
    <n v="2640"/>
    <n v="2102"/>
    <n v="0.79621212121212126"/>
    <n v="3568005252"/>
    <n v="5.8912469336241882E-7"/>
  </r>
  <r>
    <x v="8"/>
    <x v="0"/>
    <n v="51"/>
    <n v="2586"/>
    <n v="1444"/>
    <n v="0.55839133797370455"/>
    <n v="3996355024"/>
    <n v="3.61329259119397E-7"/>
  </r>
  <r>
    <x v="9"/>
    <x v="0"/>
    <n v="60"/>
    <n v="2324"/>
    <n v="1838"/>
    <n v="0.7908777969018933"/>
    <n v="4498165400"/>
    <n v="4.0861103062150628E-7"/>
  </r>
  <r>
    <x v="10"/>
    <x v="1"/>
    <n v="45"/>
    <n v="2632"/>
    <n v="1717"/>
    <n v="0.65235562310030393"/>
    <n v="4503699128"/>
    <n v="3.8124216365281142E-7"/>
  </r>
  <r>
    <x v="11"/>
    <x v="1"/>
    <n v="50"/>
    <n v="1502"/>
    <n v="1168"/>
    <n v="0.77762982689747007"/>
    <n v="4535460800"/>
    <n v="2.5752620329118488E-7"/>
  </r>
  <r>
    <x v="12"/>
    <x v="1"/>
    <n v="54"/>
    <n v="3364"/>
    <n v="1708"/>
    <n v="0.5077288941736029"/>
    <n v="4644175148"/>
    <n v="3.6777252053802172E-7"/>
  </r>
  <r>
    <x v="13"/>
    <x v="1"/>
    <n v="48"/>
    <n v="2314"/>
    <n v="1564"/>
    <n v="0.67588591184096802"/>
    <n v="4850937676"/>
    <n v="3.224118932176526E-7"/>
  </r>
  <r>
    <x v="14"/>
    <x v="1"/>
    <n v="48"/>
    <n v="1379"/>
    <n v="921"/>
    <n v="0.66787527193618568"/>
    <n v="5171468628"/>
    <n v="1.7809254319235522E-7"/>
  </r>
  <r>
    <x v="15"/>
    <x v="1"/>
    <n v="56"/>
    <n v="3387"/>
    <n v="2590"/>
    <n v="0.76468851490994982"/>
    <n v="5508511524"/>
    <n v="4.7018146167356552E-7"/>
  </r>
  <r>
    <x v="16"/>
    <x v="1"/>
    <n v="50"/>
    <n v="2420"/>
    <n v="1392"/>
    <n v="0.57520661157024788"/>
    <n v="5899726276"/>
    <n v="2.3594314971232405E-7"/>
  </r>
  <r>
    <x v="17"/>
    <x v="1"/>
    <n v="54"/>
    <n v="1986"/>
    <n v="1632"/>
    <n v="0.82175226586102723"/>
    <n v="6320989824"/>
    <n v="2.5818741137717106E-7"/>
  </r>
  <r>
    <x v="18"/>
    <x v="1"/>
    <n v="64"/>
    <n v="2937"/>
    <n v="1945"/>
    <n v="0.66224038134150498"/>
    <n v="6672548872"/>
    <n v="2.9149280691847736E-7"/>
  </r>
  <r>
    <x v="19"/>
    <x v="1"/>
    <n v="83"/>
    <n v="3559"/>
    <n v="2210"/>
    <n v="0.62096094408541724"/>
    <n v="6853330400"/>
    <n v="3.2247095514321037E-7"/>
  </r>
  <r>
    <x v="20"/>
    <x v="2"/>
    <n v="61"/>
    <n v="2204"/>
    <n v="1125"/>
    <n v="0.51043557168784026"/>
    <n v="7156040996"/>
    <n v="1.5720983161343533E-7"/>
  </r>
  <r>
    <x v="21"/>
    <x v="2"/>
    <n v="69"/>
    <n v="2337"/>
    <n v="1725"/>
    <n v="0.73812580231065472"/>
    <n v="8401042524"/>
    <n v="2.0533165914492639E-7"/>
  </r>
  <r>
    <x v="22"/>
    <x v="2"/>
    <n v="66"/>
    <n v="2846"/>
    <n v="2012"/>
    <n v="0.70695713281799011"/>
    <n v="8603198152"/>
    <n v="2.3386651852628397E-7"/>
  </r>
  <r>
    <x v="23"/>
    <x v="2"/>
    <n v="55"/>
    <n v="2309"/>
    <n v="1501"/>
    <n v="0.65006496318752705"/>
    <n v="8482022796"/>
    <n v="1.7696250482937278E-7"/>
  </r>
  <r>
    <x v="24"/>
    <x v="2"/>
    <n v="74"/>
    <n v="3024"/>
    <n v="1806"/>
    <n v="0.59722222222222221"/>
    <n v="9136270624"/>
    <n v="1.9767365419932201E-7"/>
  </r>
  <r>
    <x v="25"/>
    <x v="2"/>
    <n v="60"/>
    <n v="1938"/>
    <n v="1491"/>
    <n v="0.76934984520123839"/>
    <n v="9658817716.8000011"/>
    <n v="1.5436671896257436E-7"/>
  </r>
  <r>
    <x v="26"/>
    <x v="2"/>
    <n v="68"/>
    <n v="2983"/>
    <n v="2314"/>
    <n v="0.77572913174656388"/>
    <n v="10271595124"/>
    <n v="2.2528146525102463E-7"/>
  </r>
  <r>
    <x v="27"/>
    <x v="2"/>
    <n v="56"/>
    <n v="2438"/>
    <n v="1632"/>
    <n v="0.66940114848236254"/>
    <n v="10745572452"/>
    <n v="1.5187650609495886E-7"/>
  </r>
  <r>
    <x v="28"/>
    <x v="2"/>
    <n v="59"/>
    <n v="1973"/>
    <n v="1508"/>
    <n v="0.76431829700963005"/>
    <n v="10821333180"/>
    <n v="1.3935436372914635E-7"/>
  </r>
  <r>
    <x v="29"/>
    <x v="2"/>
    <n v="62"/>
    <n v="2880"/>
    <n v="863"/>
    <n v="0.29965277777777777"/>
    <n v="11462817100"/>
    <n v="7.5286903077254894E-8"/>
  </r>
  <r>
    <x v="30"/>
    <x v="3"/>
    <n v="63"/>
    <n v="2343"/>
    <n v="1430"/>
    <n v="0.61032863849765262"/>
    <n v="12264230604"/>
    <n v="1.1659924264092058E-7"/>
  </r>
  <r>
    <x v="31"/>
    <x v="3"/>
    <n v="58"/>
    <n v="2040"/>
    <n v="1336"/>
    <n v="0.65490196078431373"/>
    <n v="12275248104"/>
    <n v="1.0883690404307612E-7"/>
  </r>
  <r>
    <x v="32"/>
    <x v="3"/>
    <n v="55"/>
    <n v="1715"/>
    <n v="1371"/>
    <n v="0.79941690962099121"/>
    <n v="12087880669"/>
    <n v="1.1341938570886136E-7"/>
  </r>
  <r>
    <x v="33"/>
    <x v="3"/>
    <n v="62"/>
    <n v="1510"/>
    <n v="1279"/>
    <n v="0.84701986754966885"/>
    <n v="12448742605"/>
    <n v="1.0274130011221323E-7"/>
  </r>
  <r>
    <x v="34"/>
    <x v="3"/>
    <n v="46"/>
    <n v="877"/>
    <n v="662"/>
    <n v="0.75484606613454963"/>
    <n v="14234466150"/>
    <n v="4.6506837209346276E-8"/>
  </r>
  <r>
    <x v="35"/>
    <x v="3"/>
    <n v="45"/>
    <n v="2151"/>
    <n v="1294"/>
    <n v="0.60158066015806599"/>
    <n v="14948161657"/>
    <n v="8.6565828607696331E-8"/>
  </r>
  <r>
    <x v="36"/>
    <x v="3"/>
    <n v="38"/>
    <n v="1374"/>
    <n v="1118"/>
    <n v="0.81368267831149932"/>
    <n v="15873061190"/>
    <n v="7.0433798913617111E-8"/>
  </r>
  <r>
    <x v="37"/>
    <x v="3"/>
    <n v="42"/>
    <n v="1445"/>
    <n v="875"/>
    <n v="0.60553633217993075"/>
    <n v="17085120274"/>
    <n v="5.1214155122546488E-8"/>
  </r>
  <r>
    <x v="38"/>
    <x v="3"/>
    <n v="50"/>
    <n v="1348"/>
    <n v="713"/>
    <n v="0.52893175074183973"/>
    <n v="17241977210"/>
    <n v="4.1352565968273892E-8"/>
  </r>
  <r>
    <x v="39"/>
    <x v="3"/>
    <n v="46"/>
    <n v="1617"/>
    <n v="1083"/>
    <n v="0.66975881261595549"/>
    <n v="17730962299"/>
    <n v="6.1079595215262493E-8"/>
  </r>
  <r>
    <x v="40"/>
    <x v="4"/>
    <n v="39"/>
    <n v="1447"/>
    <n v="1022"/>
    <n v="0.70628887353144432"/>
    <n v="21192863023.300365"/>
    <n v="4.8223781698412727E-8"/>
  </r>
  <r>
    <x v="41"/>
    <x v="4"/>
    <n v="36"/>
    <n v="984"/>
    <n v="720"/>
    <n v="0.73170731707317072"/>
    <n v="22728487562.693947"/>
    <n v="3.1678306707120832E-8"/>
  </r>
  <r>
    <x v="42"/>
    <x v="4"/>
    <n v="26"/>
    <n v="695"/>
    <n v="587"/>
    <n v="0.8446043165467626"/>
    <n v="23857735774.674377"/>
    <n v="2.4604178935668996E-8"/>
  </r>
  <r>
    <x v="43"/>
    <x v="4"/>
    <n v="25"/>
    <n v="782"/>
    <n v="287"/>
    <n v="0.36700767263427109"/>
    <n v="25282843880.944496"/>
    <n v="1.1351571102976668E-8"/>
  </r>
  <r>
    <x v="44"/>
    <x v="4"/>
    <n v="23"/>
    <n v="1176"/>
    <n v="1142"/>
    <n v="0.97108843537414968"/>
    <n v="26881322064.677189"/>
    <n v="4.2483029564257182E-8"/>
  </r>
  <r>
    <x v="45"/>
    <x v="4"/>
    <n v="18"/>
    <n v="796"/>
    <n v="759"/>
    <n v="0.95351758793969854"/>
    <n v="29050199394"/>
    <n v="2.6127187276957661E-8"/>
  </r>
  <r>
    <x v="46"/>
    <x v="4"/>
    <n v="23"/>
    <n v="903"/>
    <n v="515"/>
    <n v="0.57032115171650055"/>
    <n v="31165729613"/>
    <n v="1.6524560996806593E-8"/>
  </r>
  <r>
    <x v="47"/>
    <x v="4"/>
    <n v="15"/>
    <n v="241"/>
    <n v="210"/>
    <n v="0.87136929460580914"/>
    <n v="33629810687.870007"/>
    <n v="6.2444597725834134E-9"/>
  </r>
  <r>
    <x v="48"/>
    <x v="4"/>
    <n v="16"/>
    <n v="1203"/>
    <n v="838"/>
    <n v="0.69659185369908561"/>
    <n v="36184641636.858467"/>
    <n v="2.3158996803395032E-8"/>
  </r>
  <r>
    <x v="49"/>
    <x v="4"/>
    <n v="9"/>
    <n v="305"/>
    <n v="267"/>
    <n v="0.87540983606557377"/>
    <n v="37556701651.414337"/>
    <n v="7.1092505001685932E-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8BA8F0-A5E4-45C5-86B4-98948284D520}"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B3" firstHeaderRow="1" firstDataRow="1" firstDataCol="0"/>
  <pivotFields count="25">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2">
        <item h="1" x="0"/>
        <item h="1" x="1"/>
        <item h="1" x="2"/>
        <item x="3"/>
        <item h="1" x="4"/>
        <item h="1" x="5"/>
        <item h="1" m="1" x="8"/>
        <item h="1" m="1" x="10"/>
        <item h="1" m="1" x="6"/>
        <item h="1" m="1" x="7"/>
        <item h="1" m="1"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10" showAll="0"/>
    <pivotField showAll="0">
      <items count="5">
        <item h="1" x="2"/>
        <item h="1" x="0"/>
        <item x="1"/>
        <item h="1" m="1" x="3"/>
        <item t="default"/>
      </items>
    </pivotField>
    <pivotField showAll="0">
      <items count="7">
        <item x="0"/>
        <item x="1"/>
        <item x="2"/>
        <item x="3"/>
        <item x="4"/>
        <item x="5"/>
        <item t="default"/>
      </items>
    </pivotField>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s>
  <rowItems count="1">
    <i/>
  </rowItems>
  <colItems count="1">
    <i/>
  </colItems>
  <dataFields count="1">
    <dataField name="Total de Accidentes"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815C43-8C2E-486C-A35D-AE93FF5F9F07}"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chartFormat="22" rowHeaderCaption="Decada">
  <location ref="G4:H16" firstHeaderRow="1" firstDataRow="1" firstDataCol="1"/>
  <pivotFields count="25">
    <pivotField showAll="0"/>
    <pivotField numFmtId="14" showAll="0">
      <items count="15">
        <item x="0"/>
        <item x="1"/>
        <item x="2"/>
        <item x="3"/>
        <item x="4"/>
        <item x="5"/>
        <item x="6"/>
        <item x="7"/>
        <item x="8"/>
        <item x="9"/>
        <item x="10"/>
        <item x="11"/>
        <item x="12"/>
        <item x="13"/>
        <item t="default"/>
      </items>
    </pivotField>
    <pivotField axis="axisRow" showAll="0" defaultSubtota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showAll="0">
      <items count="12">
        <item h="1" x="0"/>
        <item h="1" m="1" x="6"/>
        <item h="1" m="1" x="7"/>
        <item h="1" m="1" x="9"/>
        <item h="1" m="1" x="8"/>
        <item h="1" m="1" x="10"/>
        <item h="1" x="1"/>
        <item h="1" x="2"/>
        <item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10" showAll="0"/>
    <pivotField showAll="0">
      <items count="5">
        <item h="1" x="2"/>
        <item h="1" x="0"/>
        <item x="1"/>
        <item h="1" m="1" x="3"/>
        <item t="default"/>
      </items>
    </pivotField>
    <pivotField showAll="0">
      <items count="7">
        <item sd="0" x="0"/>
        <item sd="0" x="1"/>
        <item sd="0" x="2"/>
        <item sd="0" x="3"/>
        <item sd="0" x="4"/>
        <item sd="0" x="5"/>
        <item t="default"/>
      </items>
    </pivotField>
    <pivotField multipleItemSelectionAllowed="1" showAll="0">
      <items count="11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t="default"/>
      </items>
    </pivotField>
  </pivotFields>
  <rowFields count="2">
    <field x="3"/>
    <field x="2"/>
  </rowFields>
  <rowItems count="12">
    <i>
      <x v="8"/>
    </i>
    <i r="1">
      <x v="79"/>
    </i>
    <i r="1">
      <x v="80"/>
    </i>
    <i r="1">
      <x v="81"/>
    </i>
    <i r="1">
      <x v="82"/>
    </i>
    <i r="1">
      <x v="83"/>
    </i>
    <i r="1">
      <x v="84"/>
    </i>
    <i r="1">
      <x v="85"/>
    </i>
    <i r="1">
      <x v="86"/>
    </i>
    <i r="1">
      <x v="87"/>
    </i>
    <i r="1">
      <x v="88"/>
    </i>
    <i t="grand">
      <x/>
    </i>
  </rowItems>
  <colItems count="1">
    <i/>
  </colItems>
  <dataFields count="1">
    <dataField name="Total de Accidentes" fld="15" subtotal="count" baseField="0" baseItem="0"/>
  </dataFields>
  <chartFormats count="5">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FA5DAB-74FE-4F7F-9C31-D3A0CFED6E6A}" name="TablaDinámica2" cacheId="0"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3" rowHeaderCaption="Top 3 AC con mayor accidentes">
  <location ref="D4:E7" firstHeaderRow="1" firstDataRow="1" firstDataCol="1"/>
  <pivotFields count="25">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2">
        <item h="1" x="0"/>
        <item h="1" x="1"/>
        <item h="1" x="2"/>
        <item x="3"/>
        <item h="1" x="4"/>
        <item h="1" x="5"/>
        <item h="1" m="1" x="8"/>
        <item h="1" m="1" x="10"/>
        <item h="1" m="1" x="6"/>
        <item h="1" m="1" x="7"/>
        <item h="1" m="1" x="9"/>
        <item t="default"/>
      </items>
    </pivotField>
    <pivotField showAll="0"/>
    <pivotField showAll="0"/>
    <pivotField showAll="0"/>
    <pivotField showAll="0"/>
    <pivotField showAll="0"/>
    <pivotField axis="axisRow" showAll="0" measureFilter="1" sortType="descending">
      <items count="2377">
        <item x="36"/>
        <item x="2333"/>
        <item x="1167"/>
        <item x="2336"/>
        <item x="631"/>
        <item x="1327"/>
        <item x="2344"/>
        <item x="2255"/>
        <item x="1589"/>
        <item x="488"/>
        <item x="86"/>
        <item x="1361"/>
        <item x="1151"/>
        <item x="732"/>
        <item x="982"/>
        <item x="1168"/>
        <item x="888"/>
        <item x="834"/>
        <item x="2308"/>
        <item x="720"/>
        <item x="43"/>
        <item x="1469"/>
        <item x="1694"/>
        <item x="1714"/>
        <item x="1937"/>
        <item x="1588"/>
        <item x="2273"/>
        <item x="2326"/>
        <item x="2225"/>
        <item x="2274"/>
        <item x="1993"/>
        <item x="1739"/>
        <item x="2071"/>
        <item x="2154"/>
        <item x="1798"/>
        <item x="1960"/>
        <item x="1803"/>
        <item x="1879"/>
        <item x="1961"/>
        <item x="1257"/>
        <item x="1355"/>
        <item x="1135"/>
        <item x="1244"/>
        <item x="1433"/>
        <item x="1190"/>
        <item x="1385"/>
        <item x="1459"/>
        <item x="1597"/>
        <item x="2199"/>
        <item x="1636"/>
        <item x="2043"/>
        <item x="1516"/>
        <item x="1655"/>
        <item x="1587"/>
        <item x="1894"/>
        <item x="1953"/>
        <item x="1316"/>
        <item x="1970"/>
        <item x="2005"/>
        <item x="1891"/>
        <item x="1941"/>
        <item x="1812"/>
        <item x="1614"/>
        <item x="1884"/>
        <item x="1740"/>
        <item x="2232"/>
        <item x="1790"/>
        <item x="2294"/>
        <item x="1913"/>
        <item x="1734"/>
        <item x="1816"/>
        <item x="2187"/>
        <item x="2141"/>
        <item x="1613"/>
        <item x="1772"/>
        <item x="1964"/>
        <item x="2207"/>
        <item x="2316"/>
        <item x="1672"/>
        <item x="2201"/>
        <item x="2167"/>
        <item x="2328"/>
        <item x="2238"/>
        <item x="2233"/>
        <item x="2216"/>
        <item x="1994"/>
        <item x="1796"/>
        <item x="2122"/>
        <item x="1943"/>
        <item x="13"/>
        <item x="784"/>
        <item x="1078"/>
        <item x="648"/>
        <item x="329"/>
        <item x="843"/>
        <item x="1914"/>
        <item x="1863"/>
        <item x="1731"/>
        <item x="1621"/>
        <item x="1987"/>
        <item x="2129"/>
        <item x="2116"/>
        <item x="2049"/>
        <item x="2304"/>
        <item x="1815"/>
        <item x="2151"/>
        <item x="1942"/>
        <item x="1823"/>
        <item x="2020"/>
        <item x="1743"/>
        <item x="1915"/>
        <item x="2149"/>
        <item x="2139"/>
        <item x="2309"/>
        <item x="835"/>
        <item x="895"/>
        <item x="942"/>
        <item x="1948"/>
        <item x="1775"/>
        <item x="1886"/>
        <item x="1807"/>
        <item x="1554"/>
        <item x="1160"/>
        <item x="2219"/>
        <item x="1060"/>
        <item x="1127"/>
        <item x="1123"/>
        <item x="1247"/>
        <item x="1178"/>
        <item x="2044"/>
        <item x="2134"/>
        <item x="2358"/>
        <item x="997"/>
        <item x="1271"/>
        <item x="1265"/>
        <item x="1141"/>
        <item x="1747"/>
        <item x="968"/>
        <item x="1322"/>
        <item x="2240"/>
        <item x="1009"/>
        <item x="1380"/>
        <item x="1275"/>
        <item x="1448"/>
        <item x="1086"/>
        <item x="1195"/>
        <item x="2282"/>
        <item x="2128"/>
        <item x="2331"/>
        <item x="1764"/>
        <item x="1667"/>
        <item x="1745"/>
        <item x="1990"/>
        <item x="1824"/>
        <item x="1524"/>
        <item x="1401"/>
        <item x="1625"/>
        <item x="1920"/>
        <item x="2022"/>
        <item x="1805"/>
        <item x="1716"/>
        <item x="2286"/>
        <item x="1746"/>
        <item x="262"/>
        <item x="2235"/>
        <item x="2234"/>
        <item x="127"/>
        <item x="1475"/>
        <item x="177"/>
        <item x="30"/>
        <item x="301"/>
        <item x="1031"/>
        <item x="2038"/>
        <item x="2248"/>
        <item x="2276"/>
        <item x="2359"/>
        <item x="2312"/>
        <item x="2317"/>
        <item x="2180"/>
        <item x="2355"/>
        <item x="2205"/>
        <item x="2343"/>
        <item x="2123"/>
        <item x="1808"/>
        <item x="2217"/>
        <item x="2295"/>
        <item x="872"/>
        <item x="1091"/>
        <item x="1742"/>
        <item x="1332"/>
        <item x="1874"/>
        <item x="145"/>
        <item x="419"/>
        <item x="520"/>
        <item x="485"/>
        <item x="927"/>
        <item x="718"/>
        <item x="477"/>
        <item x="818"/>
        <item x="824"/>
        <item x="574"/>
        <item x="541"/>
        <item x="600"/>
        <item x="516"/>
        <item x="561"/>
        <item x="461"/>
        <item x="521"/>
        <item x="868"/>
        <item x="473"/>
        <item x="429"/>
        <item x="856"/>
        <item x="613"/>
        <item x="2341"/>
        <item x="1679"/>
        <item x="709"/>
        <item x="650"/>
        <item x="687"/>
        <item x="512"/>
        <item x="388"/>
        <item x="426"/>
        <item x="1044"/>
        <item x="943"/>
        <item x="1015"/>
        <item x="1118"/>
        <item x="1351"/>
        <item x="1155"/>
        <item x="1177"/>
        <item x="1644"/>
        <item x="1286"/>
        <item x="2024"/>
        <item x="1313"/>
        <item x="1682"/>
        <item x="1443"/>
        <item x="1193"/>
        <item x="1124"/>
        <item x="2146"/>
        <item x="2103"/>
        <item x="2008"/>
        <item x="2047"/>
        <item x="2089"/>
        <item x="1952"/>
        <item x="2101"/>
        <item x="2208"/>
        <item x="2102"/>
        <item x="2120"/>
        <item x="2054"/>
        <item x="2046"/>
        <item x="1384"/>
        <item x="1458"/>
        <item x="947"/>
        <item x="1180"/>
        <item x="1216"/>
        <item x="1976"/>
        <item x="1650"/>
        <item x="1684"/>
        <item x="1620"/>
        <item x="1531"/>
        <item x="1366"/>
        <item x="2271"/>
        <item x="1056"/>
        <item x="1591"/>
        <item x="1866"/>
        <item x="1681"/>
        <item x="2070"/>
        <item x="1904"/>
        <item x="956"/>
        <item x="1264"/>
        <item x="1258"/>
        <item x="1252"/>
        <item x="2237"/>
        <item x="2347"/>
        <item x="2375"/>
        <item x="1181"/>
        <item x="1111"/>
        <item x="1712"/>
        <item x="819"/>
        <item x="1464"/>
        <item x="1164"/>
        <item x="960"/>
        <item x="985"/>
        <item x="1678"/>
        <item x="1519"/>
        <item x="1245"/>
        <item x="1014"/>
        <item x="1965"/>
        <item x="1416"/>
        <item x="1022"/>
        <item x="1310"/>
        <item x="1375"/>
        <item x="1099"/>
        <item x="1426"/>
        <item x="1529"/>
        <item x="1226"/>
        <item x="1720"/>
        <item x="1339"/>
        <item x="1752"/>
        <item x="2004"/>
        <item x="1899"/>
        <item x="1802"/>
        <item x="2203"/>
        <item x="1297"/>
        <item x="1718"/>
        <item x="1934"/>
        <item x="2200"/>
        <item x="1550"/>
        <item x="2085"/>
        <item x="2190"/>
        <item x="1638"/>
        <item x="1836"/>
        <item x="1192"/>
        <item x="1685"/>
        <item x="2195"/>
        <item x="1045"/>
        <item x="1474"/>
        <item x="973"/>
        <item x="1517"/>
        <item x="1510"/>
        <item x="1069"/>
        <item x="1559"/>
        <item x="1077"/>
        <item x="2188"/>
        <item x="2186"/>
        <item x="53"/>
        <item x="99"/>
        <item x="2110"/>
        <item x="260"/>
        <item x="757"/>
        <item x="65"/>
        <item x="46"/>
        <item x="89"/>
        <item x="92"/>
        <item x="350"/>
        <item x="778"/>
        <item x="1344"/>
        <item x="1170"/>
        <item x="221"/>
        <item x="185"/>
        <item x="233"/>
        <item x="320"/>
        <item x="988"/>
        <item x="1260"/>
        <item x="526"/>
        <item x="652"/>
        <item x="717"/>
        <item x="731"/>
        <item x="629"/>
        <item x="646"/>
        <item x="82"/>
        <item x="831"/>
        <item x="1223"/>
        <item x="1098"/>
        <item x="1837"/>
        <item x="1399"/>
        <item x="1234"/>
        <item x="1615"/>
        <item x="1080"/>
        <item x="2222"/>
        <item x="1114"/>
        <item x="1543"/>
        <item x="1580"/>
        <item x="1349"/>
        <item x="1318"/>
        <item x="1505"/>
        <item x="2369"/>
        <item x="891"/>
        <item x="1025"/>
        <item x="2148"/>
        <item x="1926"/>
        <item x="1294"/>
        <item x="1854"/>
        <item x="2345"/>
        <item x="2371"/>
        <item x="1201"/>
        <item x="2365"/>
        <item x="2127"/>
        <item x="2277"/>
        <item x="1567"/>
        <item x="1728"/>
        <item x="2147"/>
        <item x="1811"/>
        <item x="2066"/>
        <item x="2164"/>
        <item x="1783"/>
        <item x="2125"/>
        <item x="1923"/>
        <item x="2299"/>
        <item x="2363"/>
        <item x="2170"/>
        <item x="2228"/>
        <item x="2366"/>
        <item x="2210"/>
        <item x="2236"/>
        <item x="2367"/>
        <item x="2098"/>
        <item x="2009"/>
        <item x="1630"/>
        <item x="1940"/>
        <item x="2346"/>
        <item x="1932"/>
        <item x="2368"/>
        <item x="1996"/>
        <item x="2370"/>
        <item x="2305"/>
        <item x="2177"/>
        <item x="2311"/>
        <item x="2338"/>
        <item x="129"/>
        <item x="393"/>
        <item x="467"/>
        <item x="451"/>
        <item x="471"/>
        <item x="234"/>
        <item x="605"/>
        <item x="644"/>
        <item x="568"/>
        <item x="610"/>
        <item x="919"/>
        <item x="381"/>
        <item x="1583"/>
        <item x="706"/>
        <item x="649"/>
        <item x="803"/>
        <item x="1831"/>
        <item x="946"/>
        <item x="984"/>
        <item x="897"/>
        <item x="901"/>
        <item x="1052"/>
        <item x="993"/>
        <item x="1059"/>
        <item x="1417"/>
        <item x="1325"/>
        <item x="875"/>
        <item x="1696"/>
        <item x="975"/>
        <item x="1075"/>
        <item x="1158"/>
        <item x="1864"/>
        <item x="1382"/>
        <item x="902"/>
        <item x="1125"/>
        <item x="1063"/>
        <item x="963"/>
        <item x="1242"/>
        <item x="1622"/>
        <item x="1404"/>
        <item x="1070"/>
        <item x="1236"/>
        <item x="1634"/>
        <item x="1328"/>
        <item x="1574"/>
        <item x="1593"/>
        <item x="1224"/>
        <item x="2119"/>
        <item x="1007"/>
        <item x="999"/>
        <item x="915"/>
        <item x="1068"/>
        <item x="972"/>
        <item x="1163"/>
        <item x="923"/>
        <item x="1301"/>
        <item x="1402"/>
        <item x="2260"/>
        <item x="1100"/>
        <item x="1263"/>
        <item x="2018"/>
        <item x="1176"/>
        <item x="2279"/>
        <item x="1504"/>
        <item x="1606"/>
        <item x="1470"/>
        <item x="1373"/>
        <item x="979"/>
        <item x="1047"/>
        <item x="2083"/>
        <item x="1227"/>
        <item x="1288"/>
        <item x="1528"/>
        <item x="1537"/>
        <item x="1893"/>
        <item x="1101"/>
        <item x="990"/>
        <item x="1896"/>
        <item x="1269"/>
        <item x="1618"/>
        <item x="1365"/>
        <item x="1688"/>
        <item x="1270"/>
        <item x="1695"/>
        <item x="1533"/>
        <item x="1556"/>
        <item x="1420"/>
        <item x="1172"/>
        <item x="1350"/>
        <item x="2250"/>
        <item x="1156"/>
        <item x="1387"/>
        <item x="1324"/>
        <item x="1603"/>
        <item x="1751"/>
        <item x="1909"/>
        <item x="1765"/>
        <item x="1109"/>
        <item x="1002"/>
        <item x="1412"/>
        <item x="1061"/>
        <item x="1311"/>
        <item x="1468"/>
        <item x="1727"/>
        <item x="1930"/>
        <item x="1659"/>
        <item x="2265"/>
        <item x="2196"/>
        <item x="1218"/>
        <item x="1619"/>
        <item x="1598"/>
        <item x="1544"/>
        <item x="1649"/>
        <item x="2126"/>
        <item x="1690"/>
        <item x="1547"/>
        <item x="1572"/>
        <item x="1360"/>
        <item x="1553"/>
        <item x="1897"/>
        <item x="1700"/>
        <item x="1610"/>
        <item x="1551"/>
        <item x="1232"/>
        <item x="1959"/>
        <item x="1872"/>
        <item x="1835"/>
        <item x="1949"/>
        <item x="1352"/>
        <item x="1520"/>
        <item x="1838"/>
        <item x="2130"/>
        <item x="1585"/>
        <item x="1498"/>
        <item x="2053"/>
        <item x="1493"/>
        <item x="1888"/>
        <item x="1698"/>
        <item x="1876"/>
        <item x="1804"/>
        <item x="2016"/>
        <item x="1612"/>
        <item x="1946"/>
        <item x="1680"/>
        <item x="1652"/>
        <item x="2153"/>
        <item x="1981"/>
        <item x="2150"/>
        <item x="1628"/>
        <item x="2197"/>
        <item x="2025"/>
        <item x="1769"/>
        <item x="2242"/>
        <item x="2131"/>
        <item x="2161"/>
        <item x="2145"/>
        <item x="2289"/>
        <item x="1848"/>
        <item x="1254"/>
        <item x="1173"/>
        <item x="1333"/>
        <item x="1627"/>
        <item x="1631"/>
        <item x="1267"/>
        <item x="1859"/>
        <item x="1312"/>
        <item x="1865"/>
        <item x="1608"/>
        <item x="2026"/>
        <item x="2193"/>
        <item x="1496"/>
        <item x="1358"/>
        <item x="1592"/>
        <item x="1741"/>
        <item x="1502"/>
        <item x="1431"/>
        <item x="1724"/>
        <item x="1880"/>
        <item x="1969"/>
        <item x="2290"/>
        <item x="2246"/>
        <item x="1760"/>
        <item x="2263"/>
        <item x="1532"/>
        <item x="1542"/>
        <item x="1862"/>
        <item x="1998"/>
        <item x="1840"/>
        <item x="1844"/>
        <item x="2021"/>
        <item x="1997"/>
        <item x="1495"/>
        <item x="1867"/>
        <item x="1936"/>
        <item x="1709"/>
        <item x="2292"/>
        <item x="974"/>
        <item x="953"/>
        <item x="1121"/>
        <item x="633"/>
        <item x="760"/>
        <item x="2264"/>
        <item x="1010"/>
        <item x="1442"/>
        <item x="1578"/>
        <item x="794"/>
        <item x="936"/>
        <item x="1463"/>
        <item x="1917"/>
        <item x="656"/>
        <item x="728"/>
        <item x="826"/>
        <item x="1439"/>
        <item x="1534"/>
        <item x="432"/>
        <item x="1197"/>
        <item x="1250"/>
        <item x="1107"/>
        <item x="1174"/>
        <item x="1144"/>
        <item x="1184"/>
        <item x="1105"/>
        <item x="1478"/>
        <item x="1793"/>
        <item x="941"/>
        <item x="380"/>
        <item x="1571"/>
        <item x="2104"/>
        <item x="2209"/>
        <item x="258"/>
        <item x="34"/>
        <item x="191"/>
        <item x="654"/>
        <item x="589"/>
        <item x="700"/>
        <item x="722"/>
        <item x="580"/>
        <item x="1043"/>
        <item x="886"/>
        <item x="527"/>
        <item x="531"/>
        <item x="814"/>
        <item x="40"/>
        <item x="1017"/>
        <item x="777"/>
        <item x="948"/>
        <item x="905"/>
        <item x="1768"/>
        <item x="1662"/>
        <item x="1363"/>
        <item x="1939"/>
        <item x="1875"/>
        <item x="2307"/>
        <item x="1957"/>
        <item x="2135"/>
        <item x="1842"/>
        <item x="2194"/>
        <item x="1908"/>
        <item x="1594"/>
        <item x="2214"/>
        <item x="1810"/>
        <item x="2220"/>
        <item x="1781"/>
        <item x="1776"/>
        <item x="2143"/>
        <item x="1828"/>
        <item x="1409"/>
        <item x="1376"/>
        <item x="1637"/>
        <item x="2204"/>
        <item x="1777"/>
        <item x="1851"/>
        <item x="1789"/>
        <item x="1918"/>
        <item x="1726"/>
        <item x="2288"/>
        <item x="2302"/>
        <item x="2012"/>
        <item x="1400"/>
        <item x="1683"/>
        <item x="2348"/>
        <item x="1090"/>
        <item x="1145"/>
        <item x="1521"/>
        <item x="1766"/>
        <item x="1715"/>
        <item x="1303"/>
        <item x="1785"/>
        <item x="1852"/>
        <item x="1499"/>
        <item x="1841"/>
        <item x="1910"/>
        <item x="1214"/>
        <item x="2223"/>
        <item x="1485"/>
        <item x="1348"/>
        <item x="1950"/>
        <item x="1719"/>
        <item x="1799"/>
        <item x="1749"/>
        <item x="2335"/>
        <item x="1912"/>
        <item x="447"/>
        <item x="1911"/>
        <item x="693"/>
        <item x="414"/>
        <item x="876"/>
        <item x="106"/>
        <item x="179"/>
        <item x="157"/>
        <item x="723"/>
        <item x="696"/>
        <item x="1281"/>
        <item x="1029"/>
        <item x="1341"/>
        <item x="1446"/>
        <item x="1154"/>
        <item x="2254"/>
        <item x="1967"/>
        <item x="2373"/>
        <item x="2107"/>
        <item x="2013"/>
        <item x="969"/>
        <item x="2062"/>
        <item x="2327"/>
        <item x="2142"/>
        <item x="2099"/>
        <item x="749"/>
        <item x="290"/>
        <item x="259"/>
        <item x="25"/>
        <item x="955"/>
        <item x="1833"/>
        <item x="1660"/>
        <item x="1413"/>
        <item x="1577"/>
        <item x="1676"/>
        <item x="1573"/>
        <item x="1665"/>
        <item x="1506"/>
        <item x="1962"/>
        <item x="2106"/>
        <item x="1947"/>
        <item x="1973"/>
        <item x="1890"/>
        <item x="1744"/>
        <item x="2267"/>
        <item x="2178"/>
        <item x="2320"/>
        <item x="1995"/>
        <item x="1986"/>
        <item x="2189"/>
        <item x="2270"/>
        <item x="2179"/>
        <item x="321"/>
        <item x="63"/>
        <item x="237"/>
        <item x="1116"/>
        <item x="1850"/>
        <item x="1648"/>
        <item x="2063"/>
        <item x="951"/>
        <item x="1411"/>
        <item x="1971"/>
        <item x="1309"/>
        <item x="1663"/>
        <item x="1707"/>
        <item x="2002"/>
        <item x="1545"/>
        <item x="2339"/>
        <item x="1664"/>
        <item x="1669"/>
        <item x="1670"/>
        <item x="1985"/>
        <item x="1212"/>
        <item x="1968"/>
        <item x="1179"/>
        <item x="1088"/>
        <item x="1393"/>
        <item x="1522"/>
        <item x="1656"/>
        <item x="1454"/>
        <item x="1641"/>
        <item x="1582"/>
        <item x="2051"/>
        <item x="1378"/>
        <item x="1829"/>
        <item x="1410"/>
        <item x="1689"/>
        <item x="1268"/>
        <item x="1395"/>
        <item x="2163"/>
        <item x="2114"/>
        <item x="1364"/>
        <item x="733"/>
        <item x="2076"/>
        <item x="2096"/>
        <item x="1539"/>
        <item x="2111"/>
        <item x="1016"/>
        <item x="918"/>
        <item x="101"/>
        <item x="183"/>
        <item x="642"/>
        <item x="349"/>
        <item x="458"/>
        <item x="379"/>
        <item x="392"/>
        <item x="400"/>
        <item x="358"/>
        <item x="418"/>
        <item x="410"/>
        <item x="761"/>
        <item x="378"/>
        <item x="591"/>
        <item x="899"/>
        <item x="408"/>
        <item x="212"/>
        <item x="348"/>
        <item x="441"/>
        <item x="439"/>
        <item x="356"/>
        <item x="390"/>
        <item x="558"/>
        <item x="409"/>
        <item x="287"/>
        <item x="713"/>
        <item x="522"/>
        <item x="1482"/>
        <item x="1246"/>
        <item x="684"/>
        <item x="623"/>
        <item x="870"/>
        <item x="1725"/>
        <item x="689"/>
        <item x="640"/>
        <item x="685"/>
        <item x="797"/>
        <item x="677"/>
        <item x="1895"/>
        <item x="668"/>
        <item x="1346"/>
        <item x="712"/>
        <item x="911"/>
        <item x="719"/>
        <item x="725"/>
        <item x="930"/>
        <item x="850"/>
        <item x="1079"/>
        <item x="962"/>
        <item x="910"/>
        <item x="1001"/>
        <item x="739"/>
        <item x="1296"/>
        <item x="793"/>
        <item x="771"/>
        <item x="1736"/>
        <item x="1030"/>
        <item x="1083"/>
        <item x="1200"/>
        <item x="2073"/>
        <item x="1119"/>
        <item x="847"/>
        <item x="1219"/>
        <item x="1053"/>
        <item x="1198"/>
        <item x="1051"/>
        <item x="1074"/>
        <item x="1217"/>
        <item x="1131"/>
        <item x="669"/>
        <item x="1843"/>
        <item x="500"/>
        <item x="965"/>
        <item x="945"/>
        <item x="199"/>
        <item x="639"/>
        <item x="469"/>
        <item x="937"/>
        <item x="425"/>
        <item x="845"/>
        <item x="741"/>
        <item x="817"/>
        <item x="1599"/>
        <item x="1165"/>
        <item x="867"/>
        <item x="1958"/>
        <item x="802"/>
        <item x="1081"/>
        <item x="954"/>
        <item x="438"/>
        <item x="470"/>
        <item x="632"/>
        <item x="756"/>
        <item x="559"/>
        <item x="581"/>
        <item x="595"/>
        <item x="509"/>
        <item x="584"/>
        <item x="667"/>
        <item x="645"/>
        <item x="587"/>
        <item x="606"/>
        <item x="1040"/>
        <item x="496"/>
        <item x="62"/>
        <item x="173"/>
        <item x="197"/>
        <item x="28"/>
        <item x="26"/>
        <item x="3"/>
        <item x="480"/>
        <item x="637"/>
        <item x="323"/>
        <item x="665"/>
        <item x="445"/>
        <item x="692"/>
        <item x="428"/>
        <item x="442"/>
        <item x="493"/>
        <item x="1560"/>
        <item x="1643"/>
        <item x="1992"/>
        <item x="1814"/>
        <item x="1787"/>
        <item x="1933"/>
        <item x="1438"/>
        <item x="636"/>
        <item x="996"/>
        <item x="1906"/>
        <item x="1276"/>
        <item x="1012"/>
        <item x="978"/>
        <item x="655"/>
        <item x="201"/>
        <item x="482"/>
        <item x="1561"/>
        <item x="1054"/>
        <item x="1021"/>
        <item x="2241"/>
        <item x="2322"/>
        <item x="2169"/>
        <item x="2227"/>
        <item x="2184"/>
        <item x="781"/>
        <item x="1860"/>
        <item x="2293"/>
        <item x="1207"/>
        <item x="1924"/>
        <item x="1389"/>
        <item x="1738"/>
        <item x="1407"/>
        <item x="1390"/>
        <item x="1196"/>
        <item x="1034"/>
        <item x="1095"/>
        <item x="1220"/>
        <item x="1479"/>
        <item x="2036"/>
        <item x="1611"/>
        <item x="1466"/>
        <item x="1822"/>
        <item x="1693"/>
        <item x="1753"/>
        <item x="2361"/>
        <item x="1369"/>
        <item x="840"/>
        <item x="889"/>
        <item x="893"/>
        <item x="904"/>
        <item x="328"/>
        <item x="1905"/>
        <item x="1907"/>
        <item x="1832"/>
        <item x="2325"/>
        <item x="715"/>
        <item x="27"/>
        <item x="90"/>
        <item x="155"/>
        <item x="140"/>
        <item x="325"/>
        <item x="1039"/>
        <item x="1112"/>
        <item x="675"/>
        <item x="666"/>
        <item x="832"/>
        <item x="773"/>
        <item x="671"/>
        <item x="863"/>
        <item x="745"/>
        <item x="779"/>
        <item x="1295"/>
        <item x="44"/>
        <item x="54"/>
        <item x="57"/>
        <item x="23"/>
        <item x="37"/>
        <item x="202"/>
        <item x="172"/>
        <item x="250"/>
        <item x="204"/>
        <item x="114"/>
        <item x="169"/>
        <item x="307"/>
        <item x="227"/>
        <item x="298"/>
        <item x="203"/>
        <item x="431"/>
        <item x="852"/>
        <item x="554"/>
        <item x="49"/>
        <item x="71"/>
        <item x="628"/>
        <item x="1462"/>
        <item x="1372"/>
        <item x="1999"/>
        <item x="2168"/>
        <item x="2081"/>
        <item x="2318"/>
        <item x="1430"/>
        <item x="1103"/>
        <item x="2166"/>
        <item x="1647"/>
        <item x="2329"/>
        <item x="2324"/>
        <item x="1391"/>
        <item x="1129"/>
        <item x="551"/>
        <item x="215"/>
        <item x="462"/>
        <item x="357"/>
        <item x="143"/>
        <item x="190"/>
        <item x="278"/>
        <item x="292"/>
        <item x="366"/>
        <item x="1673"/>
        <item x="1778"/>
        <item x="2"/>
        <item x="42"/>
        <item x="60"/>
        <item x="109"/>
        <item x="245"/>
        <item x="2144"/>
        <item x="2243"/>
        <item x="1757"/>
        <item x="2283"/>
        <item x="1849"/>
        <item x="1919"/>
        <item x="308"/>
        <item x="1770"/>
        <item x="1706"/>
        <item x="1654"/>
        <item x="77"/>
        <item x="96"/>
        <item x="511"/>
        <item x="673"/>
        <item x="404"/>
        <item x="506"/>
        <item x="738"/>
        <item x="783"/>
        <item x="874"/>
        <item x="620"/>
        <item x="680"/>
        <item x="877"/>
        <item x="755"/>
        <item x="788"/>
        <item x="800"/>
        <item x="727"/>
        <item x="939"/>
        <item x="743"/>
        <item x="369"/>
        <item x="686"/>
        <item x="708"/>
        <item x="368"/>
        <item x="602"/>
        <item x="505"/>
        <item x="422"/>
        <item x="453"/>
        <item x="387"/>
        <item x="402"/>
        <item x="884"/>
        <item x="478"/>
        <item x="898"/>
        <item x="472"/>
        <item x="599"/>
        <item x="501"/>
        <item x="583"/>
        <item x="1092"/>
        <item x="957"/>
        <item x="1266"/>
        <item x="697"/>
        <item x="1974"/>
        <item x="630"/>
        <item x="643"/>
        <item x="598"/>
        <item x="1441"/>
        <item x="399"/>
        <item x="621"/>
        <item x="759"/>
        <item x="1028"/>
        <item x="768"/>
        <item x="490"/>
        <item x="415"/>
        <item x="407"/>
        <item x="386"/>
        <item x="443"/>
        <item x="663"/>
        <item x="481"/>
        <item x="1691"/>
        <item x="437"/>
        <item x="430"/>
        <item x="608"/>
        <item x="532"/>
        <item x="604"/>
        <item x="383"/>
        <item x="734"/>
        <item x="1033"/>
        <item x="2285"/>
        <item x="452"/>
        <item x="361"/>
        <item x="382"/>
        <item x="394"/>
        <item x="489"/>
        <item x="992"/>
        <item x="450"/>
        <item x="573"/>
        <item x="724"/>
        <item x="377"/>
        <item x="746"/>
        <item x="592"/>
        <item x="576"/>
        <item x="664"/>
        <item x="864"/>
        <item x="411"/>
        <item x="597"/>
        <item x="406"/>
        <item x="515"/>
        <item x="593"/>
        <item x="661"/>
        <item x="508"/>
        <item x="616"/>
        <item x="569"/>
        <item x="603"/>
        <item x="1210"/>
        <item x="466"/>
        <item x="465"/>
        <item x="1319"/>
        <item x="484"/>
        <item x="617"/>
        <item x="427"/>
        <item x="446"/>
        <item x="659"/>
        <item x="1058"/>
        <item x="940"/>
        <item x="312"/>
        <item x="226"/>
        <item x="218"/>
        <item x="208"/>
        <item x="316"/>
        <item x="264"/>
        <item x="336"/>
        <item x="273"/>
        <item x="242"/>
        <item x="536"/>
        <item x="359"/>
        <item x="436"/>
        <item x="277"/>
        <item x="504"/>
        <item x="495"/>
        <item x="535"/>
        <item x="1677"/>
        <item x="476"/>
        <item x="1461"/>
        <item x="491"/>
        <item x="1206"/>
        <item x="572"/>
        <item x="494"/>
        <item x="540"/>
        <item x="545"/>
        <item x="460"/>
        <item x="570"/>
        <item x="513"/>
        <item x="498"/>
        <item x="475"/>
        <item x="861"/>
        <item x="590"/>
        <item x="563"/>
        <item x="578"/>
        <item x="740"/>
        <item x="995"/>
        <item x="372"/>
        <item x="987"/>
        <item x="842"/>
        <item x="588"/>
        <item x="456"/>
        <item x="607"/>
        <item x="457"/>
        <item x="433"/>
        <item x="455"/>
        <item x="539"/>
        <item x="459"/>
        <item x="344"/>
        <item x="1277"/>
        <item x="596"/>
        <item x="1334"/>
        <item x="552"/>
        <item x="268"/>
        <item x="1552"/>
        <item x="1042"/>
        <item x="483"/>
        <item x="360"/>
        <item x="507"/>
        <item x="1921"/>
        <item x="1975"/>
        <item x="537"/>
        <item x="571"/>
        <item x="1149"/>
        <item x="523"/>
        <item x="395"/>
        <item x="487"/>
        <item x="1406"/>
        <item x="670"/>
        <item x="502"/>
        <item x="517"/>
        <item x="544"/>
        <item x="1120"/>
        <item x="622"/>
        <item x="479"/>
        <item x="514"/>
        <item x="529"/>
        <item x="334"/>
        <item x="528"/>
        <item x="557"/>
        <item x="998"/>
        <item x="681"/>
        <item x="859"/>
        <item x="1064"/>
        <item x="626"/>
        <item x="1280"/>
        <item x="924"/>
        <item x="790"/>
        <item x="736"/>
        <item x="836"/>
        <item x="754"/>
        <item x="1343"/>
        <item x="791"/>
        <item x="787"/>
        <item x="931"/>
        <item x="1330"/>
        <item x="1425"/>
        <item x="1011"/>
        <item x="1041"/>
        <item x="1607"/>
        <item x="2192"/>
        <item x="2082"/>
        <item x="1185"/>
        <item x="1055"/>
        <item x="304"/>
        <item x="295"/>
        <item x="1508"/>
        <item x="126"/>
        <item x="73"/>
        <item x="726"/>
        <item x="423"/>
        <item x="730"/>
        <item x="612"/>
        <item x="716"/>
        <item x="1374"/>
        <item x="785"/>
        <item x="977"/>
        <item x="2058"/>
        <item x="1791"/>
        <item x="1820"/>
        <item x="1282"/>
        <item x="1513"/>
        <item x="1359"/>
        <item x="1449"/>
        <item x="1869"/>
        <item x="1576"/>
        <item x="1596"/>
        <item x="2037"/>
        <item x="1565"/>
        <item x="1705"/>
        <item x="1826"/>
        <item x="2060"/>
        <item x="1337"/>
        <item x="1722"/>
        <item x="1759"/>
        <item x="2229"/>
        <item x="2171"/>
        <item x="2015"/>
        <item x="2354"/>
        <item x="2244"/>
        <item x="2301"/>
        <item x="2256"/>
        <item x="2045"/>
        <item x="1568"/>
        <item x="2213"/>
        <item x="2360"/>
        <item x="2181"/>
        <item x="2266"/>
        <item x="2221"/>
        <item x="1925"/>
        <item x="1901"/>
        <item x="2218"/>
        <item x="2185"/>
        <item x="2174"/>
        <item x="2357"/>
        <item x="2272"/>
        <item x="2300"/>
        <item x="1579"/>
        <item x="1209"/>
        <item x="691"/>
        <item x="161"/>
        <item x="296"/>
        <item x="118"/>
        <item x="318"/>
        <item x="695"/>
        <item x="933"/>
        <item x="657"/>
        <item x="658"/>
        <item x="853"/>
        <item x="892"/>
        <item x="721"/>
        <item x="964"/>
        <item x="806"/>
        <item x="1000"/>
        <item x="994"/>
        <item x="1062"/>
        <item x="1492"/>
        <item x="625"/>
        <item x="634"/>
        <item x="775"/>
        <item x="896"/>
        <item x="846"/>
        <item x="865"/>
        <item x="1096"/>
        <item x="1423"/>
        <item x="1511"/>
        <item x="78"/>
        <item x="176"/>
        <item x="1604"/>
        <item x="2017"/>
        <item x="1414"/>
        <item x="1261"/>
        <item x="2074"/>
        <item x="651"/>
        <item x="158"/>
        <item x="786"/>
        <item x="682"/>
        <item x="1761"/>
        <item x="1085"/>
        <item x="1189"/>
        <item x="1471"/>
        <item x="1093"/>
        <item x="1211"/>
        <item x="486"/>
        <item x="130"/>
        <item x="52"/>
        <item x="79"/>
        <item x="165"/>
        <item x="340"/>
        <item x="216"/>
        <item x="186"/>
        <item x="184"/>
        <item x="29"/>
        <item x="51"/>
        <item x="133"/>
        <item x="444"/>
        <item x="24"/>
        <item x="556"/>
        <item x="579"/>
        <item x="454"/>
        <item x="2247"/>
        <item x="189"/>
        <item x="416"/>
        <item x="58"/>
        <item x="1758"/>
        <item x="1671"/>
        <item x="2048"/>
        <item x="1830"/>
        <item x="56"/>
        <item x="167"/>
        <item x="163"/>
        <item x="146"/>
        <item x="217"/>
        <item x="2041"/>
        <item x="848"/>
        <item x="986"/>
        <item x="1148"/>
        <item x="1038"/>
        <item x="1139"/>
        <item x="1161"/>
        <item x="1794"/>
        <item x="1108"/>
        <item x="1447"/>
        <item x="2315"/>
        <item x="1221"/>
        <item x="1362"/>
        <item x="1503"/>
        <item x="1535"/>
        <item x="1491"/>
        <item x="1453"/>
        <item x="2084"/>
        <item x="64"/>
        <item x="112"/>
        <item x="67"/>
        <item x="105"/>
        <item x="70"/>
        <item x="103"/>
        <item x="149"/>
        <item x="152"/>
        <item x="75"/>
        <item x="107"/>
        <item x="261"/>
        <item x="224"/>
        <item x="91"/>
        <item x="76"/>
        <item x="144"/>
        <item x="85"/>
        <item x="88"/>
        <item x="207"/>
        <item x="171"/>
        <item x="343"/>
        <item x="102"/>
        <item x="108"/>
        <item x="104"/>
        <item x="131"/>
        <item x="194"/>
        <item x="175"/>
        <item x="246"/>
        <item x="220"/>
        <item x="232"/>
        <item x="223"/>
        <item x="97"/>
        <item x="135"/>
        <item x="303"/>
        <item x="2230"/>
        <item x="1408"/>
        <item x="1773"/>
        <item x="1315"/>
        <item x="1956"/>
        <item x="1710"/>
        <item x="1845"/>
        <item x="1138"/>
        <item x="1329"/>
        <item x="1477"/>
        <item x="1935"/>
        <item x="2067"/>
        <item x="2057"/>
        <item x="225"/>
        <item x="249"/>
        <item x="851"/>
        <item x="178"/>
        <item x="374"/>
        <item x="1122"/>
        <item x="1540"/>
        <item x="1273"/>
        <item x="355"/>
        <item x="1008"/>
        <item x="894"/>
        <item x="1305"/>
        <item x="711"/>
        <item x="2133"/>
        <item x="1784"/>
        <item x="2105"/>
        <item x="1819"/>
        <item x="1889"/>
        <item x="1983"/>
        <item x="371"/>
        <item x="928"/>
        <item x="1440"/>
        <item x="1229"/>
        <item x="1186"/>
        <item x="94"/>
        <item x="1102"/>
        <item x="1523"/>
        <item x="970"/>
        <item x="553"/>
        <item x="976"/>
        <item x="878"/>
        <item x="744"/>
        <item x="35"/>
        <item x="332"/>
        <item x="373"/>
        <item x="653"/>
        <item x="647"/>
        <item x="1248"/>
        <item x="967"/>
        <item x="1049"/>
        <item x="1132"/>
        <item x="41"/>
        <item x="68"/>
        <item x="141"/>
        <item x="1878"/>
        <item x="1856"/>
        <item x="2075"/>
        <item x="586"/>
        <item x="1253"/>
        <item x="1617"/>
        <item x="1927"/>
        <item x="1586"/>
        <item x="1445"/>
        <item x="1130"/>
        <item x="1278"/>
        <item x="1825"/>
        <item x="1394"/>
        <item x="1422"/>
        <item x="1136"/>
        <item x="1473"/>
        <item x="1087"/>
        <item x="1187"/>
        <item x="1754"/>
        <item x="1774"/>
        <item x="1287"/>
        <item x="1304"/>
        <item x="1666"/>
        <item x="1486"/>
        <item x="1870"/>
        <item x="1817"/>
        <item x="2027"/>
        <item x="1642"/>
        <item x="1931"/>
        <item x="1500"/>
        <item x="1199"/>
        <item x="1386"/>
        <item x="1497"/>
        <item x="1701"/>
        <item x="297"/>
        <item x="280"/>
        <item x="269"/>
        <item x="153"/>
        <item x="239"/>
        <item x="2231"/>
        <item x="1767"/>
        <item x="2314"/>
        <item x="1397"/>
        <item x="1703"/>
        <item x="1392"/>
        <item x="1563"/>
        <item x="1536"/>
        <item x="1465"/>
        <item x="1321"/>
        <item x="1546"/>
        <item x="2040"/>
        <item x="1307"/>
        <item x="2332"/>
        <item x="2055"/>
        <item x="776"/>
        <item x="2158"/>
        <item x="2033"/>
        <item x="2284"/>
        <item x="2191"/>
        <item x="1938"/>
        <item x="866"/>
        <item x="1128"/>
        <item x="2006"/>
        <item x="1853"/>
        <item x="1708"/>
        <item x="2362"/>
        <item x="707"/>
        <item x="1306"/>
        <item x="1903"/>
        <item x="2050"/>
        <item x="703"/>
        <item x="2010"/>
        <item x="565"/>
        <item x="533"/>
        <item x="747"/>
        <item x="813"/>
        <item x="1291"/>
        <item x="1110"/>
        <item x="770"/>
        <item x="837"/>
        <item x="871"/>
        <item x="855"/>
        <item x="913"/>
        <item x="1308"/>
        <item x="1317"/>
        <item x="1004"/>
        <item x="925"/>
        <item x="679"/>
        <item x="2039"/>
        <item x="1205"/>
        <item x="1336"/>
        <item x="1640"/>
        <item x="1991"/>
        <item x="1626"/>
        <item x="1526"/>
        <item x="1657"/>
        <item x="1861"/>
        <item x="1658"/>
        <item x="765"/>
        <item x="2259"/>
        <item x="1697"/>
        <item x="424"/>
        <item x="32"/>
        <item x="136"/>
        <item x="166"/>
        <item x="122"/>
        <item x="98"/>
        <item x="31"/>
        <item x="291"/>
        <item x="251"/>
        <item x="283"/>
        <item x="674"/>
        <item x="241"/>
        <item x="413"/>
        <item x="213"/>
        <item x="335"/>
        <item x="338"/>
        <item x="352"/>
        <item x="319"/>
        <item x="326"/>
        <item x="339"/>
        <item x="311"/>
        <item x="170"/>
        <item x="148"/>
        <item x="111"/>
        <item x="188"/>
        <item x="1487"/>
        <item x="1955"/>
        <item x="917"/>
        <item x="2140"/>
        <item x="324"/>
        <item x="2337"/>
        <item x="151"/>
        <item x="80"/>
        <item x="192"/>
        <item x="235"/>
        <item x="263"/>
        <item x="81"/>
        <item x="117"/>
        <item x="84"/>
        <item x="134"/>
        <item x="180"/>
        <item x="244"/>
        <item x="93"/>
        <item x="543"/>
        <item x="601"/>
        <item x="1302"/>
        <item x="991"/>
        <item x="1515"/>
        <item x="1452"/>
        <item x="1922"/>
        <item x="1484"/>
        <item x="2007"/>
        <item x="1795"/>
        <item x="1868"/>
        <item x="1954"/>
        <item x="2198"/>
        <item x="1858"/>
        <item x="1527"/>
        <item x="2173"/>
        <item x="2175"/>
        <item x="2011"/>
        <item x="1396"/>
        <item x="1566"/>
        <item x="1616"/>
        <item x="1624"/>
        <item x="1476"/>
        <item x="1609"/>
        <item x="1771"/>
        <item x="2042"/>
        <item x="2112"/>
        <item x="2069"/>
        <item x="772"/>
        <item x="2261"/>
        <item x="2253"/>
        <item x="2052"/>
        <item x="2138"/>
        <item x="2350"/>
        <item x="2117"/>
        <item x="766"/>
        <item x="519"/>
        <item x="678"/>
        <item x="50"/>
        <item x="289"/>
        <item x="59"/>
        <item x="123"/>
        <item x="362"/>
        <item x="168"/>
        <item x="550"/>
        <item x="420"/>
        <item x="635"/>
        <item x="279"/>
        <item x="497"/>
        <item x="609"/>
        <item x="518"/>
        <item x="566"/>
        <item x="265"/>
        <item x="1428"/>
        <item x="769"/>
        <item x="701"/>
        <item x="807"/>
        <item x="735"/>
        <item x="858"/>
        <item x="971"/>
        <item x="796"/>
        <item x="908"/>
        <item x="567"/>
        <item x="256"/>
        <item x="403"/>
        <item x="266"/>
        <item x="1813"/>
        <item x="1436"/>
        <item x="310"/>
        <item x="299"/>
        <item x="284"/>
        <item x="317"/>
        <item x="294"/>
        <item x="314"/>
        <item x="828"/>
        <item x="367"/>
        <item x="345"/>
        <item x="1126"/>
        <item x="412"/>
        <item x="398"/>
        <item x="820"/>
        <item x="844"/>
        <item x="110"/>
        <item x="615"/>
        <item x="582"/>
        <item x="748"/>
        <item x="611"/>
        <item x="699"/>
        <item x="849"/>
        <item x="694"/>
        <item x="729"/>
        <item x="255"/>
        <item x="751"/>
        <item x="900"/>
        <item x="1570"/>
        <item x="2262"/>
        <item x="1298"/>
        <item x="1530"/>
        <item x="805"/>
        <item x="799"/>
        <item x="1048"/>
        <item x="1037"/>
        <item x="2319"/>
        <item x="1013"/>
        <item x="1562"/>
        <item x="1150"/>
        <item x="1435"/>
        <item x="1262"/>
        <item x="1444"/>
        <item x="1717"/>
        <item x="2303"/>
        <item x="1873"/>
        <item x="2323"/>
        <item x="1182"/>
        <item x="1241"/>
        <item x="1283"/>
        <item x="1518"/>
        <item x="1748"/>
        <item x="698"/>
        <item x="384"/>
        <item x="1686"/>
        <item x="1284"/>
        <item x="503"/>
        <item x="825"/>
        <item x="1721"/>
        <item x="1023"/>
        <item x="1106"/>
        <item x="1133"/>
        <item x="1421"/>
        <item x="1338"/>
        <item x="2364"/>
        <item x="1557"/>
        <item x="2113"/>
        <item x="1429"/>
        <item x="2014"/>
        <item x="2118"/>
        <item x="354"/>
        <item x="337"/>
        <item x="549"/>
        <item x="389"/>
        <item x="981"/>
        <item x="2353"/>
        <item x="816"/>
        <item x="683"/>
        <item x="468"/>
        <item x="548"/>
        <item x="530"/>
        <item x="1097"/>
        <item x="1152"/>
        <item x="1259"/>
        <item x="1490"/>
        <item x="1222"/>
        <item x="1541"/>
        <item x="1558"/>
        <item x="1434"/>
        <item x="804"/>
        <item x="1027"/>
        <item x="397"/>
        <item x="1072"/>
        <item x="1240"/>
        <item x="1289"/>
        <item x="880"/>
        <item x="1403"/>
        <item x="1711"/>
        <item x="767"/>
        <item x="542"/>
        <item x="575"/>
        <item x="585"/>
        <item x="887"/>
        <item x="959"/>
        <item x="1071"/>
        <item x="1916"/>
        <item x="1437"/>
        <item x="2029"/>
        <item x="198"/>
        <item x="154"/>
        <item x="209"/>
        <item x="230"/>
        <item x="907"/>
        <item x="961"/>
        <item x="921"/>
        <item x="1354"/>
        <item x="1231"/>
        <item x="1702"/>
        <item x="704"/>
        <item x="763"/>
        <item x="113"/>
        <item x="150"/>
        <item x="121"/>
        <item x="293"/>
        <item x="206"/>
        <item x="782"/>
        <item x="809"/>
        <item x="120"/>
        <item x="142"/>
        <item x="47"/>
        <item x="2342"/>
        <item x="347"/>
        <item x="305"/>
        <item x="562"/>
        <item x="710"/>
        <item x="714"/>
        <item x="302"/>
        <item x="812"/>
        <item x="448"/>
        <item x="1256"/>
        <item x="2155"/>
        <item x="1723"/>
        <item x="2313"/>
        <item x="1514"/>
        <item x="2132"/>
        <item x="2061"/>
        <item x="2239"/>
        <item x="1249"/>
        <item x="1405"/>
        <item x="1460"/>
        <item x="1082"/>
        <item x="1713"/>
        <item x="1639"/>
        <item x="1548"/>
        <item x="882"/>
        <item x="873"/>
        <item x="906"/>
        <item x="903"/>
        <item x="1036"/>
        <item x="1202"/>
        <item x="879"/>
        <item x="1483"/>
        <item x="1272"/>
        <item x="1379"/>
        <item x="1881"/>
        <item x="1094"/>
        <item x="1345"/>
        <item x="1140"/>
        <item x="1142"/>
        <item x="1147"/>
        <item x="1243"/>
        <item x="1945"/>
        <item x="944"/>
        <item x="1525"/>
        <item x="1377"/>
        <item x="1066"/>
        <item x="1020"/>
        <item x="1235"/>
        <item x="1699"/>
        <item x="1797"/>
        <item x="1153"/>
        <item x="1169"/>
        <item x="1323"/>
        <item x="1104"/>
        <item x="1137"/>
        <item x="1633"/>
        <item x="2183"/>
        <item x="1809"/>
        <item x="1762"/>
        <item x="2226"/>
        <item x="1457"/>
        <item x="1584"/>
        <item x="1944"/>
        <item x="1857"/>
        <item x="1929"/>
        <item x="2108"/>
        <item x="869"/>
        <item x="1032"/>
        <item x="1117"/>
        <item x="1564"/>
        <item x="1228"/>
        <item x="2000"/>
        <item x="147"/>
        <item x="139"/>
        <item x="2019"/>
        <item x="2291"/>
        <item x="2245"/>
        <item x="2160"/>
        <item x="2028"/>
        <item x="2176"/>
        <item x="2215"/>
        <item x="1507"/>
        <item x="2162"/>
        <item x="2023"/>
        <item x="2090"/>
        <item x="1067"/>
        <item x="1674"/>
        <item x="1750"/>
        <item x="1846"/>
        <item x="1653"/>
        <item x="1569"/>
        <item x="2310"/>
        <item x="2297"/>
        <item x="1984"/>
        <item x="2035"/>
        <item x="1661"/>
        <item x="1756"/>
        <item x="1481"/>
        <item x="1645"/>
        <item x="1806"/>
        <item x="1834"/>
        <item x="1692"/>
        <item x="1847"/>
        <item x="1651"/>
        <item x="346"/>
        <item x="2064"/>
        <item x="1300"/>
        <item x="2334"/>
        <item x="1763"/>
        <item x="313"/>
        <item x="1213"/>
        <item x="1191"/>
        <item x="1143"/>
        <item x="1171"/>
        <item x="1632"/>
        <item x="1326"/>
        <item x="1024"/>
        <item x="827"/>
        <item x="823"/>
        <item x="1383"/>
        <item x="1159"/>
        <item x="1381"/>
        <item x="1668"/>
        <item x="1157"/>
        <item x="1239"/>
        <item x="434"/>
        <item x="2165"/>
        <item x="829"/>
        <item x="2269"/>
        <item x="164"/>
        <item x="187"/>
        <item x="1451"/>
        <item x="45"/>
        <item x="248"/>
        <item x="2281"/>
        <item x="2330"/>
        <item x="2321"/>
        <item x="555"/>
        <item x="464"/>
        <item x="1076"/>
        <item x="2159"/>
        <item x="2100"/>
        <item x="1792"/>
        <item x="2212"/>
        <item x="2251"/>
        <item x="1635"/>
        <item x="1882"/>
        <item x="1456"/>
        <item x="1115"/>
        <item x="1194"/>
        <item x="2097"/>
        <item x="2115"/>
        <item x="2372"/>
        <item x="401"/>
        <item x="1704"/>
        <item x="1963"/>
        <item x="949"/>
        <item x="1299"/>
        <item x="926"/>
        <item x="1418"/>
        <item x="1175"/>
        <item x="2072"/>
        <item x="1821"/>
        <item x="1687"/>
        <item x="1368"/>
        <item x="1356"/>
        <item x="2059"/>
        <item x="1134"/>
        <item x="1928"/>
        <item x="1432"/>
        <item x="116"/>
        <item x="181"/>
        <item x="48"/>
        <item x="281"/>
        <item x="39"/>
        <item x="2088"/>
        <item x="2109"/>
        <item x="405"/>
        <item x="2068"/>
        <item x="2077"/>
        <item x="214"/>
        <item x="2156"/>
        <item x="2095"/>
        <item x="2086"/>
        <item x="2202"/>
        <item x="1902"/>
        <item x="1951"/>
        <item x="83"/>
        <item x="138"/>
        <item x="38"/>
        <item x="1885"/>
        <item x="69"/>
        <item x="2258"/>
        <item x="1786"/>
        <item x="815"/>
        <item x="914"/>
        <item x="833"/>
        <item x="1892"/>
        <item x="137"/>
        <item x="267"/>
        <item x="33"/>
        <item x="253"/>
        <item x="309"/>
        <item x="124"/>
        <item x="300"/>
        <item x="333"/>
        <item x="618"/>
        <item x="228"/>
        <item x="341"/>
        <item x="238"/>
        <item x="331"/>
        <item x="330"/>
        <item x="342"/>
        <item x="510"/>
        <item x="8"/>
        <item x="14"/>
        <item x="1555"/>
        <item x="1729"/>
        <item x="2351"/>
        <item x="2356"/>
        <item x="1972"/>
        <item x="1488"/>
        <item x="1980"/>
        <item x="119"/>
        <item x="276"/>
        <item x="417"/>
        <item x="236"/>
        <item x="385"/>
        <item x="270"/>
        <item x="315"/>
        <item x="322"/>
        <item x="391"/>
        <item x="376"/>
        <item x="534"/>
        <item x="365"/>
        <item x="240"/>
        <item x="525"/>
        <item x="560"/>
        <item x="524"/>
        <item x="564"/>
        <item x="1549"/>
        <item x="780"/>
        <item x="449"/>
        <item x="440"/>
        <item x="364"/>
        <item x="396"/>
        <item x="619"/>
        <item x="2349"/>
        <item x="1501"/>
        <item x="2092"/>
        <item x="1979"/>
        <item x="2137"/>
        <item x="1595"/>
        <item x="1966"/>
        <item x="1827"/>
        <item x="1590"/>
        <item x="1340"/>
        <item x="1208"/>
        <item x="1730"/>
        <item x="2078"/>
        <item x="363"/>
        <item x="1347"/>
        <item x="1057"/>
        <item x="1285"/>
        <item x="1512"/>
        <item x="1203"/>
        <item x="1871"/>
        <item x="2091"/>
        <item x="2065"/>
        <item x="66"/>
        <item x="193"/>
        <item x="200"/>
        <item x="182"/>
        <item x="195"/>
        <item x="285"/>
        <item x="247"/>
        <item x="351"/>
        <item x="274"/>
        <item x="327"/>
        <item x="435"/>
        <item x="499"/>
        <item x="854"/>
        <item x="1801"/>
        <item x="1675"/>
        <item x="1646"/>
        <item x="1335"/>
        <item x="1388"/>
        <item x="1073"/>
        <item x="1367"/>
        <item x="1494"/>
        <item x="1415"/>
        <item x="1855"/>
        <item x="2275"/>
        <item x="1419"/>
        <item x="2031"/>
        <item x="1989"/>
        <item x="2124"/>
        <item x="2206"/>
        <item x="2211"/>
        <item x="1788"/>
        <item x="2249"/>
        <item x="1605"/>
        <item x="2152"/>
        <item x="2280"/>
        <item x="370"/>
        <item x="272"/>
        <item x="638"/>
        <item x="753"/>
        <item x="1353"/>
        <item x="2352"/>
        <item x="1371"/>
        <item x="61"/>
        <item x="252"/>
        <item x="74"/>
        <item x="174"/>
        <item x="100"/>
        <item x="162"/>
        <item x="125"/>
        <item x="156"/>
        <item x="742"/>
        <item x="229"/>
        <item x="286"/>
        <item x="257"/>
        <item x="159"/>
        <item x="160"/>
        <item x="205"/>
        <item x="222"/>
        <item x="275"/>
        <item x="841"/>
        <item x="1050"/>
        <item x="952"/>
        <item x="1320"/>
        <item x="1018"/>
        <item x="1977"/>
        <item x="1113"/>
        <item x="1046"/>
        <item x="1003"/>
        <item x="1489"/>
        <item x="1238"/>
        <item x="1089"/>
        <item x="885"/>
        <item x="1251"/>
        <item x="1188"/>
        <item x="1204"/>
        <item x="2032"/>
        <item x="2278"/>
        <item x="2374"/>
        <item x="11"/>
        <item x="474"/>
        <item x="72"/>
        <item x="1818"/>
        <item x="1424"/>
        <item x="2003"/>
        <item x="1509"/>
        <item x="1601"/>
        <item x="1480"/>
        <item x="1978"/>
        <item x="2001"/>
        <item x="1887"/>
        <item x="1575"/>
        <item x="1623"/>
        <item x="1900"/>
        <item x="1602"/>
        <item x="2298"/>
        <item x="2087"/>
        <item x="2296"/>
        <item x="1737"/>
        <item x="2182"/>
        <item x="2080"/>
        <item x="2252"/>
        <item x="2268"/>
        <item x="1581"/>
        <item x="2340"/>
        <item x="594"/>
        <item x="1279"/>
        <item x="1255"/>
        <item x="1988"/>
        <item x="983"/>
        <item x="95"/>
        <item x="115"/>
        <item x="132"/>
        <item x="128"/>
        <item x="2157"/>
        <item x="2094"/>
        <item x="2093"/>
        <item x="1982"/>
        <item x="375"/>
        <item x="219"/>
        <item x="353"/>
        <item x="210"/>
        <item x="1600"/>
        <item x="808"/>
        <item x="798"/>
        <item x="881"/>
        <item x="1005"/>
        <item x="1026"/>
        <item x="1006"/>
        <item x="935"/>
        <item x="966"/>
        <item x="1292"/>
        <item x="1166"/>
        <item x="1538"/>
        <item x="1398"/>
        <item x="1839"/>
        <item x="2224"/>
        <item x="1233"/>
        <item x="1225"/>
        <item x="1314"/>
        <item x="1293"/>
        <item x="1427"/>
        <item x="1455"/>
        <item x="1780"/>
        <item x="2030"/>
        <item x="1883"/>
        <item x="1755"/>
        <item x="2287"/>
        <item x="421"/>
        <item x="2079"/>
        <item x="2172"/>
        <item x="2136"/>
        <item x="306"/>
        <item x="2306"/>
        <item x="288"/>
        <item x="688"/>
        <item x="932"/>
        <item x="546"/>
        <item x="538"/>
        <item x="614"/>
        <item x="641"/>
        <item x="752"/>
        <item x="672"/>
        <item x="492"/>
        <item x="801"/>
        <item x="577"/>
        <item x="702"/>
        <item x="857"/>
        <item x="624"/>
        <item x="750"/>
        <item x="705"/>
        <item x="87"/>
        <item x="909"/>
        <item x="838"/>
        <item x="1733"/>
        <item x="774"/>
        <item x="980"/>
        <item x="1782"/>
        <item x="830"/>
        <item x="912"/>
        <item x="1290"/>
        <item x="1629"/>
        <item x="690"/>
        <item x="627"/>
        <item x="762"/>
        <item x="662"/>
        <item x="676"/>
        <item x="989"/>
        <item x="1230"/>
        <item x="764"/>
        <item x="547"/>
        <item x="883"/>
        <item x="660"/>
        <item x="737"/>
        <item x="758"/>
        <item x="810"/>
        <item x="934"/>
        <item x="958"/>
        <item x="890"/>
        <item x="1215"/>
        <item x="1084"/>
        <item x="862"/>
        <item x="789"/>
        <item x="792"/>
        <item x="795"/>
        <item x="1162"/>
        <item x="922"/>
        <item x="811"/>
        <item x="929"/>
        <item x="822"/>
        <item x="1357"/>
        <item x="1342"/>
        <item x="938"/>
        <item x="1877"/>
        <item x="1370"/>
        <item x="950"/>
        <item x="821"/>
        <item x="1065"/>
        <item x="916"/>
        <item x="920"/>
        <item x="1732"/>
        <item x="1035"/>
        <item x="839"/>
        <item x="1183"/>
        <item x="1019"/>
        <item x="860"/>
        <item x="1331"/>
        <item x="463"/>
        <item x="1237"/>
        <item x="243"/>
        <item x="231"/>
        <item x="211"/>
        <item x="1467"/>
        <item x="254"/>
        <item x="196"/>
        <item x="282"/>
        <item x="1"/>
        <item x="0"/>
        <item x="2257"/>
        <item x="1898"/>
        <item x="1274"/>
        <item x="1800"/>
        <item x="2056"/>
        <item x="1146"/>
        <item x="1450"/>
        <item x="1472"/>
        <item x="1735"/>
        <item x="2121"/>
        <item x="1779"/>
        <item x="2034"/>
        <item x="55"/>
        <item x="4"/>
        <item x="7"/>
        <item x="5"/>
        <item x="15"/>
        <item x="18"/>
        <item x="10"/>
        <item x="9"/>
        <item x="12"/>
        <item x="16"/>
        <item x="19"/>
        <item x="22"/>
        <item x="20"/>
        <item x="21"/>
        <item x="6"/>
        <item x="271"/>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numFmtId="10" showAll="0"/>
    <pivotField showAll="0">
      <items count="5">
        <item h="1" x="2"/>
        <item h="1" x="0"/>
        <item x="1"/>
        <item h="1" m="1" x="3"/>
        <item t="default"/>
      </items>
    </pivotField>
    <pivotField showAll="0">
      <items count="7">
        <item x="0"/>
        <item x="1"/>
        <item x="2"/>
        <item x="3"/>
        <item x="4"/>
        <item x="5"/>
        <item t="default"/>
      </items>
    </pivotField>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s>
  <rowFields count="1">
    <field x="9"/>
  </rowFields>
  <rowItems count="3">
    <i>
      <x v="2252"/>
    </i>
    <i>
      <x v="1752"/>
    </i>
    <i>
      <x v="1894"/>
    </i>
  </rowItems>
  <colItems count="1">
    <i/>
  </colItems>
  <dataFields count="1">
    <dataField name="Suma de fallecidos" fld="15" showDataAs="percentOfCol" baseField="9" baseItem="1080" numFmtId="10"/>
  </dataFields>
  <chartFormats count="1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9" count="1" selected="0">
            <x v="1173"/>
          </reference>
        </references>
      </pivotArea>
    </chartFormat>
    <chartFormat chart="2" format="7">
      <pivotArea type="data" outline="0" fieldPosition="0">
        <references count="2">
          <reference field="4294967294" count="1" selected="0">
            <x v="0"/>
          </reference>
          <reference field="9" count="1" selected="0">
            <x v="145"/>
          </reference>
        </references>
      </pivotArea>
    </chartFormat>
    <chartFormat chart="2" format="8">
      <pivotArea type="data" outline="0" fieldPosition="0">
        <references count="2">
          <reference field="4294967294" count="1" selected="0">
            <x v="0"/>
          </reference>
          <reference field="9" count="1" selected="0">
            <x v="1080"/>
          </reference>
        </references>
      </pivotArea>
    </chartFormat>
    <chartFormat chart="2" format="9">
      <pivotArea type="data" outline="0" fieldPosition="0">
        <references count="2">
          <reference field="4294967294" count="1" selected="0">
            <x v="0"/>
          </reference>
          <reference field="9" count="1" selected="0">
            <x v="1752"/>
          </reference>
        </references>
      </pivotArea>
    </chartFormat>
    <chartFormat chart="2" format="10">
      <pivotArea type="data" outline="0" fieldPosition="0">
        <references count="2">
          <reference field="4294967294" count="1" selected="0">
            <x v="0"/>
          </reference>
          <reference field="9" count="1" selected="0">
            <x v="2252"/>
          </reference>
        </references>
      </pivotArea>
    </chartFormat>
    <chartFormat chart="2" format="11">
      <pivotArea type="data" outline="0" fieldPosition="0">
        <references count="2">
          <reference field="4294967294" count="1" selected="0">
            <x v="0"/>
          </reference>
          <reference field="9" count="1" selected="0">
            <x v="1894"/>
          </reference>
        </references>
      </pivotArea>
    </chartFormat>
    <chartFormat chart="2" format="12">
      <pivotArea type="data" outline="0" fieldPosition="0">
        <references count="2">
          <reference field="4294967294" count="1" selected="0">
            <x v="0"/>
          </reference>
          <reference field="9" count="1" selected="0">
            <x v="1880"/>
          </reference>
        </references>
      </pivotArea>
    </chartFormat>
    <chartFormat chart="2" format="13">
      <pivotArea type="data" outline="0" fieldPosition="0">
        <references count="2">
          <reference field="4294967294" count="1" selected="0">
            <x v="0"/>
          </reference>
          <reference field="9" count="1" selected="0">
            <x v="434"/>
          </reference>
        </references>
      </pivotArea>
    </chartFormat>
    <chartFormat chart="2" format="14">
      <pivotArea type="data" outline="0" fieldPosition="0">
        <references count="2">
          <reference field="4294967294" count="1" selected="0">
            <x v="0"/>
          </reference>
          <reference field="9" count="1" selected="0">
            <x v="2232"/>
          </reference>
        </references>
      </pivotArea>
    </chartFormat>
    <chartFormat chart="2" format="15">
      <pivotArea type="data" outline="0" fieldPosition="0">
        <references count="2">
          <reference field="4294967294" count="1" selected="0">
            <x v="0"/>
          </reference>
          <reference field="9" count="1" selected="0">
            <x v="883"/>
          </reference>
        </references>
      </pivotArea>
    </chartFormat>
    <chartFormat chart="2" format="16">
      <pivotArea type="data" outline="0" fieldPosition="0">
        <references count="2">
          <reference field="4294967294" count="1" selected="0">
            <x v="0"/>
          </reference>
          <reference field="9" count="1" selected="0">
            <x v="1582"/>
          </reference>
        </references>
      </pivotArea>
    </chartFormat>
    <chartFormat chart="2" format="17">
      <pivotArea type="data" outline="0" fieldPosition="0">
        <references count="2">
          <reference field="4294967294" count="1" selected="0">
            <x v="0"/>
          </reference>
          <reference field="9" count="1" selected="0">
            <x v="71"/>
          </reference>
        </references>
      </pivotArea>
    </chartFormat>
    <chartFormat chart="2" format="18">
      <pivotArea type="data" outline="0" fieldPosition="0">
        <references count="2">
          <reference field="4294967294" count="1" selected="0">
            <x v="0"/>
          </reference>
          <reference field="9" count="1" selected="0">
            <x v="1906"/>
          </reference>
        </references>
      </pivotArea>
    </chartFormat>
  </chartFormats>
  <pivotTableStyleInfo name="PivotStyleLight16" showRowHeaders="1" showColHeaders="1" showRowStripes="0" showColStripes="0" showLastColumn="1"/>
  <filters count="1">
    <filter fld="9"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0EBA7C-59B8-4D4D-B9E6-346E1441C900}"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Y4:Y5" firstHeaderRow="1" firstDataRow="1" firstDataCol="0"/>
  <pivotFields count="25">
    <pivotField showAll="0"/>
    <pivotField numFmtId="14" showAll="0"/>
    <pivotField showAll="0"/>
    <pivotField showAll="0">
      <items count="12">
        <item h="1" x="0"/>
        <item h="1" x="1"/>
        <item h="1" x="2"/>
        <item x="3"/>
        <item h="1" x="4"/>
        <item h="1" x="5"/>
        <item h="1" m="1" x="8"/>
        <item h="1" m="1" x="10"/>
        <item h="1" m="1" x="6"/>
        <item h="1" m="1" x="7"/>
        <item h="1" m="1"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numFmtId="10" showAll="0"/>
    <pivotField showAll="0">
      <items count="5">
        <item h="1" x="2"/>
        <item h="1" x="0"/>
        <item x="1"/>
        <item h="1" m="1" x="3"/>
        <item t="default"/>
      </items>
    </pivotField>
    <pivotField showAll="0" defaultSubtotal="0"/>
    <pivotField showAll="0" defaultSubtotal="0"/>
  </pivotFields>
  <rowItems count="1">
    <i/>
  </rowItems>
  <colItems count="1">
    <i/>
  </colItems>
  <dataFields count="1">
    <dataField name="Suma de Aboard" fld="12" baseField="0" baseItem="2739392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FB8242-CC0E-40D9-B8D2-C80FC7060CE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cada">
  <location ref="O2:Q15" firstHeaderRow="1" firstDataRow="2" firstDataCol="1"/>
  <pivotFields count="25">
    <pivotField showAll="0"/>
    <pivotField numFmtId="14" showAll="0">
      <items count="15">
        <item x="0"/>
        <item x="1"/>
        <item x="2"/>
        <item x="3"/>
        <item x="4"/>
        <item x="5"/>
        <item x="6"/>
        <item x="7"/>
        <item x="8"/>
        <item x="9"/>
        <item x="10"/>
        <item x="11"/>
        <item x="12"/>
        <item x="13"/>
        <item t="default"/>
      </items>
    </pivotField>
    <pivotField showAll="0" defaultSubtotal="0"/>
    <pivotField axis="axisRow" showAll="0">
      <items count="12">
        <item h="1" x="0"/>
        <item h="1" m="1" x="6"/>
        <item h="1" m="1" x="7"/>
        <item h="1" m="1" x="9"/>
        <item h="1" m="1" x="8"/>
        <item h="1" m="1" x="10"/>
        <item h="1" x="1"/>
        <item h="1" x="2"/>
        <item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axis="axisCol" dataField="1" showAll="0">
      <items count="5">
        <item x="1"/>
        <item h="1" x="2"/>
        <item h="1" x="0"/>
        <item h="1" m="1" x="3"/>
        <item t="default"/>
      </items>
    </pivotField>
    <pivotField showAll="0">
      <items count="7">
        <item x="0"/>
        <item x="1"/>
        <item x="2"/>
        <item x="3"/>
        <item x="4"/>
        <item x="5"/>
        <item t="default"/>
      </items>
    </pivotField>
    <pivotField axis="axisRow"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s>
  <rowFields count="2">
    <field x="3"/>
    <field x="24"/>
  </rowFields>
  <rowItems count="12">
    <i>
      <x v="8"/>
    </i>
    <i r="1">
      <x v="83"/>
    </i>
    <i r="1">
      <x v="84"/>
    </i>
    <i r="1">
      <x v="85"/>
    </i>
    <i r="1">
      <x v="86"/>
    </i>
    <i r="1">
      <x v="87"/>
    </i>
    <i r="1">
      <x v="88"/>
    </i>
    <i r="1">
      <x v="89"/>
    </i>
    <i r="1">
      <x v="90"/>
    </i>
    <i r="1">
      <x v="91"/>
    </i>
    <i r="1">
      <x v="92"/>
    </i>
    <i t="grand">
      <x/>
    </i>
  </rowItems>
  <colFields count="1">
    <field x="22"/>
  </colFields>
  <colItems count="2">
    <i>
      <x/>
    </i>
    <i t="grand">
      <x/>
    </i>
  </colItems>
  <dataFields count="1">
    <dataField name="Cuenta de Tipo de accidente" fld="2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5C838D-744E-496D-9FE1-4FC62C164CD7}"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Y9:Y10" firstHeaderRow="1" firstDataRow="1" firstDataCol="0"/>
  <pivotFields count="25">
    <pivotField showAll="0"/>
    <pivotField numFmtId="14" showAll="0"/>
    <pivotField showAll="0"/>
    <pivotField showAll="0">
      <items count="12">
        <item h="1" x="0"/>
        <item h="1" x="1"/>
        <item h="1" x="2"/>
        <item x="3"/>
        <item h="1" x="4"/>
        <item h="1" x="5"/>
        <item h="1" m="1" x="8"/>
        <item h="1" m="1" x="10"/>
        <item h="1" m="1" x="6"/>
        <item h="1" m="1" x="7"/>
        <item h="1"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0" showAll="0"/>
    <pivotField showAll="0">
      <items count="5">
        <item h="1" x="2"/>
        <item h="1" x="0"/>
        <item x="1"/>
        <item h="1" m="1" x="3"/>
        <item t="default"/>
      </items>
    </pivotField>
    <pivotField showAll="0" defaultSubtotal="0"/>
    <pivotField showAll="0" defaultSubtotal="0"/>
  </pivotFields>
  <rowItems count="1">
    <i/>
  </rowItems>
  <colItems count="1">
    <i/>
  </colItems>
  <dataFields count="1">
    <dataField name="Suma de Ground"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D44A46-D505-45BF-BDCB-E5AC480F523F}"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E4:AF60" firstHeaderRow="1" firstDataRow="1" firstDataCol="1"/>
  <pivotFields count="8">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axis="axisRow" showAll="0">
      <items count="6">
        <item x="0"/>
        <item x="1"/>
        <item x="2"/>
        <item x="3"/>
        <item x="4"/>
        <item t="default"/>
      </items>
    </pivotField>
    <pivotField showAll="0"/>
    <pivotField showAll="0"/>
    <pivotField showAll="0"/>
    <pivotField numFmtId="9" showAll="0"/>
    <pivotField dataField="1" showAll="0"/>
    <pivotField numFmtId="166" showAll="0"/>
  </pivotFields>
  <rowFields count="2">
    <field x="1"/>
    <field x="0"/>
  </rowFields>
  <rowItems count="56">
    <i>
      <x/>
    </i>
    <i r="1">
      <x/>
    </i>
    <i r="1">
      <x v="1"/>
    </i>
    <i r="1">
      <x v="2"/>
    </i>
    <i r="1">
      <x v="3"/>
    </i>
    <i r="1">
      <x v="4"/>
    </i>
    <i r="1">
      <x v="5"/>
    </i>
    <i r="1">
      <x v="6"/>
    </i>
    <i r="1">
      <x v="7"/>
    </i>
    <i r="1">
      <x v="8"/>
    </i>
    <i r="1">
      <x v="9"/>
    </i>
    <i>
      <x v="1"/>
    </i>
    <i r="1">
      <x v="10"/>
    </i>
    <i r="1">
      <x v="11"/>
    </i>
    <i r="1">
      <x v="12"/>
    </i>
    <i r="1">
      <x v="13"/>
    </i>
    <i r="1">
      <x v="14"/>
    </i>
    <i r="1">
      <x v="15"/>
    </i>
    <i r="1">
      <x v="16"/>
    </i>
    <i r="1">
      <x v="17"/>
    </i>
    <i r="1">
      <x v="18"/>
    </i>
    <i r="1">
      <x v="19"/>
    </i>
    <i>
      <x v="2"/>
    </i>
    <i r="1">
      <x v="20"/>
    </i>
    <i r="1">
      <x v="21"/>
    </i>
    <i r="1">
      <x v="22"/>
    </i>
    <i r="1">
      <x v="23"/>
    </i>
    <i r="1">
      <x v="24"/>
    </i>
    <i r="1">
      <x v="25"/>
    </i>
    <i r="1">
      <x v="26"/>
    </i>
    <i r="1">
      <x v="27"/>
    </i>
    <i r="1">
      <x v="28"/>
    </i>
    <i r="1">
      <x v="29"/>
    </i>
    <i>
      <x v="3"/>
    </i>
    <i r="1">
      <x v="30"/>
    </i>
    <i r="1">
      <x v="31"/>
    </i>
    <i r="1">
      <x v="32"/>
    </i>
    <i r="1">
      <x v="33"/>
    </i>
    <i r="1">
      <x v="34"/>
    </i>
    <i r="1">
      <x v="35"/>
    </i>
    <i r="1">
      <x v="36"/>
    </i>
    <i r="1">
      <x v="37"/>
    </i>
    <i r="1">
      <x v="38"/>
    </i>
    <i r="1">
      <x v="39"/>
    </i>
    <i>
      <x v="4"/>
    </i>
    <i r="1">
      <x v="40"/>
    </i>
    <i r="1">
      <x v="41"/>
    </i>
    <i r="1">
      <x v="42"/>
    </i>
    <i r="1">
      <x v="43"/>
    </i>
    <i r="1">
      <x v="44"/>
    </i>
    <i r="1">
      <x v="45"/>
    </i>
    <i r="1">
      <x v="46"/>
    </i>
    <i r="1">
      <x v="47"/>
    </i>
    <i r="1">
      <x v="48"/>
    </i>
    <i r="1">
      <x v="49"/>
    </i>
    <i t="grand">
      <x/>
    </i>
  </rowItems>
  <colItems count="1">
    <i/>
  </colItems>
  <dataFields count="1">
    <dataField name="Suma de Passengers carried" fld="6" baseField="0" baseItem="0" numFmtId="167"/>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C01046-E10D-40B8-A5C3-FDDBAF077B6A}"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V4:V5" firstHeaderRow="1" firstDataRow="1" firstDataCol="0"/>
  <pivotFields count="25">
    <pivotField showAll="0"/>
    <pivotField numFmtId="14" showAll="0"/>
    <pivotField showAll="0"/>
    <pivotField showAll="0">
      <items count="12">
        <item h="1" x="0"/>
        <item h="1" x="1"/>
        <item h="1" x="2"/>
        <item x="3"/>
        <item h="1" x="4"/>
        <item h="1" x="5"/>
        <item h="1" m="1" x="8"/>
        <item h="1" m="1" x="10"/>
        <item h="1" m="1" x="6"/>
        <item h="1" m="1" x="7"/>
        <item h="1" m="1"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10" showAll="0"/>
    <pivotField showAll="0">
      <items count="5">
        <item h="1" x="2"/>
        <item h="1" x="0"/>
        <item x="1"/>
        <item h="1" m="1" x="3"/>
        <item t="default"/>
      </items>
    </pivotField>
    <pivotField showAll="0" defaultSubtotal="0"/>
    <pivotField showAll="0" defaultSubtotal="0"/>
  </pivotFields>
  <rowItems count="1">
    <i/>
  </rowItems>
  <colItems count="1">
    <i/>
  </colItems>
  <dataFields count="1">
    <dataField name="Suma de Fatalities" fld="15" baseField="0" baseItem="2739392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970146-57D9-44AD-B669-4325A2BFAE7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B4:AB5" firstHeaderRow="1" firstDataRow="1" firstDataCol="0"/>
  <pivotFields count="25">
    <pivotField showAll="0"/>
    <pivotField numFmtId="14" showAll="0"/>
    <pivotField showAll="0"/>
    <pivotField showAll="0">
      <items count="12">
        <item h="1" x="0"/>
        <item h="1" x="1"/>
        <item h="1" x="2"/>
        <item x="3"/>
        <item h="1" x="4"/>
        <item h="1" x="5"/>
        <item h="1" m="1" x="8"/>
        <item h="1" m="1" x="10"/>
        <item h="1" m="1" x="6"/>
        <item h="1" m="1" x="7"/>
        <item h="1"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0" showAll="0"/>
    <pivotField showAll="0">
      <items count="5">
        <item h="1" x="2"/>
        <item h="1" x="0"/>
        <item x="1"/>
        <item h="1" m="1" x="3"/>
        <item t="default"/>
      </items>
    </pivotField>
    <pivotField showAll="0" defaultSubtotal="0"/>
    <pivotField showAll="0" defaultSubtotal="0"/>
  </pivotFields>
  <rowItems count="1">
    <i/>
  </rowItems>
  <colItems count="1">
    <i/>
  </colItems>
  <dataFields count="1">
    <dataField name="Suma de Survived" fld="20" baseField="0" baseItem="2739392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78D0C2-8A17-4270-8CCE-F192095DBD52}"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ecada ">
  <location ref="J2:L14"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axis="axisRow" showAll="0" defaultSubtota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showAll="0">
      <items count="12">
        <item h="1" x="0"/>
        <item h="1" m="1" x="6"/>
        <item h="1" m="1" x="7"/>
        <item h="1" m="1" x="9"/>
        <item h="1" m="1" x="8"/>
        <item h="1" m="1" x="10"/>
        <item h="1" x="1"/>
        <item h="1" x="2"/>
        <item x="3"/>
        <item h="1" x="4"/>
        <item h="1" x="5"/>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numFmtId="10" showAll="0"/>
    <pivotField showAll="0">
      <items count="5">
        <item h="1" x="2"/>
        <item h="1" x="0"/>
        <item x="1"/>
        <item h="1" m="1" x="3"/>
        <item t="default"/>
      </items>
    </pivotField>
    <pivotField showAll="0">
      <items count="7">
        <item x="0"/>
        <item x="1"/>
        <item x="2"/>
        <item x="3"/>
        <item x="4"/>
        <item x="5"/>
        <item t="default"/>
      </items>
    </pivotField>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s>
  <rowFields count="2">
    <field x="3"/>
    <field x="2"/>
  </rowFields>
  <rowItems count="12">
    <i>
      <x v="8"/>
    </i>
    <i r="1">
      <x v="79"/>
    </i>
    <i r="1">
      <x v="80"/>
    </i>
    <i r="1">
      <x v="81"/>
    </i>
    <i r="1">
      <x v="82"/>
    </i>
    <i r="1">
      <x v="83"/>
    </i>
    <i r="1">
      <x v="84"/>
    </i>
    <i r="1">
      <x v="85"/>
    </i>
    <i r="1">
      <x v="86"/>
    </i>
    <i r="1">
      <x v="87"/>
    </i>
    <i r="1">
      <x v="88"/>
    </i>
    <i t="grand">
      <x/>
    </i>
  </rowItems>
  <colFields count="1">
    <field x="-2"/>
  </colFields>
  <colItems count="2">
    <i>
      <x/>
    </i>
    <i i="1">
      <x v="1"/>
    </i>
  </colItems>
  <dataFields count="2">
    <dataField name="Abordo" fld="12" baseField="3" baseItem="0"/>
    <dataField name="Muertes" fld="15" baseField="3"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3">
          <reference field="4294967294" count="1" selected="0">
            <x v="1"/>
          </reference>
          <reference field="2" count="1" selected="0">
            <x v="69"/>
          </reference>
          <reference field="3" count="1" selected="0">
            <x v="7"/>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pivotArea type="data" outline="0" fieldPosition="0">
        <references count="3">
          <reference field="4294967294" count="1" selected="0">
            <x v="1"/>
          </reference>
          <reference field="2" count="1" selected="0">
            <x v="69"/>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cade" xr10:uid="{FEC79870-1D71-448E-BDA4-035EAF861B49}" sourceName="Decade">
  <pivotTables>
    <pivotTable tabId="17" name="TablaDinámica16"/>
    <pivotTable tabId="17" name="TablaDinámica10"/>
    <pivotTable tabId="17" name="TablaDinámica15"/>
    <pivotTable tabId="17" name="TablaDinámica17"/>
    <pivotTable tabId="17" name="TablaDinámica2"/>
    <pivotTable tabId="17" name="TablaDinámica3"/>
    <pivotTable tabId="17" name="TablaDinámica8"/>
    <pivotTable tabId="17" name="TablaDinámica9"/>
    <pivotTable tabId="17" name="TablaDinámica4"/>
  </pivotTables>
  <data>
    <tabular pivotCacheId="1263419364">
      <items count="11">
        <i x="0"/>
        <i x="1"/>
        <i x="2"/>
        <i x="3" s="1"/>
        <i x="4"/>
        <i x="5"/>
        <i x="8" nd="1"/>
        <i x="10" nd="1"/>
        <i x="6" nd="1"/>
        <i x="7" nd="1"/>
        <i x="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accidente" xr10:uid="{F85E40F2-D6BD-4E8E-83F9-F2700205DB0B}" sourceName="Tipo de accidente">
  <pivotTables>
    <pivotTable tabId="17" name="TablaDinámica17"/>
    <pivotTable tabId="17" name="TablaDinámica10"/>
    <pivotTable tabId="17" name="TablaDinámica15"/>
    <pivotTable tabId="17" name="TablaDinámica16"/>
    <pivotTable tabId="17" name="TablaDinámica2"/>
    <pivotTable tabId="17" name="TablaDinámica3"/>
    <pivotTable tabId="17" name="TablaDinámica8"/>
    <pivotTable tabId="17" name="TablaDinámica9"/>
    <pivotTable tabId="17" name="TablaDinámica4"/>
  </pivotTables>
  <data>
    <tabular pivotCacheId="1263419364">
      <items count="4">
        <i x="2"/>
        <i x="0"/>
        <i x="1"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xr10:uid="{E52E0F49-7D1E-4134-9465-93450305F755}" cache="SegmentaciónDeDatos_Decade" caption="Decada" rowHeight="234950"/>
  <slicer name="Tipo de accidente" xr10:uid="{0D298A1F-FCF2-4C4D-AD30-0804316BE005}" cache="SegmentaciónDeDatos_Tipo_de_accidente" caption="Tipo de acciden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B2:X4966" totalsRowCount="1">
  <autoFilter ref="B2:X4965" xr:uid="{00000000-0009-0000-0100-000001000000}"/>
  <tableColumns count="23">
    <tableColumn id="1" xr3:uid="{00000000-0010-0000-0000-000001000000}" name="No." totalsRowLabel="Total" totalsRowDxfId="44"/>
    <tableColumn id="18" xr3:uid="{00000000-0010-0000-0000-000012000000}" name="Date" totalsRowFunction="count" dataDxfId="43" totalsRowDxfId="42"/>
    <tableColumn id="22" xr3:uid="{00000000-0010-0000-0000-000016000000}" name="Year" dataDxfId="41" totalsRowDxfId="40">
      <calculatedColumnFormula>YEAR(Tabla1[[#This Row],[Date]])</calculatedColumnFormula>
    </tableColumn>
    <tableColumn id="23" xr3:uid="{B2B9946B-A421-4B12-9394-A53D4E970CD6}" name="Decade" dataDxfId="39" totalsRowDxfId="38">
      <calculatedColumnFormula array="1">IFERROR(_xlfn.IFS(AND(D3&lt;1980,D3&gt;=1970),"70",AND(D3&lt;1990,D3&gt;=1980),"80",AND(D3&lt;2000,D3&gt;=1990),"90",AND(D3&lt;2010,D3&gt;=2000),"00",AND(D3&lt;=2019,D3&gt;=2010),"10"),"1908-1970")</calculatedColumnFormula>
    </tableColumn>
    <tableColumn id="2" xr3:uid="{00000000-0010-0000-0000-000002000000}" name="Time" totalsRowFunction="average" totalsRowDxfId="37"/>
    <tableColumn id="3" xr3:uid="{00000000-0010-0000-0000-000003000000}" name="Location"/>
    <tableColumn id="4" xr3:uid="{00000000-0010-0000-0000-000004000000}" name="Operator"/>
    <tableColumn id="5" xr3:uid="{00000000-0010-0000-0000-000005000000}" name="Flight #"/>
    <tableColumn id="6" xr3:uid="{00000000-0010-0000-0000-000006000000}" name="Route"/>
    <tableColumn id="7" xr3:uid="{00000000-0010-0000-0000-000007000000}" name="AC Type"/>
    <tableColumn id="8" xr3:uid="{00000000-0010-0000-0000-000008000000}" name="Registration" totalsRowDxfId="36"/>
    <tableColumn id="9" xr3:uid="{00000000-0010-0000-0000-000009000000}" name="cn/ln"/>
    <tableColumn id="10" xr3:uid="{00000000-0010-0000-0000-00000A000000}" name="Aboard" totalsRowFunction="sum" totalsRowDxfId="35"/>
    <tableColumn id="11" xr3:uid="{00000000-0010-0000-0000-00000B000000}" name="Aboard Passangers" totalsRowFunction="sum" totalsRowDxfId="34"/>
    <tableColumn id="12" xr3:uid="{00000000-0010-0000-0000-00000C000000}" name="Aboard Crew" totalsRowFunction="sum" totalsRowDxfId="33"/>
    <tableColumn id="13" xr3:uid="{00000000-0010-0000-0000-00000D000000}" name="Fatalities" totalsRowFunction="sum" totalsRowDxfId="32"/>
    <tableColumn id="14" xr3:uid="{00000000-0010-0000-0000-00000E000000}" name="Fatalities Passangers" totalsRowFunction="sum" totalsRowDxfId="31"/>
    <tableColumn id="15" xr3:uid="{00000000-0010-0000-0000-00000F000000}" name="Fatalities Crew" totalsRowFunction="sum" totalsRowDxfId="30"/>
    <tableColumn id="16" xr3:uid="{00000000-0010-0000-0000-000010000000}" name="Ground" totalsRowFunction="sum" totalsRowDxfId="29"/>
    <tableColumn id="17" xr3:uid="{00000000-0010-0000-0000-000011000000}" name="Summary" totalsRowFunction="count"/>
    <tableColumn id="19" xr3:uid="{00000000-0010-0000-0000-000013000000}" name="Survived" totalsRowFunction="sum" dataDxfId="28" totalsRowDxfId="27">
      <calculatedColumnFormula>Tabla1[[#This Row],[Aboard]]-Tabla1[[#This Row],[Fatalities]]</calculatedColumnFormula>
    </tableColumn>
    <tableColumn id="20" xr3:uid="{A67015C7-0862-4540-A733-B03C6957A09C}" name="Porcentaje de muertes" dataDxfId="26" totalsRowDxfId="25">
      <calculatedColumnFormula>IFERROR(Tabla1[[#This Row],[Fatalities]]/Tabla1[[#This Row],[Aboard]],0)</calculatedColumnFormula>
    </tableColumn>
    <tableColumn id="21" xr3:uid="{DDF4F8BE-333E-4D11-A562-8E32A462B4CA}" name="Tipo de accidente" dataDxfId="24" totalsRowDxfId="23">
      <calculatedColumnFormula array="1">_xlfn.IFS(Tabla1[[#This Row],[Porcentaje de muertes]]&lt;0.35,"LEVE",AND(Tabla1[[#This Row],[Porcentaje de muertes]]&gt;0.35,Tabla1[[#This Row],[Porcentaje de muertes]]&lt;0.65),"MEDIO",Tabla1[[#This Row],[Porcentaje de muertes]]&gt;0.65,"GRAVE")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a4" displayName="Tabla4" ref="AB2:CA269" totalsRowCount="1">
  <tableColumns count="52">
    <tableColumn id="1" xr3:uid="{00000000-0010-0000-0100-000001000000}" name="Country Name" totalsRowLabel="Total"/>
    <tableColumn id="2" xr3:uid="{00000000-0010-0000-0100-000002000000}" name="Country Code"/>
    <tableColumn id="3" xr3:uid="{00000000-0010-0000-0100-000003000000}" name="1970" totalsRowFunction="sum"/>
    <tableColumn id="4" xr3:uid="{00000000-0010-0000-0100-000004000000}" name="1971" totalsRowFunction="sum"/>
    <tableColumn id="5" xr3:uid="{00000000-0010-0000-0100-000005000000}" name="1972" totalsRowFunction="sum"/>
    <tableColumn id="6" xr3:uid="{00000000-0010-0000-0100-000006000000}" name="1973" totalsRowFunction="sum"/>
    <tableColumn id="7" xr3:uid="{00000000-0010-0000-0100-000007000000}" name="1974" totalsRowFunction="sum"/>
    <tableColumn id="8" xr3:uid="{00000000-0010-0000-0100-000008000000}" name="1975" totalsRowFunction="sum"/>
    <tableColumn id="9" xr3:uid="{00000000-0010-0000-0100-000009000000}" name="1976" totalsRowFunction="sum"/>
    <tableColumn id="10" xr3:uid="{00000000-0010-0000-0100-00000A000000}" name="1977" totalsRowFunction="sum"/>
    <tableColumn id="11" xr3:uid="{00000000-0010-0000-0100-00000B000000}" name="1978" totalsRowFunction="sum"/>
    <tableColumn id="12" xr3:uid="{00000000-0010-0000-0100-00000C000000}" name="1979" totalsRowFunction="sum"/>
    <tableColumn id="13" xr3:uid="{00000000-0010-0000-0100-00000D000000}" name="1980" totalsRowFunction="sum"/>
    <tableColumn id="14" xr3:uid="{00000000-0010-0000-0100-00000E000000}" name="1981" totalsRowFunction="sum"/>
    <tableColumn id="15" xr3:uid="{00000000-0010-0000-0100-00000F000000}" name="1982" totalsRowFunction="sum"/>
    <tableColumn id="16" xr3:uid="{00000000-0010-0000-0100-000010000000}" name="1983" totalsRowFunction="sum"/>
    <tableColumn id="17" xr3:uid="{00000000-0010-0000-0100-000011000000}" name="1984" totalsRowFunction="sum"/>
    <tableColumn id="18" xr3:uid="{00000000-0010-0000-0100-000012000000}" name="1985" totalsRowFunction="sum"/>
    <tableColumn id="19" xr3:uid="{00000000-0010-0000-0100-000013000000}" name="1986" totalsRowFunction="sum"/>
    <tableColumn id="20" xr3:uid="{00000000-0010-0000-0100-000014000000}" name="1987" totalsRowFunction="sum"/>
    <tableColumn id="21" xr3:uid="{00000000-0010-0000-0100-000015000000}" name="1988" totalsRowFunction="sum"/>
    <tableColumn id="22" xr3:uid="{00000000-0010-0000-0100-000016000000}" name="1989" totalsRowFunction="sum"/>
    <tableColumn id="23" xr3:uid="{00000000-0010-0000-0100-000017000000}" name="1990" totalsRowFunction="sum"/>
    <tableColumn id="24" xr3:uid="{00000000-0010-0000-0100-000018000000}" name="1991" totalsRowFunction="sum"/>
    <tableColumn id="25" xr3:uid="{00000000-0010-0000-0100-000019000000}" name="1992" totalsRowFunction="sum"/>
    <tableColumn id="26" xr3:uid="{00000000-0010-0000-0100-00001A000000}" name="1993" totalsRowFunction="sum"/>
    <tableColumn id="27" xr3:uid="{00000000-0010-0000-0100-00001B000000}" name="1994" totalsRowFunction="sum"/>
    <tableColumn id="28" xr3:uid="{00000000-0010-0000-0100-00001C000000}" name="1995" totalsRowFunction="sum"/>
    <tableColumn id="29" xr3:uid="{00000000-0010-0000-0100-00001D000000}" name="1996" totalsRowFunction="sum"/>
    <tableColumn id="30" xr3:uid="{00000000-0010-0000-0100-00001E000000}" name="1997" totalsRowFunction="sum"/>
    <tableColumn id="31" xr3:uid="{00000000-0010-0000-0100-00001F000000}" name="1998" totalsRowFunction="sum"/>
    <tableColumn id="32" xr3:uid="{00000000-0010-0000-0100-000020000000}" name="1999" totalsRowFunction="sum"/>
    <tableColumn id="33" xr3:uid="{00000000-0010-0000-0100-000021000000}" name="2000" totalsRowFunction="sum"/>
    <tableColumn id="34" xr3:uid="{00000000-0010-0000-0100-000022000000}" name="2001" totalsRowFunction="sum"/>
    <tableColumn id="35" xr3:uid="{00000000-0010-0000-0100-000023000000}" name="2002" totalsRowFunction="sum"/>
    <tableColumn id="36" xr3:uid="{00000000-0010-0000-0100-000024000000}" name="2003" totalsRowFunction="sum"/>
    <tableColumn id="37" xr3:uid="{00000000-0010-0000-0100-000025000000}" name="2004" totalsRowFunction="sum"/>
    <tableColumn id="38" xr3:uid="{00000000-0010-0000-0100-000026000000}" name="2005" totalsRowFunction="sum"/>
    <tableColumn id="39" xr3:uid="{00000000-0010-0000-0100-000027000000}" name="2006" totalsRowFunction="sum" totalsRowDxfId="22"/>
    <tableColumn id="40" xr3:uid="{00000000-0010-0000-0100-000028000000}" name="2007" totalsRowFunction="sum" totalsRowDxfId="21"/>
    <tableColumn id="41" xr3:uid="{00000000-0010-0000-0100-000029000000}" name="2008" totalsRowFunction="sum" totalsRowDxfId="20"/>
    <tableColumn id="42" xr3:uid="{00000000-0010-0000-0100-00002A000000}" name="2009" totalsRowFunction="sum" totalsRowDxfId="19"/>
    <tableColumn id="43" xr3:uid="{00000000-0010-0000-0100-00002B000000}" name="2010" totalsRowFunction="sum" totalsRowDxfId="18"/>
    <tableColumn id="44" xr3:uid="{00000000-0010-0000-0100-00002C000000}" name="2011" totalsRowFunction="sum" totalsRowDxfId="17"/>
    <tableColumn id="45" xr3:uid="{00000000-0010-0000-0100-00002D000000}" name="2012" totalsRowFunction="sum" totalsRowDxfId="16"/>
    <tableColumn id="46" xr3:uid="{00000000-0010-0000-0100-00002E000000}" name="2013" totalsRowFunction="sum" totalsRowDxfId="15"/>
    <tableColumn id="47" xr3:uid="{00000000-0010-0000-0100-00002F000000}" name="2014" totalsRowFunction="sum" totalsRowDxfId="14"/>
    <tableColumn id="48" xr3:uid="{00000000-0010-0000-0100-000030000000}" name="2015" totalsRowFunction="sum" totalsRowDxfId="13"/>
    <tableColumn id="49" xr3:uid="{00000000-0010-0000-0100-000031000000}" name="2016" totalsRowFunction="sum" totalsRowDxfId="12"/>
    <tableColumn id="50" xr3:uid="{00000000-0010-0000-0100-000032000000}" name="2017" totalsRowFunction="sum" totalsRowDxfId="11"/>
    <tableColumn id="51" xr3:uid="{00000000-0010-0000-0100-000033000000}" name="2018" totalsRowFunction="sum" totalsRowDxfId="10"/>
    <tableColumn id="52" xr3:uid="{00000000-0010-0000-0100-000034000000}" name="2019" totalsRowFunction="sum" totalsRow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0279F-58EC-4333-8259-F96272C352C4}" name="Tabla2" displayName="Tabla2" ref="CD2:CK52" totalsRowShown="0">
  <autoFilter ref="CD2:CK52" xr:uid="{1E60279F-58EC-4333-8259-F96272C352C4}"/>
  <tableColumns count="8">
    <tableColumn id="1" xr3:uid="{A9FCBD43-923F-4ED2-8E05-913F37B3AD01}" name="Year"/>
    <tableColumn id="6" xr3:uid="{8326F67E-B859-40A7-B926-A4E98279CC5B}" name="Decade" dataDxfId="8">
      <calculatedColumnFormula array="1">_xlfn.IFS(AND(Tabla2[[#This Row],[Year]]&gt;=1970,Tabla2[[#This Row],[Year]]&lt;1980),"70",AND(Tabla2[[#This Row],[Year]]&gt;=1980,Tabla2[[#This Row],[Year]]&lt;1990),"80",AND(Tabla2[[#This Row],[Year]]&gt;=1990,Tabla2[[#This Row],[Year]]&lt;2000),"90",AND(Tabla2[[#This Row],[Year]]&gt;=2000,Tabla2[[#This Row],[Year]]&lt;2010),"00",AND(Tabla2[[#This Row],[Year]]&gt;=2010,Tabla2[[#This Row],[Year]]&lt;=2019),"10")</calculatedColumnFormula>
    </tableColumn>
    <tableColumn id="2" xr3:uid="{401E1CB2-75F7-49DD-A158-4AFA23B2A030}" name="Crashes">
      <calculatedColumnFormula>COUNTIF(Tabla1[Year],'Set Datos'!CD3)</calculatedColumnFormula>
    </tableColumn>
    <tableColumn id="5" xr3:uid="{4CB45AF0-BEFD-4E5B-97D6-591B45C3D9AF}" name="Aboard" dataDxfId="7">
      <calculatedColumnFormula>SUMIF(Tabla1[Year],Tabla2[[#This Row],[Year]],Tabla1[Aboard])</calculatedColumnFormula>
    </tableColumn>
    <tableColumn id="3" xr3:uid="{12E85EE8-3229-4A9A-B186-09048E7F5F32}" name="Fatalities">
      <calculatedColumnFormula>SUMIF(Tabla1[Year],'Set Datos'!CD3,Tabla1[Fatalities])</calculatedColumnFormula>
    </tableColumn>
    <tableColumn id="8" xr3:uid="{88D009B8-2C93-4B6A-BDC8-19C84A97C127}" name="Survived" dataDxfId="6" dataCellStyle="Porcentaje">
      <calculatedColumnFormula>Tabla2[[#This Row],[Fatalities]]/Tabla2[[#This Row],[Aboard]]</calculatedColumnFormula>
    </tableColumn>
    <tableColumn id="4" xr3:uid="{3655C398-084D-418D-81AD-8E1959A395B9}" name="Passengers carried" dataDxfId="5"/>
    <tableColumn id="7" xr3:uid="{79E0BE42-B732-483C-B121-DF4D13E304F2}" name="Percentage of deaths" dataDxfId="4">
      <calculatedColumnFormula>Tabla2[[#This Row],[Fatalities]]/Tabla2[[#This Row],[Passengers carried]]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lgn="l">
          <a:defRPr sz="11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5EC7D-9265-43F0-AC12-BF618E2CA83B}">
  <dimension ref="A1:I27"/>
  <sheetViews>
    <sheetView showGridLines="0" showRowColHeaders="0" tabSelected="1" workbookViewId="0"/>
  </sheetViews>
  <sheetFormatPr baseColWidth="10" defaultColWidth="0" defaultRowHeight="14.4" zeroHeight="1" x14ac:dyDescent="0.3"/>
  <cols>
    <col min="1" max="9" width="11.5546875" customWidth="1"/>
    <col min="10" max="16384" width="11.5546875"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51416-66B3-4A7B-94E1-AA86B6893830}">
  <dimension ref="A1:S32"/>
  <sheetViews>
    <sheetView showGridLines="0" showRowColHeaders="0" workbookViewId="0"/>
  </sheetViews>
  <sheetFormatPr baseColWidth="10" defaultColWidth="0" defaultRowHeight="14.4" zeroHeight="1" x14ac:dyDescent="0.3"/>
  <cols>
    <col min="1" max="19" width="11.5546875" customWidth="1"/>
    <col min="20" max="16384" width="11.5546875"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K9952"/>
  <sheetViews>
    <sheetView showGridLines="0" workbookViewId="0"/>
  </sheetViews>
  <sheetFormatPr baseColWidth="10" defaultRowHeight="14.4" x14ac:dyDescent="0.3"/>
  <cols>
    <col min="2" max="2" width="6.33203125" bestFit="1" customWidth="1"/>
    <col min="3" max="3" width="10.5546875" bestFit="1" customWidth="1"/>
    <col min="4" max="5" width="12.6640625" customWidth="1"/>
    <col min="6" max="6" width="8.77734375" bestFit="1" customWidth="1"/>
    <col min="7" max="8" width="52" bestFit="1" customWidth="1"/>
    <col min="9" max="9" width="51.33203125" bestFit="1" customWidth="1"/>
    <col min="10" max="11" width="37" bestFit="1" customWidth="1"/>
    <col min="12" max="12" width="0" hidden="1" customWidth="1"/>
    <col min="14" max="14" width="18.109375" customWidth="1"/>
    <col min="15" max="15" width="13.44140625" customWidth="1"/>
    <col min="17" max="17" width="19.5546875" customWidth="1"/>
    <col min="18" max="18" width="14.88671875" customWidth="1"/>
    <col min="20" max="20" width="11.5546875" customWidth="1"/>
    <col min="21" max="21" width="11.5546875" hidden="1" customWidth="1"/>
    <col min="24" max="24" width="18" bestFit="1" customWidth="1"/>
    <col min="89" max="89" width="21.109375" bestFit="1" customWidth="1"/>
  </cols>
  <sheetData>
    <row r="2" spans="2:89" x14ac:dyDescent="0.3">
      <c r="B2" t="s">
        <v>28925</v>
      </c>
      <c r="C2" t="s">
        <v>4999</v>
      </c>
      <c r="D2" t="s">
        <v>28933</v>
      </c>
      <c r="E2" t="s">
        <v>28980</v>
      </c>
      <c r="F2" t="s">
        <v>5000</v>
      </c>
      <c r="G2" t="s">
        <v>5001</v>
      </c>
      <c r="H2" t="s">
        <v>5002</v>
      </c>
      <c r="I2" t="s">
        <v>5003</v>
      </c>
      <c r="J2" t="s">
        <v>5004</v>
      </c>
      <c r="K2" t="s">
        <v>5005</v>
      </c>
      <c r="L2" t="s">
        <v>5006</v>
      </c>
      <c r="M2" t="s">
        <v>5007</v>
      </c>
      <c r="N2" t="s">
        <v>5008</v>
      </c>
      <c r="O2" t="s">
        <v>5009</v>
      </c>
      <c r="P2" t="s">
        <v>5010</v>
      </c>
      <c r="Q2" t="s">
        <v>5011</v>
      </c>
      <c r="R2" t="s">
        <v>5012</v>
      </c>
      <c r="S2" t="s">
        <v>5013</v>
      </c>
      <c r="T2" t="s">
        <v>5014</v>
      </c>
      <c r="U2" t="s">
        <v>5015</v>
      </c>
      <c r="V2" t="s">
        <v>28932</v>
      </c>
      <c r="W2" t="s">
        <v>28977</v>
      </c>
      <c r="X2" t="s">
        <v>28976</v>
      </c>
      <c r="AB2" t="s">
        <v>28360</v>
      </c>
      <c r="AC2" t="s">
        <v>28361</v>
      </c>
      <c r="AD2" s="4" t="s">
        <v>28873</v>
      </c>
      <c r="AE2" s="4" t="s">
        <v>28874</v>
      </c>
      <c r="AF2" s="4" t="s">
        <v>28875</v>
      </c>
      <c r="AG2" s="4" t="s">
        <v>28876</v>
      </c>
      <c r="AH2" s="4" t="s">
        <v>28877</v>
      </c>
      <c r="AI2" s="4" t="s">
        <v>28878</v>
      </c>
      <c r="AJ2" s="4" t="s">
        <v>28879</v>
      </c>
      <c r="AK2" s="4" t="s">
        <v>28880</v>
      </c>
      <c r="AL2" s="4" t="s">
        <v>28881</v>
      </c>
      <c r="AM2" s="4" t="s">
        <v>28882</v>
      </c>
      <c r="AN2" s="4" t="s">
        <v>28883</v>
      </c>
      <c r="AO2" s="4" t="s">
        <v>28884</v>
      </c>
      <c r="AP2" s="4" t="s">
        <v>28885</v>
      </c>
      <c r="AQ2" s="4" t="s">
        <v>28886</v>
      </c>
      <c r="AR2" s="4" t="s">
        <v>28887</v>
      </c>
      <c r="AS2" s="4" t="s">
        <v>28888</v>
      </c>
      <c r="AT2" s="4" t="s">
        <v>28889</v>
      </c>
      <c r="AU2" s="4" t="s">
        <v>28890</v>
      </c>
      <c r="AV2" s="4" t="s">
        <v>28891</v>
      </c>
      <c r="AW2" s="4" t="s">
        <v>28892</v>
      </c>
      <c r="AX2" s="4" t="s">
        <v>28893</v>
      </c>
      <c r="AY2" s="4" t="s">
        <v>28894</v>
      </c>
      <c r="AZ2" s="4" t="s">
        <v>28895</v>
      </c>
      <c r="BA2" s="4" t="s">
        <v>28896</v>
      </c>
      <c r="BB2" s="4" t="s">
        <v>28897</v>
      </c>
      <c r="BC2" s="4" t="s">
        <v>28898</v>
      </c>
      <c r="BD2" s="4" t="s">
        <v>28899</v>
      </c>
      <c r="BE2" s="4" t="s">
        <v>28900</v>
      </c>
      <c r="BF2" s="4" t="s">
        <v>28901</v>
      </c>
      <c r="BG2" s="4" t="s">
        <v>28902</v>
      </c>
      <c r="BH2" s="4" t="s">
        <v>28903</v>
      </c>
      <c r="BI2" s="4" t="s">
        <v>28904</v>
      </c>
      <c r="BJ2" s="4" t="s">
        <v>28905</v>
      </c>
      <c r="BK2" s="4" t="s">
        <v>28906</v>
      </c>
      <c r="BL2" s="4" t="s">
        <v>28907</v>
      </c>
      <c r="BM2" s="4" t="s">
        <v>28908</v>
      </c>
      <c r="BN2" s="4" t="s">
        <v>28909</v>
      </c>
      <c r="BO2" s="4" t="s">
        <v>28910</v>
      </c>
      <c r="BP2" s="4" t="s">
        <v>28911</v>
      </c>
      <c r="BQ2" s="4" t="s">
        <v>28912</v>
      </c>
      <c r="BR2" s="4" t="s">
        <v>28913</v>
      </c>
      <c r="BS2" s="4" t="s">
        <v>28914</v>
      </c>
      <c r="BT2" s="4" t="s">
        <v>28915</v>
      </c>
      <c r="BU2" s="4" t="s">
        <v>28916</v>
      </c>
      <c r="BV2" s="4" t="s">
        <v>28917</v>
      </c>
      <c r="BW2" s="4" t="s">
        <v>28918</v>
      </c>
      <c r="BX2" s="4" t="s">
        <v>28919</v>
      </c>
      <c r="BY2" s="4" t="s">
        <v>28920</v>
      </c>
      <c r="BZ2" s="4" t="s">
        <v>28921</v>
      </c>
      <c r="CA2" s="4" t="s">
        <v>28922</v>
      </c>
      <c r="CD2" t="s">
        <v>28933</v>
      </c>
      <c r="CE2" t="s">
        <v>28980</v>
      </c>
      <c r="CF2" t="s">
        <v>28934</v>
      </c>
      <c r="CG2" t="s">
        <v>5008</v>
      </c>
      <c r="CH2" t="s">
        <v>5011</v>
      </c>
      <c r="CI2" t="s">
        <v>28932</v>
      </c>
      <c r="CJ2" t="s">
        <v>28965</v>
      </c>
      <c r="CK2" t="s">
        <v>28964</v>
      </c>
    </row>
    <row r="3" spans="2:89" x14ac:dyDescent="0.3">
      <c r="B3" s="9">
        <v>1</v>
      </c>
      <c r="C3" s="49">
        <v>3183</v>
      </c>
      <c r="D3" s="55">
        <f>YEAR(Tabla1[[#This Row],[Date]])</f>
        <v>1908</v>
      </c>
      <c r="E3" s="9" t="str" cm="1">
        <f t="array" ref="E3">IFERROR(_xlfn.IFS(AND(D3&lt;1980,D3&gt;=1970),"70",AND(D3&lt;1990,D3&gt;=1980),"80",AND(D3&lt;2000,D3&gt;=1990),"90",AND(D3&lt;2010,D3&gt;=2000),"00",AND(D3&lt;=2019,D3&gt;=2010),"10"),"1908-1970")</f>
        <v>1908-1970</v>
      </c>
      <c r="F3" s="3">
        <v>0.72083333333333333</v>
      </c>
      <c r="G3" t="s">
        <v>5016</v>
      </c>
      <c r="H3" t="s">
        <v>5017</v>
      </c>
      <c r="I3" t="s">
        <v>28931</v>
      </c>
      <c r="J3" t="s">
        <v>5018</v>
      </c>
      <c r="K3" t="s">
        <v>5019</v>
      </c>
      <c r="L3" s="7" t="s">
        <v>28931</v>
      </c>
      <c r="M3">
        <v>1</v>
      </c>
      <c r="N3">
        <v>2</v>
      </c>
      <c r="O3">
        <v>1</v>
      </c>
      <c r="P3">
        <v>1</v>
      </c>
      <c r="Q3">
        <v>1</v>
      </c>
      <c r="R3">
        <v>1</v>
      </c>
      <c r="S3">
        <v>0</v>
      </c>
      <c r="T3">
        <v>0</v>
      </c>
      <c r="U3" t="s">
        <v>5020</v>
      </c>
      <c r="V3">
        <f>Tabla1[[#This Row],[Aboard]]-Tabla1[[#This Row],[Fatalities]]</f>
        <v>1</v>
      </c>
      <c r="W3" s="50">
        <f>IFERROR(Tabla1[[#This Row],[Fatalities]]/Tabla1[[#This Row],[Aboard]],0)</f>
        <v>0.5</v>
      </c>
      <c r="X3" s="51" t="str" cm="1">
        <f t="array" ref="X3">_xlfn.IFS(Tabla1[[#This Row],[Porcentaje de muertes]]&lt;0.35,"LEVE",AND(Tabla1[[#This Row],[Porcentaje de muertes]]&gt;0.35,Tabla1[[#This Row],[Porcentaje de muertes]]&lt;0.65),"MEDIO",Tabla1[[#This Row],[Porcentaje de muertes]]&gt;0.65,"GRAVE")</f>
        <v>MEDIO</v>
      </c>
      <c r="AB3" t="s">
        <v>28362</v>
      </c>
      <c r="AC3" t="s">
        <v>28363</v>
      </c>
      <c r="AD3" t="s">
        <v>28966</v>
      </c>
      <c r="AE3" t="s">
        <v>28966</v>
      </c>
      <c r="AF3" t="s">
        <v>28966</v>
      </c>
      <c r="AG3" t="s">
        <v>28966</v>
      </c>
      <c r="AH3" t="s">
        <v>28966</v>
      </c>
      <c r="AI3" t="s">
        <v>28966</v>
      </c>
      <c r="AJ3" t="s">
        <v>28966</v>
      </c>
      <c r="AK3" t="s">
        <v>28966</v>
      </c>
      <c r="AL3" t="s">
        <v>28966</v>
      </c>
      <c r="AM3" t="s">
        <v>28966</v>
      </c>
      <c r="AN3" t="s">
        <v>28966</v>
      </c>
      <c r="AO3" t="s">
        <v>28966</v>
      </c>
      <c r="AP3" t="s">
        <v>28966</v>
      </c>
      <c r="AQ3" t="s">
        <v>28966</v>
      </c>
      <c r="AR3" t="s">
        <v>28966</v>
      </c>
      <c r="AS3" t="s">
        <v>28966</v>
      </c>
      <c r="AT3" t="s">
        <v>28966</v>
      </c>
      <c r="AU3" t="s">
        <v>28966</v>
      </c>
      <c r="AV3" t="s">
        <v>28966</v>
      </c>
      <c r="AW3" t="s">
        <v>28966</v>
      </c>
      <c r="AX3" t="s">
        <v>28966</v>
      </c>
      <c r="AY3" t="s">
        <v>28966</v>
      </c>
      <c r="AZ3" t="s">
        <v>28966</v>
      </c>
      <c r="BA3" t="s">
        <v>28966</v>
      </c>
      <c r="BB3" t="s">
        <v>28966</v>
      </c>
      <c r="BC3" t="s">
        <v>28966</v>
      </c>
      <c r="BD3" t="s">
        <v>28966</v>
      </c>
      <c r="BE3" t="s">
        <v>28966</v>
      </c>
      <c r="BF3" t="s">
        <v>28966</v>
      </c>
      <c r="BG3" t="s">
        <v>28966</v>
      </c>
      <c r="BH3" t="s">
        <v>28966</v>
      </c>
      <c r="BI3" t="s">
        <v>28966</v>
      </c>
      <c r="BJ3" t="s">
        <v>28966</v>
      </c>
      <c r="BK3" t="s">
        <v>28966</v>
      </c>
      <c r="BL3" t="s">
        <v>28966</v>
      </c>
      <c r="BM3" t="s">
        <v>28966</v>
      </c>
      <c r="BN3" t="s">
        <v>28966</v>
      </c>
      <c r="BO3" t="s">
        <v>28966</v>
      </c>
      <c r="BP3" t="s">
        <v>28966</v>
      </c>
      <c r="BQ3" t="s">
        <v>28966</v>
      </c>
      <c r="BR3" t="s">
        <v>28966</v>
      </c>
      <c r="BS3" t="s">
        <v>28966</v>
      </c>
      <c r="BT3" t="s">
        <v>28966</v>
      </c>
      <c r="BU3" t="s">
        <v>28966</v>
      </c>
      <c r="BV3" t="s">
        <v>28966</v>
      </c>
      <c r="BW3" t="s">
        <v>28966</v>
      </c>
      <c r="BX3" t="s">
        <v>28966</v>
      </c>
      <c r="BY3">
        <v>223502</v>
      </c>
      <c r="BZ3">
        <v>274280</v>
      </c>
      <c r="CA3" t="s">
        <v>28966</v>
      </c>
      <c r="CD3" s="29">
        <v>1970</v>
      </c>
      <c r="CE3" s="29" t="str" cm="1">
        <f t="array" ref="CE3">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3">
        <f>COUNTIF(Tabla1[Year],'Set Datos'!CD3)</f>
        <v>73</v>
      </c>
      <c r="CG3">
        <f>SUMIF(Tabla1[Year],Tabla2[[#This Row],[Year]],Tabla1[Aboard])</f>
        <v>2618</v>
      </c>
      <c r="CH3">
        <f>SUMIF(Tabla1[Year],'Set Datos'!CD3,Tabla1[Fatalities])</f>
        <v>1920</v>
      </c>
      <c r="CI3" s="52">
        <f>Tabla2[[#This Row],[Fatalities]]/Tabla2[[#This Row],[Aboard]]</f>
        <v>0.73338426279602753</v>
      </c>
      <c r="CJ3">
        <f>SUBTOTAL(109,Tabla4[1970])</f>
        <v>1860135152</v>
      </c>
      <c r="CK3" s="47">
        <f>Tabla2[[#This Row],[Fatalities]]/Tabla2[[#This Row],[Passengers carried]]</f>
        <v>1.0321830636530007E-6</v>
      </c>
    </row>
    <row r="4" spans="2:89" x14ac:dyDescent="0.3">
      <c r="B4" s="9">
        <v>2</v>
      </c>
      <c r="C4" s="49">
        <v>3478</v>
      </c>
      <c r="D4" s="55">
        <f>YEAR(Tabla1[[#This Row],[Date]])</f>
        <v>1909</v>
      </c>
      <c r="E4" s="9" t="str" cm="1">
        <f t="array" ref="E4">IFERROR(_xlfn.IFS(AND(D4&lt;1980,D4&gt;=1970),"70",AND(D4&lt;1990,D4&gt;=1980),"80",AND(D4&lt;2000,D4&gt;=1990),"90",AND(D4&lt;2010,D4&gt;=2000),"00",AND(D4&lt;=2019,D4&gt;=2010),"10"),"1908-1970")</f>
        <v>1908-1970</v>
      </c>
      <c r="F4" s="3" t="s">
        <v>28931</v>
      </c>
      <c r="G4" t="s">
        <v>5021</v>
      </c>
      <c r="H4" t="s">
        <v>28931</v>
      </c>
      <c r="I4" t="s">
        <v>28931</v>
      </c>
      <c r="J4" t="s">
        <v>5022</v>
      </c>
      <c r="K4" t="s">
        <v>5023</v>
      </c>
      <c r="L4" s="7" t="s">
        <v>5024</v>
      </c>
      <c r="M4" t="s">
        <v>28931</v>
      </c>
      <c r="N4">
        <v>1</v>
      </c>
      <c r="O4">
        <v>0</v>
      </c>
      <c r="P4">
        <v>1</v>
      </c>
      <c r="Q4">
        <v>1</v>
      </c>
      <c r="R4">
        <v>0</v>
      </c>
      <c r="S4">
        <v>0</v>
      </c>
      <c r="T4">
        <v>0</v>
      </c>
      <c r="U4" t="s">
        <v>5025</v>
      </c>
      <c r="V4">
        <f>Tabla1[[#This Row],[Aboard]]-Tabla1[[#This Row],[Fatalities]]</f>
        <v>0</v>
      </c>
      <c r="W4" s="50">
        <f>IFERROR(Tabla1[[#This Row],[Fatalities]]/Tabla1[[#This Row],[Aboard]],0)</f>
        <v>1</v>
      </c>
      <c r="X4" s="51" t="str" cm="1">
        <f t="array" ref="X4">_xlfn.IFS(Tabla1[[#This Row],[Porcentaje de muertes]]&lt;0.35,"LEVE",AND(Tabla1[[#This Row],[Porcentaje de muertes]]&gt;0.35,Tabla1[[#This Row],[Porcentaje de muertes]]&lt;0.65),"MEDIO",Tabla1[[#This Row],[Porcentaje de muertes]]&gt;0.65,"GRAVE")</f>
        <v>GRAVE</v>
      </c>
      <c r="AB4" t="s">
        <v>28364</v>
      </c>
      <c r="AC4" t="s">
        <v>28365</v>
      </c>
      <c r="AD4">
        <v>3418300</v>
      </c>
      <c r="AE4">
        <v>3775300</v>
      </c>
      <c r="AF4">
        <v>4074500</v>
      </c>
      <c r="AG4">
        <v>4808000</v>
      </c>
      <c r="AH4">
        <v>5126100</v>
      </c>
      <c r="AI4">
        <v>5333100</v>
      </c>
      <c r="AJ4">
        <v>6040400</v>
      </c>
      <c r="AK4">
        <v>5798900</v>
      </c>
      <c r="AL4">
        <v>6195600</v>
      </c>
      <c r="AM4">
        <v>7515200</v>
      </c>
      <c r="AN4">
        <v>8614600</v>
      </c>
      <c r="AO4">
        <v>9063100</v>
      </c>
      <c r="AP4">
        <v>9088900</v>
      </c>
      <c r="AQ4">
        <v>8973900</v>
      </c>
      <c r="AR4">
        <v>9474400</v>
      </c>
      <c r="AS4">
        <v>9385300</v>
      </c>
      <c r="AT4">
        <v>8825600</v>
      </c>
      <c r="AU4">
        <v>9837400</v>
      </c>
      <c r="AV4">
        <v>10931600</v>
      </c>
      <c r="AW4">
        <v>11110800</v>
      </c>
      <c r="AX4">
        <v>11257400</v>
      </c>
      <c r="AY4">
        <v>10802900</v>
      </c>
      <c r="AZ4">
        <v>10302700</v>
      </c>
      <c r="BA4">
        <v>11082400</v>
      </c>
      <c r="BB4">
        <v>11775500</v>
      </c>
      <c r="BC4">
        <v>12153400</v>
      </c>
      <c r="BD4">
        <v>13178400</v>
      </c>
      <c r="BE4">
        <v>13456500</v>
      </c>
      <c r="BF4">
        <v>13234700</v>
      </c>
      <c r="BG4">
        <v>14038500</v>
      </c>
      <c r="BH4">
        <v>14963609</v>
      </c>
      <c r="BI4">
        <v>14546112</v>
      </c>
      <c r="BJ4">
        <v>14462573</v>
      </c>
      <c r="BK4">
        <v>15802323</v>
      </c>
      <c r="BL4">
        <v>17562611</v>
      </c>
      <c r="BM4">
        <v>20661751</v>
      </c>
      <c r="BN4">
        <v>22039609</v>
      </c>
      <c r="BO4">
        <v>23295972</v>
      </c>
      <c r="BP4">
        <v>23988552</v>
      </c>
      <c r="BQ4">
        <v>23800085</v>
      </c>
      <c r="BR4">
        <v>30374164.940000001</v>
      </c>
      <c r="BS4">
        <v>33507824.27</v>
      </c>
      <c r="BT4">
        <v>35838679.009999998</v>
      </c>
      <c r="BU4">
        <v>35112457.82</v>
      </c>
      <c r="BV4">
        <v>36350758.950000003</v>
      </c>
      <c r="BW4">
        <v>39154692</v>
      </c>
      <c r="BX4">
        <v>41553429</v>
      </c>
      <c r="BY4">
        <v>45423814.079999998</v>
      </c>
      <c r="BZ4">
        <v>52613964.079999998</v>
      </c>
      <c r="CA4">
        <v>54335254.280000001</v>
      </c>
      <c r="CD4" s="29">
        <v>1971</v>
      </c>
      <c r="CE4" s="29" t="str" cm="1">
        <f t="array" ref="CE4">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4">
        <f>COUNTIF(Tabla1[Year],'Set Datos'!CD4)</f>
        <v>58</v>
      </c>
      <c r="CG4">
        <f>SUMIF(Tabla1[Year],Tabla2[[#This Row],[Year]],Tabla1[Aboard])</f>
        <v>2422</v>
      </c>
      <c r="CH4">
        <f>SUMIF(Tabla1[Year],'Set Datos'!CD4,Tabla1[Fatalities])</f>
        <v>1784</v>
      </c>
      <c r="CI4" s="52">
        <f>Tabla2[[#This Row],[Fatalities]]/Tabla2[[#This Row],[Aboard]]</f>
        <v>0.73658133773740708</v>
      </c>
      <c r="CJ4">
        <f>SUBTOTAL(109,Tabla4[1971])</f>
        <v>1990396724</v>
      </c>
      <c r="CK4" s="47">
        <f>Tabla2[[#This Row],[Fatalities]]/Tabla2[[#This Row],[Passengers carried]]</f>
        <v>8.9630372603044942E-7</v>
      </c>
    </row>
    <row r="5" spans="2:89" x14ac:dyDescent="0.3">
      <c r="B5" s="9">
        <v>3</v>
      </c>
      <c r="C5" s="49">
        <v>4725</v>
      </c>
      <c r="D5" s="55">
        <f>YEAR(Tabla1[[#This Row],[Date]])</f>
        <v>1912</v>
      </c>
      <c r="E5" s="9" t="str" cm="1">
        <f t="array" ref="E5">IFERROR(_xlfn.IFS(AND(D5&lt;1980,D5&gt;=1970),"70",AND(D5&lt;1990,D5&gt;=1980),"80",AND(D5&lt;2000,D5&gt;=1990),"90",AND(D5&lt;2010,D5&gt;=2000),"00",AND(D5&lt;=2019,D5&gt;=2010),"10"),"1908-1970")</f>
        <v>1908-1970</v>
      </c>
      <c r="F5" s="3">
        <v>0.27083333333333331</v>
      </c>
      <c r="G5" t="s">
        <v>5026</v>
      </c>
      <c r="H5" t="s">
        <v>5027</v>
      </c>
      <c r="I5" t="s">
        <v>28931</v>
      </c>
      <c r="J5" t="s">
        <v>5028</v>
      </c>
      <c r="K5" t="s">
        <v>5029</v>
      </c>
      <c r="L5" s="7" t="s">
        <v>28931</v>
      </c>
      <c r="M5" t="s">
        <v>28931</v>
      </c>
      <c r="N5">
        <v>5</v>
      </c>
      <c r="O5">
        <v>0</v>
      </c>
      <c r="P5">
        <v>5</v>
      </c>
      <c r="Q5">
        <v>5</v>
      </c>
      <c r="R5">
        <v>0</v>
      </c>
      <c r="S5">
        <v>5</v>
      </c>
      <c r="T5">
        <v>0</v>
      </c>
      <c r="U5" t="s">
        <v>5030</v>
      </c>
      <c r="V5">
        <f>Tabla1[[#This Row],[Aboard]]-Tabla1[[#This Row],[Fatalities]]</f>
        <v>0</v>
      </c>
      <c r="W5" s="50">
        <f>IFERROR(Tabla1[[#This Row],[Fatalities]]/Tabla1[[#This Row],[Aboard]],0)</f>
        <v>1</v>
      </c>
      <c r="X5" s="51" t="str" cm="1">
        <f t="array" ref="X5">_xlfn.IFS(Tabla1[[#This Row],[Porcentaje de muertes]]&lt;0.35,"LEVE",AND(Tabla1[[#This Row],[Porcentaje de muertes]]&gt;0.35,Tabla1[[#This Row],[Porcentaje de muertes]]&lt;0.65),"MEDIO",Tabla1[[#This Row],[Porcentaje de muertes]]&gt;0.65,"GRAVE")</f>
        <v>GRAVE</v>
      </c>
      <c r="AB5" t="s">
        <v>19939</v>
      </c>
      <c r="AC5" t="s">
        <v>28366</v>
      </c>
      <c r="AD5">
        <v>84700</v>
      </c>
      <c r="AE5">
        <v>97400</v>
      </c>
      <c r="AF5">
        <v>104900</v>
      </c>
      <c r="AG5">
        <v>96600</v>
      </c>
      <c r="AH5">
        <v>96100</v>
      </c>
      <c r="AI5">
        <v>99000</v>
      </c>
      <c r="AJ5">
        <v>101700</v>
      </c>
      <c r="AK5">
        <v>111200</v>
      </c>
      <c r="AL5">
        <v>100400</v>
      </c>
      <c r="AM5">
        <v>93000</v>
      </c>
      <c r="AN5">
        <v>76200</v>
      </c>
      <c r="AO5">
        <v>129100</v>
      </c>
      <c r="AP5">
        <v>181000</v>
      </c>
      <c r="AQ5">
        <v>200200</v>
      </c>
      <c r="AR5">
        <v>220400</v>
      </c>
      <c r="AS5">
        <v>225500</v>
      </c>
      <c r="AT5">
        <v>184400</v>
      </c>
      <c r="AU5">
        <v>217900</v>
      </c>
      <c r="AV5">
        <v>201000</v>
      </c>
      <c r="AW5">
        <v>220000</v>
      </c>
      <c r="AX5">
        <v>241400</v>
      </c>
      <c r="AY5">
        <v>212300</v>
      </c>
      <c r="AZ5">
        <v>212300</v>
      </c>
      <c r="BA5">
        <v>197000</v>
      </c>
      <c r="BB5">
        <v>238400</v>
      </c>
      <c r="BC5">
        <v>250400</v>
      </c>
      <c r="BD5">
        <v>255600</v>
      </c>
      <c r="BE5">
        <v>89600</v>
      </c>
      <c r="BF5">
        <v>52700</v>
      </c>
      <c r="BG5">
        <v>140200</v>
      </c>
      <c r="BH5">
        <v>149705</v>
      </c>
      <c r="BI5" t="s">
        <v>28966</v>
      </c>
      <c r="BJ5" t="s">
        <v>28966</v>
      </c>
      <c r="BK5" t="s">
        <v>28966</v>
      </c>
      <c r="BL5" t="s">
        <v>28966</v>
      </c>
      <c r="BM5" t="s">
        <v>28966</v>
      </c>
      <c r="BN5" t="s">
        <v>28966</v>
      </c>
      <c r="BO5" t="s">
        <v>28966</v>
      </c>
      <c r="BP5" t="s">
        <v>28966</v>
      </c>
      <c r="BQ5" t="s">
        <v>28966</v>
      </c>
      <c r="BR5">
        <v>1999127</v>
      </c>
      <c r="BS5">
        <v>2279341.1800000002</v>
      </c>
      <c r="BT5">
        <v>1737962.1259999999</v>
      </c>
      <c r="BU5">
        <v>2044188</v>
      </c>
      <c r="BV5">
        <v>2209428</v>
      </c>
      <c r="BW5">
        <v>1929907</v>
      </c>
      <c r="BX5">
        <v>1917924</v>
      </c>
      <c r="BY5">
        <v>1647425</v>
      </c>
      <c r="BZ5">
        <v>1125367</v>
      </c>
      <c r="CA5">
        <v>1066747.3559999999</v>
      </c>
      <c r="CD5" s="29">
        <v>1972</v>
      </c>
      <c r="CE5" s="29" t="str" cm="1">
        <f t="array" ref="CE5">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5">
        <f>COUNTIF(Tabla1[Year],'Set Datos'!CD5)</f>
        <v>77</v>
      </c>
      <c r="CG5">
        <f>SUMIF(Tabla1[Year],Tabla2[[#This Row],[Year]],Tabla1[Aboard])</f>
        <v>3471</v>
      </c>
      <c r="CH5">
        <f>SUMIF(Tabla1[Year],'Set Datos'!CD5,Tabla1[Fatalities])</f>
        <v>2796</v>
      </c>
      <c r="CI5" s="52">
        <f>Tabla2[[#This Row],[Fatalities]]/Tabla2[[#This Row],[Aboard]]</f>
        <v>0.80553154710458086</v>
      </c>
      <c r="CJ5">
        <f>SUBTOTAL(109,Tabla4[1972])</f>
        <v>1828621140</v>
      </c>
      <c r="CK5" s="47">
        <f>Tabla2[[#This Row],[Fatalities]]/Tabla2[[#This Row],[Passengers carried]]</f>
        <v>1.5290209321325029E-6</v>
      </c>
    </row>
    <row r="6" spans="2:89" x14ac:dyDescent="0.3">
      <c r="B6" s="9">
        <v>4</v>
      </c>
      <c r="C6" s="49">
        <v>4908</v>
      </c>
      <c r="D6" s="55">
        <f>YEAR(Tabla1[[#This Row],[Date]])</f>
        <v>1913</v>
      </c>
      <c r="E6" s="9" t="str" cm="1">
        <f t="array" ref="E6">IFERROR(_xlfn.IFS(AND(D6&lt;1980,D6&gt;=1970),"70",AND(D6&lt;1990,D6&gt;=1980),"80",AND(D6&lt;2000,D6&gt;=1990),"90",AND(D6&lt;2010,D6&gt;=2000),"00",AND(D6&lt;=2019,D6&gt;=2010),"10"),"1908-1970")</f>
        <v>1908-1970</v>
      </c>
      <c r="F6" s="3" t="s">
        <v>28931</v>
      </c>
      <c r="G6" t="s">
        <v>5031</v>
      </c>
      <c r="H6" t="s">
        <v>5032</v>
      </c>
      <c r="I6" t="s">
        <v>28931</v>
      </c>
      <c r="J6" t="s">
        <v>28931</v>
      </c>
      <c r="K6" t="s">
        <v>5033</v>
      </c>
      <c r="L6" s="7" t="s">
        <v>28931</v>
      </c>
      <c r="M6" t="s">
        <v>28931</v>
      </c>
      <c r="N6">
        <v>1</v>
      </c>
      <c r="O6">
        <v>0</v>
      </c>
      <c r="P6">
        <v>1</v>
      </c>
      <c r="Q6">
        <v>1</v>
      </c>
      <c r="R6">
        <v>0</v>
      </c>
      <c r="S6">
        <v>1</v>
      </c>
      <c r="T6">
        <v>0</v>
      </c>
      <c r="U6" t="s">
        <v>5034</v>
      </c>
      <c r="V6">
        <f>Tabla1[[#This Row],[Aboard]]-Tabla1[[#This Row],[Fatalities]]</f>
        <v>0</v>
      </c>
      <c r="W6" s="50">
        <f>IFERROR(Tabla1[[#This Row],[Fatalities]]/Tabla1[[#This Row],[Aboard]],0)</f>
        <v>1</v>
      </c>
      <c r="X6" s="51" t="str" cm="1">
        <f t="array" ref="X6">_xlfn.IFS(Tabla1[[#This Row],[Porcentaje de muertes]]&lt;0.35,"LEVE",AND(Tabla1[[#This Row],[Porcentaje de muertes]]&gt;0.35,Tabla1[[#This Row],[Porcentaje de muertes]]&lt;0.65),"MEDIO",Tabla1[[#This Row],[Porcentaje de muertes]]&gt;0.65,"GRAVE")</f>
        <v>GRAVE</v>
      </c>
      <c r="AB6" t="s">
        <v>28367</v>
      </c>
      <c r="AC6" t="s">
        <v>28368</v>
      </c>
      <c r="AD6">
        <v>1167000</v>
      </c>
      <c r="AE6">
        <v>1238100</v>
      </c>
      <c r="AF6">
        <v>1285700</v>
      </c>
      <c r="AG6">
        <v>1453300</v>
      </c>
      <c r="AH6">
        <v>1685700</v>
      </c>
      <c r="AI6">
        <v>1987500</v>
      </c>
      <c r="AJ6">
        <v>2540000</v>
      </c>
      <c r="AK6">
        <v>2962100</v>
      </c>
      <c r="AL6">
        <v>3543900</v>
      </c>
      <c r="AM6">
        <v>3776100</v>
      </c>
      <c r="AN6">
        <v>4404900</v>
      </c>
      <c r="AO6">
        <v>5147600</v>
      </c>
      <c r="AP6">
        <v>5190100</v>
      </c>
      <c r="AQ6">
        <v>5423600</v>
      </c>
      <c r="AR6">
        <v>5311800</v>
      </c>
      <c r="AS6">
        <v>5794300</v>
      </c>
      <c r="AT6">
        <v>5265300</v>
      </c>
      <c r="AU6">
        <v>4485000</v>
      </c>
      <c r="AV6">
        <v>3930700</v>
      </c>
      <c r="AW6">
        <v>3602400</v>
      </c>
      <c r="AX6">
        <v>3551000</v>
      </c>
      <c r="AY6">
        <v>3405900</v>
      </c>
      <c r="AZ6">
        <v>3209800</v>
      </c>
      <c r="BA6">
        <v>2840600</v>
      </c>
      <c r="BB6">
        <v>3167100</v>
      </c>
      <c r="BC6">
        <v>3215200</v>
      </c>
      <c r="BD6">
        <v>2855900</v>
      </c>
      <c r="BE6">
        <v>3020900</v>
      </c>
      <c r="BF6">
        <v>3007600</v>
      </c>
      <c r="BG6">
        <v>3083500</v>
      </c>
      <c r="BH6">
        <v>2949248</v>
      </c>
      <c r="BI6">
        <v>2627404</v>
      </c>
      <c r="BJ6">
        <v>2072438</v>
      </c>
      <c r="BK6">
        <v>2081206</v>
      </c>
      <c r="BL6">
        <v>2604956</v>
      </c>
      <c r="BM6" t="s">
        <v>28966</v>
      </c>
      <c r="BN6" t="s">
        <v>28966</v>
      </c>
      <c r="BO6" t="s">
        <v>28966</v>
      </c>
      <c r="BP6" t="s">
        <v>28966</v>
      </c>
      <c r="BQ6" t="s">
        <v>28966</v>
      </c>
      <c r="BR6">
        <v>7817344.2029999997</v>
      </c>
      <c r="BS6">
        <v>9140452.1290000007</v>
      </c>
      <c r="BT6">
        <v>9570161.7880000006</v>
      </c>
      <c r="BU6">
        <v>8677884</v>
      </c>
      <c r="BV6">
        <v>8030237.1699999999</v>
      </c>
      <c r="BW6">
        <v>8696300</v>
      </c>
      <c r="BX6">
        <v>8129874</v>
      </c>
      <c r="BY6">
        <v>8837017</v>
      </c>
      <c r="BZ6">
        <v>12337766.279999999</v>
      </c>
      <c r="CA6">
        <v>11346590.74</v>
      </c>
      <c r="CD6" s="29">
        <v>1973</v>
      </c>
      <c r="CE6" s="29" t="str" cm="1">
        <f t="array" ref="CE6">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6">
        <f>COUNTIF(Tabla1[Year],'Set Datos'!CD6)</f>
        <v>64</v>
      </c>
      <c r="CG6">
        <f>SUMIF(Tabla1[Year],Tabla2[[#This Row],[Year]],Tabla1[Aboard])</f>
        <v>3325</v>
      </c>
      <c r="CH6">
        <f>SUMIF(Tabla1[Year],'Set Datos'!CD6,Tabla1[Fatalities])</f>
        <v>2323</v>
      </c>
      <c r="CI6" s="52">
        <f>Tabla2[[#This Row],[Fatalities]]/Tabla2[[#This Row],[Aboard]]</f>
        <v>0.6986466165413534</v>
      </c>
      <c r="CJ6">
        <f>SUBTOTAL(109,Tabla4[1973])</f>
        <v>2401477400</v>
      </c>
      <c r="CK6" s="47">
        <f>Tabla2[[#This Row],[Fatalities]]/Tabla2[[#This Row],[Passengers carried]]</f>
        <v>9.6732119985805408E-7</v>
      </c>
    </row>
    <row r="7" spans="2:89" x14ac:dyDescent="0.3">
      <c r="B7" s="9">
        <v>5</v>
      </c>
      <c r="C7" s="49">
        <v>5001</v>
      </c>
      <c r="D7" s="55">
        <f>YEAR(Tabla1[[#This Row],[Date]])</f>
        <v>1913</v>
      </c>
      <c r="E7" s="9" t="str" cm="1">
        <f t="array" ref="E7">IFERROR(_xlfn.IFS(AND(D7&lt;1980,D7&gt;=1970),"70",AND(D7&lt;1990,D7&gt;=1980),"80",AND(D7&lt;2000,D7&gt;=1990),"90",AND(D7&lt;2010,D7&gt;=2000),"00",AND(D7&lt;=2019,D7&gt;=2010),"10"),"1908-1970")</f>
        <v>1908-1970</v>
      </c>
      <c r="F7" s="3">
        <v>0.77083333333333337</v>
      </c>
      <c r="G7" t="s">
        <v>5035</v>
      </c>
      <c r="H7" t="s">
        <v>5036</v>
      </c>
      <c r="I7" t="s">
        <v>28931</v>
      </c>
      <c r="J7" t="s">
        <v>28931</v>
      </c>
      <c r="K7" t="s">
        <v>5037</v>
      </c>
      <c r="L7" s="7" t="s">
        <v>28931</v>
      </c>
      <c r="M7" t="s">
        <v>28931</v>
      </c>
      <c r="N7">
        <v>20</v>
      </c>
      <c r="O7" t="s">
        <v>5038</v>
      </c>
      <c r="P7" t="s">
        <v>5038</v>
      </c>
      <c r="Q7">
        <v>14</v>
      </c>
      <c r="R7" t="s">
        <v>5038</v>
      </c>
      <c r="S7" t="s">
        <v>5038</v>
      </c>
      <c r="T7">
        <v>0</v>
      </c>
      <c r="U7" t="s">
        <v>5039</v>
      </c>
      <c r="V7">
        <f>Tabla1[[#This Row],[Aboard]]-Tabla1[[#This Row],[Fatalities]]</f>
        <v>6</v>
      </c>
      <c r="W7" s="50">
        <f>IFERROR(Tabla1[[#This Row],[Fatalities]]/Tabla1[[#This Row],[Aboard]],0)</f>
        <v>0.7</v>
      </c>
      <c r="X7" s="51" t="str" cm="1">
        <f t="array" ref="X7">_xlfn.IFS(Tabla1[[#This Row],[Porcentaje de muertes]]&lt;0.35,"LEVE",AND(Tabla1[[#This Row],[Porcentaje de muertes]]&gt;0.35,Tabla1[[#This Row],[Porcentaje de muertes]]&lt;0.65),"MEDIO",Tabla1[[#This Row],[Porcentaje de muertes]]&gt;0.65,"GRAVE")</f>
        <v>GRAVE</v>
      </c>
      <c r="AB7" t="s">
        <v>23856</v>
      </c>
      <c r="AC7" t="s">
        <v>28369</v>
      </c>
      <c r="AD7" t="s">
        <v>28966</v>
      </c>
      <c r="AE7" t="s">
        <v>28966</v>
      </c>
      <c r="AF7" t="s">
        <v>28966</v>
      </c>
      <c r="AG7" t="s">
        <v>28966</v>
      </c>
      <c r="AH7" t="s">
        <v>28966</v>
      </c>
      <c r="AI7" t="s">
        <v>28966</v>
      </c>
      <c r="AJ7">
        <v>155400</v>
      </c>
      <c r="AK7">
        <v>282700</v>
      </c>
      <c r="AL7">
        <v>308000</v>
      </c>
      <c r="AM7">
        <v>546100</v>
      </c>
      <c r="AN7">
        <v>635200</v>
      </c>
      <c r="AO7">
        <v>801100</v>
      </c>
      <c r="AP7">
        <v>890500</v>
      </c>
      <c r="AQ7">
        <v>952500</v>
      </c>
      <c r="AR7">
        <v>689600</v>
      </c>
      <c r="AS7">
        <v>894200</v>
      </c>
      <c r="AT7">
        <v>727000</v>
      </c>
      <c r="AU7">
        <v>746000</v>
      </c>
      <c r="AV7">
        <v>750000</v>
      </c>
      <c r="AW7">
        <v>509800</v>
      </c>
      <c r="AX7">
        <v>451500</v>
      </c>
      <c r="AY7">
        <v>456000</v>
      </c>
      <c r="AZ7">
        <v>440000</v>
      </c>
      <c r="BA7">
        <v>333500</v>
      </c>
      <c r="BB7">
        <v>519000</v>
      </c>
      <c r="BC7">
        <v>552500</v>
      </c>
      <c r="BD7">
        <v>585000</v>
      </c>
      <c r="BE7">
        <v>555000</v>
      </c>
      <c r="BF7">
        <v>552900</v>
      </c>
      <c r="BG7">
        <v>293800</v>
      </c>
      <c r="BH7">
        <v>235448</v>
      </c>
      <c r="BI7">
        <v>193317</v>
      </c>
      <c r="BJ7">
        <v>189619</v>
      </c>
      <c r="BK7">
        <v>198253</v>
      </c>
      <c r="BL7">
        <v>222032</v>
      </c>
      <c r="BM7">
        <v>239795</v>
      </c>
      <c r="BN7">
        <v>262666</v>
      </c>
      <c r="BO7">
        <v>277361</v>
      </c>
      <c r="BP7">
        <v>283887</v>
      </c>
      <c r="BQ7">
        <v>274869</v>
      </c>
      <c r="BR7">
        <v>1010194</v>
      </c>
      <c r="BS7">
        <v>987798</v>
      </c>
      <c r="BT7">
        <v>1132424</v>
      </c>
      <c r="BU7">
        <v>1321872</v>
      </c>
      <c r="BV7">
        <v>1409952</v>
      </c>
      <c r="BW7">
        <v>1244491</v>
      </c>
      <c r="BX7">
        <v>1482546</v>
      </c>
      <c r="BY7">
        <v>1375523</v>
      </c>
      <c r="BZ7">
        <v>1516628</v>
      </c>
      <c r="CA7">
        <v>1436959</v>
      </c>
      <c r="CD7" s="29">
        <v>1974</v>
      </c>
      <c r="CE7" s="29" t="str" cm="1">
        <f t="array" ref="CE7">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7">
        <f>COUNTIF(Tabla1[Year],'Set Datos'!CD7)</f>
        <v>58</v>
      </c>
      <c r="CG7">
        <f>SUMIF(Tabla1[Year],Tabla2[[#This Row],[Year]],Tabla1[Aboard])</f>
        <v>2878</v>
      </c>
      <c r="CH7">
        <f>SUMIF(Tabla1[Year],'Set Datos'!CD7,Tabla1[Fatalities])</f>
        <v>2242</v>
      </c>
      <c r="CI7" s="52">
        <f>Tabla2[[#This Row],[Fatalities]]/Tabla2[[#This Row],[Aboard]]</f>
        <v>0.77901320361362059</v>
      </c>
      <c r="CJ7">
        <f>SUBTOTAL(109,Tabla4[1974])</f>
        <v>2873660900</v>
      </c>
      <c r="CK7" s="47">
        <f>Tabla2[[#This Row],[Fatalities]]/Tabla2[[#This Row],[Passengers carried]]</f>
        <v>7.8018947886300715E-7</v>
      </c>
    </row>
    <row r="8" spans="2:89" x14ac:dyDescent="0.3">
      <c r="B8" s="9">
        <v>6</v>
      </c>
      <c r="C8" s="49">
        <v>5039</v>
      </c>
      <c r="D8" s="55">
        <f>YEAR(Tabla1[[#This Row],[Date]])</f>
        <v>1913</v>
      </c>
      <c r="E8" s="9" t="str" cm="1">
        <f t="array" ref="E8">IFERROR(_xlfn.IFS(AND(D8&lt;1980,D8&gt;=1970),"70",AND(D8&lt;1990,D8&gt;=1980),"80",AND(D8&lt;2000,D8&gt;=1990),"90",AND(D8&lt;2010,D8&gt;=2000),"00",AND(D8&lt;=2019,D8&gt;=2010),"10"),"1908-1970")</f>
        <v>1908-1970</v>
      </c>
      <c r="F8" s="3">
        <v>0.4375</v>
      </c>
      <c r="G8" t="s">
        <v>5040</v>
      </c>
      <c r="H8" t="s">
        <v>5036</v>
      </c>
      <c r="I8" t="s">
        <v>28931</v>
      </c>
      <c r="J8" t="s">
        <v>28931</v>
      </c>
      <c r="K8" t="s">
        <v>5041</v>
      </c>
      <c r="L8" s="7" t="s">
        <v>28931</v>
      </c>
      <c r="M8" t="s">
        <v>28931</v>
      </c>
      <c r="N8">
        <v>30</v>
      </c>
      <c r="O8" t="s">
        <v>5038</v>
      </c>
      <c r="P8" t="s">
        <v>5038</v>
      </c>
      <c r="Q8">
        <v>30</v>
      </c>
      <c r="R8" t="s">
        <v>5038</v>
      </c>
      <c r="S8" t="s">
        <v>5038</v>
      </c>
      <c r="T8">
        <v>0</v>
      </c>
      <c r="U8" t="s">
        <v>5042</v>
      </c>
      <c r="V8">
        <f>Tabla1[[#This Row],[Aboard]]-Tabla1[[#This Row],[Fatalities]]</f>
        <v>0</v>
      </c>
      <c r="W8" s="50">
        <f>IFERROR(Tabla1[[#This Row],[Fatalities]]/Tabla1[[#This Row],[Aboard]],0)</f>
        <v>1</v>
      </c>
      <c r="X8" s="51" t="str" cm="1">
        <f t="array" ref="X8">_xlfn.IFS(Tabla1[[#This Row],[Porcentaje de muertes]]&lt;0.35,"LEVE",AND(Tabla1[[#This Row],[Porcentaje de muertes]]&gt;0.35,Tabla1[[#This Row],[Porcentaje de muertes]]&lt;0.65),"MEDIO",Tabla1[[#This Row],[Porcentaje de muertes]]&gt;0.65,"GRAVE")</f>
        <v>GRAVE</v>
      </c>
      <c r="AB8" t="s">
        <v>21125</v>
      </c>
      <c r="AC8" t="s">
        <v>28370</v>
      </c>
      <c r="AD8" t="s">
        <v>28966</v>
      </c>
      <c r="AE8" t="s">
        <v>28966</v>
      </c>
      <c r="AF8" t="s">
        <v>28966</v>
      </c>
      <c r="AG8" t="s">
        <v>28966</v>
      </c>
      <c r="AH8" t="s">
        <v>28966</v>
      </c>
      <c r="AI8" t="s">
        <v>28966</v>
      </c>
      <c r="AJ8" t="s">
        <v>28966</v>
      </c>
      <c r="AK8" t="s">
        <v>28966</v>
      </c>
      <c r="AL8" t="s">
        <v>28966</v>
      </c>
      <c r="AM8" t="s">
        <v>28966</v>
      </c>
      <c r="AN8" t="s">
        <v>28966</v>
      </c>
      <c r="AO8" t="s">
        <v>28966</v>
      </c>
      <c r="AP8" t="s">
        <v>28966</v>
      </c>
      <c r="AQ8" t="s">
        <v>28966</v>
      </c>
      <c r="AR8" t="s">
        <v>28966</v>
      </c>
      <c r="AS8" t="s">
        <v>28966</v>
      </c>
      <c r="AT8" t="s">
        <v>28966</v>
      </c>
      <c r="AU8" t="s">
        <v>28966</v>
      </c>
      <c r="AV8" t="s">
        <v>28966</v>
      </c>
      <c r="AW8" t="s">
        <v>28966</v>
      </c>
      <c r="AX8" t="s">
        <v>28966</v>
      </c>
      <c r="AY8" t="s">
        <v>28966</v>
      </c>
      <c r="AZ8" t="s">
        <v>28966</v>
      </c>
      <c r="BA8" t="s">
        <v>28966</v>
      </c>
      <c r="BB8">
        <v>9100</v>
      </c>
      <c r="BC8">
        <v>13000</v>
      </c>
      <c r="BD8">
        <v>29000</v>
      </c>
      <c r="BE8">
        <v>55400</v>
      </c>
      <c r="BF8">
        <v>21200</v>
      </c>
      <c r="BG8">
        <v>91500</v>
      </c>
      <c r="BH8">
        <v>136622</v>
      </c>
      <c r="BI8">
        <v>146273</v>
      </c>
      <c r="BJ8">
        <v>137569</v>
      </c>
      <c r="BK8">
        <v>158888</v>
      </c>
      <c r="BL8">
        <v>179543</v>
      </c>
      <c r="BM8">
        <v>195702</v>
      </c>
      <c r="BN8">
        <v>213315</v>
      </c>
      <c r="BO8">
        <v>238913</v>
      </c>
      <c r="BP8">
        <v>243691</v>
      </c>
      <c r="BQ8">
        <v>231263</v>
      </c>
      <c r="BR8">
        <v>768533</v>
      </c>
      <c r="BS8">
        <v>829778.92390000005</v>
      </c>
      <c r="BT8">
        <v>814339.73030000005</v>
      </c>
      <c r="BU8">
        <v>865848</v>
      </c>
      <c r="BV8">
        <v>151632</v>
      </c>
      <c r="BW8" t="s">
        <v>28966</v>
      </c>
      <c r="BX8">
        <v>26634</v>
      </c>
      <c r="BY8">
        <v>204090</v>
      </c>
      <c r="BZ8">
        <v>303137</v>
      </c>
      <c r="CA8">
        <v>307741</v>
      </c>
      <c r="CD8" s="29">
        <v>1975</v>
      </c>
      <c r="CE8" s="29" t="str" cm="1">
        <f t="array" ref="CE8">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8">
        <f>COUNTIF(Tabla1[Year],'Set Datos'!CD8)</f>
        <v>51</v>
      </c>
      <c r="CG8">
        <f>SUMIF(Tabla1[Year],Tabla2[[#This Row],[Year]],Tabla1[Aboard])</f>
        <v>2167</v>
      </c>
      <c r="CH8">
        <f>SUMIF(Tabla1[Year],'Set Datos'!CD8,Tabla1[Fatalities])</f>
        <v>1460</v>
      </c>
      <c r="CI8" s="52">
        <f>Tabla2[[#This Row],[Fatalities]]/Tabla2[[#This Row],[Aboard]]</f>
        <v>0.67374250115366863</v>
      </c>
      <c r="CJ8">
        <f>SUBTOTAL(109,Tabla4[1975])</f>
        <v>2988561500</v>
      </c>
      <c r="CK8" s="47">
        <f>Tabla2[[#This Row],[Fatalities]]/Tabla2[[#This Row],[Passengers carried]]</f>
        <v>4.8852934764768936E-7</v>
      </c>
    </row>
    <row r="9" spans="2:89" x14ac:dyDescent="0.3">
      <c r="B9" s="9">
        <v>7</v>
      </c>
      <c r="C9" s="49">
        <v>5602</v>
      </c>
      <c r="D9" s="55">
        <f>YEAR(Tabla1[[#This Row],[Date]])</f>
        <v>1915</v>
      </c>
      <c r="E9" s="9" t="str" cm="1">
        <f t="array" ref="E9">IFERROR(_xlfn.IFS(AND(D9&lt;1980,D9&gt;=1970),"70",AND(D9&lt;1990,D9&gt;=1980),"80",AND(D9&lt;2000,D9&gt;=1990),"90",AND(D9&lt;2010,D9&gt;=2000),"00",AND(D9&lt;=2019,D9&gt;=2010),"10"),"1908-1970")</f>
        <v>1908-1970</v>
      </c>
      <c r="F9" s="3">
        <v>4.1666666666666664E-2</v>
      </c>
      <c r="G9" t="s">
        <v>5043</v>
      </c>
      <c r="H9" t="s">
        <v>5036</v>
      </c>
      <c r="I9" t="s">
        <v>28931</v>
      </c>
      <c r="J9" t="s">
        <v>28931</v>
      </c>
      <c r="K9" t="s">
        <v>5044</v>
      </c>
      <c r="L9" s="7" t="s">
        <v>28931</v>
      </c>
      <c r="M9" t="s">
        <v>28931</v>
      </c>
      <c r="N9">
        <v>41</v>
      </c>
      <c r="O9" t="s">
        <v>5038</v>
      </c>
      <c r="P9" t="s">
        <v>5038</v>
      </c>
      <c r="Q9">
        <v>21</v>
      </c>
      <c r="R9" t="s">
        <v>5038</v>
      </c>
      <c r="S9" t="s">
        <v>5038</v>
      </c>
      <c r="T9">
        <v>0</v>
      </c>
      <c r="U9" t="s">
        <v>5045</v>
      </c>
      <c r="V9">
        <f>Tabla1[[#This Row],[Aboard]]-Tabla1[[#This Row],[Fatalities]]</f>
        <v>20</v>
      </c>
      <c r="W9" s="50">
        <f>IFERROR(Tabla1[[#This Row],[Fatalities]]/Tabla1[[#This Row],[Aboard]],0)</f>
        <v>0.51219512195121952</v>
      </c>
      <c r="X9" s="51" t="str" cm="1">
        <f t="array" ref="X9">_xlfn.IFS(Tabla1[[#This Row],[Porcentaje de muertes]]&lt;0.35,"LEVE",AND(Tabla1[[#This Row],[Porcentaje de muertes]]&gt;0.35,Tabla1[[#This Row],[Porcentaje de muertes]]&lt;0.65),"MEDIO",Tabla1[[#This Row],[Porcentaje de muertes]]&gt;0.65,"GRAVE")</f>
        <v>MEDIO</v>
      </c>
      <c r="AB9" t="s">
        <v>28371</v>
      </c>
      <c r="AC9" t="s">
        <v>28372</v>
      </c>
      <c r="AD9" t="s">
        <v>28966</v>
      </c>
      <c r="AE9" t="s">
        <v>28966</v>
      </c>
      <c r="AF9" t="s">
        <v>28966</v>
      </c>
      <c r="AG9" t="s">
        <v>28966</v>
      </c>
      <c r="AH9" t="s">
        <v>28966</v>
      </c>
      <c r="AI9" t="s">
        <v>28966</v>
      </c>
      <c r="AJ9" t="s">
        <v>28966</v>
      </c>
      <c r="AK9" t="s">
        <v>28966</v>
      </c>
      <c r="AL9" t="s">
        <v>28966</v>
      </c>
      <c r="AM9" t="s">
        <v>28966</v>
      </c>
      <c r="AN9" t="s">
        <v>28966</v>
      </c>
      <c r="AO9" t="s">
        <v>28966</v>
      </c>
      <c r="AP9" t="s">
        <v>28966</v>
      </c>
      <c r="AQ9" t="s">
        <v>28966</v>
      </c>
      <c r="AR9" t="s">
        <v>28966</v>
      </c>
      <c r="AS9" t="s">
        <v>28966</v>
      </c>
      <c r="AT9" t="s">
        <v>28966</v>
      </c>
      <c r="AU9" t="s">
        <v>28966</v>
      </c>
      <c r="AV9" t="s">
        <v>28966</v>
      </c>
      <c r="AW9" t="s">
        <v>28966</v>
      </c>
      <c r="AX9" t="s">
        <v>28966</v>
      </c>
      <c r="AY9" t="s">
        <v>28966</v>
      </c>
      <c r="AZ9" t="s">
        <v>28966</v>
      </c>
      <c r="BA9" t="s">
        <v>28966</v>
      </c>
      <c r="BB9" t="s">
        <v>28966</v>
      </c>
      <c r="BC9" t="s">
        <v>28966</v>
      </c>
      <c r="BD9" t="s">
        <v>28966</v>
      </c>
      <c r="BE9" t="s">
        <v>28966</v>
      </c>
      <c r="BF9" t="s">
        <v>28966</v>
      </c>
      <c r="BG9" t="s">
        <v>28966</v>
      </c>
      <c r="BH9" t="s">
        <v>28966</v>
      </c>
      <c r="BI9" t="s">
        <v>28966</v>
      </c>
      <c r="BJ9" t="s">
        <v>28966</v>
      </c>
      <c r="BK9" t="s">
        <v>28966</v>
      </c>
      <c r="BL9" t="s">
        <v>28966</v>
      </c>
      <c r="BM9" t="s">
        <v>28966</v>
      </c>
      <c r="BN9" t="s">
        <v>28966</v>
      </c>
      <c r="BO9" t="s">
        <v>28966</v>
      </c>
      <c r="BP9" t="s">
        <v>28966</v>
      </c>
      <c r="BQ9" t="s">
        <v>28966</v>
      </c>
      <c r="BR9" t="s">
        <v>28966</v>
      </c>
      <c r="BS9" t="s">
        <v>28966</v>
      </c>
      <c r="BT9" t="s">
        <v>28966</v>
      </c>
      <c r="BU9" t="s">
        <v>28966</v>
      </c>
      <c r="BV9" t="s">
        <v>28966</v>
      </c>
      <c r="BW9" t="s">
        <v>28966</v>
      </c>
      <c r="BX9" t="s">
        <v>28966</v>
      </c>
      <c r="BY9" t="s">
        <v>28966</v>
      </c>
      <c r="BZ9" t="s">
        <v>28966</v>
      </c>
      <c r="CA9" t="s">
        <v>28966</v>
      </c>
      <c r="CD9" s="29">
        <v>1976</v>
      </c>
      <c r="CE9" s="29" t="str" cm="1">
        <f t="array" ref="CE9">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9">
        <f>COUNTIF(Tabla1[Year],'Set Datos'!CD9)</f>
        <v>57</v>
      </c>
      <c r="CG9">
        <f>SUMIF(Tabla1[Year],Tabla2[[#This Row],[Year]],Tabla1[Aboard])</f>
        <v>2487</v>
      </c>
      <c r="CH9">
        <f>SUMIF(Tabla1[Year],'Set Datos'!CD9,Tabla1[Fatalities])</f>
        <v>1842</v>
      </c>
      <c r="CI9" s="52">
        <f>Tabla2[[#This Row],[Fatalities]]/Tabla2[[#This Row],[Aboard]]</f>
        <v>0.7406513872135102</v>
      </c>
      <c r="CJ9">
        <f>SUBTOTAL(109,Tabla4[1976])</f>
        <v>3278948076</v>
      </c>
      <c r="CK9" s="47">
        <f>Tabla2[[#This Row],[Fatalities]]/Tabla2[[#This Row],[Passengers carried]]</f>
        <v>5.6176552885432152E-7</v>
      </c>
    </row>
    <row r="10" spans="2:89" x14ac:dyDescent="0.3">
      <c r="B10" s="9">
        <v>8</v>
      </c>
      <c r="C10" s="49">
        <v>5547</v>
      </c>
      <c r="D10" s="55">
        <f>YEAR(Tabla1[[#This Row],[Date]])</f>
        <v>1915</v>
      </c>
      <c r="E10" s="9" t="str" cm="1">
        <f t="array" ref="E10">IFERROR(_xlfn.IFS(AND(D10&lt;1980,D10&gt;=1970),"70",AND(D10&lt;1990,D10&gt;=1980),"80",AND(D10&lt;2000,D10&gt;=1990),"90",AND(D10&lt;2010,D10&gt;=2000),"00",AND(D10&lt;=2019,D10&gt;=2010),"10"),"1908-1970")</f>
        <v>1908-1970</v>
      </c>
      <c r="F10" s="3">
        <v>0.63888888888888895</v>
      </c>
      <c r="G10" t="s">
        <v>5046</v>
      </c>
      <c r="H10" t="s">
        <v>5036</v>
      </c>
      <c r="I10" t="s">
        <v>28931</v>
      </c>
      <c r="J10" t="s">
        <v>28931</v>
      </c>
      <c r="K10" t="s">
        <v>5047</v>
      </c>
      <c r="L10" s="7" t="s">
        <v>28931</v>
      </c>
      <c r="M10" t="s">
        <v>28931</v>
      </c>
      <c r="N10">
        <v>19</v>
      </c>
      <c r="O10" t="s">
        <v>5038</v>
      </c>
      <c r="P10" t="s">
        <v>5038</v>
      </c>
      <c r="Q10">
        <v>19</v>
      </c>
      <c r="R10" t="s">
        <v>5038</v>
      </c>
      <c r="S10" t="s">
        <v>5038</v>
      </c>
      <c r="T10">
        <v>0</v>
      </c>
      <c r="U10" t="s">
        <v>5048</v>
      </c>
      <c r="V10">
        <f>Tabla1[[#This Row],[Aboard]]-Tabla1[[#This Row],[Fatalities]]</f>
        <v>0</v>
      </c>
      <c r="W10" s="50">
        <f>IFERROR(Tabla1[[#This Row],[Fatalities]]/Tabla1[[#This Row],[Aboard]],0)</f>
        <v>1</v>
      </c>
      <c r="X10" s="51" t="str" cm="1">
        <f t="array" ref="X10">_xlfn.IFS(Tabla1[[#This Row],[Porcentaje de muertes]]&lt;0.35,"LEVE",AND(Tabla1[[#This Row],[Porcentaje de muertes]]&gt;0.35,Tabla1[[#This Row],[Porcentaje de muertes]]&lt;0.65),"MEDIO",Tabla1[[#This Row],[Porcentaje de muertes]]&gt;0.65,"GRAVE")</f>
        <v>GRAVE</v>
      </c>
      <c r="AB10" t="s">
        <v>28373</v>
      </c>
      <c r="AC10" t="s">
        <v>28374</v>
      </c>
      <c r="AD10">
        <v>4209300</v>
      </c>
      <c r="AE10">
        <v>4737000</v>
      </c>
      <c r="AF10">
        <v>5625600</v>
      </c>
      <c r="AG10">
        <v>6569400</v>
      </c>
      <c r="AH10">
        <v>8227100</v>
      </c>
      <c r="AI10">
        <v>10178000</v>
      </c>
      <c r="AJ10">
        <v>13313000</v>
      </c>
      <c r="AK10">
        <v>16062400</v>
      </c>
      <c r="AL10">
        <v>18669700</v>
      </c>
      <c r="AM10">
        <v>21838000</v>
      </c>
      <c r="AN10">
        <v>24725900</v>
      </c>
      <c r="AO10">
        <v>25883200</v>
      </c>
      <c r="AP10">
        <v>27570500</v>
      </c>
      <c r="AQ10">
        <v>29098800</v>
      </c>
      <c r="AR10">
        <v>30019300</v>
      </c>
      <c r="AS10">
        <v>29988100</v>
      </c>
      <c r="AT10">
        <v>27905400</v>
      </c>
      <c r="AU10">
        <v>29113000</v>
      </c>
      <c r="AV10">
        <v>30660000</v>
      </c>
      <c r="AW10">
        <v>31525100</v>
      </c>
      <c r="AX10">
        <v>31484000</v>
      </c>
      <c r="AY10">
        <v>28835100</v>
      </c>
      <c r="AZ10">
        <v>33877100</v>
      </c>
      <c r="BA10">
        <v>34017400</v>
      </c>
      <c r="BB10">
        <v>35968300</v>
      </c>
      <c r="BC10">
        <v>35918200</v>
      </c>
      <c r="BD10">
        <v>38024200</v>
      </c>
      <c r="BE10">
        <v>39692100</v>
      </c>
      <c r="BF10">
        <v>40403700</v>
      </c>
      <c r="BG10">
        <v>43269900</v>
      </c>
      <c r="BH10">
        <v>45723758</v>
      </c>
      <c r="BI10">
        <v>46769231</v>
      </c>
      <c r="BJ10">
        <v>49871837</v>
      </c>
      <c r="BK10">
        <v>52465002</v>
      </c>
      <c r="BL10">
        <v>60950501</v>
      </c>
      <c r="BM10">
        <v>43608649</v>
      </c>
      <c r="BN10">
        <v>47875367</v>
      </c>
      <c r="BO10">
        <v>51722644</v>
      </c>
      <c r="BP10">
        <v>53542019</v>
      </c>
      <c r="BQ10">
        <v>95372047</v>
      </c>
      <c r="BR10">
        <v>126796491.90000001</v>
      </c>
      <c r="BS10">
        <v>135837641.40000001</v>
      </c>
      <c r="BT10">
        <v>152014159.69999999</v>
      </c>
      <c r="BU10">
        <v>166209279.09999999</v>
      </c>
      <c r="BV10">
        <v>181627311.09999999</v>
      </c>
      <c r="BW10">
        <v>195957046</v>
      </c>
      <c r="BX10">
        <v>214318723</v>
      </c>
      <c r="BY10">
        <v>223496214.09999999</v>
      </c>
      <c r="BZ10">
        <v>232670166.90000001</v>
      </c>
      <c r="CA10">
        <v>235289347.90000001</v>
      </c>
      <c r="CD10" s="29">
        <v>1977</v>
      </c>
      <c r="CE10" s="29" t="str" cm="1">
        <f t="array" ref="CE10">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10">
        <f>COUNTIF(Tabla1[Year],'Set Datos'!CD10)</f>
        <v>63</v>
      </c>
      <c r="CG10">
        <f>SUMIF(Tabla1[Year],Tabla2[[#This Row],[Year]],Tabla1[Aboard])</f>
        <v>2640</v>
      </c>
      <c r="CH10">
        <f>SUMIF(Tabla1[Year],'Set Datos'!CD10,Tabla1[Fatalities])</f>
        <v>2102</v>
      </c>
      <c r="CI10" s="52">
        <f>Tabla2[[#This Row],[Fatalities]]/Tabla2[[#This Row],[Aboard]]</f>
        <v>0.79621212121212126</v>
      </c>
      <c r="CJ10">
        <f>SUBTOTAL(109,Tabla4[1977])</f>
        <v>3568005252</v>
      </c>
      <c r="CK10" s="47">
        <f>Tabla2[[#This Row],[Fatalities]]/Tabla2[[#This Row],[Passengers carried]]</f>
        <v>5.8912469336241882E-7</v>
      </c>
    </row>
    <row r="11" spans="2:89" x14ac:dyDescent="0.3">
      <c r="B11" s="9">
        <v>9</v>
      </c>
      <c r="C11" s="49">
        <v>6054</v>
      </c>
      <c r="D11" s="55">
        <f>YEAR(Tabla1[[#This Row],[Date]])</f>
        <v>1916</v>
      </c>
      <c r="E11" s="9" t="str" cm="1">
        <f t="array" ref="E11">IFERROR(_xlfn.IFS(AND(D11&lt;1980,D11&gt;=1970),"70",AND(D11&lt;1990,D11&gt;=1980),"80",AND(D11&lt;2000,D11&gt;=1990),"90",AND(D11&lt;2010,D11&gt;=2000),"00",AND(D11&lt;=2019,D11&gt;=2010),"10"),"1908-1970")</f>
        <v>1908-1970</v>
      </c>
      <c r="F11" s="3" t="s">
        <v>28931</v>
      </c>
      <c r="G11" t="s">
        <v>5049</v>
      </c>
      <c r="H11" t="s">
        <v>5050</v>
      </c>
      <c r="I11" t="s">
        <v>28931</v>
      </c>
      <c r="J11" t="s">
        <v>28931</v>
      </c>
      <c r="K11" t="s">
        <v>5051</v>
      </c>
      <c r="L11" s="7" t="s">
        <v>28931</v>
      </c>
      <c r="M11" t="s">
        <v>28931</v>
      </c>
      <c r="N11">
        <v>20</v>
      </c>
      <c r="O11" t="s">
        <v>5038</v>
      </c>
      <c r="P11" t="s">
        <v>5038</v>
      </c>
      <c r="Q11">
        <v>20</v>
      </c>
      <c r="R11" t="s">
        <v>5038</v>
      </c>
      <c r="S11" t="s">
        <v>5038</v>
      </c>
      <c r="T11">
        <v>0</v>
      </c>
      <c r="U11" t="s">
        <v>5052</v>
      </c>
      <c r="V11">
        <f>Tabla1[[#This Row],[Aboard]]-Tabla1[[#This Row],[Fatalities]]</f>
        <v>0</v>
      </c>
      <c r="W11" s="50">
        <f>IFERROR(Tabla1[[#This Row],[Fatalities]]/Tabla1[[#This Row],[Aboard]],0)</f>
        <v>1</v>
      </c>
      <c r="X11" s="51" t="str" cm="1">
        <f t="array" ref="X11">_xlfn.IFS(Tabla1[[#This Row],[Porcentaje de muertes]]&lt;0.35,"LEVE",AND(Tabla1[[#This Row],[Porcentaje de muertes]]&gt;0.35,Tabla1[[#This Row],[Porcentaje de muertes]]&lt;0.65),"MEDIO",Tabla1[[#This Row],[Porcentaje de muertes]]&gt;0.65,"GRAVE")</f>
        <v>GRAVE</v>
      </c>
      <c r="AB11" t="s">
        <v>28375</v>
      </c>
      <c r="AC11" t="s">
        <v>28376</v>
      </c>
      <c r="AD11" t="s">
        <v>28966</v>
      </c>
      <c r="AE11" t="s">
        <v>28966</v>
      </c>
      <c r="AF11" t="s">
        <v>28966</v>
      </c>
      <c r="AG11" t="s">
        <v>28966</v>
      </c>
      <c r="AH11">
        <v>127500</v>
      </c>
      <c r="AI11">
        <v>173000</v>
      </c>
      <c r="AJ11">
        <v>240100</v>
      </c>
      <c r="AK11">
        <v>299800</v>
      </c>
      <c r="AL11">
        <v>374500</v>
      </c>
      <c r="AM11">
        <v>456500</v>
      </c>
      <c r="AN11">
        <v>521500</v>
      </c>
      <c r="AO11">
        <v>577800</v>
      </c>
      <c r="AP11">
        <v>569800</v>
      </c>
      <c r="AQ11">
        <v>601800</v>
      </c>
      <c r="AR11">
        <v>674200</v>
      </c>
      <c r="AS11">
        <v>717500</v>
      </c>
      <c r="AT11">
        <v>935200</v>
      </c>
      <c r="AU11">
        <v>1093000</v>
      </c>
      <c r="AV11">
        <v>1329500</v>
      </c>
      <c r="AW11">
        <v>1481700</v>
      </c>
      <c r="AX11">
        <v>1685900</v>
      </c>
      <c r="AY11">
        <v>2041800</v>
      </c>
      <c r="AZ11">
        <v>2508800</v>
      </c>
      <c r="BA11">
        <v>2936300</v>
      </c>
      <c r="BB11">
        <v>3368700</v>
      </c>
      <c r="BC11">
        <v>3550500</v>
      </c>
      <c r="BD11">
        <v>4063500</v>
      </c>
      <c r="BE11">
        <v>4720400</v>
      </c>
      <c r="BF11">
        <v>5263700</v>
      </c>
      <c r="BG11">
        <v>5840300</v>
      </c>
      <c r="BH11">
        <v>6893085</v>
      </c>
      <c r="BI11">
        <v>7675845</v>
      </c>
      <c r="BJ11">
        <v>9667005</v>
      </c>
      <c r="BK11">
        <v>11609840</v>
      </c>
      <c r="BL11">
        <v>14314326</v>
      </c>
      <c r="BM11" t="s">
        <v>28966</v>
      </c>
      <c r="BN11" t="s">
        <v>28966</v>
      </c>
      <c r="BO11" t="s">
        <v>28966</v>
      </c>
      <c r="BP11" t="s">
        <v>28966</v>
      </c>
      <c r="BQ11">
        <v>31761631</v>
      </c>
      <c r="BR11">
        <v>44948143.850000001</v>
      </c>
      <c r="BS11">
        <v>50342891.799999997</v>
      </c>
      <c r="BT11">
        <v>59948766.700000003</v>
      </c>
      <c r="BU11">
        <v>68151865</v>
      </c>
      <c r="BV11">
        <v>75608196</v>
      </c>
      <c r="BW11">
        <v>84343562</v>
      </c>
      <c r="BX11">
        <v>91763598</v>
      </c>
      <c r="BY11">
        <v>95306195</v>
      </c>
      <c r="BZ11">
        <v>95758342</v>
      </c>
      <c r="CA11">
        <v>92798725.090000004</v>
      </c>
      <c r="CD11" s="29">
        <v>1978</v>
      </c>
      <c r="CE11" s="29" t="str" cm="1">
        <f t="array" ref="CE11">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11">
        <f>COUNTIF(Tabla1[Year],'Set Datos'!CD11)</f>
        <v>51</v>
      </c>
      <c r="CG11">
        <f>SUMIF(Tabla1[Year],Tabla2[[#This Row],[Year]],Tabla1[Aboard])</f>
        <v>2586</v>
      </c>
      <c r="CH11">
        <f>SUMIF(Tabla1[Year],'Set Datos'!CD11,Tabla1[Fatalities])</f>
        <v>1444</v>
      </c>
      <c r="CI11" s="52">
        <f>Tabla2[[#This Row],[Fatalities]]/Tabla2[[#This Row],[Aboard]]</f>
        <v>0.55839133797370455</v>
      </c>
      <c r="CJ11">
        <f>SUBTOTAL(109,Tabla4[1978])</f>
        <v>3996355024</v>
      </c>
      <c r="CK11" s="47">
        <f>Tabla2[[#This Row],[Fatalities]]/Tabla2[[#This Row],[Passengers carried]]</f>
        <v>3.61329259119397E-7</v>
      </c>
    </row>
    <row r="12" spans="2:89" x14ac:dyDescent="0.3">
      <c r="B12" s="9">
        <v>10</v>
      </c>
      <c r="C12" s="49">
        <v>6112</v>
      </c>
      <c r="D12" s="55">
        <f>YEAR(Tabla1[[#This Row],[Date]])</f>
        <v>1916</v>
      </c>
      <c r="E12" s="9" t="str" cm="1">
        <f t="array" ref="E12">IFERROR(_xlfn.IFS(AND(D12&lt;1980,D12&gt;=1970),"70",AND(D12&lt;1990,D12&gt;=1980),"80",AND(D12&lt;2000,D12&gt;=1990),"90",AND(D12&lt;2010,D12&gt;=2000),"00",AND(D12&lt;=2019,D12&gt;=2010),"10"),"1908-1970")</f>
        <v>1908-1970</v>
      </c>
      <c r="F12" s="3">
        <v>4.1666666666666664E-2</v>
      </c>
      <c r="G12" t="s">
        <v>5053</v>
      </c>
      <c r="H12" t="s">
        <v>5036</v>
      </c>
      <c r="I12" t="s">
        <v>28931</v>
      </c>
      <c r="J12" t="s">
        <v>28931</v>
      </c>
      <c r="K12" t="s">
        <v>5054</v>
      </c>
      <c r="L12" s="7" t="s">
        <v>28931</v>
      </c>
      <c r="M12" t="s">
        <v>28931</v>
      </c>
      <c r="N12">
        <v>22</v>
      </c>
      <c r="O12" t="s">
        <v>5038</v>
      </c>
      <c r="P12" t="s">
        <v>5038</v>
      </c>
      <c r="Q12">
        <v>22</v>
      </c>
      <c r="R12" t="s">
        <v>5038</v>
      </c>
      <c r="S12" t="s">
        <v>5038</v>
      </c>
      <c r="T12">
        <v>0</v>
      </c>
      <c r="U12" t="s">
        <v>5055</v>
      </c>
      <c r="V12">
        <f>Tabla1[[#This Row],[Aboard]]-Tabla1[[#This Row],[Fatalities]]</f>
        <v>0</v>
      </c>
      <c r="W12" s="50">
        <f>IFERROR(Tabla1[[#This Row],[Fatalities]]/Tabla1[[#This Row],[Aboard]],0)</f>
        <v>1</v>
      </c>
      <c r="X12" s="51" t="str" cm="1">
        <f t="array" ref="X12">_xlfn.IFS(Tabla1[[#This Row],[Porcentaje de muertes]]&lt;0.35,"LEVE",AND(Tabla1[[#This Row],[Porcentaje de muertes]]&gt;0.35,Tabla1[[#This Row],[Porcentaje de muertes]]&lt;0.65),"MEDIO",Tabla1[[#This Row],[Porcentaje de muertes]]&gt;0.65,"GRAVE")</f>
        <v>GRAVE</v>
      </c>
      <c r="AB12" t="s">
        <v>28377</v>
      </c>
      <c r="AC12" t="s">
        <v>28378</v>
      </c>
      <c r="AD12">
        <v>2332000</v>
      </c>
      <c r="AE12">
        <v>2218600</v>
      </c>
      <c r="AF12">
        <v>2358500</v>
      </c>
      <c r="AG12">
        <v>2312700</v>
      </c>
      <c r="AH12">
        <v>2943500</v>
      </c>
      <c r="AI12">
        <v>3299200</v>
      </c>
      <c r="AJ12">
        <v>3293600</v>
      </c>
      <c r="AK12">
        <v>3884100</v>
      </c>
      <c r="AL12">
        <v>3946700</v>
      </c>
      <c r="AM12">
        <v>5023500</v>
      </c>
      <c r="AN12">
        <v>5588500</v>
      </c>
      <c r="AO12">
        <v>4890100</v>
      </c>
      <c r="AP12">
        <v>4595900</v>
      </c>
      <c r="AQ12">
        <v>4399600</v>
      </c>
      <c r="AR12">
        <v>5163600</v>
      </c>
      <c r="AS12">
        <v>4713200</v>
      </c>
      <c r="AT12">
        <v>5034700</v>
      </c>
      <c r="AU12">
        <v>5405800</v>
      </c>
      <c r="AV12">
        <v>5068800</v>
      </c>
      <c r="AW12">
        <v>4748400</v>
      </c>
      <c r="AX12">
        <v>5369100</v>
      </c>
      <c r="AY12">
        <v>4545900</v>
      </c>
      <c r="AZ12">
        <v>5251400</v>
      </c>
      <c r="BA12">
        <v>5104500</v>
      </c>
      <c r="BB12">
        <v>6260700</v>
      </c>
      <c r="BC12">
        <v>6641700</v>
      </c>
      <c r="BD12">
        <v>7913000</v>
      </c>
      <c r="BE12">
        <v>8599800</v>
      </c>
      <c r="BF12">
        <v>8446500</v>
      </c>
      <c r="BG12">
        <v>9191900</v>
      </c>
      <c r="BH12">
        <v>8915627</v>
      </c>
      <c r="BI12">
        <v>5808770</v>
      </c>
      <c r="BJ12">
        <v>5662905</v>
      </c>
      <c r="BK12">
        <v>6036360</v>
      </c>
      <c r="BL12">
        <v>6795484</v>
      </c>
      <c r="BM12">
        <v>6938436</v>
      </c>
      <c r="BN12">
        <v>6611915</v>
      </c>
      <c r="BO12">
        <v>7036784</v>
      </c>
      <c r="BP12">
        <v>6147290</v>
      </c>
      <c r="BQ12">
        <v>5694547</v>
      </c>
      <c r="BR12">
        <v>9025035.3120000008</v>
      </c>
      <c r="BS12">
        <v>8590839.8499999996</v>
      </c>
      <c r="BT12">
        <v>9375669.7400000002</v>
      </c>
      <c r="BU12">
        <v>11951276.82</v>
      </c>
      <c r="BV12">
        <v>12121912.82</v>
      </c>
      <c r="BW12">
        <v>14245183</v>
      </c>
      <c r="BX12">
        <v>15076354</v>
      </c>
      <c r="BY12">
        <v>16749271</v>
      </c>
      <c r="BZ12">
        <v>18084553</v>
      </c>
      <c r="CA12">
        <v>19461377</v>
      </c>
      <c r="CD12" s="29">
        <v>1979</v>
      </c>
      <c r="CE12" s="29" t="str" cm="1">
        <f t="array" ref="CE12">_xlfn.IFS(AND(Tabla2[[#This Row],[Year]]&gt;=1970,Tabla2[[#This Row],[Year]]&lt;1980),"70",AND(Tabla2[[#This Row],[Year]]&gt;=1980,Tabla2[[#This Row],[Year]]&lt;1990),"80",AND(Tabla2[[#This Row],[Year]]&gt;=1990,Tabla2[[#This Row],[Year]]&lt;2000),"90",AND(Tabla2[[#This Row],[Year]]&gt;=2000,Tabla2[[#This Row],[Year]]&lt;2010),"00",AND(Tabla2[[#This Row],[Year]]&gt;=2010,Tabla2[[#This Row],[Year]]&lt;=2019),"10")</f>
        <v>70</v>
      </c>
      <c r="CF12">
        <f>COUNTIF(Tabla1[Year],'Set Datos'!CD12)</f>
        <v>60</v>
      </c>
      <c r="CG12">
        <f>SUMIF(Tabla1[Year],Tabla2[[#This Row],[Year]],Tabla1[Aboard])</f>
        <v>2324</v>
      </c>
      <c r="CH12">
        <f>SUMIF(Tabla1[Year],'Set Datos'!CD12,Tabla1[Fatalities])</f>
        <v>1838</v>
      </c>
      <c r="CI12" s="52">
        <f>Tabla2[[#This Row],[Fatalities]]/Tabla2[[#This Row],[Aboard]]</f>
        <v>0.7908777969018933</v>
      </c>
      <c r="CJ12">
        <f>SUBTOTAL(109,Tabla4[1979])</f>
        <v>4498165400</v>
      </c>
      <c r="CK12" s="47">
        <f>Tabla2[[#This Row],[Fatalities]]/Tabla2[[#This Row],[Passengers carried]]</f>
        <v>4.0861103062150628E-7</v>
      </c>
    </row>
    <row r="13" spans="2:89" x14ac:dyDescent="0.3">
      <c r="B13" s="9">
        <v>11</v>
      </c>
      <c r="C13" s="49">
        <v>5854</v>
      </c>
      <c r="D13" s="55">
        <f>YEAR(Tabla1[[#This Row],[Date]])</f>
        <v>1916</v>
      </c>
      <c r="E13" s="9" t="str" cm="1">
        <f t="array" ref="E13">IFERROR(_xlfn.IFS(AND(D13&lt;1980,D13&gt;=1970),"70",AND(D13&lt;1990,D13&gt;=1980),"80",AND(D13&lt;2000,D13&gt;=1990),"90",AND(D13&lt;2010,D13&gt;=2000),"00",AND(D13&lt;=2019,D13&gt;=2010),"10"),"1908-1970")</f>
        <v>1908-1970</v>
      </c>
      <c r="F13" s="3">
        <v>0.98958333333333337</v>
      </c>
      <c r="G13" t="s">
        <v>5056</v>
      </c>
      <c r="H13" t="s">
        <v>5036</v>
      </c>
      <c r="I13" t="s">
        <v>28931</v>
      </c>
      <c r="J13" t="s">
        <v>28931</v>
      </c>
      <c r="K13" t="s">
        <v>5057</v>
      </c>
      <c r="L13" s="7" t="s">
        <v>28931</v>
      </c>
      <c r="M13" t="s">
        <v>28931</v>
      </c>
      <c r="N13">
        <v>19</v>
      </c>
      <c r="O13">
        <v>0</v>
      </c>
      <c r="P13">
        <v>19</v>
      </c>
      <c r="Q13">
        <v>19</v>
      </c>
      <c r="R13">
        <v>0</v>
      </c>
      <c r="S13">
        <v>19</v>
      </c>
      <c r="T13">
        <v>0</v>
      </c>
      <c r="U13" t="s">
        <v>5058</v>
      </c>
      <c r="V13">
        <f>Tabla1[[#This Row],[Aboard]]-Tabla1[[#This Row],[Fatalities]]</f>
        <v>0</v>
      </c>
      <c r="W13" s="50">
        <f>IFERROR(Tabla1[[#This Row],[Fatalities]]/Tabla1[[#This Row],[Aboard]],0)</f>
        <v>1</v>
      </c>
      <c r="X13" s="51" t="str" cm="1">
        <f t="array" ref="X13">_xlfn.IFS(Tabla1[[#This Row],[Porcentaje de muertes]]&lt;0.35,"LEVE",AND(Tabla1[[#This Row],[Porcentaje de muertes]]&gt;0.35,Tabla1[[#This Row],[Porcentaje de muertes]]&lt;0.65),"MEDIO",Tabla1[[#This Row],[Porcentaje de muertes]]&gt;0.65,"GRAVE")</f>
        <v>GRAVE</v>
      </c>
      <c r="AB13" t="s">
        <v>28379</v>
      </c>
      <c r="AC13" t="s">
        <v>28380</v>
      </c>
      <c r="AD13" t="s">
        <v>28966</v>
      </c>
      <c r="AE13" t="s">
        <v>28966</v>
      </c>
      <c r="AF13" t="s">
        <v>28966</v>
      </c>
      <c r="AG13" t="s">
        <v>28966</v>
      </c>
      <c r="AH13" t="s">
        <v>28966</v>
      </c>
      <c r="AI13" t="s">
        <v>28966</v>
      </c>
      <c r="AJ13" t="s">
        <v>28966</v>
      </c>
      <c r="AK13" t="s">
        <v>28966</v>
      </c>
      <c r="AL13" t="s">
        <v>28966</v>
      </c>
      <c r="AM13" t="s">
        <v>28966</v>
      </c>
      <c r="AN13" t="s">
        <v>28966</v>
      </c>
      <c r="AO13" t="s">
        <v>28966</v>
      </c>
      <c r="AP13" t="s">
        <v>28966</v>
      </c>
      <c r="AQ13" t="s">
        <v>28966</v>
      </c>
      <c r="AR13" t="s">
        <v>28966</v>
      </c>
      <c r="AS13" t="s">
        <v>28966</v>
      </c>
      <c r="AT13" t="s">
        <v>28966</v>
      </c>
      <c r="AU13" t="s">
        <v>28966</v>
      </c>
      <c r="AV13" t="s">
        <v>28966</v>
      </c>
      <c r="AW13" t="s">
        <v>28966</v>
      </c>
      <c r="AX13" t="s">
        <v>28966</v>
      </c>
      <c r="AY13" t="s">
        <v>28966</v>
      </c>
      <c r="AZ13" t="s">
        <v>28966</v>
      </c>
      <c r="BA13" t="s">
        <v>28966</v>
      </c>
      <c r="BB13" t="s">
        <v>28966</v>
      </c>
      <c r="BC13" t="s">
        <v>28966</v>
      </c>
      <c r="BD13">
        <v>358100</v>
      </c>
      <c r="BE13">
        <v>367800</v>
      </c>
      <c r="BF13">
        <v>365300</v>
      </c>
      <c r="BG13">
        <v>343100</v>
      </c>
      <c r="BH13">
        <v>298232</v>
      </c>
      <c r="BI13">
        <v>369164</v>
      </c>
      <c r="BJ13">
        <v>407777</v>
      </c>
      <c r="BK13">
        <v>366581</v>
      </c>
      <c r="BL13">
        <v>509904</v>
      </c>
      <c r="BM13">
        <v>555795</v>
      </c>
      <c r="BN13">
        <v>605817</v>
      </c>
      <c r="BO13">
        <v>560626</v>
      </c>
      <c r="BP13">
        <v>623688</v>
      </c>
      <c r="BQ13">
        <v>653320</v>
      </c>
      <c r="BR13">
        <v>704753</v>
      </c>
      <c r="BS13">
        <v>392312</v>
      </c>
      <c r="BT13">
        <v>364733</v>
      </c>
      <c r="BU13">
        <v>45000</v>
      </c>
      <c r="BV13">
        <v>0</v>
      </c>
      <c r="BW13" t="s">
        <v>28966</v>
      </c>
      <c r="BX13" t="s">
        <v>28966</v>
      </c>
      <c r="BY13" t="s">
        <v>28966</v>
      </c>
      <c r="BZ13">
        <v>53259</v>
      </c>
      <c r="CA13">
        <v>193668</v>
      </c>
      <c r="CD13" s="29">
        <v>1980</v>
      </c>
      <c r="CE13" s="29" t="str" cm="1">
        <f t="array" ref="CE13">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13">
        <f>COUNTIF(Tabla1[Year],'Set Datos'!CD13)</f>
        <v>45</v>
      </c>
      <c r="CG13">
        <f>SUMIF(Tabla1[Year],Tabla2[[#This Row],[Year]],Tabla1[Aboard])</f>
        <v>2632</v>
      </c>
      <c r="CH13">
        <f>SUMIF(Tabla1[Year],'Set Datos'!CD13,Tabla1[Fatalities])</f>
        <v>1717</v>
      </c>
      <c r="CI13" s="52">
        <f>Tabla2[[#This Row],[Fatalities]]/Tabla2[[#This Row],[Aboard]]</f>
        <v>0.65235562310030393</v>
      </c>
      <c r="CJ13">
        <f>SUBTOTAL(109,Tabla4[1980])</f>
        <v>4503699128</v>
      </c>
      <c r="CK13" s="47">
        <f>Tabla2[[#This Row],[Fatalities]]/Tabla2[[#This Row],[Passengers carried]]</f>
        <v>3.8124216365281142E-7</v>
      </c>
    </row>
    <row r="14" spans="2:89" x14ac:dyDescent="0.3">
      <c r="B14" s="9">
        <v>12</v>
      </c>
      <c r="C14" s="49">
        <v>6170</v>
      </c>
      <c r="D14" s="55">
        <f>YEAR(Tabla1[[#This Row],[Date]])</f>
        <v>1916</v>
      </c>
      <c r="E14" s="9" t="str" cm="1">
        <f t="array" ref="E14">IFERROR(_xlfn.IFS(AND(D14&lt;1980,D14&gt;=1970),"70",AND(D14&lt;1990,D14&gt;=1980),"80",AND(D14&lt;2000,D14&gt;=1990),"90",AND(D14&lt;2010,D14&gt;=2000),"00",AND(D14&lt;=2019,D14&gt;=2010),"10"),"1908-1970")</f>
        <v>1908-1970</v>
      </c>
      <c r="F14" s="3" t="s">
        <v>28931</v>
      </c>
      <c r="G14" t="s">
        <v>5059</v>
      </c>
      <c r="H14" t="s">
        <v>5050</v>
      </c>
      <c r="I14" t="s">
        <v>28931</v>
      </c>
      <c r="J14" t="s">
        <v>28931</v>
      </c>
      <c r="K14" t="s">
        <v>5060</v>
      </c>
      <c r="L14" s="7" t="s">
        <v>28931</v>
      </c>
      <c r="M14" t="s">
        <v>28931</v>
      </c>
      <c r="N14">
        <v>28</v>
      </c>
      <c r="O14" t="s">
        <v>5038</v>
      </c>
      <c r="P14" t="s">
        <v>5038</v>
      </c>
      <c r="Q14">
        <v>27</v>
      </c>
      <c r="R14" t="s">
        <v>5038</v>
      </c>
      <c r="S14" t="s">
        <v>5038</v>
      </c>
      <c r="T14">
        <v>0</v>
      </c>
      <c r="U14" t="s">
        <v>5061</v>
      </c>
      <c r="V14">
        <f>Tabla1[[#This Row],[Aboard]]-Tabla1[[#This Row],[Fatalities]]</f>
        <v>1</v>
      </c>
      <c r="W14" s="50">
        <f>IFERROR(Tabla1[[#This Row],[Fatalities]]/Tabla1[[#This Row],[Aboard]],0)</f>
        <v>0.9642857142857143</v>
      </c>
      <c r="X14" s="51" t="str" cm="1">
        <f t="array" ref="X14">_xlfn.IFS(Tabla1[[#This Row],[Porcentaje de muertes]]&lt;0.35,"LEVE",AND(Tabla1[[#This Row],[Porcentaje de muertes]]&gt;0.35,Tabla1[[#This Row],[Porcentaje de muertes]]&lt;0.65),"MEDIO",Tabla1[[#This Row],[Porcentaje de muertes]]&gt;0.65,"GRAVE")</f>
        <v>GRAVE</v>
      </c>
      <c r="AB14" t="s">
        <v>28381</v>
      </c>
      <c r="AC14" t="s">
        <v>28382</v>
      </c>
      <c r="AD14" t="s">
        <v>28966</v>
      </c>
      <c r="AE14" t="s">
        <v>28966</v>
      </c>
      <c r="AF14" t="s">
        <v>28966</v>
      </c>
      <c r="AG14" t="s">
        <v>28966</v>
      </c>
      <c r="AH14" t="s">
        <v>28966</v>
      </c>
      <c r="AI14" t="s">
        <v>28966</v>
      </c>
      <c r="AJ14" t="s">
        <v>28966</v>
      </c>
      <c r="AK14" t="s">
        <v>28966</v>
      </c>
      <c r="AL14" t="s">
        <v>28966</v>
      </c>
      <c r="AM14" t="s">
        <v>28966</v>
      </c>
      <c r="AN14" t="s">
        <v>28966</v>
      </c>
      <c r="AO14" t="s">
        <v>28966</v>
      </c>
      <c r="AP14" t="s">
        <v>28966</v>
      </c>
      <c r="AQ14" t="s">
        <v>28966</v>
      </c>
      <c r="AR14" t="s">
        <v>28966</v>
      </c>
      <c r="AS14" t="s">
        <v>28966</v>
      </c>
      <c r="AT14" t="s">
        <v>28966</v>
      </c>
      <c r="AU14" t="s">
        <v>28966</v>
      </c>
      <c r="AV14" t="s">
        <v>28966</v>
      </c>
      <c r="AW14" t="s">
        <v>28966</v>
      </c>
      <c r="AX14" t="s">
        <v>28966</v>
      </c>
      <c r="AY14" t="s">
        <v>28966</v>
      </c>
      <c r="AZ14" t="s">
        <v>28966</v>
      </c>
      <c r="BA14" t="s">
        <v>28966</v>
      </c>
      <c r="BB14" t="s">
        <v>28966</v>
      </c>
      <c r="BC14" t="s">
        <v>28966</v>
      </c>
      <c r="BD14" t="s">
        <v>28966</v>
      </c>
      <c r="BE14" t="s">
        <v>28966</v>
      </c>
      <c r="BF14" t="s">
        <v>28966</v>
      </c>
      <c r="BG14" t="s">
        <v>28966</v>
      </c>
      <c r="BH14" t="s">
        <v>28966</v>
      </c>
      <c r="BI14" t="s">
        <v>28966</v>
      </c>
      <c r="BJ14" t="s">
        <v>28966</v>
      </c>
      <c r="BK14" t="s">
        <v>28966</v>
      </c>
      <c r="BL14" t="s">
        <v>28966</v>
      </c>
      <c r="BM14" t="s">
        <v>28966</v>
      </c>
      <c r="BN14" t="s">
        <v>28966</v>
      </c>
      <c r="BO14" t="s">
        <v>28966</v>
      </c>
      <c r="BP14" t="s">
        <v>28966</v>
      </c>
      <c r="BQ14" t="s">
        <v>28966</v>
      </c>
      <c r="BR14">
        <v>49772.788699999997</v>
      </c>
      <c r="BS14">
        <v>50641.72277</v>
      </c>
      <c r="BT14">
        <v>56096.979679999997</v>
      </c>
      <c r="BU14">
        <v>72240</v>
      </c>
      <c r="BV14">
        <v>76944</v>
      </c>
      <c r="BW14" t="s">
        <v>28966</v>
      </c>
      <c r="BX14" t="s">
        <v>28966</v>
      </c>
      <c r="BY14" t="s">
        <v>28966</v>
      </c>
      <c r="BZ14" t="s">
        <v>28966</v>
      </c>
      <c r="CA14" t="s">
        <v>28966</v>
      </c>
      <c r="CD14" s="29">
        <v>1981</v>
      </c>
      <c r="CE14" s="29" t="str" cm="1">
        <f t="array" ref="CE14">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14">
        <f>COUNTIF(Tabla1[Year],'Set Datos'!CD14)</f>
        <v>50</v>
      </c>
      <c r="CG14">
        <f>SUMIF(Tabla1[Year],Tabla2[[#This Row],[Year]],Tabla1[Aboard])</f>
        <v>1502</v>
      </c>
      <c r="CH14">
        <f>SUMIF(Tabla1[Year],'Set Datos'!CD14,Tabla1[Fatalities])</f>
        <v>1168</v>
      </c>
      <c r="CI14" s="52">
        <f>Tabla2[[#This Row],[Fatalities]]/Tabla2[[#This Row],[Aboard]]</f>
        <v>0.77762982689747007</v>
      </c>
      <c r="CJ14">
        <f>SUBTOTAL(109,Tabla4[1981])</f>
        <v>4535460800</v>
      </c>
      <c r="CK14" s="47">
        <f>Tabla2[[#This Row],[Fatalities]]/Tabla2[[#This Row],[Passengers carried]]</f>
        <v>2.5752620329118488E-7</v>
      </c>
    </row>
    <row r="15" spans="2:89" x14ac:dyDescent="0.3">
      <c r="B15" s="9">
        <v>13</v>
      </c>
      <c r="C15" s="49">
        <v>6177</v>
      </c>
      <c r="D15" s="55">
        <f>YEAR(Tabla1[[#This Row],[Date]])</f>
        <v>1916</v>
      </c>
      <c r="E15" s="9" t="str" cm="1">
        <f t="array" ref="E15">IFERROR(_xlfn.IFS(AND(D15&lt;1980,D15&gt;=1970),"70",AND(D15&lt;1990,D15&gt;=1980),"80",AND(D15&lt;2000,D15&gt;=1990),"90",AND(D15&lt;2010,D15&gt;=2000),"00",AND(D15&lt;=2019,D15&gt;=2010),"10"),"1908-1970")</f>
        <v>1908-1970</v>
      </c>
      <c r="F15" s="3">
        <v>0.98958333333333337</v>
      </c>
      <c r="G15" t="s">
        <v>5062</v>
      </c>
      <c r="H15" t="s">
        <v>5036</v>
      </c>
      <c r="I15" t="s">
        <v>28931</v>
      </c>
      <c r="J15" t="s">
        <v>28931</v>
      </c>
      <c r="K15" t="s">
        <v>5063</v>
      </c>
      <c r="L15" s="7" t="s">
        <v>28931</v>
      </c>
      <c r="M15" t="s">
        <v>28931</v>
      </c>
      <c r="N15">
        <v>20</v>
      </c>
      <c r="O15" t="s">
        <v>5038</v>
      </c>
      <c r="P15" t="s">
        <v>5038</v>
      </c>
      <c r="Q15">
        <v>20</v>
      </c>
      <c r="R15" t="s">
        <v>5038</v>
      </c>
      <c r="S15" t="s">
        <v>5038</v>
      </c>
      <c r="T15">
        <v>0</v>
      </c>
      <c r="U15" t="s">
        <v>5064</v>
      </c>
      <c r="V15">
        <f>Tabla1[[#This Row],[Aboard]]-Tabla1[[#This Row],[Fatalities]]</f>
        <v>0</v>
      </c>
      <c r="W15" s="50">
        <f>IFERROR(Tabla1[[#This Row],[Fatalities]]/Tabla1[[#This Row],[Aboard]],0)</f>
        <v>1</v>
      </c>
      <c r="X15" s="51" t="str" cm="1">
        <f t="array" ref="X15">_xlfn.IFS(Tabla1[[#This Row],[Porcentaje de muertes]]&lt;0.35,"LEVE",AND(Tabla1[[#This Row],[Porcentaje de muertes]]&gt;0.35,Tabla1[[#This Row],[Porcentaje de muertes]]&lt;0.65),"MEDIO",Tabla1[[#This Row],[Porcentaje de muertes]]&gt;0.65,"GRAVE")</f>
        <v>GRAVE</v>
      </c>
      <c r="AB15" t="s">
        <v>28383</v>
      </c>
      <c r="AC15" t="s">
        <v>28384</v>
      </c>
      <c r="AD15" t="s">
        <v>28966</v>
      </c>
      <c r="AE15" t="s">
        <v>28966</v>
      </c>
      <c r="AF15" t="s">
        <v>28966</v>
      </c>
      <c r="AG15" t="s">
        <v>28966</v>
      </c>
      <c r="AH15" t="s">
        <v>28966</v>
      </c>
      <c r="AI15" t="s">
        <v>28966</v>
      </c>
      <c r="AJ15" t="s">
        <v>28966</v>
      </c>
      <c r="AK15" t="s">
        <v>28966</v>
      </c>
      <c r="AL15" t="s">
        <v>28966</v>
      </c>
      <c r="AM15" t="s">
        <v>28966</v>
      </c>
      <c r="AN15" t="s">
        <v>28966</v>
      </c>
      <c r="AO15">
        <v>389000</v>
      </c>
      <c r="AP15">
        <v>376800</v>
      </c>
      <c r="AQ15">
        <v>385000</v>
      </c>
      <c r="AR15">
        <v>420000</v>
      </c>
      <c r="AS15">
        <v>500000</v>
      </c>
      <c r="AT15">
        <v>600000</v>
      </c>
      <c r="AU15">
        <v>582000</v>
      </c>
      <c r="AV15">
        <v>700000</v>
      </c>
      <c r="AW15">
        <v>740000</v>
      </c>
      <c r="AX15">
        <v>755000</v>
      </c>
      <c r="AY15">
        <v>870000</v>
      </c>
      <c r="AZ15">
        <v>913500</v>
      </c>
      <c r="BA15">
        <v>955000</v>
      </c>
      <c r="BB15">
        <v>1000000</v>
      </c>
      <c r="BC15">
        <v>1050000</v>
      </c>
      <c r="BD15">
        <v>1098000</v>
      </c>
      <c r="BE15">
        <v>1250000</v>
      </c>
      <c r="BF15">
        <v>1245200</v>
      </c>
      <c r="BG15">
        <v>1371300</v>
      </c>
      <c r="BH15">
        <v>1426114</v>
      </c>
      <c r="BI15">
        <v>1369069</v>
      </c>
      <c r="BJ15">
        <v>1286925</v>
      </c>
      <c r="BK15">
        <v>1428487</v>
      </c>
      <c r="BL15">
        <v>714000</v>
      </c>
      <c r="BM15">
        <v>778260</v>
      </c>
      <c r="BN15">
        <v>754912</v>
      </c>
      <c r="BO15">
        <v>800207</v>
      </c>
      <c r="BP15">
        <v>813010</v>
      </c>
      <c r="BQ15">
        <v>747969</v>
      </c>
      <c r="BR15">
        <v>1554309</v>
      </c>
      <c r="BS15">
        <v>1424420.155</v>
      </c>
      <c r="BT15">
        <v>1310276.4129999999</v>
      </c>
      <c r="BU15">
        <v>1218000</v>
      </c>
      <c r="BV15">
        <v>1216152</v>
      </c>
      <c r="BW15">
        <v>1039810</v>
      </c>
      <c r="BX15">
        <v>1042929</v>
      </c>
      <c r="BY15">
        <v>590517</v>
      </c>
      <c r="BZ15">
        <v>580174.1568</v>
      </c>
      <c r="CA15">
        <v>526333.99509999994</v>
      </c>
      <c r="CD15" s="29">
        <v>1982</v>
      </c>
      <c r="CE15" s="29" t="str" cm="1">
        <f t="array" ref="CE15">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15">
        <f>COUNTIF(Tabla1[Year],'Set Datos'!CD15)</f>
        <v>54</v>
      </c>
      <c r="CG15">
        <f>SUMIF(Tabla1[Year],Tabla2[[#This Row],[Year]],Tabla1[Aboard])</f>
        <v>3364</v>
      </c>
      <c r="CH15">
        <f>SUMIF(Tabla1[Year],'Set Datos'!CD15,Tabla1[Fatalities])</f>
        <v>1708</v>
      </c>
      <c r="CI15" s="52">
        <f>Tabla2[[#This Row],[Fatalities]]/Tabla2[[#This Row],[Aboard]]</f>
        <v>0.5077288941736029</v>
      </c>
      <c r="CJ15">
        <f>SUBTOTAL(109,Tabla4[1982])</f>
        <v>4644175148</v>
      </c>
      <c r="CK15" s="47">
        <f>Tabla2[[#This Row],[Fatalities]]/Tabla2[[#This Row],[Passengers carried]]</f>
        <v>3.6777252053802172E-7</v>
      </c>
    </row>
    <row r="16" spans="2:89" x14ac:dyDescent="0.3">
      <c r="B16" s="9">
        <v>14</v>
      </c>
      <c r="C16" s="49">
        <v>6303</v>
      </c>
      <c r="D16" s="55">
        <f>YEAR(Tabla1[[#This Row],[Date]])</f>
        <v>1917</v>
      </c>
      <c r="E16" s="9" t="str" cm="1">
        <f t="array" ref="E16">IFERROR(_xlfn.IFS(AND(D16&lt;1980,D16&gt;=1970),"70",AND(D16&lt;1990,D16&gt;=1980),"80",AND(D16&lt;2000,D16&gt;=1990),"90",AND(D16&lt;2010,D16&gt;=2000),"00",AND(D16&lt;=2019,D16&gt;=2010),"10"),"1908-1970")</f>
        <v>1908-1970</v>
      </c>
      <c r="F16" s="3" t="s">
        <v>28931</v>
      </c>
      <c r="G16" t="s">
        <v>5065</v>
      </c>
      <c r="H16" t="s">
        <v>5050</v>
      </c>
      <c r="I16" t="s">
        <v>28931</v>
      </c>
      <c r="J16" t="s">
        <v>28931</v>
      </c>
      <c r="K16" t="s">
        <v>5066</v>
      </c>
      <c r="L16" s="7" t="s">
        <v>28931</v>
      </c>
      <c r="M16" t="s">
        <v>28931</v>
      </c>
      <c r="N16">
        <v>20</v>
      </c>
      <c r="O16" t="s">
        <v>5038</v>
      </c>
      <c r="P16" t="s">
        <v>5038</v>
      </c>
      <c r="Q16">
        <v>20</v>
      </c>
      <c r="R16" t="s">
        <v>5038</v>
      </c>
      <c r="S16" t="s">
        <v>5038</v>
      </c>
      <c r="T16">
        <v>0</v>
      </c>
      <c r="U16" t="s">
        <v>5067</v>
      </c>
      <c r="V16">
        <f>Tabla1[[#This Row],[Aboard]]-Tabla1[[#This Row],[Fatalities]]</f>
        <v>0</v>
      </c>
      <c r="W16" s="50">
        <f>IFERROR(Tabla1[[#This Row],[Fatalities]]/Tabla1[[#This Row],[Aboard]],0)</f>
        <v>1</v>
      </c>
      <c r="X16" s="51" t="str" cm="1">
        <f t="array" ref="X16">_xlfn.IFS(Tabla1[[#This Row],[Porcentaje de muertes]]&lt;0.35,"LEVE",AND(Tabla1[[#This Row],[Porcentaje de muertes]]&gt;0.35,Tabla1[[#This Row],[Porcentaje de muertes]]&lt;0.65),"MEDIO",Tabla1[[#This Row],[Porcentaje de muertes]]&gt;0.65,"GRAVE")</f>
        <v>GRAVE</v>
      </c>
      <c r="AB16" t="s">
        <v>28385</v>
      </c>
      <c r="AC16" t="s">
        <v>28386</v>
      </c>
      <c r="AD16">
        <v>7318700</v>
      </c>
      <c r="AE16">
        <v>7326600</v>
      </c>
      <c r="AF16">
        <v>7795600</v>
      </c>
      <c r="AG16">
        <v>9384600</v>
      </c>
      <c r="AH16">
        <v>10664700</v>
      </c>
      <c r="AI16">
        <v>11055100</v>
      </c>
      <c r="AJ16">
        <v>10864300</v>
      </c>
      <c r="AK16">
        <v>11306500</v>
      </c>
      <c r="AL16">
        <v>12122300</v>
      </c>
      <c r="AM16">
        <v>13022500</v>
      </c>
      <c r="AN16">
        <v>13648800</v>
      </c>
      <c r="AO16">
        <v>13219500</v>
      </c>
      <c r="AP16">
        <v>13187900</v>
      </c>
      <c r="AQ16">
        <v>12601500</v>
      </c>
      <c r="AR16">
        <v>13236800</v>
      </c>
      <c r="AS16">
        <v>14412100</v>
      </c>
      <c r="AT16">
        <v>15497300</v>
      </c>
      <c r="AU16">
        <v>16880200</v>
      </c>
      <c r="AV16">
        <v>18816300</v>
      </c>
      <c r="AW16">
        <v>15114300</v>
      </c>
      <c r="AX16">
        <v>17553400</v>
      </c>
      <c r="AY16">
        <v>21860100</v>
      </c>
      <c r="AZ16">
        <v>23886600</v>
      </c>
      <c r="BA16">
        <v>26929300</v>
      </c>
      <c r="BB16">
        <v>26888500</v>
      </c>
      <c r="BC16">
        <v>28831400</v>
      </c>
      <c r="BD16">
        <v>30075100</v>
      </c>
      <c r="BE16">
        <v>30953500</v>
      </c>
      <c r="BF16">
        <v>30185700</v>
      </c>
      <c r="BG16">
        <v>31579700</v>
      </c>
      <c r="BH16">
        <v>32577569</v>
      </c>
      <c r="BI16">
        <v>33477398</v>
      </c>
      <c r="BJ16">
        <v>39021581</v>
      </c>
      <c r="BK16">
        <v>41386432</v>
      </c>
      <c r="BL16">
        <v>41596552</v>
      </c>
      <c r="BM16">
        <v>44657324</v>
      </c>
      <c r="BN16">
        <v>46951775</v>
      </c>
      <c r="BO16">
        <v>48728837</v>
      </c>
      <c r="BP16">
        <v>51488427</v>
      </c>
      <c r="BQ16">
        <v>50026967</v>
      </c>
      <c r="BR16">
        <v>60640913</v>
      </c>
      <c r="BS16">
        <v>63360310.340000004</v>
      </c>
      <c r="BT16">
        <v>66355274</v>
      </c>
      <c r="BU16">
        <v>68197955</v>
      </c>
      <c r="BV16">
        <v>68123237.670000002</v>
      </c>
      <c r="BW16">
        <v>69779346</v>
      </c>
      <c r="BX16">
        <v>72446421</v>
      </c>
      <c r="BY16">
        <v>74257326</v>
      </c>
      <c r="BZ16">
        <v>75667645.030000001</v>
      </c>
      <c r="CA16">
        <v>76850596.719999999</v>
      </c>
      <c r="CD16" s="29">
        <v>1983</v>
      </c>
      <c r="CE16" s="29" t="str" cm="1">
        <f t="array" ref="CE16">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16">
        <f>COUNTIF(Tabla1[Year],'Set Datos'!CD16)</f>
        <v>48</v>
      </c>
      <c r="CG16">
        <f>SUMIF(Tabla1[Year],Tabla2[[#This Row],[Year]],Tabla1[Aboard])</f>
        <v>2314</v>
      </c>
      <c r="CH16">
        <f>SUMIF(Tabla1[Year],'Set Datos'!CD16,Tabla1[Fatalities])</f>
        <v>1564</v>
      </c>
      <c r="CI16" s="52">
        <f>Tabla2[[#This Row],[Fatalities]]/Tabla2[[#This Row],[Aboard]]</f>
        <v>0.67588591184096802</v>
      </c>
      <c r="CJ16">
        <f>SUBTOTAL(109,Tabla4[1983])</f>
        <v>4850937676</v>
      </c>
      <c r="CK16" s="47">
        <f>Tabla2[[#This Row],[Fatalities]]/Tabla2[[#This Row],[Passengers carried]]</f>
        <v>3.224118932176526E-7</v>
      </c>
    </row>
    <row r="17" spans="2:89" x14ac:dyDescent="0.3">
      <c r="B17" s="9">
        <v>15</v>
      </c>
      <c r="C17" s="49">
        <v>6299</v>
      </c>
      <c r="D17" s="55">
        <f>YEAR(Tabla1[[#This Row],[Date]])</f>
        <v>1917</v>
      </c>
      <c r="E17" s="9" t="str" cm="1">
        <f t="array" ref="E17">IFERROR(_xlfn.IFS(AND(D17&lt;1980,D17&gt;=1970),"70",AND(D17&lt;1990,D17&gt;=1980),"80",AND(D17&lt;2000,D17&gt;=1990),"90",AND(D17&lt;2010,D17&gt;=2000),"00",AND(D17&lt;=2019,D17&gt;=2010),"10"),"1908-1970")</f>
        <v>1908-1970</v>
      </c>
      <c r="F17" s="3" t="s">
        <v>28931</v>
      </c>
      <c r="G17" t="s">
        <v>5068</v>
      </c>
      <c r="H17" t="s">
        <v>5036</v>
      </c>
      <c r="I17" t="s">
        <v>28931</v>
      </c>
      <c r="J17" t="s">
        <v>28931</v>
      </c>
      <c r="K17" t="s">
        <v>5069</v>
      </c>
      <c r="L17" s="7" t="s">
        <v>28931</v>
      </c>
      <c r="M17" t="s">
        <v>28931</v>
      </c>
      <c r="N17">
        <v>23</v>
      </c>
      <c r="O17" t="s">
        <v>5038</v>
      </c>
      <c r="P17" t="s">
        <v>5038</v>
      </c>
      <c r="Q17">
        <v>23</v>
      </c>
      <c r="R17" t="s">
        <v>5038</v>
      </c>
      <c r="S17" t="s">
        <v>5038</v>
      </c>
      <c r="T17">
        <v>0</v>
      </c>
      <c r="U17" t="s">
        <v>5070</v>
      </c>
      <c r="V17">
        <f>Tabla1[[#This Row],[Aboard]]-Tabla1[[#This Row],[Fatalities]]</f>
        <v>0</v>
      </c>
      <c r="W17" s="50">
        <f>IFERROR(Tabla1[[#This Row],[Fatalities]]/Tabla1[[#This Row],[Aboard]],0)</f>
        <v>1</v>
      </c>
      <c r="X17" s="51" t="str" cm="1">
        <f t="array" ref="X17">_xlfn.IFS(Tabla1[[#This Row],[Porcentaje de muertes]]&lt;0.35,"LEVE",AND(Tabla1[[#This Row],[Porcentaje de muertes]]&gt;0.35,Tabla1[[#This Row],[Porcentaje de muertes]]&lt;0.65),"MEDIO",Tabla1[[#This Row],[Porcentaje de muertes]]&gt;0.65,"GRAVE")</f>
        <v>GRAVE</v>
      </c>
      <c r="AB17" t="s">
        <v>28387</v>
      </c>
      <c r="AC17" t="s">
        <v>28388</v>
      </c>
      <c r="AD17">
        <v>511400</v>
      </c>
      <c r="AE17">
        <v>582100</v>
      </c>
      <c r="AF17">
        <v>706600</v>
      </c>
      <c r="AG17">
        <v>830900</v>
      </c>
      <c r="AH17">
        <v>840800</v>
      </c>
      <c r="AI17">
        <v>912100</v>
      </c>
      <c r="AJ17">
        <v>1060800</v>
      </c>
      <c r="AK17">
        <v>1136600</v>
      </c>
      <c r="AL17">
        <v>1238900</v>
      </c>
      <c r="AM17">
        <v>1301600</v>
      </c>
      <c r="AN17">
        <v>1284500</v>
      </c>
      <c r="AO17">
        <v>1358100</v>
      </c>
      <c r="AP17">
        <v>1447600</v>
      </c>
      <c r="AQ17">
        <v>1498400</v>
      </c>
      <c r="AR17">
        <v>1514000</v>
      </c>
      <c r="AS17">
        <v>1708000</v>
      </c>
      <c r="AT17">
        <v>1640400</v>
      </c>
      <c r="AU17">
        <v>1879700</v>
      </c>
      <c r="AV17">
        <v>1964600</v>
      </c>
      <c r="AW17">
        <v>2283800</v>
      </c>
      <c r="AX17">
        <v>2532100</v>
      </c>
      <c r="AY17">
        <v>2605700</v>
      </c>
      <c r="AZ17">
        <v>3024200</v>
      </c>
      <c r="BA17">
        <v>3296900</v>
      </c>
      <c r="BB17">
        <v>3747900</v>
      </c>
      <c r="BC17">
        <v>4265400</v>
      </c>
      <c r="BD17">
        <v>4718600</v>
      </c>
      <c r="BE17">
        <v>5153900</v>
      </c>
      <c r="BF17">
        <v>5871500</v>
      </c>
      <c r="BG17">
        <v>6056600</v>
      </c>
      <c r="BH17">
        <v>6641875</v>
      </c>
      <c r="BI17">
        <v>6550376</v>
      </c>
      <c r="BJ17">
        <v>7070344</v>
      </c>
      <c r="BK17">
        <v>6902780</v>
      </c>
      <c r="BL17">
        <v>7619372</v>
      </c>
      <c r="BM17">
        <v>8037890</v>
      </c>
      <c r="BN17">
        <v>8785116</v>
      </c>
      <c r="BO17">
        <v>9140909</v>
      </c>
      <c r="BP17">
        <v>9140680</v>
      </c>
      <c r="BQ17">
        <v>8520740</v>
      </c>
      <c r="BR17">
        <v>13493793</v>
      </c>
      <c r="BS17">
        <v>14088251.66</v>
      </c>
      <c r="BT17">
        <v>14518841.050000001</v>
      </c>
      <c r="BU17">
        <v>15037454</v>
      </c>
      <c r="BV17">
        <v>15210489</v>
      </c>
      <c r="BW17">
        <v>14718641</v>
      </c>
      <c r="BX17">
        <v>14724774</v>
      </c>
      <c r="BY17">
        <v>16171640</v>
      </c>
      <c r="BZ17">
        <v>12935505</v>
      </c>
      <c r="CA17">
        <v>46476602</v>
      </c>
      <c r="CD17" s="29">
        <v>1984</v>
      </c>
      <c r="CE17" s="29" t="str" cm="1">
        <f t="array" ref="CE17">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17">
        <f>COUNTIF(Tabla1[Year],'Set Datos'!CD17)</f>
        <v>48</v>
      </c>
      <c r="CG17">
        <f>SUMIF(Tabla1[Year],Tabla2[[#This Row],[Year]],Tabla1[Aboard])</f>
        <v>1379</v>
      </c>
      <c r="CH17">
        <f>SUMIF(Tabla1[Year],'Set Datos'!CD17,Tabla1[Fatalities])</f>
        <v>921</v>
      </c>
      <c r="CI17" s="52">
        <f>Tabla2[[#This Row],[Fatalities]]/Tabla2[[#This Row],[Aboard]]</f>
        <v>0.66787527193618568</v>
      </c>
      <c r="CJ17">
        <f>SUBTOTAL(109,Tabla4[1984])</f>
        <v>5171468628</v>
      </c>
      <c r="CK17" s="47">
        <f>Tabla2[[#This Row],[Fatalities]]/Tabla2[[#This Row],[Passengers carried]]</f>
        <v>1.7809254319235522E-7</v>
      </c>
    </row>
    <row r="18" spans="2:89" x14ac:dyDescent="0.3">
      <c r="B18" s="9">
        <v>16</v>
      </c>
      <c r="C18" s="49">
        <v>6344</v>
      </c>
      <c r="D18" s="55">
        <f>YEAR(Tabla1[[#This Row],[Date]])</f>
        <v>1917</v>
      </c>
      <c r="E18" s="9" t="str" cm="1">
        <f t="array" ref="E18">IFERROR(_xlfn.IFS(AND(D18&lt;1980,D18&gt;=1970),"70",AND(D18&lt;1990,D18&gt;=1980),"80",AND(D18&lt;2000,D18&gt;=1990),"90",AND(D18&lt;2010,D18&gt;=2000),"00",AND(D18&lt;=2019,D18&gt;=2010),"10"),"1908-1970")</f>
        <v>1908-1970</v>
      </c>
      <c r="F18" s="3">
        <v>0.21875</v>
      </c>
      <c r="G18" t="s">
        <v>5071</v>
      </c>
      <c r="H18" t="s">
        <v>5036</v>
      </c>
      <c r="I18" t="s">
        <v>28931</v>
      </c>
      <c r="J18" t="s">
        <v>28931</v>
      </c>
      <c r="K18" t="s">
        <v>5072</v>
      </c>
      <c r="L18" s="7" t="s">
        <v>28931</v>
      </c>
      <c r="M18" t="s">
        <v>28931</v>
      </c>
      <c r="N18">
        <v>21</v>
      </c>
      <c r="O18" t="s">
        <v>5038</v>
      </c>
      <c r="P18" t="s">
        <v>5038</v>
      </c>
      <c r="Q18">
        <v>21</v>
      </c>
      <c r="R18" t="s">
        <v>5038</v>
      </c>
      <c r="S18" t="s">
        <v>5038</v>
      </c>
      <c r="T18">
        <v>0</v>
      </c>
      <c r="U18" t="s">
        <v>5073</v>
      </c>
      <c r="V18">
        <f>Tabla1[[#This Row],[Aboard]]-Tabla1[[#This Row],[Fatalities]]</f>
        <v>0</v>
      </c>
      <c r="W18" s="50">
        <f>IFERROR(Tabla1[[#This Row],[Fatalities]]/Tabla1[[#This Row],[Aboard]],0)</f>
        <v>1</v>
      </c>
      <c r="X18" s="51" t="str" cm="1">
        <f t="array" ref="X18">_xlfn.IFS(Tabla1[[#This Row],[Porcentaje de muertes]]&lt;0.35,"LEVE",AND(Tabla1[[#This Row],[Porcentaje de muertes]]&gt;0.35,Tabla1[[#This Row],[Porcentaje de muertes]]&lt;0.65),"MEDIO",Tabla1[[#This Row],[Porcentaje de muertes]]&gt;0.65,"GRAVE")</f>
        <v>GRAVE</v>
      </c>
      <c r="AB18" t="s">
        <v>28389</v>
      </c>
      <c r="AC18" t="s">
        <v>28390</v>
      </c>
      <c r="AD18" t="s">
        <v>28966</v>
      </c>
      <c r="AE18" t="s">
        <v>28966</v>
      </c>
      <c r="AF18" t="s">
        <v>28966</v>
      </c>
      <c r="AG18" t="s">
        <v>28966</v>
      </c>
      <c r="AH18" t="s">
        <v>28966</v>
      </c>
      <c r="AI18" t="s">
        <v>28966</v>
      </c>
      <c r="AJ18" t="s">
        <v>28966</v>
      </c>
      <c r="AK18" t="s">
        <v>28966</v>
      </c>
      <c r="AL18" t="s">
        <v>28966</v>
      </c>
      <c r="AM18" t="s">
        <v>28966</v>
      </c>
      <c r="AN18" t="s">
        <v>28966</v>
      </c>
      <c r="AO18" t="s">
        <v>28966</v>
      </c>
      <c r="AP18" t="s">
        <v>28966</v>
      </c>
      <c r="AQ18" t="s">
        <v>28966</v>
      </c>
      <c r="AR18" t="s">
        <v>28966</v>
      </c>
      <c r="AS18" t="s">
        <v>28966</v>
      </c>
      <c r="AT18" t="s">
        <v>28966</v>
      </c>
      <c r="AU18" t="s">
        <v>28966</v>
      </c>
      <c r="AV18" t="s">
        <v>28966</v>
      </c>
      <c r="AW18" t="s">
        <v>28966</v>
      </c>
      <c r="AX18" t="s">
        <v>28966</v>
      </c>
      <c r="AY18" t="s">
        <v>28966</v>
      </c>
      <c r="AZ18">
        <v>1454900</v>
      </c>
      <c r="BA18">
        <v>1383400</v>
      </c>
      <c r="BB18">
        <v>1380000</v>
      </c>
      <c r="BC18">
        <v>1156000</v>
      </c>
      <c r="BD18">
        <v>1232900</v>
      </c>
      <c r="BE18">
        <v>981800</v>
      </c>
      <c r="BF18">
        <v>669400</v>
      </c>
      <c r="BG18">
        <v>571700</v>
      </c>
      <c r="BH18">
        <v>545800</v>
      </c>
      <c r="BI18">
        <v>543800</v>
      </c>
      <c r="BJ18">
        <v>575300</v>
      </c>
      <c r="BK18">
        <v>683700</v>
      </c>
      <c r="BL18">
        <v>1007000</v>
      </c>
      <c r="BM18">
        <v>1134300</v>
      </c>
      <c r="BN18">
        <v>1253400</v>
      </c>
      <c r="BO18">
        <v>1440700</v>
      </c>
      <c r="BP18">
        <v>756338</v>
      </c>
      <c r="BQ18">
        <v>839514</v>
      </c>
      <c r="BR18">
        <v>796698</v>
      </c>
      <c r="BS18">
        <v>1348414</v>
      </c>
      <c r="BT18">
        <v>1560084</v>
      </c>
      <c r="BU18">
        <v>1651710</v>
      </c>
      <c r="BV18">
        <v>1770192</v>
      </c>
      <c r="BW18">
        <v>1803112</v>
      </c>
      <c r="BX18">
        <v>1961639</v>
      </c>
      <c r="BY18">
        <v>2331308</v>
      </c>
      <c r="BZ18">
        <v>2279546</v>
      </c>
      <c r="CA18">
        <v>2585280</v>
      </c>
      <c r="CD18" s="29">
        <v>1985</v>
      </c>
      <c r="CE18" s="29" t="str" cm="1">
        <f t="array" ref="CE18">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18">
        <f>COUNTIF(Tabla1[Year],'Set Datos'!CD18)</f>
        <v>56</v>
      </c>
      <c r="CG18">
        <f>SUMIF(Tabla1[Year],Tabla2[[#This Row],[Year]],Tabla1[Aboard])</f>
        <v>3387</v>
      </c>
      <c r="CH18">
        <f>SUMIF(Tabla1[Year],'Set Datos'!CD18,Tabla1[Fatalities])</f>
        <v>2590</v>
      </c>
      <c r="CI18" s="52">
        <f>Tabla2[[#This Row],[Fatalities]]/Tabla2[[#This Row],[Aboard]]</f>
        <v>0.76468851490994982</v>
      </c>
      <c r="CJ18">
        <f>SUBTOTAL(109,Tabla4[1985])</f>
        <v>5508511524</v>
      </c>
      <c r="CK18" s="47">
        <f>Tabla2[[#This Row],[Fatalities]]/Tabla2[[#This Row],[Passengers carried]]</f>
        <v>4.7018146167356552E-7</v>
      </c>
    </row>
    <row r="19" spans="2:89" x14ac:dyDescent="0.3">
      <c r="B19" s="9">
        <v>17</v>
      </c>
      <c r="C19" s="49">
        <v>6375</v>
      </c>
      <c r="D19" s="55">
        <f>YEAR(Tabla1[[#This Row],[Date]])</f>
        <v>1917</v>
      </c>
      <c r="E19" s="9" t="str" cm="1">
        <f t="array" ref="E19">IFERROR(_xlfn.IFS(AND(D19&lt;1980,D19&gt;=1970),"70",AND(D19&lt;1990,D19&gt;=1980),"80",AND(D19&lt;2000,D19&gt;=1990),"90",AND(D19&lt;2010,D19&gt;=2000),"00",AND(D19&lt;=2019,D19&gt;=2010),"10"),"1908-1970")</f>
        <v>1908-1970</v>
      </c>
      <c r="F19" s="3">
        <v>0.36458333333333331</v>
      </c>
      <c r="G19" t="s">
        <v>5074</v>
      </c>
      <c r="H19" t="s">
        <v>5036</v>
      </c>
      <c r="I19" t="s">
        <v>28931</v>
      </c>
      <c r="J19" t="s">
        <v>28931</v>
      </c>
      <c r="K19" t="s">
        <v>5075</v>
      </c>
      <c r="L19" s="7" t="s">
        <v>28931</v>
      </c>
      <c r="M19" t="s">
        <v>28931</v>
      </c>
      <c r="N19">
        <v>24</v>
      </c>
      <c r="O19" t="s">
        <v>5038</v>
      </c>
      <c r="P19" t="s">
        <v>5038</v>
      </c>
      <c r="Q19">
        <v>24</v>
      </c>
      <c r="R19" t="s">
        <v>5038</v>
      </c>
      <c r="S19" t="s">
        <v>5038</v>
      </c>
      <c r="T19">
        <v>0</v>
      </c>
      <c r="U19" t="s">
        <v>5076</v>
      </c>
      <c r="V19">
        <f>Tabla1[[#This Row],[Aboard]]-Tabla1[[#This Row],[Fatalities]]</f>
        <v>0</v>
      </c>
      <c r="W19" s="50">
        <f>IFERROR(Tabla1[[#This Row],[Fatalities]]/Tabla1[[#This Row],[Aboard]],0)</f>
        <v>1</v>
      </c>
      <c r="X19" s="51" t="str" cm="1">
        <f t="array" ref="X19">_xlfn.IFS(Tabla1[[#This Row],[Porcentaje de muertes]]&lt;0.35,"LEVE",AND(Tabla1[[#This Row],[Porcentaje de muertes]]&gt;0.35,Tabla1[[#This Row],[Porcentaje de muertes]]&lt;0.65),"MEDIO",Tabla1[[#This Row],[Porcentaje de muertes]]&gt;0.65,"GRAVE")</f>
        <v>GRAVE</v>
      </c>
      <c r="AB19" t="s">
        <v>28391</v>
      </c>
      <c r="AC19" t="s">
        <v>28392</v>
      </c>
      <c r="AD19" t="s">
        <v>28966</v>
      </c>
      <c r="AE19" t="s">
        <v>28966</v>
      </c>
      <c r="AF19" t="s">
        <v>28966</v>
      </c>
      <c r="AG19" t="s">
        <v>28966</v>
      </c>
      <c r="AH19" t="s">
        <v>28966</v>
      </c>
      <c r="AI19" t="s">
        <v>28966</v>
      </c>
      <c r="AJ19">
        <v>4000</v>
      </c>
      <c r="AK19">
        <v>4500</v>
      </c>
      <c r="AL19">
        <v>5000</v>
      </c>
      <c r="AM19">
        <v>5500</v>
      </c>
      <c r="AN19">
        <v>11000</v>
      </c>
      <c r="AO19">
        <v>5000</v>
      </c>
      <c r="AP19">
        <v>5500</v>
      </c>
      <c r="AQ19">
        <v>6000</v>
      </c>
      <c r="AR19">
        <v>8800</v>
      </c>
      <c r="AS19">
        <v>8600</v>
      </c>
      <c r="AT19">
        <v>5500</v>
      </c>
      <c r="AU19">
        <v>21000</v>
      </c>
      <c r="AV19">
        <v>11200</v>
      </c>
      <c r="AW19">
        <v>7800</v>
      </c>
      <c r="AX19">
        <v>8300</v>
      </c>
      <c r="AY19">
        <v>8300</v>
      </c>
      <c r="AZ19">
        <v>8900</v>
      </c>
      <c r="BA19">
        <v>8900</v>
      </c>
      <c r="BB19">
        <v>8900</v>
      </c>
      <c r="BC19">
        <v>9400</v>
      </c>
      <c r="BD19">
        <v>9400</v>
      </c>
      <c r="BE19">
        <v>12000</v>
      </c>
      <c r="BF19">
        <v>12000</v>
      </c>
      <c r="BG19" t="s">
        <v>28966</v>
      </c>
      <c r="BH19" t="s">
        <v>28966</v>
      </c>
      <c r="BI19" t="s">
        <v>28966</v>
      </c>
      <c r="BJ19" t="s">
        <v>28966</v>
      </c>
      <c r="BK19" t="s">
        <v>28966</v>
      </c>
      <c r="BL19" t="s">
        <v>28966</v>
      </c>
      <c r="BM19" t="s">
        <v>28966</v>
      </c>
      <c r="BN19" t="s">
        <v>28966</v>
      </c>
      <c r="BO19" t="s">
        <v>28966</v>
      </c>
      <c r="BP19" t="s">
        <v>28966</v>
      </c>
      <c r="BQ19" t="s">
        <v>28966</v>
      </c>
      <c r="BR19" t="s">
        <v>28966</v>
      </c>
      <c r="BS19" t="s">
        <v>28966</v>
      </c>
      <c r="BT19" t="s">
        <v>28966</v>
      </c>
      <c r="BU19" t="s">
        <v>28966</v>
      </c>
      <c r="BV19" t="s">
        <v>28966</v>
      </c>
      <c r="BW19" t="s">
        <v>28966</v>
      </c>
      <c r="BX19" t="s">
        <v>28966</v>
      </c>
      <c r="BY19" t="s">
        <v>28966</v>
      </c>
      <c r="BZ19" t="s">
        <v>28966</v>
      </c>
      <c r="CA19" t="s">
        <v>28966</v>
      </c>
      <c r="CD19" s="29">
        <v>1986</v>
      </c>
      <c r="CE19" s="29" t="str" cm="1">
        <f t="array" ref="CE19">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19">
        <f>COUNTIF(Tabla1[Year],'Set Datos'!CD19)</f>
        <v>50</v>
      </c>
      <c r="CG19">
        <f>SUMIF(Tabla1[Year],Tabla2[[#This Row],[Year]],Tabla1[Aboard])</f>
        <v>2420</v>
      </c>
      <c r="CH19">
        <f>SUMIF(Tabla1[Year],'Set Datos'!CD19,Tabla1[Fatalities])</f>
        <v>1392</v>
      </c>
      <c r="CI19" s="52">
        <f>Tabla2[[#This Row],[Fatalities]]/Tabla2[[#This Row],[Aboard]]</f>
        <v>0.57520661157024788</v>
      </c>
      <c r="CJ19">
        <f>SUBTOTAL(109,Tabla4[1986])</f>
        <v>5899726276</v>
      </c>
      <c r="CK19" s="47">
        <f>Tabla2[[#This Row],[Fatalities]]/Tabla2[[#This Row],[Passengers carried]]</f>
        <v>2.3594314971232405E-7</v>
      </c>
    </row>
    <row r="20" spans="2:89" x14ac:dyDescent="0.3">
      <c r="B20" s="9">
        <v>18</v>
      </c>
      <c r="C20" s="49">
        <v>6378</v>
      </c>
      <c r="D20" s="55">
        <f>YEAR(Tabla1[[#This Row],[Date]])</f>
        <v>1917</v>
      </c>
      <c r="E20" s="9" t="str" cm="1">
        <f t="array" ref="E20">IFERROR(_xlfn.IFS(AND(D20&lt;1980,D20&gt;=1970),"70",AND(D20&lt;1990,D20&gt;=1980),"80",AND(D20&lt;2000,D20&gt;=1990),"90",AND(D20&lt;2010,D20&gt;=2000),"00",AND(D20&lt;=2019,D20&gt;=2010),"10"),"1908-1970")</f>
        <v>1908-1970</v>
      </c>
      <c r="F20" s="3" t="s">
        <v>28931</v>
      </c>
      <c r="G20" t="s">
        <v>5077</v>
      </c>
      <c r="H20" t="s">
        <v>28931</v>
      </c>
      <c r="I20" t="s">
        <v>28931</v>
      </c>
      <c r="J20" t="s">
        <v>28931</v>
      </c>
      <c r="K20" t="s">
        <v>5078</v>
      </c>
      <c r="L20" s="7" t="s">
        <v>5079</v>
      </c>
      <c r="M20" t="s">
        <v>28931</v>
      </c>
      <c r="N20">
        <v>16</v>
      </c>
      <c r="O20" t="s">
        <v>5038</v>
      </c>
      <c r="P20" t="s">
        <v>5038</v>
      </c>
      <c r="Q20">
        <v>14</v>
      </c>
      <c r="R20" t="s">
        <v>5038</v>
      </c>
      <c r="S20" t="s">
        <v>5038</v>
      </c>
      <c r="T20">
        <v>0</v>
      </c>
      <c r="U20" t="s">
        <v>5080</v>
      </c>
      <c r="V20">
        <f>Tabla1[[#This Row],[Aboard]]-Tabla1[[#This Row],[Fatalities]]</f>
        <v>2</v>
      </c>
      <c r="W20" s="50">
        <f>IFERROR(Tabla1[[#This Row],[Fatalities]]/Tabla1[[#This Row],[Aboard]],0)</f>
        <v>0.875</v>
      </c>
      <c r="X20" s="51" t="str" cm="1">
        <f t="array" ref="X20">_xlfn.IFS(Tabla1[[#This Row],[Porcentaje de muertes]]&lt;0.35,"LEVE",AND(Tabla1[[#This Row],[Porcentaje de muertes]]&gt;0.35,Tabla1[[#This Row],[Porcentaje de muertes]]&lt;0.65),"MEDIO",Tabla1[[#This Row],[Porcentaje de muertes]]&gt;0.65,"GRAVE")</f>
        <v>GRAVE</v>
      </c>
      <c r="AB20" t="s">
        <v>28393</v>
      </c>
      <c r="AC20" t="s">
        <v>28394</v>
      </c>
      <c r="AD20">
        <v>1366200</v>
      </c>
      <c r="AE20">
        <v>1402000</v>
      </c>
      <c r="AF20">
        <v>1457700</v>
      </c>
      <c r="AG20">
        <v>1562900</v>
      </c>
      <c r="AH20">
        <v>1606700</v>
      </c>
      <c r="AI20">
        <v>1585200</v>
      </c>
      <c r="AJ20">
        <v>1682000</v>
      </c>
      <c r="AK20">
        <v>1839400</v>
      </c>
      <c r="AL20">
        <v>1976500</v>
      </c>
      <c r="AM20">
        <v>2042900</v>
      </c>
      <c r="AN20">
        <v>1974200</v>
      </c>
      <c r="AO20">
        <v>2053000</v>
      </c>
      <c r="AP20">
        <v>2000800</v>
      </c>
      <c r="AQ20">
        <v>1956600</v>
      </c>
      <c r="AR20">
        <v>2031600</v>
      </c>
      <c r="AS20">
        <v>2188400</v>
      </c>
      <c r="AT20">
        <v>2233200</v>
      </c>
      <c r="AU20">
        <v>2362100</v>
      </c>
      <c r="AV20">
        <v>2604600</v>
      </c>
      <c r="AW20">
        <v>2812100</v>
      </c>
      <c r="AX20">
        <v>3132700</v>
      </c>
      <c r="AY20">
        <v>3018200</v>
      </c>
      <c r="AZ20">
        <v>3146300</v>
      </c>
      <c r="BA20">
        <v>3650600</v>
      </c>
      <c r="BB20">
        <v>4192900</v>
      </c>
      <c r="BC20">
        <v>5000900</v>
      </c>
      <c r="BD20">
        <v>5173600</v>
      </c>
      <c r="BE20">
        <v>6872100</v>
      </c>
      <c r="BF20">
        <v>8748400</v>
      </c>
      <c r="BG20">
        <v>9965200</v>
      </c>
      <c r="BH20">
        <v>10738119</v>
      </c>
      <c r="BI20">
        <v>8489007</v>
      </c>
      <c r="BJ20">
        <v>2341816</v>
      </c>
      <c r="BK20">
        <v>2904114</v>
      </c>
      <c r="BL20">
        <v>3264582</v>
      </c>
      <c r="BM20">
        <v>3340509</v>
      </c>
      <c r="BN20">
        <v>3641155</v>
      </c>
      <c r="BO20">
        <v>4078094</v>
      </c>
      <c r="BP20">
        <v>5878585</v>
      </c>
      <c r="BQ20">
        <v>4858700</v>
      </c>
      <c r="BR20">
        <v>7528586.3039999995</v>
      </c>
      <c r="BS20">
        <v>8638553.0999999996</v>
      </c>
      <c r="BT20">
        <v>9508165.3149999995</v>
      </c>
      <c r="BU20">
        <v>9521421</v>
      </c>
      <c r="BV20">
        <v>10535219</v>
      </c>
      <c r="BW20">
        <v>11473055</v>
      </c>
      <c r="BX20">
        <v>12545322</v>
      </c>
      <c r="BY20">
        <v>13676844</v>
      </c>
      <c r="BZ20">
        <v>13639487</v>
      </c>
      <c r="CA20">
        <v>14279187</v>
      </c>
      <c r="CD20" s="29">
        <v>1987</v>
      </c>
      <c r="CE20" s="29" t="str" cm="1">
        <f t="array" ref="CE20">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20">
        <f>COUNTIF(Tabla1[Year],'Set Datos'!CD20)</f>
        <v>54</v>
      </c>
      <c r="CG20">
        <f>SUMIF(Tabla1[Year],Tabla2[[#This Row],[Year]],Tabla1[Aboard])</f>
        <v>1986</v>
      </c>
      <c r="CH20">
        <f>SUMIF(Tabla1[Year],'Set Datos'!CD20,Tabla1[Fatalities])</f>
        <v>1632</v>
      </c>
      <c r="CI20" s="52">
        <f>Tabla2[[#This Row],[Fatalities]]/Tabla2[[#This Row],[Aboard]]</f>
        <v>0.82175226586102723</v>
      </c>
      <c r="CJ20">
        <f>SUBTOTAL(109,Tabla4[1987])</f>
        <v>6320989824</v>
      </c>
      <c r="CK20" s="47">
        <f>Tabla2[[#This Row],[Fatalities]]/Tabla2[[#This Row],[Passengers carried]]</f>
        <v>2.5818741137717106E-7</v>
      </c>
    </row>
    <row r="21" spans="2:89" x14ac:dyDescent="0.3">
      <c r="B21" s="9">
        <v>19</v>
      </c>
      <c r="C21" s="49">
        <v>6443</v>
      </c>
      <c r="D21" s="55">
        <f>YEAR(Tabla1[[#This Row],[Date]])</f>
        <v>1917</v>
      </c>
      <c r="E21" s="9" t="str" cm="1">
        <f t="array" ref="E21">IFERROR(_xlfn.IFS(AND(D21&lt;1980,D21&gt;=1970),"70",AND(D21&lt;1990,D21&gt;=1980),"80",AND(D21&lt;2000,D21&gt;=1990),"90",AND(D21&lt;2010,D21&gt;=2000),"00",AND(D21&lt;=2019,D21&gt;=2010),"10"),"1908-1970")</f>
        <v>1908-1970</v>
      </c>
      <c r="F21" s="3">
        <v>0.29166666666666669</v>
      </c>
      <c r="G21" t="s">
        <v>5081</v>
      </c>
      <c r="H21" t="s">
        <v>5036</v>
      </c>
      <c r="I21" t="s">
        <v>28931</v>
      </c>
      <c r="J21" t="s">
        <v>28931</v>
      </c>
      <c r="K21" t="s">
        <v>5082</v>
      </c>
      <c r="L21" s="7" t="s">
        <v>28931</v>
      </c>
      <c r="M21" t="s">
        <v>28931</v>
      </c>
      <c r="N21">
        <v>18</v>
      </c>
      <c r="O21" t="s">
        <v>5038</v>
      </c>
      <c r="P21" t="s">
        <v>5038</v>
      </c>
      <c r="Q21">
        <v>18</v>
      </c>
      <c r="R21" t="s">
        <v>5038</v>
      </c>
      <c r="S21" t="s">
        <v>5038</v>
      </c>
      <c r="T21">
        <v>0</v>
      </c>
      <c r="U21" t="s">
        <v>5076</v>
      </c>
      <c r="V21">
        <f>Tabla1[[#This Row],[Aboard]]-Tabla1[[#This Row],[Fatalities]]</f>
        <v>0</v>
      </c>
      <c r="W21" s="50">
        <f>IFERROR(Tabla1[[#This Row],[Fatalities]]/Tabla1[[#This Row],[Aboard]],0)</f>
        <v>1</v>
      </c>
      <c r="X21" s="51" t="str" cm="1">
        <f t="array" ref="X21">_xlfn.IFS(Tabla1[[#This Row],[Porcentaje de muertes]]&lt;0.35,"LEVE",AND(Tabla1[[#This Row],[Porcentaje de muertes]]&gt;0.35,Tabla1[[#This Row],[Porcentaje de muertes]]&lt;0.65),"MEDIO",Tabla1[[#This Row],[Porcentaje de muertes]]&gt;0.65,"GRAVE")</f>
        <v>GRAVE</v>
      </c>
      <c r="AB21" t="s">
        <v>28395</v>
      </c>
      <c r="AC21" t="s">
        <v>28396</v>
      </c>
      <c r="AD21">
        <v>29500</v>
      </c>
      <c r="AE21">
        <v>31000</v>
      </c>
      <c r="AF21">
        <v>25900</v>
      </c>
      <c r="AG21">
        <v>28100</v>
      </c>
      <c r="AH21">
        <v>31500</v>
      </c>
      <c r="AI21">
        <v>35000</v>
      </c>
      <c r="AJ21">
        <v>40400</v>
      </c>
      <c r="AK21">
        <v>45400</v>
      </c>
      <c r="AL21">
        <v>52200</v>
      </c>
      <c r="AM21">
        <v>57300</v>
      </c>
      <c r="AN21">
        <v>61100</v>
      </c>
      <c r="AO21">
        <v>74800</v>
      </c>
      <c r="AP21">
        <v>78300</v>
      </c>
      <c r="AQ21">
        <v>79500</v>
      </c>
      <c r="AR21">
        <v>80400</v>
      </c>
      <c r="AS21">
        <v>86000</v>
      </c>
      <c r="AT21">
        <v>108400</v>
      </c>
      <c r="AU21">
        <v>104100</v>
      </c>
      <c r="AV21">
        <v>103700</v>
      </c>
      <c r="AW21">
        <v>74000</v>
      </c>
      <c r="AX21">
        <v>76300</v>
      </c>
      <c r="AY21">
        <v>66300</v>
      </c>
      <c r="AZ21">
        <v>66300</v>
      </c>
      <c r="BA21">
        <v>68200</v>
      </c>
      <c r="BB21">
        <v>69200</v>
      </c>
      <c r="BC21">
        <v>74100</v>
      </c>
      <c r="BD21">
        <v>75100</v>
      </c>
      <c r="BE21">
        <v>85500</v>
      </c>
      <c r="BF21">
        <v>90500</v>
      </c>
      <c r="BG21">
        <v>83900</v>
      </c>
      <c r="BH21">
        <v>77273</v>
      </c>
      <c r="BI21">
        <v>46364</v>
      </c>
      <c r="BJ21" t="s">
        <v>28966</v>
      </c>
      <c r="BK21" t="s">
        <v>28966</v>
      </c>
      <c r="BL21" t="s">
        <v>28966</v>
      </c>
      <c r="BM21" t="s">
        <v>28966</v>
      </c>
      <c r="BN21" t="s">
        <v>28966</v>
      </c>
      <c r="BO21" t="s">
        <v>28966</v>
      </c>
      <c r="BP21" t="s">
        <v>28966</v>
      </c>
      <c r="BQ21" t="s">
        <v>28966</v>
      </c>
      <c r="BR21">
        <v>53012.818180000002</v>
      </c>
      <c r="BS21">
        <v>58314.1</v>
      </c>
      <c r="BT21">
        <v>58314.1</v>
      </c>
      <c r="BU21">
        <v>137640</v>
      </c>
      <c r="BV21">
        <v>60264</v>
      </c>
      <c r="BW21">
        <v>112392</v>
      </c>
      <c r="BX21">
        <v>899</v>
      </c>
      <c r="BY21" t="s">
        <v>28966</v>
      </c>
      <c r="BZ21" t="s">
        <v>28966</v>
      </c>
      <c r="CA21" t="s">
        <v>28966</v>
      </c>
      <c r="CD21" s="29">
        <v>1988</v>
      </c>
      <c r="CE21" s="29" t="str" cm="1">
        <f t="array" ref="CE21">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21">
        <f>COUNTIF(Tabla1[Year],'Set Datos'!CD21)</f>
        <v>64</v>
      </c>
      <c r="CG21">
        <f>SUMIF(Tabla1[Year],Tabla2[[#This Row],[Year]],Tabla1[Aboard])</f>
        <v>2937</v>
      </c>
      <c r="CH21">
        <f>SUMIF(Tabla1[Year],'Set Datos'!CD21,Tabla1[Fatalities])</f>
        <v>1945</v>
      </c>
      <c r="CI21" s="52">
        <f>Tabla2[[#This Row],[Fatalities]]/Tabla2[[#This Row],[Aboard]]</f>
        <v>0.66224038134150498</v>
      </c>
      <c r="CJ21">
        <f>SUBTOTAL(109,Tabla4[1988])</f>
        <v>6672548872</v>
      </c>
      <c r="CK21" s="47">
        <f>Tabla2[[#This Row],[Fatalities]]/Tabla2[[#This Row],[Passengers carried]]</f>
        <v>2.9149280691847736E-7</v>
      </c>
    </row>
    <row r="22" spans="2:89" x14ac:dyDescent="0.3">
      <c r="B22" s="9">
        <v>20</v>
      </c>
      <c r="C22" s="49">
        <v>6503</v>
      </c>
      <c r="D22" s="55">
        <f>YEAR(Tabla1[[#This Row],[Date]])</f>
        <v>1917</v>
      </c>
      <c r="E22" s="9" t="str" cm="1">
        <f t="array" ref="E22">IFERROR(_xlfn.IFS(AND(D22&lt;1980,D22&gt;=1970),"70",AND(D22&lt;1990,D22&gt;=1980),"80",AND(D22&lt;2000,D22&gt;=1990),"90",AND(D22&lt;2010,D22&gt;=2000),"00",AND(D22&lt;=2019,D22&gt;=2010),"10"),"1908-1970")</f>
        <v>1908-1970</v>
      </c>
      <c r="F22" s="3">
        <v>0.32291666666666669</v>
      </c>
      <c r="G22" t="s">
        <v>5083</v>
      </c>
      <c r="H22" t="s">
        <v>5036</v>
      </c>
      <c r="I22" t="s">
        <v>28931</v>
      </c>
      <c r="J22" t="s">
        <v>28931</v>
      </c>
      <c r="K22" t="s">
        <v>5084</v>
      </c>
      <c r="L22" s="7" t="s">
        <v>28931</v>
      </c>
      <c r="M22" t="s">
        <v>28931</v>
      </c>
      <c r="N22">
        <v>18</v>
      </c>
      <c r="O22" t="s">
        <v>5038</v>
      </c>
      <c r="P22" t="s">
        <v>5038</v>
      </c>
      <c r="Q22">
        <v>18</v>
      </c>
      <c r="R22" t="s">
        <v>5038</v>
      </c>
      <c r="S22" t="s">
        <v>5038</v>
      </c>
      <c r="T22">
        <v>0</v>
      </c>
      <c r="U22" t="s">
        <v>5085</v>
      </c>
      <c r="V22">
        <f>Tabla1[[#This Row],[Aboard]]-Tabla1[[#This Row],[Fatalities]]</f>
        <v>0</v>
      </c>
      <c r="W22" s="50">
        <f>IFERROR(Tabla1[[#This Row],[Fatalities]]/Tabla1[[#This Row],[Aboard]],0)</f>
        <v>1</v>
      </c>
      <c r="X22" s="51" t="str" cm="1">
        <f t="array" ref="X22">_xlfn.IFS(Tabla1[[#This Row],[Porcentaje de muertes]]&lt;0.35,"LEVE",AND(Tabla1[[#This Row],[Porcentaje de muertes]]&gt;0.35,Tabla1[[#This Row],[Porcentaje de muertes]]&lt;0.65),"MEDIO",Tabla1[[#This Row],[Porcentaje de muertes]]&gt;0.65,"GRAVE")</f>
        <v>GRAVE</v>
      </c>
      <c r="AB22" t="s">
        <v>28397</v>
      </c>
      <c r="AC22" t="s">
        <v>28398</v>
      </c>
      <c r="AD22">
        <v>30100</v>
      </c>
      <c r="AE22">
        <v>31600</v>
      </c>
      <c r="AF22">
        <v>26500</v>
      </c>
      <c r="AG22">
        <v>28700</v>
      </c>
      <c r="AH22">
        <v>32500</v>
      </c>
      <c r="AI22">
        <v>36200</v>
      </c>
      <c r="AJ22">
        <v>41900</v>
      </c>
      <c r="AK22">
        <v>47200</v>
      </c>
      <c r="AL22">
        <v>54700</v>
      </c>
      <c r="AM22">
        <v>59800</v>
      </c>
      <c r="AN22">
        <v>72800</v>
      </c>
      <c r="AO22">
        <v>75800</v>
      </c>
      <c r="AP22">
        <v>78200</v>
      </c>
      <c r="AQ22">
        <v>93200</v>
      </c>
      <c r="AR22">
        <v>93400</v>
      </c>
      <c r="AS22">
        <v>100200</v>
      </c>
      <c r="AT22">
        <v>158400</v>
      </c>
      <c r="AU22">
        <v>126600</v>
      </c>
      <c r="AV22">
        <v>126200</v>
      </c>
      <c r="AW22">
        <v>131500</v>
      </c>
      <c r="AX22">
        <v>136600</v>
      </c>
      <c r="AY22">
        <v>126600</v>
      </c>
      <c r="AZ22">
        <v>126600</v>
      </c>
      <c r="BA22">
        <v>128500</v>
      </c>
      <c r="BB22">
        <v>129500</v>
      </c>
      <c r="BC22">
        <v>137500</v>
      </c>
      <c r="BD22">
        <v>138400</v>
      </c>
      <c r="BE22">
        <v>96600</v>
      </c>
      <c r="BF22">
        <v>101600</v>
      </c>
      <c r="BG22">
        <v>147200</v>
      </c>
      <c r="BH22">
        <v>143529</v>
      </c>
      <c r="BI22">
        <v>100286</v>
      </c>
      <c r="BJ22">
        <v>53236</v>
      </c>
      <c r="BK22">
        <v>54475</v>
      </c>
      <c r="BL22">
        <v>61364</v>
      </c>
      <c r="BM22">
        <v>66273</v>
      </c>
      <c r="BN22">
        <v>73131</v>
      </c>
      <c r="BO22">
        <v>77810</v>
      </c>
      <c r="BP22">
        <v>80543</v>
      </c>
      <c r="BQ22">
        <v>79345</v>
      </c>
      <c r="BR22">
        <v>160000</v>
      </c>
      <c r="BS22">
        <v>133709.77919999999</v>
      </c>
      <c r="BT22">
        <v>125693.6964</v>
      </c>
      <c r="BU22">
        <v>138996</v>
      </c>
      <c r="BV22">
        <v>117420</v>
      </c>
      <c r="BW22">
        <v>122590</v>
      </c>
      <c r="BX22">
        <v>144950</v>
      </c>
      <c r="BY22">
        <v>145049</v>
      </c>
      <c r="BZ22">
        <v>189545.33689999999</v>
      </c>
      <c r="CA22">
        <v>203296.2421</v>
      </c>
      <c r="CD22" s="29">
        <v>1989</v>
      </c>
      <c r="CE22" s="29" t="str" cm="1">
        <f t="array" ref="CE22">_xlfn.IFS(AND(Tabla2[[#This Row],[Year]]&gt;=1970,Tabla2[[#This Row],[Year]]&lt;1980),"70",AND(Tabla2[[#This Row],[Year]]&gt;=1980,Tabla2[[#This Row],[Year]]&lt;1990),"80",AND(Tabla2[[#This Row],[Year]]&gt;=1990,Tabla2[[#This Row],[Year]]&lt;2000),"90",AND(Tabla2[[#This Row],[Year]]&gt;=2000,Tabla2[[#This Row],[Year]]&lt;2010),"00",AND(Tabla2[[#This Row],[Year]]&gt;=2010,Tabla2[[#This Row],[Year]]&lt;=2019),"10")</f>
        <v>80</v>
      </c>
      <c r="CF22">
        <f>COUNTIF(Tabla1[Year],'Set Datos'!CD22)</f>
        <v>83</v>
      </c>
      <c r="CG22">
        <f>SUMIF(Tabla1[Year],Tabla2[[#This Row],[Year]],Tabla1[Aboard])</f>
        <v>3559</v>
      </c>
      <c r="CH22">
        <f>SUMIF(Tabla1[Year],'Set Datos'!CD22,Tabla1[Fatalities])</f>
        <v>2210</v>
      </c>
      <c r="CI22" s="52">
        <f>Tabla2[[#This Row],[Fatalities]]/Tabla2[[#This Row],[Aboard]]</f>
        <v>0.62096094408541724</v>
      </c>
      <c r="CJ22">
        <f>SUBTOTAL(109,Tabla4[1989])</f>
        <v>6853330400</v>
      </c>
      <c r="CK22" s="47">
        <f>Tabla2[[#This Row],[Fatalities]]/Tabla2[[#This Row],[Passengers carried]]</f>
        <v>3.2247095514321037E-7</v>
      </c>
    </row>
    <row r="23" spans="2:89" x14ac:dyDescent="0.3">
      <c r="B23" s="9">
        <v>21</v>
      </c>
      <c r="C23" s="49">
        <v>6760</v>
      </c>
      <c r="D23" s="55">
        <f>YEAR(Tabla1[[#This Row],[Date]])</f>
        <v>1918</v>
      </c>
      <c r="E23" s="9" t="str" cm="1">
        <f t="array" ref="E23">IFERROR(_xlfn.IFS(AND(D23&lt;1980,D23&gt;=1970),"70",AND(D23&lt;1990,D23&gt;=1980),"80",AND(D23&lt;2000,D23&gt;=1990),"90",AND(D23&lt;2010,D23&gt;=2000),"00",AND(D23&lt;=2019,D23&gt;=2010),"10"),"1908-1970")</f>
        <v>1908-1970</v>
      </c>
      <c r="F23" s="3">
        <v>0.89583333333333337</v>
      </c>
      <c r="G23" t="s">
        <v>5086</v>
      </c>
      <c r="H23" t="s">
        <v>5036</v>
      </c>
      <c r="I23" t="s">
        <v>28931</v>
      </c>
      <c r="J23" t="s">
        <v>28931</v>
      </c>
      <c r="K23" t="s">
        <v>5087</v>
      </c>
      <c r="L23" s="7" t="s">
        <v>28931</v>
      </c>
      <c r="M23" t="s">
        <v>28931</v>
      </c>
      <c r="N23">
        <v>23</v>
      </c>
      <c r="O23" t="s">
        <v>5038</v>
      </c>
      <c r="P23" t="s">
        <v>5038</v>
      </c>
      <c r="Q23">
        <v>23</v>
      </c>
      <c r="R23" t="s">
        <v>5038</v>
      </c>
      <c r="S23" t="s">
        <v>5038</v>
      </c>
      <c r="T23">
        <v>0</v>
      </c>
      <c r="U23" t="s">
        <v>5088</v>
      </c>
      <c r="V23">
        <f>Tabla1[[#This Row],[Aboard]]-Tabla1[[#This Row],[Fatalities]]</f>
        <v>0</v>
      </c>
      <c r="W23" s="50">
        <f>IFERROR(Tabla1[[#This Row],[Fatalities]]/Tabla1[[#This Row],[Aboard]],0)</f>
        <v>1</v>
      </c>
      <c r="X23" s="51" t="str" cm="1">
        <f t="array" ref="X23">_xlfn.IFS(Tabla1[[#This Row],[Porcentaje de muertes]]&lt;0.35,"LEVE",AND(Tabla1[[#This Row],[Porcentaje de muertes]]&gt;0.35,Tabla1[[#This Row],[Porcentaje de muertes]]&lt;0.65),"MEDIO",Tabla1[[#This Row],[Porcentaje de muertes]]&gt;0.65,"GRAVE")</f>
        <v>GRAVE</v>
      </c>
      <c r="AB23" t="s">
        <v>28399</v>
      </c>
      <c r="AC23" t="s">
        <v>28400</v>
      </c>
      <c r="AD23" t="s">
        <v>28966</v>
      </c>
      <c r="AE23" t="s">
        <v>28966</v>
      </c>
      <c r="AF23" t="s">
        <v>28966</v>
      </c>
      <c r="AG23">
        <v>490000</v>
      </c>
      <c r="AH23">
        <v>431400</v>
      </c>
      <c r="AI23">
        <v>490500</v>
      </c>
      <c r="AJ23">
        <v>453300</v>
      </c>
      <c r="AK23">
        <v>470300</v>
      </c>
      <c r="AL23">
        <v>544200</v>
      </c>
      <c r="AM23">
        <v>624200</v>
      </c>
      <c r="AN23">
        <v>613700</v>
      </c>
      <c r="AO23">
        <v>591400</v>
      </c>
      <c r="AP23">
        <v>621500</v>
      </c>
      <c r="AQ23">
        <v>623000</v>
      </c>
      <c r="AR23">
        <v>741800</v>
      </c>
      <c r="AS23">
        <v>845300</v>
      </c>
      <c r="AT23">
        <v>852400</v>
      </c>
      <c r="AU23">
        <v>861000</v>
      </c>
      <c r="AV23">
        <v>1004900</v>
      </c>
      <c r="AW23">
        <v>997400</v>
      </c>
      <c r="AX23">
        <v>1044100</v>
      </c>
      <c r="AY23">
        <v>1020800</v>
      </c>
      <c r="AZ23">
        <v>1051500</v>
      </c>
      <c r="BA23">
        <v>1083100</v>
      </c>
      <c r="BB23">
        <v>1215900</v>
      </c>
      <c r="BC23">
        <v>1261400</v>
      </c>
      <c r="BD23">
        <v>1252000</v>
      </c>
      <c r="BE23">
        <v>1314700</v>
      </c>
      <c r="BF23">
        <v>1152500</v>
      </c>
      <c r="BG23">
        <v>1215400</v>
      </c>
      <c r="BH23">
        <v>1331369</v>
      </c>
      <c r="BI23">
        <v>1449980</v>
      </c>
      <c r="BJ23">
        <v>1536102</v>
      </c>
      <c r="BK23">
        <v>1587606</v>
      </c>
      <c r="BL23">
        <v>1650276</v>
      </c>
      <c r="BM23">
        <v>1634473</v>
      </c>
      <c r="BN23">
        <v>1729451</v>
      </c>
      <c r="BO23">
        <v>1242865</v>
      </c>
      <c r="BP23">
        <v>1224222</v>
      </c>
      <c r="BQ23">
        <v>1409414</v>
      </c>
      <c r="BR23">
        <v>1818901.0190000001</v>
      </c>
      <c r="BS23">
        <v>2022388.5719999999</v>
      </c>
      <c r="BT23">
        <v>2195061.6800000002</v>
      </c>
      <c r="BU23">
        <v>2781708</v>
      </c>
      <c r="BV23">
        <v>3051914.733</v>
      </c>
      <c r="BW23">
        <v>3997815</v>
      </c>
      <c r="BX23">
        <v>3815869</v>
      </c>
      <c r="BY23">
        <v>4660739.0379999997</v>
      </c>
      <c r="BZ23">
        <v>5677396</v>
      </c>
      <c r="CA23">
        <v>5959126</v>
      </c>
      <c r="CD23" s="29">
        <v>1990</v>
      </c>
      <c r="CE23" s="29" t="str" cm="1">
        <f t="array" ref="CE23">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23">
        <f>COUNTIF(Tabla1[Year],'Set Datos'!CD23)</f>
        <v>61</v>
      </c>
      <c r="CG23">
        <f>SUMIF(Tabla1[Year],Tabla2[[#This Row],[Year]],Tabla1[Aboard])</f>
        <v>2204</v>
      </c>
      <c r="CH23">
        <f>SUMIF(Tabla1[Year],'Set Datos'!CD23,Tabla1[Fatalities])</f>
        <v>1125</v>
      </c>
      <c r="CI23" s="52">
        <f>Tabla2[[#This Row],[Fatalities]]/Tabla2[[#This Row],[Aboard]]</f>
        <v>0.51043557168784026</v>
      </c>
      <c r="CJ23">
        <f>SUBTOTAL(109,Tabla4[1990])</f>
        <v>7156040996</v>
      </c>
      <c r="CK23" s="47">
        <f>Tabla2[[#This Row],[Fatalities]]/Tabla2[[#This Row],[Passengers carried]]</f>
        <v>1.5720983161343533E-7</v>
      </c>
    </row>
    <row r="24" spans="2:89" x14ac:dyDescent="0.3">
      <c r="B24" s="9">
        <v>22</v>
      </c>
      <c r="C24" s="49">
        <v>6853</v>
      </c>
      <c r="D24" s="55">
        <f>YEAR(Tabla1[[#This Row],[Date]])</f>
        <v>1918</v>
      </c>
      <c r="E24" s="9" t="str" cm="1">
        <f t="array" ref="E24">IFERROR(_xlfn.IFS(AND(D24&lt;1980,D24&gt;=1970),"70",AND(D24&lt;1990,D24&gt;=1980),"80",AND(D24&lt;2000,D24&gt;=1990),"90",AND(D24&lt;2010,D24&gt;=2000),"00",AND(D24&lt;=2019,D24&gt;=2010),"10"),"1908-1970")</f>
        <v>1908-1970</v>
      </c>
      <c r="F24" s="3" t="s">
        <v>28931</v>
      </c>
      <c r="G24" t="s">
        <v>5089</v>
      </c>
      <c r="H24" t="s">
        <v>5036</v>
      </c>
      <c r="I24" t="s">
        <v>28931</v>
      </c>
      <c r="J24" t="s">
        <v>28931</v>
      </c>
      <c r="K24" t="s">
        <v>5090</v>
      </c>
      <c r="L24" s="7" t="s">
        <v>28931</v>
      </c>
      <c r="M24" t="s">
        <v>28931</v>
      </c>
      <c r="N24">
        <v>22</v>
      </c>
      <c r="O24" t="s">
        <v>5038</v>
      </c>
      <c r="P24" t="s">
        <v>5038</v>
      </c>
      <c r="Q24">
        <v>22</v>
      </c>
      <c r="R24" t="s">
        <v>5038</v>
      </c>
      <c r="S24" t="s">
        <v>5038</v>
      </c>
      <c r="T24">
        <v>0</v>
      </c>
      <c r="U24" t="s">
        <v>5091</v>
      </c>
      <c r="V24">
        <f>Tabla1[[#This Row],[Aboard]]-Tabla1[[#This Row],[Fatalities]]</f>
        <v>0</v>
      </c>
      <c r="W24" s="50">
        <f>IFERROR(Tabla1[[#This Row],[Fatalities]]/Tabla1[[#This Row],[Aboard]],0)</f>
        <v>1</v>
      </c>
      <c r="X24" s="51" t="str" cm="1">
        <f t="array" ref="X24">_xlfn.IFS(Tabla1[[#This Row],[Porcentaje de muertes]]&lt;0.35,"LEVE",AND(Tabla1[[#This Row],[Porcentaje de muertes]]&gt;0.35,Tabla1[[#This Row],[Porcentaje de muertes]]&lt;0.65),"MEDIO",Tabla1[[#This Row],[Porcentaje de muertes]]&gt;0.65,"GRAVE")</f>
        <v>GRAVE</v>
      </c>
      <c r="AB24" t="s">
        <v>28401</v>
      </c>
      <c r="AC24" t="s">
        <v>28402</v>
      </c>
      <c r="AD24">
        <v>988900</v>
      </c>
      <c r="AE24">
        <v>985200</v>
      </c>
      <c r="AF24">
        <v>1025000</v>
      </c>
      <c r="AG24">
        <v>1085000</v>
      </c>
      <c r="AH24">
        <v>1130000</v>
      </c>
      <c r="AI24">
        <v>1150000</v>
      </c>
      <c r="AJ24">
        <v>1370000</v>
      </c>
      <c r="AK24">
        <v>1400000</v>
      </c>
      <c r="AL24">
        <v>1500000</v>
      </c>
      <c r="AM24">
        <v>1755000</v>
      </c>
      <c r="AN24">
        <v>1787500</v>
      </c>
      <c r="AO24">
        <v>1787000</v>
      </c>
      <c r="AP24">
        <v>1675000</v>
      </c>
      <c r="AQ24">
        <v>1790000</v>
      </c>
      <c r="AR24">
        <v>1950000</v>
      </c>
      <c r="AS24">
        <v>2090000</v>
      </c>
      <c r="AT24">
        <v>1965300</v>
      </c>
      <c r="AU24">
        <v>2095000</v>
      </c>
      <c r="AV24">
        <v>2163600</v>
      </c>
      <c r="AW24">
        <v>1997700</v>
      </c>
      <c r="AX24">
        <v>1907000</v>
      </c>
      <c r="AY24">
        <v>645700</v>
      </c>
      <c r="AZ24">
        <v>814000</v>
      </c>
      <c r="BA24">
        <v>915800</v>
      </c>
      <c r="BB24">
        <v>789200</v>
      </c>
      <c r="BC24">
        <v>862700</v>
      </c>
      <c r="BD24">
        <v>718200</v>
      </c>
      <c r="BE24">
        <v>721700</v>
      </c>
      <c r="BF24">
        <v>827700</v>
      </c>
      <c r="BG24">
        <v>734700</v>
      </c>
      <c r="BH24">
        <v>535246</v>
      </c>
      <c r="BI24">
        <v>233963</v>
      </c>
      <c r="BJ24">
        <v>62798</v>
      </c>
      <c r="BK24">
        <v>310952</v>
      </c>
      <c r="BL24">
        <v>476277</v>
      </c>
      <c r="BM24">
        <v>653703</v>
      </c>
      <c r="BN24">
        <v>808451</v>
      </c>
      <c r="BO24">
        <v>855229</v>
      </c>
      <c r="BP24">
        <v>1073496</v>
      </c>
      <c r="BQ24">
        <v>798165</v>
      </c>
      <c r="BR24">
        <v>801840</v>
      </c>
      <c r="BS24">
        <v>932868</v>
      </c>
      <c r="BT24">
        <v>973062</v>
      </c>
      <c r="BU24">
        <v>1013220</v>
      </c>
      <c r="BV24">
        <v>1060147</v>
      </c>
      <c r="BW24">
        <v>1063498</v>
      </c>
      <c r="BX24">
        <v>1092333</v>
      </c>
      <c r="BY24">
        <v>1133069</v>
      </c>
      <c r="BZ24">
        <v>1022645</v>
      </c>
      <c r="CA24">
        <v>832828</v>
      </c>
      <c r="CD24" s="29">
        <v>1991</v>
      </c>
      <c r="CE24" s="29" t="str" cm="1">
        <f t="array" ref="CE24">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24">
        <f>COUNTIF(Tabla1[Year],'Set Datos'!CD24)</f>
        <v>69</v>
      </c>
      <c r="CG24">
        <f>SUMIF(Tabla1[Year],Tabla2[[#This Row],[Year]],Tabla1[Aboard])</f>
        <v>2337</v>
      </c>
      <c r="CH24">
        <f>SUMIF(Tabla1[Year],'Set Datos'!CD24,Tabla1[Fatalities])</f>
        <v>1725</v>
      </c>
      <c r="CI24" s="52">
        <f>Tabla2[[#This Row],[Fatalities]]/Tabla2[[#This Row],[Aboard]]</f>
        <v>0.73812580231065472</v>
      </c>
      <c r="CJ24">
        <f>SUBTOTAL(109,Tabla4[1991])</f>
        <v>8401042524</v>
      </c>
      <c r="CK24" s="47">
        <f>Tabla2[[#This Row],[Fatalities]]/Tabla2[[#This Row],[Passengers carried]]</f>
        <v>2.0533165914492639E-7</v>
      </c>
    </row>
    <row r="25" spans="2:89" x14ac:dyDescent="0.3">
      <c r="B25" s="9">
        <v>23</v>
      </c>
      <c r="C25" s="49">
        <v>6887</v>
      </c>
      <c r="D25" s="55">
        <f>YEAR(Tabla1[[#This Row],[Date]])</f>
        <v>1918</v>
      </c>
      <c r="E25" s="9" t="str" cm="1">
        <f t="array" ref="E25">IFERROR(_xlfn.IFS(AND(D25&lt;1980,D25&gt;=1970),"70",AND(D25&lt;1990,D25&gt;=1980),"80",AND(D25&lt;2000,D25&gt;=1990),"90",AND(D25&lt;2010,D25&gt;=2000),"00",AND(D25&lt;=2019,D25&gt;=2010),"10"),"1908-1970")</f>
        <v>1908-1970</v>
      </c>
      <c r="F25" s="3">
        <v>0.41666666666666669</v>
      </c>
      <c r="G25" t="s">
        <v>5092</v>
      </c>
      <c r="H25" t="s">
        <v>5036</v>
      </c>
      <c r="I25" t="s">
        <v>28931</v>
      </c>
      <c r="J25" t="s">
        <v>28931</v>
      </c>
      <c r="K25" t="s">
        <v>5093</v>
      </c>
      <c r="L25" s="7" t="s">
        <v>28931</v>
      </c>
      <c r="M25" t="s">
        <v>28931</v>
      </c>
      <c r="N25">
        <v>19</v>
      </c>
      <c r="O25" t="s">
        <v>5038</v>
      </c>
      <c r="P25" t="s">
        <v>5038</v>
      </c>
      <c r="Q25">
        <v>19</v>
      </c>
      <c r="R25" t="s">
        <v>5038</v>
      </c>
      <c r="S25" t="s">
        <v>5038</v>
      </c>
      <c r="T25">
        <v>0</v>
      </c>
      <c r="U25" t="s">
        <v>5094</v>
      </c>
      <c r="V25">
        <f>Tabla1[[#This Row],[Aboard]]-Tabla1[[#This Row],[Fatalities]]</f>
        <v>0</v>
      </c>
      <c r="W25" s="50">
        <f>IFERROR(Tabla1[[#This Row],[Fatalities]]/Tabla1[[#This Row],[Aboard]],0)</f>
        <v>1</v>
      </c>
      <c r="X25" s="51" t="str" cm="1">
        <f t="array" ref="X25">_xlfn.IFS(Tabla1[[#This Row],[Porcentaje de muertes]]&lt;0.35,"LEVE",AND(Tabla1[[#This Row],[Porcentaje de muertes]]&gt;0.35,Tabla1[[#This Row],[Porcentaje de muertes]]&lt;0.65),"MEDIO",Tabla1[[#This Row],[Porcentaje de muertes]]&gt;0.65,"GRAVE")</f>
        <v>GRAVE</v>
      </c>
      <c r="AB25" t="s">
        <v>28403</v>
      </c>
      <c r="AC25" t="s">
        <v>28404</v>
      </c>
      <c r="AD25">
        <v>241000</v>
      </c>
      <c r="AE25">
        <v>280000</v>
      </c>
      <c r="AF25">
        <v>320000</v>
      </c>
      <c r="AG25">
        <v>350000</v>
      </c>
      <c r="AH25">
        <v>127500</v>
      </c>
      <c r="AI25">
        <v>173000</v>
      </c>
      <c r="AJ25">
        <v>240100</v>
      </c>
      <c r="AK25">
        <v>299800</v>
      </c>
      <c r="AL25">
        <v>374500</v>
      </c>
      <c r="AM25">
        <v>456500</v>
      </c>
      <c r="AN25">
        <v>521500</v>
      </c>
      <c r="AO25">
        <v>577800</v>
      </c>
      <c r="AP25">
        <v>569800</v>
      </c>
      <c r="AQ25">
        <v>601800</v>
      </c>
      <c r="AR25">
        <v>674200</v>
      </c>
      <c r="AS25">
        <v>717500</v>
      </c>
      <c r="AT25">
        <v>647400</v>
      </c>
      <c r="AU25">
        <v>621500</v>
      </c>
      <c r="AV25">
        <v>698400</v>
      </c>
      <c r="AW25">
        <v>752800</v>
      </c>
      <c r="AX25">
        <v>770900</v>
      </c>
      <c r="AY25">
        <v>875500</v>
      </c>
      <c r="AZ25">
        <v>981100</v>
      </c>
      <c r="BA25">
        <v>1080000</v>
      </c>
      <c r="BB25">
        <v>1150600</v>
      </c>
      <c r="BC25">
        <v>1072500</v>
      </c>
      <c r="BD25">
        <v>1200300</v>
      </c>
      <c r="BE25">
        <v>1164600</v>
      </c>
      <c r="BF25">
        <v>1207000</v>
      </c>
      <c r="BG25">
        <v>1307000</v>
      </c>
      <c r="BH25">
        <v>1382461</v>
      </c>
      <c r="BI25">
        <v>1250076</v>
      </c>
      <c r="BJ25">
        <v>1255713</v>
      </c>
      <c r="BK25">
        <v>1850491</v>
      </c>
      <c r="BL25">
        <v>2284547</v>
      </c>
      <c r="BM25" t="s">
        <v>28966</v>
      </c>
      <c r="BN25" t="s">
        <v>28966</v>
      </c>
      <c r="BO25" t="s">
        <v>28966</v>
      </c>
      <c r="BP25" t="s">
        <v>28966</v>
      </c>
      <c r="BQ25">
        <v>5215512</v>
      </c>
      <c r="BR25">
        <v>6028980</v>
      </c>
      <c r="BS25">
        <v>5590998.0410000002</v>
      </c>
      <c r="BT25">
        <v>5861786.9989999998</v>
      </c>
      <c r="BU25">
        <v>4626648</v>
      </c>
      <c r="BV25">
        <v>5171496</v>
      </c>
      <c r="BW25">
        <v>5313756</v>
      </c>
      <c r="BX25">
        <v>5220218</v>
      </c>
      <c r="BY25">
        <v>5190484</v>
      </c>
      <c r="BZ25">
        <v>5877003</v>
      </c>
      <c r="CA25">
        <v>6440562</v>
      </c>
      <c r="CD25" s="29">
        <v>1992</v>
      </c>
      <c r="CE25" s="29" t="str" cm="1">
        <f t="array" ref="CE25">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25">
        <f>COUNTIF(Tabla1[Year],'Set Datos'!CD25)</f>
        <v>66</v>
      </c>
      <c r="CG25">
        <f>SUMIF(Tabla1[Year],Tabla2[[#This Row],[Year]],Tabla1[Aboard])</f>
        <v>2846</v>
      </c>
      <c r="CH25">
        <f>SUMIF(Tabla1[Year],'Set Datos'!CD25,Tabla1[Fatalities])</f>
        <v>2012</v>
      </c>
      <c r="CI25" s="52">
        <f>Tabla2[[#This Row],[Fatalities]]/Tabla2[[#This Row],[Aboard]]</f>
        <v>0.70695713281799011</v>
      </c>
      <c r="CJ25">
        <f>SUBTOTAL(109,Tabla4[1992])</f>
        <v>8603198152</v>
      </c>
      <c r="CK25" s="47">
        <f>Tabla2[[#This Row],[Fatalities]]/Tabla2[[#This Row],[Passengers carried]]</f>
        <v>2.3386651852628397E-7</v>
      </c>
    </row>
    <row r="26" spans="2:89" x14ac:dyDescent="0.3">
      <c r="B26" s="9">
        <v>24</v>
      </c>
      <c r="C26" s="49">
        <v>6925</v>
      </c>
      <c r="D26" s="55">
        <f>YEAR(Tabla1[[#This Row],[Date]])</f>
        <v>1918</v>
      </c>
      <c r="E26" s="9" t="str" cm="1">
        <f t="array" ref="E26">IFERROR(_xlfn.IFS(AND(D26&lt;1980,D26&gt;=1970),"70",AND(D26&lt;1990,D26&gt;=1980),"80",AND(D26&lt;2000,D26&gt;=1990),"90",AND(D26&lt;2010,D26&gt;=2000),"00",AND(D26&lt;=2019,D26&gt;=2010),"10"),"1908-1970")</f>
        <v>1908-1970</v>
      </c>
      <c r="F26" s="3" t="s">
        <v>28931</v>
      </c>
      <c r="G26" t="s">
        <v>5095</v>
      </c>
      <c r="H26" t="s">
        <v>5096</v>
      </c>
      <c r="I26" t="s">
        <v>28931</v>
      </c>
      <c r="J26" t="s">
        <v>28931</v>
      </c>
      <c r="K26" t="s">
        <v>5097</v>
      </c>
      <c r="L26" s="7">
        <v>97</v>
      </c>
      <c r="M26" t="s">
        <v>28931</v>
      </c>
      <c r="N26">
        <v>1</v>
      </c>
      <c r="O26">
        <v>0</v>
      </c>
      <c r="P26">
        <v>1</v>
      </c>
      <c r="Q26">
        <v>1</v>
      </c>
      <c r="R26">
        <v>0</v>
      </c>
      <c r="S26">
        <v>1</v>
      </c>
      <c r="T26">
        <v>0</v>
      </c>
      <c r="U26" t="s">
        <v>5098</v>
      </c>
      <c r="V26">
        <f>Tabla1[[#This Row],[Aboard]]-Tabla1[[#This Row],[Fatalities]]</f>
        <v>0</v>
      </c>
      <c r="W26" s="50">
        <f>IFERROR(Tabla1[[#This Row],[Fatalities]]/Tabla1[[#This Row],[Aboard]],0)</f>
        <v>1</v>
      </c>
      <c r="X26" s="51" t="str" cm="1">
        <f t="array" ref="X26">_xlfn.IFS(Tabla1[[#This Row],[Porcentaje de muertes]]&lt;0.35,"LEVE",AND(Tabla1[[#This Row],[Porcentaje de muertes]]&gt;0.35,Tabla1[[#This Row],[Porcentaje de muertes]]&lt;0.65),"MEDIO",Tabla1[[#This Row],[Porcentaje de muertes]]&gt;0.65,"GRAVE")</f>
        <v>GRAVE</v>
      </c>
      <c r="AB26" t="s">
        <v>28405</v>
      </c>
      <c r="AC26" t="s">
        <v>28406</v>
      </c>
      <c r="AD26" t="s">
        <v>28966</v>
      </c>
      <c r="AE26" t="s">
        <v>28966</v>
      </c>
      <c r="AF26" t="s">
        <v>28966</v>
      </c>
      <c r="AG26" t="s">
        <v>28966</v>
      </c>
      <c r="AH26" t="s">
        <v>28966</v>
      </c>
      <c r="AI26">
        <v>232000</v>
      </c>
      <c r="AJ26">
        <v>245000</v>
      </c>
      <c r="AK26">
        <v>252000</v>
      </c>
      <c r="AL26">
        <v>268000</v>
      </c>
      <c r="AM26">
        <v>314000</v>
      </c>
      <c r="AN26">
        <v>345000</v>
      </c>
      <c r="AO26">
        <v>740000</v>
      </c>
      <c r="AP26">
        <v>724000</v>
      </c>
      <c r="AQ26">
        <v>699000</v>
      </c>
      <c r="AR26">
        <v>705900</v>
      </c>
      <c r="AS26">
        <v>860500</v>
      </c>
      <c r="AT26">
        <v>958200</v>
      </c>
      <c r="AU26">
        <v>995000</v>
      </c>
      <c r="AV26">
        <v>1066000</v>
      </c>
      <c r="AW26">
        <v>1150000</v>
      </c>
      <c r="AX26">
        <v>1090000</v>
      </c>
      <c r="AY26">
        <v>1090000</v>
      </c>
      <c r="AZ26">
        <v>835000</v>
      </c>
      <c r="BA26">
        <v>862000</v>
      </c>
      <c r="BB26">
        <v>862000</v>
      </c>
      <c r="BC26">
        <v>936900</v>
      </c>
      <c r="BD26">
        <v>977500</v>
      </c>
      <c r="BE26">
        <v>703700</v>
      </c>
      <c r="BF26">
        <v>701000</v>
      </c>
      <c r="BG26">
        <v>1719400</v>
      </c>
      <c r="BH26">
        <v>1860623</v>
      </c>
      <c r="BI26">
        <v>1625689</v>
      </c>
      <c r="BJ26">
        <v>1543274</v>
      </c>
      <c r="BK26">
        <v>1601347</v>
      </c>
      <c r="BL26">
        <v>900000</v>
      </c>
      <c r="BM26">
        <v>1020000</v>
      </c>
      <c r="BN26">
        <v>1033407</v>
      </c>
      <c r="BO26">
        <v>1089636</v>
      </c>
      <c r="BP26">
        <v>1088876</v>
      </c>
      <c r="BQ26">
        <v>979042</v>
      </c>
      <c r="BR26">
        <v>967914</v>
      </c>
      <c r="BS26">
        <v>1056129.595</v>
      </c>
      <c r="BT26">
        <v>1048391.067</v>
      </c>
      <c r="BU26">
        <v>576996</v>
      </c>
      <c r="BV26">
        <v>991463.32889999996</v>
      </c>
      <c r="BW26">
        <v>900028</v>
      </c>
      <c r="BX26">
        <v>937476</v>
      </c>
      <c r="BY26">
        <v>921470</v>
      </c>
      <c r="BZ26">
        <v>1830394.862</v>
      </c>
      <c r="CA26">
        <v>1856546</v>
      </c>
      <c r="CD26" s="29">
        <v>1993</v>
      </c>
      <c r="CE26" s="29" t="str" cm="1">
        <f t="array" ref="CE26">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26">
        <f>COUNTIF(Tabla1[Year],'Set Datos'!CD26)</f>
        <v>55</v>
      </c>
      <c r="CG26">
        <f>SUMIF(Tabla1[Year],Tabla2[[#This Row],[Year]],Tabla1[Aboard])</f>
        <v>2309</v>
      </c>
      <c r="CH26">
        <f>SUMIF(Tabla1[Year],'Set Datos'!CD26,Tabla1[Fatalities])</f>
        <v>1501</v>
      </c>
      <c r="CI26" s="52">
        <f>Tabla2[[#This Row],[Fatalities]]/Tabla2[[#This Row],[Aboard]]</f>
        <v>0.65006496318752705</v>
      </c>
      <c r="CJ26">
        <f>SUBTOTAL(109,Tabla4[1993])</f>
        <v>8482022796</v>
      </c>
      <c r="CK26" s="47">
        <f>Tabla2[[#This Row],[Fatalities]]/Tabla2[[#This Row],[Passengers carried]]</f>
        <v>1.7696250482937278E-7</v>
      </c>
    </row>
    <row r="27" spans="2:89" x14ac:dyDescent="0.3">
      <c r="B27" s="9">
        <v>25</v>
      </c>
      <c r="C27" s="49">
        <v>7085</v>
      </c>
      <c r="D27" s="55">
        <f>YEAR(Tabla1[[#This Row],[Date]])</f>
        <v>1919</v>
      </c>
      <c r="E27" s="9" t="str" cm="1">
        <f t="array" ref="E27">IFERROR(_xlfn.IFS(AND(D27&lt;1980,D27&gt;=1970),"70",AND(D27&lt;1990,D27&gt;=1980),"80",AND(D27&lt;2000,D27&gt;=1990),"90",AND(D27&lt;2010,D27&gt;=2000),"00",AND(D27&lt;=2019,D27&gt;=2010),"10"),"1908-1970")</f>
        <v>1908-1970</v>
      </c>
      <c r="F27" s="3" t="s">
        <v>28931</v>
      </c>
      <c r="G27" t="s">
        <v>5099</v>
      </c>
      <c r="H27" t="s">
        <v>5096</v>
      </c>
      <c r="I27" t="s">
        <v>28931</v>
      </c>
      <c r="J27" t="s">
        <v>28931</v>
      </c>
      <c r="K27" t="s">
        <v>5097</v>
      </c>
      <c r="L27" s="7">
        <v>61</v>
      </c>
      <c r="M27" t="s">
        <v>28931</v>
      </c>
      <c r="N27">
        <v>1</v>
      </c>
      <c r="O27">
        <v>0</v>
      </c>
      <c r="P27">
        <v>1</v>
      </c>
      <c r="Q27">
        <v>1</v>
      </c>
      <c r="R27">
        <v>0</v>
      </c>
      <c r="S27">
        <v>1</v>
      </c>
      <c r="T27">
        <v>0</v>
      </c>
      <c r="U27" t="s">
        <v>5100</v>
      </c>
      <c r="V27">
        <f>Tabla1[[#This Row],[Aboard]]-Tabla1[[#This Row],[Fatalities]]</f>
        <v>0</v>
      </c>
      <c r="W27" s="50">
        <f>IFERROR(Tabla1[[#This Row],[Fatalities]]/Tabla1[[#This Row],[Aboard]],0)</f>
        <v>1</v>
      </c>
      <c r="X27" s="51" t="str" cm="1">
        <f t="array" ref="X27">_xlfn.IFS(Tabla1[[#This Row],[Porcentaje de muertes]]&lt;0.35,"LEVE",AND(Tabla1[[#This Row],[Porcentaje de muertes]]&gt;0.35,Tabla1[[#This Row],[Porcentaje de muertes]]&lt;0.65),"MEDIO",Tabla1[[#This Row],[Porcentaje de muertes]]&gt;0.65,"GRAVE")</f>
        <v>GRAVE</v>
      </c>
      <c r="AB27" t="s">
        <v>28407</v>
      </c>
      <c r="AC27" t="s">
        <v>28408</v>
      </c>
      <c r="AD27" t="s">
        <v>28966</v>
      </c>
      <c r="AE27" t="s">
        <v>28966</v>
      </c>
      <c r="AF27" t="s">
        <v>28966</v>
      </c>
      <c r="AG27" t="s">
        <v>28966</v>
      </c>
      <c r="AH27" t="s">
        <v>28966</v>
      </c>
      <c r="AI27" t="s">
        <v>28966</v>
      </c>
      <c r="AJ27" t="s">
        <v>28966</v>
      </c>
      <c r="AK27" t="s">
        <v>28966</v>
      </c>
      <c r="AL27" t="s">
        <v>28966</v>
      </c>
      <c r="AM27" t="s">
        <v>28966</v>
      </c>
      <c r="AN27" t="s">
        <v>28966</v>
      </c>
      <c r="AO27" t="s">
        <v>28966</v>
      </c>
      <c r="AP27" t="s">
        <v>28966</v>
      </c>
      <c r="AQ27" t="s">
        <v>28966</v>
      </c>
      <c r="AR27" t="s">
        <v>28966</v>
      </c>
      <c r="AS27" t="s">
        <v>28966</v>
      </c>
      <c r="AT27" t="s">
        <v>28966</v>
      </c>
      <c r="AU27" t="s">
        <v>28966</v>
      </c>
      <c r="AV27" t="s">
        <v>28966</v>
      </c>
      <c r="AW27" t="s">
        <v>28966</v>
      </c>
      <c r="AX27" t="s">
        <v>28966</v>
      </c>
      <c r="AY27" t="s">
        <v>28966</v>
      </c>
      <c r="AZ27" t="s">
        <v>28966</v>
      </c>
      <c r="BA27" t="s">
        <v>28966</v>
      </c>
      <c r="BB27" t="s">
        <v>28966</v>
      </c>
      <c r="BC27" t="s">
        <v>28966</v>
      </c>
      <c r="BD27" t="s">
        <v>28966</v>
      </c>
      <c r="BE27" t="s">
        <v>28966</v>
      </c>
      <c r="BF27">
        <v>49900</v>
      </c>
      <c r="BG27">
        <v>60100</v>
      </c>
      <c r="BH27">
        <v>69142</v>
      </c>
      <c r="BI27">
        <v>64993</v>
      </c>
      <c r="BJ27">
        <v>65643</v>
      </c>
      <c r="BK27">
        <v>72864</v>
      </c>
      <c r="BL27" t="s">
        <v>28966</v>
      </c>
      <c r="BM27" t="s">
        <v>28966</v>
      </c>
      <c r="BN27" t="s">
        <v>28966</v>
      </c>
      <c r="BO27" t="s">
        <v>28966</v>
      </c>
      <c r="BP27">
        <v>56313</v>
      </c>
      <c r="BQ27">
        <v>79977</v>
      </c>
      <c r="BR27">
        <v>56485.161820000001</v>
      </c>
      <c r="BS27">
        <v>40182.439769999997</v>
      </c>
      <c r="BT27">
        <v>24874.089629999999</v>
      </c>
      <c r="BU27">
        <v>15000</v>
      </c>
      <c r="BV27">
        <v>36636</v>
      </c>
      <c r="BW27">
        <v>7071</v>
      </c>
      <c r="BX27" t="s">
        <v>28966</v>
      </c>
      <c r="BY27" t="s">
        <v>28966</v>
      </c>
      <c r="BZ27" t="s">
        <v>28966</v>
      </c>
      <c r="CA27">
        <v>5375</v>
      </c>
      <c r="CD27" s="29">
        <v>1994</v>
      </c>
      <c r="CE27" s="29" t="str" cm="1">
        <f t="array" ref="CE27">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27">
        <f>COUNTIF(Tabla1[Year],'Set Datos'!CD27)</f>
        <v>74</v>
      </c>
      <c r="CG27">
        <f>SUMIF(Tabla1[Year],Tabla2[[#This Row],[Year]],Tabla1[Aboard])</f>
        <v>3024</v>
      </c>
      <c r="CH27">
        <f>SUMIF(Tabla1[Year],'Set Datos'!CD27,Tabla1[Fatalities])</f>
        <v>1806</v>
      </c>
      <c r="CI27" s="52">
        <f>Tabla2[[#This Row],[Fatalities]]/Tabla2[[#This Row],[Aboard]]</f>
        <v>0.59722222222222221</v>
      </c>
      <c r="CJ27">
        <f>SUBTOTAL(109,Tabla4[1994])</f>
        <v>9136270624</v>
      </c>
      <c r="CK27" s="47">
        <f>Tabla2[[#This Row],[Fatalities]]/Tabla2[[#This Row],[Passengers carried]]</f>
        <v>1.9767365419932201E-7</v>
      </c>
    </row>
    <row r="28" spans="2:89" x14ac:dyDescent="0.3">
      <c r="B28" s="9">
        <v>26</v>
      </c>
      <c r="C28" s="49">
        <v>7140</v>
      </c>
      <c r="D28" s="55">
        <f>YEAR(Tabla1[[#This Row],[Date]])</f>
        <v>1919</v>
      </c>
      <c r="E28" s="9" t="str" cm="1">
        <f t="array" ref="E28">IFERROR(_xlfn.IFS(AND(D28&lt;1980,D28&gt;=1970),"70",AND(D28&lt;1990,D28&gt;=1980),"80",AND(D28&lt;2000,D28&gt;=1990),"90",AND(D28&lt;2010,D28&gt;=2000),"00",AND(D28&lt;=2019,D28&gt;=2010),"10"),"1908-1970")</f>
        <v>1908-1970</v>
      </c>
      <c r="F28" s="3" t="s">
        <v>28931</v>
      </c>
      <c r="G28" t="s">
        <v>5101</v>
      </c>
      <c r="H28" t="s">
        <v>5096</v>
      </c>
      <c r="I28" t="s">
        <v>28931</v>
      </c>
      <c r="J28" t="s">
        <v>28931</v>
      </c>
      <c r="K28" t="s">
        <v>5097</v>
      </c>
      <c r="L28" s="7">
        <v>82</v>
      </c>
      <c r="M28" t="s">
        <v>28931</v>
      </c>
      <c r="N28">
        <v>1</v>
      </c>
      <c r="O28">
        <v>0</v>
      </c>
      <c r="P28">
        <v>1</v>
      </c>
      <c r="Q28">
        <v>1</v>
      </c>
      <c r="R28">
        <v>0</v>
      </c>
      <c r="S28">
        <v>1</v>
      </c>
      <c r="T28">
        <v>0</v>
      </c>
      <c r="U28" t="s">
        <v>5102</v>
      </c>
      <c r="V28">
        <f>Tabla1[[#This Row],[Aboard]]-Tabla1[[#This Row],[Fatalities]]</f>
        <v>0</v>
      </c>
      <c r="W28" s="50">
        <f>IFERROR(Tabla1[[#This Row],[Fatalities]]/Tabla1[[#This Row],[Aboard]],0)</f>
        <v>1</v>
      </c>
      <c r="X28" s="51" t="str" cm="1">
        <f t="array" ref="X28">_xlfn.IFS(Tabla1[[#This Row],[Porcentaje de muertes]]&lt;0.35,"LEVE",AND(Tabla1[[#This Row],[Porcentaje de muertes]]&gt;0.35,Tabla1[[#This Row],[Porcentaje de muertes]]&lt;0.65),"MEDIO",Tabla1[[#This Row],[Porcentaje de muertes]]&gt;0.65,"GRAVE")</f>
        <v>GRAVE</v>
      </c>
      <c r="AB28" t="s">
        <v>28409</v>
      </c>
      <c r="AC28" t="s">
        <v>28410</v>
      </c>
      <c r="AD28" t="s">
        <v>28966</v>
      </c>
      <c r="AE28" t="s">
        <v>28966</v>
      </c>
      <c r="AF28" t="s">
        <v>28966</v>
      </c>
      <c r="AG28" t="s">
        <v>28966</v>
      </c>
      <c r="AH28" t="s">
        <v>28966</v>
      </c>
      <c r="AI28" t="s">
        <v>28966</v>
      </c>
      <c r="AJ28" t="s">
        <v>28966</v>
      </c>
      <c r="AK28" t="s">
        <v>28966</v>
      </c>
      <c r="AL28" t="s">
        <v>28966</v>
      </c>
      <c r="AM28" t="s">
        <v>28966</v>
      </c>
      <c r="AN28" t="s">
        <v>28966</v>
      </c>
      <c r="AO28" t="s">
        <v>28966</v>
      </c>
      <c r="AP28" t="s">
        <v>28966</v>
      </c>
      <c r="AQ28" t="s">
        <v>28966</v>
      </c>
      <c r="AR28" t="s">
        <v>28966</v>
      </c>
      <c r="AS28" t="s">
        <v>28966</v>
      </c>
      <c r="AT28" t="s">
        <v>28966</v>
      </c>
      <c r="AU28" t="s">
        <v>28966</v>
      </c>
      <c r="AV28" t="s">
        <v>28966</v>
      </c>
      <c r="AW28" t="s">
        <v>28966</v>
      </c>
      <c r="AX28" t="s">
        <v>28966</v>
      </c>
      <c r="AY28" t="s">
        <v>28966</v>
      </c>
      <c r="AZ28" t="s">
        <v>28966</v>
      </c>
      <c r="BA28">
        <v>804900</v>
      </c>
      <c r="BB28">
        <v>804900</v>
      </c>
      <c r="BC28">
        <v>804900</v>
      </c>
      <c r="BD28">
        <v>843000</v>
      </c>
      <c r="BE28">
        <v>230900</v>
      </c>
      <c r="BF28">
        <v>225500</v>
      </c>
      <c r="BG28">
        <v>212300</v>
      </c>
      <c r="BH28">
        <v>210899</v>
      </c>
      <c r="BI28">
        <v>221714</v>
      </c>
      <c r="BJ28">
        <v>204908</v>
      </c>
      <c r="BK28">
        <v>234273</v>
      </c>
      <c r="BL28">
        <v>274185</v>
      </c>
      <c r="BM28">
        <v>281877</v>
      </c>
      <c r="BN28">
        <v>307403</v>
      </c>
      <c r="BO28">
        <v>344290</v>
      </c>
      <c r="BP28">
        <v>351165</v>
      </c>
      <c r="BQ28">
        <v>333252</v>
      </c>
      <c r="BR28">
        <v>652142</v>
      </c>
      <c r="BS28">
        <v>737599</v>
      </c>
      <c r="BT28">
        <v>943081</v>
      </c>
      <c r="BU28">
        <v>1159500</v>
      </c>
      <c r="BV28">
        <v>1317732</v>
      </c>
      <c r="BW28">
        <v>1489035</v>
      </c>
      <c r="BX28">
        <v>2057194</v>
      </c>
      <c r="BY28">
        <v>2493100</v>
      </c>
      <c r="BZ28">
        <v>2760168</v>
      </c>
      <c r="CA28">
        <v>3208254</v>
      </c>
      <c r="CD28" s="29">
        <v>1995</v>
      </c>
      <c r="CE28" s="29" t="str" cm="1">
        <f t="array" ref="CE28">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28">
        <f>COUNTIF(Tabla1[Year],'Set Datos'!CD28)</f>
        <v>60</v>
      </c>
      <c r="CG28">
        <f>SUMIF(Tabla1[Year],Tabla2[[#This Row],[Year]],Tabla1[Aboard])</f>
        <v>1938</v>
      </c>
      <c r="CH28">
        <f>SUMIF(Tabla1[Year],'Set Datos'!CD28,Tabla1[Fatalities])</f>
        <v>1491</v>
      </c>
      <c r="CI28" s="52">
        <f>Tabla2[[#This Row],[Fatalities]]/Tabla2[[#This Row],[Aboard]]</f>
        <v>0.76934984520123839</v>
      </c>
      <c r="CJ28">
        <f>SUBTOTAL(109,Tabla4[1995])</f>
        <v>9658817716.8000011</v>
      </c>
      <c r="CK28" s="47">
        <f>Tabla2[[#This Row],[Fatalities]]/Tabla2[[#This Row],[Passengers carried]]</f>
        <v>1.5436671896257436E-7</v>
      </c>
    </row>
    <row r="29" spans="2:89" x14ac:dyDescent="0.3">
      <c r="B29" s="9">
        <v>27</v>
      </c>
      <c r="C29" s="49">
        <v>7142</v>
      </c>
      <c r="D29" s="55">
        <f>YEAR(Tabla1[[#This Row],[Date]])</f>
        <v>1919</v>
      </c>
      <c r="E29" s="9" t="str" cm="1">
        <f t="array" ref="E29">IFERROR(_xlfn.IFS(AND(D29&lt;1980,D29&gt;=1970),"70",AND(D29&lt;1990,D29&gt;=1980),"80",AND(D29&lt;2000,D29&gt;=1990),"90",AND(D29&lt;2010,D29&gt;=2000),"00",AND(D29&lt;=2019,D29&gt;=2010),"10"),"1908-1970")</f>
        <v>1908-1970</v>
      </c>
      <c r="F29" s="3">
        <v>0.70486111111111116</v>
      </c>
      <c r="G29" t="s">
        <v>5103</v>
      </c>
      <c r="H29" t="s">
        <v>5104</v>
      </c>
      <c r="I29" t="s">
        <v>28931</v>
      </c>
      <c r="J29" t="s">
        <v>5105</v>
      </c>
      <c r="K29" t="s">
        <v>5106</v>
      </c>
      <c r="L29" s="7" t="s">
        <v>28931</v>
      </c>
      <c r="M29" t="s">
        <v>28931</v>
      </c>
      <c r="N29" t="s">
        <v>5038</v>
      </c>
      <c r="O29" t="s">
        <v>5038</v>
      </c>
      <c r="P29" t="s">
        <v>5038</v>
      </c>
      <c r="Q29">
        <v>3</v>
      </c>
      <c r="R29">
        <v>2</v>
      </c>
      <c r="S29">
        <v>1</v>
      </c>
      <c r="T29">
        <v>10</v>
      </c>
      <c r="U29" t="s">
        <v>5107</v>
      </c>
      <c r="V29" t="s">
        <v>5038</v>
      </c>
      <c r="W29" s="50">
        <f>IFERROR(Tabla1[[#This Row],[Fatalities]]/Tabla1[[#This Row],[Aboard]],0)</f>
        <v>0</v>
      </c>
      <c r="X29" s="51" t="str" cm="1">
        <f t="array" ref="X29">_xlfn.IFS(Tabla1[[#This Row],[Porcentaje de muertes]]&lt;0.35,"LEVE",AND(Tabla1[[#This Row],[Porcentaje de muertes]]&gt;0.35,Tabla1[[#This Row],[Porcentaje de muertes]]&lt;0.65),"MEDIO",Tabla1[[#This Row],[Porcentaje de muertes]]&gt;0.65,"GRAVE")</f>
        <v>LEVE</v>
      </c>
      <c r="AB29" t="s">
        <v>28411</v>
      </c>
      <c r="AC29" t="s">
        <v>28412</v>
      </c>
      <c r="AD29" t="s">
        <v>28966</v>
      </c>
      <c r="AE29" t="s">
        <v>28966</v>
      </c>
      <c r="AF29" t="s">
        <v>28966</v>
      </c>
      <c r="AG29" t="s">
        <v>28966</v>
      </c>
      <c r="AH29" t="s">
        <v>28966</v>
      </c>
      <c r="AI29" t="s">
        <v>28966</v>
      </c>
      <c r="AJ29" t="s">
        <v>28966</v>
      </c>
      <c r="AK29" t="s">
        <v>28966</v>
      </c>
      <c r="AL29" t="s">
        <v>28966</v>
      </c>
      <c r="AM29" t="s">
        <v>28966</v>
      </c>
      <c r="AN29" t="s">
        <v>28966</v>
      </c>
      <c r="AO29" t="s">
        <v>28966</v>
      </c>
      <c r="AP29" t="s">
        <v>28966</v>
      </c>
      <c r="AQ29" t="s">
        <v>28966</v>
      </c>
      <c r="AR29" t="s">
        <v>28966</v>
      </c>
      <c r="AS29" t="s">
        <v>28966</v>
      </c>
      <c r="AT29" t="s">
        <v>28966</v>
      </c>
      <c r="AU29" t="s">
        <v>28966</v>
      </c>
      <c r="AV29" t="s">
        <v>28966</v>
      </c>
      <c r="AW29" t="s">
        <v>28966</v>
      </c>
      <c r="AX29" t="s">
        <v>28966</v>
      </c>
      <c r="AY29" t="s">
        <v>28966</v>
      </c>
      <c r="AZ29" t="s">
        <v>28966</v>
      </c>
      <c r="BA29" t="s">
        <v>28966</v>
      </c>
      <c r="BB29" t="s">
        <v>28966</v>
      </c>
      <c r="BC29" t="s">
        <v>28966</v>
      </c>
      <c r="BD29" t="s">
        <v>28966</v>
      </c>
      <c r="BE29" t="s">
        <v>28966</v>
      </c>
      <c r="BF29" t="s">
        <v>28966</v>
      </c>
      <c r="BG29" t="s">
        <v>28966</v>
      </c>
      <c r="BH29" t="s">
        <v>28966</v>
      </c>
      <c r="BI29" t="s">
        <v>28966</v>
      </c>
      <c r="BJ29" t="s">
        <v>28966</v>
      </c>
      <c r="BK29" t="s">
        <v>28966</v>
      </c>
      <c r="BL29" t="s">
        <v>28966</v>
      </c>
      <c r="BM29" t="s">
        <v>28966</v>
      </c>
      <c r="BN29" t="s">
        <v>28966</v>
      </c>
      <c r="BO29" t="s">
        <v>28966</v>
      </c>
      <c r="BP29" t="s">
        <v>28966</v>
      </c>
      <c r="BQ29" t="s">
        <v>28966</v>
      </c>
      <c r="BR29">
        <v>143928</v>
      </c>
      <c r="BS29">
        <v>179471.4135</v>
      </c>
      <c r="BT29">
        <v>448015.91399999999</v>
      </c>
      <c r="BU29">
        <v>513175.6</v>
      </c>
      <c r="BV29">
        <v>877765</v>
      </c>
      <c r="BW29">
        <v>935604</v>
      </c>
      <c r="BX29">
        <v>990499</v>
      </c>
      <c r="BY29">
        <v>1285642</v>
      </c>
      <c r="BZ29">
        <v>1297533.223</v>
      </c>
      <c r="CA29">
        <v>1278187.5560000001</v>
      </c>
      <c r="CD29" s="29">
        <v>1996</v>
      </c>
      <c r="CE29" s="29" t="str" cm="1">
        <f t="array" ref="CE29">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29">
        <f>COUNTIF(Tabla1[Year],'Set Datos'!CD29)</f>
        <v>68</v>
      </c>
      <c r="CG29">
        <f>SUMIF(Tabla1[Year],Tabla2[[#This Row],[Year]],Tabla1[Aboard])</f>
        <v>2983</v>
      </c>
      <c r="CH29">
        <f>SUMIF(Tabla1[Year],'Set Datos'!CD29,Tabla1[Fatalities])</f>
        <v>2314</v>
      </c>
      <c r="CI29" s="52">
        <f>Tabla2[[#This Row],[Fatalities]]/Tabla2[[#This Row],[Aboard]]</f>
        <v>0.77572913174656388</v>
      </c>
      <c r="CJ29">
        <f>SUBTOTAL(109,Tabla4[1996])</f>
        <v>10271595124</v>
      </c>
      <c r="CK29" s="47">
        <f>Tabla2[[#This Row],[Fatalities]]/Tabla2[[#This Row],[Passengers carried]]</f>
        <v>2.2528146525102463E-7</v>
      </c>
    </row>
    <row r="30" spans="2:89" x14ac:dyDescent="0.3">
      <c r="B30" s="9">
        <v>28</v>
      </c>
      <c r="C30" s="49">
        <v>6979</v>
      </c>
      <c r="D30" s="55">
        <f>YEAR(Tabla1[[#This Row],[Date]])</f>
        <v>1919</v>
      </c>
      <c r="E30" s="9" t="str" cm="1">
        <f t="array" ref="E30">IFERROR(_xlfn.IFS(AND(D30&lt;1980,D30&gt;=1970),"70",AND(D30&lt;1990,D30&gt;=1980),"80",AND(D30&lt;2000,D30&gt;=1990),"90",AND(D30&lt;2010,D30&gt;=2000),"00",AND(D30&lt;=2019,D30&gt;=2010),"10"),"1908-1970")</f>
        <v>1908-1970</v>
      </c>
      <c r="F30" s="3" t="s">
        <v>28931</v>
      </c>
      <c r="G30" t="s">
        <v>5108</v>
      </c>
      <c r="H30" t="s">
        <v>5109</v>
      </c>
      <c r="I30" t="s">
        <v>28931</v>
      </c>
      <c r="J30" t="s">
        <v>5110</v>
      </c>
      <c r="K30" t="s">
        <v>5111</v>
      </c>
      <c r="L30" s="7" t="s">
        <v>28931</v>
      </c>
      <c r="M30" t="s">
        <v>28931</v>
      </c>
      <c r="N30">
        <v>14</v>
      </c>
      <c r="O30">
        <v>12</v>
      </c>
      <c r="P30">
        <v>2</v>
      </c>
      <c r="Q30">
        <v>14</v>
      </c>
      <c r="R30">
        <v>12</v>
      </c>
      <c r="S30">
        <v>2</v>
      </c>
      <c r="T30">
        <v>0</v>
      </c>
      <c r="U30" t="s">
        <v>5112</v>
      </c>
      <c r="V30">
        <f>Tabla1[[#This Row],[Aboard]]-Tabla1[[#This Row],[Fatalities]]</f>
        <v>0</v>
      </c>
      <c r="W30" s="50">
        <f>IFERROR(Tabla1[[#This Row],[Fatalities]]/Tabla1[[#This Row],[Aboard]],0)</f>
        <v>1</v>
      </c>
      <c r="X30" s="51" t="str" cm="1">
        <f t="array" ref="X30">_xlfn.IFS(Tabla1[[#This Row],[Porcentaje de muertes]]&lt;0.35,"LEVE",AND(Tabla1[[#This Row],[Porcentaje de muertes]]&gt;0.35,Tabla1[[#This Row],[Porcentaje de muertes]]&lt;0.65),"MEDIO",Tabla1[[#This Row],[Porcentaje de muertes]]&gt;0.65,"GRAVE")</f>
        <v>GRAVE</v>
      </c>
      <c r="AB30" t="s">
        <v>28413</v>
      </c>
      <c r="AC30" t="s">
        <v>28414</v>
      </c>
      <c r="AD30" t="s">
        <v>28966</v>
      </c>
      <c r="AE30" t="s">
        <v>28966</v>
      </c>
      <c r="AF30" t="s">
        <v>28966</v>
      </c>
      <c r="AG30" t="s">
        <v>28966</v>
      </c>
      <c r="AH30" t="s">
        <v>28966</v>
      </c>
      <c r="AI30" t="s">
        <v>28966</v>
      </c>
      <c r="AJ30" t="s">
        <v>28966</v>
      </c>
      <c r="AK30" t="s">
        <v>28966</v>
      </c>
      <c r="AL30" t="s">
        <v>28966</v>
      </c>
      <c r="AM30" t="s">
        <v>28966</v>
      </c>
      <c r="AN30" t="s">
        <v>28966</v>
      </c>
      <c r="AO30" t="s">
        <v>28966</v>
      </c>
      <c r="AP30" t="s">
        <v>28966</v>
      </c>
      <c r="AQ30" t="s">
        <v>28966</v>
      </c>
      <c r="AR30" t="s">
        <v>28966</v>
      </c>
      <c r="AS30" t="s">
        <v>28966</v>
      </c>
      <c r="AT30" t="s">
        <v>28966</v>
      </c>
      <c r="AU30" t="s">
        <v>28966</v>
      </c>
      <c r="AV30" t="s">
        <v>28966</v>
      </c>
      <c r="AW30" t="s">
        <v>28966</v>
      </c>
      <c r="AX30" t="s">
        <v>28966</v>
      </c>
      <c r="AY30" t="s">
        <v>28966</v>
      </c>
      <c r="AZ30" t="s">
        <v>28966</v>
      </c>
      <c r="BA30" t="s">
        <v>28966</v>
      </c>
      <c r="BB30" t="s">
        <v>28966</v>
      </c>
      <c r="BC30" t="s">
        <v>28966</v>
      </c>
      <c r="BD30" t="s">
        <v>28966</v>
      </c>
      <c r="BE30" t="s">
        <v>28966</v>
      </c>
      <c r="BF30" t="s">
        <v>28966</v>
      </c>
      <c r="BG30" t="s">
        <v>28966</v>
      </c>
      <c r="BH30" t="s">
        <v>28966</v>
      </c>
      <c r="BI30" t="s">
        <v>28966</v>
      </c>
      <c r="BJ30" t="s">
        <v>28966</v>
      </c>
      <c r="BK30" t="s">
        <v>28966</v>
      </c>
      <c r="BL30" t="s">
        <v>28966</v>
      </c>
      <c r="BM30" t="s">
        <v>28966</v>
      </c>
      <c r="BN30" t="s">
        <v>28966</v>
      </c>
      <c r="BO30" t="s">
        <v>28966</v>
      </c>
      <c r="BP30" t="s">
        <v>28966</v>
      </c>
      <c r="BQ30" t="s">
        <v>28966</v>
      </c>
      <c r="BR30" t="s">
        <v>28966</v>
      </c>
      <c r="BS30" t="s">
        <v>28966</v>
      </c>
      <c r="BT30" t="s">
        <v>28966</v>
      </c>
      <c r="BU30" t="s">
        <v>28966</v>
      </c>
      <c r="BV30" t="s">
        <v>28966</v>
      </c>
      <c r="BW30" t="s">
        <v>28966</v>
      </c>
      <c r="BX30" t="s">
        <v>28966</v>
      </c>
      <c r="BY30" t="s">
        <v>28966</v>
      </c>
      <c r="BZ30" t="s">
        <v>28966</v>
      </c>
      <c r="CA30" t="s">
        <v>28966</v>
      </c>
      <c r="CD30" s="29">
        <v>1997</v>
      </c>
      <c r="CE30" s="29" t="str" cm="1">
        <f t="array" ref="CE30">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30">
        <f>COUNTIF(Tabla1[Year],'Set Datos'!CD30)</f>
        <v>56</v>
      </c>
      <c r="CG30">
        <f>SUMIF(Tabla1[Year],Tabla2[[#This Row],[Year]],Tabla1[Aboard])</f>
        <v>2438</v>
      </c>
      <c r="CH30">
        <f>SUMIF(Tabla1[Year],'Set Datos'!CD30,Tabla1[Fatalities])</f>
        <v>1632</v>
      </c>
      <c r="CI30" s="52">
        <f>Tabla2[[#This Row],[Fatalities]]/Tabla2[[#This Row],[Aboard]]</f>
        <v>0.66940114848236254</v>
      </c>
      <c r="CJ30">
        <f>SUBTOTAL(109,Tabla4[1997])</f>
        <v>10745572452</v>
      </c>
      <c r="CK30" s="47">
        <f>Tabla2[[#This Row],[Fatalities]]/Tabla2[[#This Row],[Passengers carried]]</f>
        <v>1.5187650609495886E-7</v>
      </c>
    </row>
    <row r="31" spans="2:89" x14ac:dyDescent="0.3">
      <c r="B31" s="9">
        <v>29</v>
      </c>
      <c r="C31" s="49">
        <v>6981</v>
      </c>
      <c r="D31" s="55">
        <f>YEAR(Tabla1[[#This Row],[Date]])</f>
        <v>1919</v>
      </c>
      <c r="E31" s="9" t="str" cm="1">
        <f t="array" ref="E31">IFERROR(_xlfn.IFS(AND(D31&lt;1980,D31&gt;=1970),"70",AND(D31&lt;1990,D31&gt;=1980),"80",AND(D31&lt;2000,D31&gt;=1990),"90",AND(D31&lt;2010,D31&gt;=2000),"00",AND(D31&lt;=2019,D31&gt;=2010),"10"),"1908-1970")</f>
        <v>1908-1970</v>
      </c>
      <c r="F31" s="3" t="s">
        <v>28931</v>
      </c>
      <c r="G31" t="s">
        <v>5113</v>
      </c>
      <c r="H31" t="s">
        <v>5114</v>
      </c>
      <c r="I31" t="s">
        <v>28931</v>
      </c>
      <c r="J31" t="s">
        <v>28931</v>
      </c>
      <c r="K31" t="s">
        <v>5097</v>
      </c>
      <c r="L31" s="7" t="s">
        <v>28931</v>
      </c>
      <c r="M31" t="s">
        <v>28931</v>
      </c>
      <c r="N31">
        <v>1</v>
      </c>
      <c r="O31">
        <v>0</v>
      </c>
      <c r="P31">
        <v>1</v>
      </c>
      <c r="Q31">
        <v>1</v>
      </c>
      <c r="R31">
        <v>0</v>
      </c>
      <c r="S31">
        <v>1</v>
      </c>
      <c r="T31">
        <v>0</v>
      </c>
      <c r="U31" t="s">
        <v>28927</v>
      </c>
      <c r="V31">
        <f>Tabla1[[#This Row],[Aboard]]-Tabla1[[#This Row],[Fatalities]]</f>
        <v>0</v>
      </c>
      <c r="W31" s="50">
        <f>IFERROR(Tabla1[[#This Row],[Fatalities]]/Tabla1[[#This Row],[Aboard]],0)</f>
        <v>1</v>
      </c>
      <c r="X31" s="51" t="str" cm="1">
        <f t="array" ref="X31">_xlfn.IFS(Tabla1[[#This Row],[Porcentaje de muertes]]&lt;0.35,"LEVE",AND(Tabla1[[#This Row],[Porcentaje de muertes]]&gt;0.35,Tabla1[[#This Row],[Porcentaje de muertes]]&lt;0.65),"MEDIO",Tabla1[[#This Row],[Porcentaje de muertes]]&gt;0.65,"GRAVE")</f>
        <v>GRAVE</v>
      </c>
      <c r="AB31" t="s">
        <v>28415</v>
      </c>
      <c r="AC31" t="s">
        <v>28416</v>
      </c>
      <c r="AD31">
        <v>244000</v>
      </c>
      <c r="AE31">
        <v>331100</v>
      </c>
      <c r="AF31">
        <v>379000</v>
      </c>
      <c r="AG31">
        <v>375700</v>
      </c>
      <c r="AH31">
        <v>475000</v>
      </c>
      <c r="AI31">
        <v>652500</v>
      </c>
      <c r="AJ31">
        <v>744700</v>
      </c>
      <c r="AK31">
        <v>862300</v>
      </c>
      <c r="AL31">
        <v>1015600</v>
      </c>
      <c r="AM31">
        <v>1225500</v>
      </c>
      <c r="AN31">
        <v>1342000</v>
      </c>
      <c r="AO31">
        <v>1220300</v>
      </c>
      <c r="AP31">
        <v>1160100</v>
      </c>
      <c r="AQ31">
        <v>1299000</v>
      </c>
      <c r="AR31">
        <v>1359500</v>
      </c>
      <c r="AS31">
        <v>1343300</v>
      </c>
      <c r="AT31">
        <v>1300700</v>
      </c>
      <c r="AU31">
        <v>1232600</v>
      </c>
      <c r="AV31">
        <v>1266700</v>
      </c>
      <c r="AW31">
        <v>1272600</v>
      </c>
      <c r="AX31">
        <v>1237600</v>
      </c>
      <c r="AY31">
        <v>1200000</v>
      </c>
      <c r="AZ31">
        <v>1214400</v>
      </c>
      <c r="BA31">
        <v>1117000</v>
      </c>
      <c r="BB31">
        <v>1175200</v>
      </c>
      <c r="BC31">
        <v>1223700</v>
      </c>
      <c r="BD31">
        <v>1783500</v>
      </c>
      <c r="BE31">
        <v>2250800</v>
      </c>
      <c r="BF31">
        <v>2115500</v>
      </c>
      <c r="BG31">
        <v>1872600</v>
      </c>
      <c r="BH31">
        <v>1756608</v>
      </c>
      <c r="BI31">
        <v>1557128</v>
      </c>
      <c r="BJ31">
        <v>1508700</v>
      </c>
      <c r="BK31">
        <v>1770774</v>
      </c>
      <c r="BL31">
        <v>1824313</v>
      </c>
      <c r="BM31">
        <v>1892343</v>
      </c>
      <c r="BN31">
        <v>1443165</v>
      </c>
      <c r="BO31">
        <v>1744663</v>
      </c>
      <c r="BP31">
        <v>1718196</v>
      </c>
      <c r="BQ31">
        <v>1537032</v>
      </c>
      <c r="BR31">
        <v>1781340</v>
      </c>
      <c r="BS31">
        <v>2125912.5269999998</v>
      </c>
      <c r="BT31">
        <v>2206069.7609999999</v>
      </c>
      <c r="BU31">
        <v>2027888</v>
      </c>
      <c r="BV31">
        <v>3563043.5830000001</v>
      </c>
      <c r="BW31">
        <v>4115271</v>
      </c>
      <c r="BX31">
        <v>3678739</v>
      </c>
      <c r="BY31">
        <v>4053427.35</v>
      </c>
      <c r="BZ31">
        <v>4122113</v>
      </c>
      <c r="CA31">
        <v>4066959</v>
      </c>
      <c r="CD31" s="29">
        <v>1998</v>
      </c>
      <c r="CE31" s="29" t="str" cm="1">
        <f t="array" ref="CE31">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31">
        <f>COUNTIF(Tabla1[Year],'Set Datos'!CD31)</f>
        <v>59</v>
      </c>
      <c r="CG31">
        <f>SUMIF(Tabla1[Year],Tabla2[[#This Row],[Year]],Tabla1[Aboard])</f>
        <v>1973</v>
      </c>
      <c r="CH31">
        <f>SUMIF(Tabla1[Year],'Set Datos'!CD31,Tabla1[Fatalities])</f>
        <v>1508</v>
      </c>
      <c r="CI31" s="52">
        <f>Tabla2[[#This Row],[Fatalities]]/Tabla2[[#This Row],[Aboard]]</f>
        <v>0.76431829700963005</v>
      </c>
      <c r="CJ31">
        <f>SUBTOTAL(109,Tabla4[1998])</f>
        <v>10821333180</v>
      </c>
      <c r="CK31" s="47">
        <f>Tabla2[[#This Row],[Fatalities]]/Tabla2[[#This Row],[Passengers carried]]</f>
        <v>1.3935436372914635E-7</v>
      </c>
    </row>
    <row r="32" spans="2:89" x14ac:dyDescent="0.3">
      <c r="B32" s="9">
        <v>30</v>
      </c>
      <c r="C32" s="49">
        <v>7227</v>
      </c>
      <c r="D32" s="55">
        <f>YEAR(Tabla1[[#This Row],[Date]])</f>
        <v>1919</v>
      </c>
      <c r="E32" s="9" t="str" cm="1">
        <f t="array" ref="E32">IFERROR(_xlfn.IFS(AND(D32&lt;1980,D32&gt;=1970),"70",AND(D32&lt;1990,D32&gt;=1980),"80",AND(D32&lt;2000,D32&gt;=1990),"90",AND(D32&lt;2010,D32&gt;=2000),"00",AND(D32&lt;=2019,D32&gt;=2010),"10"),"1908-1970")</f>
        <v>1908-1970</v>
      </c>
      <c r="F32" s="3" t="s">
        <v>28931</v>
      </c>
      <c r="G32" t="s">
        <v>5115</v>
      </c>
      <c r="H32" t="s">
        <v>5096</v>
      </c>
      <c r="I32" t="s">
        <v>28931</v>
      </c>
      <c r="J32" t="s">
        <v>28931</v>
      </c>
      <c r="K32" t="s">
        <v>5116</v>
      </c>
      <c r="L32" s="7">
        <v>32</v>
      </c>
      <c r="M32" t="s">
        <v>28931</v>
      </c>
      <c r="N32">
        <v>1</v>
      </c>
      <c r="O32">
        <v>0</v>
      </c>
      <c r="P32">
        <v>1</v>
      </c>
      <c r="Q32">
        <v>1</v>
      </c>
      <c r="R32">
        <v>0</v>
      </c>
      <c r="S32">
        <v>1</v>
      </c>
      <c r="T32">
        <v>0</v>
      </c>
      <c r="U32" t="s">
        <v>5117</v>
      </c>
      <c r="V32">
        <f>Tabla1[[#This Row],[Aboard]]-Tabla1[[#This Row],[Fatalities]]</f>
        <v>0</v>
      </c>
      <c r="W32" s="50">
        <f>IFERROR(Tabla1[[#This Row],[Fatalities]]/Tabla1[[#This Row],[Aboard]],0)</f>
        <v>1</v>
      </c>
      <c r="X32" s="51" t="str" cm="1">
        <f t="array" ref="X32">_xlfn.IFS(Tabla1[[#This Row],[Porcentaje de muertes]]&lt;0.35,"LEVE",AND(Tabla1[[#This Row],[Porcentaje de muertes]]&gt;0.35,Tabla1[[#This Row],[Porcentaje de muertes]]&lt;0.65),"MEDIO",Tabla1[[#This Row],[Porcentaje de muertes]]&gt;0.65,"GRAVE")</f>
        <v>GRAVE</v>
      </c>
      <c r="AB32" t="s">
        <v>6116</v>
      </c>
      <c r="AC32" t="s">
        <v>28417</v>
      </c>
      <c r="AD32">
        <v>3339800</v>
      </c>
      <c r="AE32">
        <v>3911000</v>
      </c>
      <c r="AF32">
        <v>4671400</v>
      </c>
      <c r="AG32">
        <v>5842400</v>
      </c>
      <c r="AH32">
        <v>6855500</v>
      </c>
      <c r="AI32">
        <v>7772900</v>
      </c>
      <c r="AJ32">
        <v>8799000</v>
      </c>
      <c r="AK32">
        <v>9514400</v>
      </c>
      <c r="AL32">
        <v>10621300</v>
      </c>
      <c r="AM32">
        <v>11856900</v>
      </c>
      <c r="AN32">
        <v>13008100</v>
      </c>
      <c r="AO32">
        <v>12594600</v>
      </c>
      <c r="AP32">
        <v>13168300</v>
      </c>
      <c r="AQ32">
        <v>12605900</v>
      </c>
      <c r="AR32">
        <v>12948400</v>
      </c>
      <c r="AS32">
        <v>13402900</v>
      </c>
      <c r="AT32">
        <v>17194700</v>
      </c>
      <c r="AU32">
        <v>17068600</v>
      </c>
      <c r="AV32">
        <v>17010900</v>
      </c>
      <c r="AW32">
        <v>19410800</v>
      </c>
      <c r="AX32">
        <v>19149600</v>
      </c>
      <c r="AY32">
        <v>19153100</v>
      </c>
      <c r="AZ32">
        <v>16388500</v>
      </c>
      <c r="BA32">
        <v>16535600</v>
      </c>
      <c r="BB32">
        <v>17898600</v>
      </c>
      <c r="BC32">
        <v>20196100</v>
      </c>
      <c r="BD32">
        <v>22011500</v>
      </c>
      <c r="BE32">
        <v>24307000</v>
      </c>
      <c r="BF32">
        <v>28091100</v>
      </c>
      <c r="BG32">
        <v>28205300</v>
      </c>
      <c r="BH32">
        <v>31287784</v>
      </c>
      <c r="BI32">
        <v>34285574</v>
      </c>
      <c r="BJ32">
        <v>35889538</v>
      </c>
      <c r="BK32">
        <v>32372040</v>
      </c>
      <c r="BL32">
        <v>35263795</v>
      </c>
      <c r="BM32">
        <v>37661733</v>
      </c>
      <c r="BN32">
        <v>40945038</v>
      </c>
      <c r="BO32">
        <v>45286990</v>
      </c>
      <c r="BP32">
        <v>58763225</v>
      </c>
      <c r="BQ32">
        <v>67945578</v>
      </c>
      <c r="BR32">
        <v>74627064</v>
      </c>
      <c r="BS32">
        <v>87860363</v>
      </c>
      <c r="BT32">
        <v>94752568</v>
      </c>
      <c r="BU32">
        <v>95591641</v>
      </c>
      <c r="BV32">
        <v>100403628</v>
      </c>
      <c r="BW32">
        <v>102039359</v>
      </c>
      <c r="BX32">
        <v>94142377</v>
      </c>
      <c r="BY32">
        <v>96395709</v>
      </c>
      <c r="BZ32">
        <v>102109977</v>
      </c>
      <c r="CA32">
        <v>102917546</v>
      </c>
      <c r="CD32" s="29">
        <v>1999</v>
      </c>
      <c r="CE32" s="29" t="str" cm="1">
        <f t="array" ref="CE32">_xlfn.IFS(AND(Tabla2[[#This Row],[Year]]&gt;=1970,Tabla2[[#This Row],[Year]]&lt;1980),"70",AND(Tabla2[[#This Row],[Year]]&gt;=1980,Tabla2[[#This Row],[Year]]&lt;1990),"80",AND(Tabla2[[#This Row],[Year]]&gt;=1990,Tabla2[[#This Row],[Year]]&lt;2000),"90",AND(Tabla2[[#This Row],[Year]]&gt;=2000,Tabla2[[#This Row],[Year]]&lt;2010),"00",AND(Tabla2[[#This Row],[Year]]&gt;=2010,Tabla2[[#This Row],[Year]]&lt;=2019),"10")</f>
        <v>90</v>
      </c>
      <c r="CF32">
        <f>COUNTIF(Tabla1[Year],'Set Datos'!CD32)</f>
        <v>62</v>
      </c>
      <c r="CG32">
        <f>SUMIF(Tabla1[Year],Tabla2[[#This Row],[Year]],Tabla1[Aboard])</f>
        <v>2880</v>
      </c>
      <c r="CH32">
        <f>SUMIF(Tabla1[Year],'Set Datos'!CD32,Tabla1[Fatalities])</f>
        <v>863</v>
      </c>
      <c r="CI32" s="52">
        <f>Tabla2[[#This Row],[Fatalities]]/Tabla2[[#This Row],[Aboard]]</f>
        <v>0.29965277777777777</v>
      </c>
      <c r="CJ32">
        <f>SUBTOTAL(109,Tabla4[1999])</f>
        <v>11462817100</v>
      </c>
      <c r="CK32" s="47">
        <f>Tabla2[[#This Row],[Fatalities]]/Tabla2[[#This Row],[Passengers carried]]</f>
        <v>7.5286903077254894E-8</v>
      </c>
    </row>
    <row r="33" spans="2:89" x14ac:dyDescent="0.3">
      <c r="B33" s="9">
        <v>31</v>
      </c>
      <c r="C33" s="49">
        <v>7233</v>
      </c>
      <c r="D33" s="55">
        <f>YEAR(Tabla1[[#This Row],[Date]])</f>
        <v>1919</v>
      </c>
      <c r="E33" s="9" t="str" cm="1">
        <f t="array" ref="E33">IFERROR(_xlfn.IFS(AND(D33&lt;1980,D33&gt;=1970),"70",AND(D33&lt;1990,D33&gt;=1980),"80",AND(D33&lt;2000,D33&gt;=1990),"90",AND(D33&lt;2010,D33&gt;=2000),"00",AND(D33&lt;=2019,D33&gt;=2010),"10"),"1908-1970")</f>
        <v>1908-1970</v>
      </c>
      <c r="F33" s="3" t="s">
        <v>28931</v>
      </c>
      <c r="G33" t="s">
        <v>5118</v>
      </c>
      <c r="H33" t="s">
        <v>5114</v>
      </c>
      <c r="I33" t="s">
        <v>28931</v>
      </c>
      <c r="J33" t="s">
        <v>28931</v>
      </c>
      <c r="K33" t="s">
        <v>5097</v>
      </c>
      <c r="L33" s="7" t="s">
        <v>5119</v>
      </c>
      <c r="M33" t="s">
        <v>28931</v>
      </c>
      <c r="N33">
        <v>0</v>
      </c>
      <c r="O33">
        <v>0</v>
      </c>
      <c r="P33">
        <v>1</v>
      </c>
      <c r="Q33">
        <v>0</v>
      </c>
      <c r="R33">
        <v>0</v>
      </c>
      <c r="S33">
        <v>0</v>
      </c>
      <c r="T33">
        <v>0</v>
      </c>
      <c r="U33" t="s">
        <v>5120</v>
      </c>
      <c r="V33">
        <f>Tabla1[[#This Row],[Aboard]]-Tabla1[[#This Row],[Fatalities]]</f>
        <v>0</v>
      </c>
      <c r="W33" s="50">
        <f>IFERROR(Tabla1[[#This Row],[Fatalities]]/Tabla1[[#This Row],[Aboard]],0)</f>
        <v>0</v>
      </c>
      <c r="X33" s="51" t="str" cm="1">
        <f t="array" ref="X33">_xlfn.IFS(Tabla1[[#This Row],[Porcentaje de muertes]]&lt;0.35,"LEVE",AND(Tabla1[[#This Row],[Porcentaje de muertes]]&gt;0.35,Tabla1[[#This Row],[Porcentaje de muertes]]&lt;0.65),"MEDIO",Tabla1[[#This Row],[Porcentaje de muertes]]&gt;0.65,"GRAVE")</f>
        <v>LEVE</v>
      </c>
      <c r="AB33" t="s">
        <v>28418</v>
      </c>
      <c r="AC33" t="s">
        <v>28419</v>
      </c>
      <c r="AD33" t="s">
        <v>28966</v>
      </c>
      <c r="AE33">
        <v>11500</v>
      </c>
      <c r="AF33">
        <v>19700</v>
      </c>
      <c r="AG33">
        <v>23700</v>
      </c>
      <c r="AH33">
        <v>25600</v>
      </c>
      <c r="AI33">
        <v>32600</v>
      </c>
      <c r="AJ33">
        <v>33700</v>
      </c>
      <c r="AK33">
        <v>42300</v>
      </c>
      <c r="AL33">
        <v>50200</v>
      </c>
      <c r="AM33">
        <v>53900</v>
      </c>
      <c r="AN33">
        <v>45500</v>
      </c>
      <c r="AO33">
        <v>60800</v>
      </c>
      <c r="AP33">
        <v>43800</v>
      </c>
      <c r="AQ33">
        <v>34500</v>
      </c>
      <c r="AR33">
        <v>55000</v>
      </c>
      <c r="AS33">
        <v>32400</v>
      </c>
      <c r="AT33">
        <v>52400</v>
      </c>
      <c r="AU33">
        <v>17000</v>
      </c>
      <c r="AV33">
        <v>0</v>
      </c>
      <c r="AW33">
        <v>0</v>
      </c>
      <c r="AX33">
        <v>0</v>
      </c>
      <c r="AY33">
        <v>0</v>
      </c>
      <c r="AZ33" t="s">
        <v>28966</v>
      </c>
      <c r="BA33" t="s">
        <v>28966</v>
      </c>
      <c r="BB33" t="s">
        <v>28966</v>
      </c>
      <c r="BC33" t="s">
        <v>28966</v>
      </c>
      <c r="BD33" t="s">
        <v>28966</v>
      </c>
      <c r="BE33" t="s">
        <v>28966</v>
      </c>
      <c r="BF33" t="s">
        <v>28966</v>
      </c>
      <c r="BG33" t="s">
        <v>28966</v>
      </c>
      <c r="BH33" t="s">
        <v>28966</v>
      </c>
      <c r="BI33" t="s">
        <v>28966</v>
      </c>
      <c r="BJ33" t="s">
        <v>28966</v>
      </c>
      <c r="BK33" t="s">
        <v>28966</v>
      </c>
      <c r="BL33" t="s">
        <v>28966</v>
      </c>
      <c r="BM33" t="s">
        <v>28966</v>
      </c>
      <c r="BN33" t="s">
        <v>28966</v>
      </c>
      <c r="BO33" t="s">
        <v>28966</v>
      </c>
      <c r="BP33" t="s">
        <v>28966</v>
      </c>
      <c r="BQ33" t="s">
        <v>28966</v>
      </c>
      <c r="BR33" t="s">
        <v>28966</v>
      </c>
      <c r="BS33" t="s">
        <v>28966</v>
      </c>
      <c r="BT33" t="s">
        <v>28966</v>
      </c>
      <c r="BU33" t="s">
        <v>28966</v>
      </c>
      <c r="BV33" t="s">
        <v>28966</v>
      </c>
      <c r="BW33" t="s">
        <v>28966</v>
      </c>
      <c r="BX33" t="s">
        <v>28966</v>
      </c>
      <c r="BY33" t="s">
        <v>28966</v>
      </c>
      <c r="BZ33" t="s">
        <v>28966</v>
      </c>
      <c r="CA33" t="s">
        <v>28966</v>
      </c>
      <c r="CD33" s="29">
        <v>2000</v>
      </c>
      <c r="CE33" s="29" t="str" cm="1">
        <f t="array" ref="CE33">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33">
        <f>COUNTIF(Tabla1[Year],'Set Datos'!CD33)</f>
        <v>63</v>
      </c>
      <c r="CG33">
        <f>SUMIF(Tabla1[Year],Tabla2[[#This Row],[Year]],Tabla1[Aboard])</f>
        <v>2343</v>
      </c>
      <c r="CH33">
        <f>SUMIF(Tabla1[Year],'Set Datos'!CD33,Tabla1[Fatalities])</f>
        <v>1430</v>
      </c>
      <c r="CI33" s="52">
        <f>Tabla2[[#This Row],[Fatalities]]/Tabla2[[#This Row],[Aboard]]</f>
        <v>0.61032863849765262</v>
      </c>
      <c r="CJ33">
        <f>SUBTOTAL(109,Tabla4[2000])</f>
        <v>12264230604</v>
      </c>
      <c r="CK33" s="47">
        <f>Tabla2[[#This Row],[Fatalities]]/Tabla2[[#This Row],[Passengers carried]]</f>
        <v>1.1659924264092058E-7</v>
      </c>
    </row>
    <row r="34" spans="2:89" x14ac:dyDescent="0.3">
      <c r="B34" s="9">
        <v>32</v>
      </c>
      <c r="C34" s="49">
        <v>7243</v>
      </c>
      <c r="D34" s="55">
        <f>YEAR(Tabla1[[#This Row],[Date]])</f>
        <v>1919</v>
      </c>
      <c r="E34" s="9" t="str" cm="1">
        <f t="array" ref="E34">IFERROR(_xlfn.IFS(AND(D34&lt;1980,D34&gt;=1970),"70",AND(D34&lt;1990,D34&gt;=1980),"80",AND(D34&lt;2000,D34&gt;=1990),"90",AND(D34&lt;2010,D34&gt;=2000),"00",AND(D34&lt;=2019,D34&gt;=2010),"10"),"1908-1970")</f>
        <v>1908-1970</v>
      </c>
      <c r="F34" s="3" t="s">
        <v>28931</v>
      </c>
      <c r="G34" t="s">
        <v>5121</v>
      </c>
      <c r="H34" t="s">
        <v>5096</v>
      </c>
      <c r="I34" t="s">
        <v>28931</v>
      </c>
      <c r="J34" t="s">
        <v>28931</v>
      </c>
      <c r="K34" t="s">
        <v>5122</v>
      </c>
      <c r="L34" s="7">
        <v>77</v>
      </c>
      <c r="M34">
        <v>77</v>
      </c>
      <c r="N34">
        <v>1</v>
      </c>
      <c r="O34">
        <v>0</v>
      </c>
      <c r="P34">
        <v>1</v>
      </c>
      <c r="Q34">
        <v>1</v>
      </c>
      <c r="R34">
        <v>0</v>
      </c>
      <c r="S34">
        <v>1</v>
      </c>
      <c r="T34">
        <v>0</v>
      </c>
      <c r="U34" t="s">
        <v>5123</v>
      </c>
      <c r="V34">
        <f>Tabla1[[#This Row],[Aboard]]-Tabla1[[#This Row],[Fatalities]]</f>
        <v>0</v>
      </c>
      <c r="W34" s="50">
        <f>IFERROR(Tabla1[[#This Row],[Fatalities]]/Tabla1[[#This Row],[Aboard]],0)</f>
        <v>1</v>
      </c>
      <c r="X34" s="51" t="str" cm="1">
        <f t="array" ref="X34">_xlfn.IFS(Tabla1[[#This Row],[Porcentaje de muertes]]&lt;0.35,"LEVE",AND(Tabla1[[#This Row],[Porcentaje de muertes]]&gt;0.35,Tabla1[[#This Row],[Porcentaje de muertes]]&lt;0.65),"MEDIO",Tabla1[[#This Row],[Porcentaje de muertes]]&gt;0.65,"GRAVE")</f>
        <v>GRAVE</v>
      </c>
      <c r="AB34" t="s">
        <v>28420</v>
      </c>
      <c r="AC34" t="s">
        <v>28421</v>
      </c>
      <c r="AD34" t="s">
        <v>28966</v>
      </c>
      <c r="AE34" t="s">
        <v>28966</v>
      </c>
      <c r="AF34" t="s">
        <v>28966</v>
      </c>
      <c r="AG34" t="s">
        <v>28966</v>
      </c>
      <c r="AH34" t="s">
        <v>28966</v>
      </c>
      <c r="AI34" t="s">
        <v>28966</v>
      </c>
      <c r="AJ34" t="s">
        <v>28966</v>
      </c>
      <c r="AK34" t="s">
        <v>28966</v>
      </c>
      <c r="AL34" t="s">
        <v>28966</v>
      </c>
      <c r="AM34" t="s">
        <v>28966</v>
      </c>
      <c r="AN34" t="s">
        <v>28966</v>
      </c>
      <c r="AO34" t="s">
        <v>28966</v>
      </c>
      <c r="AP34" t="s">
        <v>28966</v>
      </c>
      <c r="AQ34" t="s">
        <v>28966</v>
      </c>
      <c r="AR34">
        <v>184400</v>
      </c>
      <c r="AS34">
        <v>198900</v>
      </c>
      <c r="AT34">
        <v>206600</v>
      </c>
      <c r="AU34">
        <v>247000</v>
      </c>
      <c r="AV34">
        <v>279000</v>
      </c>
      <c r="AW34">
        <v>300000</v>
      </c>
      <c r="AX34">
        <v>307000</v>
      </c>
      <c r="AY34">
        <v>307000</v>
      </c>
      <c r="AZ34">
        <v>410000</v>
      </c>
      <c r="BA34">
        <v>604100</v>
      </c>
      <c r="BB34">
        <v>769400</v>
      </c>
      <c r="BC34">
        <v>916200</v>
      </c>
      <c r="BD34">
        <v>856900</v>
      </c>
      <c r="BE34">
        <v>876800</v>
      </c>
      <c r="BF34">
        <v>876800</v>
      </c>
      <c r="BG34">
        <v>808000</v>
      </c>
      <c r="BH34">
        <v>863547</v>
      </c>
      <c r="BI34">
        <v>1007542</v>
      </c>
      <c r="BJ34">
        <v>1035795</v>
      </c>
      <c r="BK34">
        <v>956133</v>
      </c>
      <c r="BL34">
        <v>1079578</v>
      </c>
      <c r="BM34">
        <v>977516</v>
      </c>
      <c r="BN34">
        <v>1041478</v>
      </c>
      <c r="BO34">
        <v>1017028</v>
      </c>
      <c r="BP34">
        <v>1075754</v>
      </c>
      <c r="BQ34">
        <v>999375</v>
      </c>
      <c r="BR34">
        <v>1263270</v>
      </c>
      <c r="BS34">
        <v>1312935</v>
      </c>
      <c r="BT34">
        <v>1044170</v>
      </c>
      <c r="BU34">
        <v>1139784</v>
      </c>
      <c r="BV34">
        <v>1061148</v>
      </c>
      <c r="BW34">
        <v>1150003</v>
      </c>
      <c r="BX34">
        <v>1168609</v>
      </c>
      <c r="BY34">
        <v>1172201</v>
      </c>
      <c r="BZ34">
        <v>1234455</v>
      </c>
      <c r="CA34">
        <v>1421313</v>
      </c>
      <c r="CD34" s="29">
        <v>2001</v>
      </c>
      <c r="CE34" s="29" t="str" cm="1">
        <f t="array" ref="CE34">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34">
        <f>COUNTIF(Tabla1[Year],'Set Datos'!CD34)</f>
        <v>58</v>
      </c>
      <c r="CG34">
        <f>SUMIF(Tabla1[Year],Tabla2[[#This Row],[Year]],Tabla1[Aboard])</f>
        <v>2040</v>
      </c>
      <c r="CH34">
        <f>SUMIF(Tabla1[Year],'Set Datos'!CD34,Tabla1[Fatalities])</f>
        <v>1336</v>
      </c>
      <c r="CI34" s="52">
        <f>Tabla2[[#This Row],[Fatalities]]/Tabla2[[#This Row],[Aboard]]</f>
        <v>0.65490196078431373</v>
      </c>
      <c r="CJ34">
        <f>SUBTOTAL(109,Tabla4[2001])</f>
        <v>12275248104</v>
      </c>
      <c r="CK34" s="47">
        <f>Tabla2[[#This Row],[Fatalities]]/Tabla2[[#This Row],[Passengers carried]]</f>
        <v>1.0883690404307612E-7</v>
      </c>
    </row>
    <row r="35" spans="2:89" x14ac:dyDescent="0.3">
      <c r="B35" s="9">
        <v>33</v>
      </c>
      <c r="C35" s="49">
        <v>7256</v>
      </c>
      <c r="D35" s="55">
        <f>YEAR(Tabla1[[#This Row],[Date]])</f>
        <v>1919</v>
      </c>
      <c r="E35" s="9" t="str" cm="1">
        <f t="array" ref="E35">IFERROR(_xlfn.IFS(AND(D35&lt;1980,D35&gt;=1970),"70",AND(D35&lt;1990,D35&gt;=1980),"80",AND(D35&lt;2000,D35&gt;=1990),"90",AND(D35&lt;2010,D35&gt;=2000),"00",AND(D35&lt;=2019,D35&gt;=2010),"10"),"1908-1970")</f>
        <v>1908-1970</v>
      </c>
      <c r="F35" s="3" t="s">
        <v>28931</v>
      </c>
      <c r="G35" t="s">
        <v>5124</v>
      </c>
      <c r="H35" t="s">
        <v>5125</v>
      </c>
      <c r="I35" t="s">
        <v>28931</v>
      </c>
      <c r="J35" t="s">
        <v>5126</v>
      </c>
      <c r="K35" t="s">
        <v>5127</v>
      </c>
      <c r="L35" s="7" t="s">
        <v>5128</v>
      </c>
      <c r="M35" t="s">
        <v>28931</v>
      </c>
      <c r="N35">
        <v>1</v>
      </c>
      <c r="O35">
        <v>1</v>
      </c>
      <c r="P35">
        <v>1</v>
      </c>
      <c r="Q35">
        <v>1</v>
      </c>
      <c r="R35">
        <v>1</v>
      </c>
      <c r="S35">
        <v>1</v>
      </c>
      <c r="T35">
        <v>0</v>
      </c>
      <c r="U35" t="s">
        <v>5129</v>
      </c>
      <c r="V35">
        <f>Tabla1[[#This Row],[Aboard]]-Tabla1[[#This Row],[Fatalities]]</f>
        <v>0</v>
      </c>
      <c r="W35" s="50">
        <f>IFERROR(Tabla1[[#This Row],[Fatalities]]/Tabla1[[#This Row],[Aboard]],0)</f>
        <v>1</v>
      </c>
      <c r="X35" s="51" t="str" cm="1">
        <f t="array" ref="X35">_xlfn.IFS(Tabla1[[#This Row],[Porcentaje de muertes]]&lt;0.35,"LEVE",AND(Tabla1[[#This Row],[Porcentaje de muertes]]&gt;0.35,Tabla1[[#This Row],[Porcentaje de muertes]]&lt;0.65),"MEDIO",Tabla1[[#This Row],[Porcentaje de muertes]]&gt;0.65,"GRAVE")</f>
        <v>GRAVE</v>
      </c>
      <c r="AB35" t="s">
        <v>28422</v>
      </c>
      <c r="AC35" t="s">
        <v>28423</v>
      </c>
      <c r="AD35" t="s">
        <v>28966</v>
      </c>
      <c r="AE35" t="s">
        <v>28966</v>
      </c>
      <c r="AF35" t="s">
        <v>28966</v>
      </c>
      <c r="AG35" t="s">
        <v>28966</v>
      </c>
      <c r="AH35" t="s">
        <v>28966</v>
      </c>
      <c r="AI35" t="s">
        <v>28966</v>
      </c>
      <c r="AJ35" t="s">
        <v>28966</v>
      </c>
      <c r="AK35" t="s">
        <v>28966</v>
      </c>
      <c r="AL35" t="s">
        <v>28966</v>
      </c>
      <c r="AM35" t="s">
        <v>28966</v>
      </c>
      <c r="AN35" t="s">
        <v>28966</v>
      </c>
      <c r="AO35" t="s">
        <v>28966</v>
      </c>
      <c r="AP35" t="s">
        <v>28966</v>
      </c>
      <c r="AQ35" t="s">
        <v>28966</v>
      </c>
      <c r="AR35" t="s">
        <v>28966</v>
      </c>
      <c r="AS35" t="s">
        <v>28966</v>
      </c>
      <c r="AT35" t="s">
        <v>28966</v>
      </c>
      <c r="AU35" t="s">
        <v>28966</v>
      </c>
      <c r="AV35">
        <v>8000</v>
      </c>
      <c r="AW35">
        <v>8000</v>
      </c>
      <c r="AX35">
        <v>8000</v>
      </c>
      <c r="AY35">
        <v>8000</v>
      </c>
      <c r="AZ35">
        <v>8700</v>
      </c>
      <c r="BA35">
        <v>8700</v>
      </c>
      <c r="BB35">
        <v>8700</v>
      </c>
      <c r="BC35">
        <v>29700</v>
      </c>
      <c r="BD35">
        <v>35000</v>
      </c>
      <c r="BE35">
        <v>36100</v>
      </c>
      <c r="BF35">
        <v>36100</v>
      </c>
      <c r="BG35">
        <v>30700</v>
      </c>
      <c r="BH35">
        <v>34425</v>
      </c>
      <c r="BI35">
        <v>35114</v>
      </c>
      <c r="BJ35">
        <v>40859</v>
      </c>
      <c r="BK35">
        <v>36365</v>
      </c>
      <c r="BL35">
        <v>45456</v>
      </c>
      <c r="BM35">
        <v>49092</v>
      </c>
      <c r="BN35">
        <v>51056</v>
      </c>
      <c r="BO35">
        <v>53609</v>
      </c>
      <c r="BP35">
        <v>52805</v>
      </c>
      <c r="BQ35">
        <v>49056</v>
      </c>
      <c r="BR35">
        <v>181537.37169999999</v>
      </c>
      <c r="BS35">
        <v>226153.12659999999</v>
      </c>
      <c r="BT35">
        <v>193405</v>
      </c>
      <c r="BU35">
        <v>207996</v>
      </c>
      <c r="BV35">
        <v>302160</v>
      </c>
      <c r="BW35">
        <v>162864</v>
      </c>
      <c r="BX35">
        <v>224101</v>
      </c>
      <c r="BY35">
        <v>254643</v>
      </c>
      <c r="BZ35">
        <v>275849</v>
      </c>
      <c r="CA35">
        <v>276092</v>
      </c>
      <c r="CD35" s="29">
        <v>2002</v>
      </c>
      <c r="CE35" s="29" t="str" cm="1">
        <f t="array" ref="CE35">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35">
        <f>COUNTIF(Tabla1[Year],'Set Datos'!CD35)</f>
        <v>55</v>
      </c>
      <c r="CG35">
        <f>SUMIF(Tabla1[Year],Tabla2[[#This Row],[Year]],Tabla1[Aboard])</f>
        <v>1715</v>
      </c>
      <c r="CH35">
        <f>SUMIF(Tabla1[Year],'Set Datos'!CD35,Tabla1[Fatalities])</f>
        <v>1371</v>
      </c>
      <c r="CI35" s="52">
        <f>Tabla2[[#This Row],[Fatalities]]/Tabla2[[#This Row],[Aboard]]</f>
        <v>0.79941690962099121</v>
      </c>
      <c r="CJ35">
        <f>SUBTOTAL(109,Tabla4[2002])</f>
        <v>12087880669</v>
      </c>
      <c r="CK35" s="47">
        <f>Tabla2[[#This Row],[Fatalities]]/Tabla2[[#This Row],[Passengers carried]]</f>
        <v>1.1341938570886136E-7</v>
      </c>
    </row>
    <row r="36" spans="2:89" x14ac:dyDescent="0.3">
      <c r="B36" s="9">
        <v>34</v>
      </c>
      <c r="C36" s="49">
        <v>7582</v>
      </c>
      <c r="D36" s="55">
        <f>YEAR(Tabla1[[#This Row],[Date]])</f>
        <v>1920</v>
      </c>
      <c r="E36" s="9" t="str" cm="1">
        <f t="array" ref="E36">IFERROR(_xlfn.IFS(AND(D36&lt;1980,D36&gt;=1970),"70",AND(D36&lt;1990,D36&gt;=1980),"80",AND(D36&lt;2000,D36&gt;=1990),"90",AND(D36&lt;2010,D36&gt;=2000),"00",AND(D36&lt;=2019,D36&gt;=2010),"10"),"1908-1970")</f>
        <v>1908-1970</v>
      </c>
      <c r="F36" s="3" t="s">
        <v>28931</v>
      </c>
      <c r="G36" t="s">
        <v>5130</v>
      </c>
      <c r="H36" t="s">
        <v>5096</v>
      </c>
      <c r="I36" t="s">
        <v>28931</v>
      </c>
      <c r="J36" t="s">
        <v>28931</v>
      </c>
      <c r="K36" t="s">
        <v>5097</v>
      </c>
      <c r="L36" s="7">
        <v>65</v>
      </c>
      <c r="M36" t="s">
        <v>28931</v>
      </c>
      <c r="N36">
        <v>1</v>
      </c>
      <c r="O36">
        <v>0</v>
      </c>
      <c r="P36">
        <v>1</v>
      </c>
      <c r="Q36">
        <v>1</v>
      </c>
      <c r="R36">
        <v>0</v>
      </c>
      <c r="S36">
        <v>1</v>
      </c>
      <c r="T36">
        <v>0</v>
      </c>
      <c r="U36" t="s">
        <v>5131</v>
      </c>
      <c r="V36">
        <f>Tabla1[[#This Row],[Aboard]]-Tabla1[[#This Row],[Fatalities]]</f>
        <v>0</v>
      </c>
      <c r="W36" s="50">
        <f>IFERROR(Tabla1[[#This Row],[Fatalities]]/Tabla1[[#This Row],[Aboard]],0)</f>
        <v>1</v>
      </c>
      <c r="X36" s="51" t="str" cm="1">
        <f t="array" ref="X36">_xlfn.IFS(Tabla1[[#This Row],[Porcentaje de muertes]]&lt;0.35,"LEVE",AND(Tabla1[[#This Row],[Porcentaje de muertes]]&gt;0.35,Tabla1[[#This Row],[Porcentaje de muertes]]&lt;0.65),"MEDIO",Tabla1[[#This Row],[Porcentaje de muertes]]&gt;0.65,"GRAVE")</f>
        <v>GRAVE</v>
      </c>
      <c r="AB36" t="s">
        <v>28424</v>
      </c>
      <c r="AC36" t="s">
        <v>28425</v>
      </c>
      <c r="AD36" t="s">
        <v>28966</v>
      </c>
      <c r="AE36" t="s">
        <v>28966</v>
      </c>
      <c r="AF36" t="s">
        <v>28966</v>
      </c>
      <c r="AG36" t="s">
        <v>28966</v>
      </c>
      <c r="AH36" t="s">
        <v>28966</v>
      </c>
      <c r="AI36" t="s">
        <v>28966</v>
      </c>
      <c r="AJ36" t="s">
        <v>28966</v>
      </c>
      <c r="AK36" t="s">
        <v>28966</v>
      </c>
      <c r="AL36" t="s">
        <v>28966</v>
      </c>
      <c r="AM36">
        <v>10400</v>
      </c>
      <c r="AN36">
        <v>39000</v>
      </c>
      <c r="AO36">
        <v>50000</v>
      </c>
      <c r="AP36">
        <v>46700</v>
      </c>
      <c r="AQ36">
        <v>50300</v>
      </c>
      <c r="AR36">
        <v>54500</v>
      </c>
      <c r="AS36">
        <v>58900</v>
      </c>
      <c r="AT36">
        <v>54000</v>
      </c>
      <c r="AU36">
        <v>60100</v>
      </c>
      <c r="AV36">
        <v>57700</v>
      </c>
      <c r="AW36">
        <v>82100</v>
      </c>
      <c r="AX36">
        <v>101300</v>
      </c>
      <c r="AY36">
        <v>102300</v>
      </c>
      <c r="AZ36">
        <v>111200</v>
      </c>
      <c r="BA36">
        <v>122600</v>
      </c>
      <c r="BB36">
        <v>100500</v>
      </c>
      <c r="BC36">
        <v>99900</v>
      </c>
      <c r="BD36">
        <v>104000</v>
      </c>
      <c r="BE36">
        <v>116400</v>
      </c>
      <c r="BF36">
        <v>123700</v>
      </c>
      <c r="BG36">
        <v>144100</v>
      </c>
      <c r="BH36">
        <v>163909</v>
      </c>
      <c r="BI36">
        <v>169526</v>
      </c>
      <c r="BJ36">
        <v>179041</v>
      </c>
      <c r="BK36">
        <v>188842</v>
      </c>
      <c r="BL36">
        <v>212951</v>
      </c>
      <c r="BM36">
        <v>229987</v>
      </c>
      <c r="BN36">
        <v>213587</v>
      </c>
      <c r="BO36">
        <v>227624</v>
      </c>
      <c r="BP36">
        <v>236182</v>
      </c>
      <c r="BQ36">
        <v>233515</v>
      </c>
      <c r="BR36">
        <v>290195</v>
      </c>
      <c r="BS36">
        <v>415864.08439999999</v>
      </c>
      <c r="BT36">
        <v>415130.02100000001</v>
      </c>
      <c r="BU36">
        <v>270996</v>
      </c>
      <c r="BV36">
        <v>205992</v>
      </c>
      <c r="BW36">
        <v>226549</v>
      </c>
      <c r="BX36">
        <v>254396</v>
      </c>
      <c r="BY36">
        <v>223673</v>
      </c>
      <c r="BZ36">
        <v>253417</v>
      </c>
      <c r="CA36">
        <v>299351.99400000001</v>
      </c>
      <c r="CD36" s="29">
        <v>2003</v>
      </c>
      <c r="CE36" s="29" t="str" cm="1">
        <f t="array" ref="CE36">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36">
        <f>COUNTIF(Tabla1[Year],'Set Datos'!CD36)</f>
        <v>62</v>
      </c>
      <c r="CG36">
        <f>SUMIF(Tabla1[Year],Tabla2[[#This Row],[Year]],Tabla1[Aboard])</f>
        <v>1510</v>
      </c>
      <c r="CH36">
        <f>SUMIF(Tabla1[Year],'Set Datos'!CD36,Tabla1[Fatalities])</f>
        <v>1279</v>
      </c>
      <c r="CI36" s="52">
        <f>Tabla2[[#This Row],[Fatalities]]/Tabla2[[#This Row],[Aboard]]</f>
        <v>0.84701986754966885</v>
      </c>
      <c r="CJ36">
        <f>SUBTOTAL(109,Tabla4[2003])</f>
        <v>12448742605</v>
      </c>
      <c r="CK36" s="47">
        <f>Tabla2[[#This Row],[Fatalities]]/Tabla2[[#This Row],[Passengers carried]]</f>
        <v>1.0274130011221323E-7</v>
      </c>
    </row>
    <row r="37" spans="2:89" x14ac:dyDescent="0.3">
      <c r="B37" s="9">
        <v>35</v>
      </c>
      <c r="C37" s="49">
        <v>7395</v>
      </c>
      <c r="D37" s="55">
        <f>YEAR(Tabla1[[#This Row],[Date]])</f>
        <v>1920</v>
      </c>
      <c r="E37" s="9" t="str" cm="1">
        <f t="array" ref="E37">IFERROR(_xlfn.IFS(AND(D37&lt;1980,D37&gt;=1970),"70",AND(D37&lt;1990,D37&gt;=1980),"80",AND(D37&lt;2000,D37&gt;=1990),"90",AND(D37&lt;2010,D37&gt;=2000),"00",AND(D37&lt;=2019,D37&gt;=2010),"10"),"1908-1970")</f>
        <v>1908-1970</v>
      </c>
      <c r="F37" s="3" t="s">
        <v>28931</v>
      </c>
      <c r="G37" t="s">
        <v>5132</v>
      </c>
      <c r="H37" t="s">
        <v>5096</v>
      </c>
      <c r="I37" t="s">
        <v>28931</v>
      </c>
      <c r="J37" t="s">
        <v>5133</v>
      </c>
      <c r="K37" t="s">
        <v>5097</v>
      </c>
      <c r="L37" s="7">
        <v>72</v>
      </c>
      <c r="M37" t="s">
        <v>28931</v>
      </c>
      <c r="N37">
        <v>1</v>
      </c>
      <c r="O37">
        <v>0</v>
      </c>
      <c r="P37">
        <v>1</v>
      </c>
      <c r="Q37">
        <v>1</v>
      </c>
      <c r="R37">
        <v>0</v>
      </c>
      <c r="S37">
        <v>1</v>
      </c>
      <c r="T37">
        <v>0</v>
      </c>
      <c r="U37" t="s">
        <v>5134</v>
      </c>
      <c r="V37">
        <f>Tabla1[[#This Row],[Aboard]]-Tabla1[[#This Row],[Fatalities]]</f>
        <v>0</v>
      </c>
      <c r="W37" s="50">
        <f>IFERROR(Tabla1[[#This Row],[Fatalities]]/Tabla1[[#This Row],[Aboard]],0)</f>
        <v>1</v>
      </c>
      <c r="X37" s="51" t="str" cm="1">
        <f t="array" ref="X37">_xlfn.IFS(Tabla1[[#This Row],[Porcentaje de muertes]]&lt;0.35,"LEVE",AND(Tabla1[[#This Row],[Porcentaje de muertes]]&gt;0.35,Tabla1[[#This Row],[Porcentaje de muertes]]&lt;0.65),"MEDIO",Tabla1[[#This Row],[Porcentaje de muertes]]&gt;0.65,"GRAVE")</f>
        <v>GRAVE</v>
      </c>
      <c r="AB37" t="s">
        <v>28426</v>
      </c>
      <c r="AC37" t="s">
        <v>28427</v>
      </c>
      <c r="AD37">
        <v>69500</v>
      </c>
      <c r="AE37">
        <v>71800</v>
      </c>
      <c r="AF37">
        <v>68900</v>
      </c>
      <c r="AG37">
        <v>74100</v>
      </c>
      <c r="AH37">
        <v>79500</v>
      </c>
      <c r="AI37">
        <v>88000</v>
      </c>
      <c r="AJ37">
        <v>98400</v>
      </c>
      <c r="AK37">
        <v>103400</v>
      </c>
      <c r="AL37">
        <v>117200</v>
      </c>
      <c r="AM37">
        <v>122300</v>
      </c>
      <c r="AN37">
        <v>136100</v>
      </c>
      <c r="AO37">
        <v>129100</v>
      </c>
      <c r="AP37">
        <v>112300</v>
      </c>
      <c r="AQ37">
        <v>114400</v>
      </c>
      <c r="AR37">
        <v>117700</v>
      </c>
      <c r="AS37">
        <v>123500</v>
      </c>
      <c r="AT37">
        <v>128400</v>
      </c>
      <c r="AU37">
        <v>122100</v>
      </c>
      <c r="AV37">
        <v>123700</v>
      </c>
      <c r="AW37">
        <v>128000</v>
      </c>
      <c r="AX37">
        <v>130300</v>
      </c>
      <c r="AY37">
        <v>120300</v>
      </c>
      <c r="AZ37">
        <v>66300</v>
      </c>
      <c r="BA37">
        <v>68200</v>
      </c>
      <c r="BB37">
        <v>69200</v>
      </c>
      <c r="BC37">
        <v>74100</v>
      </c>
      <c r="BD37">
        <v>75100</v>
      </c>
      <c r="BE37">
        <v>85500</v>
      </c>
      <c r="BF37">
        <v>90500</v>
      </c>
      <c r="BG37">
        <v>83900</v>
      </c>
      <c r="BH37">
        <v>77273</v>
      </c>
      <c r="BI37">
        <v>46364</v>
      </c>
      <c r="BJ37" t="s">
        <v>28966</v>
      </c>
      <c r="BK37" t="s">
        <v>28966</v>
      </c>
      <c r="BL37" t="s">
        <v>28966</v>
      </c>
      <c r="BM37" t="s">
        <v>28966</v>
      </c>
      <c r="BN37" t="s">
        <v>28966</v>
      </c>
      <c r="BO37" t="s">
        <v>28966</v>
      </c>
      <c r="BP37" t="s">
        <v>28966</v>
      </c>
      <c r="BQ37" t="s">
        <v>28966</v>
      </c>
      <c r="BR37" t="s">
        <v>28966</v>
      </c>
      <c r="BS37" t="s">
        <v>28966</v>
      </c>
      <c r="BT37" t="s">
        <v>28966</v>
      </c>
      <c r="BU37" t="s">
        <v>28966</v>
      </c>
      <c r="BV37" t="s">
        <v>28966</v>
      </c>
      <c r="BW37" t="s">
        <v>28966</v>
      </c>
      <c r="BX37" t="s">
        <v>28966</v>
      </c>
      <c r="BY37" t="s">
        <v>28966</v>
      </c>
      <c r="BZ37" t="s">
        <v>28966</v>
      </c>
      <c r="CA37" t="s">
        <v>28966</v>
      </c>
      <c r="CD37" s="29">
        <v>2004</v>
      </c>
      <c r="CE37" s="29" t="str" cm="1">
        <f t="array" ref="CE37">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37">
        <f>COUNTIF(Tabla1[Year],'Set Datos'!CD37)</f>
        <v>46</v>
      </c>
      <c r="CG37">
        <f>SUMIF(Tabla1[Year],Tabla2[[#This Row],[Year]],Tabla1[Aboard])</f>
        <v>877</v>
      </c>
      <c r="CH37">
        <f>SUMIF(Tabla1[Year],'Set Datos'!CD37,Tabla1[Fatalities])</f>
        <v>662</v>
      </c>
      <c r="CI37" s="52">
        <f>Tabla2[[#This Row],[Fatalities]]/Tabla2[[#This Row],[Aboard]]</f>
        <v>0.75484606613454963</v>
      </c>
      <c r="CJ37">
        <f>SUBTOTAL(109,Tabla4[2004])</f>
        <v>14234466150</v>
      </c>
      <c r="CK37" s="47">
        <f>Tabla2[[#This Row],[Fatalities]]/Tabla2[[#This Row],[Passengers carried]]</f>
        <v>4.6506837209346276E-8</v>
      </c>
    </row>
    <row r="38" spans="2:89" x14ac:dyDescent="0.3">
      <c r="B38" s="9">
        <v>36</v>
      </c>
      <c r="C38" s="49">
        <v>7583</v>
      </c>
      <c r="D38" s="55">
        <f>YEAR(Tabla1[[#This Row],[Date]])</f>
        <v>1920</v>
      </c>
      <c r="E38" s="9" t="str" cm="1">
        <f t="array" ref="E38">IFERROR(_xlfn.IFS(AND(D38&lt;1980,D38&gt;=1970),"70",AND(D38&lt;1990,D38&gt;=1980),"80",AND(D38&lt;2000,D38&gt;=1990),"90",AND(D38&lt;2010,D38&gt;=2000),"00",AND(D38&lt;=2019,D38&gt;=2010),"10"),"1908-1970")</f>
        <v>1908-1970</v>
      </c>
      <c r="F38" s="3" t="s">
        <v>28931</v>
      </c>
      <c r="G38" t="s">
        <v>5132</v>
      </c>
      <c r="H38" t="s">
        <v>5096</v>
      </c>
      <c r="I38" t="s">
        <v>28931</v>
      </c>
      <c r="J38" t="s">
        <v>28931</v>
      </c>
      <c r="K38" t="s">
        <v>5116</v>
      </c>
      <c r="L38" s="7">
        <v>49</v>
      </c>
      <c r="M38" t="s">
        <v>28931</v>
      </c>
      <c r="N38">
        <v>2</v>
      </c>
      <c r="O38">
        <v>1</v>
      </c>
      <c r="P38">
        <v>1</v>
      </c>
      <c r="Q38">
        <v>1</v>
      </c>
      <c r="R38">
        <v>0</v>
      </c>
      <c r="S38">
        <v>1</v>
      </c>
      <c r="T38">
        <v>0</v>
      </c>
      <c r="U38" t="s">
        <v>5135</v>
      </c>
      <c r="V38">
        <f>Tabla1[[#This Row],[Aboard]]-Tabla1[[#This Row],[Fatalities]]</f>
        <v>1</v>
      </c>
      <c r="W38" s="50">
        <f>IFERROR(Tabla1[[#This Row],[Fatalities]]/Tabla1[[#This Row],[Aboard]],0)</f>
        <v>0.5</v>
      </c>
      <c r="X38" s="51" t="str" cm="1">
        <f t="array" ref="X38">_xlfn.IFS(Tabla1[[#This Row],[Porcentaje de muertes]]&lt;0.35,"LEVE",AND(Tabla1[[#This Row],[Porcentaje de muertes]]&gt;0.35,Tabla1[[#This Row],[Porcentaje de muertes]]&lt;0.65),"MEDIO",Tabla1[[#This Row],[Porcentaje de muertes]]&gt;0.65,"GRAVE")</f>
        <v>MEDIO</v>
      </c>
      <c r="AB38" t="s">
        <v>28428</v>
      </c>
      <c r="AC38" t="s">
        <v>28429</v>
      </c>
      <c r="AD38">
        <v>10180300</v>
      </c>
      <c r="AE38">
        <v>10247300</v>
      </c>
      <c r="AF38">
        <v>11628500</v>
      </c>
      <c r="AG38">
        <v>14626800</v>
      </c>
      <c r="AH38">
        <v>16367500</v>
      </c>
      <c r="AI38">
        <v>16712900</v>
      </c>
      <c r="AJ38">
        <v>16833100</v>
      </c>
      <c r="AK38">
        <v>17466400</v>
      </c>
      <c r="AL38">
        <v>18472000</v>
      </c>
      <c r="AM38">
        <v>20846400</v>
      </c>
      <c r="AN38">
        <v>22453000</v>
      </c>
      <c r="AO38">
        <v>22097100</v>
      </c>
      <c r="AP38">
        <v>19653800</v>
      </c>
      <c r="AQ38">
        <v>18107900</v>
      </c>
      <c r="AR38">
        <v>19382600</v>
      </c>
      <c r="AS38">
        <v>19688400</v>
      </c>
      <c r="AT38">
        <v>20378500</v>
      </c>
      <c r="AU38">
        <v>19946500</v>
      </c>
      <c r="AV38">
        <v>22379400</v>
      </c>
      <c r="AW38">
        <v>21273800</v>
      </c>
      <c r="AX38">
        <v>20601400</v>
      </c>
      <c r="AY38">
        <v>16586500</v>
      </c>
      <c r="AZ38">
        <v>16818300</v>
      </c>
      <c r="BA38">
        <v>17516500</v>
      </c>
      <c r="BB38">
        <v>18104800</v>
      </c>
      <c r="BC38">
        <v>20291100</v>
      </c>
      <c r="BD38">
        <v>22856000</v>
      </c>
      <c r="BE38">
        <v>23981500</v>
      </c>
      <c r="BF38">
        <v>24653300</v>
      </c>
      <c r="BG38">
        <v>24602000</v>
      </c>
      <c r="BH38">
        <v>41767974</v>
      </c>
      <c r="BI38">
        <v>40451914</v>
      </c>
      <c r="BJ38">
        <v>23323029</v>
      </c>
      <c r="BK38">
        <v>35884417</v>
      </c>
      <c r="BL38">
        <v>40701307</v>
      </c>
      <c r="BM38">
        <v>45229860</v>
      </c>
      <c r="BN38">
        <v>46726978</v>
      </c>
      <c r="BO38">
        <v>52103547</v>
      </c>
      <c r="BP38">
        <v>53718757</v>
      </c>
      <c r="BQ38">
        <v>52583516</v>
      </c>
      <c r="BR38">
        <v>63277409.380000003</v>
      </c>
      <c r="BS38">
        <v>66078011.950000003</v>
      </c>
      <c r="BT38">
        <v>70467400.790000007</v>
      </c>
      <c r="BU38">
        <v>71526725.920000002</v>
      </c>
      <c r="BV38">
        <v>75528607</v>
      </c>
      <c r="BW38">
        <v>80228302</v>
      </c>
      <c r="BX38">
        <v>85406425</v>
      </c>
      <c r="BY38">
        <v>91404001</v>
      </c>
      <c r="BZ38">
        <v>91504000</v>
      </c>
      <c r="CA38">
        <v>93352000</v>
      </c>
      <c r="CD38" s="29">
        <v>2005</v>
      </c>
      <c r="CE38" s="29" t="str" cm="1">
        <f t="array" ref="CE38">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38">
        <f>COUNTIF(Tabla1[Year],'Set Datos'!CD38)</f>
        <v>45</v>
      </c>
      <c r="CG38">
        <f>SUMIF(Tabla1[Year],Tabla2[[#This Row],[Year]],Tabla1[Aboard])</f>
        <v>2151</v>
      </c>
      <c r="CH38">
        <f>SUMIF(Tabla1[Year],'Set Datos'!CD38,Tabla1[Fatalities])</f>
        <v>1294</v>
      </c>
      <c r="CI38" s="52">
        <f>Tabla2[[#This Row],[Fatalities]]/Tabla2[[#This Row],[Aboard]]</f>
        <v>0.60158066015806599</v>
      </c>
      <c r="CJ38">
        <f>SUBTOTAL(109,Tabla4[2005])</f>
        <v>14948161657</v>
      </c>
      <c r="CK38" s="47">
        <f>Tabla2[[#This Row],[Fatalities]]/Tabla2[[#This Row],[Passengers carried]]</f>
        <v>8.6565828607696331E-8</v>
      </c>
    </row>
    <row r="39" spans="2:89" x14ac:dyDescent="0.3">
      <c r="B39" s="9">
        <v>37</v>
      </c>
      <c r="C39" s="49">
        <v>7614</v>
      </c>
      <c r="D39" s="55">
        <f>YEAR(Tabla1[[#This Row],[Date]])</f>
        <v>1920</v>
      </c>
      <c r="E39" s="9" t="str" cm="1">
        <f t="array" ref="E39">IFERROR(_xlfn.IFS(AND(D39&lt;1980,D39&gt;=1970),"70",AND(D39&lt;1990,D39&gt;=1980),"80",AND(D39&lt;2000,D39&gt;=1990),"90",AND(D39&lt;2010,D39&gt;=2000),"00",AND(D39&lt;=2019,D39&gt;=2010),"10"),"1908-1970")</f>
        <v>1908-1970</v>
      </c>
      <c r="F39" s="3" t="s">
        <v>28931</v>
      </c>
      <c r="G39" t="s">
        <v>5136</v>
      </c>
      <c r="H39" t="s">
        <v>5096</v>
      </c>
      <c r="I39" t="s">
        <v>28931</v>
      </c>
      <c r="J39" t="s">
        <v>28931</v>
      </c>
      <c r="K39" t="s">
        <v>5137</v>
      </c>
      <c r="L39" s="7">
        <v>44</v>
      </c>
      <c r="M39" t="s">
        <v>28931</v>
      </c>
      <c r="N39">
        <v>2</v>
      </c>
      <c r="O39">
        <v>1</v>
      </c>
      <c r="P39">
        <v>1</v>
      </c>
      <c r="Q39">
        <v>1</v>
      </c>
      <c r="R39">
        <v>0</v>
      </c>
      <c r="S39">
        <v>1</v>
      </c>
      <c r="T39">
        <v>0</v>
      </c>
      <c r="U39" t="s">
        <v>5138</v>
      </c>
      <c r="V39">
        <f>Tabla1[[#This Row],[Aboard]]-Tabla1[[#This Row],[Fatalities]]</f>
        <v>1</v>
      </c>
      <c r="W39" s="50">
        <f>IFERROR(Tabla1[[#This Row],[Fatalities]]/Tabla1[[#This Row],[Aboard]],0)</f>
        <v>0.5</v>
      </c>
      <c r="X39" s="51" t="str" cm="1">
        <f t="array" ref="X39">_xlfn.IFS(Tabla1[[#This Row],[Porcentaje de muertes]]&lt;0.35,"LEVE",AND(Tabla1[[#This Row],[Porcentaje de muertes]]&gt;0.35,Tabla1[[#This Row],[Porcentaje de muertes]]&lt;0.65),"MEDIO",Tabla1[[#This Row],[Porcentaje de muertes]]&gt;0.65,"GRAVE")</f>
        <v>MEDIO</v>
      </c>
      <c r="AB39" t="s">
        <v>28430</v>
      </c>
      <c r="AC39" t="s">
        <v>28431</v>
      </c>
      <c r="AD39">
        <v>3799600</v>
      </c>
      <c r="AE39">
        <v>3806500</v>
      </c>
      <c r="AF39">
        <v>4411500</v>
      </c>
      <c r="AG39">
        <v>4884800</v>
      </c>
      <c r="AH39">
        <v>4862400</v>
      </c>
      <c r="AI39">
        <v>5252700</v>
      </c>
      <c r="AJ39">
        <v>5839000</v>
      </c>
      <c r="AK39">
        <v>6213400</v>
      </c>
      <c r="AL39">
        <v>6626200</v>
      </c>
      <c r="AM39">
        <v>7313900</v>
      </c>
      <c r="AN39">
        <v>6945200</v>
      </c>
      <c r="AO39">
        <v>6431500</v>
      </c>
      <c r="AP39">
        <v>5223200</v>
      </c>
      <c r="AQ39">
        <v>5941300</v>
      </c>
      <c r="AR39">
        <v>6658500</v>
      </c>
      <c r="AS39">
        <v>6989200</v>
      </c>
      <c r="AT39">
        <v>6920800</v>
      </c>
      <c r="AU39">
        <v>7246800</v>
      </c>
      <c r="AV39">
        <v>7416500</v>
      </c>
      <c r="AW39">
        <v>7661800</v>
      </c>
      <c r="AX39">
        <v>7188800</v>
      </c>
      <c r="AY39">
        <v>4707300</v>
      </c>
      <c r="AZ39">
        <v>6010600</v>
      </c>
      <c r="BA39">
        <v>6537200</v>
      </c>
      <c r="BB39">
        <v>7385600</v>
      </c>
      <c r="BC39">
        <v>7324344.0999999996</v>
      </c>
      <c r="BD39">
        <v>8216500</v>
      </c>
      <c r="BE39">
        <v>8745500</v>
      </c>
      <c r="BF39">
        <v>9570400</v>
      </c>
      <c r="BG39">
        <v>9991700</v>
      </c>
      <c r="BH39">
        <v>11117833</v>
      </c>
      <c r="BI39">
        <v>11445703</v>
      </c>
      <c r="BJ39">
        <v>11808082</v>
      </c>
      <c r="BK39">
        <v>14065887</v>
      </c>
      <c r="BL39">
        <v>16768232</v>
      </c>
      <c r="BM39">
        <v>19040472</v>
      </c>
      <c r="BN39">
        <v>20221059</v>
      </c>
      <c r="BO39">
        <v>23721701</v>
      </c>
      <c r="BP39">
        <v>25261998</v>
      </c>
      <c r="BQ39">
        <v>24733789</v>
      </c>
      <c r="BR39">
        <v>32710131.379999999</v>
      </c>
      <c r="BS39">
        <v>34477031.590000004</v>
      </c>
      <c r="BT39">
        <v>32490649.469999999</v>
      </c>
      <c r="BU39">
        <v>35246300.75</v>
      </c>
      <c r="BV39">
        <v>37875158.18</v>
      </c>
      <c r="BW39">
        <v>39811670</v>
      </c>
      <c r="BX39">
        <v>42884394</v>
      </c>
      <c r="BY39">
        <v>52125994</v>
      </c>
      <c r="BZ39">
        <v>62622491</v>
      </c>
      <c r="CA39">
        <v>69934277.299999997</v>
      </c>
      <c r="CD39" s="29">
        <v>2006</v>
      </c>
      <c r="CE39" s="29" t="str" cm="1">
        <f t="array" ref="CE39">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39">
        <f>COUNTIF(Tabla1[Year],'Set Datos'!CD39)</f>
        <v>38</v>
      </c>
      <c r="CG39">
        <f>SUMIF(Tabla1[Year],Tabla2[[#This Row],[Year]],Tabla1[Aboard])</f>
        <v>1374</v>
      </c>
      <c r="CH39">
        <f>SUMIF(Tabla1[Year],'Set Datos'!CD39,Tabla1[Fatalities])</f>
        <v>1118</v>
      </c>
      <c r="CI39" s="52">
        <f>Tabla2[[#This Row],[Fatalities]]/Tabla2[[#This Row],[Aboard]]</f>
        <v>0.81368267831149932</v>
      </c>
      <c r="CJ39">
        <f>SUBTOTAL(109,Tabla4[2006])</f>
        <v>15873061190</v>
      </c>
      <c r="CK39" s="47">
        <f>Tabla2[[#This Row],[Fatalities]]/Tabla2[[#This Row],[Passengers carried]]</f>
        <v>7.0433798913617111E-8</v>
      </c>
    </row>
    <row r="40" spans="2:89" x14ac:dyDescent="0.3">
      <c r="B40" s="9">
        <v>38</v>
      </c>
      <c r="C40" s="49">
        <v>7645</v>
      </c>
      <c r="D40" s="55">
        <f>YEAR(Tabla1[[#This Row],[Date]])</f>
        <v>1920</v>
      </c>
      <c r="E40" s="9" t="str" cm="1">
        <f t="array" ref="E40">IFERROR(_xlfn.IFS(AND(D40&lt;1980,D40&gt;=1970),"70",AND(D40&lt;1990,D40&gt;=1980),"80",AND(D40&lt;2000,D40&gt;=1990),"90",AND(D40&lt;2010,D40&gt;=2000),"00",AND(D40&lt;=2019,D40&gt;=2010),"10"),"1908-1970")</f>
        <v>1908-1970</v>
      </c>
      <c r="F40" s="3" t="s">
        <v>28931</v>
      </c>
      <c r="G40" t="s">
        <v>5139</v>
      </c>
      <c r="H40" t="s">
        <v>5096</v>
      </c>
      <c r="I40" t="s">
        <v>28931</v>
      </c>
      <c r="J40" t="s">
        <v>28931</v>
      </c>
      <c r="K40" t="s">
        <v>5097</v>
      </c>
      <c r="L40" s="7">
        <v>79</v>
      </c>
      <c r="M40" t="s">
        <v>28931</v>
      </c>
      <c r="N40">
        <v>2</v>
      </c>
      <c r="O40">
        <v>1</v>
      </c>
      <c r="P40">
        <v>1</v>
      </c>
      <c r="Q40">
        <v>1</v>
      </c>
      <c r="R40">
        <v>1</v>
      </c>
      <c r="S40">
        <v>0</v>
      </c>
      <c r="T40">
        <v>0</v>
      </c>
      <c r="U40" t="s">
        <v>5140</v>
      </c>
      <c r="V40">
        <f>Tabla1[[#This Row],[Aboard]]-Tabla1[[#This Row],[Fatalities]]</f>
        <v>1</v>
      </c>
      <c r="W40" s="50">
        <f>IFERROR(Tabla1[[#This Row],[Fatalities]]/Tabla1[[#This Row],[Aboard]],0)</f>
        <v>0.5</v>
      </c>
      <c r="X40" s="51" t="str" cm="1">
        <f t="array" ref="X40">_xlfn.IFS(Tabla1[[#This Row],[Porcentaje de muertes]]&lt;0.35,"LEVE",AND(Tabla1[[#This Row],[Porcentaje de muertes]]&gt;0.35,Tabla1[[#This Row],[Porcentaje de muertes]]&lt;0.65),"MEDIO",Tabla1[[#This Row],[Porcentaje de muertes]]&gt;0.65,"GRAVE")</f>
        <v>MEDIO</v>
      </c>
      <c r="AB40" t="s">
        <v>28432</v>
      </c>
      <c r="AC40" t="s">
        <v>28433</v>
      </c>
      <c r="AD40">
        <v>3397400</v>
      </c>
      <c r="AE40">
        <v>3926200</v>
      </c>
      <c r="AF40">
        <v>4054100</v>
      </c>
      <c r="AG40">
        <v>4514400</v>
      </c>
      <c r="AH40">
        <v>4575000</v>
      </c>
      <c r="AI40">
        <v>4691800</v>
      </c>
      <c r="AJ40">
        <v>5084900</v>
      </c>
      <c r="AK40">
        <v>5437100</v>
      </c>
      <c r="AL40">
        <v>5686800</v>
      </c>
      <c r="AM40">
        <v>5887400</v>
      </c>
      <c r="AN40">
        <v>5930100</v>
      </c>
      <c r="AO40">
        <v>6220600</v>
      </c>
      <c r="AP40">
        <v>6252200</v>
      </c>
      <c r="AQ40">
        <v>6266800</v>
      </c>
      <c r="AR40">
        <v>6254500</v>
      </c>
      <c r="AS40">
        <v>6506200</v>
      </c>
      <c r="AT40">
        <v>6707800</v>
      </c>
      <c r="AU40">
        <v>7213900</v>
      </c>
      <c r="AV40">
        <v>7483500</v>
      </c>
      <c r="AW40">
        <v>8229500</v>
      </c>
      <c r="AX40">
        <v>8603400</v>
      </c>
      <c r="AY40">
        <v>7973600</v>
      </c>
      <c r="AZ40">
        <v>8255700</v>
      </c>
      <c r="BA40">
        <v>9152000</v>
      </c>
      <c r="BB40">
        <v>9338200</v>
      </c>
      <c r="BC40">
        <v>9859000</v>
      </c>
      <c r="BD40">
        <v>10468300</v>
      </c>
      <c r="BE40">
        <v>12481600</v>
      </c>
      <c r="BF40">
        <v>14298900</v>
      </c>
      <c r="BG40">
        <v>16209000</v>
      </c>
      <c r="BH40">
        <v>17268093</v>
      </c>
      <c r="BI40">
        <v>16914823</v>
      </c>
      <c r="BJ40">
        <v>13295500</v>
      </c>
      <c r="BK40">
        <v>10118096</v>
      </c>
      <c r="BL40">
        <v>9287315</v>
      </c>
      <c r="BM40">
        <v>9662619</v>
      </c>
      <c r="BN40">
        <v>10647142</v>
      </c>
      <c r="BO40">
        <v>12298456</v>
      </c>
      <c r="BP40">
        <v>14352757</v>
      </c>
      <c r="BQ40">
        <v>14701206</v>
      </c>
      <c r="BR40">
        <v>22146864</v>
      </c>
      <c r="BS40">
        <v>24866065</v>
      </c>
      <c r="BT40">
        <v>26386306.600000001</v>
      </c>
      <c r="BU40">
        <v>27503416</v>
      </c>
      <c r="BV40">
        <v>27923164</v>
      </c>
      <c r="BW40">
        <v>27011762</v>
      </c>
      <c r="BX40">
        <v>25859918</v>
      </c>
      <c r="BY40">
        <v>26732570</v>
      </c>
      <c r="BZ40">
        <v>28857994</v>
      </c>
      <c r="CA40">
        <v>30339654</v>
      </c>
      <c r="CD40" s="29">
        <v>2007</v>
      </c>
      <c r="CE40" s="29" t="str" cm="1">
        <f t="array" ref="CE40">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40">
        <f>COUNTIF(Tabla1[Year],'Set Datos'!CD40)</f>
        <v>42</v>
      </c>
      <c r="CG40">
        <f>SUMIF(Tabla1[Year],Tabla2[[#This Row],[Year]],Tabla1[Aboard])</f>
        <v>1445</v>
      </c>
      <c r="CH40">
        <f>SUMIF(Tabla1[Year],'Set Datos'!CD40,Tabla1[Fatalities])</f>
        <v>875</v>
      </c>
      <c r="CI40" s="52">
        <f>Tabla2[[#This Row],[Fatalities]]/Tabla2[[#This Row],[Aboard]]</f>
        <v>0.60553633217993075</v>
      </c>
      <c r="CJ40">
        <f>SUBTOTAL(109,Tabla4[2007])</f>
        <v>17085120274</v>
      </c>
      <c r="CK40" s="47">
        <f>Tabla2[[#This Row],[Fatalities]]/Tabla2[[#This Row],[Passengers carried]]</f>
        <v>5.1214155122546488E-8</v>
      </c>
    </row>
    <row r="41" spans="2:89" x14ac:dyDescent="0.3">
      <c r="B41" s="9">
        <v>39</v>
      </c>
      <c r="C41" s="49">
        <v>7463</v>
      </c>
      <c r="D41" s="55">
        <f>YEAR(Tabla1[[#This Row],[Date]])</f>
        <v>1920</v>
      </c>
      <c r="E41" s="9" t="str" cm="1">
        <f t="array" ref="E41">IFERROR(_xlfn.IFS(AND(D41&lt;1980,D41&gt;=1970),"70",AND(D41&lt;1990,D41&gt;=1980),"80",AND(D41&lt;2000,D41&gt;=1990),"90",AND(D41&lt;2010,D41&gt;=2000),"00",AND(D41&lt;=2019,D41&gt;=2010),"10"),"1908-1970")</f>
        <v>1908-1970</v>
      </c>
      <c r="F41" s="3" t="s">
        <v>28931</v>
      </c>
      <c r="G41" t="s">
        <v>5099</v>
      </c>
      <c r="H41" t="s">
        <v>5096</v>
      </c>
      <c r="I41" t="s">
        <v>28931</v>
      </c>
      <c r="J41" t="s">
        <v>28931</v>
      </c>
      <c r="K41" t="s">
        <v>5097</v>
      </c>
      <c r="L41" s="7">
        <v>204</v>
      </c>
      <c r="M41" t="s">
        <v>28931</v>
      </c>
      <c r="N41">
        <v>1</v>
      </c>
      <c r="O41">
        <v>0</v>
      </c>
      <c r="P41">
        <v>1</v>
      </c>
      <c r="Q41">
        <v>1</v>
      </c>
      <c r="R41">
        <v>0</v>
      </c>
      <c r="S41">
        <v>1</v>
      </c>
      <c r="T41">
        <v>0</v>
      </c>
      <c r="U41" t="s">
        <v>5141</v>
      </c>
      <c r="V41">
        <f>Tabla1[[#This Row],[Aboard]]-Tabla1[[#This Row],[Fatalities]]</f>
        <v>0</v>
      </c>
      <c r="W41" s="50">
        <f>IFERROR(Tabla1[[#This Row],[Fatalities]]/Tabla1[[#This Row],[Aboard]],0)</f>
        <v>1</v>
      </c>
      <c r="X41" s="51" t="str" cm="1">
        <f t="array" ref="X41">_xlfn.IFS(Tabla1[[#This Row],[Porcentaje de muertes]]&lt;0.35,"LEVE",AND(Tabla1[[#This Row],[Porcentaje de muertes]]&gt;0.35,Tabla1[[#This Row],[Porcentaje de muertes]]&lt;0.65),"MEDIO",Tabla1[[#This Row],[Porcentaje de muertes]]&gt;0.65,"GRAVE")</f>
        <v>GRAVE</v>
      </c>
      <c r="AB41" t="s">
        <v>28434</v>
      </c>
      <c r="AC41" t="s">
        <v>28435</v>
      </c>
      <c r="AD41" t="s">
        <v>28966</v>
      </c>
      <c r="AE41" t="s">
        <v>28966</v>
      </c>
      <c r="AF41" t="s">
        <v>28966</v>
      </c>
      <c r="AG41" t="s">
        <v>28966</v>
      </c>
      <c r="AH41" t="s">
        <v>28966</v>
      </c>
      <c r="AI41" t="s">
        <v>28966</v>
      </c>
      <c r="AJ41" t="s">
        <v>28966</v>
      </c>
      <c r="AK41" t="s">
        <v>28966</v>
      </c>
      <c r="AL41" t="s">
        <v>28966</v>
      </c>
      <c r="AM41" t="s">
        <v>28966</v>
      </c>
      <c r="AN41" t="s">
        <v>28966</v>
      </c>
      <c r="AO41" t="s">
        <v>28966</v>
      </c>
      <c r="AP41" t="s">
        <v>28966</v>
      </c>
      <c r="AQ41" t="s">
        <v>28966</v>
      </c>
      <c r="AR41" t="s">
        <v>28966</v>
      </c>
      <c r="AS41" t="s">
        <v>28966</v>
      </c>
      <c r="AT41" t="s">
        <v>28966</v>
      </c>
      <c r="AU41" t="s">
        <v>28966</v>
      </c>
      <c r="AV41" t="s">
        <v>28966</v>
      </c>
      <c r="AW41" t="s">
        <v>28966</v>
      </c>
      <c r="AX41" t="s">
        <v>28966</v>
      </c>
      <c r="AY41" t="s">
        <v>28966</v>
      </c>
      <c r="AZ41" t="s">
        <v>28966</v>
      </c>
      <c r="BA41" t="s">
        <v>28966</v>
      </c>
      <c r="BB41" t="s">
        <v>28966</v>
      </c>
      <c r="BC41" t="s">
        <v>28966</v>
      </c>
      <c r="BD41" t="s">
        <v>28966</v>
      </c>
      <c r="BE41" t="s">
        <v>28966</v>
      </c>
      <c r="BF41" t="s">
        <v>28966</v>
      </c>
      <c r="BG41" t="s">
        <v>28966</v>
      </c>
      <c r="BH41" t="s">
        <v>28966</v>
      </c>
      <c r="BI41" t="s">
        <v>28966</v>
      </c>
      <c r="BJ41" t="s">
        <v>28966</v>
      </c>
      <c r="BK41" t="s">
        <v>28966</v>
      </c>
      <c r="BL41" t="s">
        <v>28966</v>
      </c>
      <c r="BM41" t="s">
        <v>28966</v>
      </c>
      <c r="BN41" t="s">
        <v>28966</v>
      </c>
      <c r="BO41" t="s">
        <v>28966</v>
      </c>
      <c r="BP41" t="s">
        <v>28966</v>
      </c>
      <c r="BQ41" t="s">
        <v>28966</v>
      </c>
      <c r="BR41" t="s">
        <v>28966</v>
      </c>
      <c r="BS41" t="s">
        <v>28966</v>
      </c>
      <c r="BT41" t="s">
        <v>28966</v>
      </c>
      <c r="BU41" t="s">
        <v>28966</v>
      </c>
      <c r="BV41" t="s">
        <v>28966</v>
      </c>
      <c r="BW41" t="s">
        <v>28966</v>
      </c>
      <c r="BX41" t="s">
        <v>28966</v>
      </c>
      <c r="BY41" t="s">
        <v>28966</v>
      </c>
      <c r="BZ41" t="s">
        <v>28966</v>
      </c>
      <c r="CA41" t="s">
        <v>28966</v>
      </c>
      <c r="CD41" s="29">
        <v>2008</v>
      </c>
      <c r="CE41" s="29" t="str" cm="1">
        <f t="array" ref="CE41">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41">
        <f>COUNTIF(Tabla1[Year],'Set Datos'!CD41)</f>
        <v>50</v>
      </c>
      <c r="CG41">
        <f>SUMIF(Tabla1[Year],Tabla2[[#This Row],[Year]],Tabla1[Aboard])</f>
        <v>1348</v>
      </c>
      <c r="CH41">
        <f>SUMIF(Tabla1[Year],'Set Datos'!CD41,Tabla1[Fatalities])</f>
        <v>713</v>
      </c>
      <c r="CI41" s="52">
        <f>Tabla2[[#This Row],[Fatalities]]/Tabla2[[#This Row],[Aboard]]</f>
        <v>0.52893175074183973</v>
      </c>
      <c r="CJ41">
        <f>SUBTOTAL(109,Tabla4[2008])</f>
        <v>17241977210</v>
      </c>
      <c r="CK41" s="47">
        <f>Tabla2[[#This Row],[Fatalities]]/Tabla2[[#This Row],[Passengers carried]]</f>
        <v>4.1352565968273892E-8</v>
      </c>
    </row>
    <row r="42" spans="2:89" x14ac:dyDescent="0.3">
      <c r="B42" s="9">
        <v>40</v>
      </c>
      <c r="C42" s="49">
        <v>7507</v>
      </c>
      <c r="D42" s="55">
        <f>YEAR(Tabla1[[#This Row],[Date]])</f>
        <v>1920</v>
      </c>
      <c r="E42" s="9" t="str" cm="1">
        <f t="array" ref="E42">IFERROR(_xlfn.IFS(AND(D42&lt;1980,D42&gt;=1970),"70",AND(D42&lt;1990,D42&gt;=1980),"80",AND(D42&lt;2000,D42&gt;=1990),"90",AND(D42&lt;2010,D42&gt;=2000),"00",AND(D42&lt;=2019,D42&gt;=2010),"10"),"1908-1970")</f>
        <v>1908-1970</v>
      </c>
      <c r="F42" s="3" t="s">
        <v>28931</v>
      </c>
      <c r="G42" t="s">
        <v>5142</v>
      </c>
      <c r="H42" t="s">
        <v>5143</v>
      </c>
      <c r="I42" t="s">
        <v>28931</v>
      </c>
      <c r="J42" t="s">
        <v>28931</v>
      </c>
      <c r="K42" t="s">
        <v>5144</v>
      </c>
      <c r="L42" s="7" t="s">
        <v>28931</v>
      </c>
      <c r="M42" t="s">
        <v>28931</v>
      </c>
      <c r="N42">
        <v>1</v>
      </c>
      <c r="O42">
        <v>1</v>
      </c>
      <c r="P42">
        <v>1</v>
      </c>
      <c r="Q42">
        <v>1</v>
      </c>
      <c r="R42">
        <v>1</v>
      </c>
      <c r="S42">
        <v>1</v>
      </c>
      <c r="T42">
        <v>0</v>
      </c>
      <c r="U42" t="s">
        <v>5145</v>
      </c>
      <c r="V42">
        <f>Tabla1[[#This Row],[Aboard]]-Tabla1[[#This Row],[Fatalities]]</f>
        <v>0</v>
      </c>
      <c r="W42" s="50">
        <f>IFERROR(Tabla1[[#This Row],[Fatalities]]/Tabla1[[#This Row],[Aboard]],0)</f>
        <v>1</v>
      </c>
      <c r="X42" s="51" t="str" cm="1">
        <f t="array" ref="X42">_xlfn.IFS(Tabla1[[#This Row],[Porcentaje de muertes]]&lt;0.35,"LEVE",AND(Tabla1[[#This Row],[Porcentaje de muertes]]&gt;0.35,Tabla1[[#This Row],[Porcentaje de muertes]]&lt;0.65),"MEDIO",Tabla1[[#This Row],[Porcentaje de muertes]]&gt;0.65,"GRAVE")</f>
        <v>GRAVE</v>
      </c>
      <c r="AB42" t="s">
        <v>28436</v>
      </c>
      <c r="AC42" t="s">
        <v>28437</v>
      </c>
      <c r="AD42">
        <v>574700</v>
      </c>
      <c r="AE42">
        <v>690600</v>
      </c>
      <c r="AF42">
        <v>730000</v>
      </c>
      <c r="AG42">
        <v>636200</v>
      </c>
      <c r="AH42">
        <v>505200</v>
      </c>
      <c r="AI42">
        <v>509700</v>
      </c>
      <c r="AJ42">
        <v>489900</v>
      </c>
      <c r="AK42">
        <v>589400</v>
      </c>
      <c r="AL42">
        <v>552700</v>
      </c>
      <c r="AM42">
        <v>558900</v>
      </c>
      <c r="AN42">
        <v>668800</v>
      </c>
      <c r="AO42">
        <v>885700</v>
      </c>
      <c r="AP42">
        <v>822400</v>
      </c>
      <c r="AQ42">
        <v>651900</v>
      </c>
      <c r="AR42">
        <v>730800</v>
      </c>
      <c r="AS42">
        <v>825200</v>
      </c>
      <c r="AT42">
        <v>875200</v>
      </c>
      <c r="AU42">
        <v>992400</v>
      </c>
      <c r="AV42">
        <v>1144100</v>
      </c>
      <c r="AW42">
        <v>1263800</v>
      </c>
      <c r="AX42">
        <v>1363600</v>
      </c>
      <c r="AY42">
        <v>1405900</v>
      </c>
      <c r="AZ42">
        <v>1905800</v>
      </c>
      <c r="BA42">
        <v>2360000</v>
      </c>
      <c r="BB42">
        <v>2961700</v>
      </c>
      <c r="BC42">
        <v>3197200</v>
      </c>
      <c r="BD42">
        <v>3621900</v>
      </c>
      <c r="BE42">
        <v>4610000</v>
      </c>
      <c r="BF42">
        <v>5149800</v>
      </c>
      <c r="BG42">
        <v>5187700</v>
      </c>
      <c r="BH42">
        <v>5174876</v>
      </c>
      <c r="BI42">
        <v>5315623</v>
      </c>
      <c r="BJ42">
        <v>4986727</v>
      </c>
      <c r="BK42">
        <v>5246787</v>
      </c>
      <c r="BL42">
        <v>5463753</v>
      </c>
      <c r="BM42">
        <v>5939020</v>
      </c>
      <c r="BN42">
        <v>6016649</v>
      </c>
      <c r="BO42">
        <v>7190963</v>
      </c>
      <c r="BP42">
        <v>8021939</v>
      </c>
      <c r="BQ42">
        <v>8097314</v>
      </c>
      <c r="BR42">
        <v>9269026</v>
      </c>
      <c r="BS42">
        <v>10949863</v>
      </c>
      <c r="BT42">
        <v>12892856</v>
      </c>
      <c r="BU42">
        <v>13806283</v>
      </c>
      <c r="BV42">
        <v>14347893</v>
      </c>
      <c r="BW42">
        <v>15006762</v>
      </c>
      <c r="BX42">
        <v>16362437</v>
      </c>
      <c r="BY42">
        <v>17664974</v>
      </c>
      <c r="BZ42">
        <v>19517185</v>
      </c>
      <c r="CA42">
        <v>21197759</v>
      </c>
      <c r="CD42" s="29">
        <v>2009</v>
      </c>
      <c r="CE42" s="29" t="str" cm="1">
        <f t="array" ref="CE42">_xlfn.IFS(AND(Tabla2[[#This Row],[Year]]&gt;=1970,Tabla2[[#This Row],[Year]]&lt;1980),"70",AND(Tabla2[[#This Row],[Year]]&gt;=1980,Tabla2[[#This Row],[Year]]&lt;1990),"80",AND(Tabla2[[#This Row],[Year]]&gt;=1990,Tabla2[[#This Row],[Year]]&lt;2000),"90",AND(Tabla2[[#This Row],[Year]]&gt;=2000,Tabla2[[#This Row],[Year]]&lt;2010),"00",AND(Tabla2[[#This Row],[Year]]&gt;=2010,Tabla2[[#This Row],[Year]]&lt;=2019),"10")</f>
        <v>00</v>
      </c>
      <c r="CF42">
        <f>COUNTIF(Tabla1[Year],'Set Datos'!CD42)</f>
        <v>46</v>
      </c>
      <c r="CG42">
        <f>SUMIF(Tabla1[Year],Tabla2[[#This Row],[Year]],Tabla1[Aboard])</f>
        <v>1617</v>
      </c>
      <c r="CH42">
        <f>SUMIF(Tabla1[Year],'Set Datos'!CD42,Tabla1[Fatalities])</f>
        <v>1083</v>
      </c>
      <c r="CI42" s="52">
        <f>Tabla2[[#This Row],[Fatalities]]/Tabla2[[#This Row],[Aboard]]</f>
        <v>0.66975881261595549</v>
      </c>
      <c r="CJ42">
        <f>SUBTOTAL(109,Tabla4[2009])</f>
        <v>17730962299</v>
      </c>
      <c r="CK42" s="47">
        <f>Tabla2[[#This Row],[Fatalities]]/Tabla2[[#This Row],[Passengers carried]]</f>
        <v>6.1079595215262493E-8</v>
      </c>
    </row>
    <row r="43" spans="2:89" x14ac:dyDescent="0.3">
      <c r="B43" s="9">
        <v>41</v>
      </c>
      <c r="C43" s="49">
        <v>7534</v>
      </c>
      <c r="D43" s="55">
        <f>YEAR(Tabla1[[#This Row],[Date]])</f>
        <v>1920</v>
      </c>
      <c r="E43" s="9" t="str" cm="1">
        <f t="array" ref="E43">IFERROR(_xlfn.IFS(AND(D43&lt;1980,D43&gt;=1970),"70",AND(D43&lt;1990,D43&gt;=1980),"80",AND(D43&lt;2000,D43&gt;=1990),"90",AND(D43&lt;2010,D43&gt;=2000),"00",AND(D43&lt;=2019,D43&gt;=2010),"10"),"1908-1970")</f>
        <v>1908-1970</v>
      </c>
      <c r="F43" s="3" t="s">
        <v>28931</v>
      </c>
      <c r="G43" t="s">
        <v>5146</v>
      </c>
      <c r="H43" t="s">
        <v>5147</v>
      </c>
      <c r="I43" t="s">
        <v>28931</v>
      </c>
      <c r="J43" t="s">
        <v>28931</v>
      </c>
      <c r="K43" t="s">
        <v>5148</v>
      </c>
      <c r="L43" s="7" t="s">
        <v>5149</v>
      </c>
      <c r="M43" t="s">
        <v>28931</v>
      </c>
      <c r="N43">
        <v>1</v>
      </c>
      <c r="O43">
        <v>0</v>
      </c>
      <c r="P43">
        <v>1</v>
      </c>
      <c r="Q43">
        <v>1</v>
      </c>
      <c r="R43">
        <v>0</v>
      </c>
      <c r="S43">
        <v>1</v>
      </c>
      <c r="T43">
        <v>0</v>
      </c>
      <c r="U43" t="s">
        <v>5150</v>
      </c>
      <c r="V43">
        <f>Tabla1[[#This Row],[Aboard]]-Tabla1[[#This Row],[Fatalities]]</f>
        <v>0</v>
      </c>
      <c r="W43" s="50">
        <f>IFERROR(Tabla1[[#This Row],[Fatalities]]/Tabla1[[#This Row],[Aboard]],0)</f>
        <v>1</v>
      </c>
      <c r="X43" s="51" t="str" cm="1">
        <f t="array" ref="X43">_xlfn.IFS(Tabla1[[#This Row],[Porcentaje de muertes]]&lt;0.35,"LEVE",AND(Tabla1[[#This Row],[Porcentaje de muertes]]&gt;0.35,Tabla1[[#This Row],[Porcentaje de muertes]]&lt;0.65),"MEDIO",Tabla1[[#This Row],[Porcentaje de muertes]]&gt;0.65,"GRAVE")</f>
        <v>GRAVE</v>
      </c>
      <c r="AB43" t="s">
        <v>8076</v>
      </c>
      <c r="AC43" t="s">
        <v>28438</v>
      </c>
      <c r="AD43" t="s">
        <v>28966</v>
      </c>
      <c r="AE43" t="s">
        <v>28966</v>
      </c>
      <c r="AF43" t="s">
        <v>28966</v>
      </c>
      <c r="AG43" t="s">
        <v>28966</v>
      </c>
      <c r="AH43">
        <v>710000</v>
      </c>
      <c r="AI43">
        <v>1000000</v>
      </c>
      <c r="AJ43">
        <v>1050000</v>
      </c>
      <c r="AK43">
        <v>1110000</v>
      </c>
      <c r="AL43">
        <v>1540000</v>
      </c>
      <c r="AM43">
        <v>2519000</v>
      </c>
      <c r="AN43">
        <v>2568000</v>
      </c>
      <c r="AO43">
        <v>3236000</v>
      </c>
      <c r="AP43">
        <v>3942000</v>
      </c>
      <c r="AQ43">
        <v>3836000</v>
      </c>
      <c r="AR43">
        <v>5000000</v>
      </c>
      <c r="AS43">
        <v>7300000</v>
      </c>
      <c r="AT43">
        <v>10000000</v>
      </c>
      <c r="AU43">
        <v>12500000</v>
      </c>
      <c r="AV43">
        <v>17000000</v>
      </c>
      <c r="AW43">
        <v>11080000</v>
      </c>
      <c r="AX43">
        <v>16596100</v>
      </c>
      <c r="AY43">
        <v>19520000</v>
      </c>
      <c r="AZ43">
        <v>27345000</v>
      </c>
      <c r="BA43">
        <v>31312500</v>
      </c>
      <c r="BB43">
        <v>37601000</v>
      </c>
      <c r="BC43">
        <v>47564500</v>
      </c>
      <c r="BD43">
        <v>51770100</v>
      </c>
      <c r="BE43">
        <v>52277000</v>
      </c>
      <c r="BF43">
        <v>53234000</v>
      </c>
      <c r="BG43">
        <v>55853100</v>
      </c>
      <c r="BH43">
        <v>61891807</v>
      </c>
      <c r="BI43">
        <v>72660653</v>
      </c>
      <c r="BJ43">
        <v>83671798</v>
      </c>
      <c r="BK43">
        <v>86040642</v>
      </c>
      <c r="BL43">
        <v>119789024</v>
      </c>
      <c r="BM43">
        <v>136721623</v>
      </c>
      <c r="BN43">
        <v>158013351</v>
      </c>
      <c r="BO43">
        <v>183613132</v>
      </c>
      <c r="BP43">
        <v>191001220</v>
      </c>
      <c r="BQ43">
        <v>229062099</v>
      </c>
      <c r="BR43">
        <v>266293020</v>
      </c>
      <c r="BS43">
        <v>292160158</v>
      </c>
      <c r="BT43">
        <v>318475924</v>
      </c>
      <c r="BU43">
        <v>352795296</v>
      </c>
      <c r="BV43">
        <v>390878784</v>
      </c>
      <c r="BW43">
        <v>436183969</v>
      </c>
      <c r="BX43">
        <v>487960477</v>
      </c>
      <c r="BY43">
        <v>551234509</v>
      </c>
      <c r="BZ43">
        <v>611439830</v>
      </c>
      <c r="CA43">
        <v>659629070</v>
      </c>
      <c r="CD43" s="29">
        <v>2010</v>
      </c>
      <c r="CE43" s="29" t="str" cm="1">
        <f t="array" ref="CE43">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43">
        <f>COUNTIF(Tabla1[Year],'Set Datos'!CD43)</f>
        <v>39</v>
      </c>
      <c r="CG43">
        <f>SUMIF(Tabla1[Year],Tabla2[[#This Row],[Year]],Tabla1[Aboard])</f>
        <v>1447</v>
      </c>
      <c r="CH43">
        <f>SUMIF(Tabla1[Year],'Set Datos'!CD43,Tabla1[Fatalities])</f>
        <v>1022</v>
      </c>
      <c r="CI43" s="52">
        <f>Tabla2[[#This Row],[Fatalities]]/Tabla2[[#This Row],[Aboard]]</f>
        <v>0.70628887353144432</v>
      </c>
      <c r="CJ43">
        <f>SUBTOTAL(109,Tabla4[2010])</f>
        <v>21192863023.300365</v>
      </c>
      <c r="CK43" s="47">
        <f>Tabla2[[#This Row],[Fatalities]]/Tabla2[[#This Row],[Passengers carried]]</f>
        <v>4.8223781698412727E-8</v>
      </c>
    </row>
    <row r="44" spans="2:89" x14ac:dyDescent="0.3">
      <c r="B44" s="9">
        <v>42</v>
      </c>
      <c r="C44" s="49">
        <v>7534</v>
      </c>
      <c r="D44" s="55">
        <f>YEAR(Tabla1[[#This Row],[Date]])</f>
        <v>1920</v>
      </c>
      <c r="E44" s="9" t="str" cm="1">
        <f t="array" ref="E44">IFERROR(_xlfn.IFS(AND(D44&lt;1980,D44&gt;=1970),"70",AND(D44&lt;1990,D44&gt;=1980),"80",AND(D44&lt;2000,D44&gt;=1990),"90",AND(D44&lt;2010,D44&gt;=2000),"00",AND(D44&lt;=2019,D44&gt;=2010),"10"),"1908-1970")</f>
        <v>1908-1970</v>
      </c>
      <c r="F44" s="3" t="s">
        <v>28931</v>
      </c>
      <c r="G44" t="s">
        <v>5151</v>
      </c>
      <c r="H44" t="s">
        <v>5096</v>
      </c>
      <c r="I44" t="s">
        <v>28931</v>
      </c>
      <c r="J44" t="s">
        <v>28931</v>
      </c>
      <c r="K44" t="s">
        <v>5097</v>
      </c>
      <c r="L44" s="7">
        <v>317</v>
      </c>
      <c r="M44" t="s">
        <v>28931</v>
      </c>
      <c r="N44">
        <v>1</v>
      </c>
      <c r="O44">
        <v>0</v>
      </c>
      <c r="P44">
        <v>1</v>
      </c>
      <c r="Q44">
        <v>1</v>
      </c>
      <c r="R44">
        <v>0</v>
      </c>
      <c r="S44">
        <v>1</v>
      </c>
      <c r="T44">
        <v>0</v>
      </c>
      <c r="U44" t="s">
        <v>5152</v>
      </c>
      <c r="V44">
        <f>Tabla1[[#This Row],[Aboard]]-Tabla1[[#This Row],[Fatalities]]</f>
        <v>0</v>
      </c>
      <c r="W44" s="50">
        <f>IFERROR(Tabla1[[#This Row],[Fatalities]]/Tabla1[[#This Row],[Aboard]],0)</f>
        <v>1</v>
      </c>
      <c r="X44" s="51" t="str" cm="1">
        <f t="array" ref="X44">_xlfn.IFS(Tabla1[[#This Row],[Porcentaje de muertes]]&lt;0.35,"LEVE",AND(Tabla1[[#This Row],[Porcentaje de muertes]]&gt;0.35,Tabla1[[#This Row],[Porcentaje de muertes]]&lt;0.65),"MEDIO",Tabla1[[#This Row],[Porcentaje de muertes]]&gt;0.65,"GRAVE")</f>
        <v>GRAVE</v>
      </c>
      <c r="AB44" t="s">
        <v>28439</v>
      </c>
      <c r="AC44" t="s">
        <v>28440</v>
      </c>
      <c r="AD44">
        <v>108700</v>
      </c>
      <c r="AE44">
        <v>51000</v>
      </c>
      <c r="AF44">
        <v>47900</v>
      </c>
      <c r="AG44">
        <v>51600</v>
      </c>
      <c r="AH44">
        <v>56500</v>
      </c>
      <c r="AI44">
        <v>95000</v>
      </c>
      <c r="AJ44">
        <v>113700</v>
      </c>
      <c r="AK44">
        <v>120400</v>
      </c>
      <c r="AL44">
        <v>132200</v>
      </c>
      <c r="AM44">
        <v>137300</v>
      </c>
      <c r="AN44">
        <v>151100</v>
      </c>
      <c r="AO44">
        <v>379100</v>
      </c>
      <c r="AP44">
        <v>382300</v>
      </c>
      <c r="AQ44">
        <v>388500</v>
      </c>
      <c r="AR44">
        <v>397700</v>
      </c>
      <c r="AS44">
        <v>182700</v>
      </c>
      <c r="AT44">
        <v>184900</v>
      </c>
      <c r="AU44">
        <v>183400</v>
      </c>
      <c r="AV44">
        <v>190700</v>
      </c>
      <c r="AW44">
        <v>218200</v>
      </c>
      <c r="AX44">
        <v>200200</v>
      </c>
      <c r="AY44">
        <v>177700</v>
      </c>
      <c r="AZ44">
        <v>195100</v>
      </c>
      <c r="BA44">
        <v>186200</v>
      </c>
      <c r="BB44">
        <v>156900</v>
      </c>
      <c r="BC44">
        <v>174700</v>
      </c>
      <c r="BD44">
        <v>178700</v>
      </c>
      <c r="BE44">
        <v>157600</v>
      </c>
      <c r="BF44">
        <v>162400</v>
      </c>
      <c r="BG44">
        <v>259600</v>
      </c>
      <c r="BH44">
        <v>107979</v>
      </c>
      <c r="BI44">
        <v>46364</v>
      </c>
      <c r="BJ44" t="s">
        <v>28966</v>
      </c>
      <c r="BK44" t="s">
        <v>28966</v>
      </c>
      <c r="BL44" t="s">
        <v>28966</v>
      </c>
      <c r="BM44" t="s">
        <v>28966</v>
      </c>
      <c r="BN44" t="s">
        <v>28966</v>
      </c>
      <c r="BO44" t="s">
        <v>28966</v>
      </c>
      <c r="BP44" t="s">
        <v>28966</v>
      </c>
      <c r="BQ44" t="s">
        <v>28966</v>
      </c>
      <c r="BR44">
        <v>516085</v>
      </c>
      <c r="BS44">
        <v>89791.867769999997</v>
      </c>
      <c r="BT44">
        <v>39485.472199999997</v>
      </c>
      <c r="BU44">
        <v>234996</v>
      </c>
      <c r="BV44">
        <v>237120</v>
      </c>
      <c r="BW44">
        <v>642893</v>
      </c>
      <c r="BX44">
        <v>667062</v>
      </c>
      <c r="BY44">
        <v>808471</v>
      </c>
      <c r="BZ44">
        <v>825257</v>
      </c>
      <c r="CA44">
        <v>748540</v>
      </c>
      <c r="CD44" s="29">
        <v>2011</v>
      </c>
      <c r="CE44" s="29" t="str" cm="1">
        <f t="array" ref="CE44">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44">
        <f>COUNTIF(Tabla1[Year],'Set Datos'!CD44)</f>
        <v>36</v>
      </c>
      <c r="CG44">
        <f>SUMIF(Tabla1[Year],Tabla2[[#This Row],[Year]],Tabla1[Aboard])</f>
        <v>984</v>
      </c>
      <c r="CH44">
        <f>SUMIF(Tabla1[Year],'Set Datos'!CD44,Tabla1[Fatalities])</f>
        <v>720</v>
      </c>
      <c r="CI44" s="52">
        <f>Tabla2[[#This Row],[Fatalities]]/Tabla2[[#This Row],[Aboard]]</f>
        <v>0.73170731707317072</v>
      </c>
      <c r="CJ44">
        <f>SUBTOTAL(109,Tabla4[2011])</f>
        <v>22728487562.693947</v>
      </c>
      <c r="CK44" s="47">
        <f>Tabla2[[#This Row],[Fatalities]]/Tabla2[[#This Row],[Passengers carried]]</f>
        <v>3.1678306707120832E-8</v>
      </c>
    </row>
    <row r="45" spans="2:89" x14ac:dyDescent="0.3">
      <c r="B45" s="9">
        <v>43</v>
      </c>
      <c r="C45" s="49">
        <v>7314</v>
      </c>
      <c r="D45" s="55">
        <f>YEAR(Tabla1[[#This Row],[Date]])</f>
        <v>1920</v>
      </c>
      <c r="E45" s="9" t="str" cm="1">
        <f t="array" ref="E45">IFERROR(_xlfn.IFS(AND(D45&lt;1980,D45&gt;=1970),"70",AND(D45&lt;1990,D45&gt;=1980),"80",AND(D45&lt;2000,D45&gt;=1990),"90",AND(D45&lt;2010,D45&gt;=2000),"00",AND(D45&lt;=2019,D45&gt;=2010),"10"),"1908-1970")</f>
        <v>1908-1970</v>
      </c>
      <c r="F45" s="3" t="s">
        <v>28931</v>
      </c>
      <c r="G45" t="s">
        <v>5153</v>
      </c>
      <c r="H45" t="s">
        <v>5096</v>
      </c>
      <c r="I45" t="s">
        <v>28931</v>
      </c>
      <c r="J45" t="s">
        <v>28931</v>
      </c>
      <c r="K45" t="s">
        <v>5154</v>
      </c>
      <c r="L45" s="7">
        <v>305</v>
      </c>
      <c r="M45" t="s">
        <v>28931</v>
      </c>
      <c r="N45">
        <v>2</v>
      </c>
      <c r="O45">
        <v>0</v>
      </c>
      <c r="P45">
        <v>2</v>
      </c>
      <c r="Q45">
        <v>2</v>
      </c>
      <c r="R45">
        <v>0</v>
      </c>
      <c r="S45">
        <v>2</v>
      </c>
      <c r="T45">
        <v>0</v>
      </c>
      <c r="U45" t="s">
        <v>5155</v>
      </c>
      <c r="V45">
        <f>Tabla1[[#This Row],[Aboard]]-Tabla1[[#This Row],[Fatalities]]</f>
        <v>0</v>
      </c>
      <c r="W45" s="50">
        <f>IFERROR(Tabla1[[#This Row],[Fatalities]]/Tabla1[[#This Row],[Aboard]],0)</f>
        <v>1</v>
      </c>
      <c r="X45" s="51" t="str" cm="1">
        <f t="array" ref="X45">_xlfn.IFS(Tabla1[[#This Row],[Porcentaje de muertes]]&lt;0.35,"LEVE",AND(Tabla1[[#This Row],[Porcentaje de muertes]]&gt;0.35,Tabla1[[#This Row],[Porcentaje de muertes]]&lt;0.65),"MEDIO",Tabla1[[#This Row],[Porcentaje de muertes]]&gt;0.65,"GRAVE")</f>
        <v>GRAVE</v>
      </c>
      <c r="AB45" t="s">
        <v>28441</v>
      </c>
      <c r="AC45" t="s">
        <v>28442</v>
      </c>
      <c r="AD45">
        <v>65800</v>
      </c>
      <c r="AE45">
        <v>108500</v>
      </c>
      <c r="AF45">
        <v>130000</v>
      </c>
      <c r="AG45">
        <v>211300</v>
      </c>
      <c r="AH45">
        <v>228200</v>
      </c>
      <c r="AI45">
        <v>239000</v>
      </c>
      <c r="AJ45">
        <v>296900</v>
      </c>
      <c r="AK45">
        <v>346700</v>
      </c>
      <c r="AL45">
        <v>392700</v>
      </c>
      <c r="AM45">
        <v>402500</v>
      </c>
      <c r="AN45">
        <v>480000</v>
      </c>
      <c r="AO45">
        <v>485500</v>
      </c>
      <c r="AP45">
        <v>634000</v>
      </c>
      <c r="AQ45">
        <v>631000</v>
      </c>
      <c r="AR45">
        <v>676500</v>
      </c>
      <c r="AS45">
        <v>718000</v>
      </c>
      <c r="AT45">
        <v>536100</v>
      </c>
      <c r="AU45">
        <v>561000</v>
      </c>
      <c r="AV45">
        <v>582000</v>
      </c>
      <c r="AW45">
        <v>403400</v>
      </c>
      <c r="AX45">
        <v>284200</v>
      </c>
      <c r="AY45">
        <v>356600</v>
      </c>
      <c r="AZ45">
        <v>363100</v>
      </c>
      <c r="BA45">
        <v>274800</v>
      </c>
      <c r="BB45">
        <v>295000</v>
      </c>
      <c r="BC45">
        <v>345000</v>
      </c>
      <c r="BD45">
        <v>361800</v>
      </c>
      <c r="BE45">
        <v>279000</v>
      </c>
      <c r="BF45">
        <v>277900</v>
      </c>
      <c r="BG45">
        <v>292600</v>
      </c>
      <c r="BH45">
        <v>273000</v>
      </c>
      <c r="BI45">
        <v>324114</v>
      </c>
      <c r="BJ45">
        <v>243122</v>
      </c>
      <c r="BK45">
        <v>315100</v>
      </c>
      <c r="BL45">
        <v>355610</v>
      </c>
      <c r="BM45">
        <v>384059</v>
      </c>
      <c r="BN45">
        <v>424794</v>
      </c>
      <c r="BO45">
        <v>453051</v>
      </c>
      <c r="BP45">
        <v>470598</v>
      </c>
      <c r="BQ45">
        <v>466050</v>
      </c>
      <c r="BR45">
        <v>0</v>
      </c>
      <c r="BS45">
        <v>171007.2</v>
      </c>
      <c r="BT45">
        <v>248027.2</v>
      </c>
      <c r="BU45">
        <v>287208</v>
      </c>
      <c r="BV45">
        <v>275760</v>
      </c>
      <c r="BW45">
        <v>267208</v>
      </c>
      <c r="BX45">
        <v>343592</v>
      </c>
      <c r="BY45">
        <v>236000</v>
      </c>
      <c r="BZ45">
        <v>265136</v>
      </c>
      <c r="CA45">
        <v>198881.21299999999</v>
      </c>
      <c r="CD45" s="29">
        <v>2012</v>
      </c>
      <c r="CE45" s="29" t="str" cm="1">
        <f t="array" ref="CE45">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45">
        <f>COUNTIF(Tabla1[Year],'Set Datos'!CD45)</f>
        <v>26</v>
      </c>
      <c r="CG45">
        <f>SUMIF(Tabla1[Year],Tabla2[[#This Row],[Year]],Tabla1[Aboard])</f>
        <v>695</v>
      </c>
      <c r="CH45">
        <f>SUMIF(Tabla1[Year],'Set Datos'!CD45,Tabla1[Fatalities])</f>
        <v>587</v>
      </c>
      <c r="CI45" s="52">
        <f>Tabla2[[#This Row],[Fatalities]]/Tabla2[[#This Row],[Aboard]]</f>
        <v>0.8446043165467626</v>
      </c>
      <c r="CJ45">
        <f>SUBTOTAL(109,Tabla4[2012])</f>
        <v>23857735774.674377</v>
      </c>
      <c r="CK45" s="47">
        <f>Tabla2[[#This Row],[Fatalities]]/Tabla2[[#This Row],[Passengers carried]]</f>
        <v>2.4604178935668996E-8</v>
      </c>
    </row>
    <row r="46" spans="2:89" x14ac:dyDescent="0.3">
      <c r="B46" s="9">
        <v>44</v>
      </c>
      <c r="C46" s="49">
        <v>7564</v>
      </c>
      <c r="D46" s="55">
        <f>YEAR(Tabla1[[#This Row],[Date]])</f>
        <v>1920</v>
      </c>
      <c r="E46" s="9" t="str" cm="1">
        <f t="array" ref="E46">IFERROR(_xlfn.IFS(AND(D46&lt;1980,D46&gt;=1970),"70",AND(D46&lt;1990,D46&gt;=1980),"80",AND(D46&lt;2000,D46&gt;=1990),"90",AND(D46&lt;2010,D46&gt;=2000),"00",AND(D46&lt;=2019,D46&gt;=2010),"10"),"1908-1970")</f>
        <v>1908-1970</v>
      </c>
      <c r="F46" s="3" t="s">
        <v>28931</v>
      </c>
      <c r="G46" t="s">
        <v>5156</v>
      </c>
      <c r="H46" t="s">
        <v>5096</v>
      </c>
      <c r="I46" t="s">
        <v>28931</v>
      </c>
      <c r="J46" t="s">
        <v>28931</v>
      </c>
      <c r="K46" t="s">
        <v>5157</v>
      </c>
      <c r="L46" s="7">
        <v>308</v>
      </c>
      <c r="M46" t="s">
        <v>28931</v>
      </c>
      <c r="N46">
        <v>2</v>
      </c>
      <c r="O46" t="s">
        <v>5038</v>
      </c>
      <c r="P46" t="s">
        <v>5038</v>
      </c>
      <c r="Q46">
        <v>2</v>
      </c>
      <c r="R46" t="s">
        <v>5038</v>
      </c>
      <c r="S46" t="s">
        <v>5038</v>
      </c>
      <c r="T46">
        <v>0</v>
      </c>
      <c r="U46" t="s">
        <v>5158</v>
      </c>
      <c r="V46">
        <f>Tabla1[[#This Row],[Aboard]]-Tabla1[[#This Row],[Fatalities]]</f>
        <v>0</v>
      </c>
      <c r="W46" s="50">
        <f>IFERROR(Tabla1[[#This Row],[Fatalities]]/Tabla1[[#This Row],[Aboard]],0)</f>
        <v>1</v>
      </c>
      <c r="X46" s="51" t="str" cm="1">
        <f t="array" ref="X46">_xlfn.IFS(Tabla1[[#This Row],[Porcentaje de muertes]]&lt;0.35,"LEVE",AND(Tabla1[[#This Row],[Porcentaje de muertes]]&gt;0.35,Tabla1[[#This Row],[Porcentaje de muertes]]&lt;0.65),"MEDIO",Tabla1[[#This Row],[Porcentaje de muertes]]&gt;0.65,"GRAVE")</f>
        <v>GRAVE</v>
      </c>
      <c r="AB46" t="s">
        <v>15795</v>
      </c>
      <c r="AC46" t="s">
        <v>28443</v>
      </c>
      <c r="AD46">
        <v>305000</v>
      </c>
      <c r="AE46">
        <v>325900</v>
      </c>
      <c r="AF46">
        <v>327800</v>
      </c>
      <c r="AG46">
        <v>363700</v>
      </c>
      <c r="AH46">
        <v>464100</v>
      </c>
      <c r="AI46">
        <v>445000</v>
      </c>
      <c r="AJ46">
        <v>462800</v>
      </c>
      <c r="AK46">
        <v>488100</v>
      </c>
      <c r="AL46">
        <v>569900</v>
      </c>
      <c r="AM46">
        <v>577700</v>
      </c>
      <c r="AN46">
        <v>439200</v>
      </c>
      <c r="AO46">
        <v>492600</v>
      </c>
      <c r="AP46">
        <v>377700</v>
      </c>
      <c r="AQ46">
        <v>330700</v>
      </c>
      <c r="AR46">
        <v>338000</v>
      </c>
      <c r="AS46">
        <v>131500</v>
      </c>
      <c r="AT46">
        <v>168900</v>
      </c>
      <c r="AU46">
        <v>200800</v>
      </c>
      <c r="AV46">
        <v>216200</v>
      </c>
      <c r="AW46">
        <v>202600</v>
      </c>
      <c r="AX46">
        <v>206700</v>
      </c>
      <c r="AY46">
        <v>150400</v>
      </c>
      <c r="AZ46">
        <v>116400</v>
      </c>
      <c r="BA46">
        <v>83700</v>
      </c>
      <c r="BB46">
        <v>177600</v>
      </c>
      <c r="BC46" t="s">
        <v>28966</v>
      </c>
      <c r="BD46" t="s">
        <v>28966</v>
      </c>
      <c r="BE46" t="s">
        <v>28966</v>
      </c>
      <c r="BF46" t="s">
        <v>28966</v>
      </c>
      <c r="BG46" t="s">
        <v>28966</v>
      </c>
      <c r="BH46" t="s">
        <v>28966</v>
      </c>
      <c r="BI46">
        <v>95200</v>
      </c>
      <c r="BJ46" t="s">
        <v>28966</v>
      </c>
      <c r="BK46" t="s">
        <v>28966</v>
      </c>
      <c r="BL46" t="s">
        <v>28966</v>
      </c>
      <c r="BM46" t="s">
        <v>28966</v>
      </c>
      <c r="BN46" t="s">
        <v>28966</v>
      </c>
      <c r="BO46" t="s">
        <v>28966</v>
      </c>
      <c r="BP46" t="s">
        <v>28966</v>
      </c>
      <c r="BQ46" t="s">
        <v>28966</v>
      </c>
      <c r="BR46">
        <v>210913</v>
      </c>
      <c r="BS46">
        <v>252408.1796</v>
      </c>
      <c r="BT46">
        <v>471536.2046</v>
      </c>
      <c r="BU46">
        <v>456000</v>
      </c>
      <c r="BV46">
        <v>456228</v>
      </c>
      <c r="BW46">
        <v>476353</v>
      </c>
      <c r="BX46">
        <v>416033</v>
      </c>
      <c r="BY46">
        <v>959738</v>
      </c>
      <c r="BZ46">
        <v>587653.03079999995</v>
      </c>
      <c r="CA46">
        <v>550457.89260000002</v>
      </c>
      <c r="CD46" s="29">
        <v>2013</v>
      </c>
      <c r="CE46" s="29" t="str" cm="1">
        <f t="array" ref="CE46">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46">
        <f>COUNTIF(Tabla1[Year],'Set Datos'!CD46)</f>
        <v>25</v>
      </c>
      <c r="CG46">
        <f>SUMIF(Tabla1[Year],Tabla2[[#This Row],[Year]],Tabla1[Aboard])</f>
        <v>782</v>
      </c>
      <c r="CH46">
        <f>SUMIF(Tabla1[Year],'Set Datos'!CD46,Tabla1[Fatalities])</f>
        <v>287</v>
      </c>
      <c r="CI46" s="52">
        <f>Tabla2[[#This Row],[Fatalities]]/Tabla2[[#This Row],[Aboard]]</f>
        <v>0.36700767263427109</v>
      </c>
      <c r="CJ46">
        <f>SUBTOTAL(109,Tabla4[2013])</f>
        <v>25282843880.944496</v>
      </c>
      <c r="CK46" s="47">
        <f>Tabla2[[#This Row],[Fatalities]]/Tabla2[[#This Row],[Passengers carried]]</f>
        <v>1.1351571102976668E-8</v>
      </c>
    </row>
    <row r="47" spans="2:89" x14ac:dyDescent="0.3">
      <c r="B47" s="9">
        <v>45</v>
      </c>
      <c r="C47" s="49">
        <v>7576</v>
      </c>
      <c r="D47" s="55">
        <f>YEAR(Tabla1[[#This Row],[Date]])</f>
        <v>1920</v>
      </c>
      <c r="E47" s="9" t="str" cm="1">
        <f t="array" ref="E47">IFERROR(_xlfn.IFS(AND(D47&lt;1980,D47&gt;=1970),"70",AND(D47&lt;1990,D47&gt;=1980),"80",AND(D47&lt;2000,D47&gt;=1990),"90",AND(D47&lt;2010,D47&gt;=2000),"00",AND(D47&lt;=2019,D47&gt;=2010),"10"),"1908-1970")</f>
        <v>1908-1970</v>
      </c>
      <c r="F47" s="3" t="s">
        <v>28931</v>
      </c>
      <c r="G47" t="s">
        <v>5159</v>
      </c>
      <c r="H47" t="s">
        <v>5096</v>
      </c>
      <c r="I47" t="s">
        <v>28931</v>
      </c>
      <c r="J47" t="s">
        <v>28931</v>
      </c>
      <c r="K47" t="s">
        <v>5097</v>
      </c>
      <c r="L47" s="7">
        <v>316</v>
      </c>
      <c r="M47" t="s">
        <v>28931</v>
      </c>
      <c r="N47">
        <v>1</v>
      </c>
      <c r="O47">
        <v>0</v>
      </c>
      <c r="P47">
        <v>1</v>
      </c>
      <c r="Q47">
        <v>1</v>
      </c>
      <c r="R47">
        <v>0</v>
      </c>
      <c r="S47">
        <v>1</v>
      </c>
      <c r="T47">
        <v>0</v>
      </c>
      <c r="U47" t="s">
        <v>5160</v>
      </c>
      <c r="V47">
        <f>Tabla1[[#This Row],[Aboard]]-Tabla1[[#This Row],[Fatalities]]</f>
        <v>0</v>
      </c>
      <c r="W47" s="50">
        <f>IFERROR(Tabla1[[#This Row],[Fatalities]]/Tabla1[[#This Row],[Aboard]],0)</f>
        <v>1</v>
      </c>
      <c r="X47" s="51" t="str" cm="1">
        <f t="array" ref="X47">_xlfn.IFS(Tabla1[[#This Row],[Porcentaje de muertes]]&lt;0.35,"LEVE",AND(Tabla1[[#This Row],[Porcentaje de muertes]]&gt;0.35,Tabla1[[#This Row],[Porcentaje de muertes]]&lt;0.65),"MEDIO",Tabla1[[#This Row],[Porcentaje de muertes]]&gt;0.65,"GRAVE")</f>
        <v>GRAVE</v>
      </c>
      <c r="AB47" t="s">
        <v>15795</v>
      </c>
      <c r="AC47" t="s">
        <v>28444</v>
      </c>
      <c r="AD47">
        <v>55800</v>
      </c>
      <c r="AE47">
        <v>58600</v>
      </c>
      <c r="AF47">
        <v>54900</v>
      </c>
      <c r="AG47">
        <v>58600</v>
      </c>
      <c r="AH47">
        <v>63500</v>
      </c>
      <c r="AI47">
        <v>69000</v>
      </c>
      <c r="AJ47">
        <v>77400</v>
      </c>
      <c r="AK47">
        <v>85400</v>
      </c>
      <c r="AL47">
        <v>102200</v>
      </c>
      <c r="AM47">
        <v>113300</v>
      </c>
      <c r="AN47">
        <v>117100</v>
      </c>
      <c r="AO47">
        <v>154100</v>
      </c>
      <c r="AP47">
        <v>158300</v>
      </c>
      <c r="AQ47">
        <v>216900</v>
      </c>
      <c r="AR47">
        <v>227700</v>
      </c>
      <c r="AS47">
        <v>248500</v>
      </c>
      <c r="AT47">
        <v>248400</v>
      </c>
      <c r="AU47">
        <v>220100</v>
      </c>
      <c r="AV47">
        <v>219700</v>
      </c>
      <c r="AW47">
        <v>233800</v>
      </c>
      <c r="AX47">
        <v>238900</v>
      </c>
      <c r="AY47">
        <v>228900</v>
      </c>
      <c r="AZ47">
        <v>228900</v>
      </c>
      <c r="BA47">
        <v>230800</v>
      </c>
      <c r="BB47">
        <v>231800</v>
      </c>
      <c r="BC47">
        <v>266900</v>
      </c>
      <c r="BD47">
        <v>252900</v>
      </c>
      <c r="BE47">
        <v>244500</v>
      </c>
      <c r="BF47">
        <v>240900</v>
      </c>
      <c r="BG47">
        <v>132200</v>
      </c>
      <c r="BH47">
        <v>127541</v>
      </c>
      <c r="BI47">
        <v>95188</v>
      </c>
      <c r="BJ47">
        <v>46967</v>
      </c>
      <c r="BK47">
        <v>52268</v>
      </c>
      <c r="BL47" t="s">
        <v>28966</v>
      </c>
      <c r="BM47" t="s">
        <v>28966</v>
      </c>
      <c r="BN47" t="s">
        <v>28966</v>
      </c>
      <c r="BO47" t="s">
        <v>28966</v>
      </c>
      <c r="BP47" t="s">
        <v>28966</v>
      </c>
      <c r="BQ47" t="s">
        <v>28966</v>
      </c>
      <c r="BR47">
        <v>341640.42920000001</v>
      </c>
      <c r="BS47">
        <v>438178.47039999999</v>
      </c>
      <c r="BT47">
        <v>703966.42110000004</v>
      </c>
      <c r="BU47">
        <v>652452</v>
      </c>
      <c r="BV47">
        <v>553944</v>
      </c>
      <c r="BW47">
        <v>657927</v>
      </c>
      <c r="BX47">
        <v>577780</v>
      </c>
      <c r="BY47">
        <v>333899</v>
      </c>
      <c r="BZ47">
        <v>508978.9399</v>
      </c>
      <c r="CA47">
        <v>541787.13690000004</v>
      </c>
      <c r="CD47" s="29">
        <v>2014</v>
      </c>
      <c r="CE47" s="29" t="str" cm="1">
        <f t="array" ref="CE47">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47">
        <f>COUNTIF(Tabla1[Year],'Set Datos'!CD47)</f>
        <v>23</v>
      </c>
      <c r="CG47">
        <f>SUMIF(Tabla1[Year],Tabla2[[#This Row],[Year]],Tabla1[Aboard])</f>
        <v>1176</v>
      </c>
      <c r="CH47">
        <f>SUMIF(Tabla1[Year],'Set Datos'!CD47,Tabla1[Fatalities])</f>
        <v>1142</v>
      </c>
      <c r="CI47" s="52">
        <f>Tabla2[[#This Row],[Fatalities]]/Tabla2[[#This Row],[Aboard]]</f>
        <v>0.97108843537414968</v>
      </c>
      <c r="CJ47">
        <f>SUBTOTAL(109,Tabla4[2014])</f>
        <v>26881322064.677189</v>
      </c>
      <c r="CK47" s="47">
        <f>Tabla2[[#This Row],[Fatalities]]/Tabla2[[#This Row],[Passengers carried]]</f>
        <v>4.2483029564257182E-8</v>
      </c>
    </row>
    <row r="48" spans="2:89" x14ac:dyDescent="0.3">
      <c r="B48" s="9">
        <v>46</v>
      </c>
      <c r="C48" s="49">
        <v>7346</v>
      </c>
      <c r="D48" s="55">
        <f>YEAR(Tabla1[[#This Row],[Date]])</f>
        <v>1920</v>
      </c>
      <c r="E48" s="9" t="str" cm="1">
        <f t="array" ref="E48">IFERROR(_xlfn.IFS(AND(D48&lt;1980,D48&gt;=1970),"70",AND(D48&lt;1990,D48&gt;=1980),"80",AND(D48&lt;2000,D48&gt;=1990),"90",AND(D48&lt;2010,D48&gt;=2000),"00",AND(D48&lt;=2019,D48&gt;=2010),"10"),"1908-1970")</f>
        <v>1908-1970</v>
      </c>
      <c r="F48" s="3" t="s">
        <v>28931</v>
      </c>
      <c r="G48" t="s">
        <v>5161</v>
      </c>
      <c r="H48" t="s">
        <v>5162</v>
      </c>
      <c r="I48" t="s">
        <v>28931</v>
      </c>
      <c r="J48" t="s">
        <v>28931</v>
      </c>
      <c r="K48" t="s">
        <v>5163</v>
      </c>
      <c r="L48" s="7" t="s">
        <v>5164</v>
      </c>
      <c r="M48">
        <v>31</v>
      </c>
      <c r="N48">
        <v>2</v>
      </c>
      <c r="O48">
        <v>1</v>
      </c>
      <c r="P48">
        <v>1</v>
      </c>
      <c r="Q48">
        <v>2</v>
      </c>
      <c r="R48">
        <v>1</v>
      </c>
      <c r="S48">
        <v>1</v>
      </c>
      <c r="T48">
        <v>0</v>
      </c>
      <c r="U48" t="s">
        <v>5165</v>
      </c>
      <c r="V48">
        <f>Tabla1[[#This Row],[Aboard]]-Tabla1[[#This Row],[Fatalities]]</f>
        <v>0</v>
      </c>
      <c r="W48" s="50">
        <f>IFERROR(Tabla1[[#This Row],[Fatalities]]/Tabla1[[#This Row],[Aboard]],0)</f>
        <v>1</v>
      </c>
      <c r="X48" s="51" t="str" cm="1">
        <f t="array" ref="X48">_xlfn.IFS(Tabla1[[#This Row],[Porcentaje de muertes]]&lt;0.35,"LEVE",AND(Tabla1[[#This Row],[Porcentaje de muertes]]&gt;0.35,Tabla1[[#This Row],[Porcentaje de muertes]]&lt;0.65),"MEDIO",Tabla1[[#This Row],[Porcentaje de muertes]]&gt;0.65,"GRAVE")</f>
        <v>GRAVE</v>
      </c>
      <c r="AB48" t="s">
        <v>28445</v>
      </c>
      <c r="AC48" t="s">
        <v>28446</v>
      </c>
      <c r="AD48">
        <v>3010200</v>
      </c>
      <c r="AE48">
        <v>2959700</v>
      </c>
      <c r="AF48">
        <v>2963600</v>
      </c>
      <c r="AG48">
        <v>3147300</v>
      </c>
      <c r="AH48">
        <v>3118000</v>
      </c>
      <c r="AI48">
        <v>3376100</v>
      </c>
      <c r="AJ48">
        <v>3730000</v>
      </c>
      <c r="AK48">
        <v>4117300</v>
      </c>
      <c r="AL48">
        <v>4747100</v>
      </c>
      <c r="AM48">
        <v>5052400</v>
      </c>
      <c r="AN48">
        <v>4808200</v>
      </c>
      <c r="AO48">
        <v>4570100</v>
      </c>
      <c r="AP48">
        <v>6701500</v>
      </c>
      <c r="AQ48">
        <v>6583900</v>
      </c>
      <c r="AR48">
        <v>5737400</v>
      </c>
      <c r="AS48">
        <v>5737300</v>
      </c>
      <c r="AT48">
        <v>5731300</v>
      </c>
      <c r="AU48">
        <v>5598500</v>
      </c>
      <c r="AV48">
        <v>5460000</v>
      </c>
      <c r="AW48">
        <v>5565100</v>
      </c>
      <c r="AX48">
        <v>5266700</v>
      </c>
      <c r="AY48">
        <v>5539900</v>
      </c>
      <c r="AZ48">
        <v>6232100</v>
      </c>
      <c r="BA48">
        <v>6930200</v>
      </c>
      <c r="BB48">
        <v>7686500</v>
      </c>
      <c r="BC48">
        <v>7863300</v>
      </c>
      <c r="BD48">
        <v>8342100</v>
      </c>
      <c r="BE48">
        <v>9188900</v>
      </c>
      <c r="BF48">
        <v>9289700</v>
      </c>
      <c r="BG48">
        <v>8619200</v>
      </c>
      <c r="BH48">
        <v>8568734</v>
      </c>
      <c r="BI48">
        <v>9604390</v>
      </c>
      <c r="BJ48">
        <v>9424850</v>
      </c>
      <c r="BK48">
        <v>9142585</v>
      </c>
      <c r="BL48">
        <v>8829094</v>
      </c>
      <c r="BM48">
        <v>9984424</v>
      </c>
      <c r="BN48">
        <v>10616356</v>
      </c>
      <c r="BO48">
        <v>11630594</v>
      </c>
      <c r="BP48">
        <v>12338706</v>
      </c>
      <c r="BQ48">
        <v>12115330</v>
      </c>
      <c r="BR48">
        <v>16932435</v>
      </c>
      <c r="BS48">
        <v>18768534.77</v>
      </c>
      <c r="BT48">
        <v>22012458.84</v>
      </c>
      <c r="BU48">
        <v>26929238</v>
      </c>
      <c r="BV48">
        <v>28675159</v>
      </c>
      <c r="BW48">
        <v>30909723</v>
      </c>
      <c r="BX48">
        <v>32262658</v>
      </c>
      <c r="BY48">
        <v>32504898</v>
      </c>
      <c r="BZ48">
        <v>33704037</v>
      </c>
      <c r="CA48">
        <v>37031843</v>
      </c>
      <c r="CD48" s="29">
        <v>2015</v>
      </c>
      <c r="CE48" s="29" t="str" cm="1">
        <f t="array" ref="CE48">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48">
        <f>COUNTIF(Tabla1[Year],'Set Datos'!CD48)</f>
        <v>18</v>
      </c>
      <c r="CG48">
        <f>SUMIF(Tabla1[Year],Tabla2[[#This Row],[Year]],Tabla1[Aboard])</f>
        <v>796</v>
      </c>
      <c r="CH48">
        <f>SUMIF(Tabla1[Year],'Set Datos'!CD48,Tabla1[Fatalities])</f>
        <v>759</v>
      </c>
      <c r="CI48" s="52">
        <f>Tabla2[[#This Row],[Fatalities]]/Tabla2[[#This Row],[Aboard]]</f>
        <v>0.95351758793969854</v>
      </c>
      <c r="CJ48">
        <f>SUBTOTAL(109,Tabla4[2015])</f>
        <v>29050199394</v>
      </c>
      <c r="CK48" s="47">
        <f>Tabla2[[#This Row],[Fatalities]]/Tabla2[[#This Row],[Passengers carried]]</f>
        <v>2.6127187276957661E-8</v>
      </c>
    </row>
    <row r="49" spans="2:89" x14ac:dyDescent="0.3">
      <c r="B49" s="9">
        <v>47</v>
      </c>
      <c r="C49" s="49">
        <v>7436</v>
      </c>
      <c r="D49" s="55">
        <f>YEAR(Tabla1[[#This Row],[Date]])</f>
        <v>1920</v>
      </c>
      <c r="E49" s="9" t="str" cm="1">
        <f t="array" ref="E49">IFERROR(_xlfn.IFS(AND(D49&lt;1980,D49&gt;=1970),"70",AND(D49&lt;1990,D49&gt;=1980),"80",AND(D49&lt;2000,D49&gt;=1990),"90",AND(D49&lt;2010,D49&gt;=2000),"00",AND(D49&lt;=2019,D49&gt;=2010),"10"),"1908-1970")</f>
        <v>1908-1970</v>
      </c>
      <c r="F49" s="3" t="s">
        <v>28931</v>
      </c>
      <c r="G49" t="s">
        <v>5166</v>
      </c>
      <c r="H49" t="s">
        <v>5162</v>
      </c>
      <c r="I49" t="s">
        <v>28931</v>
      </c>
      <c r="J49" t="s">
        <v>28931</v>
      </c>
      <c r="K49" t="s">
        <v>5167</v>
      </c>
      <c r="L49" s="7" t="s">
        <v>5168</v>
      </c>
      <c r="M49">
        <v>20</v>
      </c>
      <c r="N49">
        <v>2</v>
      </c>
      <c r="O49">
        <v>1</v>
      </c>
      <c r="P49">
        <v>1</v>
      </c>
      <c r="Q49">
        <v>2</v>
      </c>
      <c r="R49">
        <v>1</v>
      </c>
      <c r="S49">
        <v>1</v>
      </c>
      <c r="T49">
        <v>0</v>
      </c>
      <c r="U49" t="s">
        <v>5169</v>
      </c>
      <c r="V49">
        <f>Tabla1[[#This Row],[Aboard]]-Tabla1[[#This Row],[Fatalities]]</f>
        <v>0</v>
      </c>
      <c r="W49" s="50">
        <f>IFERROR(Tabla1[[#This Row],[Fatalities]]/Tabla1[[#This Row],[Aboard]],0)</f>
        <v>1</v>
      </c>
      <c r="X49" s="51" t="str" cm="1">
        <f t="array" ref="X49">_xlfn.IFS(Tabla1[[#This Row],[Porcentaje de muertes]]&lt;0.35,"LEVE",AND(Tabla1[[#This Row],[Porcentaje de muertes]]&gt;0.35,Tabla1[[#This Row],[Porcentaje de muertes]]&lt;0.65),"MEDIO",Tabla1[[#This Row],[Porcentaje de muertes]]&gt;0.65,"GRAVE")</f>
        <v>GRAVE</v>
      </c>
      <c r="AB49" t="s">
        <v>28447</v>
      </c>
      <c r="AC49" t="s">
        <v>28448</v>
      </c>
      <c r="AD49" t="s">
        <v>28966</v>
      </c>
      <c r="AE49" t="s">
        <v>28966</v>
      </c>
      <c r="AF49" t="s">
        <v>28966</v>
      </c>
      <c r="AG49" t="s">
        <v>28966</v>
      </c>
      <c r="AH49" t="s">
        <v>28966</v>
      </c>
      <c r="AI49" t="s">
        <v>28966</v>
      </c>
      <c r="AJ49" t="s">
        <v>28966</v>
      </c>
      <c r="AK49" t="s">
        <v>28966</v>
      </c>
      <c r="AL49" t="s">
        <v>28966</v>
      </c>
      <c r="AM49" t="s">
        <v>28966</v>
      </c>
      <c r="AN49" t="s">
        <v>28966</v>
      </c>
      <c r="AO49" t="s">
        <v>28966</v>
      </c>
      <c r="AP49" t="s">
        <v>28966</v>
      </c>
      <c r="AQ49" t="s">
        <v>28966</v>
      </c>
      <c r="AR49">
        <v>27000</v>
      </c>
      <c r="AS49">
        <v>32800</v>
      </c>
      <c r="AT49">
        <v>25900</v>
      </c>
      <c r="AU49">
        <v>25900</v>
      </c>
      <c r="AV49">
        <v>25900</v>
      </c>
      <c r="AW49">
        <v>26000</v>
      </c>
      <c r="AX49">
        <v>26000</v>
      </c>
      <c r="AY49">
        <v>26000</v>
      </c>
      <c r="AZ49">
        <v>26000</v>
      </c>
      <c r="BA49">
        <v>26000</v>
      </c>
      <c r="BB49">
        <v>26000</v>
      </c>
      <c r="BC49">
        <v>27300</v>
      </c>
      <c r="BD49">
        <v>27300</v>
      </c>
      <c r="BE49" t="s">
        <v>28966</v>
      </c>
      <c r="BF49" t="s">
        <v>28966</v>
      </c>
      <c r="BG49" t="s">
        <v>28966</v>
      </c>
      <c r="BH49" t="s">
        <v>28966</v>
      </c>
      <c r="BI49" t="s">
        <v>28966</v>
      </c>
      <c r="BJ49" t="s">
        <v>28966</v>
      </c>
      <c r="BK49" t="s">
        <v>28966</v>
      </c>
      <c r="BL49" t="s">
        <v>28966</v>
      </c>
      <c r="BM49" t="s">
        <v>28966</v>
      </c>
      <c r="BN49" t="s">
        <v>28966</v>
      </c>
      <c r="BO49" t="s">
        <v>28966</v>
      </c>
      <c r="BP49" t="s">
        <v>28966</v>
      </c>
      <c r="BQ49" t="s">
        <v>28966</v>
      </c>
      <c r="BR49" t="s">
        <v>28966</v>
      </c>
      <c r="BS49" t="s">
        <v>28966</v>
      </c>
      <c r="BT49" t="s">
        <v>28966</v>
      </c>
      <c r="BU49" t="s">
        <v>28966</v>
      </c>
      <c r="BV49" t="s">
        <v>28966</v>
      </c>
      <c r="BW49" t="s">
        <v>28966</v>
      </c>
      <c r="BX49" t="s">
        <v>28966</v>
      </c>
      <c r="BY49" t="s">
        <v>28966</v>
      </c>
      <c r="BZ49" t="s">
        <v>28966</v>
      </c>
      <c r="CA49" t="s">
        <v>28966</v>
      </c>
      <c r="CD49" s="29">
        <v>2016</v>
      </c>
      <c r="CE49" s="29" t="str" cm="1">
        <f t="array" ref="CE49">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49">
        <f>COUNTIF(Tabla1[Year],'Set Datos'!CD49)</f>
        <v>23</v>
      </c>
      <c r="CG49">
        <f>SUMIF(Tabla1[Year],Tabla2[[#This Row],[Year]],Tabla1[Aboard])</f>
        <v>903</v>
      </c>
      <c r="CH49">
        <f>SUMIF(Tabla1[Year],'Set Datos'!CD49,Tabla1[Fatalities])</f>
        <v>515</v>
      </c>
      <c r="CI49" s="52">
        <f>Tabla2[[#This Row],[Fatalities]]/Tabla2[[#This Row],[Aboard]]</f>
        <v>0.57032115171650055</v>
      </c>
      <c r="CJ49">
        <f>SUBTOTAL(109,Tabla4[2016])</f>
        <v>31165729613</v>
      </c>
      <c r="CK49" s="47">
        <f>Tabla2[[#This Row],[Fatalities]]/Tabla2[[#This Row],[Passengers carried]]</f>
        <v>1.6524560996806593E-8</v>
      </c>
    </row>
    <row r="50" spans="2:89" x14ac:dyDescent="0.3">
      <c r="B50" s="9">
        <v>48</v>
      </c>
      <c r="C50" s="49">
        <v>7594</v>
      </c>
      <c r="D50" s="55">
        <f>YEAR(Tabla1[[#This Row],[Date]])</f>
        <v>1920</v>
      </c>
      <c r="E50" s="9" t="str" cm="1">
        <f t="array" ref="E50">IFERROR(_xlfn.IFS(AND(D50&lt;1980,D50&gt;=1970),"70",AND(D50&lt;1990,D50&gt;=1980),"80",AND(D50&lt;2000,D50&gt;=1990),"90",AND(D50&lt;2010,D50&gt;=2000),"00",AND(D50&lt;=2019,D50&gt;=2010),"10"),"1908-1970")</f>
        <v>1908-1970</v>
      </c>
      <c r="F50" s="3" t="s">
        <v>28931</v>
      </c>
      <c r="G50" t="s">
        <v>5170</v>
      </c>
      <c r="H50" t="s">
        <v>5096</v>
      </c>
      <c r="I50" t="s">
        <v>28931</v>
      </c>
      <c r="J50" t="s">
        <v>28931</v>
      </c>
      <c r="K50" t="s">
        <v>5097</v>
      </c>
      <c r="L50" s="7">
        <v>76</v>
      </c>
      <c r="M50" t="s">
        <v>28931</v>
      </c>
      <c r="N50">
        <v>1</v>
      </c>
      <c r="O50">
        <v>0</v>
      </c>
      <c r="P50">
        <v>1</v>
      </c>
      <c r="Q50">
        <v>1</v>
      </c>
      <c r="R50">
        <v>0</v>
      </c>
      <c r="S50">
        <v>1</v>
      </c>
      <c r="T50">
        <v>0</v>
      </c>
      <c r="U50" t="s">
        <v>5171</v>
      </c>
      <c r="V50">
        <f>Tabla1[[#This Row],[Aboard]]-Tabla1[[#This Row],[Fatalities]]</f>
        <v>0</v>
      </c>
      <c r="W50" s="50">
        <f>IFERROR(Tabla1[[#This Row],[Fatalities]]/Tabla1[[#This Row],[Aboard]],0)</f>
        <v>1</v>
      </c>
      <c r="X50" s="51" t="str" cm="1">
        <f t="array" ref="X50">_xlfn.IFS(Tabla1[[#This Row],[Porcentaje de muertes]]&lt;0.35,"LEVE",AND(Tabla1[[#This Row],[Porcentaje de muertes]]&gt;0.35,Tabla1[[#This Row],[Porcentaje de muertes]]&lt;0.65),"MEDIO",Tabla1[[#This Row],[Porcentaje de muertes]]&gt;0.65,"GRAVE")</f>
        <v>GRAVE</v>
      </c>
      <c r="AB50" t="s">
        <v>28449</v>
      </c>
      <c r="AC50" t="s">
        <v>28450</v>
      </c>
      <c r="AD50" t="s">
        <v>28966</v>
      </c>
      <c r="AE50" t="s">
        <v>28966</v>
      </c>
      <c r="AF50" t="s">
        <v>28966</v>
      </c>
      <c r="AG50" t="s">
        <v>28966</v>
      </c>
      <c r="AH50" t="s">
        <v>28966</v>
      </c>
      <c r="AI50" t="s">
        <v>28966</v>
      </c>
      <c r="AJ50">
        <v>53000</v>
      </c>
      <c r="AK50">
        <v>55000</v>
      </c>
      <c r="AL50">
        <v>60000</v>
      </c>
      <c r="AM50">
        <v>65000</v>
      </c>
      <c r="AN50">
        <v>75000</v>
      </c>
      <c r="AO50">
        <v>103100</v>
      </c>
      <c r="AP50">
        <v>104000</v>
      </c>
      <c r="AQ50">
        <v>122200</v>
      </c>
      <c r="AR50">
        <v>127000</v>
      </c>
      <c r="AS50">
        <v>128200</v>
      </c>
      <c r="AT50">
        <v>150000</v>
      </c>
      <c r="AU50">
        <v>174000</v>
      </c>
      <c r="AV50">
        <v>176200</v>
      </c>
      <c r="AW50">
        <v>176700</v>
      </c>
      <c r="AX50">
        <v>176900</v>
      </c>
      <c r="AY50">
        <v>96000</v>
      </c>
      <c r="AZ50">
        <v>100000</v>
      </c>
      <c r="BA50">
        <v>100000</v>
      </c>
      <c r="BB50">
        <v>118300</v>
      </c>
      <c r="BC50">
        <v>124200</v>
      </c>
      <c r="BD50">
        <v>129200</v>
      </c>
      <c r="BE50">
        <v>237000</v>
      </c>
      <c r="BF50">
        <v>236100</v>
      </c>
      <c r="BG50">
        <v>252300</v>
      </c>
      <c r="BH50">
        <v>263547</v>
      </c>
      <c r="BI50">
        <v>242799</v>
      </c>
      <c r="BJ50">
        <v>236577</v>
      </c>
      <c r="BK50">
        <v>252751</v>
      </c>
      <c r="BL50">
        <v>560000</v>
      </c>
      <c r="BM50">
        <v>690000</v>
      </c>
      <c r="BN50">
        <v>753511</v>
      </c>
      <c r="BO50">
        <v>793153</v>
      </c>
      <c r="BP50">
        <v>807957</v>
      </c>
      <c r="BQ50">
        <v>776469</v>
      </c>
      <c r="BR50">
        <v>570553</v>
      </c>
      <c r="BS50">
        <v>620394.75109999999</v>
      </c>
      <c r="BT50">
        <v>597982.6004</v>
      </c>
      <c r="BU50">
        <v>600000</v>
      </c>
      <c r="BV50">
        <v>590304</v>
      </c>
      <c r="BW50">
        <v>548908</v>
      </c>
      <c r="BX50">
        <v>565810</v>
      </c>
      <c r="BY50">
        <v>336718</v>
      </c>
      <c r="BZ50">
        <v>561944</v>
      </c>
      <c r="CA50">
        <v>675482</v>
      </c>
      <c r="CD50" s="29">
        <v>2017</v>
      </c>
      <c r="CE50" s="29" t="str" cm="1">
        <f t="array" ref="CE50">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50">
        <f>COUNTIF(Tabla1[Year],'Set Datos'!CD50)</f>
        <v>15</v>
      </c>
      <c r="CG50">
        <f>SUMIF(Tabla1[Year],Tabla2[[#This Row],[Year]],Tabla1[Aboard])</f>
        <v>241</v>
      </c>
      <c r="CH50">
        <f>SUMIF(Tabla1[Year],'Set Datos'!CD50,Tabla1[Fatalities])</f>
        <v>210</v>
      </c>
      <c r="CI50" s="52">
        <f>Tabla2[[#This Row],[Fatalities]]/Tabla2[[#This Row],[Aboard]]</f>
        <v>0.87136929460580914</v>
      </c>
      <c r="CJ50">
        <f>SUBTOTAL(109,Tabla4[2017])</f>
        <v>33629810687.870007</v>
      </c>
      <c r="CK50" s="47">
        <f>Tabla2[[#This Row],[Fatalities]]/Tabla2[[#This Row],[Passengers carried]]</f>
        <v>6.2444597725834134E-9</v>
      </c>
    </row>
    <row r="51" spans="2:89" x14ac:dyDescent="0.3">
      <c r="B51" s="9">
        <v>49</v>
      </c>
      <c r="C51" s="49">
        <v>7498</v>
      </c>
      <c r="D51" s="55">
        <f>YEAR(Tabla1[[#This Row],[Date]])</f>
        <v>1920</v>
      </c>
      <c r="E51" s="9" t="str" cm="1">
        <f t="array" ref="E51">IFERROR(_xlfn.IFS(AND(D51&lt;1980,D51&gt;=1970),"70",AND(D51&lt;1990,D51&gt;=1980),"80",AND(D51&lt;2000,D51&gt;=1990),"90",AND(D51&lt;2010,D51&gt;=2000),"00",AND(D51&lt;=2019,D51&gt;=2010),"10"),"1908-1970")</f>
        <v>1908-1970</v>
      </c>
      <c r="F51" s="3" t="s">
        <v>28931</v>
      </c>
      <c r="G51" t="s">
        <v>5172</v>
      </c>
      <c r="H51" t="s">
        <v>5096</v>
      </c>
      <c r="I51" t="s">
        <v>28931</v>
      </c>
      <c r="J51" t="s">
        <v>28931</v>
      </c>
      <c r="K51" t="s">
        <v>5097</v>
      </c>
      <c r="L51" s="7" t="s">
        <v>28931</v>
      </c>
      <c r="M51">
        <v>178</v>
      </c>
      <c r="N51">
        <v>1</v>
      </c>
      <c r="O51">
        <v>0</v>
      </c>
      <c r="P51">
        <v>1</v>
      </c>
      <c r="Q51">
        <v>1</v>
      </c>
      <c r="R51">
        <v>0</v>
      </c>
      <c r="S51">
        <v>1</v>
      </c>
      <c r="T51">
        <v>0</v>
      </c>
      <c r="U51" t="s">
        <v>5173</v>
      </c>
      <c r="V51">
        <f>Tabla1[[#This Row],[Aboard]]-Tabla1[[#This Row],[Fatalities]]</f>
        <v>0</v>
      </c>
      <c r="W51" s="50">
        <f>IFERROR(Tabla1[[#This Row],[Fatalities]]/Tabla1[[#This Row],[Aboard]],0)</f>
        <v>1</v>
      </c>
      <c r="X51" s="51" t="str" cm="1">
        <f t="array" ref="X51">_xlfn.IFS(Tabla1[[#This Row],[Porcentaje de muertes]]&lt;0.35,"LEVE",AND(Tabla1[[#This Row],[Porcentaje de muertes]]&gt;0.35,Tabla1[[#This Row],[Porcentaje de muertes]]&lt;0.65),"MEDIO",Tabla1[[#This Row],[Porcentaje de muertes]]&gt;0.65,"GRAVE")</f>
        <v>GRAVE</v>
      </c>
      <c r="AB51" t="s">
        <v>28451</v>
      </c>
      <c r="AC51" t="s">
        <v>28452</v>
      </c>
      <c r="AD51">
        <v>255900</v>
      </c>
      <c r="AE51">
        <v>280400</v>
      </c>
      <c r="AF51">
        <v>307300</v>
      </c>
      <c r="AG51">
        <v>314400</v>
      </c>
      <c r="AH51">
        <v>374300</v>
      </c>
      <c r="AI51">
        <v>371800</v>
      </c>
      <c r="AJ51">
        <v>390500</v>
      </c>
      <c r="AK51">
        <v>326800</v>
      </c>
      <c r="AL51">
        <v>321300</v>
      </c>
      <c r="AM51">
        <v>366000</v>
      </c>
      <c r="AN51">
        <v>431200</v>
      </c>
      <c r="AO51">
        <v>427600</v>
      </c>
      <c r="AP51">
        <v>458600</v>
      </c>
      <c r="AQ51">
        <v>379600</v>
      </c>
      <c r="AR51">
        <v>322500</v>
      </c>
      <c r="AS51">
        <v>310000</v>
      </c>
      <c r="AT51">
        <v>334700</v>
      </c>
      <c r="AU51">
        <v>347600</v>
      </c>
      <c r="AV51">
        <v>400600</v>
      </c>
      <c r="AW51">
        <v>440800</v>
      </c>
      <c r="AX51">
        <v>467000</v>
      </c>
      <c r="AY51">
        <v>507600</v>
      </c>
      <c r="AZ51">
        <v>622800</v>
      </c>
      <c r="BA51">
        <v>690300</v>
      </c>
      <c r="BB51">
        <v>773200</v>
      </c>
      <c r="BC51">
        <v>870400</v>
      </c>
      <c r="BD51">
        <v>917900</v>
      </c>
      <c r="BE51">
        <v>991500</v>
      </c>
      <c r="BF51">
        <v>1169500</v>
      </c>
      <c r="BG51">
        <v>1055300</v>
      </c>
      <c r="BH51">
        <v>877833</v>
      </c>
      <c r="BI51">
        <v>737895</v>
      </c>
      <c r="BJ51">
        <v>675146</v>
      </c>
      <c r="BK51">
        <v>749885</v>
      </c>
      <c r="BL51">
        <v>901402</v>
      </c>
      <c r="BM51">
        <v>953217</v>
      </c>
      <c r="BN51">
        <v>943143</v>
      </c>
      <c r="BO51">
        <v>1017054</v>
      </c>
      <c r="BP51">
        <v>1023665</v>
      </c>
      <c r="BQ51">
        <v>932581</v>
      </c>
      <c r="BR51">
        <v>1697893.889</v>
      </c>
      <c r="BS51">
        <v>1829514.9469999999</v>
      </c>
      <c r="BT51">
        <v>1770111.378</v>
      </c>
      <c r="BU51">
        <v>1498996</v>
      </c>
      <c r="BV51">
        <v>1427414</v>
      </c>
      <c r="BW51">
        <v>1525922</v>
      </c>
      <c r="BX51">
        <v>1572605</v>
      </c>
      <c r="BY51">
        <v>1822880</v>
      </c>
      <c r="BZ51">
        <v>1950049</v>
      </c>
      <c r="CA51">
        <v>2033146</v>
      </c>
      <c r="CD51" s="29">
        <v>2018</v>
      </c>
      <c r="CE51" s="29" t="str" cm="1">
        <f t="array" ref="CE51">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51">
        <f>COUNTIF(Tabla1[Year],'Set Datos'!CD51)</f>
        <v>16</v>
      </c>
      <c r="CG51">
        <f>SUMIF(Tabla1[Year],Tabla2[[#This Row],[Year]],Tabla1[Aboard])</f>
        <v>1203</v>
      </c>
      <c r="CH51">
        <f>SUMIF(Tabla1[Year],'Set Datos'!CD51,Tabla1[Fatalities])</f>
        <v>838</v>
      </c>
      <c r="CI51" s="52">
        <f>Tabla2[[#This Row],[Fatalities]]/Tabla2[[#This Row],[Aboard]]</f>
        <v>0.69659185369908561</v>
      </c>
      <c r="CJ51">
        <f>SUBTOTAL(109,Tabla4[2018])</f>
        <v>36184641636.858467</v>
      </c>
      <c r="CK51" s="47">
        <f>Tabla2[[#This Row],[Fatalities]]/Tabla2[[#This Row],[Passengers carried]]</f>
        <v>2.3158996803395032E-8</v>
      </c>
    </row>
    <row r="52" spans="2:89" x14ac:dyDescent="0.3">
      <c r="B52" s="9">
        <v>50</v>
      </c>
      <c r="C52" s="49">
        <v>7654</v>
      </c>
      <c r="D52" s="55">
        <f>YEAR(Tabla1[[#This Row],[Date]])</f>
        <v>1920</v>
      </c>
      <c r="E52" s="9" t="str" cm="1">
        <f t="array" ref="E52">IFERROR(_xlfn.IFS(AND(D52&lt;1980,D52&gt;=1970),"70",AND(D52&lt;1990,D52&gt;=1980),"80",AND(D52&lt;2000,D52&gt;=1990),"90",AND(D52&lt;2010,D52&gt;=2000),"00",AND(D52&lt;=2019,D52&gt;=2010),"10"),"1908-1970")</f>
        <v>1908-1970</v>
      </c>
      <c r="F52" s="3">
        <v>0.51041666666666663</v>
      </c>
      <c r="G52" t="s">
        <v>5174</v>
      </c>
      <c r="H52" t="s">
        <v>5175</v>
      </c>
      <c r="I52" t="s">
        <v>28931</v>
      </c>
      <c r="J52" t="s">
        <v>5176</v>
      </c>
      <c r="K52" t="s">
        <v>5177</v>
      </c>
      <c r="L52" s="7" t="s">
        <v>5178</v>
      </c>
      <c r="M52" t="s">
        <v>5179</v>
      </c>
      <c r="N52">
        <v>8</v>
      </c>
      <c r="O52">
        <v>6</v>
      </c>
      <c r="P52">
        <v>2</v>
      </c>
      <c r="Q52">
        <v>4</v>
      </c>
      <c r="R52">
        <v>2</v>
      </c>
      <c r="S52">
        <v>2</v>
      </c>
      <c r="T52">
        <v>0</v>
      </c>
      <c r="U52" t="s">
        <v>5180</v>
      </c>
      <c r="V52">
        <f>Tabla1[[#This Row],[Aboard]]-Tabla1[[#This Row],[Fatalities]]</f>
        <v>4</v>
      </c>
      <c r="W52" s="50">
        <f>IFERROR(Tabla1[[#This Row],[Fatalities]]/Tabla1[[#This Row],[Aboard]],0)</f>
        <v>0.5</v>
      </c>
      <c r="X52" s="51" t="str" cm="1">
        <f t="array" ref="X52">_xlfn.IFS(Tabla1[[#This Row],[Porcentaje de muertes]]&lt;0.35,"LEVE",AND(Tabla1[[#This Row],[Porcentaje de muertes]]&gt;0.35,Tabla1[[#This Row],[Porcentaje de muertes]]&lt;0.65),"MEDIO",Tabla1[[#This Row],[Porcentaje de muertes]]&gt;0.65,"GRAVE")</f>
        <v>MEDIO</v>
      </c>
      <c r="AB52" t="s">
        <v>28453</v>
      </c>
      <c r="AC52" t="s">
        <v>28454</v>
      </c>
      <c r="AD52">
        <v>657600</v>
      </c>
      <c r="AE52">
        <v>818000</v>
      </c>
      <c r="AF52">
        <v>913500</v>
      </c>
      <c r="AG52">
        <v>936900</v>
      </c>
      <c r="AH52">
        <v>1126600</v>
      </c>
      <c r="AI52">
        <v>1580400</v>
      </c>
      <c r="AJ52">
        <v>1745000</v>
      </c>
      <c r="AK52">
        <v>1567200</v>
      </c>
      <c r="AL52">
        <v>1599200</v>
      </c>
      <c r="AM52">
        <v>1996300</v>
      </c>
      <c r="AN52">
        <v>2161900</v>
      </c>
      <c r="AO52">
        <v>3444600</v>
      </c>
      <c r="AP52">
        <v>3454900</v>
      </c>
      <c r="AQ52">
        <v>3378500</v>
      </c>
      <c r="AR52">
        <v>3621900</v>
      </c>
      <c r="AS52">
        <v>3792000</v>
      </c>
      <c r="AT52">
        <v>4223300</v>
      </c>
      <c r="AU52">
        <v>4402700</v>
      </c>
      <c r="AV52">
        <v>4521000</v>
      </c>
      <c r="AW52">
        <v>4686700</v>
      </c>
      <c r="AX52">
        <v>4412200</v>
      </c>
      <c r="AY52">
        <v>4461200</v>
      </c>
      <c r="AZ52">
        <v>4324000</v>
      </c>
      <c r="BA52">
        <v>4455100</v>
      </c>
      <c r="BB52">
        <v>4779300</v>
      </c>
      <c r="BC52">
        <v>5123200</v>
      </c>
      <c r="BD52">
        <v>4681700</v>
      </c>
      <c r="BE52">
        <v>4566100</v>
      </c>
      <c r="BF52">
        <v>4607700</v>
      </c>
      <c r="BG52">
        <v>6250100</v>
      </c>
      <c r="BH52">
        <v>6769190</v>
      </c>
      <c r="BI52">
        <v>6579219</v>
      </c>
      <c r="BJ52">
        <v>6306172</v>
      </c>
      <c r="BK52">
        <v>6210378</v>
      </c>
      <c r="BL52">
        <v>5043466</v>
      </c>
      <c r="BM52">
        <v>4742561</v>
      </c>
      <c r="BN52">
        <v>4645698</v>
      </c>
      <c r="BO52">
        <v>4918479</v>
      </c>
      <c r="BP52">
        <v>4978399</v>
      </c>
      <c r="BQ52">
        <v>4424144</v>
      </c>
      <c r="BR52">
        <v>4996231</v>
      </c>
      <c r="BS52">
        <v>5829441.176</v>
      </c>
      <c r="BT52">
        <v>5920044.8959999997</v>
      </c>
      <c r="BU52">
        <v>5475499.5999999996</v>
      </c>
      <c r="BV52">
        <v>6162872.3289999999</v>
      </c>
      <c r="BW52">
        <v>5845803</v>
      </c>
      <c r="BX52">
        <v>5986259</v>
      </c>
      <c r="BY52">
        <v>5816851</v>
      </c>
      <c r="BZ52">
        <v>6645652.5140000004</v>
      </c>
      <c r="CA52" t="s">
        <v>28966</v>
      </c>
      <c r="CD52" s="29">
        <v>2019</v>
      </c>
      <c r="CE52" s="29" t="str" cm="1">
        <f t="array" ref="CE52">_xlfn.IFS(AND(Tabla2[[#This Row],[Year]]&gt;=1970,Tabla2[[#This Row],[Year]]&lt;1980),"70",AND(Tabla2[[#This Row],[Year]]&gt;=1980,Tabla2[[#This Row],[Year]]&lt;1990),"80",AND(Tabla2[[#This Row],[Year]]&gt;=1990,Tabla2[[#This Row],[Year]]&lt;2000),"90",AND(Tabla2[[#This Row],[Year]]&gt;=2000,Tabla2[[#This Row],[Year]]&lt;2010),"00",AND(Tabla2[[#This Row],[Year]]&gt;=2010,Tabla2[[#This Row],[Year]]&lt;=2019),"10")</f>
        <v>10</v>
      </c>
      <c r="CF52">
        <f>COUNTIF(Tabla1[Year],'Set Datos'!CD52)</f>
        <v>9</v>
      </c>
      <c r="CG52">
        <f>SUMIF(Tabla1[Year],Tabla2[[#This Row],[Year]],Tabla1[Aboard])</f>
        <v>305</v>
      </c>
      <c r="CH52">
        <f>SUMIF(Tabla1[Year],'Set Datos'!CD52,Tabla1[Fatalities])</f>
        <v>267</v>
      </c>
      <c r="CI52" s="52">
        <f>Tabla2[[#This Row],[Fatalities]]/Tabla2[[#This Row],[Aboard]]</f>
        <v>0.87540983606557377</v>
      </c>
      <c r="CJ52">
        <f>SUBTOTAL(109,Tabla4[2019])</f>
        <v>37556701651.414337</v>
      </c>
      <c r="CK52" s="47">
        <f>Tabla2[[#This Row],[Fatalities]]/Tabla2[[#This Row],[Passengers carried]]</f>
        <v>7.1092505001685932E-9</v>
      </c>
    </row>
    <row r="53" spans="2:89" x14ac:dyDescent="0.3">
      <c r="B53" s="9">
        <v>51</v>
      </c>
      <c r="C53" s="49">
        <v>7664</v>
      </c>
      <c r="D53" s="9">
        <f>YEAR(Tabla1[[#This Row],[Date]])</f>
        <v>1920</v>
      </c>
      <c r="E53" s="9" t="str" cm="1">
        <f t="array" ref="E53">IFERROR(_xlfn.IFS(AND(D53&lt;1980,D53&gt;=1970),"70",AND(D53&lt;1990,D53&gt;=1980),"80",AND(D53&lt;2000,D53&gt;=1990),"90",AND(D53&lt;2010,D53&gt;=2000),"00",AND(D53&lt;=2019,D53&gt;=2010),"10"),"1908-1970")</f>
        <v>1908-1970</v>
      </c>
      <c r="F53" s="3" t="s">
        <v>28931</v>
      </c>
      <c r="G53" t="s">
        <v>5181</v>
      </c>
      <c r="H53" t="s">
        <v>5182</v>
      </c>
      <c r="I53" t="s">
        <v>28931</v>
      </c>
      <c r="J53" t="s">
        <v>28931</v>
      </c>
      <c r="K53" t="s">
        <v>5167</v>
      </c>
      <c r="L53" s="7" t="s">
        <v>5183</v>
      </c>
      <c r="M53">
        <v>57</v>
      </c>
      <c r="N53">
        <v>1</v>
      </c>
      <c r="O53">
        <v>0</v>
      </c>
      <c r="P53">
        <v>1</v>
      </c>
      <c r="Q53">
        <v>1</v>
      </c>
      <c r="R53">
        <v>0</v>
      </c>
      <c r="S53">
        <v>1</v>
      </c>
      <c r="T53">
        <v>0</v>
      </c>
      <c r="U53" t="s">
        <v>5184</v>
      </c>
      <c r="V53">
        <f>Tabla1[[#This Row],[Aboard]]-Tabla1[[#This Row],[Fatalities]]</f>
        <v>0</v>
      </c>
      <c r="W53" s="50">
        <f>IFERROR(Tabla1[[#This Row],[Fatalities]]/Tabla1[[#This Row],[Aboard]],0)</f>
        <v>1</v>
      </c>
      <c r="X53" s="51" t="str" cm="1">
        <f t="array" ref="X53">_xlfn.IFS(Tabla1[[#This Row],[Porcentaje de muertes]]&lt;0.35,"LEVE",AND(Tabla1[[#This Row],[Porcentaje de muertes]]&gt;0.35,Tabla1[[#This Row],[Porcentaje de muertes]]&lt;0.65),"MEDIO",Tabla1[[#This Row],[Porcentaje de muertes]]&gt;0.65,"GRAVE")</f>
        <v>GRAVE</v>
      </c>
      <c r="AB53" t="s">
        <v>28455</v>
      </c>
      <c r="AC53" t="s">
        <v>28456</v>
      </c>
      <c r="AD53">
        <v>873500</v>
      </c>
      <c r="AE53">
        <v>979200</v>
      </c>
      <c r="AF53">
        <v>988300</v>
      </c>
      <c r="AG53">
        <v>805500</v>
      </c>
      <c r="AH53">
        <v>689200</v>
      </c>
      <c r="AI53">
        <v>711100</v>
      </c>
      <c r="AJ53">
        <v>716600</v>
      </c>
      <c r="AK53">
        <v>634800</v>
      </c>
      <c r="AL53">
        <v>725500</v>
      </c>
      <c r="AM53">
        <v>819400</v>
      </c>
      <c r="AN53">
        <v>675600</v>
      </c>
      <c r="AO53">
        <v>650700</v>
      </c>
      <c r="AP53">
        <v>135000</v>
      </c>
      <c r="AQ53">
        <v>839400</v>
      </c>
      <c r="AR53">
        <v>839100</v>
      </c>
      <c r="AS53">
        <v>894400</v>
      </c>
      <c r="AT53">
        <v>913200</v>
      </c>
      <c r="AU53">
        <v>889000</v>
      </c>
      <c r="AV53">
        <v>963900</v>
      </c>
      <c r="AW53">
        <v>989800</v>
      </c>
      <c r="AX53">
        <v>1137500</v>
      </c>
      <c r="AY53">
        <v>830600</v>
      </c>
      <c r="AZ53">
        <v>733000</v>
      </c>
      <c r="BA53">
        <v>624100</v>
      </c>
      <c r="BB53">
        <v>730900</v>
      </c>
      <c r="BC53">
        <v>823700</v>
      </c>
      <c r="BD53">
        <v>928700</v>
      </c>
      <c r="BE53">
        <v>1117000</v>
      </c>
      <c r="BF53">
        <v>1138400</v>
      </c>
      <c r="BG53">
        <v>1259000</v>
      </c>
      <c r="BH53">
        <v>1007193</v>
      </c>
      <c r="BI53">
        <v>882309</v>
      </c>
      <c r="BJ53">
        <v>588700</v>
      </c>
      <c r="BK53">
        <v>610957</v>
      </c>
      <c r="BL53">
        <v>743256</v>
      </c>
      <c r="BM53">
        <v>812781</v>
      </c>
      <c r="BN53">
        <v>811559</v>
      </c>
      <c r="BO53">
        <v>857213</v>
      </c>
      <c r="BP53">
        <v>861352</v>
      </c>
      <c r="BQ53">
        <v>780484</v>
      </c>
      <c r="BR53">
        <v>1578011.7890000001</v>
      </c>
      <c r="BS53">
        <v>1478595.959</v>
      </c>
      <c r="BT53">
        <v>1313502.6839999999</v>
      </c>
      <c r="BU53">
        <v>1395072</v>
      </c>
      <c r="BV53">
        <v>1135200</v>
      </c>
      <c r="BW53">
        <v>1294458</v>
      </c>
      <c r="BX53">
        <v>1333078</v>
      </c>
      <c r="BY53">
        <v>942785</v>
      </c>
      <c r="BZ53">
        <v>563540</v>
      </c>
      <c r="CA53">
        <v>457712.99900000001</v>
      </c>
    </row>
    <row r="54" spans="2:89" x14ac:dyDescent="0.3">
      <c r="B54" s="9">
        <v>52</v>
      </c>
      <c r="C54" s="49">
        <v>7732</v>
      </c>
      <c r="D54" s="9">
        <f>YEAR(Tabla1[[#This Row],[Date]])</f>
        <v>1921</v>
      </c>
      <c r="E54" s="9" t="str" cm="1">
        <f t="array" ref="E54">IFERROR(_xlfn.IFS(AND(D54&lt;1980,D54&gt;=1970),"70",AND(D54&lt;1990,D54&gt;=1980),"80",AND(D54&lt;2000,D54&gt;=1990),"90",AND(D54&lt;2010,D54&gt;=2000),"00",AND(D54&lt;=2019,D54&gt;=2010),"10"),"1908-1970")</f>
        <v>1908-1970</v>
      </c>
      <c r="F54" s="3" t="s">
        <v>28931</v>
      </c>
      <c r="G54" t="s">
        <v>5185</v>
      </c>
      <c r="H54" t="s">
        <v>5096</v>
      </c>
      <c r="I54" t="s">
        <v>28931</v>
      </c>
      <c r="J54" t="s">
        <v>28931</v>
      </c>
      <c r="K54" t="s">
        <v>5097</v>
      </c>
      <c r="L54" s="7">
        <v>130</v>
      </c>
      <c r="M54" t="s">
        <v>28931</v>
      </c>
      <c r="N54">
        <v>1</v>
      </c>
      <c r="O54">
        <v>0</v>
      </c>
      <c r="P54">
        <v>1</v>
      </c>
      <c r="Q54">
        <v>1</v>
      </c>
      <c r="R54">
        <v>0</v>
      </c>
      <c r="S54">
        <v>1</v>
      </c>
      <c r="T54">
        <v>0</v>
      </c>
      <c r="U54" t="s">
        <v>5186</v>
      </c>
      <c r="V54">
        <f>Tabla1[[#This Row],[Aboard]]-Tabla1[[#This Row],[Fatalities]]</f>
        <v>0</v>
      </c>
      <c r="W54" s="50">
        <f>IFERROR(Tabla1[[#This Row],[Fatalities]]/Tabla1[[#This Row],[Aboard]],0)</f>
        <v>1</v>
      </c>
      <c r="X54" s="51" t="str" cm="1">
        <f t="array" ref="X54">_xlfn.IFS(Tabla1[[#This Row],[Porcentaje de muertes]]&lt;0.35,"LEVE",AND(Tabla1[[#This Row],[Porcentaje de muertes]]&gt;0.35,Tabla1[[#This Row],[Porcentaje de muertes]]&lt;0.65),"MEDIO",Tabla1[[#This Row],[Porcentaje de muertes]]&gt;0.65,"GRAVE")</f>
        <v>GRAVE</v>
      </c>
      <c r="AB54" t="s">
        <v>28457</v>
      </c>
      <c r="AC54" t="s">
        <v>28458</v>
      </c>
      <c r="AD54" t="s">
        <v>28966</v>
      </c>
      <c r="AE54" t="s">
        <v>28966</v>
      </c>
      <c r="AF54" t="s">
        <v>28966</v>
      </c>
      <c r="AG54" t="s">
        <v>28966</v>
      </c>
      <c r="AH54" t="s">
        <v>28966</v>
      </c>
      <c r="AI54" t="s">
        <v>28966</v>
      </c>
      <c r="AJ54" t="s">
        <v>28966</v>
      </c>
      <c r="AK54" t="s">
        <v>28966</v>
      </c>
      <c r="AL54" t="s">
        <v>28966</v>
      </c>
      <c r="AM54" t="s">
        <v>28966</v>
      </c>
      <c r="AN54" t="s">
        <v>28966</v>
      </c>
      <c r="AO54" t="s">
        <v>28966</v>
      </c>
      <c r="AP54" t="s">
        <v>28966</v>
      </c>
      <c r="AQ54" t="s">
        <v>28966</v>
      </c>
      <c r="AR54" t="s">
        <v>28966</v>
      </c>
      <c r="AS54" t="s">
        <v>28966</v>
      </c>
      <c r="AT54" t="s">
        <v>28966</v>
      </c>
      <c r="AU54" t="s">
        <v>28966</v>
      </c>
      <c r="AV54" t="s">
        <v>28966</v>
      </c>
      <c r="AW54" t="s">
        <v>28966</v>
      </c>
      <c r="AX54" t="s">
        <v>28966</v>
      </c>
      <c r="AY54" t="s">
        <v>28966</v>
      </c>
      <c r="AZ54" t="s">
        <v>28966</v>
      </c>
      <c r="BA54" t="s">
        <v>28966</v>
      </c>
      <c r="BB54" t="s">
        <v>28966</v>
      </c>
      <c r="BC54" t="s">
        <v>28966</v>
      </c>
      <c r="BD54" t="s">
        <v>28966</v>
      </c>
      <c r="BE54" t="s">
        <v>28966</v>
      </c>
      <c r="BF54" t="s">
        <v>28966</v>
      </c>
      <c r="BG54" t="s">
        <v>28966</v>
      </c>
      <c r="BH54" t="s">
        <v>28966</v>
      </c>
      <c r="BI54" t="s">
        <v>28966</v>
      </c>
      <c r="BJ54" t="s">
        <v>28966</v>
      </c>
      <c r="BK54" t="s">
        <v>28966</v>
      </c>
      <c r="BL54" t="s">
        <v>28966</v>
      </c>
      <c r="BM54" t="s">
        <v>28966</v>
      </c>
      <c r="BN54" t="s">
        <v>28966</v>
      </c>
      <c r="BO54" t="s">
        <v>28966</v>
      </c>
      <c r="BP54" t="s">
        <v>28966</v>
      </c>
      <c r="BQ54" t="s">
        <v>28966</v>
      </c>
      <c r="BR54" t="s">
        <v>28966</v>
      </c>
      <c r="BS54" t="s">
        <v>28966</v>
      </c>
      <c r="BT54" t="s">
        <v>28966</v>
      </c>
      <c r="BU54" t="s">
        <v>28966</v>
      </c>
      <c r="BV54" t="s">
        <v>28966</v>
      </c>
      <c r="BW54" t="s">
        <v>28966</v>
      </c>
      <c r="BX54" t="s">
        <v>28966</v>
      </c>
      <c r="BY54" t="s">
        <v>28966</v>
      </c>
      <c r="BZ54" t="s">
        <v>28966</v>
      </c>
      <c r="CA54" t="s">
        <v>28966</v>
      </c>
    </row>
    <row r="55" spans="2:89" x14ac:dyDescent="0.3">
      <c r="B55" s="9">
        <v>53</v>
      </c>
      <c r="C55" s="49">
        <v>7916</v>
      </c>
      <c r="D55" s="9">
        <f>YEAR(Tabla1[[#This Row],[Date]])</f>
        <v>1921</v>
      </c>
      <c r="E55" s="9" t="str" cm="1">
        <f t="array" ref="E55">IFERROR(_xlfn.IFS(AND(D55&lt;1980,D55&gt;=1970),"70",AND(D55&lt;1990,D55&gt;=1980),"80",AND(D55&lt;2000,D55&gt;=1990),"90",AND(D55&lt;2010,D55&gt;=2000),"00",AND(D55&lt;=2019,D55&gt;=2010),"10"),"1908-1970")</f>
        <v>1908-1970</v>
      </c>
      <c r="F55" s="3" t="s">
        <v>28931</v>
      </c>
      <c r="G55" t="s">
        <v>5187</v>
      </c>
      <c r="H55" t="s">
        <v>5096</v>
      </c>
      <c r="I55" t="s">
        <v>28931</v>
      </c>
      <c r="J55" t="s">
        <v>28931</v>
      </c>
      <c r="K55" t="s">
        <v>5157</v>
      </c>
      <c r="L55" s="7">
        <v>301</v>
      </c>
      <c r="M55" t="s">
        <v>28931</v>
      </c>
      <c r="N55">
        <v>3</v>
      </c>
      <c r="O55">
        <v>0</v>
      </c>
      <c r="P55">
        <v>3</v>
      </c>
      <c r="Q55">
        <v>3</v>
      </c>
      <c r="R55">
        <v>0</v>
      </c>
      <c r="S55">
        <v>3</v>
      </c>
      <c r="T55">
        <v>0</v>
      </c>
      <c r="U55" t="s">
        <v>5188</v>
      </c>
      <c r="V55">
        <f>Tabla1[[#This Row],[Aboard]]-Tabla1[[#This Row],[Fatalities]]</f>
        <v>0</v>
      </c>
      <c r="W55" s="50">
        <f>IFERROR(Tabla1[[#This Row],[Fatalities]]/Tabla1[[#This Row],[Aboard]],0)</f>
        <v>1</v>
      </c>
      <c r="X55" s="51" t="str" cm="1">
        <f t="array" ref="X55">_xlfn.IFS(Tabla1[[#This Row],[Porcentaje de muertes]]&lt;0.35,"LEVE",AND(Tabla1[[#This Row],[Porcentaje de muertes]]&gt;0.35,Tabla1[[#This Row],[Porcentaje de muertes]]&lt;0.65),"MEDIO",Tabla1[[#This Row],[Porcentaje de muertes]]&gt;0.65,"GRAVE")</f>
        <v>GRAVE</v>
      </c>
      <c r="AB55" t="s">
        <v>28459</v>
      </c>
      <c r="AC55" t="s">
        <v>28460</v>
      </c>
      <c r="AD55" t="s">
        <v>28966</v>
      </c>
      <c r="AE55" t="s">
        <v>28966</v>
      </c>
      <c r="AF55" t="s">
        <v>28966</v>
      </c>
      <c r="AG55" t="s">
        <v>28966</v>
      </c>
      <c r="AH55" t="s">
        <v>28966</v>
      </c>
      <c r="AI55" t="s">
        <v>28966</v>
      </c>
      <c r="AJ55" t="s">
        <v>28966</v>
      </c>
      <c r="AK55" t="s">
        <v>28966</v>
      </c>
      <c r="AL55" t="s">
        <v>28966</v>
      </c>
      <c r="AM55" t="s">
        <v>28966</v>
      </c>
      <c r="AN55" t="s">
        <v>28966</v>
      </c>
      <c r="AO55" t="s">
        <v>28966</v>
      </c>
      <c r="AP55" t="s">
        <v>28966</v>
      </c>
      <c r="AQ55" t="s">
        <v>28966</v>
      </c>
      <c r="AR55" t="s">
        <v>28966</v>
      </c>
      <c r="AS55" t="s">
        <v>28966</v>
      </c>
      <c r="AT55" t="s">
        <v>28966</v>
      </c>
      <c r="AU55" t="s">
        <v>28966</v>
      </c>
      <c r="AV55" t="s">
        <v>28966</v>
      </c>
      <c r="AW55" t="s">
        <v>28966</v>
      </c>
      <c r="AX55" t="s">
        <v>28966</v>
      </c>
      <c r="AY55" t="s">
        <v>28966</v>
      </c>
      <c r="AZ55" t="s">
        <v>28966</v>
      </c>
      <c r="BA55" t="s">
        <v>28966</v>
      </c>
      <c r="BB55" t="s">
        <v>28966</v>
      </c>
      <c r="BC55" t="s">
        <v>28966</v>
      </c>
      <c r="BD55" t="s">
        <v>28966</v>
      </c>
      <c r="BE55" t="s">
        <v>28966</v>
      </c>
      <c r="BF55" t="s">
        <v>28966</v>
      </c>
      <c r="BG55" t="s">
        <v>28966</v>
      </c>
      <c r="BH55" t="s">
        <v>28966</v>
      </c>
      <c r="BI55" t="s">
        <v>28966</v>
      </c>
      <c r="BJ55" t="s">
        <v>28966</v>
      </c>
      <c r="BK55" t="s">
        <v>28966</v>
      </c>
      <c r="BL55" t="s">
        <v>28966</v>
      </c>
      <c r="BM55" t="s">
        <v>28966</v>
      </c>
      <c r="BN55" t="s">
        <v>28966</v>
      </c>
      <c r="BO55" t="s">
        <v>28966</v>
      </c>
      <c r="BP55" t="s">
        <v>28966</v>
      </c>
      <c r="BQ55" t="s">
        <v>28966</v>
      </c>
      <c r="BR55" t="s">
        <v>28966</v>
      </c>
      <c r="BS55" t="s">
        <v>28966</v>
      </c>
      <c r="BT55" t="s">
        <v>28966</v>
      </c>
      <c r="BU55" t="s">
        <v>28966</v>
      </c>
      <c r="BV55" t="s">
        <v>28966</v>
      </c>
      <c r="BW55" t="s">
        <v>28966</v>
      </c>
      <c r="BX55" t="s">
        <v>28966</v>
      </c>
      <c r="BY55" t="s">
        <v>28966</v>
      </c>
      <c r="BZ55" t="s">
        <v>28966</v>
      </c>
      <c r="CA55" t="s">
        <v>28966</v>
      </c>
    </row>
    <row r="56" spans="2:89" x14ac:dyDescent="0.3">
      <c r="B56" s="9">
        <v>54</v>
      </c>
      <c r="C56" s="49">
        <v>7717</v>
      </c>
      <c r="D56" s="9">
        <f>YEAR(Tabla1[[#This Row],[Date]])</f>
        <v>1921</v>
      </c>
      <c r="E56" s="9" t="str" cm="1">
        <f t="array" ref="E56">IFERROR(_xlfn.IFS(AND(D56&lt;1980,D56&gt;=1970),"70",AND(D56&lt;1990,D56&gt;=1980),"80",AND(D56&lt;2000,D56&gt;=1990),"90",AND(D56&lt;2010,D56&gt;=2000),"00",AND(D56&lt;=2019,D56&gt;=2010),"10"),"1908-1970")</f>
        <v>1908-1970</v>
      </c>
      <c r="F56" s="3" t="s">
        <v>28931</v>
      </c>
      <c r="G56" t="s">
        <v>5189</v>
      </c>
      <c r="H56" t="s">
        <v>5182</v>
      </c>
      <c r="I56" t="s">
        <v>28931</v>
      </c>
      <c r="J56" t="s">
        <v>28931</v>
      </c>
      <c r="K56" t="s">
        <v>5167</v>
      </c>
      <c r="L56" s="7" t="s">
        <v>5190</v>
      </c>
      <c r="M56" t="s">
        <v>28931</v>
      </c>
      <c r="N56">
        <v>2</v>
      </c>
      <c r="O56">
        <v>0</v>
      </c>
      <c r="P56">
        <v>2</v>
      </c>
      <c r="Q56">
        <v>2</v>
      </c>
      <c r="R56">
        <v>0</v>
      </c>
      <c r="S56">
        <v>2</v>
      </c>
      <c r="T56">
        <v>0</v>
      </c>
      <c r="U56" t="s">
        <v>5191</v>
      </c>
      <c r="V56">
        <f>Tabla1[[#This Row],[Aboard]]-Tabla1[[#This Row],[Fatalities]]</f>
        <v>0</v>
      </c>
      <c r="W56" s="50">
        <f>IFERROR(Tabla1[[#This Row],[Fatalities]]/Tabla1[[#This Row],[Aboard]],0)</f>
        <v>1</v>
      </c>
      <c r="X56" s="51" t="str" cm="1">
        <f t="array" ref="X56">_xlfn.IFS(Tabla1[[#This Row],[Porcentaje de muertes]]&lt;0.35,"LEVE",AND(Tabla1[[#This Row],[Porcentaje de muertes]]&gt;0.35,Tabla1[[#This Row],[Porcentaje de muertes]]&lt;0.65),"MEDIO",Tabla1[[#This Row],[Porcentaje de muertes]]&gt;0.65,"GRAVE")</f>
        <v>GRAVE</v>
      </c>
      <c r="AB56" t="s">
        <v>28461</v>
      </c>
      <c r="AC56" t="s">
        <v>28462</v>
      </c>
      <c r="AD56">
        <v>106500</v>
      </c>
      <c r="AE56">
        <v>150200</v>
      </c>
      <c r="AF56">
        <v>201000</v>
      </c>
      <c r="AG56">
        <v>233100</v>
      </c>
      <c r="AH56">
        <v>125700</v>
      </c>
      <c r="AI56">
        <v>135800</v>
      </c>
      <c r="AJ56">
        <v>225300</v>
      </c>
      <c r="AK56">
        <v>266300</v>
      </c>
      <c r="AL56">
        <v>315300</v>
      </c>
      <c r="AM56">
        <v>387500</v>
      </c>
      <c r="AN56">
        <v>440800</v>
      </c>
      <c r="AO56">
        <v>455000</v>
      </c>
      <c r="AP56">
        <v>454300</v>
      </c>
      <c r="AQ56">
        <v>485300</v>
      </c>
      <c r="AR56">
        <v>563000</v>
      </c>
      <c r="AS56">
        <v>613400</v>
      </c>
      <c r="AT56">
        <v>620500</v>
      </c>
      <c r="AU56">
        <v>683700</v>
      </c>
      <c r="AV56">
        <v>696900</v>
      </c>
      <c r="AW56">
        <v>747700</v>
      </c>
      <c r="AX56">
        <v>813700</v>
      </c>
      <c r="AY56">
        <v>819700</v>
      </c>
      <c r="AZ56">
        <v>946800</v>
      </c>
      <c r="BA56">
        <v>1011000</v>
      </c>
      <c r="BB56">
        <v>1233900</v>
      </c>
      <c r="BC56">
        <v>1218900</v>
      </c>
      <c r="BD56">
        <v>1214100</v>
      </c>
      <c r="BE56">
        <v>1278100</v>
      </c>
      <c r="BF56">
        <v>1346400</v>
      </c>
      <c r="BG56">
        <v>1336700</v>
      </c>
      <c r="BH56">
        <v>1396076</v>
      </c>
      <c r="BI56">
        <v>1503427</v>
      </c>
      <c r="BJ56">
        <v>1704780</v>
      </c>
      <c r="BK56">
        <v>1882981</v>
      </c>
      <c r="BL56">
        <v>2013254</v>
      </c>
      <c r="BM56">
        <v>1920516</v>
      </c>
      <c r="BN56">
        <v>1944138</v>
      </c>
      <c r="BO56">
        <v>2071648</v>
      </c>
      <c r="BP56">
        <v>2111205</v>
      </c>
      <c r="BQ56">
        <v>1943949</v>
      </c>
      <c r="BR56">
        <v>1583627</v>
      </c>
      <c r="BS56">
        <v>1263117</v>
      </c>
      <c r="BT56">
        <v>1285976</v>
      </c>
      <c r="BU56">
        <v>1211208</v>
      </c>
      <c r="BV56">
        <v>688368</v>
      </c>
      <c r="BW56">
        <v>23405</v>
      </c>
      <c r="BX56">
        <v>224653</v>
      </c>
      <c r="BY56">
        <v>711554</v>
      </c>
      <c r="BZ56">
        <v>401408</v>
      </c>
      <c r="CA56">
        <v>395436</v>
      </c>
    </row>
    <row r="57" spans="2:89" x14ac:dyDescent="0.3">
      <c r="B57" s="9">
        <v>55</v>
      </c>
      <c r="C57" s="49">
        <v>7724</v>
      </c>
      <c r="D57" s="9">
        <f>YEAR(Tabla1[[#This Row],[Date]])</f>
        <v>1921</v>
      </c>
      <c r="E57" s="9" t="str" cm="1">
        <f t="array" ref="E57">IFERROR(_xlfn.IFS(AND(D57&lt;1980,D57&gt;=1970),"70",AND(D57&lt;1990,D57&gt;=1980),"80",AND(D57&lt;2000,D57&gt;=1990),"90",AND(D57&lt;2010,D57&gt;=2000),"00",AND(D57&lt;=2019,D57&gt;=2010),"10"),"1908-1970")</f>
        <v>1908-1970</v>
      </c>
      <c r="F57" s="3" t="s">
        <v>28931</v>
      </c>
      <c r="G57" t="s">
        <v>5192</v>
      </c>
      <c r="H57" t="s">
        <v>5096</v>
      </c>
      <c r="I57" t="s">
        <v>28931</v>
      </c>
      <c r="J57" t="s">
        <v>28931</v>
      </c>
      <c r="K57" t="s">
        <v>5097</v>
      </c>
      <c r="L57" s="7">
        <v>67</v>
      </c>
      <c r="M57" t="s">
        <v>28931</v>
      </c>
      <c r="N57">
        <v>1</v>
      </c>
      <c r="O57">
        <v>0</v>
      </c>
      <c r="P57">
        <v>1</v>
      </c>
      <c r="Q57">
        <v>1</v>
      </c>
      <c r="R57">
        <v>0</v>
      </c>
      <c r="S57">
        <v>1</v>
      </c>
      <c r="T57">
        <v>0</v>
      </c>
      <c r="U57" t="s">
        <v>5193</v>
      </c>
      <c r="V57">
        <f>Tabla1[[#This Row],[Aboard]]-Tabla1[[#This Row],[Fatalities]]</f>
        <v>0</v>
      </c>
      <c r="W57" s="50">
        <f>IFERROR(Tabla1[[#This Row],[Fatalities]]/Tabla1[[#This Row],[Aboard]],0)</f>
        <v>1</v>
      </c>
      <c r="X57" s="51" t="str" cm="1">
        <f t="array" ref="X57">_xlfn.IFS(Tabla1[[#This Row],[Porcentaje de muertes]]&lt;0.35,"LEVE",AND(Tabla1[[#This Row],[Porcentaje de muertes]]&gt;0.35,Tabla1[[#This Row],[Porcentaje de muertes]]&lt;0.65),"MEDIO",Tabla1[[#This Row],[Porcentaje de muertes]]&gt;0.65,"GRAVE")</f>
        <v>GRAVE</v>
      </c>
      <c r="AB57" t="s">
        <v>28463</v>
      </c>
      <c r="AC57" t="s">
        <v>28464</v>
      </c>
      <c r="AD57">
        <v>1171900</v>
      </c>
      <c r="AE57">
        <v>1092500</v>
      </c>
      <c r="AF57">
        <v>1364400</v>
      </c>
      <c r="AG57">
        <v>1367000</v>
      </c>
      <c r="AH57">
        <v>1514700</v>
      </c>
      <c r="AI57">
        <v>1621000</v>
      </c>
      <c r="AJ57">
        <v>1656800</v>
      </c>
      <c r="AK57">
        <v>1538100</v>
      </c>
      <c r="AL57">
        <v>1680300</v>
      </c>
      <c r="AM57">
        <v>1758600</v>
      </c>
      <c r="AN57">
        <v>1460800</v>
      </c>
      <c r="AO57">
        <v>955000</v>
      </c>
      <c r="AP57">
        <v>852600</v>
      </c>
      <c r="AQ57">
        <v>908400</v>
      </c>
      <c r="AR57">
        <v>910700</v>
      </c>
      <c r="AS57">
        <v>980300</v>
      </c>
      <c r="AT57">
        <v>991000</v>
      </c>
      <c r="AU57">
        <v>1069600</v>
      </c>
      <c r="AV57">
        <v>1153800</v>
      </c>
      <c r="AW57">
        <v>1168800</v>
      </c>
      <c r="AX57">
        <v>1095700</v>
      </c>
      <c r="AY57">
        <v>837400</v>
      </c>
      <c r="AZ57">
        <v>973800</v>
      </c>
      <c r="BA57">
        <v>1024900</v>
      </c>
      <c r="BB57">
        <v>1071600</v>
      </c>
      <c r="BC57">
        <v>1284600</v>
      </c>
      <c r="BD57">
        <v>1393600</v>
      </c>
      <c r="BE57">
        <v>1447800</v>
      </c>
      <c r="BF57">
        <v>1600800</v>
      </c>
      <c r="BG57">
        <v>1852600</v>
      </c>
      <c r="BH57">
        <v>2229216</v>
      </c>
      <c r="BI57">
        <v>2565808</v>
      </c>
      <c r="BJ57">
        <v>2808793</v>
      </c>
      <c r="BK57">
        <v>3391474</v>
      </c>
      <c r="BL57">
        <v>4219478</v>
      </c>
      <c r="BM57">
        <v>4706226</v>
      </c>
      <c r="BN57">
        <v>4921600</v>
      </c>
      <c r="BO57">
        <v>4869586</v>
      </c>
      <c r="BP57">
        <v>4974879</v>
      </c>
      <c r="BQ57">
        <v>5048360</v>
      </c>
      <c r="BR57">
        <v>5145187</v>
      </c>
      <c r="BS57">
        <v>4902816</v>
      </c>
      <c r="BT57">
        <v>3594882</v>
      </c>
      <c r="BU57">
        <v>5186676</v>
      </c>
      <c r="BV57">
        <v>5009995</v>
      </c>
      <c r="BW57">
        <v>3378028</v>
      </c>
      <c r="BX57">
        <v>4048658</v>
      </c>
      <c r="BY57">
        <v>5450671</v>
      </c>
      <c r="BZ57">
        <v>8851291</v>
      </c>
      <c r="CA57">
        <v>5446163.2000000002</v>
      </c>
    </row>
    <row r="58" spans="2:89" x14ac:dyDescent="0.3">
      <c r="B58" s="9">
        <v>56</v>
      </c>
      <c r="C58" s="49">
        <v>7826</v>
      </c>
      <c r="D58" s="9">
        <f>YEAR(Tabla1[[#This Row],[Date]])</f>
        <v>1921</v>
      </c>
      <c r="E58" s="9" t="str" cm="1">
        <f t="array" ref="E58">IFERROR(_xlfn.IFS(AND(D58&lt;1980,D58&gt;=1970),"70",AND(D58&lt;1990,D58&gt;=1980),"80",AND(D58&lt;2000,D58&gt;=1990),"90",AND(D58&lt;2010,D58&gt;=2000),"00",AND(D58&lt;=2019,D58&gt;=2010),"10"),"1908-1970")</f>
        <v>1908-1970</v>
      </c>
      <c r="F58" s="3" t="s">
        <v>28931</v>
      </c>
      <c r="G58" t="s">
        <v>5194</v>
      </c>
      <c r="H58" t="s">
        <v>5195</v>
      </c>
      <c r="I58" t="s">
        <v>28931</v>
      </c>
      <c r="J58" t="s">
        <v>28931</v>
      </c>
      <c r="K58" t="s">
        <v>28937</v>
      </c>
      <c r="L58" s="7" t="s">
        <v>5196</v>
      </c>
      <c r="M58" t="s">
        <v>28931</v>
      </c>
      <c r="N58">
        <v>2</v>
      </c>
      <c r="O58">
        <v>0</v>
      </c>
      <c r="P58">
        <v>0</v>
      </c>
      <c r="Q58">
        <v>2</v>
      </c>
      <c r="R58">
        <v>0</v>
      </c>
      <c r="S58">
        <v>0</v>
      </c>
      <c r="T58">
        <v>0</v>
      </c>
      <c r="U58" t="s">
        <v>5197</v>
      </c>
      <c r="V58">
        <f>Tabla1[[#This Row],[Aboard]]-Tabla1[[#This Row],[Fatalities]]</f>
        <v>0</v>
      </c>
      <c r="W58" s="50">
        <f>IFERROR(Tabla1[[#This Row],[Fatalities]]/Tabla1[[#This Row],[Aboard]],0)</f>
        <v>1</v>
      </c>
      <c r="X58" s="51" t="str" cm="1">
        <f t="array" ref="X58">_xlfn.IFS(Tabla1[[#This Row],[Porcentaje de muertes]]&lt;0.35,"LEVE",AND(Tabla1[[#This Row],[Porcentaje de muertes]]&gt;0.35,Tabla1[[#This Row],[Porcentaje de muertes]]&lt;0.65),"MEDIO",Tabla1[[#This Row],[Porcentaje de muertes]]&gt;0.65,"GRAVE")</f>
        <v>GRAVE</v>
      </c>
      <c r="AB58" t="s">
        <v>28465</v>
      </c>
      <c r="AC58" t="s">
        <v>28466</v>
      </c>
      <c r="AD58">
        <v>6498000</v>
      </c>
      <c r="AE58">
        <v>7029200</v>
      </c>
      <c r="AF58">
        <v>7919100</v>
      </c>
      <c r="AG58">
        <v>7371300</v>
      </c>
      <c r="AH58">
        <v>8886900</v>
      </c>
      <c r="AI58">
        <v>9369200</v>
      </c>
      <c r="AJ58">
        <v>10418600</v>
      </c>
      <c r="AK58">
        <v>10907500</v>
      </c>
      <c r="AL58">
        <v>11709800</v>
      </c>
      <c r="AM58">
        <v>12843900</v>
      </c>
      <c r="AN58">
        <v>13046400</v>
      </c>
      <c r="AO58">
        <v>12964400</v>
      </c>
      <c r="AP58">
        <v>12755000</v>
      </c>
      <c r="AQ58">
        <v>13099900</v>
      </c>
      <c r="AR58">
        <v>14051800</v>
      </c>
      <c r="AS58">
        <v>14551300</v>
      </c>
      <c r="AT58">
        <v>15174000</v>
      </c>
      <c r="AU58">
        <v>17011400</v>
      </c>
      <c r="AV58">
        <v>17894900</v>
      </c>
      <c r="AW58">
        <v>19056900</v>
      </c>
      <c r="AX58">
        <v>22146900</v>
      </c>
      <c r="AY58">
        <v>24829500</v>
      </c>
      <c r="AZ58">
        <v>27577800</v>
      </c>
      <c r="BA58">
        <v>29362600</v>
      </c>
      <c r="BB58">
        <v>32465300</v>
      </c>
      <c r="BC58">
        <v>34680100</v>
      </c>
      <c r="BD58">
        <v>40118400</v>
      </c>
      <c r="BE58">
        <v>45804500</v>
      </c>
      <c r="BF58">
        <v>49279800</v>
      </c>
      <c r="BG58">
        <v>54652800</v>
      </c>
      <c r="BH58">
        <v>57962865</v>
      </c>
      <c r="BI58">
        <v>56389365</v>
      </c>
      <c r="BJ58">
        <v>61889678</v>
      </c>
      <c r="BK58">
        <v>72693124</v>
      </c>
      <c r="BL58">
        <v>82099657</v>
      </c>
      <c r="BM58">
        <v>90788848</v>
      </c>
      <c r="BN58">
        <v>99647314</v>
      </c>
      <c r="BO58">
        <v>106101747</v>
      </c>
      <c r="BP58">
        <v>107941584</v>
      </c>
      <c r="BQ58">
        <v>103396735</v>
      </c>
      <c r="BR58">
        <v>97330734.280000001</v>
      </c>
      <c r="BS58">
        <v>107042775.8</v>
      </c>
      <c r="BT58">
        <v>105978474.5</v>
      </c>
      <c r="BU58">
        <v>109062321.5</v>
      </c>
      <c r="BV58">
        <v>112353098.59999999</v>
      </c>
      <c r="BW58">
        <v>117222850</v>
      </c>
      <c r="BX58">
        <v>116713587</v>
      </c>
      <c r="BY58">
        <v>114160685</v>
      </c>
      <c r="BZ58">
        <v>109796202.2</v>
      </c>
      <c r="CA58">
        <v>109633750.7</v>
      </c>
    </row>
    <row r="59" spans="2:89" x14ac:dyDescent="0.3">
      <c r="B59" s="9">
        <v>57</v>
      </c>
      <c r="C59" s="49">
        <v>7782</v>
      </c>
      <c r="D59" s="9">
        <f>YEAR(Tabla1[[#This Row],[Date]])</f>
        <v>1921</v>
      </c>
      <c r="E59" s="9" t="str" cm="1">
        <f t="array" ref="E59">IFERROR(_xlfn.IFS(AND(D59&lt;1980,D59&gt;=1970),"70",AND(D59&lt;1990,D59&gt;=1980),"80",AND(D59&lt;2000,D59&gt;=1990),"90",AND(D59&lt;2010,D59&gt;=2000),"00",AND(D59&lt;=2019,D59&gt;=2010),"10"),"1908-1970")</f>
        <v>1908-1970</v>
      </c>
      <c r="F59" s="3" t="s">
        <v>28931</v>
      </c>
      <c r="G59" t="s">
        <v>5198</v>
      </c>
      <c r="H59" t="s">
        <v>5096</v>
      </c>
      <c r="I59" t="s">
        <v>28931</v>
      </c>
      <c r="J59" t="s">
        <v>28931</v>
      </c>
      <c r="K59" t="s">
        <v>5097</v>
      </c>
      <c r="L59" s="7">
        <v>160</v>
      </c>
      <c r="M59" t="s">
        <v>28931</v>
      </c>
      <c r="N59">
        <v>1</v>
      </c>
      <c r="O59">
        <v>0</v>
      </c>
      <c r="P59">
        <v>1</v>
      </c>
      <c r="Q59">
        <v>1</v>
      </c>
      <c r="R59">
        <v>0</v>
      </c>
      <c r="S59">
        <v>1</v>
      </c>
      <c r="T59">
        <v>0</v>
      </c>
      <c r="U59" t="s">
        <v>5199</v>
      </c>
      <c r="V59">
        <f>Tabla1[[#This Row],[Aboard]]-Tabla1[[#This Row],[Fatalities]]</f>
        <v>0</v>
      </c>
      <c r="W59" s="50">
        <f>IFERROR(Tabla1[[#This Row],[Fatalities]]/Tabla1[[#This Row],[Aboard]],0)</f>
        <v>1</v>
      </c>
      <c r="X59" s="51" t="str" cm="1">
        <f t="array" ref="X59">_xlfn.IFS(Tabla1[[#This Row],[Porcentaje de muertes]]&lt;0.35,"LEVE",AND(Tabla1[[#This Row],[Porcentaje de muertes]]&gt;0.35,Tabla1[[#This Row],[Porcentaje de muertes]]&lt;0.65),"MEDIO",Tabla1[[#This Row],[Porcentaje de muertes]]&gt;0.65,"GRAVE")</f>
        <v>GRAVE</v>
      </c>
      <c r="AB59" t="s">
        <v>28467</v>
      </c>
      <c r="AC59" t="s">
        <v>28468</v>
      </c>
      <c r="AD59" t="s">
        <v>28966</v>
      </c>
      <c r="AE59" t="s">
        <v>28966</v>
      </c>
      <c r="AF59" t="s">
        <v>28966</v>
      </c>
      <c r="AG59" t="s">
        <v>28966</v>
      </c>
      <c r="AH59" t="s">
        <v>28966</v>
      </c>
      <c r="AI59" t="s">
        <v>28966</v>
      </c>
      <c r="AJ59" t="s">
        <v>28966</v>
      </c>
      <c r="AK59" t="s">
        <v>28966</v>
      </c>
      <c r="AL59">
        <v>28000</v>
      </c>
      <c r="AM59">
        <v>29000</v>
      </c>
      <c r="AN59">
        <v>62500</v>
      </c>
      <c r="AO59">
        <v>88700</v>
      </c>
      <c r="AP59">
        <v>93000</v>
      </c>
      <c r="AQ59">
        <v>110000</v>
      </c>
      <c r="AR59">
        <v>115000</v>
      </c>
      <c r="AS59">
        <v>119000</v>
      </c>
      <c r="AT59">
        <v>117000</v>
      </c>
      <c r="AU59">
        <v>124400</v>
      </c>
      <c r="AV59">
        <v>124900</v>
      </c>
      <c r="AW59">
        <v>130000</v>
      </c>
      <c r="AX59">
        <v>130500</v>
      </c>
      <c r="AY59">
        <v>130500</v>
      </c>
      <c r="AZ59" t="s">
        <v>28966</v>
      </c>
      <c r="BA59" t="s">
        <v>28966</v>
      </c>
      <c r="BB59" t="s">
        <v>28966</v>
      </c>
      <c r="BC59" t="s">
        <v>28966</v>
      </c>
      <c r="BD59" t="s">
        <v>28966</v>
      </c>
      <c r="BE59" t="s">
        <v>28966</v>
      </c>
      <c r="BF59" t="s">
        <v>28966</v>
      </c>
      <c r="BG59" t="s">
        <v>28966</v>
      </c>
      <c r="BH59" t="s">
        <v>28966</v>
      </c>
      <c r="BI59" t="s">
        <v>28966</v>
      </c>
      <c r="BJ59" t="s">
        <v>28966</v>
      </c>
      <c r="BK59" t="s">
        <v>28966</v>
      </c>
      <c r="BL59" t="s">
        <v>28966</v>
      </c>
      <c r="BM59" t="s">
        <v>28966</v>
      </c>
      <c r="BN59" t="s">
        <v>28966</v>
      </c>
      <c r="BO59" t="s">
        <v>28966</v>
      </c>
      <c r="BP59" t="s">
        <v>28966</v>
      </c>
      <c r="BQ59" t="s">
        <v>28966</v>
      </c>
      <c r="BR59" t="s">
        <v>28966</v>
      </c>
      <c r="BS59" t="s">
        <v>28966</v>
      </c>
      <c r="BT59" t="s">
        <v>28966</v>
      </c>
      <c r="BU59" t="s">
        <v>28966</v>
      </c>
      <c r="BV59" t="s">
        <v>28966</v>
      </c>
      <c r="BW59" t="s">
        <v>28966</v>
      </c>
      <c r="BX59" t="s">
        <v>28966</v>
      </c>
      <c r="BY59" t="s">
        <v>28966</v>
      </c>
      <c r="BZ59" t="s">
        <v>28966</v>
      </c>
      <c r="CA59" t="s">
        <v>28966</v>
      </c>
    </row>
    <row r="60" spans="2:89" x14ac:dyDescent="0.3">
      <c r="B60" s="9">
        <v>58</v>
      </c>
      <c r="C60" s="49">
        <v>7790</v>
      </c>
      <c r="D60" s="9">
        <f>YEAR(Tabla1[[#This Row],[Date]])</f>
        <v>1921</v>
      </c>
      <c r="E60" s="9" t="str" cm="1">
        <f t="array" ref="E60">IFERROR(_xlfn.IFS(AND(D60&lt;1980,D60&gt;=1970),"70",AND(D60&lt;1990,D60&gt;=1980),"80",AND(D60&lt;2000,D60&gt;=1990),"90",AND(D60&lt;2010,D60&gt;=2000),"00",AND(D60&lt;=2019,D60&gt;=2010),"10"),"1908-1970")</f>
        <v>1908-1970</v>
      </c>
      <c r="F60" s="3" t="s">
        <v>28931</v>
      </c>
      <c r="G60" t="s">
        <v>5099</v>
      </c>
      <c r="H60" t="s">
        <v>5096</v>
      </c>
      <c r="I60" t="s">
        <v>28931</v>
      </c>
      <c r="J60" t="s">
        <v>28931</v>
      </c>
      <c r="K60" t="s">
        <v>5097</v>
      </c>
      <c r="L60" s="7">
        <v>196</v>
      </c>
      <c r="M60" t="s">
        <v>28931</v>
      </c>
      <c r="N60">
        <v>1</v>
      </c>
      <c r="O60">
        <v>0</v>
      </c>
      <c r="P60">
        <v>1</v>
      </c>
      <c r="Q60">
        <v>1</v>
      </c>
      <c r="R60">
        <v>0</v>
      </c>
      <c r="S60">
        <v>1</v>
      </c>
      <c r="T60">
        <v>0</v>
      </c>
      <c r="U60" t="s">
        <v>5200</v>
      </c>
      <c r="V60">
        <f>Tabla1[[#This Row],[Aboard]]-Tabla1[[#This Row],[Fatalities]]</f>
        <v>0</v>
      </c>
      <c r="W60" s="50">
        <f>IFERROR(Tabla1[[#This Row],[Fatalities]]/Tabla1[[#This Row],[Aboard]],0)</f>
        <v>1</v>
      </c>
      <c r="X60" s="51" t="str" cm="1">
        <f t="array" ref="X60">_xlfn.IFS(Tabla1[[#This Row],[Porcentaje de muertes]]&lt;0.35,"LEVE",AND(Tabla1[[#This Row],[Porcentaje de muertes]]&gt;0.35,Tabla1[[#This Row],[Porcentaje de muertes]]&lt;0.65),"MEDIO",Tabla1[[#This Row],[Porcentaje de muertes]]&gt;0.65,"GRAVE")</f>
        <v>GRAVE</v>
      </c>
      <c r="AB60" t="s">
        <v>28469</v>
      </c>
      <c r="AC60" t="s">
        <v>28470</v>
      </c>
      <c r="AD60" t="s">
        <v>28966</v>
      </c>
      <c r="AE60" t="s">
        <v>28966</v>
      </c>
      <c r="AF60" t="s">
        <v>28966</v>
      </c>
      <c r="AG60" t="s">
        <v>28966</v>
      </c>
      <c r="AH60" t="s">
        <v>28966</v>
      </c>
      <c r="AI60" t="s">
        <v>28966</v>
      </c>
      <c r="AJ60" t="s">
        <v>28966</v>
      </c>
      <c r="AK60" t="s">
        <v>28966</v>
      </c>
      <c r="AL60" t="s">
        <v>28966</v>
      </c>
      <c r="AM60" t="s">
        <v>28966</v>
      </c>
      <c r="AN60" t="s">
        <v>28966</v>
      </c>
      <c r="AO60" t="s">
        <v>28966</v>
      </c>
      <c r="AP60" t="s">
        <v>28966</v>
      </c>
      <c r="AQ60" t="s">
        <v>28966</v>
      </c>
      <c r="AR60" t="s">
        <v>28966</v>
      </c>
      <c r="AS60" t="s">
        <v>28966</v>
      </c>
      <c r="AT60" t="s">
        <v>28966</v>
      </c>
      <c r="AU60" t="s">
        <v>28966</v>
      </c>
      <c r="AV60" t="s">
        <v>28966</v>
      </c>
      <c r="AW60" t="s">
        <v>28966</v>
      </c>
      <c r="AX60" t="s">
        <v>28966</v>
      </c>
      <c r="AY60" t="s">
        <v>28966</v>
      </c>
      <c r="AZ60" t="s">
        <v>28966</v>
      </c>
      <c r="BA60" t="s">
        <v>28966</v>
      </c>
      <c r="BB60" t="s">
        <v>28966</v>
      </c>
      <c r="BC60" t="s">
        <v>28966</v>
      </c>
      <c r="BD60" t="s">
        <v>28966</v>
      </c>
      <c r="BE60" t="s">
        <v>28966</v>
      </c>
      <c r="BF60" t="s">
        <v>28966</v>
      </c>
      <c r="BG60" t="s">
        <v>28966</v>
      </c>
      <c r="BH60" t="s">
        <v>28966</v>
      </c>
      <c r="BI60" t="s">
        <v>28966</v>
      </c>
      <c r="BJ60" t="s">
        <v>28966</v>
      </c>
      <c r="BK60" t="s">
        <v>28966</v>
      </c>
      <c r="BL60" t="s">
        <v>28966</v>
      </c>
      <c r="BM60" t="s">
        <v>28966</v>
      </c>
      <c r="BN60" t="s">
        <v>28966</v>
      </c>
      <c r="BO60" t="s">
        <v>28966</v>
      </c>
      <c r="BP60" t="s">
        <v>28966</v>
      </c>
      <c r="BQ60" t="s">
        <v>28966</v>
      </c>
      <c r="BR60" t="s">
        <v>28966</v>
      </c>
      <c r="BS60" t="s">
        <v>28966</v>
      </c>
      <c r="BT60" t="s">
        <v>28966</v>
      </c>
      <c r="BU60" t="s">
        <v>28966</v>
      </c>
      <c r="BV60" t="s">
        <v>28966</v>
      </c>
      <c r="BW60" t="s">
        <v>28966</v>
      </c>
      <c r="BX60" t="s">
        <v>28966</v>
      </c>
      <c r="BY60" t="s">
        <v>28966</v>
      </c>
      <c r="BZ60" t="s">
        <v>28966</v>
      </c>
      <c r="CA60" t="s">
        <v>28966</v>
      </c>
    </row>
    <row r="61" spans="2:89" x14ac:dyDescent="0.3">
      <c r="B61" s="9">
        <v>59</v>
      </c>
      <c r="C61" s="49">
        <v>7808</v>
      </c>
      <c r="D61" s="9">
        <f>YEAR(Tabla1[[#This Row],[Date]])</f>
        <v>1921</v>
      </c>
      <c r="E61" s="9" t="str" cm="1">
        <f t="array" ref="E61">IFERROR(_xlfn.IFS(AND(D61&lt;1980,D61&gt;=1970),"70",AND(D61&lt;1990,D61&gt;=1980),"80",AND(D61&lt;2000,D61&gt;=1990),"90",AND(D61&lt;2010,D61&gt;=2000),"00",AND(D61&lt;=2019,D61&gt;=2010),"10"),"1908-1970")</f>
        <v>1908-1970</v>
      </c>
      <c r="F61" s="3" t="s">
        <v>28931</v>
      </c>
      <c r="G61" t="s">
        <v>5201</v>
      </c>
      <c r="H61" t="s">
        <v>5096</v>
      </c>
      <c r="I61" t="s">
        <v>28931</v>
      </c>
      <c r="J61" t="s">
        <v>28931</v>
      </c>
      <c r="K61" t="s">
        <v>5202</v>
      </c>
      <c r="L61" s="7">
        <v>176</v>
      </c>
      <c r="M61" t="s">
        <v>28931</v>
      </c>
      <c r="N61">
        <v>1</v>
      </c>
      <c r="O61">
        <v>0</v>
      </c>
      <c r="P61">
        <v>1</v>
      </c>
      <c r="Q61">
        <v>1</v>
      </c>
      <c r="R61">
        <v>0</v>
      </c>
      <c r="S61">
        <v>1</v>
      </c>
      <c r="T61">
        <v>0</v>
      </c>
      <c r="U61" t="s">
        <v>5203</v>
      </c>
      <c r="V61">
        <f>Tabla1[[#This Row],[Aboard]]-Tabla1[[#This Row],[Fatalities]]</f>
        <v>0</v>
      </c>
      <c r="W61" s="50">
        <f>IFERROR(Tabla1[[#This Row],[Fatalities]]/Tabla1[[#This Row],[Aboard]],0)</f>
        <v>1</v>
      </c>
      <c r="X61" s="51" t="str" cm="1">
        <f t="array" ref="X61">_xlfn.IFS(Tabla1[[#This Row],[Porcentaje de muertes]]&lt;0.35,"LEVE",AND(Tabla1[[#This Row],[Porcentaje de muertes]]&gt;0.35,Tabla1[[#This Row],[Porcentaje de muertes]]&lt;0.65),"MEDIO",Tabla1[[#This Row],[Porcentaje de muertes]]&gt;0.65,"GRAVE")</f>
        <v>GRAVE</v>
      </c>
      <c r="AB61" t="s">
        <v>28471</v>
      </c>
      <c r="AC61" t="s">
        <v>28472</v>
      </c>
      <c r="AD61">
        <v>1775300</v>
      </c>
      <c r="AE61">
        <v>2056800</v>
      </c>
      <c r="AF61">
        <v>2284900</v>
      </c>
      <c r="AG61">
        <v>2409000</v>
      </c>
      <c r="AH61">
        <v>2401900</v>
      </c>
      <c r="AI61">
        <v>2518100</v>
      </c>
      <c r="AJ61">
        <v>2795700</v>
      </c>
      <c r="AK61">
        <v>2946800</v>
      </c>
      <c r="AL61">
        <v>3117200</v>
      </c>
      <c r="AM61">
        <v>3556200</v>
      </c>
      <c r="AN61">
        <v>3329700</v>
      </c>
      <c r="AO61">
        <v>3065000</v>
      </c>
      <c r="AP61">
        <v>3536900</v>
      </c>
      <c r="AQ61">
        <v>3947700</v>
      </c>
      <c r="AR61">
        <v>3229200</v>
      </c>
      <c r="AS61">
        <v>3494000</v>
      </c>
      <c r="AT61">
        <v>3834000</v>
      </c>
      <c r="AU61">
        <v>4148100</v>
      </c>
      <c r="AV61">
        <v>4376700</v>
      </c>
      <c r="AW61">
        <v>4720600</v>
      </c>
      <c r="AX61">
        <v>4840300</v>
      </c>
      <c r="AY61">
        <v>4582000</v>
      </c>
      <c r="AZ61">
        <v>4826800</v>
      </c>
      <c r="BA61">
        <v>5077900</v>
      </c>
      <c r="BB61">
        <v>5381000</v>
      </c>
      <c r="BC61">
        <v>5689300</v>
      </c>
      <c r="BD61">
        <v>5892000</v>
      </c>
      <c r="BE61">
        <v>6236400</v>
      </c>
      <c r="BF61">
        <v>5946600</v>
      </c>
      <c r="BG61">
        <v>5767700</v>
      </c>
      <c r="BH61">
        <v>5922623</v>
      </c>
      <c r="BI61">
        <v>6382092</v>
      </c>
      <c r="BJ61">
        <v>6322432</v>
      </c>
      <c r="BK61">
        <v>5886037</v>
      </c>
      <c r="BL61">
        <v>6428701</v>
      </c>
      <c r="BM61" t="s">
        <v>28966</v>
      </c>
      <c r="BN61" t="s">
        <v>28966</v>
      </c>
      <c r="BO61" t="s">
        <v>28966</v>
      </c>
      <c r="BP61" t="s">
        <v>28966</v>
      </c>
      <c r="BQ61" t="s">
        <v>28966</v>
      </c>
      <c r="BR61" t="s">
        <v>28966</v>
      </c>
      <c r="BS61" t="s">
        <v>28966</v>
      </c>
      <c r="BT61" t="s">
        <v>28966</v>
      </c>
      <c r="BU61" t="s">
        <v>28966</v>
      </c>
      <c r="BV61" t="s">
        <v>28966</v>
      </c>
      <c r="BW61" t="s">
        <v>28966</v>
      </c>
      <c r="BX61" t="s">
        <v>28966</v>
      </c>
      <c r="BY61" t="s">
        <v>28966</v>
      </c>
      <c r="BZ61" t="s">
        <v>28966</v>
      </c>
      <c r="CA61" t="s">
        <v>28966</v>
      </c>
    </row>
    <row r="62" spans="2:89" x14ac:dyDescent="0.3">
      <c r="B62" s="9">
        <v>60</v>
      </c>
      <c r="C62" s="49">
        <v>7897</v>
      </c>
      <c r="D62" s="9">
        <f>YEAR(Tabla1[[#This Row],[Date]])</f>
        <v>1921</v>
      </c>
      <c r="E62" s="9" t="str" cm="1">
        <f t="array" ref="E62">IFERROR(_xlfn.IFS(AND(D62&lt;1980,D62&gt;=1970),"70",AND(D62&lt;1990,D62&gt;=1980),"80",AND(D62&lt;2000,D62&gt;=1990),"90",AND(D62&lt;2010,D62&gt;=2000),"00",AND(D62&lt;=2019,D62&gt;=2010),"10"),"1908-1970")</f>
        <v>1908-1970</v>
      </c>
      <c r="F62" s="3" t="s">
        <v>28931</v>
      </c>
      <c r="G62" t="s">
        <v>5204</v>
      </c>
      <c r="H62" t="s">
        <v>5182</v>
      </c>
      <c r="I62" t="s">
        <v>28931</v>
      </c>
      <c r="J62" t="s">
        <v>28931</v>
      </c>
      <c r="K62" t="s">
        <v>5167</v>
      </c>
      <c r="L62" s="7" t="s">
        <v>5205</v>
      </c>
      <c r="M62" t="s">
        <v>28931</v>
      </c>
      <c r="N62">
        <v>2</v>
      </c>
      <c r="O62" t="s">
        <v>5038</v>
      </c>
      <c r="P62" t="s">
        <v>5038</v>
      </c>
      <c r="Q62">
        <v>2</v>
      </c>
      <c r="R62" t="s">
        <v>5038</v>
      </c>
      <c r="S62" t="s">
        <v>5038</v>
      </c>
      <c r="T62">
        <v>0</v>
      </c>
      <c r="U62" t="s">
        <v>28927</v>
      </c>
      <c r="V62">
        <f>Tabla1[[#This Row],[Aboard]]-Tabla1[[#This Row],[Fatalities]]</f>
        <v>0</v>
      </c>
      <c r="W62" s="50">
        <f>IFERROR(Tabla1[[#This Row],[Fatalities]]/Tabla1[[#This Row],[Aboard]],0)</f>
        <v>1</v>
      </c>
      <c r="X62" s="51" t="str" cm="1">
        <f t="array" ref="X62">_xlfn.IFS(Tabla1[[#This Row],[Porcentaje de muertes]]&lt;0.35,"LEVE",AND(Tabla1[[#This Row],[Porcentaje de muertes]]&gt;0.35,Tabla1[[#This Row],[Porcentaje de muertes]]&lt;0.65),"MEDIO",Tabla1[[#This Row],[Porcentaje de muertes]]&gt;0.65,"GRAVE")</f>
        <v>GRAVE</v>
      </c>
      <c r="AB62" t="s">
        <v>28473</v>
      </c>
      <c r="AC62" t="s">
        <v>28474</v>
      </c>
      <c r="AD62">
        <v>128800</v>
      </c>
      <c r="AE62">
        <v>182700</v>
      </c>
      <c r="AF62">
        <v>191500</v>
      </c>
      <c r="AG62">
        <v>150000</v>
      </c>
      <c r="AH62">
        <v>160000</v>
      </c>
      <c r="AI62">
        <v>302100</v>
      </c>
      <c r="AJ62">
        <v>359300</v>
      </c>
      <c r="AK62">
        <v>424800</v>
      </c>
      <c r="AL62">
        <v>429600</v>
      </c>
      <c r="AM62">
        <v>454600</v>
      </c>
      <c r="AN62">
        <v>466300</v>
      </c>
      <c r="AO62">
        <v>440300</v>
      </c>
      <c r="AP62">
        <v>413900</v>
      </c>
      <c r="AQ62">
        <v>446700</v>
      </c>
      <c r="AR62">
        <v>605000</v>
      </c>
      <c r="AS62">
        <v>733600</v>
      </c>
      <c r="AT62">
        <v>614500</v>
      </c>
      <c r="AU62">
        <v>298700</v>
      </c>
      <c r="AV62">
        <v>350500</v>
      </c>
      <c r="AW62">
        <v>479500</v>
      </c>
      <c r="AX62">
        <v>718000</v>
      </c>
      <c r="AY62">
        <v>264200</v>
      </c>
      <c r="AZ62">
        <v>322900</v>
      </c>
      <c r="BA62">
        <v>327900</v>
      </c>
      <c r="BB62">
        <v>300200</v>
      </c>
      <c r="BC62">
        <v>67400</v>
      </c>
      <c r="BD62">
        <v>29500</v>
      </c>
      <c r="BE62">
        <v>33600</v>
      </c>
      <c r="BF62">
        <v>33500</v>
      </c>
      <c r="BG62">
        <v>10400</v>
      </c>
      <c r="BH62" t="s">
        <v>28966</v>
      </c>
      <c r="BI62" t="s">
        <v>28966</v>
      </c>
      <c r="BJ62" t="s">
        <v>28966</v>
      </c>
      <c r="BK62" t="s">
        <v>28966</v>
      </c>
      <c r="BL62" t="s">
        <v>28966</v>
      </c>
      <c r="BM62" t="s">
        <v>28966</v>
      </c>
      <c r="BN62" t="s">
        <v>28966</v>
      </c>
      <c r="BO62" t="s">
        <v>28966</v>
      </c>
      <c r="BP62" t="s">
        <v>28966</v>
      </c>
      <c r="BQ62" t="s">
        <v>28966</v>
      </c>
      <c r="BR62">
        <v>19167</v>
      </c>
      <c r="BS62">
        <v>28232.1</v>
      </c>
      <c r="BT62">
        <v>28442.05</v>
      </c>
      <c r="BU62">
        <v>20004</v>
      </c>
      <c r="BV62">
        <v>16128</v>
      </c>
      <c r="BW62">
        <v>14463</v>
      </c>
      <c r="BX62">
        <v>11903</v>
      </c>
      <c r="BY62" t="s">
        <v>28966</v>
      </c>
      <c r="BZ62" t="s">
        <v>28966</v>
      </c>
      <c r="CA62">
        <v>227504</v>
      </c>
    </row>
    <row r="63" spans="2:89" x14ac:dyDescent="0.3">
      <c r="B63" s="9">
        <v>61</v>
      </c>
      <c r="C63" s="49">
        <v>7907</v>
      </c>
      <c r="D63" s="9">
        <f>YEAR(Tabla1[[#This Row],[Date]])</f>
        <v>1921</v>
      </c>
      <c r="E63" s="9" t="str" cm="1">
        <f t="array" ref="E63">IFERROR(_xlfn.IFS(AND(D63&lt;1980,D63&gt;=1970),"70",AND(D63&lt;1990,D63&gt;=1980),"80",AND(D63&lt;2000,D63&gt;=1990),"90",AND(D63&lt;2010,D63&gt;=2000),"00",AND(D63&lt;=2019,D63&gt;=2010),"10"),"1908-1970")</f>
        <v>1908-1970</v>
      </c>
      <c r="F63" s="3">
        <v>0.73611111111111116</v>
      </c>
      <c r="G63" t="s">
        <v>5206</v>
      </c>
      <c r="H63" t="s">
        <v>5207</v>
      </c>
      <c r="I63" t="s">
        <v>28931</v>
      </c>
      <c r="J63" t="s">
        <v>28931</v>
      </c>
      <c r="K63" t="s">
        <v>5208</v>
      </c>
      <c r="L63" s="7" t="s">
        <v>5209</v>
      </c>
      <c r="M63" t="s">
        <v>5209</v>
      </c>
      <c r="N63">
        <v>46</v>
      </c>
      <c r="O63">
        <v>0</v>
      </c>
      <c r="P63">
        <v>46</v>
      </c>
      <c r="Q63">
        <v>46</v>
      </c>
      <c r="R63">
        <v>0</v>
      </c>
      <c r="S63">
        <v>46</v>
      </c>
      <c r="T63">
        <v>1</v>
      </c>
      <c r="U63" t="s">
        <v>5210</v>
      </c>
      <c r="V63">
        <f>Tabla1[[#This Row],[Aboard]]-Tabla1[[#This Row],[Fatalities]]</f>
        <v>0</v>
      </c>
      <c r="W63" s="50">
        <f>IFERROR(Tabla1[[#This Row],[Fatalities]]/Tabla1[[#This Row],[Aboard]],0)</f>
        <v>1</v>
      </c>
      <c r="X63" s="51" t="str" cm="1">
        <f t="array" ref="X63">_xlfn.IFS(Tabla1[[#This Row],[Porcentaje de muertes]]&lt;0.35,"LEVE",AND(Tabla1[[#This Row],[Porcentaje de muertes]]&gt;0.35,Tabla1[[#This Row],[Porcentaje de muertes]]&lt;0.65),"MEDIO",Tabla1[[#This Row],[Porcentaje de muertes]]&gt;0.65,"GRAVE")</f>
        <v>GRAVE</v>
      </c>
      <c r="AB63" t="s">
        <v>13494</v>
      </c>
      <c r="AC63" t="s">
        <v>28475</v>
      </c>
      <c r="AD63">
        <v>563200</v>
      </c>
      <c r="AE63">
        <v>714800</v>
      </c>
      <c r="AF63">
        <v>843900</v>
      </c>
      <c r="AG63">
        <v>1053600</v>
      </c>
      <c r="AH63">
        <v>1252100</v>
      </c>
      <c r="AI63">
        <v>1618000</v>
      </c>
      <c r="AJ63">
        <v>1681600</v>
      </c>
      <c r="AK63">
        <v>1997100</v>
      </c>
      <c r="AL63">
        <v>2229000</v>
      </c>
      <c r="AM63">
        <v>2663400</v>
      </c>
      <c r="AN63">
        <v>2950000</v>
      </c>
      <c r="AO63">
        <v>3000000</v>
      </c>
      <c r="AP63">
        <v>3150000</v>
      </c>
      <c r="AQ63">
        <v>3410500</v>
      </c>
      <c r="AR63">
        <v>3781000</v>
      </c>
      <c r="AS63">
        <v>3965900</v>
      </c>
      <c r="AT63">
        <v>3689900</v>
      </c>
      <c r="AU63">
        <v>3566900</v>
      </c>
      <c r="AV63">
        <v>3655000</v>
      </c>
      <c r="AW63">
        <v>3862300</v>
      </c>
      <c r="AX63">
        <v>3748000</v>
      </c>
      <c r="AY63">
        <v>3385000</v>
      </c>
      <c r="AZ63">
        <v>3551100</v>
      </c>
      <c r="BA63">
        <v>3254500</v>
      </c>
      <c r="BB63">
        <v>3241000</v>
      </c>
      <c r="BC63">
        <v>3477800</v>
      </c>
      <c r="BD63">
        <v>3494100</v>
      </c>
      <c r="BE63">
        <v>3517700</v>
      </c>
      <c r="BF63">
        <v>3381800</v>
      </c>
      <c r="BG63">
        <v>2936800</v>
      </c>
      <c r="BH63">
        <v>2997480</v>
      </c>
      <c r="BI63">
        <v>3419249</v>
      </c>
      <c r="BJ63">
        <v>3002232</v>
      </c>
      <c r="BK63">
        <v>3292815</v>
      </c>
      <c r="BL63">
        <v>3236364</v>
      </c>
      <c r="BM63">
        <v>3037298</v>
      </c>
      <c r="BN63">
        <v>2899722</v>
      </c>
      <c r="BO63">
        <v>2813018</v>
      </c>
      <c r="BP63">
        <v>2884506</v>
      </c>
      <c r="BQ63">
        <v>4370917</v>
      </c>
      <c r="BR63">
        <v>3372283</v>
      </c>
      <c r="BS63">
        <v>3543663</v>
      </c>
      <c r="BT63">
        <v>4082595</v>
      </c>
      <c r="BU63">
        <v>4492436.9630000005</v>
      </c>
      <c r="BV63">
        <v>5021288.9630000005</v>
      </c>
      <c r="BW63">
        <v>5400896</v>
      </c>
      <c r="BX63">
        <v>6093416</v>
      </c>
      <c r="BY63">
        <v>6230157</v>
      </c>
      <c r="BZ63">
        <v>6442442</v>
      </c>
      <c r="CA63">
        <v>6748653</v>
      </c>
    </row>
    <row r="64" spans="2:89" x14ac:dyDescent="0.3">
      <c r="B64" s="9">
        <v>62</v>
      </c>
      <c r="C64" s="49">
        <v>7831</v>
      </c>
      <c r="D64" s="9">
        <f>YEAR(Tabla1[[#This Row],[Date]])</f>
        <v>1921</v>
      </c>
      <c r="E64" s="9" t="str" cm="1">
        <f t="array" ref="E64">IFERROR(_xlfn.IFS(AND(D64&lt;1980,D64&gt;=1970),"70",AND(D64&lt;1990,D64&gt;=1980),"80",AND(D64&lt;2000,D64&gt;=1990),"90",AND(D64&lt;2010,D64&gt;=2000),"00",AND(D64&lt;=2019,D64&gt;=2010),"10"),"1908-1970")</f>
        <v>1908-1970</v>
      </c>
      <c r="F64" s="3" t="s">
        <v>28931</v>
      </c>
      <c r="G64" t="s">
        <v>5211</v>
      </c>
      <c r="H64" t="s">
        <v>5212</v>
      </c>
      <c r="I64" t="s">
        <v>28931</v>
      </c>
      <c r="J64" t="s">
        <v>5213</v>
      </c>
      <c r="K64" t="s">
        <v>5214</v>
      </c>
      <c r="L64" s="7" t="s">
        <v>5215</v>
      </c>
      <c r="M64">
        <v>160</v>
      </c>
      <c r="N64">
        <v>5</v>
      </c>
      <c r="O64">
        <v>4</v>
      </c>
      <c r="P64">
        <v>1</v>
      </c>
      <c r="Q64">
        <v>5</v>
      </c>
      <c r="R64">
        <v>4</v>
      </c>
      <c r="S64">
        <v>1</v>
      </c>
      <c r="T64">
        <v>0</v>
      </c>
      <c r="U64" t="s">
        <v>5216</v>
      </c>
      <c r="V64">
        <f>Tabla1[[#This Row],[Aboard]]-Tabla1[[#This Row],[Fatalities]]</f>
        <v>0</v>
      </c>
      <c r="W64" s="50">
        <f>IFERROR(Tabla1[[#This Row],[Fatalities]]/Tabla1[[#This Row],[Aboard]],0)</f>
        <v>1</v>
      </c>
      <c r="X64" s="51" t="str" cm="1">
        <f t="array" ref="X64">_xlfn.IFS(Tabla1[[#This Row],[Porcentaje de muertes]]&lt;0.35,"LEVE",AND(Tabla1[[#This Row],[Porcentaje de muertes]]&gt;0.35,Tabla1[[#This Row],[Porcentaje de muertes]]&lt;0.65),"MEDIO",Tabla1[[#This Row],[Porcentaje de muertes]]&gt;0.65,"GRAVE")</f>
        <v>GRAVE</v>
      </c>
      <c r="AB64" t="s">
        <v>28476</v>
      </c>
      <c r="AC64" t="s">
        <v>28477</v>
      </c>
      <c r="AD64" t="s">
        <v>28966</v>
      </c>
      <c r="AE64" t="s">
        <v>28966</v>
      </c>
      <c r="AF64" t="s">
        <v>28966</v>
      </c>
      <c r="AG64" t="s">
        <v>28966</v>
      </c>
      <c r="AH64">
        <v>10458800</v>
      </c>
      <c r="AI64">
        <v>11774800</v>
      </c>
      <c r="AJ64">
        <v>12545500</v>
      </c>
      <c r="AK64">
        <v>13571100</v>
      </c>
      <c r="AL64">
        <v>15667800</v>
      </c>
      <c r="AM64">
        <v>17767700</v>
      </c>
      <c r="AN64">
        <v>19463300</v>
      </c>
      <c r="AO64">
        <v>22763000</v>
      </c>
      <c r="AP64">
        <v>23994200</v>
      </c>
      <c r="AQ64">
        <v>24162000</v>
      </c>
      <c r="AR64">
        <v>27209100</v>
      </c>
      <c r="AS64">
        <v>30078100</v>
      </c>
      <c r="AT64">
        <v>34762200</v>
      </c>
      <c r="AU64">
        <v>40027200</v>
      </c>
      <c r="AV64">
        <v>47778100</v>
      </c>
      <c r="AW64">
        <v>44109000</v>
      </c>
      <c r="AX64">
        <v>52224800</v>
      </c>
      <c r="AY64">
        <v>57949100</v>
      </c>
      <c r="AZ64">
        <v>69094200</v>
      </c>
      <c r="BA64">
        <v>77190600</v>
      </c>
      <c r="BB64">
        <v>88857400</v>
      </c>
      <c r="BC64">
        <v>104320600</v>
      </c>
      <c r="BD64">
        <v>110862300</v>
      </c>
      <c r="BE64">
        <v>107721300</v>
      </c>
      <c r="BF64">
        <v>106380600</v>
      </c>
      <c r="BG64">
        <v>105525000</v>
      </c>
      <c r="BH64">
        <v>117475001</v>
      </c>
      <c r="BI64">
        <v>131899488</v>
      </c>
      <c r="BJ64">
        <v>144954360</v>
      </c>
      <c r="BK64">
        <v>145986148</v>
      </c>
      <c r="BL64">
        <v>202945818</v>
      </c>
      <c r="BM64">
        <v>220887277</v>
      </c>
      <c r="BN64">
        <v>244449016</v>
      </c>
      <c r="BO64">
        <v>277768225</v>
      </c>
      <c r="BP64">
        <v>287719256</v>
      </c>
      <c r="BQ64">
        <v>326293542</v>
      </c>
      <c r="BR64">
        <v>430864598.60000002</v>
      </c>
      <c r="BS64">
        <v>482521208.80000001</v>
      </c>
      <c r="BT64">
        <v>526101395.39999998</v>
      </c>
      <c r="BU64">
        <v>579867089.79999995</v>
      </c>
      <c r="BV64">
        <v>640242859.10000002</v>
      </c>
      <c r="BW64">
        <v>708798867</v>
      </c>
      <c r="BX64">
        <v>790494215</v>
      </c>
      <c r="BY64">
        <v>881698293</v>
      </c>
      <c r="BZ64">
        <v>964324620.10000002</v>
      </c>
      <c r="CA64">
        <v>1005359310</v>
      </c>
    </row>
    <row r="65" spans="2:79" x14ac:dyDescent="0.3">
      <c r="B65" s="9">
        <v>63</v>
      </c>
      <c r="C65" s="49">
        <v>7803</v>
      </c>
      <c r="D65" s="9">
        <f>YEAR(Tabla1[[#This Row],[Date]])</f>
        <v>1921</v>
      </c>
      <c r="E65" s="9" t="str" cm="1">
        <f t="array" ref="E65">IFERROR(_xlfn.IFS(AND(D65&lt;1980,D65&gt;=1970),"70",AND(D65&lt;1990,D65&gt;=1980),"80",AND(D65&lt;2000,D65&gt;=1990),"90",AND(D65&lt;2010,D65&gt;=2000),"00",AND(D65&lt;=2019,D65&gt;=2010),"10"),"1908-1970")</f>
        <v>1908-1970</v>
      </c>
      <c r="F65" s="3" t="s">
        <v>28931</v>
      </c>
      <c r="G65" t="s">
        <v>5217</v>
      </c>
      <c r="H65" t="s">
        <v>5218</v>
      </c>
      <c r="I65" t="s">
        <v>28931</v>
      </c>
      <c r="J65" t="s">
        <v>5219</v>
      </c>
      <c r="K65" t="s">
        <v>5220</v>
      </c>
      <c r="L65" s="7" t="s">
        <v>5221</v>
      </c>
      <c r="M65">
        <v>6116</v>
      </c>
      <c r="N65">
        <v>2</v>
      </c>
      <c r="O65">
        <v>0</v>
      </c>
      <c r="P65">
        <v>2</v>
      </c>
      <c r="Q65">
        <v>2</v>
      </c>
      <c r="R65">
        <v>0</v>
      </c>
      <c r="S65">
        <v>2</v>
      </c>
      <c r="T65">
        <v>0</v>
      </c>
      <c r="U65" t="s">
        <v>5222</v>
      </c>
      <c r="V65">
        <f>Tabla1[[#This Row],[Aboard]]-Tabla1[[#This Row],[Fatalities]]</f>
        <v>0</v>
      </c>
      <c r="W65" s="50">
        <f>IFERROR(Tabla1[[#This Row],[Fatalities]]/Tabla1[[#This Row],[Aboard]],0)</f>
        <v>1</v>
      </c>
      <c r="X65" s="51" t="str" cm="1">
        <f t="array" ref="X65">_xlfn.IFS(Tabla1[[#This Row],[Porcentaje de muertes]]&lt;0.35,"LEVE",AND(Tabla1[[#This Row],[Porcentaje de muertes]]&gt;0.35,Tabla1[[#This Row],[Porcentaje de muertes]]&lt;0.65),"MEDIO",Tabla1[[#This Row],[Porcentaje de muertes]]&gt;0.65,"GRAVE")</f>
        <v>GRAVE</v>
      </c>
      <c r="AB65" t="s">
        <v>28478</v>
      </c>
      <c r="AC65" t="s">
        <v>28479</v>
      </c>
      <c r="AD65">
        <v>23504800</v>
      </c>
      <c r="AE65">
        <v>24773900</v>
      </c>
      <c r="AF65">
        <v>28315800</v>
      </c>
      <c r="AG65">
        <v>32223400</v>
      </c>
      <c r="AH65">
        <v>35817700</v>
      </c>
      <c r="AI65">
        <v>42393800</v>
      </c>
      <c r="AJ65">
        <v>50085900</v>
      </c>
      <c r="AK65">
        <v>57485600</v>
      </c>
      <c r="AL65">
        <v>64497000</v>
      </c>
      <c r="AM65">
        <v>72296400</v>
      </c>
      <c r="AN65">
        <v>77945100</v>
      </c>
      <c r="AO65">
        <v>81825400</v>
      </c>
      <c r="AP65">
        <v>84299300</v>
      </c>
      <c r="AQ65">
        <v>88030100</v>
      </c>
      <c r="AR65">
        <v>94420700</v>
      </c>
      <c r="AS65">
        <v>95843400</v>
      </c>
      <c r="AT65">
        <v>97108600</v>
      </c>
      <c r="AU65">
        <v>102698800</v>
      </c>
      <c r="AV65">
        <v>106126700</v>
      </c>
      <c r="AW65">
        <v>110458200</v>
      </c>
      <c r="AX65">
        <v>109133700</v>
      </c>
      <c r="AY65">
        <v>105647800</v>
      </c>
      <c r="AZ65">
        <v>118459100</v>
      </c>
      <c r="BA65">
        <v>121137600</v>
      </c>
      <c r="BB65">
        <v>131391900</v>
      </c>
      <c r="BC65">
        <v>134162100</v>
      </c>
      <c r="BD65">
        <v>139817900</v>
      </c>
      <c r="BE65">
        <v>146347300</v>
      </c>
      <c r="BF65">
        <v>144205700</v>
      </c>
      <c r="BG65">
        <v>142004200</v>
      </c>
      <c r="BH65">
        <v>149713878</v>
      </c>
      <c r="BI65">
        <v>160513615</v>
      </c>
      <c r="BJ65">
        <v>149570435</v>
      </c>
      <c r="BK65">
        <v>160293889</v>
      </c>
      <c r="BL65">
        <v>190654278</v>
      </c>
      <c r="BM65">
        <v>202084384</v>
      </c>
      <c r="BN65">
        <v>224730790</v>
      </c>
      <c r="BO65">
        <v>245988633</v>
      </c>
      <c r="BP65">
        <v>244712190</v>
      </c>
      <c r="BQ65">
        <v>259076645</v>
      </c>
      <c r="BR65">
        <v>370779756.69999999</v>
      </c>
      <c r="BS65">
        <v>411779408.10000002</v>
      </c>
      <c r="BT65">
        <v>443984379.69999999</v>
      </c>
      <c r="BU65">
        <v>473370786.89999998</v>
      </c>
      <c r="BV65">
        <v>518240248.89999998</v>
      </c>
      <c r="BW65">
        <v>566264222</v>
      </c>
      <c r="BX65">
        <v>621441555</v>
      </c>
      <c r="BY65">
        <v>679891167.70000005</v>
      </c>
      <c r="BZ65">
        <v>741133708.20000005</v>
      </c>
      <c r="CA65">
        <v>726259634.89999998</v>
      </c>
    </row>
    <row r="66" spans="2:79" x14ac:dyDescent="0.3">
      <c r="B66" s="9">
        <v>64</v>
      </c>
      <c r="C66" s="49">
        <v>8050</v>
      </c>
      <c r="D66" s="9">
        <f>YEAR(Tabla1[[#This Row],[Date]])</f>
        <v>1922</v>
      </c>
      <c r="E66" s="9" t="str" cm="1">
        <f t="array" ref="E66">IFERROR(_xlfn.IFS(AND(D66&lt;1980,D66&gt;=1970),"70",AND(D66&lt;1990,D66&gt;=1980),"80",AND(D66&lt;2000,D66&gt;=1990),"90",AND(D66&lt;2010,D66&gt;=2000),"00",AND(D66&lt;=2019,D66&gt;=2010),"10"),"1908-1970")</f>
        <v>1908-1970</v>
      </c>
      <c r="F66" s="3" t="s">
        <v>28931</v>
      </c>
      <c r="G66" t="s">
        <v>5211</v>
      </c>
      <c r="H66" t="s">
        <v>5175</v>
      </c>
      <c r="I66" t="s">
        <v>28931</v>
      </c>
      <c r="J66" t="s">
        <v>28931</v>
      </c>
      <c r="K66" t="s">
        <v>5223</v>
      </c>
      <c r="L66" s="7" t="s">
        <v>5224</v>
      </c>
      <c r="M66" t="s">
        <v>5225</v>
      </c>
      <c r="N66">
        <v>5</v>
      </c>
      <c r="O66">
        <v>4</v>
      </c>
      <c r="P66">
        <v>1</v>
      </c>
      <c r="Q66">
        <v>5</v>
      </c>
      <c r="R66">
        <v>4</v>
      </c>
      <c r="S66">
        <v>1</v>
      </c>
      <c r="T66">
        <v>5</v>
      </c>
      <c r="U66" t="s">
        <v>5226</v>
      </c>
      <c r="V66">
        <f>Tabla1[[#This Row],[Aboard]]-Tabla1[[#This Row],[Fatalities]]</f>
        <v>0</v>
      </c>
      <c r="W66" s="50">
        <f>IFERROR(Tabla1[[#This Row],[Fatalities]]/Tabla1[[#This Row],[Aboard]],0)</f>
        <v>1</v>
      </c>
      <c r="X66" s="51" t="str" cm="1">
        <f t="array" ref="X66">_xlfn.IFS(Tabla1[[#This Row],[Porcentaje de muertes]]&lt;0.35,"LEVE",AND(Tabla1[[#This Row],[Porcentaje de muertes]]&gt;0.35,Tabla1[[#This Row],[Porcentaje de muertes]]&lt;0.65),"MEDIO",Tabla1[[#This Row],[Porcentaje de muertes]]&gt;0.65,"GRAVE")</f>
        <v>GRAVE</v>
      </c>
      <c r="AB66" t="s">
        <v>28480</v>
      </c>
      <c r="AC66" t="s">
        <v>28481</v>
      </c>
      <c r="AD66" t="s">
        <v>28966</v>
      </c>
      <c r="AE66" t="s">
        <v>28966</v>
      </c>
      <c r="AF66" t="s">
        <v>28966</v>
      </c>
      <c r="AG66" t="s">
        <v>28966</v>
      </c>
      <c r="AH66">
        <v>55002800</v>
      </c>
      <c r="AI66">
        <v>57020100</v>
      </c>
      <c r="AJ66">
        <v>60206300</v>
      </c>
      <c r="AK66">
        <v>69217300</v>
      </c>
      <c r="AL66">
        <v>77737300</v>
      </c>
      <c r="AM66">
        <v>87068700</v>
      </c>
      <c r="AN66">
        <v>89147600</v>
      </c>
      <c r="AO66">
        <v>95951900</v>
      </c>
      <c r="AP66">
        <v>95443200</v>
      </c>
      <c r="AQ66">
        <v>95932600</v>
      </c>
      <c r="AR66">
        <v>104993100</v>
      </c>
      <c r="AS66">
        <v>111257200</v>
      </c>
      <c r="AT66">
        <v>119684900</v>
      </c>
      <c r="AU66">
        <v>133303700</v>
      </c>
      <c r="AV66">
        <v>149927400</v>
      </c>
      <c r="AW66">
        <v>154389196</v>
      </c>
      <c r="AX66">
        <v>174905500</v>
      </c>
      <c r="AY66">
        <v>188860300</v>
      </c>
      <c r="AZ66">
        <v>208797800</v>
      </c>
      <c r="BA66">
        <v>221775804</v>
      </c>
      <c r="BB66">
        <v>243006604</v>
      </c>
      <c r="BC66">
        <v>273666300</v>
      </c>
      <c r="BD66">
        <v>292148204</v>
      </c>
      <c r="BE66">
        <v>298428300</v>
      </c>
      <c r="BF66">
        <v>300493300</v>
      </c>
      <c r="BG66">
        <v>312218196</v>
      </c>
      <c r="BH66">
        <v>337766614</v>
      </c>
      <c r="BI66">
        <v>351529526</v>
      </c>
      <c r="BJ66">
        <v>374787907</v>
      </c>
      <c r="BK66">
        <v>366358229</v>
      </c>
      <c r="BL66">
        <v>429868117</v>
      </c>
      <c r="BM66">
        <v>454655578</v>
      </c>
      <c r="BN66">
        <v>486160240</v>
      </c>
      <c r="BO66">
        <v>523755806</v>
      </c>
      <c r="BP66">
        <v>535907588</v>
      </c>
      <c r="BQ66">
        <v>555699740</v>
      </c>
      <c r="BR66">
        <v>726070353.10000002</v>
      </c>
      <c r="BS66">
        <v>769209920.70000005</v>
      </c>
      <c r="BT66">
        <v>809282604.5</v>
      </c>
      <c r="BU66">
        <v>893899315.79999995</v>
      </c>
      <c r="BV66">
        <v>965572758.20000005</v>
      </c>
      <c r="BW66">
        <v>1052102292</v>
      </c>
      <c r="BX66">
        <v>1155866926</v>
      </c>
      <c r="BY66">
        <v>1266613885</v>
      </c>
      <c r="BZ66">
        <v>1363722227</v>
      </c>
      <c r="CA66">
        <v>1417293420</v>
      </c>
    </row>
    <row r="67" spans="2:79" x14ac:dyDescent="0.3">
      <c r="B67" s="9">
        <v>65</v>
      </c>
      <c r="C67" s="49">
        <v>8088</v>
      </c>
      <c r="D67" s="9">
        <f>YEAR(Tabla1[[#This Row],[Date]])</f>
        <v>1922</v>
      </c>
      <c r="E67" s="9" t="str" cm="1">
        <f t="array" ref="E67">IFERROR(_xlfn.IFS(AND(D67&lt;1980,D67&gt;=1970),"70",AND(D67&lt;1990,D67&gt;=1980),"80",AND(D67&lt;2000,D67&gt;=1990),"90",AND(D67&lt;2010,D67&gt;=2000),"00",AND(D67&lt;=2019,D67&gt;=2010),"10"),"1908-1970")</f>
        <v>1908-1970</v>
      </c>
      <c r="F67" s="3" t="s">
        <v>28931</v>
      </c>
      <c r="G67" t="s">
        <v>5227</v>
      </c>
      <c r="H67" t="s">
        <v>5228</v>
      </c>
      <c r="I67" t="s">
        <v>28931</v>
      </c>
      <c r="J67" t="s">
        <v>28931</v>
      </c>
      <c r="K67" t="s">
        <v>5229</v>
      </c>
      <c r="L67" s="7" t="s">
        <v>28931</v>
      </c>
      <c r="M67" t="s">
        <v>28931</v>
      </c>
      <c r="N67">
        <v>45</v>
      </c>
      <c r="O67" t="s">
        <v>5038</v>
      </c>
      <c r="P67" t="s">
        <v>5038</v>
      </c>
      <c r="Q67">
        <v>34</v>
      </c>
      <c r="R67" t="s">
        <v>5038</v>
      </c>
      <c r="S67" t="s">
        <v>5038</v>
      </c>
      <c r="T67">
        <v>0</v>
      </c>
      <c r="U67" t="s">
        <v>5230</v>
      </c>
      <c r="V67">
        <f>Tabla1[[#This Row],[Aboard]]-Tabla1[[#This Row],[Fatalities]]</f>
        <v>11</v>
      </c>
      <c r="W67" s="50">
        <f>IFERROR(Tabla1[[#This Row],[Fatalities]]/Tabla1[[#This Row],[Aboard]],0)</f>
        <v>0.75555555555555554</v>
      </c>
      <c r="X67" s="51" t="str" cm="1">
        <f t="array" ref="X67">_xlfn.IFS(Tabla1[[#This Row],[Porcentaje de muertes]]&lt;0.35,"LEVE",AND(Tabla1[[#This Row],[Porcentaje de muertes]]&gt;0.35,Tabla1[[#This Row],[Porcentaje de muertes]]&lt;0.65),"MEDIO",Tabla1[[#This Row],[Porcentaje de muertes]]&gt;0.65,"GRAVE")</f>
        <v>GRAVE</v>
      </c>
      <c r="AB67" t="s">
        <v>28482</v>
      </c>
      <c r="AC67" t="s">
        <v>28483</v>
      </c>
      <c r="AD67" t="s">
        <v>28966</v>
      </c>
      <c r="AE67" t="s">
        <v>28966</v>
      </c>
      <c r="AF67" t="s">
        <v>28966</v>
      </c>
      <c r="AG67" t="s">
        <v>28966</v>
      </c>
      <c r="AH67" t="s">
        <v>28966</v>
      </c>
      <c r="AI67" t="s">
        <v>28966</v>
      </c>
      <c r="AJ67" t="s">
        <v>28966</v>
      </c>
      <c r="AK67" t="s">
        <v>28966</v>
      </c>
      <c r="AL67" t="s">
        <v>28966</v>
      </c>
      <c r="AM67" t="s">
        <v>28966</v>
      </c>
      <c r="AN67" t="s">
        <v>28966</v>
      </c>
      <c r="AO67" t="s">
        <v>28966</v>
      </c>
      <c r="AP67" t="s">
        <v>28966</v>
      </c>
      <c r="AQ67" t="s">
        <v>28966</v>
      </c>
      <c r="AR67" t="s">
        <v>28966</v>
      </c>
      <c r="AS67" t="s">
        <v>28966</v>
      </c>
      <c r="AT67" t="s">
        <v>28966</v>
      </c>
      <c r="AU67" t="s">
        <v>28966</v>
      </c>
      <c r="AV67" t="s">
        <v>28966</v>
      </c>
      <c r="AW67" t="s">
        <v>28966</v>
      </c>
      <c r="AX67" t="s">
        <v>28966</v>
      </c>
      <c r="AY67" t="s">
        <v>28966</v>
      </c>
      <c r="AZ67">
        <v>85103500</v>
      </c>
      <c r="BA67">
        <v>52980200</v>
      </c>
      <c r="BB67">
        <v>46234400</v>
      </c>
      <c r="BC67">
        <v>45265200</v>
      </c>
      <c r="BD67">
        <v>40195800</v>
      </c>
      <c r="BE67">
        <v>38401300</v>
      </c>
      <c r="BF67">
        <v>33881800</v>
      </c>
      <c r="BG67">
        <v>36952300</v>
      </c>
      <c r="BH67">
        <v>38573123</v>
      </c>
      <c r="BI67">
        <v>40628177</v>
      </c>
      <c r="BJ67">
        <v>41126264</v>
      </c>
      <c r="BK67">
        <v>44721661</v>
      </c>
      <c r="BL67">
        <v>53142425</v>
      </c>
      <c r="BM67">
        <v>57641212</v>
      </c>
      <c r="BN67">
        <v>63438057</v>
      </c>
      <c r="BO67">
        <v>72096540</v>
      </c>
      <c r="BP67">
        <v>81323459</v>
      </c>
      <c r="BQ67">
        <v>82906743</v>
      </c>
      <c r="BR67">
        <v>109784824</v>
      </c>
      <c r="BS67">
        <v>127505522.5</v>
      </c>
      <c r="BT67">
        <v>146637092.40000001</v>
      </c>
      <c r="BU67">
        <v>164714280.80000001</v>
      </c>
      <c r="BV67">
        <v>182072466.40000001</v>
      </c>
      <c r="BW67">
        <v>200728351</v>
      </c>
      <c r="BX67">
        <v>207356831</v>
      </c>
      <c r="BY67">
        <v>232379500</v>
      </c>
      <c r="BZ67">
        <v>251974151.5</v>
      </c>
      <c r="CA67">
        <v>265949433.09999999</v>
      </c>
    </row>
    <row r="68" spans="2:79" x14ac:dyDescent="0.3">
      <c r="B68" s="9">
        <v>66</v>
      </c>
      <c r="C68" s="49">
        <v>8117</v>
      </c>
      <c r="D68" s="9">
        <f>YEAR(Tabla1[[#This Row],[Date]])</f>
        <v>1922</v>
      </c>
      <c r="E68" s="9" t="str" cm="1">
        <f t="array" ref="E68">IFERROR(_xlfn.IFS(AND(D68&lt;1980,D68&gt;=1970),"70",AND(D68&lt;1990,D68&gt;=1980),"80",AND(D68&lt;2000,D68&gt;=1990),"90",AND(D68&lt;2010,D68&gt;=2000),"00",AND(D68&lt;=2019,D68&gt;=2010),"10"),"1908-1970")</f>
        <v>1908-1970</v>
      </c>
      <c r="F68" s="3">
        <v>0.4861111111111111</v>
      </c>
      <c r="G68" t="s">
        <v>5231</v>
      </c>
      <c r="H68" t="s">
        <v>5232</v>
      </c>
      <c r="I68" t="s">
        <v>28931</v>
      </c>
      <c r="J68" t="s">
        <v>5233</v>
      </c>
      <c r="K68" t="s">
        <v>5234</v>
      </c>
      <c r="L68" s="7" t="s">
        <v>28931</v>
      </c>
      <c r="M68" t="s">
        <v>28931</v>
      </c>
      <c r="N68">
        <v>6</v>
      </c>
      <c r="O68">
        <v>5</v>
      </c>
      <c r="P68">
        <v>1</v>
      </c>
      <c r="Q68">
        <v>5</v>
      </c>
      <c r="R68">
        <v>5</v>
      </c>
      <c r="S68">
        <v>0</v>
      </c>
      <c r="T68">
        <v>0</v>
      </c>
      <c r="U68" t="s">
        <v>5235</v>
      </c>
      <c r="V68">
        <f>Tabla1[[#This Row],[Aboard]]-Tabla1[[#This Row],[Fatalities]]</f>
        <v>1</v>
      </c>
      <c r="W68" s="50">
        <f>IFERROR(Tabla1[[#This Row],[Fatalities]]/Tabla1[[#This Row],[Aboard]],0)</f>
        <v>0.83333333333333337</v>
      </c>
      <c r="X68" s="51" t="str" cm="1">
        <f t="array" ref="X68">_xlfn.IFS(Tabla1[[#This Row],[Porcentaje de muertes]]&lt;0.35,"LEVE",AND(Tabla1[[#This Row],[Porcentaje de muertes]]&gt;0.35,Tabla1[[#This Row],[Porcentaje de muertes]]&lt;0.65),"MEDIO",Tabla1[[#This Row],[Porcentaje de muertes]]&gt;0.65,"GRAVE")</f>
        <v>GRAVE</v>
      </c>
      <c r="AB68" t="s">
        <v>28484</v>
      </c>
      <c r="AC68" t="s">
        <v>28485</v>
      </c>
      <c r="AD68" t="s">
        <v>28966</v>
      </c>
      <c r="AE68" t="s">
        <v>28966</v>
      </c>
      <c r="AF68" t="s">
        <v>28966</v>
      </c>
      <c r="AG68" t="s">
        <v>28966</v>
      </c>
      <c r="AH68" t="s">
        <v>28966</v>
      </c>
      <c r="AI68" t="s">
        <v>28966</v>
      </c>
      <c r="AJ68" t="s">
        <v>28966</v>
      </c>
      <c r="AK68" t="s">
        <v>28966</v>
      </c>
      <c r="AL68" t="s">
        <v>28966</v>
      </c>
      <c r="AM68" t="s">
        <v>28966</v>
      </c>
      <c r="AN68" t="s">
        <v>28966</v>
      </c>
      <c r="AO68" t="s">
        <v>28966</v>
      </c>
      <c r="AP68" t="s">
        <v>28966</v>
      </c>
      <c r="AQ68" t="s">
        <v>28966</v>
      </c>
      <c r="AR68" t="s">
        <v>28966</v>
      </c>
      <c r="AS68" t="s">
        <v>28966</v>
      </c>
      <c r="AT68" t="s">
        <v>28966</v>
      </c>
      <c r="AU68" t="s">
        <v>28966</v>
      </c>
      <c r="AV68" t="s">
        <v>28966</v>
      </c>
      <c r="AW68" t="s">
        <v>28966</v>
      </c>
      <c r="AX68" t="s">
        <v>28966</v>
      </c>
      <c r="AY68">
        <v>342307200</v>
      </c>
      <c r="AZ68">
        <v>313517500</v>
      </c>
      <c r="BA68">
        <v>290815100</v>
      </c>
      <c r="BB68">
        <v>302847300</v>
      </c>
      <c r="BC68">
        <v>318012844.10000002</v>
      </c>
      <c r="BD68">
        <v>339543200</v>
      </c>
      <c r="BE68">
        <v>361142200</v>
      </c>
      <c r="BF68">
        <v>368219300</v>
      </c>
      <c r="BG68">
        <v>398388896</v>
      </c>
      <c r="BH68">
        <v>428305223</v>
      </c>
      <c r="BI68">
        <v>427544242</v>
      </c>
      <c r="BJ68">
        <v>426545437</v>
      </c>
      <c r="BK68">
        <v>460194210</v>
      </c>
      <c r="BL68">
        <v>506766844</v>
      </c>
      <c r="BM68">
        <v>518261374</v>
      </c>
      <c r="BN68">
        <v>559653407</v>
      </c>
      <c r="BO68">
        <v>607952555</v>
      </c>
      <c r="BP68">
        <v>623643998</v>
      </c>
      <c r="BQ68">
        <v>615350087</v>
      </c>
      <c r="BR68">
        <v>671844987.29999995</v>
      </c>
      <c r="BS68">
        <v>728739259.89999998</v>
      </c>
      <c r="BT68">
        <v>749916268.89999998</v>
      </c>
      <c r="BU68">
        <v>778805759.89999998</v>
      </c>
      <c r="BV68">
        <v>823125948.60000002</v>
      </c>
      <c r="BW68">
        <v>886634821</v>
      </c>
      <c r="BX68">
        <v>941730493</v>
      </c>
      <c r="BY68">
        <v>1015616107</v>
      </c>
      <c r="BZ68">
        <v>1085617534</v>
      </c>
      <c r="CA68">
        <v>1132924748</v>
      </c>
    </row>
    <row r="69" spans="2:79" x14ac:dyDescent="0.3">
      <c r="B69" s="9">
        <v>67</v>
      </c>
      <c r="C69" s="49">
        <v>8221</v>
      </c>
      <c r="D69" s="9">
        <f>YEAR(Tabla1[[#This Row],[Date]])</f>
        <v>1922</v>
      </c>
      <c r="E69" s="9" t="str" cm="1">
        <f t="array" ref="E69">IFERROR(_xlfn.IFS(AND(D69&lt;1980,D69&gt;=1970),"70",AND(D69&lt;1990,D69&gt;=1980),"80",AND(D69&lt;2000,D69&gt;=1990),"90",AND(D69&lt;2010,D69&gt;=2000),"00",AND(D69&lt;=2019,D69&gt;=2010),"10"),"1908-1970")</f>
        <v>1908-1970</v>
      </c>
      <c r="F69" s="3">
        <v>0.55208333333333337</v>
      </c>
      <c r="G69" t="s">
        <v>5236</v>
      </c>
      <c r="H69" t="s">
        <v>5237</v>
      </c>
      <c r="I69" t="s">
        <v>28931</v>
      </c>
      <c r="J69" t="s">
        <v>5238</v>
      </c>
      <c r="K69" t="s">
        <v>5239</v>
      </c>
      <c r="L69" s="7" t="s">
        <v>5240</v>
      </c>
      <c r="M69">
        <v>4</v>
      </c>
      <c r="N69">
        <v>7</v>
      </c>
      <c r="O69">
        <v>5</v>
      </c>
      <c r="P69">
        <v>2</v>
      </c>
      <c r="Q69">
        <v>7</v>
      </c>
      <c r="R69">
        <v>5</v>
      </c>
      <c r="S69">
        <v>2</v>
      </c>
      <c r="T69">
        <v>0</v>
      </c>
      <c r="U69" t="s">
        <v>5241</v>
      </c>
      <c r="V69">
        <f>Tabla1[[#This Row],[Aboard]]-Tabla1[[#This Row],[Fatalities]]</f>
        <v>0</v>
      </c>
      <c r="W69" s="50">
        <f>IFERROR(Tabla1[[#This Row],[Fatalities]]/Tabla1[[#This Row],[Aboard]],0)</f>
        <v>1</v>
      </c>
      <c r="X69" s="51" t="str" cm="1">
        <f t="array" ref="X69">_xlfn.IFS(Tabla1[[#This Row],[Porcentaje de muertes]]&lt;0.35,"LEVE",AND(Tabla1[[#This Row],[Porcentaje de muertes]]&gt;0.35,Tabla1[[#This Row],[Porcentaje de muertes]]&lt;0.65),"MEDIO",Tabla1[[#This Row],[Porcentaje de muertes]]&gt;0.65,"GRAVE")</f>
        <v>GRAVE</v>
      </c>
      <c r="AB69" t="s">
        <v>28486</v>
      </c>
      <c r="AC69" t="s">
        <v>28487</v>
      </c>
      <c r="AD69">
        <v>419500</v>
      </c>
      <c r="AE69">
        <v>457500</v>
      </c>
      <c r="AF69">
        <v>437800</v>
      </c>
      <c r="AG69">
        <v>380200</v>
      </c>
      <c r="AH69">
        <v>362200</v>
      </c>
      <c r="AI69">
        <v>448100</v>
      </c>
      <c r="AJ69">
        <v>463300</v>
      </c>
      <c r="AK69">
        <v>528600</v>
      </c>
      <c r="AL69">
        <v>593300</v>
      </c>
      <c r="AM69">
        <v>632900</v>
      </c>
      <c r="AN69">
        <v>701000</v>
      </c>
      <c r="AO69">
        <v>691700</v>
      </c>
      <c r="AP69">
        <v>676300</v>
      </c>
      <c r="AQ69">
        <v>618000</v>
      </c>
      <c r="AR69">
        <v>634000</v>
      </c>
      <c r="AS69">
        <v>664200</v>
      </c>
      <c r="AT69">
        <v>697200</v>
      </c>
      <c r="AU69">
        <v>692000</v>
      </c>
      <c r="AV69">
        <v>683700</v>
      </c>
      <c r="AW69">
        <v>741800</v>
      </c>
      <c r="AX69">
        <v>762500</v>
      </c>
      <c r="AY69">
        <v>752300</v>
      </c>
      <c r="AZ69">
        <v>1473900</v>
      </c>
      <c r="BA69">
        <v>2122400</v>
      </c>
      <c r="BB69">
        <v>2118700</v>
      </c>
      <c r="BC69">
        <v>1670900</v>
      </c>
      <c r="BD69">
        <v>1925200</v>
      </c>
      <c r="BE69">
        <v>1790600</v>
      </c>
      <c r="BF69">
        <v>1918800</v>
      </c>
      <c r="BG69">
        <v>1386700</v>
      </c>
      <c r="BH69">
        <v>1318518</v>
      </c>
      <c r="BI69">
        <v>1284922</v>
      </c>
      <c r="BJ69">
        <v>1184098</v>
      </c>
      <c r="BK69">
        <v>1521249</v>
      </c>
      <c r="BL69">
        <v>1828303</v>
      </c>
      <c r="BM69">
        <v>2011004</v>
      </c>
      <c r="BN69">
        <v>2110423</v>
      </c>
      <c r="BO69">
        <v>2630759</v>
      </c>
      <c r="BP69">
        <v>2926821</v>
      </c>
      <c r="BQ69">
        <v>2896528</v>
      </c>
      <c r="BR69">
        <v>4818305</v>
      </c>
      <c r="BS69">
        <v>4714115</v>
      </c>
      <c r="BT69">
        <v>4758406.307</v>
      </c>
      <c r="BU69">
        <v>5157521</v>
      </c>
      <c r="BV69">
        <v>5675088</v>
      </c>
      <c r="BW69">
        <v>5677816</v>
      </c>
      <c r="BX69">
        <v>5099726</v>
      </c>
      <c r="BY69">
        <v>5121235</v>
      </c>
      <c r="BZ69">
        <v>5365261</v>
      </c>
      <c r="CA69">
        <v>4827978</v>
      </c>
    </row>
    <row r="70" spans="2:79" x14ac:dyDescent="0.3">
      <c r="B70" s="9">
        <v>68</v>
      </c>
      <c r="C70" s="49">
        <v>8252</v>
      </c>
      <c r="D70" s="9">
        <f>YEAR(Tabla1[[#This Row],[Date]])</f>
        <v>1922</v>
      </c>
      <c r="E70" s="9" t="str" cm="1">
        <f t="array" ref="E70">IFERROR(_xlfn.IFS(AND(D70&lt;1980,D70&gt;=1970),"70",AND(D70&lt;1990,D70&gt;=1980),"80",AND(D70&lt;2000,D70&gt;=1990),"90",AND(D70&lt;2010,D70&gt;=2000),"00",AND(D70&lt;=2019,D70&gt;=2010),"10"),"1908-1970")</f>
        <v>1908-1970</v>
      </c>
      <c r="F70" s="3" t="s">
        <v>28931</v>
      </c>
      <c r="G70" t="s">
        <v>5242</v>
      </c>
      <c r="H70" t="s">
        <v>28931</v>
      </c>
      <c r="I70" t="s">
        <v>28931</v>
      </c>
      <c r="J70" t="s">
        <v>5243</v>
      </c>
      <c r="K70" t="s">
        <v>5038</v>
      </c>
      <c r="L70" s="7" t="s">
        <v>28931</v>
      </c>
      <c r="M70" t="s">
        <v>28931</v>
      </c>
      <c r="N70">
        <v>17</v>
      </c>
      <c r="O70">
        <v>0</v>
      </c>
      <c r="P70">
        <v>17</v>
      </c>
      <c r="Q70">
        <v>17</v>
      </c>
      <c r="R70">
        <v>0</v>
      </c>
      <c r="S70">
        <v>17</v>
      </c>
      <c r="T70">
        <v>0</v>
      </c>
      <c r="U70" t="s">
        <v>5244</v>
      </c>
      <c r="V70">
        <f>Tabla1[[#This Row],[Aboard]]-Tabla1[[#This Row],[Fatalities]]</f>
        <v>0</v>
      </c>
      <c r="W70" s="50">
        <f>IFERROR(Tabla1[[#This Row],[Fatalities]]/Tabla1[[#This Row],[Aboard]],0)</f>
        <v>1</v>
      </c>
      <c r="X70" s="51" t="str" cm="1">
        <f t="array" ref="X70">_xlfn.IFS(Tabla1[[#This Row],[Porcentaje de muertes]]&lt;0.35,"LEVE",AND(Tabla1[[#This Row],[Porcentaje de muertes]]&gt;0.35,Tabla1[[#This Row],[Porcentaje de muertes]]&lt;0.65),"MEDIO",Tabla1[[#This Row],[Porcentaje de muertes]]&gt;0.65,"GRAVE")</f>
        <v>GRAVE</v>
      </c>
      <c r="AB70" t="s">
        <v>28488</v>
      </c>
      <c r="AC70" t="s">
        <v>28489</v>
      </c>
      <c r="AD70">
        <v>542500</v>
      </c>
      <c r="AE70">
        <v>515400</v>
      </c>
      <c r="AF70">
        <v>623100</v>
      </c>
      <c r="AG70">
        <v>656300</v>
      </c>
      <c r="AH70">
        <v>837000</v>
      </c>
      <c r="AI70">
        <v>916900</v>
      </c>
      <c r="AJ70">
        <v>1112700</v>
      </c>
      <c r="AK70">
        <v>1282400</v>
      </c>
      <c r="AL70">
        <v>1426300</v>
      </c>
      <c r="AM70">
        <v>1689800</v>
      </c>
      <c r="AN70">
        <v>2027700</v>
      </c>
      <c r="AO70">
        <v>2232600</v>
      </c>
      <c r="AP70">
        <v>2433200</v>
      </c>
      <c r="AQ70">
        <v>2617700</v>
      </c>
      <c r="AR70">
        <v>2786200</v>
      </c>
      <c r="AS70">
        <v>2786200</v>
      </c>
      <c r="AT70">
        <v>2350100</v>
      </c>
      <c r="AU70">
        <v>2891200</v>
      </c>
      <c r="AV70">
        <v>3192100</v>
      </c>
      <c r="AW70">
        <v>3418600</v>
      </c>
      <c r="AX70">
        <v>3239200</v>
      </c>
      <c r="AY70">
        <v>2595400</v>
      </c>
      <c r="AZ70">
        <v>3608600</v>
      </c>
      <c r="BA70">
        <v>2880500</v>
      </c>
      <c r="BB70">
        <v>3537500</v>
      </c>
      <c r="BC70">
        <v>3897200</v>
      </c>
      <c r="BD70">
        <v>4282400</v>
      </c>
      <c r="BE70">
        <v>4416300</v>
      </c>
      <c r="BF70">
        <v>3894900</v>
      </c>
      <c r="BG70">
        <v>4620100</v>
      </c>
      <c r="BH70">
        <v>4521702</v>
      </c>
      <c r="BI70">
        <v>4389163</v>
      </c>
      <c r="BJ70">
        <v>4526688</v>
      </c>
      <c r="BK70">
        <v>4180814</v>
      </c>
      <c r="BL70">
        <v>4621310</v>
      </c>
      <c r="BM70">
        <v>4888146</v>
      </c>
      <c r="BN70">
        <v>4988262</v>
      </c>
      <c r="BO70">
        <v>5829044</v>
      </c>
      <c r="BP70">
        <v>6688999</v>
      </c>
      <c r="BQ70">
        <v>6215870</v>
      </c>
      <c r="BR70">
        <v>9518106.0130000003</v>
      </c>
      <c r="BS70">
        <v>7708160.1069999998</v>
      </c>
      <c r="BT70">
        <v>9081175.1459999997</v>
      </c>
      <c r="BU70">
        <v>10593780.18</v>
      </c>
      <c r="BV70">
        <v>10278013.109999999</v>
      </c>
      <c r="BW70">
        <v>11109554</v>
      </c>
      <c r="BX70">
        <v>11844962</v>
      </c>
      <c r="BY70">
        <v>11748510</v>
      </c>
      <c r="BZ70">
        <v>12386010</v>
      </c>
      <c r="CA70">
        <v>12959679.65</v>
      </c>
    </row>
    <row r="71" spans="2:79" x14ac:dyDescent="0.3">
      <c r="B71" s="9">
        <v>69</v>
      </c>
      <c r="C71" s="49">
        <v>8101</v>
      </c>
      <c r="D71" s="9">
        <f>YEAR(Tabla1[[#This Row],[Date]])</f>
        <v>1922</v>
      </c>
      <c r="E71" s="9" t="str" cm="1">
        <f t="array" ref="E71">IFERROR(_xlfn.IFS(AND(D71&lt;1980,D71&gt;=1970),"70",AND(D71&lt;1990,D71&gt;=1980),"80",AND(D71&lt;2000,D71&gt;=1990),"90",AND(D71&lt;2010,D71&gt;=2000),"00",AND(D71&lt;=2019,D71&gt;=2010),"10"),"1908-1970")</f>
        <v>1908-1970</v>
      </c>
      <c r="F71" s="3" t="s">
        <v>28931</v>
      </c>
      <c r="G71" t="s">
        <v>5245</v>
      </c>
      <c r="H71" t="s">
        <v>5246</v>
      </c>
      <c r="I71" t="s">
        <v>28931</v>
      </c>
      <c r="J71" t="s">
        <v>5247</v>
      </c>
      <c r="K71" t="s">
        <v>5248</v>
      </c>
      <c r="L71" s="7" t="s">
        <v>5249</v>
      </c>
      <c r="M71">
        <v>555</v>
      </c>
      <c r="N71">
        <v>3</v>
      </c>
      <c r="O71">
        <v>2</v>
      </c>
      <c r="P71">
        <v>1</v>
      </c>
      <c r="Q71">
        <v>3</v>
      </c>
      <c r="R71">
        <v>2</v>
      </c>
      <c r="S71">
        <v>1</v>
      </c>
      <c r="T71">
        <v>0</v>
      </c>
      <c r="U71" t="s">
        <v>5250</v>
      </c>
      <c r="V71">
        <f>Tabla1[[#This Row],[Aboard]]-Tabla1[[#This Row],[Fatalities]]</f>
        <v>0</v>
      </c>
      <c r="W71" s="50">
        <f>IFERROR(Tabla1[[#This Row],[Fatalities]]/Tabla1[[#This Row],[Aboard]],0)</f>
        <v>1</v>
      </c>
      <c r="X71" s="51" t="str" cm="1">
        <f t="array" ref="X71">_xlfn.IFS(Tabla1[[#This Row],[Porcentaje de muertes]]&lt;0.35,"LEVE",AND(Tabla1[[#This Row],[Porcentaje de muertes]]&gt;0.35,Tabla1[[#This Row],[Porcentaje de muertes]]&lt;0.65),"MEDIO",Tabla1[[#This Row],[Porcentaje de muertes]]&gt;0.65,"GRAVE")</f>
        <v>GRAVE</v>
      </c>
      <c r="AB71" t="s">
        <v>28490</v>
      </c>
      <c r="AC71" t="s">
        <v>28491</v>
      </c>
      <c r="AD71">
        <v>39643000</v>
      </c>
      <c r="AE71">
        <v>43871800</v>
      </c>
      <c r="AF71">
        <v>48582800</v>
      </c>
      <c r="AG71">
        <v>52394200</v>
      </c>
      <c r="AH71">
        <v>54363300</v>
      </c>
      <c r="AI71">
        <v>56735600</v>
      </c>
      <c r="AJ71">
        <v>61089600</v>
      </c>
      <c r="AK71">
        <v>66529900</v>
      </c>
      <c r="AL71">
        <v>72757200</v>
      </c>
      <c r="AM71">
        <v>76943200</v>
      </c>
      <c r="AN71">
        <v>78070300</v>
      </c>
      <c r="AO71">
        <v>80934800</v>
      </c>
      <c r="AP71">
        <v>83756300</v>
      </c>
      <c r="AQ71">
        <v>85330500</v>
      </c>
      <c r="AR71">
        <v>89014400</v>
      </c>
      <c r="AS71">
        <v>94216800</v>
      </c>
      <c r="AT71">
        <v>94997000</v>
      </c>
      <c r="AU71">
        <v>105072500</v>
      </c>
      <c r="AV71">
        <v>114465600</v>
      </c>
      <c r="AW71">
        <v>124135000</v>
      </c>
      <c r="AX71">
        <v>134459400</v>
      </c>
      <c r="AY71">
        <v>131411900</v>
      </c>
      <c r="AZ71">
        <v>144488700</v>
      </c>
      <c r="BA71">
        <v>149322600</v>
      </c>
      <c r="BB71">
        <v>159931900</v>
      </c>
      <c r="BC71">
        <v>171988500</v>
      </c>
      <c r="BD71">
        <v>190436600</v>
      </c>
      <c r="BE71">
        <v>210002000</v>
      </c>
      <c r="BF71">
        <v>219023000</v>
      </c>
      <c r="BG71">
        <v>238927500</v>
      </c>
      <c r="BH71">
        <v>259579401</v>
      </c>
      <c r="BI71">
        <v>257007629</v>
      </c>
      <c r="BJ71">
        <v>258285964</v>
      </c>
      <c r="BK71">
        <v>288282210</v>
      </c>
      <c r="BL71">
        <v>315899184</v>
      </c>
      <c r="BM71">
        <v>344015957</v>
      </c>
      <c r="BN71">
        <v>374599784</v>
      </c>
      <c r="BO71">
        <v>407969143</v>
      </c>
      <c r="BP71">
        <v>408980682</v>
      </c>
      <c r="BQ71">
        <v>401882488</v>
      </c>
      <c r="BR71">
        <v>414887775.10000002</v>
      </c>
      <c r="BS71">
        <v>439335562.69999999</v>
      </c>
      <c r="BT71">
        <v>437876149.5</v>
      </c>
      <c r="BU71">
        <v>441085469.30000001</v>
      </c>
      <c r="BV71">
        <v>458429866</v>
      </c>
      <c r="BW71">
        <v>495116034</v>
      </c>
      <c r="BX71">
        <v>527688666</v>
      </c>
      <c r="BY71">
        <v>558725887</v>
      </c>
      <c r="BZ71">
        <v>582704366.29999995</v>
      </c>
      <c r="CA71">
        <v>634255101.39999998</v>
      </c>
    </row>
    <row r="72" spans="2:79" x14ac:dyDescent="0.3">
      <c r="B72" s="9">
        <v>70</v>
      </c>
      <c r="C72" s="49">
        <v>8133</v>
      </c>
      <c r="D72" s="9">
        <f>YEAR(Tabla1[[#This Row],[Date]])</f>
        <v>1922</v>
      </c>
      <c r="E72" s="9" t="str" cm="1">
        <f t="array" ref="E72">IFERROR(_xlfn.IFS(AND(D72&lt;1980,D72&gt;=1970),"70",AND(D72&lt;1990,D72&gt;=1980),"80",AND(D72&lt;2000,D72&gt;=1990),"90",AND(D72&lt;2010,D72&gt;=2000),"00",AND(D72&lt;=2019,D72&gt;=2010),"10"),"1908-1970")</f>
        <v>1908-1970</v>
      </c>
      <c r="F72" s="3" t="s">
        <v>28931</v>
      </c>
      <c r="G72" t="s">
        <v>5251</v>
      </c>
      <c r="H72" t="s">
        <v>28931</v>
      </c>
      <c r="I72" t="s">
        <v>28931</v>
      </c>
      <c r="J72" t="s">
        <v>5252</v>
      </c>
      <c r="K72" t="s">
        <v>5253</v>
      </c>
      <c r="L72" s="7" t="s">
        <v>28931</v>
      </c>
      <c r="M72" t="s">
        <v>28931</v>
      </c>
      <c r="N72">
        <v>3</v>
      </c>
      <c r="O72">
        <v>2</v>
      </c>
      <c r="P72">
        <v>1</v>
      </c>
      <c r="Q72">
        <v>2</v>
      </c>
      <c r="R72">
        <v>1</v>
      </c>
      <c r="S72">
        <v>1</v>
      </c>
      <c r="T72">
        <v>0</v>
      </c>
      <c r="U72" t="s">
        <v>5254</v>
      </c>
      <c r="V72">
        <f>Tabla1[[#This Row],[Aboard]]-Tabla1[[#This Row],[Fatalities]]</f>
        <v>1</v>
      </c>
      <c r="W72" s="50">
        <f>IFERROR(Tabla1[[#This Row],[Fatalities]]/Tabla1[[#This Row],[Aboard]],0)</f>
        <v>0.66666666666666663</v>
      </c>
      <c r="X72" s="51" t="str" cm="1">
        <f t="array" ref="X72">_xlfn.IFS(Tabla1[[#This Row],[Porcentaje de muertes]]&lt;0.35,"LEVE",AND(Tabla1[[#This Row],[Porcentaje de muertes]]&gt;0.35,Tabla1[[#This Row],[Porcentaje de muertes]]&lt;0.65),"MEDIO",Tabla1[[#This Row],[Porcentaje de muertes]]&gt;0.65,"GRAVE")</f>
        <v>GRAVE</v>
      </c>
      <c r="AB72" t="s">
        <v>28492</v>
      </c>
      <c r="AC72" t="s">
        <v>28493</v>
      </c>
      <c r="AD72" t="s">
        <v>28966</v>
      </c>
      <c r="AE72" t="s">
        <v>28966</v>
      </c>
      <c r="AF72" t="s">
        <v>28966</v>
      </c>
      <c r="AG72" t="s">
        <v>28966</v>
      </c>
      <c r="AH72" t="s">
        <v>28966</v>
      </c>
      <c r="AI72" t="s">
        <v>28966</v>
      </c>
      <c r="AJ72" t="s">
        <v>28966</v>
      </c>
      <c r="AK72" t="s">
        <v>28966</v>
      </c>
      <c r="AL72" t="s">
        <v>28966</v>
      </c>
      <c r="AM72" t="s">
        <v>28966</v>
      </c>
      <c r="AN72" t="s">
        <v>28966</v>
      </c>
      <c r="AO72" t="s">
        <v>28966</v>
      </c>
      <c r="AP72" t="s">
        <v>28966</v>
      </c>
      <c r="AQ72" t="s">
        <v>28966</v>
      </c>
      <c r="AR72" t="s">
        <v>28966</v>
      </c>
      <c r="AS72" t="s">
        <v>28966</v>
      </c>
      <c r="AT72" t="s">
        <v>28966</v>
      </c>
      <c r="AU72" t="s">
        <v>28966</v>
      </c>
      <c r="AV72" t="s">
        <v>28966</v>
      </c>
      <c r="AW72" t="s">
        <v>28966</v>
      </c>
      <c r="AX72" t="s">
        <v>28966</v>
      </c>
      <c r="AY72" t="s">
        <v>28966</v>
      </c>
      <c r="AZ72" t="s">
        <v>28966</v>
      </c>
      <c r="BA72" t="s">
        <v>28966</v>
      </c>
      <c r="BB72" t="s">
        <v>28966</v>
      </c>
      <c r="BC72" t="s">
        <v>28966</v>
      </c>
      <c r="BD72" t="s">
        <v>28966</v>
      </c>
      <c r="BE72" t="s">
        <v>28966</v>
      </c>
      <c r="BF72" t="s">
        <v>28966</v>
      </c>
      <c r="BG72" t="s">
        <v>28966</v>
      </c>
      <c r="BH72" t="s">
        <v>28966</v>
      </c>
      <c r="BI72" t="s">
        <v>28966</v>
      </c>
      <c r="BJ72" t="s">
        <v>28966</v>
      </c>
      <c r="BK72" t="s">
        <v>28966</v>
      </c>
      <c r="BL72" t="s">
        <v>28966</v>
      </c>
      <c r="BM72" t="s">
        <v>28966</v>
      </c>
      <c r="BN72" t="s">
        <v>28966</v>
      </c>
      <c r="BO72" t="s">
        <v>28966</v>
      </c>
      <c r="BP72" t="s">
        <v>28966</v>
      </c>
      <c r="BQ72" t="s">
        <v>28966</v>
      </c>
      <c r="BR72" t="s">
        <v>28966</v>
      </c>
      <c r="BS72" t="s">
        <v>28966</v>
      </c>
      <c r="BT72" t="s">
        <v>28966</v>
      </c>
      <c r="BU72" t="s">
        <v>28966</v>
      </c>
      <c r="BV72" t="s">
        <v>28966</v>
      </c>
      <c r="BW72">
        <v>53074</v>
      </c>
      <c r="BX72">
        <v>66927</v>
      </c>
      <c r="BY72">
        <v>102729</v>
      </c>
      <c r="BZ72">
        <v>89136.815910000005</v>
      </c>
      <c r="CA72">
        <v>101357.3759</v>
      </c>
    </row>
    <row r="73" spans="2:79" x14ac:dyDescent="0.3">
      <c r="B73" s="9">
        <v>71</v>
      </c>
      <c r="C73" s="49">
        <v>8233</v>
      </c>
      <c r="D73" s="9">
        <f>YEAR(Tabla1[[#This Row],[Date]])</f>
        <v>1922</v>
      </c>
      <c r="E73" s="9" t="str" cm="1">
        <f t="array" ref="E73">IFERROR(_xlfn.IFS(AND(D73&lt;1980,D73&gt;=1970),"70",AND(D73&lt;1990,D73&gt;=1980),"80",AND(D73&lt;2000,D73&gt;=1990),"90",AND(D73&lt;2010,D73&gt;=2000),"00",AND(D73&lt;=2019,D73&gt;=2010),"10"),"1908-1970")</f>
        <v>1908-1970</v>
      </c>
      <c r="F73" s="3">
        <v>0.69791666666666663</v>
      </c>
      <c r="G73" t="s">
        <v>5255</v>
      </c>
      <c r="H73" t="s">
        <v>5256</v>
      </c>
      <c r="I73" t="s">
        <v>28931</v>
      </c>
      <c r="J73" t="s">
        <v>5257</v>
      </c>
      <c r="K73" t="s">
        <v>5258</v>
      </c>
      <c r="L73" s="7" t="s">
        <v>5259</v>
      </c>
      <c r="M73">
        <v>25</v>
      </c>
      <c r="N73">
        <v>5</v>
      </c>
      <c r="O73">
        <v>4</v>
      </c>
      <c r="P73">
        <v>1</v>
      </c>
      <c r="Q73">
        <v>5</v>
      </c>
      <c r="R73">
        <v>4</v>
      </c>
      <c r="S73">
        <v>1</v>
      </c>
      <c r="T73">
        <v>0</v>
      </c>
      <c r="U73" t="s">
        <v>5260</v>
      </c>
      <c r="V73">
        <f>Tabla1[[#This Row],[Aboard]]-Tabla1[[#This Row],[Fatalities]]</f>
        <v>0</v>
      </c>
      <c r="W73" s="50">
        <f>IFERROR(Tabla1[[#This Row],[Fatalities]]/Tabla1[[#This Row],[Aboard]],0)</f>
        <v>1</v>
      </c>
      <c r="X73" s="51" t="str" cm="1">
        <f t="array" ref="X73">_xlfn.IFS(Tabla1[[#This Row],[Porcentaje de muertes]]&lt;0.35,"LEVE",AND(Tabla1[[#This Row],[Porcentaje de muertes]]&gt;0.35,Tabla1[[#This Row],[Porcentaje de muertes]]&lt;0.65),"MEDIO",Tabla1[[#This Row],[Porcentaje de muertes]]&gt;0.65,"GRAVE")</f>
        <v>GRAVE</v>
      </c>
      <c r="AB73" t="s">
        <v>28494</v>
      </c>
      <c r="AC73" t="s">
        <v>28495</v>
      </c>
      <c r="AD73">
        <v>6347400</v>
      </c>
      <c r="AE73">
        <v>7505400</v>
      </c>
      <c r="AF73">
        <v>8654900</v>
      </c>
      <c r="AG73">
        <v>9964000</v>
      </c>
      <c r="AH73">
        <v>10198100</v>
      </c>
      <c r="AI73">
        <v>10959100</v>
      </c>
      <c r="AJ73">
        <v>11801100</v>
      </c>
      <c r="AK73">
        <v>13328200</v>
      </c>
      <c r="AL73">
        <v>15369000</v>
      </c>
      <c r="AM73">
        <v>15683000</v>
      </c>
      <c r="AN73">
        <v>15089000</v>
      </c>
      <c r="AO73">
        <v>14601800</v>
      </c>
      <c r="AP73">
        <v>14637600</v>
      </c>
      <c r="AQ73">
        <v>14538000</v>
      </c>
      <c r="AR73">
        <v>14283900</v>
      </c>
      <c r="AS73">
        <v>14850700</v>
      </c>
      <c r="AT73">
        <v>15403500</v>
      </c>
      <c r="AU73">
        <v>16553300</v>
      </c>
      <c r="AV73">
        <v>18983200</v>
      </c>
      <c r="AW73">
        <v>20270300</v>
      </c>
      <c r="AX73">
        <v>21652000</v>
      </c>
      <c r="AY73">
        <v>20944600</v>
      </c>
      <c r="AZ73">
        <v>23385800</v>
      </c>
      <c r="BA73">
        <v>22279400</v>
      </c>
      <c r="BB73">
        <v>22361300</v>
      </c>
      <c r="BC73">
        <v>25765700</v>
      </c>
      <c r="BD73">
        <v>27759200</v>
      </c>
      <c r="BE73">
        <v>30315700</v>
      </c>
      <c r="BF73">
        <v>31594100</v>
      </c>
      <c r="BG73">
        <v>33559400</v>
      </c>
      <c r="BH73">
        <v>39711776</v>
      </c>
      <c r="BI73">
        <v>41469789</v>
      </c>
      <c r="BJ73">
        <v>40380629</v>
      </c>
      <c r="BK73">
        <v>42506835</v>
      </c>
      <c r="BL73">
        <v>45539952</v>
      </c>
      <c r="BM73">
        <v>49855007</v>
      </c>
      <c r="BN73">
        <v>53122464</v>
      </c>
      <c r="BO73">
        <v>60664991</v>
      </c>
      <c r="BP73">
        <v>55213716</v>
      </c>
      <c r="BQ73">
        <v>49289158</v>
      </c>
      <c r="BR73">
        <v>52847712.609999999</v>
      </c>
      <c r="BS73">
        <v>52736140.93</v>
      </c>
      <c r="BT73">
        <v>48089178.329999998</v>
      </c>
      <c r="BU73">
        <v>48056735.82</v>
      </c>
      <c r="BV73">
        <v>53069339</v>
      </c>
      <c r="BW73">
        <v>60564041</v>
      </c>
      <c r="BX73">
        <v>66674868</v>
      </c>
      <c r="BY73">
        <v>71598374</v>
      </c>
      <c r="BZ73">
        <v>80706703</v>
      </c>
      <c r="CA73">
        <v>88237165.269999996</v>
      </c>
    </row>
    <row r="74" spans="2:79" x14ac:dyDescent="0.3">
      <c r="B74" s="9">
        <v>72</v>
      </c>
      <c r="C74" s="49">
        <v>8243</v>
      </c>
      <c r="D74" s="9">
        <f>YEAR(Tabla1[[#This Row],[Date]])</f>
        <v>1922</v>
      </c>
      <c r="E74" s="9" t="str" cm="1">
        <f t="array" ref="E74">IFERROR(_xlfn.IFS(AND(D74&lt;1980,D74&gt;=1970),"70",AND(D74&lt;1990,D74&gt;=1980),"80",AND(D74&lt;2000,D74&gt;=1990),"90",AND(D74&lt;2010,D74&gt;=2000),"00",AND(D74&lt;=2019,D74&gt;=2010),"10"),"1908-1970")</f>
        <v>1908-1970</v>
      </c>
      <c r="F74" s="3" t="s">
        <v>28931</v>
      </c>
      <c r="G74" t="s">
        <v>5261</v>
      </c>
      <c r="H74" t="s">
        <v>5262</v>
      </c>
      <c r="I74" t="s">
        <v>28931</v>
      </c>
      <c r="J74" t="s">
        <v>28931</v>
      </c>
      <c r="K74" t="s">
        <v>5167</v>
      </c>
      <c r="L74" s="7" t="s">
        <v>5263</v>
      </c>
      <c r="M74">
        <v>117</v>
      </c>
      <c r="N74">
        <v>3</v>
      </c>
      <c r="O74">
        <v>2</v>
      </c>
      <c r="P74">
        <v>1</v>
      </c>
      <c r="Q74">
        <v>3</v>
      </c>
      <c r="R74">
        <v>2</v>
      </c>
      <c r="S74">
        <v>1</v>
      </c>
      <c r="T74">
        <v>0</v>
      </c>
      <c r="U74" t="s">
        <v>5264</v>
      </c>
      <c r="V74">
        <f>Tabla1[[#This Row],[Aboard]]-Tabla1[[#This Row],[Fatalities]]</f>
        <v>0</v>
      </c>
      <c r="W74" s="50">
        <f>IFERROR(Tabla1[[#This Row],[Fatalities]]/Tabla1[[#This Row],[Aboard]],0)</f>
        <v>1</v>
      </c>
      <c r="X74" s="51" t="str" cm="1">
        <f t="array" ref="X74">_xlfn.IFS(Tabla1[[#This Row],[Porcentaje de muertes]]&lt;0.35,"LEVE",AND(Tabla1[[#This Row],[Porcentaje de muertes]]&gt;0.35,Tabla1[[#This Row],[Porcentaje de muertes]]&lt;0.65),"MEDIO",Tabla1[[#This Row],[Porcentaje de muertes]]&gt;0.65,"GRAVE")</f>
        <v>GRAVE</v>
      </c>
      <c r="AB74" t="s">
        <v>28496</v>
      </c>
      <c r="AC74" t="s">
        <v>28497</v>
      </c>
      <c r="AD74" t="s">
        <v>28966</v>
      </c>
      <c r="AE74" t="s">
        <v>28966</v>
      </c>
      <c r="AF74" t="s">
        <v>28966</v>
      </c>
      <c r="AG74" t="s">
        <v>28966</v>
      </c>
      <c r="AH74" t="s">
        <v>28966</v>
      </c>
      <c r="AI74" t="s">
        <v>28966</v>
      </c>
      <c r="AJ74" t="s">
        <v>28966</v>
      </c>
      <c r="AK74" t="s">
        <v>28966</v>
      </c>
      <c r="AL74" t="s">
        <v>28966</v>
      </c>
      <c r="AM74" t="s">
        <v>28966</v>
      </c>
      <c r="AN74" t="s">
        <v>28966</v>
      </c>
      <c r="AO74" t="s">
        <v>28966</v>
      </c>
      <c r="AP74" t="s">
        <v>28966</v>
      </c>
      <c r="AQ74" t="s">
        <v>28966</v>
      </c>
      <c r="AR74" t="s">
        <v>28966</v>
      </c>
      <c r="AS74" t="s">
        <v>28966</v>
      </c>
      <c r="AT74" t="s">
        <v>28966</v>
      </c>
      <c r="AU74" t="s">
        <v>28966</v>
      </c>
      <c r="AV74" t="s">
        <v>28966</v>
      </c>
      <c r="AW74" t="s">
        <v>28966</v>
      </c>
      <c r="AX74" t="s">
        <v>28966</v>
      </c>
      <c r="AY74" t="s">
        <v>28966</v>
      </c>
      <c r="AZ74">
        <v>146300</v>
      </c>
      <c r="BA74">
        <v>127700</v>
      </c>
      <c r="BB74">
        <v>157300</v>
      </c>
      <c r="BC74">
        <v>168600</v>
      </c>
      <c r="BD74">
        <v>149400</v>
      </c>
      <c r="BE74">
        <v>230500</v>
      </c>
      <c r="BF74">
        <v>297400</v>
      </c>
      <c r="BG74">
        <v>302000</v>
      </c>
      <c r="BH74">
        <v>277595</v>
      </c>
      <c r="BI74">
        <v>277768</v>
      </c>
      <c r="BJ74">
        <v>304135</v>
      </c>
      <c r="BK74">
        <v>395485</v>
      </c>
      <c r="BL74">
        <v>509556</v>
      </c>
      <c r="BM74">
        <v>577808</v>
      </c>
      <c r="BN74">
        <v>598123</v>
      </c>
      <c r="BO74">
        <v>651323</v>
      </c>
      <c r="BP74">
        <v>685582</v>
      </c>
      <c r="BQ74">
        <v>395532</v>
      </c>
      <c r="BR74">
        <v>582320.20279999997</v>
      </c>
      <c r="BS74">
        <v>614933</v>
      </c>
      <c r="BT74">
        <v>914519</v>
      </c>
      <c r="BU74">
        <v>627588</v>
      </c>
      <c r="BV74">
        <v>602880</v>
      </c>
      <c r="BW74">
        <v>512389</v>
      </c>
      <c r="BX74">
        <v>372274</v>
      </c>
      <c r="BY74">
        <v>13103</v>
      </c>
      <c r="BZ74">
        <v>62802</v>
      </c>
      <c r="CA74">
        <v>857</v>
      </c>
    </row>
    <row r="75" spans="2:79" x14ac:dyDescent="0.3">
      <c r="B75" s="9">
        <v>73</v>
      </c>
      <c r="C75" s="49">
        <v>8226</v>
      </c>
      <c r="D75" s="9">
        <f>YEAR(Tabla1[[#This Row],[Date]])</f>
        <v>1922</v>
      </c>
      <c r="E75" s="9" t="str" cm="1">
        <f t="array" ref="E75">IFERROR(_xlfn.IFS(AND(D75&lt;1980,D75&gt;=1970),"70",AND(D75&lt;1990,D75&gt;=1980),"80",AND(D75&lt;2000,D75&gt;=1990),"90",AND(D75&lt;2010,D75&gt;=2000),"00",AND(D75&lt;=2019,D75&gt;=2010),"10"),"1908-1970")</f>
        <v>1908-1970</v>
      </c>
      <c r="F75" s="3" t="s">
        <v>28931</v>
      </c>
      <c r="G75" t="s">
        <v>5265</v>
      </c>
      <c r="H75" t="s">
        <v>5096</v>
      </c>
      <c r="I75" t="s">
        <v>28931</v>
      </c>
      <c r="J75" t="s">
        <v>28931</v>
      </c>
      <c r="K75" t="s">
        <v>5097</v>
      </c>
      <c r="L75" s="7">
        <v>227</v>
      </c>
      <c r="M75" t="s">
        <v>28931</v>
      </c>
      <c r="N75">
        <v>1</v>
      </c>
      <c r="O75">
        <v>0</v>
      </c>
      <c r="P75">
        <v>1</v>
      </c>
      <c r="Q75">
        <v>1</v>
      </c>
      <c r="R75">
        <v>0</v>
      </c>
      <c r="S75">
        <v>1</v>
      </c>
      <c r="T75">
        <v>0</v>
      </c>
      <c r="U75" t="s">
        <v>5266</v>
      </c>
      <c r="V75">
        <f>Tabla1[[#This Row],[Aboard]]-Tabla1[[#This Row],[Fatalities]]</f>
        <v>0</v>
      </c>
      <c r="W75" s="50">
        <f>IFERROR(Tabla1[[#This Row],[Fatalities]]/Tabla1[[#This Row],[Aboard]],0)</f>
        <v>1</v>
      </c>
      <c r="X75" s="51" t="str" cm="1">
        <f t="array" ref="X75">_xlfn.IFS(Tabla1[[#This Row],[Porcentaje de muertes]]&lt;0.35,"LEVE",AND(Tabla1[[#This Row],[Porcentaje de muertes]]&gt;0.35,Tabla1[[#This Row],[Porcentaje de muertes]]&lt;0.65),"MEDIO",Tabla1[[#This Row],[Porcentaje de muertes]]&gt;0.65,"GRAVE")</f>
        <v>GRAVE</v>
      </c>
      <c r="AB75" t="s">
        <v>28498</v>
      </c>
      <c r="AC75" t="s">
        <v>28499</v>
      </c>
      <c r="AD75">
        <v>231600</v>
      </c>
      <c r="AE75">
        <v>263100</v>
      </c>
      <c r="AF75">
        <v>288500</v>
      </c>
      <c r="AG75">
        <v>309200</v>
      </c>
      <c r="AH75">
        <v>268700</v>
      </c>
      <c r="AI75">
        <v>244300</v>
      </c>
      <c r="AJ75">
        <v>288000</v>
      </c>
      <c r="AK75">
        <v>226100</v>
      </c>
      <c r="AL75">
        <v>185800</v>
      </c>
      <c r="AM75">
        <v>197400</v>
      </c>
      <c r="AN75">
        <v>242900</v>
      </c>
      <c r="AO75">
        <v>327600</v>
      </c>
      <c r="AP75">
        <v>335300</v>
      </c>
      <c r="AQ75">
        <v>357500</v>
      </c>
      <c r="AR75">
        <v>398800</v>
      </c>
      <c r="AS75">
        <v>471200</v>
      </c>
      <c r="AT75">
        <v>527500</v>
      </c>
      <c r="AU75">
        <v>594100</v>
      </c>
      <c r="AV75">
        <v>592600</v>
      </c>
      <c r="AW75">
        <v>650800</v>
      </c>
      <c r="AX75">
        <v>620300</v>
      </c>
      <c r="AY75">
        <v>635600</v>
      </c>
      <c r="AZ75">
        <v>756400</v>
      </c>
      <c r="BA75">
        <v>752000</v>
      </c>
      <c r="BB75">
        <v>716400</v>
      </c>
      <c r="BC75">
        <v>749900</v>
      </c>
      <c r="BD75">
        <v>743000</v>
      </c>
      <c r="BE75">
        <v>772300</v>
      </c>
      <c r="BF75">
        <v>789900</v>
      </c>
      <c r="BG75">
        <v>861400</v>
      </c>
      <c r="BH75">
        <v>944595</v>
      </c>
      <c r="BI75">
        <v>1027528</v>
      </c>
      <c r="BJ75">
        <v>1103184</v>
      </c>
      <c r="BK75">
        <v>1117329</v>
      </c>
      <c r="BL75">
        <v>1403293</v>
      </c>
      <c r="BM75">
        <v>1667316</v>
      </c>
      <c r="BN75">
        <v>1720306</v>
      </c>
      <c r="BO75">
        <v>2290179</v>
      </c>
      <c r="BP75">
        <v>2715017</v>
      </c>
      <c r="BQ75">
        <v>2914056</v>
      </c>
      <c r="BR75">
        <v>3347022</v>
      </c>
      <c r="BS75">
        <v>4440917.6909999996</v>
      </c>
      <c r="BT75">
        <v>5001121.8650000002</v>
      </c>
      <c r="BU75">
        <v>5671501</v>
      </c>
      <c r="BV75">
        <v>6274582</v>
      </c>
      <c r="BW75">
        <v>7074779</v>
      </c>
      <c r="BX75">
        <v>8242114</v>
      </c>
      <c r="BY75">
        <v>9566378</v>
      </c>
      <c r="BZ75">
        <v>11501244</v>
      </c>
      <c r="CA75">
        <v>12631216</v>
      </c>
    </row>
    <row r="76" spans="2:79" x14ac:dyDescent="0.3">
      <c r="B76" s="9">
        <v>74</v>
      </c>
      <c r="C76" s="49">
        <v>8077</v>
      </c>
      <c r="D76" s="9">
        <f>YEAR(Tabla1[[#This Row],[Date]])</f>
        <v>1922</v>
      </c>
      <c r="E76" s="9" t="str" cm="1">
        <f t="array" ref="E76">IFERROR(_xlfn.IFS(AND(D76&lt;1980,D76&gt;=1970),"70",AND(D76&lt;1990,D76&gt;=1980),"80",AND(D76&lt;2000,D76&gt;=1990),"90",AND(D76&lt;2010,D76&gt;=2000),"00",AND(D76&lt;=2019,D76&gt;=2010),"10"),"1908-1970")</f>
        <v>1908-1970</v>
      </c>
      <c r="F76" s="3" t="s">
        <v>28931</v>
      </c>
      <c r="G76" t="s">
        <v>5267</v>
      </c>
      <c r="H76" t="s">
        <v>5268</v>
      </c>
      <c r="I76" t="s">
        <v>28931</v>
      </c>
      <c r="J76" t="s">
        <v>5269</v>
      </c>
      <c r="K76" t="s">
        <v>5270</v>
      </c>
      <c r="L76" s="7" t="s">
        <v>5271</v>
      </c>
      <c r="M76">
        <v>14</v>
      </c>
      <c r="N76">
        <v>4</v>
      </c>
      <c r="O76">
        <v>3</v>
      </c>
      <c r="P76">
        <v>1</v>
      </c>
      <c r="Q76">
        <v>4</v>
      </c>
      <c r="R76">
        <v>3</v>
      </c>
      <c r="S76">
        <v>1</v>
      </c>
      <c r="T76">
        <v>0</v>
      </c>
      <c r="U76" t="s">
        <v>5272</v>
      </c>
      <c r="V76">
        <f>Tabla1[[#This Row],[Aboard]]-Tabla1[[#This Row],[Fatalities]]</f>
        <v>0</v>
      </c>
      <c r="W76" s="50">
        <f>IFERROR(Tabla1[[#This Row],[Fatalities]]/Tabla1[[#This Row],[Aboard]],0)</f>
        <v>1</v>
      </c>
      <c r="X76" s="51" t="str" cm="1">
        <f t="array" ref="X76">_xlfn.IFS(Tabla1[[#This Row],[Porcentaje de muertes]]&lt;0.35,"LEVE",AND(Tabla1[[#This Row],[Porcentaje de muertes]]&gt;0.35,Tabla1[[#This Row],[Porcentaje de muertes]]&lt;0.65),"MEDIO",Tabla1[[#This Row],[Porcentaje de muertes]]&gt;0.65,"GRAVE")</f>
        <v>GRAVE</v>
      </c>
      <c r="AB76" t="s">
        <v>28500</v>
      </c>
      <c r="AC76" t="s">
        <v>28501</v>
      </c>
      <c r="AD76">
        <v>47767900</v>
      </c>
      <c r="AE76">
        <v>52648900</v>
      </c>
      <c r="AF76">
        <v>58293200</v>
      </c>
      <c r="AG76">
        <v>62913900</v>
      </c>
      <c r="AH76">
        <v>64977900</v>
      </c>
      <c r="AI76">
        <v>67971100</v>
      </c>
      <c r="AJ76">
        <v>73633200</v>
      </c>
      <c r="AK76">
        <v>79541900</v>
      </c>
      <c r="AL76">
        <v>86861500</v>
      </c>
      <c r="AM76">
        <v>93006700</v>
      </c>
      <c r="AN76">
        <v>93554600</v>
      </c>
      <c r="AO76">
        <v>96063300</v>
      </c>
      <c r="AP76">
        <v>98607500</v>
      </c>
      <c r="AQ76">
        <v>101810300</v>
      </c>
      <c r="AR76">
        <v>106237300</v>
      </c>
      <c r="AS76">
        <v>112309600</v>
      </c>
      <c r="AT76">
        <v>114465700</v>
      </c>
      <c r="AU76">
        <v>125896200</v>
      </c>
      <c r="AV76">
        <v>136470700</v>
      </c>
      <c r="AW76">
        <v>147372400</v>
      </c>
      <c r="AX76">
        <v>157891000</v>
      </c>
      <c r="AY76">
        <v>150528000</v>
      </c>
      <c r="AZ76">
        <v>164292000</v>
      </c>
      <c r="BA76">
        <v>169958600</v>
      </c>
      <c r="BB76">
        <v>182625300</v>
      </c>
      <c r="BC76">
        <v>193536844.09999999</v>
      </c>
      <c r="BD76">
        <v>213329200</v>
      </c>
      <c r="BE76">
        <v>235129900</v>
      </c>
      <c r="BF76">
        <v>245065100</v>
      </c>
      <c r="BG76">
        <v>266190600</v>
      </c>
      <c r="BH76">
        <v>288449342</v>
      </c>
      <c r="BI76">
        <v>286388891</v>
      </c>
      <c r="BJ76">
        <v>287161373</v>
      </c>
      <c r="BK76">
        <v>317807082</v>
      </c>
      <c r="BL76">
        <v>347767674</v>
      </c>
      <c r="BM76">
        <v>359471494</v>
      </c>
      <c r="BN76">
        <v>390742949</v>
      </c>
      <c r="BO76">
        <v>425646377</v>
      </c>
      <c r="BP76">
        <v>427781328</v>
      </c>
      <c r="BQ76">
        <v>419908189</v>
      </c>
      <c r="BR76">
        <v>442721426.19999999</v>
      </c>
      <c r="BS76">
        <v>468821255.30000001</v>
      </c>
      <c r="BT76">
        <v>465108860</v>
      </c>
      <c r="BU76">
        <v>471018726.10000002</v>
      </c>
      <c r="BV76">
        <v>490844607.80000001</v>
      </c>
      <c r="BW76">
        <v>529467494</v>
      </c>
      <c r="BX76">
        <v>565289154</v>
      </c>
      <c r="BY76">
        <v>605233486</v>
      </c>
      <c r="BZ76">
        <v>640084500.29999995</v>
      </c>
      <c r="CA76">
        <v>698301861.60000002</v>
      </c>
    </row>
    <row r="77" spans="2:79" x14ac:dyDescent="0.3">
      <c r="B77" s="9">
        <v>75</v>
      </c>
      <c r="C77" s="49">
        <v>8334</v>
      </c>
      <c r="D77" s="9">
        <f>YEAR(Tabla1[[#This Row],[Date]])</f>
        <v>1922</v>
      </c>
      <c r="E77" s="9" t="str" cm="1">
        <f t="array" ref="E77">IFERROR(_xlfn.IFS(AND(D77&lt;1980,D77&gt;=1970),"70",AND(D77&lt;1990,D77&gt;=1980),"80",AND(D77&lt;2000,D77&gt;=1990),"90",AND(D77&lt;2010,D77&gt;=2000),"00",AND(D77&lt;=2019,D77&gt;=2010),"10"),"1908-1970")</f>
        <v>1908-1970</v>
      </c>
      <c r="F77" s="3" t="s">
        <v>28931</v>
      </c>
      <c r="G77" t="s">
        <v>5273</v>
      </c>
      <c r="H77" t="s">
        <v>5262</v>
      </c>
      <c r="I77" t="s">
        <v>28931</v>
      </c>
      <c r="J77" t="s">
        <v>28931</v>
      </c>
      <c r="K77" t="s">
        <v>5167</v>
      </c>
      <c r="L77" s="7" t="s">
        <v>28931</v>
      </c>
      <c r="M77" t="s">
        <v>28931</v>
      </c>
      <c r="N77">
        <v>2</v>
      </c>
      <c r="O77">
        <v>1</v>
      </c>
      <c r="P77">
        <v>1</v>
      </c>
      <c r="Q77">
        <v>2</v>
      </c>
      <c r="R77">
        <v>1</v>
      </c>
      <c r="S77">
        <v>1</v>
      </c>
      <c r="T77">
        <v>0</v>
      </c>
      <c r="U77" t="s">
        <v>5274</v>
      </c>
      <c r="V77">
        <f>Tabla1[[#This Row],[Aboard]]-Tabla1[[#This Row],[Fatalities]]</f>
        <v>0</v>
      </c>
      <c r="W77" s="50">
        <f>IFERROR(Tabla1[[#This Row],[Fatalities]]/Tabla1[[#This Row],[Aboard]],0)</f>
        <v>1</v>
      </c>
      <c r="X77" s="51" t="str" cm="1">
        <f t="array" ref="X77">_xlfn.IFS(Tabla1[[#This Row],[Porcentaje de muertes]]&lt;0.35,"LEVE",AND(Tabla1[[#This Row],[Porcentaje de muertes]]&gt;0.35,Tabla1[[#This Row],[Porcentaje de muertes]]&lt;0.65),"MEDIO",Tabla1[[#This Row],[Porcentaje de muertes]]&gt;0.65,"GRAVE")</f>
        <v>GRAVE</v>
      </c>
      <c r="AB77" t="s">
        <v>28502</v>
      </c>
      <c r="AC77" t="s">
        <v>28503</v>
      </c>
      <c r="AD77">
        <v>4293500</v>
      </c>
      <c r="AE77">
        <v>4830800</v>
      </c>
      <c r="AF77">
        <v>5380800</v>
      </c>
      <c r="AG77">
        <v>6018800</v>
      </c>
      <c r="AH77">
        <v>6572200</v>
      </c>
      <c r="AI77">
        <v>7788200</v>
      </c>
      <c r="AJ77">
        <v>9502900</v>
      </c>
      <c r="AK77">
        <v>10807400</v>
      </c>
      <c r="AL77">
        <v>11927200</v>
      </c>
      <c r="AM77">
        <v>13205700</v>
      </c>
      <c r="AN77">
        <v>14837000</v>
      </c>
      <c r="AO77">
        <v>15712200</v>
      </c>
      <c r="AP77">
        <v>16017600</v>
      </c>
      <c r="AQ77">
        <v>16043200</v>
      </c>
      <c r="AR77">
        <v>14980500</v>
      </c>
      <c r="AS77">
        <v>15865300</v>
      </c>
      <c r="AT77">
        <v>16248900</v>
      </c>
      <c r="AU77">
        <v>16401100</v>
      </c>
      <c r="AV77">
        <v>18787400</v>
      </c>
      <c r="AW77">
        <v>19902300</v>
      </c>
      <c r="AX77">
        <v>17088600</v>
      </c>
      <c r="AY77">
        <v>16231400</v>
      </c>
      <c r="AZ77">
        <v>17593100</v>
      </c>
      <c r="BA77">
        <v>16217900</v>
      </c>
      <c r="BB77">
        <v>14996700</v>
      </c>
      <c r="BC77">
        <v>13358800</v>
      </c>
      <c r="BD77">
        <v>13802500</v>
      </c>
      <c r="BE77">
        <v>13296600</v>
      </c>
      <c r="BF77">
        <v>12772700</v>
      </c>
      <c r="BG77">
        <v>13639900</v>
      </c>
      <c r="BH77">
        <v>13502631</v>
      </c>
      <c r="BI77">
        <v>18387267</v>
      </c>
      <c r="BJ77">
        <v>16020314</v>
      </c>
      <c r="BK77">
        <v>13118706</v>
      </c>
      <c r="BL77">
        <v>16210854</v>
      </c>
      <c r="BM77">
        <v>16538371</v>
      </c>
      <c r="BN77">
        <v>18968927</v>
      </c>
      <c r="BO77">
        <v>20413907</v>
      </c>
      <c r="BP77">
        <v>20595246</v>
      </c>
      <c r="BQ77">
        <v>20141732</v>
      </c>
      <c r="BR77">
        <v>30729212.050000001</v>
      </c>
      <c r="BS77">
        <v>35642146.310000002</v>
      </c>
      <c r="BT77">
        <v>34829096.630000003</v>
      </c>
      <c r="BU77">
        <v>35374395.600000001</v>
      </c>
      <c r="BV77">
        <v>37604995.270000003</v>
      </c>
      <c r="BW77">
        <v>36416100</v>
      </c>
      <c r="BX77">
        <v>36167874</v>
      </c>
      <c r="BY77">
        <v>37088378.049999997</v>
      </c>
      <c r="BZ77">
        <v>43371036.439999998</v>
      </c>
      <c r="CA77">
        <v>40595810.119999997</v>
      </c>
    </row>
    <row r="78" spans="2:79" x14ac:dyDescent="0.3">
      <c r="B78" s="9">
        <v>76</v>
      </c>
      <c r="C78" s="49">
        <v>8107</v>
      </c>
      <c r="D78" s="9">
        <f>YEAR(Tabla1[[#This Row],[Date]])</f>
        <v>1922</v>
      </c>
      <c r="E78" s="9" t="str" cm="1">
        <f t="array" ref="E78">IFERROR(_xlfn.IFS(AND(D78&lt;1980,D78&gt;=1970),"70",AND(D78&lt;1990,D78&gt;=1980),"80",AND(D78&lt;2000,D78&gt;=1990),"90",AND(D78&lt;2010,D78&gt;=2000),"00",AND(D78&lt;=2019,D78&gt;=2010),"10"),"1908-1970")</f>
        <v>1908-1970</v>
      </c>
      <c r="F78" s="3" t="s">
        <v>28931</v>
      </c>
      <c r="G78" t="s">
        <v>5275</v>
      </c>
      <c r="H78" t="s">
        <v>5262</v>
      </c>
      <c r="I78" t="s">
        <v>28931</v>
      </c>
      <c r="J78" t="s">
        <v>5276</v>
      </c>
      <c r="K78" t="s">
        <v>5167</v>
      </c>
      <c r="L78" s="7" t="s">
        <v>5277</v>
      </c>
      <c r="M78">
        <v>14</v>
      </c>
      <c r="N78">
        <v>1</v>
      </c>
      <c r="O78">
        <v>0</v>
      </c>
      <c r="P78">
        <v>1</v>
      </c>
      <c r="Q78">
        <v>1</v>
      </c>
      <c r="R78">
        <v>0</v>
      </c>
      <c r="S78">
        <v>1</v>
      </c>
      <c r="T78">
        <v>0</v>
      </c>
      <c r="U78" t="s">
        <v>5278</v>
      </c>
      <c r="V78">
        <f>Tabla1[[#This Row],[Aboard]]-Tabla1[[#This Row],[Fatalities]]</f>
        <v>0</v>
      </c>
      <c r="W78" s="50">
        <f>IFERROR(Tabla1[[#This Row],[Fatalities]]/Tabla1[[#This Row],[Aboard]],0)</f>
        <v>1</v>
      </c>
      <c r="X78" s="51" t="str" cm="1">
        <f t="array" ref="X78">_xlfn.IFS(Tabla1[[#This Row],[Porcentaje de muertes]]&lt;0.35,"LEVE",AND(Tabla1[[#This Row],[Porcentaje de muertes]]&gt;0.35,Tabla1[[#This Row],[Porcentaje de muertes]]&lt;0.65),"MEDIO",Tabla1[[#This Row],[Porcentaje de muertes]]&gt;0.65,"GRAVE")</f>
        <v>GRAVE</v>
      </c>
      <c r="AB78" t="s">
        <v>28504</v>
      </c>
      <c r="AC78" t="s">
        <v>28505</v>
      </c>
      <c r="AD78">
        <v>1279500</v>
      </c>
      <c r="AE78">
        <v>1394800</v>
      </c>
      <c r="AF78">
        <v>1535800</v>
      </c>
      <c r="AG78">
        <v>1697500</v>
      </c>
      <c r="AH78">
        <v>1884600</v>
      </c>
      <c r="AI78">
        <v>2048300</v>
      </c>
      <c r="AJ78">
        <v>2040400</v>
      </c>
      <c r="AK78">
        <v>1836300</v>
      </c>
      <c r="AL78">
        <v>1993400</v>
      </c>
      <c r="AM78">
        <v>2345800</v>
      </c>
      <c r="AN78">
        <v>2512200</v>
      </c>
      <c r="AO78">
        <v>2751100</v>
      </c>
      <c r="AP78">
        <v>2815100</v>
      </c>
      <c r="AQ78">
        <v>2797300</v>
      </c>
      <c r="AR78">
        <v>2991300</v>
      </c>
      <c r="AS78">
        <v>3153300</v>
      </c>
      <c r="AT78">
        <v>2987800</v>
      </c>
      <c r="AU78">
        <v>3626100</v>
      </c>
      <c r="AV78">
        <v>4009900</v>
      </c>
      <c r="AW78">
        <v>4299500</v>
      </c>
      <c r="AX78">
        <v>4450200</v>
      </c>
      <c r="AY78">
        <v>3998700</v>
      </c>
      <c r="AZ78">
        <v>3898400</v>
      </c>
      <c r="BA78">
        <v>3947500</v>
      </c>
      <c r="BB78">
        <v>4492000</v>
      </c>
      <c r="BC78">
        <v>5211900</v>
      </c>
      <c r="BD78">
        <v>5597500</v>
      </c>
      <c r="BE78">
        <v>6002300</v>
      </c>
      <c r="BF78">
        <v>6771100</v>
      </c>
      <c r="BG78">
        <v>6241600</v>
      </c>
      <c r="BH78">
        <v>6828143</v>
      </c>
      <c r="BI78">
        <v>6697556</v>
      </c>
      <c r="BJ78">
        <v>6415606</v>
      </c>
      <c r="BK78">
        <v>6183906</v>
      </c>
      <c r="BL78">
        <v>7049416</v>
      </c>
      <c r="BM78">
        <v>7075195</v>
      </c>
      <c r="BN78">
        <v>7597125</v>
      </c>
      <c r="BO78">
        <v>8288683</v>
      </c>
      <c r="BP78">
        <v>7916485</v>
      </c>
      <c r="BQ78">
        <v>7423265</v>
      </c>
      <c r="BR78">
        <v>8685772.8680000007</v>
      </c>
      <c r="BS78">
        <v>9508050</v>
      </c>
      <c r="BT78">
        <v>10731828.49</v>
      </c>
      <c r="BU78">
        <v>10467321</v>
      </c>
      <c r="BV78">
        <v>10992792</v>
      </c>
      <c r="BW78">
        <v>13035848</v>
      </c>
      <c r="BX78">
        <v>13754228</v>
      </c>
      <c r="BY78">
        <v>12209646</v>
      </c>
      <c r="BZ78">
        <v>13364839</v>
      </c>
      <c r="CA78">
        <v>14610547</v>
      </c>
    </row>
    <row r="79" spans="2:79" x14ac:dyDescent="0.3">
      <c r="B79" s="9">
        <v>77</v>
      </c>
      <c r="C79" s="49">
        <v>8675</v>
      </c>
      <c r="D79" s="9">
        <f>YEAR(Tabla1[[#This Row],[Date]])</f>
        <v>1923</v>
      </c>
      <c r="E79" s="9" t="str" cm="1">
        <f t="array" ref="E79">IFERROR(_xlfn.IFS(AND(D79&lt;1980,D79&gt;=1970),"70",AND(D79&lt;1990,D79&gt;=1980),"80",AND(D79&lt;2000,D79&gt;=1990),"90",AND(D79&lt;2010,D79&gt;=2000),"00",AND(D79&lt;=2019,D79&gt;=2010),"10"),"1908-1970")</f>
        <v>1908-1970</v>
      </c>
      <c r="F79" s="3" t="s">
        <v>28931</v>
      </c>
      <c r="G79" t="s">
        <v>5279</v>
      </c>
      <c r="H79" t="s">
        <v>5280</v>
      </c>
      <c r="I79" t="s">
        <v>28931</v>
      </c>
      <c r="J79" t="s">
        <v>28931</v>
      </c>
      <c r="K79" t="s">
        <v>5281</v>
      </c>
      <c r="L79" s="7" t="s">
        <v>5282</v>
      </c>
      <c r="M79">
        <v>4</v>
      </c>
      <c r="N79">
        <v>4</v>
      </c>
      <c r="O79">
        <v>2</v>
      </c>
      <c r="P79">
        <v>2</v>
      </c>
      <c r="Q79">
        <v>3</v>
      </c>
      <c r="R79">
        <v>1</v>
      </c>
      <c r="S79">
        <v>2</v>
      </c>
      <c r="T79">
        <v>0</v>
      </c>
      <c r="U79" t="s">
        <v>5283</v>
      </c>
      <c r="V79">
        <f>Tabla1[[#This Row],[Aboard]]-Tabla1[[#This Row],[Fatalities]]</f>
        <v>1</v>
      </c>
      <c r="W79" s="50">
        <f>IFERROR(Tabla1[[#This Row],[Fatalities]]/Tabla1[[#This Row],[Aboard]],0)</f>
        <v>0.75</v>
      </c>
      <c r="X79" s="51" t="str" cm="1">
        <f t="array" ref="X79">_xlfn.IFS(Tabla1[[#This Row],[Porcentaje de muertes]]&lt;0.35,"LEVE",AND(Tabla1[[#This Row],[Porcentaje de muertes]]&gt;0.35,Tabla1[[#This Row],[Porcentaje de muertes]]&lt;0.65),"MEDIO",Tabla1[[#This Row],[Porcentaje de muertes]]&gt;0.65,"GRAVE")</f>
        <v>GRAVE</v>
      </c>
      <c r="AB79" t="s">
        <v>28506</v>
      </c>
      <c r="AC79" t="s">
        <v>28507</v>
      </c>
      <c r="AD79" t="s">
        <v>28966</v>
      </c>
      <c r="AE79" t="s">
        <v>28966</v>
      </c>
      <c r="AF79" t="s">
        <v>28966</v>
      </c>
      <c r="AG79">
        <v>257100</v>
      </c>
      <c r="AH79">
        <v>296200</v>
      </c>
      <c r="AI79">
        <v>300000</v>
      </c>
      <c r="AJ79">
        <v>313000</v>
      </c>
      <c r="AK79">
        <v>305000</v>
      </c>
      <c r="AL79">
        <v>280000</v>
      </c>
      <c r="AM79">
        <v>310000</v>
      </c>
      <c r="AN79">
        <v>322000</v>
      </c>
      <c r="AO79">
        <v>319300</v>
      </c>
      <c r="AP79">
        <v>330000</v>
      </c>
      <c r="AQ79">
        <v>309300</v>
      </c>
      <c r="AR79">
        <v>324800</v>
      </c>
      <c r="AS79">
        <v>320200</v>
      </c>
      <c r="AT79">
        <v>313400</v>
      </c>
      <c r="AU79">
        <v>309700</v>
      </c>
      <c r="AV79">
        <v>382000</v>
      </c>
      <c r="AW79">
        <v>458800</v>
      </c>
      <c r="AX79">
        <v>433400</v>
      </c>
      <c r="AY79">
        <v>413700</v>
      </c>
      <c r="AZ79">
        <v>426000</v>
      </c>
      <c r="BA79">
        <v>424200</v>
      </c>
      <c r="BB79">
        <v>464600</v>
      </c>
      <c r="BC79">
        <v>494500</v>
      </c>
      <c r="BD79">
        <v>479600</v>
      </c>
      <c r="BE79">
        <v>516900</v>
      </c>
      <c r="BF79">
        <v>516200</v>
      </c>
      <c r="BG79">
        <v>549800</v>
      </c>
      <c r="BH79">
        <v>586043</v>
      </c>
      <c r="BI79">
        <v>612727</v>
      </c>
      <c r="BJ79">
        <v>715000</v>
      </c>
      <c r="BK79">
        <v>972000</v>
      </c>
      <c r="BL79">
        <v>836719</v>
      </c>
      <c r="BM79">
        <v>870571</v>
      </c>
      <c r="BN79">
        <v>932394</v>
      </c>
      <c r="BO79">
        <v>960546</v>
      </c>
      <c r="BP79">
        <v>946138</v>
      </c>
      <c r="BQ79">
        <v>1146591</v>
      </c>
      <c r="BR79">
        <v>1259009</v>
      </c>
      <c r="BS79">
        <v>1276205.48</v>
      </c>
      <c r="BT79">
        <v>1225268.5619999999</v>
      </c>
      <c r="BU79">
        <v>1161936</v>
      </c>
      <c r="BV79">
        <v>1243824</v>
      </c>
      <c r="BW79">
        <v>1336976</v>
      </c>
      <c r="BX79">
        <v>1402765</v>
      </c>
      <c r="BY79">
        <v>1557876</v>
      </c>
      <c r="BZ79">
        <v>1670216</v>
      </c>
      <c r="CA79">
        <v>1700293</v>
      </c>
    </row>
    <row r="80" spans="2:79" x14ac:dyDescent="0.3">
      <c r="B80" s="9">
        <v>78</v>
      </c>
      <c r="C80" s="49">
        <v>8418</v>
      </c>
      <c r="D80" s="9">
        <f>YEAR(Tabla1[[#This Row],[Date]])</f>
        <v>1923</v>
      </c>
      <c r="E80" s="9" t="str" cm="1">
        <f t="array" ref="E80">IFERROR(_xlfn.IFS(AND(D80&lt;1980,D80&gt;=1970),"70",AND(D80&lt;1990,D80&gt;=1980),"80",AND(D80&lt;2000,D80&gt;=1990),"90",AND(D80&lt;2010,D80&gt;=2000),"00",AND(D80&lt;=2019,D80&gt;=2010),"10"),"1908-1970")</f>
        <v>1908-1970</v>
      </c>
      <c r="F80" s="3" t="s">
        <v>28931</v>
      </c>
      <c r="G80" t="s">
        <v>5181</v>
      </c>
      <c r="H80" t="s">
        <v>5262</v>
      </c>
      <c r="I80" t="s">
        <v>28931</v>
      </c>
      <c r="J80" t="s">
        <v>28931</v>
      </c>
      <c r="K80" t="s">
        <v>5167</v>
      </c>
      <c r="L80" s="7" t="s">
        <v>5284</v>
      </c>
      <c r="M80" t="s">
        <v>5285</v>
      </c>
      <c r="N80">
        <v>1</v>
      </c>
      <c r="O80">
        <v>0</v>
      </c>
      <c r="P80">
        <v>1</v>
      </c>
      <c r="Q80">
        <v>1</v>
      </c>
      <c r="R80">
        <v>0</v>
      </c>
      <c r="S80">
        <v>1</v>
      </c>
      <c r="T80">
        <v>0</v>
      </c>
      <c r="U80" t="s">
        <v>5286</v>
      </c>
      <c r="V80">
        <f>Tabla1[[#This Row],[Aboard]]-Tabla1[[#This Row],[Fatalities]]</f>
        <v>0</v>
      </c>
      <c r="W80" s="50">
        <f>IFERROR(Tabla1[[#This Row],[Fatalities]]/Tabla1[[#This Row],[Aboard]],0)</f>
        <v>1</v>
      </c>
      <c r="X80" s="51" t="str" cm="1">
        <f t="array" ref="X80">_xlfn.IFS(Tabla1[[#This Row],[Porcentaje de muertes]]&lt;0.35,"LEVE",AND(Tabla1[[#This Row],[Porcentaje de muertes]]&gt;0.35,Tabla1[[#This Row],[Porcentaje de muertes]]&lt;0.65),"MEDIO",Tabla1[[#This Row],[Porcentaje de muertes]]&gt;0.65,"GRAVE")</f>
        <v>GRAVE</v>
      </c>
      <c r="AB80" t="s">
        <v>28508</v>
      </c>
      <c r="AC80" t="s">
        <v>28509</v>
      </c>
      <c r="AD80">
        <v>9108000</v>
      </c>
      <c r="AE80">
        <v>9569200</v>
      </c>
      <c r="AF80">
        <v>11285100</v>
      </c>
      <c r="AG80">
        <v>11957500</v>
      </c>
      <c r="AH80">
        <v>12159300</v>
      </c>
      <c r="AI80">
        <v>13112800</v>
      </c>
      <c r="AJ80">
        <v>14301900</v>
      </c>
      <c r="AK80">
        <v>15431300</v>
      </c>
      <c r="AL80">
        <v>16821200</v>
      </c>
      <c r="AM80">
        <v>17967000</v>
      </c>
      <c r="AN80">
        <v>19521000</v>
      </c>
      <c r="AO80">
        <v>21591200</v>
      </c>
      <c r="AP80">
        <v>22372400</v>
      </c>
      <c r="AQ80">
        <v>23278100</v>
      </c>
      <c r="AR80">
        <v>23694300</v>
      </c>
      <c r="AS80">
        <v>24491900</v>
      </c>
      <c r="AT80">
        <v>25211400</v>
      </c>
      <c r="AU80">
        <v>27950200</v>
      </c>
      <c r="AV80">
        <v>30667300</v>
      </c>
      <c r="AW80">
        <v>33975500</v>
      </c>
      <c r="AX80">
        <v>35963900</v>
      </c>
      <c r="AY80">
        <v>33127800</v>
      </c>
      <c r="AZ80">
        <v>33963900</v>
      </c>
      <c r="BA80">
        <v>35625600</v>
      </c>
      <c r="BB80">
        <v>38170400</v>
      </c>
      <c r="BC80">
        <v>36020400</v>
      </c>
      <c r="BD80">
        <v>41252600</v>
      </c>
      <c r="BE80">
        <v>43400700</v>
      </c>
      <c r="BF80">
        <v>42232400</v>
      </c>
      <c r="BG80">
        <v>49536300</v>
      </c>
      <c r="BH80">
        <v>52581312</v>
      </c>
      <c r="BI80">
        <v>50476541</v>
      </c>
      <c r="BJ80">
        <v>49305864</v>
      </c>
      <c r="BK80">
        <v>47258820</v>
      </c>
      <c r="BL80">
        <v>48543473</v>
      </c>
      <c r="BM80">
        <v>52477178</v>
      </c>
      <c r="BN80">
        <v>59537872</v>
      </c>
      <c r="BO80">
        <v>61551258</v>
      </c>
      <c r="BP80">
        <v>61214656</v>
      </c>
      <c r="BQ80">
        <v>58318312</v>
      </c>
      <c r="BR80">
        <v>60864422.109999999</v>
      </c>
      <c r="BS80">
        <v>64185339.340000004</v>
      </c>
      <c r="BT80">
        <v>64683769.020000003</v>
      </c>
      <c r="BU80">
        <v>63925151</v>
      </c>
      <c r="BV80">
        <v>63434263</v>
      </c>
      <c r="BW80">
        <v>65039503</v>
      </c>
      <c r="BX80">
        <v>65362743</v>
      </c>
      <c r="BY80">
        <v>68316473</v>
      </c>
      <c r="BZ80">
        <v>70188028</v>
      </c>
      <c r="CA80">
        <v>71289277</v>
      </c>
    </row>
    <row r="81" spans="2:79" x14ac:dyDescent="0.3">
      <c r="B81" s="9">
        <v>79</v>
      </c>
      <c r="C81" s="49">
        <v>8419</v>
      </c>
      <c r="D81" s="9">
        <f>YEAR(Tabla1[[#This Row],[Date]])</f>
        <v>1923</v>
      </c>
      <c r="E81" s="9" t="str" cm="1">
        <f t="array" ref="E81">IFERROR(_xlfn.IFS(AND(D81&lt;1980,D81&gt;=1970),"70",AND(D81&lt;1990,D81&gt;=1980),"80",AND(D81&lt;2000,D81&gt;=1990),"90",AND(D81&lt;2010,D81&gt;=2000),"00",AND(D81&lt;=2019,D81&gt;=2010),"10"),"1908-1970")</f>
        <v>1908-1970</v>
      </c>
      <c r="F81" s="3" t="s">
        <v>28931</v>
      </c>
      <c r="G81" t="s">
        <v>5287</v>
      </c>
      <c r="H81" t="s">
        <v>5096</v>
      </c>
      <c r="I81" t="s">
        <v>28931</v>
      </c>
      <c r="J81" t="s">
        <v>28931</v>
      </c>
      <c r="K81" t="s">
        <v>5097</v>
      </c>
      <c r="L81" s="7">
        <v>223</v>
      </c>
      <c r="M81" t="s">
        <v>28931</v>
      </c>
      <c r="N81">
        <v>1</v>
      </c>
      <c r="O81">
        <v>0</v>
      </c>
      <c r="P81">
        <v>1</v>
      </c>
      <c r="Q81">
        <v>1</v>
      </c>
      <c r="R81">
        <v>0</v>
      </c>
      <c r="S81">
        <v>1</v>
      </c>
      <c r="T81">
        <v>0</v>
      </c>
      <c r="U81" t="s">
        <v>5288</v>
      </c>
      <c r="V81">
        <f>Tabla1[[#This Row],[Aboard]]-Tabla1[[#This Row],[Fatalities]]</f>
        <v>0</v>
      </c>
      <c r="W81" s="50">
        <f>IFERROR(Tabla1[[#This Row],[Fatalities]]/Tabla1[[#This Row],[Aboard]],0)</f>
        <v>1</v>
      </c>
      <c r="X81" s="51" t="str" cm="1">
        <f t="array" ref="X81">_xlfn.IFS(Tabla1[[#This Row],[Porcentaje de muertes]]&lt;0.35,"LEVE",AND(Tabla1[[#This Row],[Porcentaje de muertes]]&gt;0.35,Tabla1[[#This Row],[Porcentaje de muertes]]&lt;0.65),"MEDIO",Tabla1[[#This Row],[Porcentaje de muertes]]&gt;0.65,"GRAVE")</f>
        <v>GRAVE</v>
      </c>
      <c r="AB81" t="s">
        <v>28510</v>
      </c>
      <c r="AC81" t="s">
        <v>28511</v>
      </c>
      <c r="AD81" t="s">
        <v>28966</v>
      </c>
      <c r="AE81" t="s">
        <v>28966</v>
      </c>
      <c r="AF81" t="s">
        <v>28966</v>
      </c>
      <c r="AG81" t="s">
        <v>28966</v>
      </c>
      <c r="AH81" t="s">
        <v>28966</v>
      </c>
      <c r="AI81" t="s">
        <v>28966</v>
      </c>
      <c r="AJ81" t="s">
        <v>28966</v>
      </c>
      <c r="AK81" t="s">
        <v>28966</v>
      </c>
      <c r="AL81" t="s">
        <v>28966</v>
      </c>
      <c r="AM81" t="s">
        <v>28966</v>
      </c>
      <c r="AN81" t="s">
        <v>28966</v>
      </c>
      <c r="AO81" t="s">
        <v>28966</v>
      </c>
      <c r="AP81" t="s">
        <v>28966</v>
      </c>
      <c r="AQ81" t="s">
        <v>28966</v>
      </c>
      <c r="AR81" t="s">
        <v>28966</v>
      </c>
      <c r="AS81" t="s">
        <v>28966</v>
      </c>
      <c r="AT81" t="s">
        <v>28966</v>
      </c>
      <c r="AU81" t="s">
        <v>28966</v>
      </c>
      <c r="AV81" t="s">
        <v>28966</v>
      </c>
      <c r="AW81" t="s">
        <v>28966</v>
      </c>
      <c r="AX81" t="s">
        <v>28966</v>
      </c>
      <c r="AY81" t="s">
        <v>28966</v>
      </c>
      <c r="AZ81" t="s">
        <v>28966</v>
      </c>
      <c r="BA81" t="s">
        <v>28966</v>
      </c>
      <c r="BB81" t="s">
        <v>28966</v>
      </c>
      <c r="BC81" t="s">
        <v>28966</v>
      </c>
      <c r="BD81" t="s">
        <v>28966</v>
      </c>
      <c r="BE81" t="s">
        <v>28966</v>
      </c>
      <c r="BF81" t="s">
        <v>28966</v>
      </c>
      <c r="BG81" t="s">
        <v>28966</v>
      </c>
      <c r="BH81" t="s">
        <v>28966</v>
      </c>
      <c r="BI81" t="s">
        <v>28966</v>
      </c>
      <c r="BJ81" t="s">
        <v>28966</v>
      </c>
      <c r="BK81" t="s">
        <v>28966</v>
      </c>
      <c r="BL81" t="s">
        <v>28966</v>
      </c>
      <c r="BM81" t="s">
        <v>28966</v>
      </c>
      <c r="BN81" t="s">
        <v>28966</v>
      </c>
      <c r="BO81" t="s">
        <v>28966</v>
      </c>
      <c r="BP81" t="s">
        <v>28966</v>
      </c>
      <c r="BQ81" t="s">
        <v>28966</v>
      </c>
      <c r="BR81" t="s">
        <v>28966</v>
      </c>
      <c r="BS81" t="s">
        <v>28966</v>
      </c>
      <c r="BT81" t="s">
        <v>28966</v>
      </c>
      <c r="BU81" t="s">
        <v>28966</v>
      </c>
      <c r="BV81" t="s">
        <v>28966</v>
      </c>
      <c r="BW81" t="s">
        <v>28966</v>
      </c>
      <c r="BX81" t="s">
        <v>28966</v>
      </c>
      <c r="BY81" t="s">
        <v>28966</v>
      </c>
      <c r="BZ81" t="s">
        <v>28966</v>
      </c>
      <c r="CA81" t="s">
        <v>28966</v>
      </c>
    </row>
    <row r="82" spans="2:79" x14ac:dyDescent="0.3">
      <c r="B82" s="9">
        <v>80</v>
      </c>
      <c r="C82" s="49">
        <v>8458</v>
      </c>
      <c r="D82" s="9">
        <f>YEAR(Tabla1[[#This Row],[Date]])</f>
        <v>1923</v>
      </c>
      <c r="E82" s="9" t="str" cm="1">
        <f t="array" ref="E82">IFERROR(_xlfn.IFS(AND(D82&lt;1980,D82&gt;=1970),"70",AND(D82&lt;1990,D82&gt;=1980),"80",AND(D82&lt;2000,D82&gt;=1990),"90",AND(D82&lt;2010,D82&gt;=2000),"00",AND(D82&lt;=2019,D82&gt;=2010),"10"),"1908-1970")</f>
        <v>1908-1970</v>
      </c>
      <c r="F82" s="3" t="s">
        <v>28931</v>
      </c>
      <c r="G82" t="s">
        <v>5289</v>
      </c>
      <c r="H82" t="s">
        <v>5096</v>
      </c>
      <c r="I82" t="s">
        <v>28931</v>
      </c>
      <c r="J82" t="s">
        <v>28931</v>
      </c>
      <c r="K82" t="s">
        <v>5097</v>
      </c>
      <c r="L82" s="7">
        <v>291</v>
      </c>
      <c r="M82" t="s">
        <v>28931</v>
      </c>
      <c r="N82">
        <v>1</v>
      </c>
      <c r="O82">
        <v>0</v>
      </c>
      <c r="P82">
        <v>1</v>
      </c>
      <c r="Q82">
        <v>1</v>
      </c>
      <c r="R82">
        <v>0</v>
      </c>
      <c r="S82">
        <v>1</v>
      </c>
      <c r="T82">
        <v>0</v>
      </c>
      <c r="U82" t="s">
        <v>5290</v>
      </c>
      <c r="V82">
        <f>Tabla1[[#This Row],[Aboard]]-Tabla1[[#This Row],[Fatalities]]</f>
        <v>0</v>
      </c>
      <c r="W82" s="50">
        <f>IFERROR(Tabla1[[#This Row],[Fatalities]]/Tabla1[[#This Row],[Aboard]],0)</f>
        <v>1</v>
      </c>
      <c r="X82" s="51" t="str" cm="1">
        <f t="array" ref="X82">_xlfn.IFS(Tabla1[[#This Row],[Porcentaje de muertes]]&lt;0.35,"LEVE",AND(Tabla1[[#This Row],[Porcentaje de muertes]]&gt;0.35,Tabla1[[#This Row],[Porcentaje de muertes]]&lt;0.65),"MEDIO",Tabla1[[#This Row],[Porcentaje de muertes]]&gt;0.65,"GRAVE")</f>
        <v>GRAVE</v>
      </c>
      <c r="AB82" t="s">
        <v>28512</v>
      </c>
      <c r="AC82" t="s">
        <v>28513</v>
      </c>
      <c r="AD82" t="s">
        <v>28966</v>
      </c>
      <c r="AE82" t="s">
        <v>28966</v>
      </c>
      <c r="AF82" t="s">
        <v>28966</v>
      </c>
      <c r="AG82" t="s">
        <v>28966</v>
      </c>
      <c r="AH82" t="s">
        <v>28966</v>
      </c>
      <c r="AI82" t="s">
        <v>28966</v>
      </c>
      <c r="AJ82" t="s">
        <v>28966</v>
      </c>
      <c r="AK82" t="s">
        <v>28966</v>
      </c>
      <c r="AL82" t="s">
        <v>28966</v>
      </c>
      <c r="AM82" t="s">
        <v>28966</v>
      </c>
      <c r="AN82" t="s">
        <v>28966</v>
      </c>
      <c r="AO82" t="s">
        <v>28966</v>
      </c>
      <c r="AP82" t="s">
        <v>28966</v>
      </c>
      <c r="AQ82" t="s">
        <v>28966</v>
      </c>
      <c r="AR82" t="s">
        <v>28966</v>
      </c>
      <c r="AS82" t="s">
        <v>28966</v>
      </c>
      <c r="AT82" t="s">
        <v>28966</v>
      </c>
      <c r="AU82" t="s">
        <v>28966</v>
      </c>
      <c r="AV82" t="s">
        <v>28966</v>
      </c>
      <c r="AW82" t="s">
        <v>28966</v>
      </c>
      <c r="AX82" t="s">
        <v>28966</v>
      </c>
      <c r="AY82" t="s">
        <v>28966</v>
      </c>
      <c r="AZ82" t="s">
        <v>28966</v>
      </c>
      <c r="BA82" t="s">
        <v>28966</v>
      </c>
      <c r="BB82" t="s">
        <v>28966</v>
      </c>
      <c r="BC82" t="s">
        <v>28966</v>
      </c>
      <c r="BD82" t="s">
        <v>28966</v>
      </c>
      <c r="BE82" t="s">
        <v>28966</v>
      </c>
      <c r="BF82" t="s">
        <v>28966</v>
      </c>
      <c r="BG82" t="s">
        <v>28966</v>
      </c>
      <c r="BH82" t="s">
        <v>28966</v>
      </c>
      <c r="BI82" t="s">
        <v>28966</v>
      </c>
      <c r="BJ82" t="s">
        <v>28966</v>
      </c>
      <c r="BK82" t="s">
        <v>28966</v>
      </c>
      <c r="BL82" t="s">
        <v>28966</v>
      </c>
      <c r="BM82" t="s">
        <v>28966</v>
      </c>
      <c r="BN82" t="s">
        <v>28966</v>
      </c>
      <c r="BO82" t="s">
        <v>28966</v>
      </c>
      <c r="BP82" t="s">
        <v>28966</v>
      </c>
      <c r="BQ82" t="s">
        <v>28966</v>
      </c>
      <c r="BR82" t="s">
        <v>28966</v>
      </c>
      <c r="BS82" t="s">
        <v>28966</v>
      </c>
      <c r="BT82" t="s">
        <v>28966</v>
      </c>
      <c r="BU82" t="s">
        <v>28966</v>
      </c>
      <c r="BV82" t="s">
        <v>28966</v>
      </c>
      <c r="BW82" t="s">
        <v>28966</v>
      </c>
      <c r="BX82" t="s">
        <v>28966</v>
      </c>
      <c r="BY82" t="s">
        <v>28966</v>
      </c>
      <c r="BZ82" t="s">
        <v>28966</v>
      </c>
      <c r="CA82" t="s">
        <v>28966</v>
      </c>
    </row>
    <row r="83" spans="2:79" x14ac:dyDescent="0.3">
      <c r="B83" s="9">
        <v>81</v>
      </c>
      <c r="C83" s="49">
        <v>8535</v>
      </c>
      <c r="D83" s="9">
        <f>YEAR(Tabla1[[#This Row],[Date]])</f>
        <v>1923</v>
      </c>
      <c r="E83" s="9" t="str" cm="1">
        <f t="array" ref="E83">IFERROR(_xlfn.IFS(AND(D83&lt;1980,D83&gt;=1970),"70",AND(D83&lt;1990,D83&gt;=1980),"80",AND(D83&lt;2000,D83&gt;=1990),"90",AND(D83&lt;2010,D83&gt;=2000),"00",AND(D83&lt;=2019,D83&gt;=2010),"10"),"1908-1970")</f>
        <v>1908-1970</v>
      </c>
      <c r="F83" s="3">
        <v>0.5708333333333333</v>
      </c>
      <c r="G83" t="s">
        <v>5291</v>
      </c>
      <c r="H83" t="s">
        <v>5292</v>
      </c>
      <c r="I83" t="s">
        <v>28931</v>
      </c>
      <c r="J83" t="s">
        <v>5293</v>
      </c>
      <c r="K83" t="s">
        <v>5294</v>
      </c>
      <c r="L83" s="7" t="s">
        <v>5295</v>
      </c>
      <c r="M83">
        <v>15</v>
      </c>
      <c r="N83">
        <v>6</v>
      </c>
      <c r="O83">
        <v>4</v>
      </c>
      <c r="P83">
        <v>2</v>
      </c>
      <c r="Q83">
        <v>6</v>
      </c>
      <c r="R83">
        <v>4</v>
      </c>
      <c r="S83">
        <v>2</v>
      </c>
      <c r="T83">
        <v>0</v>
      </c>
      <c r="U83" t="s">
        <v>5296</v>
      </c>
      <c r="V83">
        <f>Tabla1[[#This Row],[Aboard]]-Tabla1[[#This Row],[Fatalities]]</f>
        <v>0</v>
      </c>
      <c r="W83" s="50">
        <f>IFERROR(Tabla1[[#This Row],[Fatalities]]/Tabla1[[#This Row],[Aboard]],0)</f>
        <v>1</v>
      </c>
      <c r="X83" s="51" t="str" cm="1">
        <f t="array" ref="X83">_xlfn.IFS(Tabla1[[#This Row],[Porcentaje de muertes]]&lt;0.35,"LEVE",AND(Tabla1[[#This Row],[Porcentaje de muertes]]&gt;0.35,Tabla1[[#This Row],[Porcentaje de muertes]]&lt;0.65),"MEDIO",Tabla1[[#This Row],[Porcentaje de muertes]]&gt;0.65,"GRAVE")</f>
        <v>GRAVE</v>
      </c>
      <c r="AB83" t="s">
        <v>28514</v>
      </c>
      <c r="AC83" t="s">
        <v>28515</v>
      </c>
      <c r="AD83">
        <v>120200</v>
      </c>
      <c r="AE83">
        <v>125500</v>
      </c>
      <c r="AF83">
        <v>122800</v>
      </c>
      <c r="AG83">
        <v>130300</v>
      </c>
      <c r="AH83">
        <v>136200</v>
      </c>
      <c r="AI83">
        <v>139700</v>
      </c>
      <c r="AJ83">
        <v>190400</v>
      </c>
      <c r="AK83">
        <v>176700</v>
      </c>
      <c r="AL83">
        <v>170000</v>
      </c>
      <c r="AM83">
        <v>175000</v>
      </c>
      <c r="AN83">
        <v>331100</v>
      </c>
      <c r="AO83">
        <v>340000</v>
      </c>
      <c r="AP83">
        <v>421000</v>
      </c>
      <c r="AQ83">
        <v>428300</v>
      </c>
      <c r="AR83">
        <v>436100</v>
      </c>
      <c r="AS83">
        <v>456000</v>
      </c>
      <c r="AT83">
        <v>459500</v>
      </c>
      <c r="AU83">
        <v>393100</v>
      </c>
      <c r="AV83">
        <v>382800</v>
      </c>
      <c r="AW83">
        <v>406700</v>
      </c>
      <c r="AX83">
        <v>398300</v>
      </c>
      <c r="AY83">
        <v>436000</v>
      </c>
      <c r="AZ83">
        <v>471400</v>
      </c>
      <c r="BA83">
        <v>302300</v>
      </c>
      <c r="BB83">
        <v>505200</v>
      </c>
      <c r="BC83">
        <v>508200</v>
      </c>
      <c r="BD83">
        <v>431300</v>
      </c>
      <c r="BE83">
        <v>468500</v>
      </c>
      <c r="BF83">
        <v>466700</v>
      </c>
      <c r="BG83">
        <v>423100</v>
      </c>
      <c r="BH83">
        <v>446688</v>
      </c>
      <c r="BI83">
        <v>373904</v>
      </c>
      <c r="BJ83">
        <v>365877</v>
      </c>
      <c r="BK83">
        <v>385529</v>
      </c>
      <c r="BL83">
        <v>430873</v>
      </c>
      <c r="BM83">
        <v>465343</v>
      </c>
      <c r="BN83">
        <v>508368</v>
      </c>
      <c r="BO83">
        <v>535324</v>
      </c>
      <c r="BP83">
        <v>545640</v>
      </c>
      <c r="BQ83">
        <v>524867</v>
      </c>
      <c r="BR83">
        <v>243635.52900000001</v>
      </c>
      <c r="BS83">
        <v>121233.39569999999</v>
      </c>
      <c r="BT83">
        <v>42729.319470000002</v>
      </c>
      <c r="BU83">
        <v>0</v>
      </c>
      <c r="BV83" t="s">
        <v>28966</v>
      </c>
      <c r="BW83">
        <v>137331</v>
      </c>
      <c r="BX83">
        <v>77320</v>
      </c>
      <c r="BY83" t="s">
        <v>28966</v>
      </c>
      <c r="BZ83" t="s">
        <v>28966</v>
      </c>
      <c r="CA83" t="s">
        <v>28966</v>
      </c>
    </row>
    <row r="84" spans="2:79" x14ac:dyDescent="0.3">
      <c r="B84" s="9">
        <v>82</v>
      </c>
      <c r="C84" s="49">
        <v>8640</v>
      </c>
      <c r="D84" s="9">
        <f>YEAR(Tabla1[[#This Row],[Date]])</f>
        <v>1923</v>
      </c>
      <c r="E84" s="9" t="str" cm="1">
        <f t="array" ref="E84">IFERROR(_xlfn.IFS(AND(D84&lt;1980,D84&gt;=1970),"70",AND(D84&lt;1990,D84&gt;=1980),"80",AND(D84&lt;2000,D84&gt;=1990),"90",AND(D84&lt;2010,D84&gt;=2000),"00",AND(D84&lt;=2019,D84&gt;=2010),"10"),"1908-1970")</f>
        <v>1908-1970</v>
      </c>
      <c r="F84" s="3">
        <v>0.72916666666666663</v>
      </c>
      <c r="G84" t="s">
        <v>5297</v>
      </c>
      <c r="H84" t="s">
        <v>5298</v>
      </c>
      <c r="I84" t="s">
        <v>28931</v>
      </c>
      <c r="J84" t="s">
        <v>5299</v>
      </c>
      <c r="K84" t="s">
        <v>5300</v>
      </c>
      <c r="L84" s="7" t="s">
        <v>5301</v>
      </c>
      <c r="M84">
        <v>4</v>
      </c>
      <c r="N84">
        <v>11</v>
      </c>
      <c r="O84">
        <v>9</v>
      </c>
      <c r="P84">
        <v>2</v>
      </c>
      <c r="Q84">
        <v>1</v>
      </c>
      <c r="R84">
        <v>1</v>
      </c>
      <c r="S84">
        <v>0</v>
      </c>
      <c r="T84">
        <v>0</v>
      </c>
      <c r="U84" t="s">
        <v>5302</v>
      </c>
      <c r="V84">
        <f>Tabla1[[#This Row],[Aboard]]-Tabla1[[#This Row],[Fatalities]]</f>
        <v>10</v>
      </c>
      <c r="W84" s="50">
        <f>IFERROR(Tabla1[[#This Row],[Fatalities]]/Tabla1[[#This Row],[Aboard]],0)</f>
        <v>9.0909090909090912E-2</v>
      </c>
      <c r="X84" s="51" t="str" cm="1">
        <f t="array" ref="X84">_xlfn.IFS(Tabla1[[#This Row],[Porcentaje de muertes]]&lt;0.35,"LEVE",AND(Tabla1[[#This Row],[Porcentaje de muertes]]&gt;0.35,Tabla1[[#This Row],[Porcentaje de muertes]]&lt;0.65),"MEDIO",Tabla1[[#This Row],[Porcentaje de muertes]]&gt;0.65,"GRAVE")</f>
        <v>LEVE</v>
      </c>
      <c r="AB84" t="s">
        <v>28516</v>
      </c>
      <c r="AC84" t="s">
        <v>28517</v>
      </c>
      <c r="AD84">
        <v>15568800</v>
      </c>
      <c r="AE84">
        <v>15796000</v>
      </c>
      <c r="AF84">
        <v>17308500</v>
      </c>
      <c r="AG84">
        <v>18959700</v>
      </c>
      <c r="AH84">
        <v>18062600</v>
      </c>
      <c r="AI84">
        <v>18074900</v>
      </c>
      <c r="AJ84">
        <v>19472900</v>
      </c>
      <c r="AK84">
        <v>19484500</v>
      </c>
      <c r="AL84">
        <v>23186100</v>
      </c>
      <c r="AM84">
        <v>25312100</v>
      </c>
      <c r="AN84">
        <v>25551200</v>
      </c>
      <c r="AO84">
        <v>24578700</v>
      </c>
      <c r="AP84">
        <v>23872500</v>
      </c>
      <c r="AQ84">
        <v>23376200</v>
      </c>
      <c r="AR84">
        <v>25825700</v>
      </c>
      <c r="AS84">
        <v>28229400</v>
      </c>
      <c r="AT84">
        <v>29373100</v>
      </c>
      <c r="AU84">
        <v>33705300</v>
      </c>
      <c r="AV84">
        <v>37573100</v>
      </c>
      <c r="AW84">
        <v>46354400</v>
      </c>
      <c r="AX84">
        <v>47113600</v>
      </c>
      <c r="AY84">
        <v>42861200</v>
      </c>
      <c r="AZ84">
        <v>47819400</v>
      </c>
      <c r="BA84">
        <v>50187900</v>
      </c>
      <c r="BB84">
        <v>55475500</v>
      </c>
      <c r="BC84">
        <v>59688800</v>
      </c>
      <c r="BD84">
        <v>64208500</v>
      </c>
      <c r="BE84">
        <v>62763200</v>
      </c>
      <c r="BF84">
        <v>61940200</v>
      </c>
      <c r="BG84">
        <v>65738296</v>
      </c>
      <c r="BH84">
        <v>70436030</v>
      </c>
      <c r="BI84">
        <v>70331725</v>
      </c>
      <c r="BJ84">
        <v>72381196</v>
      </c>
      <c r="BK84">
        <v>76388660</v>
      </c>
      <c r="BL84">
        <v>86054762</v>
      </c>
      <c r="BM84">
        <v>93602879</v>
      </c>
      <c r="BN84">
        <v>97544631</v>
      </c>
      <c r="BO84">
        <v>101622807</v>
      </c>
      <c r="BP84">
        <v>104713553</v>
      </c>
      <c r="BQ84">
        <v>102464509</v>
      </c>
      <c r="BR84">
        <v>101515720.2</v>
      </c>
      <c r="BS84">
        <v>111598546.09999999</v>
      </c>
      <c r="BT84">
        <v>115419920.59999999</v>
      </c>
      <c r="BU84">
        <v>118605866</v>
      </c>
      <c r="BV84">
        <v>124901676.09999999</v>
      </c>
      <c r="BW84">
        <v>131512994</v>
      </c>
      <c r="BX84">
        <v>143781714</v>
      </c>
      <c r="BY84">
        <v>151159067</v>
      </c>
      <c r="BZ84">
        <v>165388610</v>
      </c>
      <c r="CA84">
        <v>142392528</v>
      </c>
    </row>
    <row r="85" spans="2:79" x14ac:dyDescent="0.3">
      <c r="B85" s="9">
        <v>83</v>
      </c>
      <c r="C85" s="49">
        <v>8640</v>
      </c>
      <c r="D85" s="9">
        <f>YEAR(Tabla1[[#This Row],[Date]])</f>
        <v>1923</v>
      </c>
      <c r="E85" s="9" t="str" cm="1">
        <f t="array" ref="E85">IFERROR(_xlfn.IFS(AND(D85&lt;1980,D85&gt;=1970),"70",AND(D85&lt;1990,D85&gt;=1980),"80",AND(D85&lt;2000,D85&gt;=1990),"90",AND(D85&lt;2010,D85&gt;=2000),"00",AND(D85&lt;=2019,D85&gt;=2010),"10"),"1908-1970")</f>
        <v>1908-1970</v>
      </c>
      <c r="F85" s="3" t="s">
        <v>28931</v>
      </c>
      <c r="G85" t="s">
        <v>5303</v>
      </c>
      <c r="H85" t="s">
        <v>5304</v>
      </c>
      <c r="I85" t="s">
        <v>28931</v>
      </c>
      <c r="J85" t="s">
        <v>28931</v>
      </c>
      <c r="K85" t="s">
        <v>5305</v>
      </c>
      <c r="L85" s="7" t="s">
        <v>5306</v>
      </c>
      <c r="M85">
        <v>28</v>
      </c>
      <c r="N85">
        <v>2</v>
      </c>
      <c r="O85">
        <v>1</v>
      </c>
      <c r="P85">
        <v>1</v>
      </c>
      <c r="Q85">
        <v>2</v>
      </c>
      <c r="R85">
        <v>1</v>
      </c>
      <c r="S85">
        <v>1</v>
      </c>
      <c r="T85">
        <v>0</v>
      </c>
      <c r="U85" t="s">
        <v>5307</v>
      </c>
      <c r="V85">
        <f>Tabla1[[#This Row],[Aboard]]-Tabla1[[#This Row],[Fatalities]]</f>
        <v>0</v>
      </c>
      <c r="W85" s="50">
        <f>IFERROR(Tabla1[[#This Row],[Fatalities]]/Tabla1[[#This Row],[Aboard]],0)</f>
        <v>1</v>
      </c>
      <c r="X85" s="51" t="str" cm="1">
        <f t="array" ref="X85">_xlfn.IFS(Tabla1[[#This Row],[Porcentaje de muertes]]&lt;0.35,"LEVE",AND(Tabla1[[#This Row],[Porcentaje de muertes]]&gt;0.35,Tabla1[[#This Row],[Porcentaje de muertes]]&lt;0.65),"MEDIO",Tabla1[[#This Row],[Porcentaje de muertes]]&gt;0.65,"GRAVE")</f>
        <v>GRAVE</v>
      </c>
      <c r="AB85" t="s">
        <v>28518</v>
      </c>
      <c r="AC85" t="s">
        <v>28519</v>
      </c>
      <c r="AD85" t="s">
        <v>28966</v>
      </c>
      <c r="AE85" t="s">
        <v>28966</v>
      </c>
      <c r="AF85" t="s">
        <v>28966</v>
      </c>
      <c r="AG85" t="s">
        <v>28966</v>
      </c>
      <c r="AH85" t="s">
        <v>28966</v>
      </c>
      <c r="AI85" t="s">
        <v>28966</v>
      </c>
      <c r="AJ85" t="s">
        <v>28966</v>
      </c>
      <c r="AK85" t="s">
        <v>28966</v>
      </c>
      <c r="AL85" t="s">
        <v>28966</v>
      </c>
      <c r="AM85" t="s">
        <v>28966</v>
      </c>
      <c r="AN85" t="s">
        <v>28966</v>
      </c>
      <c r="AO85" t="s">
        <v>28966</v>
      </c>
      <c r="AP85" t="s">
        <v>28966</v>
      </c>
      <c r="AQ85" t="s">
        <v>28966</v>
      </c>
      <c r="AR85" t="s">
        <v>28966</v>
      </c>
      <c r="AS85" t="s">
        <v>28966</v>
      </c>
      <c r="AT85" t="s">
        <v>28966</v>
      </c>
      <c r="AU85" t="s">
        <v>28966</v>
      </c>
      <c r="AV85" t="s">
        <v>28966</v>
      </c>
      <c r="AW85" t="s">
        <v>28966</v>
      </c>
      <c r="AX85" t="s">
        <v>28966</v>
      </c>
      <c r="AY85" t="s">
        <v>28966</v>
      </c>
      <c r="AZ85" t="s">
        <v>28966</v>
      </c>
      <c r="BA85" t="s">
        <v>28966</v>
      </c>
      <c r="BB85">
        <v>169600</v>
      </c>
      <c r="BC85">
        <v>176900</v>
      </c>
      <c r="BD85">
        <v>152400</v>
      </c>
      <c r="BE85">
        <v>110500</v>
      </c>
      <c r="BF85">
        <v>110100</v>
      </c>
      <c r="BG85">
        <v>158600</v>
      </c>
      <c r="BH85">
        <v>117521</v>
      </c>
      <c r="BI85">
        <v>110800</v>
      </c>
      <c r="BJ85">
        <v>246609</v>
      </c>
      <c r="BK85">
        <v>303802</v>
      </c>
      <c r="BL85">
        <v>228560</v>
      </c>
      <c r="BM85">
        <v>249131</v>
      </c>
      <c r="BN85">
        <v>271553</v>
      </c>
      <c r="BO85">
        <v>304139</v>
      </c>
      <c r="BP85">
        <v>310222</v>
      </c>
      <c r="BQ85">
        <v>294400</v>
      </c>
      <c r="BR85">
        <v>164446</v>
      </c>
      <c r="BS85">
        <v>222630</v>
      </c>
      <c r="BT85">
        <v>178363</v>
      </c>
      <c r="BU85">
        <v>189316</v>
      </c>
      <c r="BV85">
        <v>196589</v>
      </c>
      <c r="BW85">
        <v>232263</v>
      </c>
      <c r="BX85">
        <v>220448</v>
      </c>
      <c r="BY85">
        <v>341751</v>
      </c>
      <c r="BZ85">
        <v>516034</v>
      </c>
      <c r="CA85">
        <v>615327.80530000001</v>
      </c>
    </row>
    <row r="86" spans="2:79" x14ac:dyDescent="0.3">
      <c r="B86" s="9">
        <v>84</v>
      </c>
      <c r="C86" s="49">
        <v>8591</v>
      </c>
      <c r="D86" s="9">
        <f>YEAR(Tabla1[[#This Row],[Date]])</f>
        <v>1923</v>
      </c>
      <c r="E86" s="9" t="str" cm="1">
        <f t="array" ref="E86">IFERROR(_xlfn.IFS(AND(D86&lt;1980,D86&gt;=1970),"70",AND(D86&lt;1990,D86&gt;=1980),"80",AND(D86&lt;2000,D86&gt;=1990),"90",AND(D86&lt;2010,D86&gt;=2000),"00",AND(D86&lt;=2019,D86&gt;=2010),"10"),"1908-1970")</f>
        <v>1908-1970</v>
      </c>
      <c r="F86" s="3" t="s">
        <v>28931</v>
      </c>
      <c r="G86" t="s">
        <v>5308</v>
      </c>
      <c r="H86" t="s">
        <v>5096</v>
      </c>
      <c r="I86" t="s">
        <v>28931</v>
      </c>
      <c r="J86" t="s">
        <v>28931</v>
      </c>
      <c r="K86" t="s">
        <v>5097</v>
      </c>
      <c r="L86" s="7">
        <v>283</v>
      </c>
      <c r="M86" t="s">
        <v>28931</v>
      </c>
      <c r="N86">
        <v>1</v>
      </c>
      <c r="O86">
        <v>0</v>
      </c>
      <c r="P86">
        <v>1</v>
      </c>
      <c r="Q86">
        <v>1</v>
      </c>
      <c r="R86">
        <v>0</v>
      </c>
      <c r="S86">
        <v>1</v>
      </c>
      <c r="T86">
        <v>0</v>
      </c>
      <c r="U86" t="s">
        <v>5309</v>
      </c>
      <c r="V86">
        <f>Tabla1[[#This Row],[Aboard]]-Tabla1[[#This Row],[Fatalities]]</f>
        <v>0</v>
      </c>
      <c r="W86" s="50">
        <f>IFERROR(Tabla1[[#This Row],[Fatalities]]/Tabla1[[#This Row],[Aboard]],0)</f>
        <v>1</v>
      </c>
      <c r="X86" s="51" t="str" cm="1">
        <f t="array" ref="X86">_xlfn.IFS(Tabla1[[#This Row],[Porcentaje de muertes]]&lt;0.35,"LEVE",AND(Tabla1[[#This Row],[Porcentaje de muertes]]&gt;0.35,Tabla1[[#This Row],[Porcentaje de muertes]]&lt;0.65),"MEDIO",Tabla1[[#This Row],[Porcentaje de muertes]]&gt;0.65,"GRAVE")</f>
        <v>GRAVE</v>
      </c>
      <c r="AB86" t="s">
        <v>28520</v>
      </c>
      <c r="AC86" t="s">
        <v>28521</v>
      </c>
      <c r="AD86">
        <v>116700</v>
      </c>
      <c r="AE86">
        <v>135600</v>
      </c>
      <c r="AF86">
        <v>131700</v>
      </c>
      <c r="AG86">
        <v>135600</v>
      </c>
      <c r="AH86">
        <v>148200</v>
      </c>
      <c r="AI86">
        <v>153800</v>
      </c>
      <c r="AJ86">
        <v>233500</v>
      </c>
      <c r="AK86">
        <v>248800</v>
      </c>
      <c r="AL86">
        <v>309700</v>
      </c>
      <c r="AM86">
        <v>330400</v>
      </c>
      <c r="AN86">
        <v>279000</v>
      </c>
      <c r="AO86">
        <v>288800</v>
      </c>
      <c r="AP86">
        <v>230000</v>
      </c>
      <c r="AQ86">
        <v>271400</v>
      </c>
      <c r="AR86">
        <v>261000</v>
      </c>
      <c r="AS86">
        <v>252600</v>
      </c>
      <c r="AT86">
        <v>247900</v>
      </c>
      <c r="AU86">
        <v>224400</v>
      </c>
      <c r="AV86">
        <v>247800</v>
      </c>
      <c r="AW86">
        <v>231900</v>
      </c>
      <c r="AX86">
        <v>188100</v>
      </c>
      <c r="AY86">
        <v>191700</v>
      </c>
      <c r="AZ86">
        <v>206000</v>
      </c>
      <c r="BA86">
        <v>152400</v>
      </c>
      <c r="BB86">
        <v>182500</v>
      </c>
      <c r="BC86">
        <v>185900</v>
      </c>
      <c r="BD86">
        <v>197200</v>
      </c>
      <c r="BE86">
        <v>210600</v>
      </c>
      <c r="BF86">
        <v>209800</v>
      </c>
      <c r="BG86">
        <v>304100</v>
      </c>
      <c r="BH86">
        <v>314335</v>
      </c>
      <c r="BI86">
        <v>301135</v>
      </c>
      <c r="BJ86">
        <v>255630</v>
      </c>
      <c r="BK86">
        <v>241111</v>
      </c>
      <c r="BL86">
        <v>96444</v>
      </c>
      <c r="BM86" t="s">
        <v>28966</v>
      </c>
      <c r="BN86" t="s">
        <v>28966</v>
      </c>
      <c r="BO86" t="s">
        <v>28966</v>
      </c>
      <c r="BP86" t="s">
        <v>28966</v>
      </c>
      <c r="BQ86" t="s">
        <v>28966</v>
      </c>
      <c r="BR86">
        <v>169030.94959999999</v>
      </c>
      <c r="BS86">
        <v>491583.0344</v>
      </c>
      <c r="BT86">
        <v>691271.96140000003</v>
      </c>
      <c r="BU86">
        <v>396372</v>
      </c>
      <c r="BV86">
        <v>407544</v>
      </c>
      <c r="BW86">
        <v>390457</v>
      </c>
      <c r="BX86">
        <v>359516</v>
      </c>
      <c r="BY86">
        <v>681691</v>
      </c>
      <c r="BZ86">
        <v>467624</v>
      </c>
      <c r="CA86">
        <v>597343</v>
      </c>
    </row>
    <row r="87" spans="2:79" x14ac:dyDescent="0.3">
      <c r="B87" s="9">
        <v>85</v>
      </c>
      <c r="C87" s="49">
        <v>8658</v>
      </c>
      <c r="D87" s="9">
        <f>YEAR(Tabla1[[#This Row],[Date]])</f>
        <v>1923</v>
      </c>
      <c r="E87" s="9" t="str" cm="1">
        <f t="array" ref="E87">IFERROR(_xlfn.IFS(AND(D87&lt;1980,D87&gt;=1970),"70",AND(D87&lt;1990,D87&gt;=1980),"80",AND(D87&lt;2000,D87&gt;=1990),"90",AND(D87&lt;2010,D87&gt;=2000),"00",AND(D87&lt;=2019,D87&gt;=2010),"10"),"1908-1970")</f>
        <v>1908-1970</v>
      </c>
      <c r="F87" s="3">
        <v>0.75</v>
      </c>
      <c r="G87" t="s">
        <v>5310</v>
      </c>
      <c r="H87" t="s">
        <v>5311</v>
      </c>
      <c r="I87" t="s">
        <v>28931</v>
      </c>
      <c r="J87" t="s">
        <v>5312</v>
      </c>
      <c r="K87" t="s">
        <v>5313</v>
      </c>
      <c r="L87" s="7" t="s">
        <v>5314</v>
      </c>
      <c r="M87">
        <v>29</v>
      </c>
      <c r="N87">
        <v>5</v>
      </c>
      <c r="O87">
        <v>3</v>
      </c>
      <c r="P87">
        <v>2</v>
      </c>
      <c r="Q87">
        <v>5</v>
      </c>
      <c r="R87">
        <v>3</v>
      </c>
      <c r="S87">
        <v>2</v>
      </c>
      <c r="T87">
        <v>0</v>
      </c>
      <c r="U87" t="s">
        <v>5315</v>
      </c>
      <c r="V87">
        <f>Tabla1[[#This Row],[Aboard]]-Tabla1[[#This Row],[Fatalities]]</f>
        <v>0</v>
      </c>
      <c r="W87" s="50">
        <f>IFERROR(Tabla1[[#This Row],[Fatalities]]/Tabla1[[#This Row],[Aboard]],0)</f>
        <v>1</v>
      </c>
      <c r="X87" s="51" t="str" cm="1">
        <f t="array" ref="X87">_xlfn.IFS(Tabla1[[#This Row],[Porcentaje de muertes]]&lt;0.35,"LEVE",AND(Tabla1[[#This Row],[Porcentaje de muertes]]&gt;0.35,Tabla1[[#This Row],[Porcentaje de muertes]]&lt;0.65),"MEDIO",Tabla1[[#This Row],[Porcentaje de muertes]]&gt;0.65,"GRAVE")</f>
        <v>GRAVE</v>
      </c>
      <c r="AB87" t="s">
        <v>7969</v>
      </c>
      <c r="AC87" t="s">
        <v>28522</v>
      </c>
      <c r="AD87" t="s">
        <v>28966</v>
      </c>
      <c r="AE87" t="s">
        <v>28966</v>
      </c>
      <c r="AF87" t="s">
        <v>28966</v>
      </c>
      <c r="AG87" t="s">
        <v>28966</v>
      </c>
      <c r="AH87" t="s">
        <v>28966</v>
      </c>
      <c r="AI87" t="s">
        <v>28966</v>
      </c>
      <c r="AJ87" t="s">
        <v>28966</v>
      </c>
      <c r="AK87" t="s">
        <v>28966</v>
      </c>
      <c r="AL87" t="s">
        <v>28966</v>
      </c>
      <c r="AM87" t="s">
        <v>28966</v>
      </c>
      <c r="AN87" t="s">
        <v>28966</v>
      </c>
      <c r="AO87" t="s">
        <v>28966</v>
      </c>
      <c r="AP87" t="s">
        <v>28966</v>
      </c>
      <c r="AQ87" t="s">
        <v>28966</v>
      </c>
      <c r="AR87" t="s">
        <v>28966</v>
      </c>
      <c r="AS87" t="s">
        <v>28966</v>
      </c>
      <c r="AT87" t="s">
        <v>28966</v>
      </c>
      <c r="AU87" t="s">
        <v>28966</v>
      </c>
      <c r="AV87" t="s">
        <v>28966</v>
      </c>
      <c r="AW87" t="s">
        <v>28966</v>
      </c>
      <c r="AX87" t="s">
        <v>28966</v>
      </c>
      <c r="AY87" t="s">
        <v>28966</v>
      </c>
      <c r="AZ87" t="s">
        <v>28966</v>
      </c>
      <c r="BA87" t="s">
        <v>28966</v>
      </c>
      <c r="BB87" t="s">
        <v>28966</v>
      </c>
      <c r="BC87" t="s">
        <v>28966</v>
      </c>
      <c r="BD87" t="s">
        <v>28966</v>
      </c>
      <c r="BE87" t="s">
        <v>28966</v>
      </c>
      <c r="BF87" t="s">
        <v>28966</v>
      </c>
      <c r="BG87" t="s">
        <v>28966</v>
      </c>
      <c r="BH87" t="s">
        <v>28966</v>
      </c>
      <c r="BI87" t="s">
        <v>28966</v>
      </c>
      <c r="BJ87" t="s">
        <v>28966</v>
      </c>
      <c r="BK87" t="s">
        <v>28966</v>
      </c>
      <c r="BL87" t="s">
        <v>28966</v>
      </c>
      <c r="BM87" t="s">
        <v>28966</v>
      </c>
      <c r="BN87" t="s">
        <v>28966</v>
      </c>
      <c r="BO87" t="s">
        <v>28966</v>
      </c>
      <c r="BP87" t="s">
        <v>28966</v>
      </c>
      <c r="BQ87" t="s">
        <v>28966</v>
      </c>
      <c r="BR87" t="s">
        <v>28966</v>
      </c>
      <c r="BS87" t="s">
        <v>28966</v>
      </c>
      <c r="BT87" t="s">
        <v>28966</v>
      </c>
      <c r="BU87" t="s">
        <v>28966</v>
      </c>
      <c r="BV87" t="s">
        <v>28966</v>
      </c>
      <c r="BW87" t="s">
        <v>28966</v>
      </c>
      <c r="BX87" t="s">
        <v>28966</v>
      </c>
      <c r="BY87" t="s">
        <v>28966</v>
      </c>
      <c r="BZ87" t="s">
        <v>28966</v>
      </c>
      <c r="CA87" t="s">
        <v>28966</v>
      </c>
    </row>
    <row r="88" spans="2:79" x14ac:dyDescent="0.3">
      <c r="B88" s="9">
        <v>86</v>
      </c>
      <c r="C88" s="49">
        <v>8723</v>
      </c>
      <c r="D88" s="9">
        <f>YEAR(Tabla1[[#This Row],[Date]])</f>
        <v>1923</v>
      </c>
      <c r="E88" s="9" t="str" cm="1">
        <f t="array" ref="E88">IFERROR(_xlfn.IFS(AND(D88&lt;1980,D88&gt;=1970),"70",AND(D88&lt;1990,D88&gt;=1980),"80",AND(D88&lt;2000,D88&gt;=1990),"90",AND(D88&lt;2010,D88&gt;=2000),"00",AND(D88&lt;=2019,D88&gt;=2010),"10"),"1908-1970")</f>
        <v>1908-1970</v>
      </c>
      <c r="F88" s="3" t="s">
        <v>28931</v>
      </c>
      <c r="G88" t="s">
        <v>5316</v>
      </c>
      <c r="H88" t="s">
        <v>5317</v>
      </c>
      <c r="I88" t="s">
        <v>28931</v>
      </c>
      <c r="J88" t="s">
        <v>28931</v>
      </c>
      <c r="K88" t="s">
        <v>5157</v>
      </c>
      <c r="L88" s="7" t="s">
        <v>5318</v>
      </c>
      <c r="M88" t="s">
        <v>28931</v>
      </c>
      <c r="N88">
        <v>5</v>
      </c>
      <c r="O88">
        <v>2</v>
      </c>
      <c r="P88">
        <v>3</v>
      </c>
      <c r="Q88">
        <v>3</v>
      </c>
      <c r="R88">
        <v>1</v>
      </c>
      <c r="S88">
        <v>2</v>
      </c>
      <c r="T88">
        <v>0</v>
      </c>
      <c r="U88" t="s">
        <v>5319</v>
      </c>
      <c r="V88">
        <f>Tabla1[[#This Row],[Aboard]]-Tabla1[[#This Row],[Fatalities]]</f>
        <v>2</v>
      </c>
      <c r="W88" s="50">
        <f>IFERROR(Tabla1[[#This Row],[Fatalities]]/Tabla1[[#This Row],[Aboard]],0)</f>
        <v>0.6</v>
      </c>
      <c r="X88" s="51" t="str" cm="1">
        <f t="array" ref="X88">_xlfn.IFS(Tabla1[[#This Row],[Porcentaje de muertes]]&lt;0.35,"LEVE",AND(Tabla1[[#This Row],[Porcentaje de muertes]]&gt;0.35,Tabla1[[#This Row],[Porcentaje de muertes]]&lt;0.65),"MEDIO",Tabla1[[#This Row],[Porcentaje de muertes]]&gt;0.65,"GRAVE")</f>
        <v>MEDIO</v>
      </c>
      <c r="AB88" t="s">
        <v>28523</v>
      </c>
      <c r="AC88" t="s">
        <v>28524</v>
      </c>
      <c r="AD88">
        <v>48900</v>
      </c>
      <c r="AE88">
        <v>49000</v>
      </c>
      <c r="AF88">
        <v>51000</v>
      </c>
      <c r="AG88">
        <v>54500</v>
      </c>
      <c r="AH88">
        <v>56900</v>
      </c>
      <c r="AI88">
        <v>65000</v>
      </c>
      <c r="AJ88">
        <v>65000</v>
      </c>
      <c r="AK88">
        <v>66000</v>
      </c>
      <c r="AL88">
        <v>71000</v>
      </c>
      <c r="AM88">
        <v>72000</v>
      </c>
      <c r="AN88">
        <v>80000</v>
      </c>
      <c r="AO88">
        <v>128000</v>
      </c>
      <c r="AP88">
        <v>131000</v>
      </c>
      <c r="AQ88">
        <v>129200</v>
      </c>
      <c r="AR88">
        <v>132000</v>
      </c>
      <c r="AS88">
        <v>136000</v>
      </c>
      <c r="AT88">
        <v>25700</v>
      </c>
      <c r="AU88">
        <v>30400</v>
      </c>
      <c r="AV88">
        <v>26600</v>
      </c>
      <c r="AW88">
        <v>39700</v>
      </c>
      <c r="AX88">
        <v>41300</v>
      </c>
      <c r="AY88">
        <v>42200</v>
      </c>
      <c r="AZ88">
        <v>23300</v>
      </c>
      <c r="BA88">
        <v>24200</v>
      </c>
      <c r="BB88">
        <v>45000</v>
      </c>
      <c r="BC88">
        <v>35000</v>
      </c>
      <c r="BD88">
        <v>36300</v>
      </c>
      <c r="BE88">
        <v>36300</v>
      </c>
      <c r="BF88">
        <v>36100</v>
      </c>
      <c r="BG88">
        <v>58500</v>
      </c>
      <c r="BH88" t="s">
        <v>28966</v>
      </c>
      <c r="BI88" t="s">
        <v>28966</v>
      </c>
      <c r="BJ88" t="s">
        <v>28966</v>
      </c>
      <c r="BK88" t="s">
        <v>28966</v>
      </c>
      <c r="BL88" t="s">
        <v>28966</v>
      </c>
      <c r="BM88" t="s">
        <v>28966</v>
      </c>
      <c r="BN88" t="s">
        <v>28966</v>
      </c>
      <c r="BO88" t="s">
        <v>28966</v>
      </c>
      <c r="BP88" t="s">
        <v>28966</v>
      </c>
      <c r="BQ88" t="s">
        <v>28966</v>
      </c>
      <c r="BR88" t="s">
        <v>28966</v>
      </c>
      <c r="BS88" t="s">
        <v>28966</v>
      </c>
      <c r="BT88" t="s">
        <v>28966</v>
      </c>
      <c r="BU88" t="s">
        <v>28966</v>
      </c>
      <c r="BV88" t="s">
        <v>28966</v>
      </c>
      <c r="BW88" t="s">
        <v>28966</v>
      </c>
      <c r="BX88" t="s">
        <v>28966</v>
      </c>
      <c r="BY88" t="s">
        <v>28966</v>
      </c>
      <c r="BZ88" t="s">
        <v>28966</v>
      </c>
      <c r="CA88" t="s">
        <v>28966</v>
      </c>
    </row>
    <row r="89" spans="2:79" x14ac:dyDescent="0.3">
      <c r="B89" s="9">
        <v>87</v>
      </c>
      <c r="C89" s="49">
        <v>8564</v>
      </c>
      <c r="D89" s="9">
        <f>YEAR(Tabla1[[#This Row],[Date]])</f>
        <v>1923</v>
      </c>
      <c r="E89" s="9" t="str" cm="1">
        <f t="array" ref="E89">IFERROR(_xlfn.IFS(AND(D89&lt;1980,D89&gt;=1970),"70",AND(D89&lt;1990,D89&gt;=1980),"80",AND(D89&lt;2000,D89&gt;=1990),"90",AND(D89&lt;2010,D89&gt;=2000),"00",AND(D89&lt;=2019,D89&gt;=2010),"10"),"1908-1970")</f>
        <v>1908-1970</v>
      </c>
      <c r="F89" s="3" t="s">
        <v>28931</v>
      </c>
      <c r="G89" t="s">
        <v>5320</v>
      </c>
      <c r="H89" t="s">
        <v>5096</v>
      </c>
      <c r="I89" t="s">
        <v>28931</v>
      </c>
      <c r="J89" t="s">
        <v>28931</v>
      </c>
      <c r="K89" t="s">
        <v>5097</v>
      </c>
      <c r="L89" s="7">
        <v>318</v>
      </c>
      <c r="M89" t="s">
        <v>28931</v>
      </c>
      <c r="N89">
        <v>1</v>
      </c>
      <c r="O89">
        <v>0</v>
      </c>
      <c r="P89">
        <v>1</v>
      </c>
      <c r="Q89">
        <v>1</v>
      </c>
      <c r="R89">
        <v>0</v>
      </c>
      <c r="S89">
        <v>1</v>
      </c>
      <c r="T89">
        <v>0</v>
      </c>
      <c r="U89" t="s">
        <v>5274</v>
      </c>
      <c r="V89">
        <f>Tabla1[[#This Row],[Aboard]]-Tabla1[[#This Row],[Fatalities]]</f>
        <v>0</v>
      </c>
      <c r="W89" s="50">
        <f>IFERROR(Tabla1[[#This Row],[Fatalities]]/Tabla1[[#This Row],[Aboard]],0)</f>
        <v>1</v>
      </c>
      <c r="X89" s="51" t="str" cm="1">
        <f t="array" ref="X89">_xlfn.IFS(Tabla1[[#This Row],[Porcentaje de muertes]]&lt;0.35,"LEVE",AND(Tabla1[[#This Row],[Porcentaje de muertes]]&gt;0.35,Tabla1[[#This Row],[Porcentaje de muertes]]&lt;0.65),"MEDIO",Tabla1[[#This Row],[Porcentaje de muertes]]&gt;0.65,"GRAVE")</f>
        <v>GRAVE</v>
      </c>
      <c r="AB89" t="s">
        <v>28525</v>
      </c>
      <c r="AC89" t="s">
        <v>28526</v>
      </c>
      <c r="AD89" t="s">
        <v>28966</v>
      </c>
      <c r="AE89" t="s">
        <v>28966</v>
      </c>
      <c r="AF89" t="s">
        <v>28966</v>
      </c>
      <c r="AG89" t="s">
        <v>28966</v>
      </c>
      <c r="AH89" t="s">
        <v>28966</v>
      </c>
      <c r="AI89" t="s">
        <v>28966</v>
      </c>
      <c r="AJ89" t="s">
        <v>28966</v>
      </c>
      <c r="AK89" t="s">
        <v>28966</v>
      </c>
      <c r="AL89" t="s">
        <v>28966</v>
      </c>
      <c r="AM89" t="s">
        <v>28966</v>
      </c>
      <c r="AN89" t="s">
        <v>28966</v>
      </c>
      <c r="AO89" t="s">
        <v>28966</v>
      </c>
      <c r="AP89" t="s">
        <v>28966</v>
      </c>
      <c r="AQ89" t="s">
        <v>28966</v>
      </c>
      <c r="AR89" t="s">
        <v>28966</v>
      </c>
      <c r="AS89" t="s">
        <v>28966</v>
      </c>
      <c r="AT89" t="s">
        <v>28966</v>
      </c>
      <c r="AU89" t="s">
        <v>28966</v>
      </c>
      <c r="AV89" t="s">
        <v>28966</v>
      </c>
      <c r="AW89" t="s">
        <v>28966</v>
      </c>
      <c r="AX89" t="s">
        <v>28966</v>
      </c>
      <c r="AY89" t="s">
        <v>28966</v>
      </c>
      <c r="AZ89" t="s">
        <v>28966</v>
      </c>
      <c r="BA89" t="s">
        <v>28966</v>
      </c>
      <c r="BB89" t="s">
        <v>28966</v>
      </c>
      <c r="BC89" t="s">
        <v>28966</v>
      </c>
      <c r="BD89" t="s">
        <v>28966</v>
      </c>
      <c r="BE89" t="s">
        <v>28966</v>
      </c>
      <c r="BF89" t="s">
        <v>28966</v>
      </c>
      <c r="BG89" t="s">
        <v>28966</v>
      </c>
      <c r="BH89" t="s">
        <v>28966</v>
      </c>
      <c r="BI89" t="s">
        <v>28966</v>
      </c>
      <c r="BJ89" t="s">
        <v>28966</v>
      </c>
      <c r="BK89" t="s">
        <v>28966</v>
      </c>
      <c r="BL89" t="s">
        <v>28966</v>
      </c>
      <c r="BM89" t="s">
        <v>28966</v>
      </c>
      <c r="BN89" t="s">
        <v>28966</v>
      </c>
      <c r="BO89" t="s">
        <v>28966</v>
      </c>
      <c r="BP89" t="s">
        <v>28966</v>
      </c>
      <c r="BQ89" t="s">
        <v>28966</v>
      </c>
      <c r="BR89">
        <v>0</v>
      </c>
      <c r="BS89">
        <v>0</v>
      </c>
      <c r="BT89">
        <v>11284</v>
      </c>
      <c r="BU89">
        <v>146784</v>
      </c>
      <c r="BV89">
        <v>151776</v>
      </c>
      <c r="BW89">
        <v>3036</v>
      </c>
      <c r="BX89">
        <v>44330</v>
      </c>
      <c r="BY89">
        <v>53735</v>
      </c>
      <c r="BZ89">
        <v>104891.39479999999</v>
      </c>
      <c r="CA89">
        <v>109542.14509999999</v>
      </c>
    </row>
    <row r="90" spans="2:79" x14ac:dyDescent="0.3">
      <c r="B90" s="9">
        <v>88</v>
      </c>
      <c r="C90" s="49">
        <v>8758</v>
      </c>
      <c r="D90" s="9">
        <f>YEAR(Tabla1[[#This Row],[Date]])</f>
        <v>1923</v>
      </c>
      <c r="E90" s="9" t="str" cm="1">
        <f t="array" ref="E90">IFERROR(_xlfn.IFS(AND(D90&lt;1980,D90&gt;=1970),"70",AND(D90&lt;1990,D90&gt;=1980),"80",AND(D90&lt;2000,D90&gt;=1990),"90",AND(D90&lt;2010,D90&gt;=2000),"00",AND(D90&lt;=2019,D90&gt;=2010),"10"),"1908-1970")</f>
        <v>1908-1970</v>
      </c>
      <c r="F90" s="3">
        <v>0.10416666666666667</v>
      </c>
      <c r="G90" t="s">
        <v>5321</v>
      </c>
      <c r="H90" t="s">
        <v>5322</v>
      </c>
      <c r="I90" t="s">
        <v>28931</v>
      </c>
      <c r="J90" t="s">
        <v>5323</v>
      </c>
      <c r="K90" t="s">
        <v>5324</v>
      </c>
      <c r="L90" s="7" t="s">
        <v>5325</v>
      </c>
      <c r="M90" t="s">
        <v>28931</v>
      </c>
      <c r="N90">
        <v>52</v>
      </c>
      <c r="O90" t="s">
        <v>5038</v>
      </c>
      <c r="P90" t="s">
        <v>5038</v>
      </c>
      <c r="Q90">
        <v>52</v>
      </c>
      <c r="R90" t="s">
        <v>5038</v>
      </c>
      <c r="S90" t="s">
        <v>5038</v>
      </c>
      <c r="T90">
        <v>0</v>
      </c>
      <c r="U90" t="s">
        <v>5326</v>
      </c>
      <c r="V90">
        <f>Tabla1[[#This Row],[Aboard]]-Tabla1[[#This Row],[Fatalities]]</f>
        <v>0</v>
      </c>
      <c r="W90" s="50">
        <f>IFERROR(Tabla1[[#This Row],[Fatalities]]/Tabla1[[#This Row],[Aboard]],0)</f>
        <v>1</v>
      </c>
      <c r="X90" s="51" t="str" cm="1">
        <f t="array" ref="X90">_xlfn.IFS(Tabla1[[#This Row],[Porcentaje de muertes]]&lt;0.35,"LEVE",AND(Tabla1[[#This Row],[Porcentaje de muertes]]&gt;0.35,Tabla1[[#This Row],[Porcentaje de muertes]]&lt;0.65),"MEDIO",Tabla1[[#This Row],[Porcentaje de muertes]]&gt;0.65,"GRAVE")</f>
        <v>GRAVE</v>
      </c>
      <c r="AB90" t="s">
        <v>28527</v>
      </c>
      <c r="AC90" t="s">
        <v>28528</v>
      </c>
      <c r="AD90" t="s">
        <v>28966</v>
      </c>
      <c r="AE90" t="s">
        <v>28966</v>
      </c>
      <c r="AF90" t="s">
        <v>28966</v>
      </c>
      <c r="AG90" t="s">
        <v>28966</v>
      </c>
      <c r="AH90" t="s">
        <v>28966</v>
      </c>
      <c r="AI90" t="s">
        <v>28966</v>
      </c>
      <c r="AJ90" t="s">
        <v>28966</v>
      </c>
      <c r="AK90" t="s">
        <v>28966</v>
      </c>
      <c r="AL90">
        <v>20000</v>
      </c>
      <c r="AM90">
        <v>20000</v>
      </c>
      <c r="AN90">
        <v>22200</v>
      </c>
      <c r="AO90">
        <v>22200</v>
      </c>
      <c r="AP90">
        <v>20600</v>
      </c>
      <c r="AQ90">
        <v>21000</v>
      </c>
      <c r="AR90">
        <v>21900</v>
      </c>
      <c r="AS90">
        <v>22500</v>
      </c>
      <c r="AT90">
        <v>19500</v>
      </c>
      <c r="AU90">
        <v>20500</v>
      </c>
      <c r="AV90">
        <v>20500</v>
      </c>
      <c r="AW90">
        <v>20500</v>
      </c>
      <c r="AX90">
        <v>20500</v>
      </c>
      <c r="AY90">
        <v>20500</v>
      </c>
      <c r="AZ90">
        <v>20500</v>
      </c>
      <c r="BA90">
        <v>20500</v>
      </c>
      <c r="BB90">
        <v>20500</v>
      </c>
      <c r="BC90">
        <v>20500</v>
      </c>
      <c r="BD90">
        <v>20500</v>
      </c>
      <c r="BE90">
        <v>20500</v>
      </c>
      <c r="BF90">
        <v>20400</v>
      </c>
      <c r="BG90" t="s">
        <v>28966</v>
      </c>
      <c r="BH90" t="s">
        <v>28966</v>
      </c>
      <c r="BI90" t="s">
        <v>28966</v>
      </c>
      <c r="BJ90" t="s">
        <v>28966</v>
      </c>
      <c r="BK90" t="s">
        <v>28966</v>
      </c>
      <c r="BL90" t="s">
        <v>28966</v>
      </c>
      <c r="BM90" t="s">
        <v>28966</v>
      </c>
      <c r="BN90" t="s">
        <v>28966</v>
      </c>
      <c r="BO90" t="s">
        <v>28966</v>
      </c>
      <c r="BP90" t="s">
        <v>28966</v>
      </c>
      <c r="BQ90" t="s">
        <v>28966</v>
      </c>
      <c r="BR90" t="s">
        <v>28966</v>
      </c>
      <c r="BS90" t="s">
        <v>28966</v>
      </c>
      <c r="BT90" t="s">
        <v>28966</v>
      </c>
      <c r="BU90" t="s">
        <v>28966</v>
      </c>
      <c r="BV90" t="s">
        <v>28966</v>
      </c>
      <c r="BW90" t="s">
        <v>28966</v>
      </c>
      <c r="BX90" t="s">
        <v>28966</v>
      </c>
      <c r="BY90" t="s">
        <v>28966</v>
      </c>
      <c r="BZ90" t="s">
        <v>28966</v>
      </c>
      <c r="CA90" t="s">
        <v>28966</v>
      </c>
    </row>
    <row r="91" spans="2:79" x14ac:dyDescent="0.3">
      <c r="B91" s="9">
        <v>89</v>
      </c>
      <c r="C91" s="49">
        <v>8759</v>
      </c>
      <c r="D91" s="9">
        <f>YEAR(Tabla1[[#This Row],[Date]])</f>
        <v>1923</v>
      </c>
      <c r="E91" s="9" t="str" cm="1">
        <f t="array" ref="E91">IFERROR(_xlfn.IFS(AND(D91&lt;1980,D91&gt;=1970),"70",AND(D91&lt;1990,D91&gt;=1980),"80",AND(D91&lt;2000,D91&gt;=1990),"90",AND(D91&lt;2010,D91&gt;=2000),"00",AND(D91&lt;=2019,D91&gt;=2010),"10"),"1908-1970")</f>
        <v>1908-1970</v>
      </c>
      <c r="F91" s="3" t="s">
        <v>28931</v>
      </c>
      <c r="G91" t="s">
        <v>5327</v>
      </c>
      <c r="H91" t="s">
        <v>5096</v>
      </c>
      <c r="I91" t="s">
        <v>28931</v>
      </c>
      <c r="J91" t="s">
        <v>28931</v>
      </c>
      <c r="K91" t="s">
        <v>5097</v>
      </c>
      <c r="L91" s="7">
        <v>315</v>
      </c>
      <c r="M91" t="s">
        <v>28931</v>
      </c>
      <c r="N91">
        <v>1</v>
      </c>
      <c r="O91">
        <v>0</v>
      </c>
      <c r="P91">
        <v>1</v>
      </c>
      <c r="Q91">
        <v>1</v>
      </c>
      <c r="R91">
        <v>0</v>
      </c>
      <c r="S91">
        <v>1</v>
      </c>
      <c r="T91">
        <v>0</v>
      </c>
      <c r="U91" t="s">
        <v>5328</v>
      </c>
      <c r="V91">
        <f>Tabla1[[#This Row],[Aboard]]-Tabla1[[#This Row],[Fatalities]]</f>
        <v>0</v>
      </c>
      <c r="W91" s="50">
        <f>IFERROR(Tabla1[[#This Row],[Fatalities]]/Tabla1[[#This Row],[Aboard]],0)</f>
        <v>1</v>
      </c>
      <c r="X91" s="51" t="str" cm="1">
        <f t="array" ref="X91">_xlfn.IFS(Tabla1[[#This Row],[Porcentaje de muertes]]&lt;0.35,"LEVE",AND(Tabla1[[#This Row],[Porcentaje de muertes]]&gt;0.35,Tabla1[[#This Row],[Porcentaje de muertes]]&lt;0.65),"MEDIO",Tabla1[[#This Row],[Porcentaje de muertes]]&gt;0.65,"GRAVE")</f>
        <v>GRAVE</v>
      </c>
      <c r="AB91" t="s">
        <v>28529</v>
      </c>
      <c r="AC91" t="s">
        <v>28530</v>
      </c>
      <c r="AD91" t="s">
        <v>28966</v>
      </c>
      <c r="AE91">
        <v>8500</v>
      </c>
      <c r="AF91">
        <v>9000</v>
      </c>
      <c r="AG91">
        <v>9500</v>
      </c>
      <c r="AH91">
        <v>10000</v>
      </c>
      <c r="AI91">
        <v>10500</v>
      </c>
      <c r="AJ91">
        <v>11000</v>
      </c>
      <c r="AK91">
        <v>12000</v>
      </c>
      <c r="AL91">
        <v>12000</v>
      </c>
      <c r="AM91">
        <v>13000</v>
      </c>
      <c r="AN91">
        <v>13300</v>
      </c>
      <c r="AO91">
        <v>13300</v>
      </c>
      <c r="AP91">
        <v>13300</v>
      </c>
      <c r="AQ91">
        <v>13300</v>
      </c>
      <c r="AR91">
        <v>13400</v>
      </c>
      <c r="AS91">
        <v>13700</v>
      </c>
      <c r="AT91">
        <v>13700</v>
      </c>
      <c r="AU91">
        <v>13700</v>
      </c>
      <c r="AV91">
        <v>27600</v>
      </c>
      <c r="AW91">
        <v>14000</v>
      </c>
      <c r="AX91">
        <v>14000</v>
      </c>
      <c r="AY91">
        <v>14000</v>
      </c>
      <c r="AZ91">
        <v>14000</v>
      </c>
      <c r="BA91">
        <v>14000</v>
      </c>
      <c r="BB91">
        <v>14000</v>
      </c>
      <c r="BC91">
        <v>14700</v>
      </c>
      <c r="BD91">
        <v>14700</v>
      </c>
      <c r="BE91">
        <v>20900</v>
      </c>
      <c r="BF91">
        <v>20800</v>
      </c>
      <c r="BG91" t="s">
        <v>28966</v>
      </c>
      <c r="BH91" t="s">
        <v>28966</v>
      </c>
      <c r="BI91" t="s">
        <v>28966</v>
      </c>
      <c r="BJ91" t="s">
        <v>28966</v>
      </c>
      <c r="BK91" t="s">
        <v>28966</v>
      </c>
      <c r="BL91" t="s">
        <v>28966</v>
      </c>
      <c r="BM91" t="s">
        <v>28966</v>
      </c>
      <c r="BN91" t="s">
        <v>28966</v>
      </c>
      <c r="BO91" t="s">
        <v>28966</v>
      </c>
      <c r="BP91" t="s">
        <v>28966</v>
      </c>
      <c r="BQ91" t="s">
        <v>28966</v>
      </c>
      <c r="BR91">
        <v>25969.38236</v>
      </c>
      <c r="BS91">
        <v>130197.6</v>
      </c>
      <c r="BT91">
        <v>316620.84999999998</v>
      </c>
      <c r="BU91">
        <v>401712</v>
      </c>
      <c r="BV91">
        <v>303024</v>
      </c>
      <c r="BW91">
        <v>400758</v>
      </c>
      <c r="BX91">
        <v>458222</v>
      </c>
      <c r="BY91">
        <v>496322</v>
      </c>
      <c r="BZ91">
        <v>404301.32799999998</v>
      </c>
      <c r="CA91">
        <v>420832.25630000001</v>
      </c>
    </row>
    <row r="92" spans="2:79" x14ac:dyDescent="0.3">
      <c r="B92" s="9">
        <v>90</v>
      </c>
      <c r="C92" s="49">
        <v>8951</v>
      </c>
      <c r="D92" s="9">
        <f>YEAR(Tabla1[[#This Row],[Date]])</f>
        <v>1924</v>
      </c>
      <c r="E92" s="9" t="str" cm="1">
        <f t="array" ref="E92">IFERROR(_xlfn.IFS(AND(D92&lt;1980,D92&gt;=1970),"70",AND(D92&lt;1990,D92&gt;=1980),"80",AND(D92&lt;2000,D92&gt;=1990),"90",AND(D92&lt;2010,D92&gt;=2000),"00",AND(D92&lt;=2019,D92&gt;=2010),"10"),"1908-1970")</f>
        <v>1908-1970</v>
      </c>
      <c r="F92" s="3" t="s">
        <v>28931</v>
      </c>
      <c r="G92" t="s">
        <v>5329</v>
      </c>
      <c r="H92" t="s">
        <v>5096</v>
      </c>
      <c r="I92" t="s">
        <v>28931</v>
      </c>
      <c r="J92" t="s">
        <v>28931</v>
      </c>
      <c r="K92" t="s">
        <v>5097</v>
      </c>
      <c r="L92" s="7">
        <v>327</v>
      </c>
      <c r="M92" t="s">
        <v>28931</v>
      </c>
      <c r="N92">
        <v>1</v>
      </c>
      <c r="O92">
        <v>0</v>
      </c>
      <c r="P92">
        <v>1</v>
      </c>
      <c r="Q92">
        <v>1</v>
      </c>
      <c r="R92">
        <v>0</v>
      </c>
      <c r="S92">
        <v>1</v>
      </c>
      <c r="T92">
        <v>0</v>
      </c>
      <c r="U92" t="s">
        <v>5330</v>
      </c>
      <c r="V92">
        <f>Tabla1[[#This Row],[Aboard]]-Tabla1[[#This Row],[Fatalities]]</f>
        <v>0</v>
      </c>
      <c r="W92" s="50">
        <f>IFERROR(Tabla1[[#This Row],[Fatalities]]/Tabla1[[#This Row],[Aboard]],0)</f>
        <v>1</v>
      </c>
      <c r="X92" s="51" t="str" cm="1">
        <f t="array" ref="X92">_xlfn.IFS(Tabla1[[#This Row],[Porcentaje de muertes]]&lt;0.35,"LEVE",AND(Tabla1[[#This Row],[Porcentaje de muertes]]&gt;0.35,Tabla1[[#This Row],[Porcentaje de muertes]]&lt;0.65),"MEDIO",Tabla1[[#This Row],[Porcentaje de muertes]]&gt;0.65,"GRAVE")</f>
        <v>GRAVE</v>
      </c>
      <c r="AB92" t="s">
        <v>28531</v>
      </c>
      <c r="AC92" t="s">
        <v>28532</v>
      </c>
      <c r="AD92">
        <v>1614700</v>
      </c>
      <c r="AE92">
        <v>2021400</v>
      </c>
      <c r="AF92">
        <v>2412600</v>
      </c>
      <c r="AG92">
        <v>2802600</v>
      </c>
      <c r="AH92">
        <v>2304600</v>
      </c>
      <c r="AI92">
        <v>2832600</v>
      </c>
      <c r="AJ92">
        <v>3541000</v>
      </c>
      <c r="AK92">
        <v>3883900</v>
      </c>
      <c r="AL92">
        <v>4670500</v>
      </c>
      <c r="AM92">
        <v>5021100</v>
      </c>
      <c r="AN92">
        <v>4891300</v>
      </c>
      <c r="AO92">
        <v>4900700</v>
      </c>
      <c r="AP92">
        <v>5633900</v>
      </c>
      <c r="AQ92">
        <v>5811800</v>
      </c>
      <c r="AR92">
        <v>6878400</v>
      </c>
      <c r="AS92">
        <v>7456600</v>
      </c>
      <c r="AT92">
        <v>6479500</v>
      </c>
      <c r="AU92">
        <v>6567600</v>
      </c>
      <c r="AV92">
        <v>6659700</v>
      </c>
      <c r="AW92">
        <v>6632000</v>
      </c>
      <c r="AX92">
        <v>6134600</v>
      </c>
      <c r="AY92">
        <v>4937000</v>
      </c>
      <c r="AZ92">
        <v>5465500</v>
      </c>
      <c r="BA92">
        <v>5478100</v>
      </c>
      <c r="BB92">
        <v>5812900</v>
      </c>
      <c r="BC92">
        <v>6006000</v>
      </c>
      <c r="BD92">
        <v>6396000</v>
      </c>
      <c r="BE92">
        <v>7060800</v>
      </c>
      <c r="BF92">
        <v>6403400</v>
      </c>
      <c r="BG92">
        <v>6590700</v>
      </c>
      <c r="BH92">
        <v>7937434</v>
      </c>
      <c r="BI92">
        <v>8430333</v>
      </c>
      <c r="BJ92">
        <v>7579225</v>
      </c>
      <c r="BK92">
        <v>7518932</v>
      </c>
      <c r="BL92">
        <v>9276954</v>
      </c>
      <c r="BM92">
        <v>9452219</v>
      </c>
      <c r="BN92">
        <v>9481314</v>
      </c>
      <c r="BO92">
        <v>10206223</v>
      </c>
      <c r="BP92">
        <v>9442743</v>
      </c>
      <c r="BQ92">
        <v>8795133</v>
      </c>
      <c r="BR92">
        <v>10352657.529999999</v>
      </c>
      <c r="BS92">
        <v>9569211.4189999998</v>
      </c>
      <c r="BT92">
        <v>8785275.4560000002</v>
      </c>
      <c r="BU92">
        <v>8761116</v>
      </c>
      <c r="BV92">
        <v>11152236</v>
      </c>
      <c r="BW92">
        <v>11237054</v>
      </c>
      <c r="BX92">
        <v>12689082</v>
      </c>
      <c r="BY92">
        <v>13852857</v>
      </c>
      <c r="BZ92">
        <v>15125933.52</v>
      </c>
      <c r="CA92">
        <v>16124738.33</v>
      </c>
    </row>
    <row r="93" spans="2:79" x14ac:dyDescent="0.3">
      <c r="B93" s="9">
        <v>91</v>
      </c>
      <c r="C93" s="49">
        <v>8881</v>
      </c>
      <c r="D93" s="9">
        <f>YEAR(Tabla1[[#This Row],[Date]])</f>
        <v>1924</v>
      </c>
      <c r="E93" s="9" t="str" cm="1">
        <f t="array" ref="E93">IFERROR(_xlfn.IFS(AND(D93&lt;1980,D93&gt;=1970),"70",AND(D93&lt;1990,D93&gt;=1980),"80",AND(D93&lt;2000,D93&gt;=1990),"90",AND(D93&lt;2010,D93&gt;=2000),"00",AND(D93&lt;=2019,D93&gt;=2010),"10"),"1908-1970")</f>
        <v>1908-1970</v>
      </c>
      <c r="F93" s="3" t="s">
        <v>28931</v>
      </c>
      <c r="G93" t="s">
        <v>5331</v>
      </c>
      <c r="H93" t="s">
        <v>5332</v>
      </c>
      <c r="I93" t="s">
        <v>28931</v>
      </c>
      <c r="J93" t="s">
        <v>5333</v>
      </c>
      <c r="K93" t="s">
        <v>5334</v>
      </c>
      <c r="L93" s="7" t="s">
        <v>5335</v>
      </c>
      <c r="M93">
        <v>1535</v>
      </c>
      <c r="N93">
        <v>3</v>
      </c>
      <c r="O93">
        <v>2</v>
      </c>
      <c r="P93">
        <v>1</v>
      </c>
      <c r="Q93">
        <v>3</v>
      </c>
      <c r="R93">
        <v>2</v>
      </c>
      <c r="S93">
        <v>1</v>
      </c>
      <c r="T93">
        <v>0</v>
      </c>
      <c r="U93" t="s">
        <v>5336</v>
      </c>
      <c r="V93">
        <f>Tabla1[[#This Row],[Aboard]]-Tabla1[[#This Row],[Fatalities]]</f>
        <v>0</v>
      </c>
      <c r="W93" s="50">
        <f>IFERROR(Tabla1[[#This Row],[Fatalities]]/Tabla1[[#This Row],[Aboard]],0)</f>
        <v>1</v>
      </c>
      <c r="X93" s="51" t="str" cm="1">
        <f t="array" ref="X93">_xlfn.IFS(Tabla1[[#This Row],[Porcentaje de muertes]]&lt;0.35,"LEVE",AND(Tabla1[[#This Row],[Porcentaje de muertes]]&gt;0.35,Tabla1[[#This Row],[Porcentaje de muertes]]&lt;0.65),"MEDIO",Tabla1[[#This Row],[Porcentaje de muertes]]&gt;0.65,"GRAVE")</f>
        <v>GRAVE</v>
      </c>
      <c r="AB93" t="s">
        <v>28533</v>
      </c>
      <c r="AC93" t="s">
        <v>28534</v>
      </c>
      <c r="AD93" t="s">
        <v>28966</v>
      </c>
      <c r="AE93" t="s">
        <v>28966</v>
      </c>
      <c r="AF93" t="s">
        <v>28966</v>
      </c>
      <c r="AG93" t="s">
        <v>28966</v>
      </c>
      <c r="AH93" t="s">
        <v>28966</v>
      </c>
      <c r="AI93" t="s">
        <v>28966</v>
      </c>
      <c r="AJ93" t="s">
        <v>28966</v>
      </c>
      <c r="AK93" t="s">
        <v>28966</v>
      </c>
      <c r="AL93" t="s">
        <v>28966</v>
      </c>
      <c r="AM93" t="s">
        <v>28966</v>
      </c>
      <c r="AN93" t="s">
        <v>28966</v>
      </c>
      <c r="AO93" t="s">
        <v>28966</v>
      </c>
      <c r="AP93" t="s">
        <v>28966</v>
      </c>
      <c r="AQ93" t="s">
        <v>28966</v>
      </c>
      <c r="AR93" t="s">
        <v>28966</v>
      </c>
      <c r="AS93" t="s">
        <v>28966</v>
      </c>
      <c r="AT93" t="s">
        <v>28966</v>
      </c>
      <c r="AU93" t="s">
        <v>28966</v>
      </c>
      <c r="AV93" t="s">
        <v>28966</v>
      </c>
      <c r="AW93" t="s">
        <v>28966</v>
      </c>
      <c r="AX93" t="s">
        <v>28966</v>
      </c>
      <c r="AY93" t="s">
        <v>28966</v>
      </c>
      <c r="AZ93" t="s">
        <v>28966</v>
      </c>
      <c r="BA93" t="s">
        <v>28966</v>
      </c>
      <c r="BB93" t="s">
        <v>28966</v>
      </c>
      <c r="BC93" t="s">
        <v>28966</v>
      </c>
      <c r="BD93" t="s">
        <v>28966</v>
      </c>
      <c r="BE93" t="s">
        <v>28966</v>
      </c>
      <c r="BF93" t="s">
        <v>28966</v>
      </c>
      <c r="BG93" t="s">
        <v>28966</v>
      </c>
      <c r="BH93" t="s">
        <v>28966</v>
      </c>
      <c r="BI93" t="s">
        <v>28966</v>
      </c>
      <c r="BJ93" t="s">
        <v>28966</v>
      </c>
      <c r="BK93" t="s">
        <v>28966</v>
      </c>
      <c r="BL93" t="s">
        <v>28966</v>
      </c>
      <c r="BM93" t="s">
        <v>28966</v>
      </c>
      <c r="BN93" t="s">
        <v>28966</v>
      </c>
      <c r="BO93" t="s">
        <v>28966</v>
      </c>
      <c r="BP93" t="s">
        <v>28966</v>
      </c>
      <c r="BQ93" t="s">
        <v>28966</v>
      </c>
      <c r="BR93" t="s">
        <v>28966</v>
      </c>
      <c r="BS93" t="s">
        <v>28966</v>
      </c>
      <c r="BT93" t="s">
        <v>28966</v>
      </c>
      <c r="BU93" t="s">
        <v>28966</v>
      </c>
      <c r="BV93" t="s">
        <v>28966</v>
      </c>
      <c r="BW93" t="s">
        <v>28966</v>
      </c>
      <c r="BX93" t="s">
        <v>28966</v>
      </c>
      <c r="BY93" t="s">
        <v>28966</v>
      </c>
      <c r="BZ93" t="s">
        <v>28966</v>
      </c>
      <c r="CA93" t="s">
        <v>28966</v>
      </c>
    </row>
    <row r="94" spans="2:79" x14ac:dyDescent="0.3">
      <c r="B94" s="9">
        <v>92</v>
      </c>
      <c r="C94" s="49">
        <v>8985</v>
      </c>
      <c r="D94" s="9">
        <f>YEAR(Tabla1[[#This Row],[Date]])</f>
        <v>1924</v>
      </c>
      <c r="E94" s="9" t="str" cm="1">
        <f t="array" ref="E94">IFERROR(_xlfn.IFS(AND(D94&lt;1980,D94&gt;=1970),"70",AND(D94&lt;1990,D94&gt;=1980),"80",AND(D94&lt;2000,D94&gt;=1990),"90",AND(D94&lt;2010,D94&gt;=2000),"00",AND(D94&lt;=2019,D94&gt;=2010),"10"),"1908-1970")</f>
        <v>1908-1970</v>
      </c>
      <c r="F94" s="3" t="s">
        <v>28931</v>
      </c>
      <c r="G94" t="s">
        <v>5337</v>
      </c>
      <c r="H94" t="s">
        <v>5338</v>
      </c>
      <c r="I94" t="s">
        <v>28931</v>
      </c>
      <c r="J94" t="s">
        <v>5339</v>
      </c>
      <c r="K94" t="s">
        <v>5157</v>
      </c>
      <c r="L94" s="7" t="s">
        <v>5340</v>
      </c>
      <c r="M94">
        <v>684</v>
      </c>
      <c r="N94">
        <v>5</v>
      </c>
      <c r="O94">
        <v>3</v>
      </c>
      <c r="P94">
        <v>2</v>
      </c>
      <c r="Q94">
        <v>5</v>
      </c>
      <c r="R94">
        <v>3</v>
      </c>
      <c r="S94">
        <v>2</v>
      </c>
      <c r="T94">
        <v>0</v>
      </c>
      <c r="U94" t="s">
        <v>5341</v>
      </c>
      <c r="V94">
        <f>Tabla1[[#This Row],[Aboard]]-Tabla1[[#This Row],[Fatalities]]</f>
        <v>0</v>
      </c>
      <c r="W94" s="50">
        <f>IFERROR(Tabla1[[#This Row],[Fatalities]]/Tabla1[[#This Row],[Aboard]],0)</f>
        <v>1</v>
      </c>
      <c r="X94" s="51" t="str" cm="1">
        <f t="array" ref="X94">_xlfn.IFS(Tabla1[[#This Row],[Porcentaje de muertes]]&lt;0.35,"LEVE",AND(Tabla1[[#This Row],[Porcentaje de muertes]]&gt;0.35,Tabla1[[#This Row],[Porcentaje de muertes]]&lt;0.65),"MEDIO",Tabla1[[#This Row],[Porcentaje de muertes]]&gt;0.65,"GRAVE")</f>
        <v>GRAVE</v>
      </c>
      <c r="AB94" t="s">
        <v>28535</v>
      </c>
      <c r="AC94" t="s">
        <v>28536</v>
      </c>
      <c r="AD94" t="s">
        <v>28966</v>
      </c>
      <c r="AE94" t="s">
        <v>28966</v>
      </c>
      <c r="AF94" t="s">
        <v>28966</v>
      </c>
      <c r="AG94" t="s">
        <v>28966</v>
      </c>
      <c r="AH94" t="s">
        <v>28966</v>
      </c>
      <c r="AI94" t="s">
        <v>28966</v>
      </c>
      <c r="AJ94" t="s">
        <v>28966</v>
      </c>
      <c r="AK94" t="s">
        <v>28966</v>
      </c>
      <c r="AL94" t="s">
        <v>28966</v>
      </c>
      <c r="AM94" t="s">
        <v>28966</v>
      </c>
      <c r="AN94" t="s">
        <v>28966</v>
      </c>
      <c r="AO94" t="s">
        <v>28966</v>
      </c>
      <c r="AP94" t="s">
        <v>28966</v>
      </c>
      <c r="AQ94" t="s">
        <v>28966</v>
      </c>
      <c r="AR94" t="s">
        <v>28966</v>
      </c>
      <c r="AS94" t="s">
        <v>28966</v>
      </c>
      <c r="AT94" t="s">
        <v>28966</v>
      </c>
      <c r="AU94" t="s">
        <v>28966</v>
      </c>
      <c r="AV94" t="s">
        <v>28966</v>
      </c>
      <c r="AW94" t="s">
        <v>28966</v>
      </c>
      <c r="AX94" t="s">
        <v>28966</v>
      </c>
      <c r="AY94" t="s">
        <v>28966</v>
      </c>
      <c r="AZ94" t="s">
        <v>28966</v>
      </c>
      <c r="BA94" t="s">
        <v>28966</v>
      </c>
      <c r="BB94" t="s">
        <v>28966</v>
      </c>
      <c r="BC94" t="s">
        <v>28966</v>
      </c>
      <c r="BD94" t="s">
        <v>28966</v>
      </c>
      <c r="BE94" t="s">
        <v>28966</v>
      </c>
      <c r="BF94" t="s">
        <v>28966</v>
      </c>
      <c r="BG94" t="s">
        <v>28966</v>
      </c>
      <c r="BH94" t="s">
        <v>28966</v>
      </c>
      <c r="BI94" t="s">
        <v>28966</v>
      </c>
      <c r="BJ94" t="s">
        <v>28966</v>
      </c>
      <c r="BK94" t="s">
        <v>28966</v>
      </c>
      <c r="BL94" t="s">
        <v>28966</v>
      </c>
      <c r="BM94" t="s">
        <v>28966</v>
      </c>
      <c r="BN94" t="s">
        <v>28966</v>
      </c>
      <c r="BO94" t="s">
        <v>28966</v>
      </c>
      <c r="BP94" t="s">
        <v>28966</v>
      </c>
      <c r="BQ94" t="s">
        <v>28966</v>
      </c>
      <c r="BR94" t="s">
        <v>28966</v>
      </c>
      <c r="BS94" t="s">
        <v>28966</v>
      </c>
      <c r="BT94" t="s">
        <v>28966</v>
      </c>
      <c r="BU94" t="s">
        <v>28966</v>
      </c>
      <c r="BV94" t="s">
        <v>28966</v>
      </c>
      <c r="BW94" t="s">
        <v>28966</v>
      </c>
      <c r="BX94" t="s">
        <v>28966</v>
      </c>
      <c r="BY94" t="s">
        <v>28966</v>
      </c>
      <c r="BZ94" t="s">
        <v>28966</v>
      </c>
      <c r="CA94" t="s">
        <v>28966</v>
      </c>
    </row>
    <row r="95" spans="2:79" x14ac:dyDescent="0.3">
      <c r="B95" s="9">
        <v>93</v>
      </c>
      <c r="C95" s="49">
        <v>8774</v>
      </c>
      <c r="D95" s="9">
        <f>YEAR(Tabla1[[#This Row],[Date]])</f>
        <v>1924</v>
      </c>
      <c r="E95" s="9" t="str" cm="1">
        <f t="array" ref="E95">IFERROR(_xlfn.IFS(AND(D95&lt;1980,D95&gt;=1970),"70",AND(D95&lt;1990,D95&gt;=1980),"80",AND(D95&lt;2000,D95&gt;=1990),"90",AND(D95&lt;2010,D95&gt;=2000),"00",AND(D95&lt;=2019,D95&gt;=2010),"10"),"1908-1970")</f>
        <v>1908-1970</v>
      </c>
      <c r="F95" s="3" t="s">
        <v>28931</v>
      </c>
      <c r="G95" t="s">
        <v>5342</v>
      </c>
      <c r="H95" t="s">
        <v>5096</v>
      </c>
      <c r="I95" t="s">
        <v>28931</v>
      </c>
      <c r="J95" t="s">
        <v>28931</v>
      </c>
      <c r="K95" t="s">
        <v>5097</v>
      </c>
      <c r="L95" s="7">
        <v>297</v>
      </c>
      <c r="M95" t="s">
        <v>28931</v>
      </c>
      <c r="N95">
        <v>1</v>
      </c>
      <c r="O95">
        <v>0</v>
      </c>
      <c r="P95">
        <v>1</v>
      </c>
      <c r="Q95">
        <v>1</v>
      </c>
      <c r="R95">
        <v>0</v>
      </c>
      <c r="S95">
        <v>1</v>
      </c>
      <c r="T95">
        <v>0</v>
      </c>
      <c r="U95" t="s">
        <v>5343</v>
      </c>
      <c r="V95">
        <f>Tabla1[[#This Row],[Aboard]]-Tabla1[[#This Row],[Fatalities]]</f>
        <v>0</v>
      </c>
      <c r="W95" s="50">
        <f>IFERROR(Tabla1[[#This Row],[Fatalities]]/Tabla1[[#This Row],[Aboard]],0)</f>
        <v>1</v>
      </c>
      <c r="X95" s="51" t="str" cm="1">
        <f t="array" ref="X95">_xlfn.IFS(Tabla1[[#This Row],[Porcentaje de muertes]]&lt;0.35,"LEVE",AND(Tabla1[[#This Row],[Porcentaje de muertes]]&gt;0.35,Tabla1[[#This Row],[Porcentaje de muertes]]&lt;0.65),"MEDIO",Tabla1[[#This Row],[Porcentaje de muertes]]&gt;0.65,"GRAVE")</f>
        <v>GRAVE</v>
      </c>
      <c r="AB95" t="s">
        <v>28537</v>
      </c>
      <c r="AC95" t="s">
        <v>28538</v>
      </c>
      <c r="AD95">
        <v>112500</v>
      </c>
      <c r="AE95">
        <v>101100</v>
      </c>
      <c r="AF95">
        <v>98000</v>
      </c>
      <c r="AG95">
        <v>43000</v>
      </c>
      <c r="AH95">
        <v>88800</v>
      </c>
      <c r="AI95">
        <v>113500</v>
      </c>
      <c r="AJ95">
        <v>119000</v>
      </c>
      <c r="AK95">
        <v>137800</v>
      </c>
      <c r="AL95">
        <v>136300</v>
      </c>
      <c r="AM95">
        <v>156300</v>
      </c>
      <c r="AN95">
        <v>118900</v>
      </c>
      <c r="AO95">
        <v>124400</v>
      </c>
      <c r="AP95">
        <v>114600</v>
      </c>
      <c r="AQ95">
        <v>99500</v>
      </c>
      <c r="AR95">
        <v>124000</v>
      </c>
      <c r="AS95">
        <v>108400</v>
      </c>
      <c r="AT95">
        <v>103100</v>
      </c>
      <c r="AU95">
        <v>114800</v>
      </c>
      <c r="AV95">
        <v>98900</v>
      </c>
      <c r="AW95">
        <v>110200</v>
      </c>
      <c r="AX95">
        <v>156000</v>
      </c>
      <c r="AY95">
        <v>165000</v>
      </c>
      <c r="AZ95">
        <v>230000</v>
      </c>
      <c r="BA95">
        <v>240000</v>
      </c>
      <c r="BB95">
        <v>252000</v>
      </c>
      <c r="BC95">
        <v>300000</v>
      </c>
      <c r="BD95">
        <v>300000</v>
      </c>
      <c r="BE95">
        <v>508400</v>
      </c>
      <c r="BF95">
        <v>506400</v>
      </c>
      <c r="BG95" t="s">
        <v>28966</v>
      </c>
      <c r="BH95" t="s">
        <v>28966</v>
      </c>
      <c r="BI95" t="s">
        <v>28966</v>
      </c>
      <c r="BJ95" t="s">
        <v>28966</v>
      </c>
      <c r="BK95" t="s">
        <v>28966</v>
      </c>
      <c r="BL95" t="s">
        <v>28966</v>
      </c>
      <c r="BM95" t="s">
        <v>28966</v>
      </c>
      <c r="BN95" t="s">
        <v>28966</v>
      </c>
      <c r="BO95" t="s">
        <v>28966</v>
      </c>
      <c r="BP95" t="s">
        <v>28966</v>
      </c>
      <c r="BQ95" t="s">
        <v>28966</v>
      </c>
      <c r="BR95">
        <v>313892</v>
      </c>
      <c r="BS95">
        <v>326146.20620000002</v>
      </c>
      <c r="BT95">
        <v>288013.9008</v>
      </c>
      <c r="BU95">
        <v>78264</v>
      </c>
      <c r="BV95">
        <v>69768</v>
      </c>
      <c r="BW95">
        <v>93129</v>
      </c>
      <c r="BX95">
        <v>111830</v>
      </c>
      <c r="BY95">
        <v>155524</v>
      </c>
      <c r="BZ95">
        <v>145795</v>
      </c>
      <c r="CA95">
        <v>107350</v>
      </c>
    </row>
    <row r="96" spans="2:79" x14ac:dyDescent="0.3">
      <c r="B96" s="9">
        <v>94</v>
      </c>
      <c r="C96" s="49">
        <v>8929</v>
      </c>
      <c r="D96" s="9">
        <f>YEAR(Tabla1[[#This Row],[Date]])</f>
        <v>1924</v>
      </c>
      <c r="E96" s="9" t="str" cm="1">
        <f t="array" ref="E96">IFERROR(_xlfn.IFS(AND(D96&lt;1980,D96&gt;=1970),"70",AND(D96&lt;1990,D96&gt;=1980),"80",AND(D96&lt;2000,D96&gt;=1990),"90",AND(D96&lt;2010,D96&gt;=2000),"00",AND(D96&lt;=2019,D96&gt;=2010),"10"),"1908-1970")</f>
        <v>1908-1970</v>
      </c>
      <c r="F96" s="3" t="s">
        <v>28931</v>
      </c>
      <c r="G96" t="s">
        <v>5344</v>
      </c>
      <c r="H96" t="s">
        <v>5262</v>
      </c>
      <c r="I96" t="s">
        <v>28931</v>
      </c>
      <c r="J96" t="s">
        <v>28931</v>
      </c>
      <c r="K96" t="s">
        <v>5167</v>
      </c>
      <c r="L96" s="7" t="s">
        <v>5345</v>
      </c>
      <c r="M96" t="s">
        <v>28931</v>
      </c>
      <c r="N96">
        <v>1</v>
      </c>
      <c r="O96">
        <v>0</v>
      </c>
      <c r="P96">
        <v>1</v>
      </c>
      <c r="Q96">
        <v>1</v>
      </c>
      <c r="R96">
        <v>0</v>
      </c>
      <c r="S96">
        <v>1</v>
      </c>
      <c r="T96">
        <v>0</v>
      </c>
      <c r="U96" t="s">
        <v>5346</v>
      </c>
      <c r="V96">
        <f>Tabla1[[#This Row],[Aboard]]-Tabla1[[#This Row],[Fatalities]]</f>
        <v>0</v>
      </c>
      <c r="W96" s="50">
        <f>IFERROR(Tabla1[[#This Row],[Fatalities]]/Tabla1[[#This Row],[Aboard]],0)</f>
        <v>1</v>
      </c>
      <c r="X96" s="51" t="str" cm="1">
        <f t="array" ref="X96">_xlfn.IFS(Tabla1[[#This Row],[Porcentaje de muertes]]&lt;0.35,"LEVE",AND(Tabla1[[#This Row],[Porcentaje de muertes]]&gt;0.35,Tabla1[[#This Row],[Porcentaje de muertes]]&lt;0.65),"MEDIO",Tabla1[[#This Row],[Porcentaje de muertes]]&gt;0.65,"GRAVE")</f>
        <v>GRAVE</v>
      </c>
      <c r="AB96" t="s">
        <v>28539</v>
      </c>
      <c r="AC96" t="s">
        <v>28540</v>
      </c>
      <c r="AD96" t="s">
        <v>28966</v>
      </c>
      <c r="AE96" t="s">
        <v>28966</v>
      </c>
      <c r="AF96" t="s">
        <v>28966</v>
      </c>
      <c r="AG96" t="s">
        <v>28966</v>
      </c>
      <c r="AH96" t="s">
        <v>28966</v>
      </c>
      <c r="AI96" t="s">
        <v>28966</v>
      </c>
      <c r="AJ96" t="s">
        <v>28966</v>
      </c>
      <c r="AK96" t="s">
        <v>28966</v>
      </c>
      <c r="AL96" t="s">
        <v>28966</v>
      </c>
      <c r="AM96" t="s">
        <v>28966</v>
      </c>
      <c r="AN96" t="s">
        <v>28966</v>
      </c>
      <c r="AO96" t="s">
        <v>28966</v>
      </c>
      <c r="AP96" t="s">
        <v>28966</v>
      </c>
      <c r="AQ96" t="s">
        <v>28966</v>
      </c>
      <c r="AR96" t="s">
        <v>28966</v>
      </c>
      <c r="AS96" t="s">
        <v>28966</v>
      </c>
      <c r="AT96" t="s">
        <v>28966</v>
      </c>
      <c r="AU96" t="s">
        <v>28966</v>
      </c>
      <c r="AV96" t="s">
        <v>28966</v>
      </c>
      <c r="AW96" t="s">
        <v>28966</v>
      </c>
      <c r="AX96" t="s">
        <v>28966</v>
      </c>
      <c r="AY96" t="s">
        <v>28966</v>
      </c>
      <c r="AZ96" t="s">
        <v>28966</v>
      </c>
      <c r="BA96" t="s">
        <v>28966</v>
      </c>
      <c r="BB96" t="s">
        <v>28966</v>
      </c>
      <c r="BC96" t="s">
        <v>28966</v>
      </c>
      <c r="BD96" t="s">
        <v>28966</v>
      </c>
      <c r="BE96" t="s">
        <v>28966</v>
      </c>
      <c r="BF96" t="s">
        <v>28966</v>
      </c>
      <c r="BG96" t="s">
        <v>28966</v>
      </c>
      <c r="BH96" t="s">
        <v>28966</v>
      </c>
      <c r="BI96" t="s">
        <v>28966</v>
      </c>
      <c r="BJ96" t="s">
        <v>28966</v>
      </c>
      <c r="BK96" t="s">
        <v>28966</v>
      </c>
      <c r="BL96" t="s">
        <v>28966</v>
      </c>
      <c r="BM96" t="s">
        <v>28966</v>
      </c>
      <c r="BN96" t="s">
        <v>28966</v>
      </c>
      <c r="BO96" t="s">
        <v>28966</v>
      </c>
      <c r="BP96">
        <v>1255510</v>
      </c>
      <c r="BQ96">
        <v>1172372</v>
      </c>
      <c r="BR96" t="s">
        <v>28966</v>
      </c>
      <c r="BS96" t="s">
        <v>28966</v>
      </c>
      <c r="BT96" t="s">
        <v>28966</v>
      </c>
      <c r="BU96" t="s">
        <v>28966</v>
      </c>
      <c r="BV96" t="s">
        <v>28966</v>
      </c>
      <c r="BW96" t="s">
        <v>28966</v>
      </c>
      <c r="BX96" t="s">
        <v>28966</v>
      </c>
      <c r="BY96" t="s">
        <v>28966</v>
      </c>
      <c r="BZ96" t="s">
        <v>28966</v>
      </c>
      <c r="CA96" t="s">
        <v>28966</v>
      </c>
    </row>
    <row r="97" spans="2:79" x14ac:dyDescent="0.3">
      <c r="B97" s="9">
        <v>95</v>
      </c>
      <c r="C97" s="49">
        <v>9122</v>
      </c>
      <c r="D97" s="9">
        <f>YEAR(Tabla1[[#This Row],[Date]])</f>
        <v>1924</v>
      </c>
      <c r="E97" s="9" t="str" cm="1">
        <f t="array" ref="E97">IFERROR(_xlfn.IFS(AND(D97&lt;1980,D97&gt;=1970),"70",AND(D97&lt;1990,D97&gt;=1980),"80",AND(D97&lt;2000,D97&gt;=1990),"90",AND(D97&lt;2010,D97&gt;=2000),"00",AND(D97&lt;=2019,D97&gt;=2010),"10"),"1908-1970")</f>
        <v>1908-1970</v>
      </c>
      <c r="F97" s="3" t="s">
        <v>28931</v>
      </c>
      <c r="G97" t="s">
        <v>5347</v>
      </c>
      <c r="H97" t="s">
        <v>5096</v>
      </c>
      <c r="I97" t="s">
        <v>28931</v>
      </c>
      <c r="J97" t="s">
        <v>28931</v>
      </c>
      <c r="K97" t="s">
        <v>5097</v>
      </c>
      <c r="L97" s="7">
        <v>311</v>
      </c>
      <c r="M97" t="s">
        <v>28931</v>
      </c>
      <c r="N97">
        <v>1</v>
      </c>
      <c r="O97">
        <v>0</v>
      </c>
      <c r="P97">
        <v>1</v>
      </c>
      <c r="Q97">
        <v>1</v>
      </c>
      <c r="R97">
        <v>0</v>
      </c>
      <c r="S97">
        <v>1</v>
      </c>
      <c r="T97">
        <v>0</v>
      </c>
      <c r="U97" t="s">
        <v>5348</v>
      </c>
      <c r="V97">
        <f>Tabla1[[#This Row],[Aboard]]-Tabla1[[#This Row],[Fatalities]]</f>
        <v>0</v>
      </c>
      <c r="W97" s="50">
        <f>IFERROR(Tabla1[[#This Row],[Fatalities]]/Tabla1[[#This Row],[Aboard]],0)</f>
        <v>1</v>
      </c>
      <c r="X97" s="51" t="str" cm="1">
        <f t="array" ref="X97">_xlfn.IFS(Tabla1[[#This Row],[Porcentaje de muertes]]&lt;0.35,"LEVE",AND(Tabla1[[#This Row],[Porcentaje de muertes]]&gt;0.35,Tabla1[[#This Row],[Porcentaje de muertes]]&lt;0.65),"MEDIO",Tabla1[[#This Row],[Porcentaje de muertes]]&gt;0.65,"GRAVE")</f>
        <v>GRAVE</v>
      </c>
      <c r="AB97" t="s">
        <v>28541</v>
      </c>
      <c r="AC97" t="s">
        <v>28542</v>
      </c>
      <c r="AD97">
        <v>17800</v>
      </c>
      <c r="AE97">
        <v>18700</v>
      </c>
      <c r="AF97">
        <v>19000</v>
      </c>
      <c r="AG97">
        <v>20000</v>
      </c>
      <c r="AH97">
        <v>22000</v>
      </c>
      <c r="AI97">
        <v>24000</v>
      </c>
      <c r="AJ97">
        <v>26000</v>
      </c>
      <c r="AK97">
        <v>27000</v>
      </c>
      <c r="AL97">
        <v>27000</v>
      </c>
      <c r="AM97">
        <v>27500</v>
      </c>
      <c r="AN97">
        <v>27500</v>
      </c>
      <c r="AO97">
        <v>81500</v>
      </c>
      <c r="AP97">
        <v>93000</v>
      </c>
      <c r="AQ97">
        <v>93000</v>
      </c>
      <c r="AR97">
        <v>100000</v>
      </c>
      <c r="AS97">
        <v>104000</v>
      </c>
      <c r="AT97">
        <v>122500</v>
      </c>
      <c r="AU97">
        <v>128500</v>
      </c>
      <c r="AV97">
        <v>135200</v>
      </c>
      <c r="AW97">
        <v>143000</v>
      </c>
      <c r="AX97">
        <v>145700</v>
      </c>
      <c r="AY97">
        <v>111900</v>
      </c>
      <c r="AZ97">
        <v>115300</v>
      </c>
      <c r="BA97">
        <v>115300</v>
      </c>
      <c r="BB97">
        <v>115300</v>
      </c>
      <c r="BC97">
        <v>121100</v>
      </c>
      <c r="BD97">
        <v>126000</v>
      </c>
      <c r="BE97">
        <v>126000</v>
      </c>
      <c r="BF97">
        <v>125500</v>
      </c>
      <c r="BG97">
        <v>70400</v>
      </c>
      <c r="BH97">
        <v>73256</v>
      </c>
      <c r="BI97">
        <v>47800</v>
      </c>
      <c r="BJ97" t="s">
        <v>28966</v>
      </c>
      <c r="BK97" t="s">
        <v>28966</v>
      </c>
      <c r="BL97" t="s">
        <v>28966</v>
      </c>
      <c r="BM97" t="s">
        <v>28966</v>
      </c>
      <c r="BN97" t="s">
        <v>28966</v>
      </c>
      <c r="BO97" t="s">
        <v>28966</v>
      </c>
      <c r="BP97" t="s">
        <v>28966</v>
      </c>
      <c r="BQ97" t="s">
        <v>28966</v>
      </c>
      <c r="BR97">
        <v>273160</v>
      </c>
      <c r="BS97">
        <v>340267.62319999997</v>
      </c>
      <c r="BT97">
        <v>247780.34770000001</v>
      </c>
      <c r="BU97">
        <v>0</v>
      </c>
      <c r="BV97">
        <v>0</v>
      </c>
      <c r="BW97" t="s">
        <v>28966</v>
      </c>
      <c r="BX97" t="s">
        <v>28966</v>
      </c>
      <c r="BY97" t="s">
        <v>28966</v>
      </c>
      <c r="BZ97">
        <v>26069</v>
      </c>
      <c r="CA97">
        <v>28697</v>
      </c>
    </row>
    <row r="98" spans="2:79" x14ac:dyDescent="0.3">
      <c r="B98" s="9">
        <v>96</v>
      </c>
      <c r="C98" s="49">
        <v>9125</v>
      </c>
      <c r="D98" s="9">
        <f>YEAR(Tabla1[[#This Row],[Date]])</f>
        <v>1924</v>
      </c>
      <c r="E98" s="9" t="str" cm="1">
        <f t="array" ref="E98">IFERROR(_xlfn.IFS(AND(D98&lt;1980,D98&gt;=1970),"70",AND(D98&lt;1990,D98&gt;=1980),"80",AND(D98&lt;2000,D98&gt;=1990),"90",AND(D98&lt;2010,D98&gt;=2000),"00",AND(D98&lt;=2019,D98&gt;=2010),"10"),"1908-1970")</f>
        <v>1908-1970</v>
      </c>
      <c r="F98" s="3">
        <v>0.5</v>
      </c>
      <c r="G98" t="s">
        <v>5349</v>
      </c>
      <c r="H98" t="s">
        <v>5350</v>
      </c>
      <c r="I98" t="s">
        <v>28931</v>
      </c>
      <c r="J98" t="s">
        <v>5176</v>
      </c>
      <c r="K98" t="s">
        <v>5351</v>
      </c>
      <c r="L98" s="7" t="s">
        <v>5352</v>
      </c>
      <c r="M98">
        <v>36</v>
      </c>
      <c r="N98">
        <v>8</v>
      </c>
      <c r="O98">
        <v>7</v>
      </c>
      <c r="P98">
        <v>1</v>
      </c>
      <c r="Q98">
        <v>8</v>
      </c>
      <c r="R98">
        <v>7</v>
      </c>
      <c r="S98">
        <v>1</v>
      </c>
      <c r="T98">
        <v>0</v>
      </c>
      <c r="U98" t="s">
        <v>5353</v>
      </c>
      <c r="V98">
        <f>Tabla1[[#This Row],[Aboard]]-Tabla1[[#This Row],[Fatalities]]</f>
        <v>0</v>
      </c>
      <c r="W98" s="50">
        <f>IFERROR(Tabla1[[#This Row],[Fatalities]]/Tabla1[[#This Row],[Aboard]],0)</f>
        <v>1</v>
      </c>
      <c r="X98" s="51" t="str" cm="1">
        <f t="array" ref="X98">_xlfn.IFS(Tabla1[[#This Row],[Porcentaje de muertes]]&lt;0.35,"LEVE",AND(Tabla1[[#This Row],[Porcentaje de muertes]]&gt;0.35,Tabla1[[#This Row],[Porcentaje de muertes]]&lt;0.65),"MEDIO",Tabla1[[#This Row],[Porcentaje de muertes]]&gt;0.65,"GRAVE")</f>
        <v>GRAVE</v>
      </c>
      <c r="AB98" t="s">
        <v>28543</v>
      </c>
      <c r="AC98" t="s">
        <v>28544</v>
      </c>
      <c r="AD98">
        <v>271999292</v>
      </c>
      <c r="AE98">
        <v>291581204</v>
      </c>
      <c r="AF98">
        <v>321224208</v>
      </c>
      <c r="AG98">
        <v>350404700</v>
      </c>
      <c r="AH98">
        <v>363051100</v>
      </c>
      <c r="AI98">
        <v>365863000</v>
      </c>
      <c r="AJ98">
        <v>395931096</v>
      </c>
      <c r="AK98">
        <v>430031892</v>
      </c>
      <c r="AL98">
        <v>483598204</v>
      </c>
      <c r="AM98">
        <v>544782200</v>
      </c>
      <c r="AN98">
        <v>531308388</v>
      </c>
      <c r="AO98">
        <v>524014200</v>
      </c>
      <c r="AP98">
        <v>533203708</v>
      </c>
      <c r="AQ98">
        <v>560080796</v>
      </c>
      <c r="AR98">
        <v>600450088</v>
      </c>
      <c r="AS98">
        <v>645265604</v>
      </c>
      <c r="AT98">
        <v>695992796</v>
      </c>
      <c r="AU98">
        <v>748878304</v>
      </c>
      <c r="AV98">
        <v>787572012</v>
      </c>
      <c r="AW98">
        <v>815005900</v>
      </c>
      <c r="AX98">
        <v>850382016</v>
      </c>
      <c r="AY98">
        <v>831073304</v>
      </c>
      <c r="AZ98">
        <v>878777892</v>
      </c>
      <c r="BA98">
        <v>899281716</v>
      </c>
      <c r="BB98">
        <v>976116504</v>
      </c>
      <c r="BC98">
        <v>1028741040</v>
      </c>
      <c r="BD98">
        <v>1108689204</v>
      </c>
      <c r="BE98">
        <v>1163688292</v>
      </c>
      <c r="BF98">
        <v>1178541980</v>
      </c>
      <c r="BG98">
        <v>1268745700</v>
      </c>
      <c r="BH98">
        <v>1361424743</v>
      </c>
      <c r="BI98">
        <v>1313774006</v>
      </c>
      <c r="BJ98">
        <v>1284682645</v>
      </c>
      <c r="BK98">
        <v>1311380520</v>
      </c>
      <c r="BL98">
        <v>1456687072</v>
      </c>
      <c r="BM98">
        <v>1500215352</v>
      </c>
      <c r="BN98">
        <v>1552509961</v>
      </c>
      <c r="BO98">
        <v>1624610874</v>
      </c>
      <c r="BP98">
        <v>1593438381</v>
      </c>
      <c r="BQ98">
        <v>1582075701</v>
      </c>
      <c r="BR98">
        <v>1753389085</v>
      </c>
      <c r="BS98">
        <v>1809227213</v>
      </c>
      <c r="BT98">
        <v>1836103248</v>
      </c>
      <c r="BU98">
        <v>1896809765</v>
      </c>
      <c r="BV98">
        <v>1974848635</v>
      </c>
      <c r="BW98">
        <v>2094107437</v>
      </c>
      <c r="BX98">
        <v>2214133910</v>
      </c>
      <c r="BY98">
        <v>2322860993</v>
      </c>
      <c r="BZ98">
        <v>2436150683</v>
      </c>
      <c r="CA98">
        <v>2524656719</v>
      </c>
    </row>
    <row r="99" spans="2:79" x14ac:dyDescent="0.3">
      <c r="B99" s="9">
        <v>97</v>
      </c>
      <c r="C99" s="49">
        <v>9213</v>
      </c>
      <c r="D99" s="9">
        <f>YEAR(Tabla1[[#This Row],[Date]])</f>
        <v>1925</v>
      </c>
      <c r="E99" s="9" t="str" cm="1">
        <f t="array" ref="E99">IFERROR(_xlfn.IFS(AND(D99&lt;1980,D99&gt;=1970),"70",AND(D99&lt;1990,D99&gt;=1980),"80",AND(D99&lt;2000,D99&gt;=1990),"90",AND(D99&lt;2010,D99&gt;=2000),"00",AND(D99&lt;=2019,D99&gt;=2010),"10"),"1908-1970")</f>
        <v>1908-1970</v>
      </c>
      <c r="F99" s="3" t="s">
        <v>28931</v>
      </c>
      <c r="G99" t="s">
        <v>5354</v>
      </c>
      <c r="H99" t="s">
        <v>5355</v>
      </c>
      <c r="I99" t="s">
        <v>28931</v>
      </c>
      <c r="J99" t="s">
        <v>5356</v>
      </c>
      <c r="K99" t="s">
        <v>5157</v>
      </c>
      <c r="L99" s="7" t="s">
        <v>5357</v>
      </c>
      <c r="M99">
        <v>590</v>
      </c>
      <c r="N99">
        <v>5</v>
      </c>
      <c r="O99">
        <v>3</v>
      </c>
      <c r="P99">
        <v>2</v>
      </c>
      <c r="Q99">
        <v>5</v>
      </c>
      <c r="R99">
        <v>3</v>
      </c>
      <c r="S99">
        <v>2</v>
      </c>
      <c r="T99">
        <v>0</v>
      </c>
      <c r="U99" t="s">
        <v>5358</v>
      </c>
      <c r="V99">
        <f>Tabla1[[#This Row],[Aboard]]-Tabla1[[#This Row],[Fatalities]]</f>
        <v>0</v>
      </c>
      <c r="W99" s="50">
        <f>IFERROR(Tabla1[[#This Row],[Fatalities]]/Tabla1[[#This Row],[Aboard]],0)</f>
        <v>1</v>
      </c>
      <c r="X99" s="51" t="str" cm="1">
        <f t="array" ref="X99">_xlfn.IFS(Tabla1[[#This Row],[Porcentaje de muertes]]&lt;0.35,"LEVE",AND(Tabla1[[#This Row],[Porcentaje de muertes]]&gt;0.35,Tabla1[[#This Row],[Porcentaje de muertes]]&lt;0.65),"MEDIO",Tabla1[[#This Row],[Porcentaje de muertes]]&gt;0.65,"GRAVE")</f>
        <v>GRAVE</v>
      </c>
      <c r="AB99" t="s">
        <v>28545</v>
      </c>
      <c r="AC99" t="s">
        <v>28546</v>
      </c>
      <c r="AD99" t="s">
        <v>28966</v>
      </c>
      <c r="AE99" t="s">
        <v>28966</v>
      </c>
      <c r="AF99" t="s">
        <v>28966</v>
      </c>
      <c r="AG99" t="s">
        <v>28966</v>
      </c>
      <c r="AH99" t="s">
        <v>28966</v>
      </c>
      <c r="AI99" t="s">
        <v>28966</v>
      </c>
      <c r="AJ99" t="s">
        <v>28966</v>
      </c>
      <c r="AK99" t="s">
        <v>28966</v>
      </c>
      <c r="AL99" t="s">
        <v>28966</v>
      </c>
      <c r="AM99" t="s">
        <v>28966</v>
      </c>
      <c r="AN99" t="s">
        <v>28966</v>
      </c>
      <c r="AO99" t="s">
        <v>28966</v>
      </c>
      <c r="AP99" t="s">
        <v>28966</v>
      </c>
      <c r="AQ99" t="s">
        <v>28966</v>
      </c>
      <c r="AR99" t="s">
        <v>28966</v>
      </c>
      <c r="AS99" t="s">
        <v>28966</v>
      </c>
      <c r="AT99" t="s">
        <v>28966</v>
      </c>
      <c r="AU99" t="s">
        <v>28966</v>
      </c>
      <c r="AV99" t="s">
        <v>28966</v>
      </c>
      <c r="AW99" t="s">
        <v>28966</v>
      </c>
      <c r="AX99" t="s">
        <v>28966</v>
      </c>
      <c r="AY99" t="s">
        <v>28966</v>
      </c>
      <c r="AZ99" t="s">
        <v>28966</v>
      </c>
      <c r="BA99" t="s">
        <v>28966</v>
      </c>
      <c r="BB99" t="s">
        <v>28966</v>
      </c>
      <c r="BC99" t="s">
        <v>28966</v>
      </c>
      <c r="BD99" t="s">
        <v>28966</v>
      </c>
      <c r="BE99">
        <v>5957200</v>
      </c>
      <c r="BF99">
        <v>12254000</v>
      </c>
      <c r="BG99">
        <v>12592600</v>
      </c>
      <c r="BH99">
        <v>14377973</v>
      </c>
      <c r="BI99">
        <v>14064286</v>
      </c>
      <c r="BJ99">
        <v>15636216</v>
      </c>
      <c r="BK99">
        <v>13024791</v>
      </c>
      <c r="BL99">
        <v>17892816</v>
      </c>
      <c r="BM99">
        <v>20229512</v>
      </c>
      <c r="BN99">
        <v>21796158</v>
      </c>
      <c r="BO99">
        <v>24133664</v>
      </c>
      <c r="BP99">
        <v>25401266</v>
      </c>
      <c r="BQ99">
        <v>23973030</v>
      </c>
      <c r="BR99">
        <v>28347688</v>
      </c>
      <c r="BS99">
        <v>30293677</v>
      </c>
      <c r="BT99">
        <v>32247332.079999998</v>
      </c>
      <c r="BU99">
        <v>34644497</v>
      </c>
      <c r="BV99">
        <v>37933773</v>
      </c>
      <c r="BW99">
        <v>41867157</v>
      </c>
      <c r="BX99">
        <v>43683583</v>
      </c>
      <c r="BY99">
        <v>45580297</v>
      </c>
      <c r="BZ99">
        <v>47101822</v>
      </c>
      <c r="CA99">
        <v>46469864</v>
      </c>
    </row>
    <row r="100" spans="2:79" x14ac:dyDescent="0.3">
      <c r="B100" s="9">
        <v>98</v>
      </c>
      <c r="C100" s="49">
        <v>9247</v>
      </c>
      <c r="D100" s="9">
        <f>YEAR(Tabla1[[#This Row],[Date]])</f>
        <v>1925</v>
      </c>
      <c r="E100" s="9" t="str" cm="1">
        <f t="array" ref="E100">IFERROR(_xlfn.IFS(AND(D100&lt;1980,D100&gt;=1970),"70",AND(D100&lt;1990,D100&gt;=1980),"80",AND(D100&lt;2000,D100&gt;=1990),"90",AND(D100&lt;2010,D100&gt;=2000),"00",AND(D100&lt;=2019,D100&gt;=2010),"10"),"1908-1970")</f>
        <v>1908-1970</v>
      </c>
      <c r="F100" s="3" t="s">
        <v>28931</v>
      </c>
      <c r="G100" t="s">
        <v>5359</v>
      </c>
      <c r="H100" t="s">
        <v>5262</v>
      </c>
      <c r="I100" t="s">
        <v>28931</v>
      </c>
      <c r="J100" t="s">
        <v>5360</v>
      </c>
      <c r="K100" t="s">
        <v>5167</v>
      </c>
      <c r="L100" s="7" t="s">
        <v>5361</v>
      </c>
      <c r="M100">
        <v>202</v>
      </c>
      <c r="N100">
        <v>3</v>
      </c>
      <c r="O100">
        <v>1</v>
      </c>
      <c r="P100">
        <v>2</v>
      </c>
      <c r="Q100">
        <v>3</v>
      </c>
      <c r="R100">
        <v>1</v>
      </c>
      <c r="S100">
        <v>2</v>
      </c>
      <c r="T100">
        <v>0</v>
      </c>
      <c r="U100" t="s">
        <v>5362</v>
      </c>
      <c r="V100">
        <f>Tabla1[[#This Row],[Aboard]]-Tabla1[[#This Row],[Fatalities]]</f>
        <v>0</v>
      </c>
      <c r="W100" s="50">
        <f>IFERROR(Tabla1[[#This Row],[Fatalities]]/Tabla1[[#This Row],[Aboard]],0)</f>
        <v>1</v>
      </c>
      <c r="X100" s="51" t="str" cm="1">
        <f t="array" ref="X100">_xlfn.IFS(Tabla1[[#This Row],[Porcentaje de muertes]]&lt;0.35,"LEVE",AND(Tabla1[[#This Row],[Porcentaje de muertes]]&gt;0.35,Tabla1[[#This Row],[Porcentaje de muertes]]&lt;0.65),"MEDIO",Tabla1[[#This Row],[Porcentaje de muertes]]&gt;0.65,"GRAVE")</f>
        <v>GRAVE</v>
      </c>
      <c r="AB100" t="s">
        <v>28547</v>
      </c>
      <c r="AC100" t="s">
        <v>28548</v>
      </c>
      <c r="AD100">
        <v>295600</v>
      </c>
      <c r="AE100">
        <v>269900</v>
      </c>
      <c r="AF100">
        <v>240600</v>
      </c>
      <c r="AG100">
        <v>280400</v>
      </c>
      <c r="AH100">
        <v>315800</v>
      </c>
      <c r="AI100">
        <v>298600</v>
      </c>
      <c r="AJ100">
        <v>288700</v>
      </c>
      <c r="AK100">
        <v>324400</v>
      </c>
      <c r="AL100">
        <v>359800</v>
      </c>
      <c r="AM100">
        <v>414200</v>
      </c>
      <c r="AN100">
        <v>507800</v>
      </c>
      <c r="AO100">
        <v>410600</v>
      </c>
      <c r="AP100">
        <v>377000</v>
      </c>
      <c r="AQ100">
        <v>435900</v>
      </c>
      <c r="AR100">
        <v>439500</v>
      </c>
      <c r="AS100">
        <v>451000</v>
      </c>
      <c r="AT100">
        <v>319600</v>
      </c>
      <c r="AU100">
        <v>425500</v>
      </c>
      <c r="AV100">
        <v>482300</v>
      </c>
      <c r="AW100">
        <v>573900</v>
      </c>
      <c r="AX100">
        <v>609700</v>
      </c>
      <c r="AY100">
        <v>447300</v>
      </c>
      <c r="AZ100">
        <v>437500</v>
      </c>
      <c r="BA100">
        <v>602200</v>
      </c>
      <c r="BB100" t="s">
        <v>28966</v>
      </c>
      <c r="BC100" t="s">
        <v>28966</v>
      </c>
      <c r="BD100" t="s">
        <v>28966</v>
      </c>
      <c r="BE100" t="s">
        <v>28966</v>
      </c>
      <c r="BF100" t="s">
        <v>28966</v>
      </c>
      <c r="BG100" t="s">
        <v>28966</v>
      </c>
      <c r="BH100" t="s">
        <v>28966</v>
      </c>
      <c r="BI100" t="s">
        <v>28966</v>
      </c>
      <c r="BJ100" t="s">
        <v>28966</v>
      </c>
      <c r="BK100" t="s">
        <v>28966</v>
      </c>
      <c r="BL100" t="s">
        <v>28966</v>
      </c>
      <c r="BM100" t="s">
        <v>28966</v>
      </c>
      <c r="BN100" t="s">
        <v>28966</v>
      </c>
      <c r="BO100" t="s">
        <v>28966</v>
      </c>
      <c r="BP100" t="s">
        <v>28966</v>
      </c>
      <c r="BQ100" t="s">
        <v>28966</v>
      </c>
      <c r="BR100">
        <v>501520</v>
      </c>
      <c r="BS100">
        <v>423655.32559999998</v>
      </c>
      <c r="BT100">
        <v>422016.88760000002</v>
      </c>
      <c r="BU100">
        <v>372972</v>
      </c>
      <c r="BV100">
        <v>239124</v>
      </c>
      <c r="BW100">
        <v>276689</v>
      </c>
      <c r="BX100">
        <v>275587</v>
      </c>
      <c r="BY100">
        <v>248964</v>
      </c>
      <c r="BZ100">
        <v>411989</v>
      </c>
      <c r="CA100">
        <v>245079.13099999999</v>
      </c>
    </row>
    <row r="101" spans="2:79" x14ac:dyDescent="0.3">
      <c r="B101" s="9">
        <v>99</v>
      </c>
      <c r="C101" s="49">
        <v>9308</v>
      </c>
      <c r="D101" s="9">
        <f>YEAR(Tabla1[[#This Row],[Date]])</f>
        <v>1925</v>
      </c>
      <c r="E101" s="9" t="str" cm="1">
        <f t="array" ref="E101">IFERROR(_xlfn.IFS(AND(D101&lt;1980,D101&gt;=1970),"70",AND(D101&lt;1990,D101&gt;=1980),"80",AND(D101&lt;2000,D101&gt;=1990),"90",AND(D101&lt;2010,D101&gt;=2000),"00",AND(D101&lt;=2019,D101&gt;=2010),"10"),"1908-1970")</f>
        <v>1908-1970</v>
      </c>
      <c r="F101" s="3" t="s">
        <v>28931</v>
      </c>
      <c r="G101" t="s">
        <v>5363</v>
      </c>
      <c r="H101" t="s">
        <v>5332</v>
      </c>
      <c r="I101" t="s">
        <v>28931</v>
      </c>
      <c r="J101" t="s">
        <v>5364</v>
      </c>
      <c r="K101" t="s">
        <v>5606</v>
      </c>
      <c r="L101" s="7" t="s">
        <v>5365</v>
      </c>
      <c r="M101">
        <v>1502</v>
      </c>
      <c r="N101">
        <v>4</v>
      </c>
      <c r="O101">
        <v>3</v>
      </c>
      <c r="P101">
        <v>1</v>
      </c>
      <c r="Q101">
        <v>4</v>
      </c>
      <c r="R101">
        <v>3</v>
      </c>
      <c r="S101">
        <v>1</v>
      </c>
      <c r="T101">
        <v>0</v>
      </c>
      <c r="U101" t="s">
        <v>5366</v>
      </c>
      <c r="V101">
        <f>Tabla1[[#This Row],[Aboard]]-Tabla1[[#This Row],[Fatalities]]</f>
        <v>0</v>
      </c>
      <c r="W101" s="50">
        <f>IFERROR(Tabla1[[#This Row],[Fatalities]]/Tabla1[[#This Row],[Aboard]],0)</f>
        <v>1</v>
      </c>
      <c r="X101" s="51" t="str" cm="1">
        <f t="array" ref="X101">_xlfn.IFS(Tabla1[[#This Row],[Porcentaje de muertes]]&lt;0.35,"LEVE",AND(Tabla1[[#This Row],[Porcentaje de muertes]]&gt;0.35,Tabla1[[#This Row],[Porcentaje de muertes]]&lt;0.65),"MEDIO",Tabla1[[#This Row],[Porcentaje de muertes]]&gt;0.65,"GRAVE")</f>
        <v>GRAVE</v>
      </c>
      <c r="AB101" t="s">
        <v>28549</v>
      </c>
      <c r="AC101" t="s">
        <v>28550</v>
      </c>
      <c r="AD101">
        <v>3070800</v>
      </c>
      <c r="AE101">
        <v>3354500</v>
      </c>
      <c r="AF101">
        <v>3415000</v>
      </c>
      <c r="AG101">
        <v>3636500</v>
      </c>
      <c r="AH101">
        <v>4026800</v>
      </c>
      <c r="AI101">
        <v>4387200</v>
      </c>
      <c r="AJ101">
        <v>5101500</v>
      </c>
      <c r="AK101">
        <v>5193400</v>
      </c>
      <c r="AL101">
        <v>5664300</v>
      </c>
      <c r="AM101">
        <v>6468300</v>
      </c>
      <c r="AN101">
        <v>6969100</v>
      </c>
      <c r="AO101">
        <v>7255200</v>
      </c>
      <c r="AP101">
        <v>7394400</v>
      </c>
      <c r="AQ101">
        <v>7618200</v>
      </c>
      <c r="AR101">
        <v>7991800</v>
      </c>
      <c r="AS101">
        <v>7460400</v>
      </c>
      <c r="AT101">
        <v>7178000</v>
      </c>
      <c r="AU101">
        <v>7293000</v>
      </c>
      <c r="AV101">
        <v>7551600</v>
      </c>
      <c r="AW101">
        <v>7301700</v>
      </c>
      <c r="AX101">
        <v>7434000</v>
      </c>
      <c r="AY101">
        <v>6618700</v>
      </c>
      <c r="AZ101">
        <v>6719700</v>
      </c>
      <c r="BA101">
        <v>6433300</v>
      </c>
      <c r="BB101">
        <v>6139600</v>
      </c>
      <c r="BC101">
        <v>6114500</v>
      </c>
      <c r="BD101">
        <v>6751600</v>
      </c>
      <c r="BE101">
        <v>6925200</v>
      </c>
      <c r="BF101">
        <v>6968200</v>
      </c>
      <c r="BG101">
        <v>6849500</v>
      </c>
      <c r="BH101">
        <v>6492929</v>
      </c>
      <c r="BI101">
        <v>5967306</v>
      </c>
      <c r="BJ101" t="s">
        <v>28966</v>
      </c>
      <c r="BK101" t="s">
        <v>28966</v>
      </c>
      <c r="BL101" t="s">
        <v>28966</v>
      </c>
      <c r="BM101" t="s">
        <v>28966</v>
      </c>
      <c r="BN101" t="s">
        <v>28966</v>
      </c>
      <c r="BO101" t="s">
        <v>28966</v>
      </c>
      <c r="BP101" t="s">
        <v>28966</v>
      </c>
      <c r="BQ101" t="s">
        <v>28966</v>
      </c>
      <c r="BR101">
        <v>14165092.23</v>
      </c>
      <c r="BS101">
        <v>17296028.460000001</v>
      </c>
      <c r="BT101">
        <v>18073364.030000001</v>
      </c>
      <c r="BU101">
        <v>18079383.82</v>
      </c>
      <c r="BV101">
        <v>19361000.32</v>
      </c>
      <c r="BW101">
        <v>20661772</v>
      </c>
      <c r="BX101">
        <v>20915140</v>
      </c>
      <c r="BY101">
        <v>23844385.43</v>
      </c>
      <c r="BZ101">
        <v>26411525.91</v>
      </c>
      <c r="CA101">
        <v>27243663.84</v>
      </c>
    </row>
    <row r="102" spans="2:79" x14ac:dyDescent="0.3">
      <c r="B102" s="9">
        <v>100</v>
      </c>
      <c r="C102" s="49">
        <v>9309</v>
      </c>
      <c r="D102" s="9">
        <f>YEAR(Tabla1[[#This Row],[Date]])</f>
        <v>1925</v>
      </c>
      <c r="E102" s="9" t="str" cm="1">
        <f t="array" ref="E102">IFERROR(_xlfn.IFS(AND(D102&lt;1980,D102&gt;=1970),"70",AND(D102&lt;1990,D102&gt;=1980),"80",AND(D102&lt;2000,D102&gt;=1990),"90",AND(D102&lt;2010,D102&gt;=2000),"00",AND(D102&lt;=2019,D102&gt;=2010),"10"),"1908-1970")</f>
        <v>1908-1970</v>
      </c>
      <c r="F102" s="3" t="s">
        <v>28931</v>
      </c>
      <c r="G102" t="s">
        <v>5359</v>
      </c>
      <c r="H102" t="s">
        <v>5262</v>
      </c>
      <c r="I102" t="s">
        <v>28931</v>
      </c>
      <c r="J102" t="s">
        <v>5367</v>
      </c>
      <c r="K102" t="s">
        <v>5368</v>
      </c>
      <c r="L102" s="7" t="s">
        <v>5369</v>
      </c>
      <c r="M102" t="s">
        <v>28931</v>
      </c>
      <c r="N102">
        <v>2</v>
      </c>
      <c r="O102">
        <v>0</v>
      </c>
      <c r="P102">
        <v>2</v>
      </c>
      <c r="Q102">
        <v>2</v>
      </c>
      <c r="R102">
        <v>0</v>
      </c>
      <c r="S102">
        <v>2</v>
      </c>
      <c r="T102">
        <v>0</v>
      </c>
      <c r="U102" t="s">
        <v>5370</v>
      </c>
      <c r="V102">
        <f>Tabla1[[#This Row],[Aboard]]-Tabla1[[#This Row],[Fatalities]]</f>
        <v>0</v>
      </c>
      <c r="W102" s="50">
        <f>IFERROR(Tabla1[[#This Row],[Fatalities]]/Tabla1[[#This Row],[Aboard]],0)</f>
        <v>1</v>
      </c>
      <c r="X102" s="51" t="str" cm="1">
        <f t="array" ref="X102">_xlfn.IFS(Tabla1[[#This Row],[Porcentaje de muertes]]&lt;0.35,"LEVE",AND(Tabla1[[#This Row],[Porcentaje de muertes]]&gt;0.35,Tabla1[[#This Row],[Porcentaje de muertes]]&lt;0.65),"MEDIO",Tabla1[[#This Row],[Porcentaje de muertes]]&gt;0.65,"GRAVE")</f>
        <v>GRAVE</v>
      </c>
      <c r="AB102" t="s">
        <v>28551</v>
      </c>
      <c r="AC102" t="s">
        <v>28552</v>
      </c>
      <c r="AD102" t="s">
        <v>28966</v>
      </c>
      <c r="AE102" t="s">
        <v>28966</v>
      </c>
      <c r="AF102" t="s">
        <v>28966</v>
      </c>
      <c r="AG102" t="s">
        <v>28966</v>
      </c>
      <c r="AH102" t="s">
        <v>28966</v>
      </c>
      <c r="AI102" t="s">
        <v>28966</v>
      </c>
      <c r="AJ102" t="s">
        <v>28966</v>
      </c>
      <c r="AK102" t="s">
        <v>28966</v>
      </c>
      <c r="AL102" t="s">
        <v>28966</v>
      </c>
      <c r="AM102" t="s">
        <v>28966</v>
      </c>
      <c r="AN102" t="s">
        <v>28966</v>
      </c>
      <c r="AO102" t="s">
        <v>28966</v>
      </c>
      <c r="AP102" t="s">
        <v>28966</v>
      </c>
      <c r="AQ102" t="s">
        <v>28966</v>
      </c>
      <c r="AR102" t="s">
        <v>28966</v>
      </c>
      <c r="AS102" t="s">
        <v>28966</v>
      </c>
      <c r="AT102" t="s">
        <v>28966</v>
      </c>
      <c r="AU102" t="s">
        <v>28966</v>
      </c>
      <c r="AV102" t="s">
        <v>28966</v>
      </c>
      <c r="AW102" t="s">
        <v>28966</v>
      </c>
      <c r="AX102" t="s">
        <v>28966</v>
      </c>
      <c r="AY102">
        <v>113400</v>
      </c>
      <c r="AZ102">
        <v>215100</v>
      </c>
      <c r="BA102">
        <v>432200</v>
      </c>
      <c r="BB102">
        <v>624000</v>
      </c>
      <c r="BC102">
        <v>644.1</v>
      </c>
      <c r="BD102">
        <v>727200</v>
      </c>
      <c r="BE102">
        <v>767200</v>
      </c>
      <c r="BF102">
        <v>920000</v>
      </c>
      <c r="BG102">
        <v>926000</v>
      </c>
      <c r="BH102">
        <v>1072000</v>
      </c>
      <c r="BI102">
        <v>1245000</v>
      </c>
      <c r="BJ102">
        <v>1356000</v>
      </c>
      <c r="BK102">
        <v>1582000</v>
      </c>
      <c r="BL102">
        <v>1743000</v>
      </c>
      <c r="BM102">
        <v>2099000</v>
      </c>
      <c r="BN102">
        <v>2148000</v>
      </c>
      <c r="BO102">
        <v>1545318</v>
      </c>
      <c r="BP102">
        <v>1752603</v>
      </c>
      <c r="BQ102">
        <v>1679197</v>
      </c>
      <c r="BR102">
        <v>1577226</v>
      </c>
      <c r="BS102">
        <v>1812519</v>
      </c>
      <c r="BT102">
        <v>1872799</v>
      </c>
      <c r="BU102">
        <v>1716702</v>
      </c>
      <c r="BV102">
        <v>1756070</v>
      </c>
      <c r="BW102">
        <v>1782666</v>
      </c>
      <c r="BX102">
        <v>1875433</v>
      </c>
      <c r="BY102">
        <v>2057804</v>
      </c>
      <c r="BZ102">
        <v>2093577</v>
      </c>
      <c r="CA102">
        <v>2108591</v>
      </c>
    </row>
    <row r="103" spans="2:79" x14ac:dyDescent="0.3">
      <c r="B103" s="9">
        <v>101</v>
      </c>
      <c r="C103" s="49">
        <v>9333</v>
      </c>
      <c r="D103" s="9">
        <f>YEAR(Tabla1[[#This Row],[Date]])</f>
        <v>1925</v>
      </c>
      <c r="E103" s="9" t="str" cm="1">
        <f t="array" ref="E103">IFERROR(_xlfn.IFS(AND(D103&lt;1980,D103&gt;=1970),"70",AND(D103&lt;1990,D103&gt;=1980),"80",AND(D103&lt;2000,D103&gt;=1990),"90",AND(D103&lt;2010,D103&gt;=2000),"00",AND(D103&lt;=2019,D103&gt;=2010),"10"),"1908-1970")</f>
        <v>1908-1970</v>
      </c>
      <c r="F103" s="3" t="s">
        <v>28931</v>
      </c>
      <c r="G103" t="s">
        <v>5371</v>
      </c>
      <c r="H103" t="s">
        <v>5372</v>
      </c>
      <c r="I103" t="s">
        <v>28931</v>
      </c>
      <c r="J103" t="s">
        <v>5373</v>
      </c>
      <c r="K103" t="s">
        <v>5167</v>
      </c>
      <c r="L103" s="7" t="s">
        <v>5374</v>
      </c>
      <c r="M103">
        <v>209</v>
      </c>
      <c r="N103">
        <v>1</v>
      </c>
      <c r="O103">
        <v>0</v>
      </c>
      <c r="P103">
        <v>1</v>
      </c>
      <c r="Q103">
        <v>1</v>
      </c>
      <c r="R103">
        <v>0</v>
      </c>
      <c r="S103">
        <v>1</v>
      </c>
      <c r="T103">
        <v>0</v>
      </c>
      <c r="U103" t="s">
        <v>5375</v>
      </c>
      <c r="V103">
        <f>Tabla1[[#This Row],[Aboard]]-Tabla1[[#This Row],[Fatalities]]</f>
        <v>0</v>
      </c>
      <c r="W103" s="50">
        <f>IFERROR(Tabla1[[#This Row],[Fatalities]]/Tabla1[[#This Row],[Aboard]],0)</f>
        <v>1</v>
      </c>
      <c r="X103" s="51" t="str" cm="1">
        <f t="array" ref="X103">_xlfn.IFS(Tabla1[[#This Row],[Porcentaje de muertes]]&lt;0.35,"LEVE",AND(Tabla1[[#This Row],[Porcentaje de muertes]]&gt;0.35,Tabla1[[#This Row],[Porcentaje de muertes]]&lt;0.65),"MEDIO",Tabla1[[#This Row],[Porcentaje de muertes]]&gt;0.65,"GRAVE")</f>
        <v>GRAVE</v>
      </c>
      <c r="AB103" t="s">
        <v>18581</v>
      </c>
      <c r="AC103" t="s">
        <v>28553</v>
      </c>
      <c r="AD103">
        <v>10400</v>
      </c>
      <c r="AE103">
        <v>10600</v>
      </c>
      <c r="AF103">
        <v>11000</v>
      </c>
      <c r="AG103">
        <v>11500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t="s">
        <v>28966</v>
      </c>
      <c r="BA103" t="s">
        <v>28966</v>
      </c>
      <c r="BB103" t="s">
        <v>28966</v>
      </c>
      <c r="BC103" t="s">
        <v>28966</v>
      </c>
      <c r="BD103" t="s">
        <v>28966</v>
      </c>
      <c r="BE103" t="s">
        <v>28966</v>
      </c>
      <c r="BF103" t="s">
        <v>28966</v>
      </c>
      <c r="BG103" t="s">
        <v>28966</v>
      </c>
      <c r="BH103" t="s">
        <v>28966</v>
      </c>
      <c r="BI103" t="s">
        <v>28966</v>
      </c>
      <c r="BJ103" t="s">
        <v>28966</v>
      </c>
      <c r="BK103" t="s">
        <v>28966</v>
      </c>
      <c r="BL103" t="s">
        <v>28966</v>
      </c>
      <c r="BM103" t="s">
        <v>28966</v>
      </c>
      <c r="BN103" t="s">
        <v>28966</v>
      </c>
      <c r="BO103" t="s">
        <v>28966</v>
      </c>
      <c r="BP103" t="s">
        <v>28966</v>
      </c>
      <c r="BQ103" t="s">
        <v>28966</v>
      </c>
      <c r="BR103" t="s">
        <v>28966</v>
      </c>
      <c r="BS103" t="s">
        <v>28966</v>
      </c>
      <c r="BT103" t="s">
        <v>28966</v>
      </c>
      <c r="BU103" t="s">
        <v>28966</v>
      </c>
      <c r="BV103" t="s">
        <v>28966</v>
      </c>
      <c r="BW103" t="s">
        <v>28966</v>
      </c>
      <c r="BX103" t="s">
        <v>28966</v>
      </c>
      <c r="BY103" t="s">
        <v>28966</v>
      </c>
      <c r="BZ103" t="s">
        <v>28966</v>
      </c>
      <c r="CA103" t="s">
        <v>28966</v>
      </c>
    </row>
    <row r="104" spans="2:79" x14ac:dyDescent="0.3">
      <c r="B104" s="9">
        <v>102</v>
      </c>
      <c r="C104" s="49">
        <v>9337</v>
      </c>
      <c r="D104" s="9">
        <f>YEAR(Tabla1[[#This Row],[Date]])</f>
        <v>1925</v>
      </c>
      <c r="E104" s="9" t="str" cm="1">
        <f t="array" ref="E104">IFERROR(_xlfn.IFS(AND(D104&lt;1980,D104&gt;=1970),"70",AND(D104&lt;1990,D104&gt;=1980),"80",AND(D104&lt;2000,D104&gt;=1990),"90",AND(D104&lt;2010,D104&gt;=2000),"00",AND(D104&lt;=2019,D104&gt;=2010),"10"),"1908-1970")</f>
        <v>1908-1970</v>
      </c>
      <c r="F104" s="3" t="s">
        <v>28931</v>
      </c>
      <c r="G104" t="s">
        <v>5376</v>
      </c>
      <c r="H104" t="s">
        <v>5377</v>
      </c>
      <c r="I104" t="s">
        <v>28931</v>
      </c>
      <c r="J104" t="s">
        <v>28931</v>
      </c>
      <c r="K104" t="s">
        <v>5214</v>
      </c>
      <c r="L104" s="7" t="s">
        <v>28931</v>
      </c>
      <c r="M104" t="s">
        <v>28931</v>
      </c>
      <c r="N104">
        <v>1</v>
      </c>
      <c r="O104">
        <v>0</v>
      </c>
      <c r="P104">
        <v>1</v>
      </c>
      <c r="Q104">
        <v>1</v>
      </c>
      <c r="R104">
        <v>0</v>
      </c>
      <c r="S104">
        <v>1</v>
      </c>
      <c r="T104">
        <v>0</v>
      </c>
      <c r="U104" t="s">
        <v>5378</v>
      </c>
      <c r="V104">
        <f>Tabla1[[#This Row],[Aboard]]-Tabla1[[#This Row],[Fatalities]]</f>
        <v>0</v>
      </c>
      <c r="W104" s="50">
        <f>IFERROR(Tabla1[[#This Row],[Fatalities]]/Tabla1[[#This Row],[Aboard]],0)</f>
        <v>1</v>
      </c>
      <c r="X104" s="51" t="str" cm="1">
        <f t="array" ref="X104">_xlfn.IFS(Tabla1[[#This Row],[Porcentaje de muertes]]&lt;0.35,"LEVE",AND(Tabla1[[#This Row],[Porcentaje de muertes]]&gt;0.35,Tabla1[[#This Row],[Porcentaje de muertes]]&lt;0.65),"MEDIO",Tabla1[[#This Row],[Porcentaje de muertes]]&gt;0.65,"GRAVE")</f>
        <v>GRAVE</v>
      </c>
      <c r="AB104" t="s">
        <v>28554</v>
      </c>
      <c r="AC104" t="s">
        <v>28555</v>
      </c>
      <c r="AD104">
        <v>282300</v>
      </c>
      <c r="AE104">
        <v>268200</v>
      </c>
      <c r="AF104">
        <v>266300</v>
      </c>
      <c r="AG104">
        <v>330000</v>
      </c>
      <c r="AH104">
        <v>456500</v>
      </c>
      <c r="AI104">
        <v>414100</v>
      </c>
      <c r="AJ104">
        <v>427200</v>
      </c>
      <c r="AK104">
        <v>555000</v>
      </c>
      <c r="AL104">
        <v>659000</v>
      </c>
      <c r="AM104">
        <v>830200</v>
      </c>
      <c r="AN104">
        <v>874300</v>
      </c>
      <c r="AO104">
        <v>1017000</v>
      </c>
      <c r="AP104">
        <v>1020700</v>
      </c>
      <c r="AQ104">
        <v>957300</v>
      </c>
      <c r="AR104">
        <v>1038500</v>
      </c>
      <c r="AS104">
        <v>1116100</v>
      </c>
      <c r="AT104">
        <v>1150600</v>
      </c>
      <c r="AU104">
        <v>1231400</v>
      </c>
      <c r="AV104">
        <v>1176400</v>
      </c>
      <c r="AW104">
        <v>1316300</v>
      </c>
      <c r="AX104">
        <v>1363100</v>
      </c>
      <c r="AY104">
        <v>910700</v>
      </c>
      <c r="AZ104">
        <v>1029100</v>
      </c>
      <c r="BA104">
        <v>1216900</v>
      </c>
      <c r="BB104">
        <v>1325400</v>
      </c>
      <c r="BC104">
        <v>1310900</v>
      </c>
      <c r="BD104">
        <v>1563400</v>
      </c>
      <c r="BE104">
        <v>1634700</v>
      </c>
      <c r="BF104">
        <v>1749200</v>
      </c>
      <c r="BG104">
        <v>1943500</v>
      </c>
      <c r="BH104">
        <v>2197521</v>
      </c>
      <c r="BI104">
        <v>2023385</v>
      </c>
      <c r="BJ104">
        <v>2098760</v>
      </c>
      <c r="BK104">
        <v>2260849</v>
      </c>
      <c r="BL104">
        <v>2546234</v>
      </c>
      <c r="BM104">
        <v>2735214</v>
      </c>
      <c r="BN104">
        <v>2591666</v>
      </c>
      <c r="BO104">
        <v>3133574</v>
      </c>
      <c r="BP104">
        <v>3111575</v>
      </c>
      <c r="BQ104">
        <v>2952885</v>
      </c>
      <c r="BR104">
        <v>12477063.18</v>
      </c>
      <c r="BS104">
        <v>13729553.529999999</v>
      </c>
      <c r="BT104">
        <v>12289555.08</v>
      </c>
      <c r="BU104">
        <v>13926540</v>
      </c>
      <c r="BV104">
        <v>16482060</v>
      </c>
      <c r="BW104">
        <v>20043787</v>
      </c>
      <c r="BX104">
        <v>21399963</v>
      </c>
      <c r="BY104">
        <v>26066294</v>
      </c>
      <c r="BZ104">
        <v>31226848</v>
      </c>
      <c r="CA104">
        <v>39803373</v>
      </c>
    </row>
    <row r="105" spans="2:79" x14ac:dyDescent="0.3">
      <c r="B105" s="9">
        <v>103</v>
      </c>
      <c r="C105" s="49">
        <v>9200</v>
      </c>
      <c r="D105" s="9">
        <f>YEAR(Tabla1[[#This Row],[Date]])</f>
        <v>1925</v>
      </c>
      <c r="E105" s="9" t="str" cm="1">
        <f t="array" ref="E105">IFERROR(_xlfn.IFS(AND(D105&lt;1980,D105&gt;=1970),"70",AND(D105&lt;1990,D105&gt;=1980),"80",AND(D105&lt;2000,D105&gt;=1990),"90",AND(D105&lt;2010,D105&gt;=2000),"00",AND(D105&lt;=2019,D105&gt;=2010),"10"),"1908-1970")</f>
        <v>1908-1970</v>
      </c>
      <c r="F105" s="3">
        <v>0.22916666666666666</v>
      </c>
      <c r="G105" t="s">
        <v>5379</v>
      </c>
      <c r="H105" t="s">
        <v>5027</v>
      </c>
      <c r="I105" t="s">
        <v>28931</v>
      </c>
      <c r="J105" t="s">
        <v>5380</v>
      </c>
      <c r="K105" t="s">
        <v>5381</v>
      </c>
      <c r="L105" s="7" t="s">
        <v>5382</v>
      </c>
      <c r="M105" t="s">
        <v>28931</v>
      </c>
      <c r="N105">
        <v>43</v>
      </c>
      <c r="O105" t="s">
        <v>5038</v>
      </c>
      <c r="P105" t="s">
        <v>5038</v>
      </c>
      <c r="Q105">
        <v>14</v>
      </c>
      <c r="R105" t="s">
        <v>5038</v>
      </c>
      <c r="S105" t="s">
        <v>5038</v>
      </c>
      <c r="T105">
        <v>0</v>
      </c>
      <c r="U105" t="s">
        <v>5383</v>
      </c>
      <c r="V105">
        <f>Tabla1[[#This Row],[Aboard]]-Tabla1[[#This Row],[Fatalities]]</f>
        <v>29</v>
      </c>
      <c r="W105" s="50">
        <f>IFERROR(Tabla1[[#This Row],[Fatalities]]/Tabla1[[#This Row],[Aboard]],0)</f>
        <v>0.32558139534883723</v>
      </c>
      <c r="X105" s="51" t="str" cm="1">
        <f t="array" ref="X105">_xlfn.IFS(Tabla1[[#This Row],[Porcentaje de muertes]]&lt;0.35,"LEVE",AND(Tabla1[[#This Row],[Porcentaje de muertes]]&gt;0.35,Tabla1[[#This Row],[Porcentaje de muertes]]&lt;0.65),"MEDIO",Tabla1[[#This Row],[Porcentaje de muertes]]&gt;0.65,"GRAVE")</f>
        <v>LEVE</v>
      </c>
      <c r="AB105" t="s">
        <v>28556</v>
      </c>
      <c r="AC105" t="s">
        <v>28557</v>
      </c>
      <c r="AD105" t="s">
        <v>28966</v>
      </c>
      <c r="AE105" t="s">
        <v>28966</v>
      </c>
      <c r="AF105" t="s">
        <v>28966</v>
      </c>
      <c r="AG105" t="s">
        <v>28966</v>
      </c>
      <c r="AH105">
        <v>52352500</v>
      </c>
      <c r="AI105">
        <v>60085100</v>
      </c>
      <c r="AJ105">
        <v>67797700</v>
      </c>
      <c r="AK105">
        <v>74812800</v>
      </c>
      <c r="AL105">
        <v>82444600</v>
      </c>
      <c r="AM105">
        <v>92881800</v>
      </c>
      <c r="AN105">
        <v>98659800</v>
      </c>
      <c r="AO105">
        <v>104454800</v>
      </c>
      <c r="AP105">
        <v>108500000</v>
      </c>
      <c r="AQ105">
        <v>111353700</v>
      </c>
      <c r="AR105">
        <v>118298600</v>
      </c>
      <c r="AS105">
        <v>123830100</v>
      </c>
      <c r="AT105">
        <v>132691000</v>
      </c>
      <c r="AU105">
        <v>142224500</v>
      </c>
      <c r="AV105">
        <v>151720400</v>
      </c>
      <c r="AW105">
        <v>154335800</v>
      </c>
      <c r="AX105">
        <v>159562400</v>
      </c>
      <c r="AY105">
        <v>288238700</v>
      </c>
      <c r="AZ105">
        <v>249287400</v>
      </c>
      <c r="BA105">
        <v>227755500</v>
      </c>
      <c r="BB105">
        <v>242797500</v>
      </c>
      <c r="BC105">
        <v>260412144.09999999</v>
      </c>
      <c r="BD105">
        <v>269421600</v>
      </c>
      <c r="BE105">
        <v>278907900</v>
      </c>
      <c r="BF105">
        <v>276766600</v>
      </c>
      <c r="BG105">
        <v>281964600</v>
      </c>
      <c r="BH105">
        <v>302077954</v>
      </c>
      <c r="BI105">
        <v>331479712</v>
      </c>
      <c r="BJ105">
        <v>334877312</v>
      </c>
      <c r="BK105">
        <v>346454377</v>
      </c>
      <c r="BL105">
        <v>421250768</v>
      </c>
      <c r="BM105">
        <v>457746406</v>
      </c>
      <c r="BN105">
        <v>506432777</v>
      </c>
      <c r="BO105">
        <v>571342851</v>
      </c>
      <c r="BP105">
        <v>602329034</v>
      </c>
      <c r="BQ105">
        <v>654666498</v>
      </c>
      <c r="BR105">
        <v>850497494.10000002</v>
      </c>
      <c r="BS105">
        <v>948977935.29999995</v>
      </c>
      <c r="BT105">
        <v>1030743896</v>
      </c>
      <c r="BU105">
        <v>1123867191</v>
      </c>
      <c r="BV105">
        <v>1223688739</v>
      </c>
      <c r="BW105">
        <v>1342229140</v>
      </c>
      <c r="BX105">
        <v>1461070125</v>
      </c>
      <c r="BY105">
        <v>1619971597</v>
      </c>
      <c r="BZ105">
        <v>1769305160</v>
      </c>
      <c r="CA105">
        <v>1839386710</v>
      </c>
    </row>
    <row r="106" spans="2:79" x14ac:dyDescent="0.3">
      <c r="B106" s="9">
        <v>104</v>
      </c>
      <c r="C106" s="49">
        <v>9322</v>
      </c>
      <c r="D106" s="9">
        <f>YEAR(Tabla1[[#This Row],[Date]])</f>
        <v>1925</v>
      </c>
      <c r="E106" s="9" t="str" cm="1">
        <f t="array" ref="E106">IFERROR(_xlfn.IFS(AND(D106&lt;1980,D106&gt;=1970),"70",AND(D106&lt;1990,D106&gt;=1980),"80",AND(D106&lt;2000,D106&gt;=1990),"90",AND(D106&lt;2010,D106&gt;=2000),"00",AND(D106&lt;=2019,D106&gt;=2010),"10"),"1908-1970")</f>
        <v>1908-1970</v>
      </c>
      <c r="F106" s="3" t="s">
        <v>28931</v>
      </c>
      <c r="G106" t="s">
        <v>5384</v>
      </c>
      <c r="H106" t="s">
        <v>5377</v>
      </c>
      <c r="I106" t="s">
        <v>28931</v>
      </c>
      <c r="J106" t="s">
        <v>28931</v>
      </c>
      <c r="K106" t="s">
        <v>5385</v>
      </c>
      <c r="L106" s="7" t="s">
        <v>28931</v>
      </c>
      <c r="M106" t="s">
        <v>28931</v>
      </c>
      <c r="N106" t="s">
        <v>5038</v>
      </c>
      <c r="O106" t="s">
        <v>5038</v>
      </c>
      <c r="P106" t="s">
        <v>5038</v>
      </c>
      <c r="Q106" t="s">
        <v>5038</v>
      </c>
      <c r="R106" t="s">
        <v>5038</v>
      </c>
      <c r="S106" t="s">
        <v>5038</v>
      </c>
      <c r="T106" t="s">
        <v>5038</v>
      </c>
      <c r="U106" t="s">
        <v>28927</v>
      </c>
      <c r="V106" t="s">
        <v>5038</v>
      </c>
      <c r="W106" s="50">
        <f>IFERROR(Tabla1[[#This Row],[Fatalities]]/Tabla1[[#This Row],[Aboard]],0)</f>
        <v>0</v>
      </c>
      <c r="X106" s="51" t="str" cm="1">
        <f t="array" ref="X106">_xlfn.IFS(Tabla1[[#This Row],[Porcentaje de muertes]]&lt;0.35,"LEVE",AND(Tabla1[[#This Row],[Porcentaje de muertes]]&gt;0.35,Tabla1[[#This Row],[Porcentaje de muertes]]&lt;0.65),"MEDIO",Tabla1[[#This Row],[Porcentaje de muertes]]&gt;0.65,"GRAVE")</f>
        <v>LEVE</v>
      </c>
      <c r="AB106" t="s">
        <v>28558</v>
      </c>
      <c r="AC106" t="s">
        <v>28559</v>
      </c>
      <c r="AD106" t="s">
        <v>28966</v>
      </c>
      <c r="AE106" t="s">
        <v>28966</v>
      </c>
      <c r="AF106" t="s">
        <v>28966</v>
      </c>
      <c r="AG106" t="s">
        <v>28966</v>
      </c>
      <c r="AH106">
        <v>59678800</v>
      </c>
      <c r="AI106">
        <v>68595200</v>
      </c>
      <c r="AJ106">
        <v>78110700</v>
      </c>
      <c r="AK106">
        <v>85566200</v>
      </c>
      <c r="AL106">
        <v>94555100</v>
      </c>
      <c r="AM106">
        <v>106151600</v>
      </c>
      <c r="AN106">
        <v>113445800</v>
      </c>
      <c r="AO106">
        <v>120366700</v>
      </c>
      <c r="AP106">
        <v>124715400</v>
      </c>
      <c r="AQ106">
        <v>128029500</v>
      </c>
      <c r="AR106">
        <v>135519400</v>
      </c>
      <c r="AS106">
        <v>141561300</v>
      </c>
      <c r="AT106">
        <v>150415200</v>
      </c>
      <c r="AU106">
        <v>159896300</v>
      </c>
      <c r="AV106">
        <v>170496100</v>
      </c>
      <c r="AW106">
        <v>172706400</v>
      </c>
      <c r="AX106">
        <v>178700100</v>
      </c>
      <c r="AY106">
        <v>306448300</v>
      </c>
      <c r="AZ106">
        <v>271850700</v>
      </c>
      <c r="BA106">
        <v>249315900</v>
      </c>
      <c r="BB106">
        <v>264620500</v>
      </c>
      <c r="BC106">
        <v>281495744.10000002</v>
      </c>
      <c r="BD106">
        <v>290119200</v>
      </c>
      <c r="BE106">
        <v>300379900</v>
      </c>
      <c r="BF106">
        <v>298474600</v>
      </c>
      <c r="BG106">
        <v>303852900</v>
      </c>
      <c r="BH106">
        <v>323854019</v>
      </c>
      <c r="BI106">
        <v>353461238</v>
      </c>
      <c r="BJ106">
        <v>354836889</v>
      </c>
      <c r="BK106">
        <v>366713422</v>
      </c>
      <c r="BL106">
        <v>444743421</v>
      </c>
      <c r="BM106">
        <v>482971713</v>
      </c>
      <c r="BN106">
        <v>533670988</v>
      </c>
      <c r="BO106">
        <v>599627079</v>
      </c>
      <c r="BP106">
        <v>631333677</v>
      </c>
      <c r="BQ106">
        <v>683927328</v>
      </c>
      <c r="BR106">
        <v>891956142.20000005</v>
      </c>
      <c r="BS106">
        <v>997808123.79999995</v>
      </c>
      <c r="BT106">
        <v>1080347427</v>
      </c>
      <c r="BU106">
        <v>1174597729</v>
      </c>
      <c r="BV106">
        <v>1276673084</v>
      </c>
      <c r="BW106">
        <v>1396421827</v>
      </c>
      <c r="BX106">
        <v>1517531639</v>
      </c>
      <c r="BY106">
        <v>1680834868</v>
      </c>
      <c r="BZ106">
        <v>1840061201</v>
      </c>
      <c r="CA106">
        <v>1908548821</v>
      </c>
    </row>
    <row r="107" spans="2:79" x14ac:dyDescent="0.3">
      <c r="B107" s="9">
        <v>105</v>
      </c>
      <c r="C107" s="49">
        <v>9142</v>
      </c>
      <c r="D107" s="9">
        <f>YEAR(Tabla1[[#This Row],[Date]])</f>
        <v>1925</v>
      </c>
      <c r="E107" s="9" t="str" cm="1">
        <f t="array" ref="E107">IFERROR(_xlfn.IFS(AND(D107&lt;1980,D107&gt;=1970),"70",AND(D107&lt;1990,D107&gt;=1980),"80",AND(D107&lt;2000,D107&gt;=1990),"90",AND(D107&lt;2010,D107&gt;=2000),"00",AND(D107&lt;=2019,D107&gt;=2010),"10"),"1908-1970")</f>
        <v>1908-1970</v>
      </c>
      <c r="F107" s="3" t="s">
        <v>28931</v>
      </c>
      <c r="G107" t="s">
        <v>5386</v>
      </c>
      <c r="H107" t="s">
        <v>5096</v>
      </c>
      <c r="I107" t="s">
        <v>28931</v>
      </c>
      <c r="J107" t="s">
        <v>5387</v>
      </c>
      <c r="K107" t="s">
        <v>5097</v>
      </c>
      <c r="L107" s="7">
        <v>385</v>
      </c>
      <c r="M107" t="s">
        <v>28931</v>
      </c>
      <c r="N107">
        <v>1</v>
      </c>
      <c r="O107">
        <v>0</v>
      </c>
      <c r="P107">
        <v>1</v>
      </c>
      <c r="Q107">
        <v>1</v>
      </c>
      <c r="R107">
        <v>0</v>
      </c>
      <c r="S107">
        <v>1</v>
      </c>
      <c r="T107">
        <v>0</v>
      </c>
      <c r="U107" t="s">
        <v>5388</v>
      </c>
      <c r="V107">
        <f>Tabla1[[#This Row],[Aboard]]-Tabla1[[#This Row],[Fatalities]]</f>
        <v>0</v>
      </c>
      <c r="W107" s="50">
        <f>IFERROR(Tabla1[[#This Row],[Fatalities]]/Tabla1[[#This Row],[Aboard]],0)</f>
        <v>1</v>
      </c>
      <c r="X107" s="51" t="str" cm="1">
        <f t="array" ref="X107">_xlfn.IFS(Tabla1[[#This Row],[Porcentaje de muertes]]&lt;0.35,"LEVE",AND(Tabla1[[#This Row],[Porcentaje de muertes]]&gt;0.35,Tabla1[[#This Row],[Porcentaje de muertes]]&lt;0.65),"MEDIO",Tabla1[[#This Row],[Porcentaje de muertes]]&gt;0.65,"GRAVE")</f>
        <v>GRAVE</v>
      </c>
      <c r="AB107" t="s">
        <v>28560</v>
      </c>
      <c r="AC107" t="s">
        <v>28561</v>
      </c>
      <c r="AD107">
        <v>5585100</v>
      </c>
      <c r="AE107">
        <v>5762600</v>
      </c>
      <c r="AF107">
        <v>5576700</v>
      </c>
      <c r="AG107">
        <v>6893700</v>
      </c>
      <c r="AH107">
        <v>7326300</v>
      </c>
      <c r="AI107">
        <v>8510100</v>
      </c>
      <c r="AJ107">
        <v>10313000</v>
      </c>
      <c r="AK107">
        <v>10753400</v>
      </c>
      <c r="AL107">
        <v>12110500</v>
      </c>
      <c r="AM107">
        <v>13269800</v>
      </c>
      <c r="AN107">
        <v>14786000</v>
      </c>
      <c r="AO107">
        <v>15911900</v>
      </c>
      <c r="AP107">
        <v>16215400</v>
      </c>
      <c r="AQ107">
        <v>16675800</v>
      </c>
      <c r="AR107">
        <v>17220800</v>
      </c>
      <c r="AS107">
        <v>17731200</v>
      </c>
      <c r="AT107">
        <v>17724200</v>
      </c>
      <c r="AU107">
        <v>17671800</v>
      </c>
      <c r="AV107">
        <v>18775700</v>
      </c>
      <c r="AW107">
        <v>18370600</v>
      </c>
      <c r="AX107">
        <v>19137700</v>
      </c>
      <c r="AY107">
        <v>18209600</v>
      </c>
      <c r="AZ107">
        <v>22563300</v>
      </c>
      <c r="BA107">
        <v>21560400</v>
      </c>
      <c r="BB107">
        <v>21823000</v>
      </c>
      <c r="BC107">
        <v>21083600</v>
      </c>
      <c r="BD107">
        <v>20697600</v>
      </c>
      <c r="BE107">
        <v>21472000</v>
      </c>
      <c r="BF107">
        <v>21708000</v>
      </c>
      <c r="BG107">
        <v>21888300</v>
      </c>
      <c r="BH107">
        <v>21776065</v>
      </c>
      <c r="BI107">
        <v>21981526</v>
      </c>
      <c r="BJ107">
        <v>19959577</v>
      </c>
      <c r="BK107">
        <v>20259045</v>
      </c>
      <c r="BL107">
        <v>23492653</v>
      </c>
      <c r="BM107">
        <v>25225307</v>
      </c>
      <c r="BN107">
        <v>27238211</v>
      </c>
      <c r="BO107">
        <v>28284228</v>
      </c>
      <c r="BP107">
        <v>29004643</v>
      </c>
      <c r="BQ107">
        <v>29260830</v>
      </c>
      <c r="BR107">
        <v>41458648.079999998</v>
      </c>
      <c r="BS107">
        <v>48830188.450000003</v>
      </c>
      <c r="BT107">
        <v>49603530.740000002</v>
      </c>
      <c r="BU107">
        <v>50730538.390000001</v>
      </c>
      <c r="BV107">
        <v>52984344.990000002</v>
      </c>
      <c r="BW107">
        <v>54192687</v>
      </c>
      <c r="BX107">
        <v>56461514</v>
      </c>
      <c r="BY107">
        <v>60863270.630000003</v>
      </c>
      <c r="BZ107">
        <v>70756041.170000002</v>
      </c>
      <c r="CA107">
        <v>69162110.569999993</v>
      </c>
    </row>
    <row r="108" spans="2:79" x14ac:dyDescent="0.3">
      <c r="B108" s="9">
        <v>106</v>
      </c>
      <c r="C108" s="49">
        <v>9450</v>
      </c>
      <c r="D108" s="9">
        <f>YEAR(Tabla1[[#This Row],[Date]])</f>
        <v>1925</v>
      </c>
      <c r="E108" s="9" t="str" cm="1">
        <f t="array" ref="E108">IFERROR(_xlfn.IFS(AND(D108&lt;1980,D108&gt;=1970),"70",AND(D108&lt;1990,D108&gt;=1980),"80",AND(D108&lt;2000,D108&gt;=1990),"90",AND(D108&lt;2010,D108&gt;=2000),"00",AND(D108&lt;=2019,D108&gt;=2010),"10"),"1908-1970")</f>
        <v>1908-1970</v>
      </c>
      <c r="F108" s="3" t="s">
        <v>28931</v>
      </c>
      <c r="G108" t="s">
        <v>5389</v>
      </c>
      <c r="H108" t="s">
        <v>5372</v>
      </c>
      <c r="I108" t="s">
        <v>28931</v>
      </c>
      <c r="J108" t="s">
        <v>28931</v>
      </c>
      <c r="K108" t="s">
        <v>5167</v>
      </c>
      <c r="L108" s="7" t="s">
        <v>5390</v>
      </c>
      <c r="M108">
        <v>168</v>
      </c>
      <c r="N108">
        <v>1</v>
      </c>
      <c r="O108">
        <v>0</v>
      </c>
      <c r="P108">
        <v>1</v>
      </c>
      <c r="Q108">
        <v>1</v>
      </c>
      <c r="R108">
        <v>0</v>
      </c>
      <c r="S108">
        <v>1</v>
      </c>
      <c r="T108">
        <v>0</v>
      </c>
      <c r="U108" t="s">
        <v>5391</v>
      </c>
      <c r="V108">
        <f>Tabla1[[#This Row],[Aboard]]-Tabla1[[#This Row],[Fatalities]]</f>
        <v>0</v>
      </c>
      <c r="W108" s="50">
        <f>IFERROR(Tabla1[[#This Row],[Fatalities]]/Tabla1[[#This Row],[Aboard]],0)</f>
        <v>1</v>
      </c>
      <c r="X108" s="51" t="str" cm="1">
        <f t="array" ref="X108">_xlfn.IFS(Tabla1[[#This Row],[Porcentaje de muertes]]&lt;0.35,"LEVE",AND(Tabla1[[#This Row],[Porcentaje de muertes]]&gt;0.35,Tabla1[[#This Row],[Porcentaje de muertes]]&lt;0.65),"MEDIO",Tabla1[[#This Row],[Porcentaje de muertes]]&gt;0.65,"GRAVE")</f>
        <v>GRAVE</v>
      </c>
      <c r="AB108" t="s">
        <v>28562</v>
      </c>
      <c r="AC108" t="s">
        <v>28563</v>
      </c>
      <c r="AD108">
        <v>2069400</v>
      </c>
      <c r="AE108">
        <v>1959100</v>
      </c>
      <c r="AF108">
        <v>1628700</v>
      </c>
      <c r="AG108">
        <v>2327100</v>
      </c>
      <c r="AH108">
        <v>2448700</v>
      </c>
      <c r="AI108">
        <v>3366700</v>
      </c>
      <c r="AJ108">
        <v>4343400</v>
      </c>
      <c r="AK108">
        <v>4867000</v>
      </c>
      <c r="AL108">
        <v>5827800</v>
      </c>
      <c r="AM108">
        <v>6194900</v>
      </c>
      <c r="AN108">
        <v>7325200</v>
      </c>
      <c r="AO108">
        <v>7956400</v>
      </c>
      <c r="AP108">
        <v>8093800</v>
      </c>
      <c r="AQ108">
        <v>8386100</v>
      </c>
      <c r="AR108">
        <v>8575100</v>
      </c>
      <c r="AS108">
        <v>9542000</v>
      </c>
      <c r="AT108">
        <v>9379300</v>
      </c>
      <c r="AU108">
        <v>9227600</v>
      </c>
      <c r="AV108">
        <v>9376900</v>
      </c>
      <c r="AW108">
        <v>9437900</v>
      </c>
      <c r="AX108">
        <v>9605300</v>
      </c>
      <c r="AY108">
        <v>9634000</v>
      </c>
      <c r="AZ108">
        <v>13830900</v>
      </c>
      <c r="BA108">
        <v>11732700</v>
      </c>
      <c r="BB108">
        <v>12197100</v>
      </c>
      <c r="BC108">
        <v>11674500</v>
      </c>
      <c r="BD108">
        <v>10788200</v>
      </c>
      <c r="BE108">
        <v>11784100</v>
      </c>
      <c r="BF108">
        <v>11596400</v>
      </c>
      <c r="BG108">
        <v>12221200</v>
      </c>
      <c r="BH108">
        <v>12058275</v>
      </c>
      <c r="BI108">
        <v>12976878</v>
      </c>
      <c r="BJ108">
        <v>10439111</v>
      </c>
      <c r="BK108">
        <v>10669835</v>
      </c>
      <c r="BL108">
        <v>11971594</v>
      </c>
      <c r="BM108">
        <v>13181865</v>
      </c>
      <c r="BN108">
        <v>14641094</v>
      </c>
      <c r="BO108">
        <v>14980619</v>
      </c>
      <c r="BP108">
        <v>15375119</v>
      </c>
      <c r="BQ108">
        <v>14965530</v>
      </c>
      <c r="BR108">
        <v>20774321.43</v>
      </c>
      <c r="BS108">
        <v>23867830.73</v>
      </c>
      <c r="BT108">
        <v>24663522.390000001</v>
      </c>
      <c r="BU108">
        <v>24098238.09</v>
      </c>
      <c r="BV108">
        <v>24165927.34</v>
      </c>
      <c r="BW108">
        <v>24997482</v>
      </c>
      <c r="BX108">
        <v>25950100</v>
      </c>
      <c r="BY108">
        <v>24353773</v>
      </c>
      <c r="BZ108">
        <v>28749421.059999999</v>
      </c>
      <c r="CA108">
        <v>29208297.010000002</v>
      </c>
    </row>
    <row r="109" spans="2:79" x14ac:dyDescent="0.3">
      <c r="B109" s="9">
        <v>107</v>
      </c>
      <c r="C109" s="49">
        <v>9450</v>
      </c>
      <c r="D109" s="9">
        <f>YEAR(Tabla1[[#This Row],[Date]])</f>
        <v>1925</v>
      </c>
      <c r="E109" s="9" t="str" cm="1">
        <f t="array" ref="E109">IFERROR(_xlfn.IFS(AND(D109&lt;1980,D109&gt;=1970),"70",AND(D109&lt;1990,D109&gt;=1980),"80",AND(D109&lt;2000,D109&gt;=1990),"90",AND(D109&lt;2010,D109&gt;=2000),"00",AND(D109&lt;=2019,D109&gt;=2010),"10"),"1908-1970")</f>
        <v>1908-1970</v>
      </c>
      <c r="F109" s="3" t="s">
        <v>28931</v>
      </c>
      <c r="G109" t="s">
        <v>5392</v>
      </c>
      <c r="H109" t="s">
        <v>5298</v>
      </c>
      <c r="I109" t="s">
        <v>28931</v>
      </c>
      <c r="J109" t="s">
        <v>28931</v>
      </c>
      <c r="K109" t="s">
        <v>5294</v>
      </c>
      <c r="L109" s="7" t="s">
        <v>5393</v>
      </c>
      <c r="M109" t="s">
        <v>28931</v>
      </c>
      <c r="N109">
        <v>2</v>
      </c>
      <c r="O109" t="s">
        <v>5038</v>
      </c>
      <c r="P109" t="s">
        <v>5038</v>
      </c>
      <c r="Q109">
        <v>2</v>
      </c>
      <c r="R109" t="s">
        <v>5038</v>
      </c>
      <c r="S109" t="s">
        <v>5038</v>
      </c>
      <c r="T109">
        <v>0</v>
      </c>
      <c r="U109" t="s">
        <v>28927</v>
      </c>
      <c r="V109">
        <f>Tabla1[[#This Row],[Aboard]]-Tabla1[[#This Row],[Fatalities]]</f>
        <v>0</v>
      </c>
      <c r="W109" s="50">
        <f>IFERROR(Tabla1[[#This Row],[Fatalities]]/Tabla1[[#This Row],[Aboard]],0)</f>
        <v>1</v>
      </c>
      <c r="X109" s="51" t="str" cm="1">
        <f t="array" ref="X109">_xlfn.IFS(Tabla1[[#This Row],[Porcentaje de muertes]]&lt;0.35,"LEVE",AND(Tabla1[[#This Row],[Porcentaje de muertes]]&gt;0.35,Tabla1[[#This Row],[Porcentaje de muertes]]&lt;0.65),"MEDIO",Tabla1[[#This Row],[Porcentaje de muertes]]&gt;0.65,"GRAVE")</f>
        <v>GRAVE</v>
      </c>
      <c r="AB109" t="s">
        <v>28564</v>
      </c>
      <c r="AC109" t="s">
        <v>28565</v>
      </c>
      <c r="AD109">
        <v>826400</v>
      </c>
      <c r="AE109">
        <v>994500</v>
      </c>
      <c r="AF109">
        <v>1286800</v>
      </c>
      <c r="AG109">
        <v>1787400</v>
      </c>
      <c r="AH109">
        <v>2219700</v>
      </c>
      <c r="AI109">
        <v>2527500</v>
      </c>
      <c r="AJ109">
        <v>3103200</v>
      </c>
      <c r="AK109">
        <v>3781300</v>
      </c>
      <c r="AL109">
        <v>4431100</v>
      </c>
      <c r="AM109">
        <v>4656100</v>
      </c>
      <c r="AN109">
        <v>5059100</v>
      </c>
      <c r="AO109">
        <v>6098100</v>
      </c>
      <c r="AP109">
        <v>6028700</v>
      </c>
      <c r="AQ109">
        <v>5567500</v>
      </c>
      <c r="AR109">
        <v>6494300</v>
      </c>
      <c r="AS109">
        <v>6468100</v>
      </c>
      <c r="AT109">
        <v>7115400</v>
      </c>
      <c r="AU109">
        <v>7568900</v>
      </c>
      <c r="AV109">
        <v>8823700</v>
      </c>
      <c r="AW109">
        <v>8983400</v>
      </c>
      <c r="AX109">
        <v>9223100</v>
      </c>
      <c r="AY109">
        <v>10401800</v>
      </c>
      <c r="AZ109">
        <v>11176800</v>
      </c>
      <c r="BA109">
        <v>12009000</v>
      </c>
      <c r="BB109">
        <v>13924500</v>
      </c>
      <c r="BC109">
        <v>15977200</v>
      </c>
      <c r="BD109">
        <v>17138800</v>
      </c>
      <c r="BE109">
        <v>12650200</v>
      </c>
      <c r="BF109">
        <v>12613600</v>
      </c>
      <c r="BG109">
        <v>8046800</v>
      </c>
      <c r="BH109">
        <v>9916365</v>
      </c>
      <c r="BI109">
        <v>12453812</v>
      </c>
      <c r="BJ109">
        <v>12113452</v>
      </c>
      <c r="BK109">
        <v>12221066</v>
      </c>
      <c r="BL109">
        <v>26780550</v>
      </c>
      <c r="BM109">
        <v>26835524</v>
      </c>
      <c r="BN109">
        <v>29867483</v>
      </c>
      <c r="BO109">
        <v>30405918</v>
      </c>
      <c r="BP109">
        <v>29766093</v>
      </c>
      <c r="BQ109">
        <v>27421235</v>
      </c>
      <c r="BR109">
        <v>59384361.609999999</v>
      </c>
      <c r="BS109">
        <v>70912258.109999999</v>
      </c>
      <c r="BT109">
        <v>79405799.810000002</v>
      </c>
      <c r="BU109">
        <v>81721356</v>
      </c>
      <c r="BV109">
        <v>85215879.510000005</v>
      </c>
      <c r="BW109">
        <v>90095131</v>
      </c>
      <c r="BX109">
        <v>99274010</v>
      </c>
      <c r="BY109">
        <v>108393123</v>
      </c>
      <c r="BZ109">
        <v>115154100.90000001</v>
      </c>
      <c r="CA109">
        <v>91323153</v>
      </c>
    </row>
    <row r="110" spans="2:79" x14ac:dyDescent="0.3">
      <c r="B110" s="9">
        <v>108</v>
      </c>
      <c r="C110" s="49">
        <v>9833</v>
      </c>
      <c r="D110" s="9">
        <f>YEAR(Tabla1[[#This Row],[Date]])</f>
        <v>1926</v>
      </c>
      <c r="E110" s="9" t="str" cm="1">
        <f t="array" ref="E110">IFERROR(_xlfn.IFS(AND(D110&lt;1980,D110&gt;=1970),"70",AND(D110&lt;1990,D110&gt;=1980),"80",AND(D110&lt;2000,D110&gt;=1990),"90",AND(D110&lt;2010,D110&gt;=2000),"00",AND(D110&lt;=2019,D110&gt;=2010),"10"),"1908-1970")</f>
        <v>1908-1970</v>
      </c>
      <c r="F110" s="3" t="s">
        <v>28931</v>
      </c>
      <c r="G110" t="s">
        <v>5394</v>
      </c>
      <c r="H110" t="s">
        <v>5096</v>
      </c>
      <c r="I110" t="s">
        <v>28931</v>
      </c>
      <c r="J110" t="s">
        <v>28931</v>
      </c>
      <c r="K110" t="s">
        <v>5395</v>
      </c>
      <c r="L110" s="7">
        <v>602</v>
      </c>
      <c r="M110" t="s">
        <v>28931</v>
      </c>
      <c r="N110">
        <v>1</v>
      </c>
      <c r="O110">
        <v>0</v>
      </c>
      <c r="P110">
        <v>1</v>
      </c>
      <c r="Q110">
        <v>1</v>
      </c>
      <c r="R110">
        <v>0</v>
      </c>
      <c r="S110">
        <v>1</v>
      </c>
      <c r="T110">
        <v>0</v>
      </c>
      <c r="U110" t="s">
        <v>5396</v>
      </c>
      <c r="V110">
        <f>Tabla1[[#This Row],[Aboard]]-Tabla1[[#This Row],[Fatalities]]</f>
        <v>0</v>
      </c>
      <c r="W110" s="50">
        <f>IFERROR(Tabla1[[#This Row],[Fatalities]]/Tabla1[[#This Row],[Aboard]],0)</f>
        <v>1</v>
      </c>
      <c r="X110" s="51" t="str" cm="1">
        <f t="array" ref="X110">_xlfn.IFS(Tabla1[[#This Row],[Porcentaje de muertes]]&lt;0.35,"LEVE",AND(Tabla1[[#This Row],[Porcentaje de muertes]]&gt;0.35,Tabla1[[#This Row],[Porcentaje de muertes]]&lt;0.65),"MEDIO",Tabla1[[#This Row],[Porcentaje de muertes]]&gt;0.65,"GRAVE")</f>
        <v>GRAVE</v>
      </c>
      <c r="AB110" t="s">
        <v>28566</v>
      </c>
      <c r="AC110" t="s">
        <v>28567</v>
      </c>
      <c r="AD110">
        <v>3515700</v>
      </c>
      <c r="AE110">
        <v>3803500</v>
      </c>
      <c r="AF110">
        <v>3948000</v>
      </c>
      <c r="AG110">
        <v>4566600</v>
      </c>
      <c r="AH110">
        <v>4877600</v>
      </c>
      <c r="AI110">
        <v>5143400</v>
      </c>
      <c r="AJ110">
        <v>5969600</v>
      </c>
      <c r="AK110">
        <v>5886400</v>
      </c>
      <c r="AL110">
        <v>6282700</v>
      </c>
      <c r="AM110">
        <v>7074900</v>
      </c>
      <c r="AN110">
        <v>7460800</v>
      </c>
      <c r="AO110">
        <v>7955500</v>
      </c>
      <c r="AP110">
        <v>8121600</v>
      </c>
      <c r="AQ110">
        <v>8289700</v>
      </c>
      <c r="AR110">
        <v>8645700</v>
      </c>
      <c r="AS110">
        <v>8189200</v>
      </c>
      <c r="AT110">
        <v>8344900</v>
      </c>
      <c r="AU110">
        <v>8444200</v>
      </c>
      <c r="AV110">
        <v>9398800</v>
      </c>
      <c r="AW110">
        <v>8932700</v>
      </c>
      <c r="AX110">
        <v>9532400</v>
      </c>
      <c r="AY110">
        <v>8575600</v>
      </c>
      <c r="AZ110">
        <v>8732400</v>
      </c>
      <c r="BA110">
        <v>9827700</v>
      </c>
      <c r="BB110">
        <v>9625900</v>
      </c>
      <c r="BC110">
        <v>9409100</v>
      </c>
      <c r="BD110">
        <v>9909400</v>
      </c>
      <c r="BE110">
        <v>9687900</v>
      </c>
      <c r="BF110">
        <v>10111600</v>
      </c>
      <c r="BG110">
        <v>9667100</v>
      </c>
      <c r="BH110">
        <v>9717790</v>
      </c>
      <c r="BI110">
        <v>9004648</v>
      </c>
      <c r="BJ110">
        <v>9520466</v>
      </c>
      <c r="BK110">
        <v>9589210</v>
      </c>
      <c r="BL110">
        <v>11521059</v>
      </c>
      <c r="BM110">
        <v>12043442</v>
      </c>
      <c r="BN110">
        <v>12597117</v>
      </c>
      <c r="BO110">
        <v>13303609</v>
      </c>
      <c r="BP110">
        <v>13629524</v>
      </c>
      <c r="BQ110" t="s">
        <v>28966</v>
      </c>
      <c r="BR110">
        <v>20684326.649999999</v>
      </c>
      <c r="BS110">
        <v>24962357.719999999</v>
      </c>
      <c r="BT110">
        <v>24940008.350000001</v>
      </c>
      <c r="BU110">
        <v>26632300.300000001</v>
      </c>
      <c r="BV110">
        <v>28818417.640000001</v>
      </c>
      <c r="BW110">
        <v>29195205</v>
      </c>
      <c r="BX110">
        <v>30511414</v>
      </c>
      <c r="BY110">
        <v>36509497.630000003</v>
      </c>
      <c r="BZ110">
        <v>42006620.119999997</v>
      </c>
      <c r="CA110">
        <v>39953813.560000002</v>
      </c>
    </row>
    <row r="111" spans="2:79" x14ac:dyDescent="0.3">
      <c r="B111" s="9">
        <v>109</v>
      </c>
      <c r="C111" s="49">
        <v>9712</v>
      </c>
      <c r="D111" s="9">
        <f>YEAR(Tabla1[[#This Row],[Date]])</f>
        <v>1926</v>
      </c>
      <c r="E111" s="9" t="str" cm="1">
        <f t="array" ref="E111">IFERROR(_xlfn.IFS(AND(D111&lt;1980,D111&gt;=1970),"70",AND(D111&lt;1990,D111&gt;=1980),"80",AND(D111&lt;2000,D111&gt;=1990),"90",AND(D111&lt;2010,D111&gt;=2000),"00",AND(D111&lt;=2019,D111&gt;=2010),"10"),"1908-1970")</f>
        <v>1908-1970</v>
      </c>
      <c r="F111" s="3" t="s">
        <v>28931</v>
      </c>
      <c r="G111" t="s">
        <v>5397</v>
      </c>
      <c r="H111" t="s">
        <v>5398</v>
      </c>
      <c r="I111" t="s">
        <v>28931</v>
      </c>
      <c r="J111" t="s">
        <v>28931</v>
      </c>
      <c r="K111" t="s">
        <v>5157</v>
      </c>
      <c r="L111" s="7" t="s">
        <v>5399</v>
      </c>
      <c r="M111">
        <v>665</v>
      </c>
      <c r="N111">
        <v>1</v>
      </c>
      <c r="O111">
        <v>0</v>
      </c>
      <c r="P111">
        <v>1</v>
      </c>
      <c r="Q111">
        <v>1</v>
      </c>
      <c r="R111">
        <v>0</v>
      </c>
      <c r="S111">
        <v>1</v>
      </c>
      <c r="T111">
        <v>0</v>
      </c>
      <c r="U111" t="s">
        <v>5400</v>
      </c>
      <c r="V111">
        <f>Tabla1[[#This Row],[Aboard]]-Tabla1[[#This Row],[Fatalities]]</f>
        <v>0</v>
      </c>
      <c r="W111" s="50">
        <f>IFERROR(Tabla1[[#This Row],[Fatalities]]/Tabla1[[#This Row],[Aboard]],0)</f>
        <v>1</v>
      </c>
      <c r="X111" s="51" t="str" cm="1">
        <f t="array" ref="X111">_xlfn.IFS(Tabla1[[#This Row],[Porcentaje de muertes]]&lt;0.35,"LEVE",AND(Tabla1[[#This Row],[Porcentaje de muertes]]&gt;0.35,Tabla1[[#This Row],[Porcentaje de muertes]]&lt;0.65),"MEDIO",Tabla1[[#This Row],[Porcentaje de muertes]]&gt;0.65,"GRAVE")</f>
        <v>GRAVE</v>
      </c>
      <c r="AB111" t="s">
        <v>9497</v>
      </c>
      <c r="AC111" t="s">
        <v>28568</v>
      </c>
      <c r="AD111" t="s">
        <v>28966</v>
      </c>
      <c r="AE111" t="s">
        <v>28966</v>
      </c>
      <c r="AF111" t="s">
        <v>28966</v>
      </c>
      <c r="AG111" t="s">
        <v>28966</v>
      </c>
      <c r="AH111" t="s">
        <v>28966</v>
      </c>
      <c r="AI111" t="s">
        <v>28966</v>
      </c>
      <c r="AJ111" t="s">
        <v>28966</v>
      </c>
      <c r="AK111" t="s">
        <v>28966</v>
      </c>
      <c r="AL111" t="s">
        <v>28966</v>
      </c>
      <c r="AM111" t="s">
        <v>28966</v>
      </c>
      <c r="AN111" t="s">
        <v>28966</v>
      </c>
      <c r="AO111" t="s">
        <v>28966</v>
      </c>
      <c r="AP111" t="s">
        <v>28966</v>
      </c>
      <c r="AQ111" t="s">
        <v>28966</v>
      </c>
      <c r="AR111" t="s">
        <v>28966</v>
      </c>
      <c r="AS111" t="s">
        <v>28966</v>
      </c>
      <c r="AT111" t="s">
        <v>28966</v>
      </c>
      <c r="AU111" t="s">
        <v>28966</v>
      </c>
      <c r="AV111" t="s">
        <v>28966</v>
      </c>
      <c r="AW111" t="s">
        <v>28966</v>
      </c>
      <c r="AX111" t="s">
        <v>28966</v>
      </c>
      <c r="AY111" t="s">
        <v>28966</v>
      </c>
      <c r="AZ111" t="s">
        <v>28966</v>
      </c>
      <c r="BA111" t="s">
        <v>28966</v>
      </c>
      <c r="BB111" t="s">
        <v>28966</v>
      </c>
      <c r="BC111" t="s">
        <v>28966</v>
      </c>
      <c r="BD111" t="s">
        <v>28966</v>
      </c>
      <c r="BE111" t="s">
        <v>28966</v>
      </c>
      <c r="BF111" t="s">
        <v>28966</v>
      </c>
      <c r="BG111" t="s">
        <v>28966</v>
      </c>
      <c r="BH111" t="s">
        <v>28966</v>
      </c>
      <c r="BI111" t="s">
        <v>28966</v>
      </c>
      <c r="BJ111" t="s">
        <v>28966</v>
      </c>
      <c r="BK111" t="s">
        <v>28966</v>
      </c>
      <c r="BL111" t="s">
        <v>28966</v>
      </c>
      <c r="BM111" t="s">
        <v>28966</v>
      </c>
      <c r="BN111" t="s">
        <v>28966</v>
      </c>
      <c r="BO111" t="s">
        <v>28966</v>
      </c>
      <c r="BP111" t="s">
        <v>28966</v>
      </c>
      <c r="BQ111" t="s">
        <v>28966</v>
      </c>
      <c r="BR111" t="s">
        <v>28966</v>
      </c>
      <c r="BS111" t="s">
        <v>28966</v>
      </c>
      <c r="BT111" t="s">
        <v>28966</v>
      </c>
      <c r="BU111" t="s">
        <v>28966</v>
      </c>
      <c r="BV111" t="s">
        <v>28966</v>
      </c>
      <c r="BW111" t="s">
        <v>28966</v>
      </c>
      <c r="BX111" t="s">
        <v>28966</v>
      </c>
      <c r="BY111" t="s">
        <v>28966</v>
      </c>
      <c r="BZ111" t="s">
        <v>28966</v>
      </c>
      <c r="CA111" t="s">
        <v>28966</v>
      </c>
    </row>
    <row r="112" spans="2:79" x14ac:dyDescent="0.3">
      <c r="B112" s="9">
        <v>110</v>
      </c>
      <c r="C112" s="49">
        <v>9648</v>
      </c>
      <c r="D112" s="9">
        <f>YEAR(Tabla1[[#This Row],[Date]])</f>
        <v>1926</v>
      </c>
      <c r="E112" s="9" t="str" cm="1">
        <f t="array" ref="E112">IFERROR(_xlfn.IFS(AND(D112&lt;1980,D112&gt;=1970),"70",AND(D112&lt;1990,D112&gt;=1980),"80",AND(D112&lt;2000,D112&gt;=1990),"90",AND(D112&lt;2010,D112&gt;=2000),"00",AND(D112&lt;=2019,D112&gt;=2010),"10"),"1908-1970")</f>
        <v>1908-1970</v>
      </c>
      <c r="F112" s="3" t="s">
        <v>28931</v>
      </c>
      <c r="G112" t="s">
        <v>5401</v>
      </c>
      <c r="H112" t="s">
        <v>5298</v>
      </c>
      <c r="I112" t="s">
        <v>28931</v>
      </c>
      <c r="J112" t="s">
        <v>5402</v>
      </c>
      <c r="K112" t="s">
        <v>5167</v>
      </c>
      <c r="L112" s="7" t="s">
        <v>5403</v>
      </c>
      <c r="M112">
        <v>1908</v>
      </c>
      <c r="N112">
        <v>1</v>
      </c>
      <c r="O112">
        <v>0</v>
      </c>
      <c r="P112">
        <v>1</v>
      </c>
      <c r="Q112">
        <v>1</v>
      </c>
      <c r="R112">
        <v>0</v>
      </c>
      <c r="S112">
        <v>1</v>
      </c>
      <c r="T112">
        <v>0</v>
      </c>
      <c r="U112" t="s">
        <v>5404</v>
      </c>
      <c r="V112">
        <f>Tabla1[[#This Row],[Aboard]]-Tabla1[[#This Row],[Fatalities]]</f>
        <v>0</v>
      </c>
      <c r="W112" s="50">
        <f>IFERROR(Tabla1[[#This Row],[Fatalities]]/Tabla1[[#This Row],[Aboard]],0)</f>
        <v>1</v>
      </c>
      <c r="X112" s="51" t="str" cm="1">
        <f t="array" ref="X112">_xlfn.IFS(Tabla1[[#This Row],[Porcentaje de muertes]]&lt;0.35,"LEVE",AND(Tabla1[[#This Row],[Porcentaje de muertes]]&gt;0.35,Tabla1[[#This Row],[Porcentaje de muertes]]&lt;0.65),"MEDIO",Tabla1[[#This Row],[Porcentaje de muertes]]&gt;0.65,"GRAVE")</f>
        <v>GRAVE</v>
      </c>
      <c r="AB112" t="s">
        <v>28569</v>
      </c>
      <c r="AC112" t="s">
        <v>28570</v>
      </c>
      <c r="AD112">
        <v>2671600</v>
      </c>
      <c r="AE112">
        <v>2554000</v>
      </c>
      <c r="AF112">
        <v>3285800</v>
      </c>
      <c r="AG112">
        <v>3391600</v>
      </c>
      <c r="AH112">
        <v>3037300</v>
      </c>
      <c r="AI112">
        <v>3839900</v>
      </c>
      <c r="AJ112">
        <v>4534000</v>
      </c>
      <c r="AK112">
        <v>5147500</v>
      </c>
      <c r="AL112">
        <v>6099600</v>
      </c>
      <c r="AM112">
        <v>6546800</v>
      </c>
      <c r="AN112">
        <v>6603100</v>
      </c>
      <c r="AO112">
        <v>7574500</v>
      </c>
      <c r="AP112">
        <v>8391700</v>
      </c>
      <c r="AQ112">
        <v>9164800</v>
      </c>
      <c r="AR112">
        <v>10125700</v>
      </c>
      <c r="AS112">
        <v>10993800</v>
      </c>
      <c r="AT112">
        <v>11785200</v>
      </c>
      <c r="AU112">
        <v>12668600</v>
      </c>
      <c r="AV112">
        <v>12863100</v>
      </c>
      <c r="AW112">
        <v>12740100</v>
      </c>
      <c r="AX112">
        <v>10862200</v>
      </c>
      <c r="AY112">
        <v>10717400</v>
      </c>
      <c r="AZ112">
        <v>11127100</v>
      </c>
      <c r="BA112">
        <v>9441600</v>
      </c>
      <c r="BB112">
        <v>11518400</v>
      </c>
      <c r="BC112">
        <v>14260600</v>
      </c>
      <c r="BD112">
        <v>13394600</v>
      </c>
      <c r="BE112">
        <v>16039800</v>
      </c>
      <c r="BF112">
        <v>16521000</v>
      </c>
      <c r="BG112">
        <v>16005400</v>
      </c>
      <c r="BH112">
        <v>17299483</v>
      </c>
      <c r="BI112">
        <v>16862737</v>
      </c>
      <c r="BJ112">
        <v>17633019</v>
      </c>
      <c r="BK112">
        <v>19455085</v>
      </c>
      <c r="BL112">
        <v>23934074</v>
      </c>
      <c r="BM112">
        <v>27879461</v>
      </c>
      <c r="BN112">
        <v>40288794</v>
      </c>
      <c r="BO112">
        <v>51897450</v>
      </c>
      <c r="BP112">
        <v>49877935</v>
      </c>
      <c r="BQ112">
        <v>54446373</v>
      </c>
      <c r="BR112">
        <v>64374253.799999997</v>
      </c>
      <c r="BS112">
        <v>73996912</v>
      </c>
      <c r="BT112">
        <v>72151828.890000001</v>
      </c>
      <c r="BU112">
        <v>75589071</v>
      </c>
      <c r="BV112">
        <v>82718882.879999995</v>
      </c>
      <c r="BW112">
        <v>98927860</v>
      </c>
      <c r="BX112">
        <v>119577835</v>
      </c>
      <c r="BY112">
        <v>139752424</v>
      </c>
      <c r="BZ112">
        <v>164035637.5</v>
      </c>
      <c r="CA112">
        <v>167499116</v>
      </c>
    </row>
    <row r="113" spans="2:79" x14ac:dyDescent="0.3">
      <c r="B113" s="9">
        <v>111</v>
      </c>
      <c r="C113" s="49">
        <v>9563</v>
      </c>
      <c r="D113" s="9">
        <f>YEAR(Tabla1[[#This Row],[Date]])</f>
        <v>1926</v>
      </c>
      <c r="E113" s="9" t="str" cm="1">
        <f t="array" ref="E113">IFERROR(_xlfn.IFS(AND(D113&lt;1980,D113&gt;=1970),"70",AND(D113&lt;1990,D113&gt;=1980),"80",AND(D113&lt;2000,D113&gt;=1990),"90",AND(D113&lt;2010,D113&gt;=2000),"00",AND(D113&lt;=2019,D113&gt;=2010),"10"),"1908-1970")</f>
        <v>1908-1970</v>
      </c>
      <c r="F113" s="3" t="s">
        <v>28931</v>
      </c>
      <c r="G113" t="s">
        <v>5405</v>
      </c>
      <c r="H113" t="s">
        <v>5406</v>
      </c>
      <c r="I113" t="s">
        <v>28931</v>
      </c>
      <c r="J113" t="s">
        <v>5407</v>
      </c>
      <c r="K113" t="s">
        <v>5408</v>
      </c>
      <c r="L113" s="7" t="s">
        <v>5409</v>
      </c>
      <c r="M113">
        <v>5307</v>
      </c>
      <c r="N113">
        <v>6</v>
      </c>
      <c r="O113">
        <v>4</v>
      </c>
      <c r="P113">
        <v>2</v>
      </c>
      <c r="Q113">
        <v>6</v>
      </c>
      <c r="R113">
        <v>4</v>
      </c>
      <c r="S113">
        <v>2</v>
      </c>
      <c r="T113">
        <v>0</v>
      </c>
      <c r="U113" t="s">
        <v>5410</v>
      </c>
      <c r="V113">
        <f>Tabla1[[#This Row],[Aboard]]-Tabla1[[#This Row],[Fatalities]]</f>
        <v>0</v>
      </c>
      <c r="W113" s="50">
        <f>IFERROR(Tabla1[[#This Row],[Fatalities]]/Tabla1[[#This Row],[Aboard]],0)</f>
        <v>1</v>
      </c>
      <c r="X113" s="51" t="str" cm="1">
        <f t="array" ref="X113">_xlfn.IFS(Tabla1[[#This Row],[Porcentaje de muertes]]&lt;0.35,"LEVE",AND(Tabla1[[#This Row],[Porcentaje de muertes]]&gt;0.35,Tabla1[[#This Row],[Porcentaje de muertes]]&lt;0.65),"MEDIO",Tabla1[[#This Row],[Porcentaje de muertes]]&gt;0.65,"GRAVE")</f>
        <v>GRAVE</v>
      </c>
      <c r="AB113" t="s">
        <v>28571</v>
      </c>
      <c r="AC113" t="s">
        <v>28572</v>
      </c>
      <c r="AD113" t="s">
        <v>28966</v>
      </c>
      <c r="AE113" t="s">
        <v>28966</v>
      </c>
      <c r="AF113" t="s">
        <v>28966</v>
      </c>
      <c r="AG113" t="s">
        <v>28966</v>
      </c>
      <c r="AH113" t="s">
        <v>28966</v>
      </c>
      <c r="AI113" t="s">
        <v>28966</v>
      </c>
      <c r="AJ113" t="s">
        <v>28966</v>
      </c>
      <c r="AK113" t="s">
        <v>28966</v>
      </c>
      <c r="AL113" t="s">
        <v>28966</v>
      </c>
      <c r="AM113" t="s">
        <v>28966</v>
      </c>
      <c r="AN113" t="s">
        <v>28966</v>
      </c>
      <c r="AO113" t="s">
        <v>28966</v>
      </c>
      <c r="AP113" t="s">
        <v>28966</v>
      </c>
      <c r="AQ113" t="s">
        <v>28966</v>
      </c>
      <c r="AR113" t="s">
        <v>28966</v>
      </c>
      <c r="AS113" t="s">
        <v>28966</v>
      </c>
      <c r="AT113" t="s">
        <v>28966</v>
      </c>
      <c r="AU113" t="s">
        <v>28966</v>
      </c>
      <c r="AV113" t="s">
        <v>28966</v>
      </c>
      <c r="AW113" t="s">
        <v>28966</v>
      </c>
      <c r="AX113" t="s">
        <v>28966</v>
      </c>
      <c r="AY113" t="s">
        <v>28966</v>
      </c>
      <c r="AZ113" t="s">
        <v>28966</v>
      </c>
      <c r="BA113" t="s">
        <v>28966</v>
      </c>
      <c r="BB113" t="s">
        <v>28966</v>
      </c>
      <c r="BC113" t="s">
        <v>28966</v>
      </c>
      <c r="BD113" t="s">
        <v>28966</v>
      </c>
      <c r="BE113" t="s">
        <v>28966</v>
      </c>
      <c r="BF113" t="s">
        <v>28966</v>
      </c>
      <c r="BG113" t="s">
        <v>28966</v>
      </c>
      <c r="BH113" t="s">
        <v>28966</v>
      </c>
      <c r="BI113" t="s">
        <v>28966</v>
      </c>
      <c r="BJ113" t="s">
        <v>28966</v>
      </c>
      <c r="BK113" t="s">
        <v>28966</v>
      </c>
      <c r="BL113" t="s">
        <v>28966</v>
      </c>
      <c r="BM113" t="s">
        <v>28966</v>
      </c>
      <c r="BN113" t="s">
        <v>28966</v>
      </c>
      <c r="BO113" t="s">
        <v>28966</v>
      </c>
      <c r="BP113" t="s">
        <v>28966</v>
      </c>
      <c r="BQ113" t="s">
        <v>28966</v>
      </c>
      <c r="BR113" t="s">
        <v>28966</v>
      </c>
      <c r="BS113" t="s">
        <v>28966</v>
      </c>
      <c r="BT113" t="s">
        <v>28966</v>
      </c>
      <c r="BU113" t="s">
        <v>28966</v>
      </c>
      <c r="BV113" t="s">
        <v>28966</v>
      </c>
      <c r="BW113" t="s">
        <v>28966</v>
      </c>
      <c r="BX113" t="s">
        <v>28966</v>
      </c>
      <c r="BY113" t="s">
        <v>28966</v>
      </c>
      <c r="BZ113" t="s">
        <v>28966</v>
      </c>
      <c r="CA113" t="s">
        <v>28966</v>
      </c>
    </row>
    <row r="114" spans="2:79" x14ac:dyDescent="0.3">
      <c r="B114" s="9">
        <v>112</v>
      </c>
      <c r="C114" s="49">
        <v>9747</v>
      </c>
      <c r="D114" s="9">
        <f>YEAR(Tabla1[[#This Row],[Date]])</f>
        <v>1926</v>
      </c>
      <c r="E114" s="9" t="str" cm="1">
        <f t="array" ref="E114">IFERROR(_xlfn.IFS(AND(D114&lt;1980,D114&gt;=1970),"70",AND(D114&lt;1990,D114&gt;=1980),"80",AND(D114&lt;2000,D114&gt;=1990),"90",AND(D114&lt;2010,D114&gt;=2000),"00",AND(D114&lt;=2019,D114&gt;=2010),"10"),"1908-1970")</f>
        <v>1908-1970</v>
      </c>
      <c r="F114" s="3">
        <v>0.39583333333333331</v>
      </c>
      <c r="G114" t="s">
        <v>5411</v>
      </c>
      <c r="H114" t="s">
        <v>5332</v>
      </c>
      <c r="I114" t="s">
        <v>28931</v>
      </c>
      <c r="J114" t="s">
        <v>5412</v>
      </c>
      <c r="K114" t="s">
        <v>5413</v>
      </c>
      <c r="L114" s="7" t="s">
        <v>5414</v>
      </c>
      <c r="M114">
        <v>4759</v>
      </c>
      <c r="N114">
        <v>2</v>
      </c>
      <c r="O114">
        <v>1</v>
      </c>
      <c r="P114">
        <v>1</v>
      </c>
      <c r="Q114">
        <v>2</v>
      </c>
      <c r="R114">
        <v>1</v>
      </c>
      <c r="S114">
        <v>1</v>
      </c>
      <c r="T114">
        <v>0</v>
      </c>
      <c r="U114" t="s">
        <v>5415</v>
      </c>
      <c r="V114">
        <f>Tabla1[[#This Row],[Aboard]]-Tabla1[[#This Row],[Fatalities]]</f>
        <v>0</v>
      </c>
      <c r="W114" s="50">
        <f>IFERROR(Tabla1[[#This Row],[Fatalities]]/Tabla1[[#This Row],[Aboard]],0)</f>
        <v>1</v>
      </c>
      <c r="X114" s="51" t="str" cm="1">
        <f t="array" ref="X114">_xlfn.IFS(Tabla1[[#This Row],[Porcentaje de muertes]]&lt;0.35,"LEVE",AND(Tabla1[[#This Row],[Porcentaje de muertes]]&gt;0.35,Tabla1[[#This Row],[Porcentaje de muertes]]&lt;0.65),"MEDIO",Tabla1[[#This Row],[Porcentaje de muertes]]&gt;0.65,"GRAVE")</f>
        <v>GRAVE</v>
      </c>
      <c r="AB114" t="s">
        <v>28573</v>
      </c>
      <c r="AC114" t="s">
        <v>28574</v>
      </c>
      <c r="AD114">
        <v>1476300</v>
      </c>
      <c r="AE114">
        <v>1544200</v>
      </c>
      <c r="AF114">
        <v>1408800</v>
      </c>
      <c r="AG114">
        <v>1496300</v>
      </c>
      <c r="AH114">
        <v>1474600</v>
      </c>
      <c r="AI114">
        <v>1475700</v>
      </c>
      <c r="AJ114">
        <v>1578100</v>
      </c>
      <c r="AK114">
        <v>1675600</v>
      </c>
      <c r="AL114">
        <v>1781300</v>
      </c>
      <c r="AM114">
        <v>2022500</v>
      </c>
      <c r="AN114">
        <v>1830200</v>
      </c>
      <c r="AO114">
        <v>1978600</v>
      </c>
      <c r="AP114">
        <v>1949100</v>
      </c>
      <c r="AQ114">
        <v>1780800</v>
      </c>
      <c r="AR114">
        <v>1838500</v>
      </c>
      <c r="AS114">
        <v>1828800</v>
      </c>
      <c r="AT114">
        <v>1972000</v>
      </c>
      <c r="AU114">
        <v>2279000</v>
      </c>
      <c r="AV114">
        <v>3675600</v>
      </c>
      <c r="AW114">
        <v>4376300</v>
      </c>
      <c r="AX114">
        <v>4812300</v>
      </c>
      <c r="AY114">
        <v>4764600</v>
      </c>
      <c r="AZ114">
        <v>5006000</v>
      </c>
      <c r="BA114">
        <v>4650400</v>
      </c>
      <c r="BB114">
        <v>4825700</v>
      </c>
      <c r="BC114">
        <v>6586500</v>
      </c>
      <c r="BD114">
        <v>7676800</v>
      </c>
      <c r="BE114">
        <v>8963700</v>
      </c>
      <c r="BF114">
        <v>10401200</v>
      </c>
      <c r="BG114">
        <v>11948800</v>
      </c>
      <c r="BH114">
        <v>13983022</v>
      </c>
      <c r="BI114">
        <v>15450847</v>
      </c>
      <c r="BJ114">
        <v>19728801</v>
      </c>
      <c r="BK114">
        <v>28863657</v>
      </c>
      <c r="BL114">
        <v>34748853</v>
      </c>
      <c r="BM114">
        <v>42872544</v>
      </c>
      <c r="BN114">
        <v>50737809</v>
      </c>
      <c r="BO114">
        <v>60099058</v>
      </c>
      <c r="BP114">
        <v>69447262</v>
      </c>
      <c r="BQ114">
        <v>77747207</v>
      </c>
      <c r="BR114">
        <v>84784226</v>
      </c>
      <c r="BS114">
        <v>89956333.510000005</v>
      </c>
      <c r="BT114">
        <v>92637189.189999998</v>
      </c>
      <c r="BU114">
        <v>93408036</v>
      </c>
      <c r="BV114">
        <v>98449140</v>
      </c>
      <c r="BW114">
        <v>115928738</v>
      </c>
      <c r="BX114">
        <v>134065078</v>
      </c>
      <c r="BY114">
        <v>153944513</v>
      </c>
      <c r="BZ114">
        <v>167598633</v>
      </c>
      <c r="CA114">
        <v>170161848</v>
      </c>
    </row>
    <row r="115" spans="2:79" x14ac:dyDescent="0.3">
      <c r="B115" s="9">
        <v>113</v>
      </c>
      <c r="C115" s="49">
        <v>9702</v>
      </c>
      <c r="D115" s="9">
        <f>YEAR(Tabla1[[#This Row],[Date]])</f>
        <v>1926</v>
      </c>
      <c r="E115" s="9" t="str" cm="1">
        <f t="array" ref="E115">IFERROR(_xlfn.IFS(AND(D115&lt;1980,D115&gt;=1970),"70",AND(D115&lt;1990,D115&gt;=1980),"80",AND(D115&lt;2000,D115&gt;=1990),"90",AND(D115&lt;2010,D115&gt;=2000),"00",AND(D115&lt;=2019,D115&gt;=2010),"10"),"1908-1970")</f>
        <v>1908-1970</v>
      </c>
      <c r="F115" s="3" t="s">
        <v>28931</v>
      </c>
      <c r="G115" t="s">
        <v>5416</v>
      </c>
      <c r="H115" t="s">
        <v>5417</v>
      </c>
      <c r="I115" t="s">
        <v>28931</v>
      </c>
      <c r="J115" t="s">
        <v>28931</v>
      </c>
      <c r="K115" t="s">
        <v>5157</v>
      </c>
      <c r="L115" s="7" t="s">
        <v>5418</v>
      </c>
      <c r="M115">
        <v>660</v>
      </c>
      <c r="N115">
        <v>5</v>
      </c>
      <c r="O115">
        <v>4</v>
      </c>
      <c r="P115">
        <v>1</v>
      </c>
      <c r="Q115">
        <v>5</v>
      </c>
      <c r="R115">
        <v>4</v>
      </c>
      <c r="S115">
        <v>1</v>
      </c>
      <c r="T115">
        <v>0</v>
      </c>
      <c r="U115" t="s">
        <v>5419</v>
      </c>
      <c r="V115">
        <f>Tabla1[[#This Row],[Aboard]]-Tabla1[[#This Row],[Fatalities]]</f>
        <v>0</v>
      </c>
      <c r="W115" s="50">
        <f>IFERROR(Tabla1[[#This Row],[Fatalities]]/Tabla1[[#This Row],[Aboard]],0)</f>
        <v>1</v>
      </c>
      <c r="X115" s="51" t="str" cm="1">
        <f t="array" ref="X115">_xlfn.IFS(Tabla1[[#This Row],[Porcentaje de muertes]]&lt;0.35,"LEVE",AND(Tabla1[[#This Row],[Porcentaje de muertes]]&gt;0.35,Tabla1[[#This Row],[Porcentaje de muertes]]&lt;0.65),"MEDIO",Tabla1[[#This Row],[Porcentaje de muertes]]&gt;0.65,"GRAVE")</f>
        <v>GRAVE</v>
      </c>
      <c r="AB115" t="s">
        <v>28575</v>
      </c>
      <c r="AC115" t="s">
        <v>28576</v>
      </c>
      <c r="AD115">
        <v>715600</v>
      </c>
      <c r="AE115">
        <v>761400</v>
      </c>
      <c r="AF115">
        <v>894800</v>
      </c>
      <c r="AG115">
        <v>1141600</v>
      </c>
      <c r="AH115">
        <v>1361900</v>
      </c>
      <c r="AI115">
        <v>1949400</v>
      </c>
      <c r="AJ115">
        <v>2499100</v>
      </c>
      <c r="AK115">
        <v>3005400</v>
      </c>
      <c r="AL115">
        <v>3333500</v>
      </c>
      <c r="AM115">
        <v>2168700</v>
      </c>
      <c r="AN115">
        <v>1998100</v>
      </c>
      <c r="AO115">
        <v>1539700</v>
      </c>
      <c r="AP115">
        <v>2127800</v>
      </c>
      <c r="AQ115">
        <v>3190900</v>
      </c>
      <c r="AR115">
        <v>4087800</v>
      </c>
      <c r="AS115">
        <v>3422000</v>
      </c>
      <c r="AT115">
        <v>4670600</v>
      </c>
      <c r="AU115">
        <v>4846900</v>
      </c>
      <c r="AV115">
        <v>4486800</v>
      </c>
      <c r="AW115">
        <v>4882600</v>
      </c>
      <c r="AX115">
        <v>5632600</v>
      </c>
      <c r="AY115">
        <v>5537500</v>
      </c>
      <c r="AZ115">
        <v>4895600</v>
      </c>
      <c r="BA115">
        <v>5351800</v>
      </c>
      <c r="BB115">
        <v>5803500</v>
      </c>
      <c r="BC115">
        <v>6290600</v>
      </c>
      <c r="BD115">
        <v>7609600</v>
      </c>
      <c r="BE115">
        <v>9804100</v>
      </c>
      <c r="BF115">
        <v>9200400</v>
      </c>
      <c r="BG115">
        <v>8277300</v>
      </c>
      <c r="BH115">
        <v>8722145</v>
      </c>
      <c r="BI115">
        <v>16485326</v>
      </c>
      <c r="BJ115">
        <v>9891522</v>
      </c>
      <c r="BK115">
        <v>16301238</v>
      </c>
      <c r="BL115">
        <v>11877705</v>
      </c>
      <c r="BM115">
        <v>12708354</v>
      </c>
      <c r="BN115">
        <v>13623038</v>
      </c>
      <c r="BO115">
        <v>13915755</v>
      </c>
      <c r="BP115">
        <v>12029236</v>
      </c>
      <c r="BQ115">
        <v>13052716</v>
      </c>
      <c r="BR115">
        <v>18760850.379999999</v>
      </c>
      <c r="BS115">
        <v>19113946.16</v>
      </c>
      <c r="BT115">
        <v>17687478.52</v>
      </c>
      <c r="BU115">
        <v>16580818.01</v>
      </c>
      <c r="BV115">
        <v>16825260.829999998</v>
      </c>
      <c r="BW115">
        <v>13873256</v>
      </c>
      <c r="BX115">
        <v>17084581</v>
      </c>
      <c r="BY115">
        <v>26858178.780000001</v>
      </c>
      <c r="BZ115">
        <v>23029380</v>
      </c>
      <c r="CA115">
        <v>21641449.390000001</v>
      </c>
    </row>
    <row r="116" spans="2:79" x14ac:dyDescent="0.3">
      <c r="B116" s="9">
        <v>114</v>
      </c>
      <c r="C116" s="49">
        <v>9727</v>
      </c>
      <c r="D116" s="9">
        <f>YEAR(Tabla1[[#This Row],[Date]])</f>
        <v>1926</v>
      </c>
      <c r="E116" s="9" t="str" cm="1">
        <f t="array" ref="E116">IFERROR(_xlfn.IFS(AND(D116&lt;1980,D116&gt;=1970),"70",AND(D116&lt;1990,D116&gt;=1980),"80",AND(D116&lt;2000,D116&gt;=1990),"90",AND(D116&lt;2010,D116&gt;=2000),"00",AND(D116&lt;=2019,D116&gt;=2010),"10"),"1908-1970")</f>
        <v>1908-1970</v>
      </c>
      <c r="F116" s="3" t="s">
        <v>28931</v>
      </c>
      <c r="G116" t="s">
        <v>5420</v>
      </c>
      <c r="H116" t="s">
        <v>5298</v>
      </c>
      <c r="I116" t="s">
        <v>28931</v>
      </c>
      <c r="J116" t="s">
        <v>5421</v>
      </c>
      <c r="K116" t="s">
        <v>5422</v>
      </c>
      <c r="L116" s="7" t="s">
        <v>5423</v>
      </c>
      <c r="M116">
        <v>2</v>
      </c>
      <c r="N116">
        <v>15</v>
      </c>
      <c r="O116">
        <v>13</v>
      </c>
      <c r="P116">
        <v>2</v>
      </c>
      <c r="Q116">
        <v>3</v>
      </c>
      <c r="R116">
        <v>2</v>
      </c>
      <c r="S116">
        <v>1</v>
      </c>
      <c r="T116">
        <v>0</v>
      </c>
      <c r="U116" t="s">
        <v>5424</v>
      </c>
      <c r="V116">
        <f>Tabla1[[#This Row],[Aboard]]-Tabla1[[#This Row],[Fatalities]]</f>
        <v>12</v>
      </c>
      <c r="W116" s="50">
        <f>IFERROR(Tabla1[[#This Row],[Fatalities]]/Tabla1[[#This Row],[Aboard]],0)</f>
        <v>0.2</v>
      </c>
      <c r="X116" s="51" t="str" cm="1">
        <f t="array" ref="X116">_xlfn.IFS(Tabla1[[#This Row],[Porcentaje de muertes]]&lt;0.35,"LEVE",AND(Tabla1[[#This Row],[Porcentaje de muertes]]&gt;0.35,Tabla1[[#This Row],[Porcentaje de muertes]]&lt;0.65),"MEDIO",Tabla1[[#This Row],[Porcentaje de muertes]]&gt;0.65,"GRAVE")</f>
        <v>LEVE</v>
      </c>
      <c r="AB116" t="s">
        <v>28577</v>
      </c>
      <c r="AC116" t="s">
        <v>28578</v>
      </c>
      <c r="AD116">
        <v>197700</v>
      </c>
      <c r="AE116">
        <v>235600</v>
      </c>
      <c r="AF116">
        <v>186200</v>
      </c>
      <c r="AG116">
        <v>208800</v>
      </c>
      <c r="AH116">
        <v>290900</v>
      </c>
      <c r="AI116">
        <v>387600</v>
      </c>
      <c r="AJ116">
        <v>568000</v>
      </c>
      <c r="AK116">
        <v>672400</v>
      </c>
      <c r="AL116">
        <v>675300</v>
      </c>
      <c r="AM116">
        <v>687800</v>
      </c>
      <c r="AN116">
        <v>619900</v>
      </c>
      <c r="AO116">
        <v>457000</v>
      </c>
      <c r="AP116">
        <v>480600</v>
      </c>
      <c r="AQ116">
        <v>454000</v>
      </c>
      <c r="AR116">
        <v>435000</v>
      </c>
      <c r="AS116">
        <v>540000</v>
      </c>
      <c r="AT116">
        <v>535000</v>
      </c>
      <c r="AU116">
        <v>535000</v>
      </c>
      <c r="AV116">
        <v>1113000</v>
      </c>
      <c r="AW116">
        <v>1160800</v>
      </c>
      <c r="AX116">
        <v>701600</v>
      </c>
      <c r="AY116">
        <v>27700</v>
      </c>
      <c r="AZ116">
        <v>53000</v>
      </c>
      <c r="BA116" t="s">
        <v>28966</v>
      </c>
      <c r="BB116">
        <v>31500</v>
      </c>
      <c r="BC116" t="s">
        <v>28966</v>
      </c>
      <c r="BD116" t="s">
        <v>28966</v>
      </c>
      <c r="BE116" t="s">
        <v>28966</v>
      </c>
      <c r="BF116" t="s">
        <v>28966</v>
      </c>
      <c r="BG116" t="s">
        <v>28966</v>
      </c>
      <c r="BH116" t="s">
        <v>28966</v>
      </c>
      <c r="BI116" t="s">
        <v>28966</v>
      </c>
      <c r="BJ116" t="s">
        <v>28966</v>
      </c>
      <c r="BK116" t="s">
        <v>28966</v>
      </c>
      <c r="BL116" t="s">
        <v>28966</v>
      </c>
      <c r="BM116" t="s">
        <v>28966</v>
      </c>
      <c r="BN116" t="s">
        <v>28966</v>
      </c>
      <c r="BO116" t="s">
        <v>28966</v>
      </c>
      <c r="BP116" t="s">
        <v>28966</v>
      </c>
      <c r="BQ116" t="s">
        <v>28966</v>
      </c>
      <c r="BR116">
        <v>641129</v>
      </c>
      <c r="BS116">
        <v>761778.17440000002</v>
      </c>
      <c r="BT116">
        <v>784944.25300000003</v>
      </c>
      <c r="BU116">
        <v>476484</v>
      </c>
      <c r="BV116">
        <v>476484</v>
      </c>
      <c r="BW116">
        <v>2142554</v>
      </c>
      <c r="BX116">
        <v>2019816</v>
      </c>
      <c r="BY116">
        <v>1591490.01</v>
      </c>
      <c r="BZ116">
        <v>4812610</v>
      </c>
      <c r="CA116">
        <v>2717146</v>
      </c>
    </row>
    <row r="117" spans="2:79" x14ac:dyDescent="0.3">
      <c r="B117" s="9">
        <v>115</v>
      </c>
      <c r="C117" s="49">
        <v>9766</v>
      </c>
      <c r="D117" s="9">
        <f>YEAR(Tabla1[[#This Row],[Date]])</f>
        <v>1926</v>
      </c>
      <c r="E117" s="9" t="str" cm="1">
        <f t="array" ref="E117">IFERROR(_xlfn.IFS(AND(D117&lt;1980,D117&gt;=1970),"70",AND(D117&lt;1990,D117&gt;=1980),"80",AND(D117&lt;2000,D117&gt;=1990),"90",AND(D117&lt;2010,D117&gt;=2000),"00",AND(D117&lt;=2019,D117&gt;=2010),"10"),"1908-1970")</f>
        <v>1908-1970</v>
      </c>
      <c r="F117" s="3" t="s">
        <v>28931</v>
      </c>
      <c r="G117" t="s">
        <v>5425</v>
      </c>
      <c r="H117" t="s">
        <v>28931</v>
      </c>
      <c r="I117" t="s">
        <v>28931</v>
      </c>
      <c r="J117" t="s">
        <v>5426</v>
      </c>
      <c r="K117" t="s">
        <v>5427</v>
      </c>
      <c r="L117" s="7" t="s">
        <v>28931</v>
      </c>
      <c r="M117" t="s">
        <v>28931</v>
      </c>
      <c r="N117">
        <v>5</v>
      </c>
      <c r="O117">
        <v>4</v>
      </c>
      <c r="P117">
        <v>1</v>
      </c>
      <c r="Q117">
        <v>2</v>
      </c>
      <c r="R117">
        <v>2</v>
      </c>
      <c r="S117">
        <v>0</v>
      </c>
      <c r="T117">
        <v>0</v>
      </c>
      <c r="U117" t="s">
        <v>5428</v>
      </c>
      <c r="V117">
        <f>Tabla1[[#This Row],[Aboard]]-Tabla1[[#This Row],[Fatalities]]</f>
        <v>3</v>
      </c>
      <c r="W117" s="50">
        <f>IFERROR(Tabla1[[#This Row],[Fatalities]]/Tabla1[[#This Row],[Aboard]],0)</f>
        <v>0.4</v>
      </c>
      <c r="X117" s="51" t="str" cm="1">
        <f t="array" ref="X117">_xlfn.IFS(Tabla1[[#This Row],[Porcentaje de muertes]]&lt;0.35,"LEVE",AND(Tabla1[[#This Row],[Porcentaje de muertes]]&gt;0.35,Tabla1[[#This Row],[Porcentaje de muertes]]&lt;0.65),"MEDIO",Tabla1[[#This Row],[Porcentaje de muertes]]&gt;0.65,"GRAVE")</f>
        <v>MEDIO</v>
      </c>
      <c r="AB117" t="s">
        <v>28579</v>
      </c>
      <c r="AC117" t="s">
        <v>28580</v>
      </c>
      <c r="AD117">
        <v>457900</v>
      </c>
      <c r="AE117">
        <v>494100</v>
      </c>
      <c r="AF117">
        <v>545800</v>
      </c>
      <c r="AG117">
        <v>592800</v>
      </c>
      <c r="AH117">
        <v>611200</v>
      </c>
      <c r="AI117">
        <v>590200</v>
      </c>
      <c r="AJ117">
        <v>601500</v>
      </c>
      <c r="AK117">
        <v>645000</v>
      </c>
      <c r="AL117">
        <v>688000</v>
      </c>
      <c r="AM117">
        <v>694000</v>
      </c>
      <c r="AN117">
        <v>541500</v>
      </c>
      <c r="AO117">
        <v>522100</v>
      </c>
      <c r="AP117">
        <v>574300</v>
      </c>
      <c r="AQ117">
        <v>601400</v>
      </c>
      <c r="AR117">
        <v>710100</v>
      </c>
      <c r="AS117">
        <v>778000</v>
      </c>
      <c r="AT117">
        <v>808400</v>
      </c>
      <c r="AU117">
        <v>910100</v>
      </c>
      <c r="AV117">
        <v>844700</v>
      </c>
      <c r="AW117">
        <v>735900</v>
      </c>
      <c r="AX117">
        <v>759500</v>
      </c>
      <c r="AY117">
        <v>772600</v>
      </c>
      <c r="AZ117">
        <v>767100</v>
      </c>
      <c r="BA117">
        <v>801000</v>
      </c>
      <c r="BB117">
        <v>1031200</v>
      </c>
      <c r="BC117">
        <v>1097000</v>
      </c>
      <c r="BD117">
        <v>1239100</v>
      </c>
      <c r="BE117">
        <v>1334400</v>
      </c>
      <c r="BF117">
        <v>1592700</v>
      </c>
      <c r="BG117">
        <v>1350200</v>
      </c>
      <c r="BH117">
        <v>1431818</v>
      </c>
      <c r="BI117">
        <v>1357946</v>
      </c>
      <c r="BJ117">
        <v>1198920</v>
      </c>
      <c r="BK117">
        <v>1133775</v>
      </c>
      <c r="BL117">
        <v>1332811</v>
      </c>
      <c r="BM117">
        <v>1528929</v>
      </c>
      <c r="BN117">
        <v>1536157</v>
      </c>
      <c r="BO117">
        <v>1720496</v>
      </c>
      <c r="BP117">
        <v>1423422</v>
      </c>
      <c r="BQ117">
        <v>1364651</v>
      </c>
      <c r="BR117">
        <v>1851416.8419999999</v>
      </c>
      <c r="BS117">
        <v>2150527</v>
      </c>
      <c r="BT117">
        <v>2400160</v>
      </c>
      <c r="BU117">
        <v>2602714</v>
      </c>
      <c r="BV117">
        <v>3035882.7790000001</v>
      </c>
      <c r="BW117">
        <v>4134980</v>
      </c>
      <c r="BX117">
        <v>5710834</v>
      </c>
      <c r="BY117">
        <v>7242611</v>
      </c>
      <c r="BZ117">
        <v>7819740.5599999996</v>
      </c>
      <c r="CA117">
        <v>4656017</v>
      </c>
    </row>
    <row r="118" spans="2:79" x14ac:dyDescent="0.3">
      <c r="B118" s="9">
        <v>116</v>
      </c>
      <c r="C118" s="49">
        <v>9538</v>
      </c>
      <c r="D118" s="9">
        <f>YEAR(Tabla1[[#This Row],[Date]])</f>
        <v>1926</v>
      </c>
      <c r="E118" s="9" t="str" cm="1">
        <f t="array" ref="E118">IFERROR(_xlfn.IFS(AND(D118&lt;1980,D118&gt;=1970),"70",AND(D118&lt;1990,D118&gt;=1980),"80",AND(D118&lt;2000,D118&gt;=1990),"90",AND(D118&lt;2010,D118&gt;=2000),"00",AND(D118&lt;=2019,D118&gt;=2010),"10"),"1908-1970")</f>
        <v>1908-1970</v>
      </c>
      <c r="F118" s="3">
        <v>0.64374999999999993</v>
      </c>
      <c r="G118" t="s">
        <v>5429</v>
      </c>
      <c r="H118" t="s">
        <v>5298</v>
      </c>
      <c r="I118" t="s">
        <v>28931</v>
      </c>
      <c r="J118" t="s">
        <v>5293</v>
      </c>
      <c r="K118" t="s">
        <v>5422</v>
      </c>
      <c r="L118" s="7" t="s">
        <v>5430</v>
      </c>
      <c r="M118">
        <v>1</v>
      </c>
      <c r="N118">
        <v>7</v>
      </c>
      <c r="O118">
        <v>5</v>
      </c>
      <c r="P118">
        <v>2</v>
      </c>
      <c r="Q118">
        <v>7</v>
      </c>
      <c r="R118">
        <v>5</v>
      </c>
      <c r="S118">
        <v>2</v>
      </c>
      <c r="T118">
        <v>0</v>
      </c>
      <c r="U118" t="s">
        <v>5431</v>
      </c>
      <c r="V118">
        <f>Tabla1[[#This Row],[Aboard]]-Tabla1[[#This Row],[Fatalities]]</f>
        <v>0</v>
      </c>
      <c r="W118" s="50">
        <f>IFERROR(Tabla1[[#This Row],[Fatalities]]/Tabla1[[#This Row],[Aboard]],0)</f>
        <v>1</v>
      </c>
      <c r="X118" s="51" t="str" cm="1">
        <f t="array" ref="X118">_xlfn.IFS(Tabla1[[#This Row],[Porcentaje de muertes]]&lt;0.35,"LEVE",AND(Tabla1[[#This Row],[Porcentaje de muertes]]&gt;0.35,Tabla1[[#This Row],[Porcentaje de muertes]]&lt;0.65),"MEDIO",Tabla1[[#This Row],[Porcentaje de muertes]]&gt;0.65,"GRAVE")</f>
        <v>GRAVE</v>
      </c>
      <c r="AB118" t="s">
        <v>28581</v>
      </c>
      <c r="AC118" t="s">
        <v>28582</v>
      </c>
      <c r="AD118">
        <v>485000</v>
      </c>
      <c r="AE118">
        <v>1057400</v>
      </c>
      <c r="AF118">
        <v>1137100</v>
      </c>
      <c r="AG118">
        <v>1163500</v>
      </c>
      <c r="AH118">
        <v>1214300</v>
      </c>
      <c r="AI118">
        <v>1053700</v>
      </c>
      <c r="AJ118">
        <v>1299800</v>
      </c>
      <c r="AK118">
        <v>1454100</v>
      </c>
      <c r="AL118">
        <v>1519700</v>
      </c>
      <c r="AM118">
        <v>1584000</v>
      </c>
      <c r="AN118">
        <v>1483300</v>
      </c>
      <c r="AO118">
        <v>1585200</v>
      </c>
      <c r="AP118">
        <v>1480800</v>
      </c>
      <c r="AQ118">
        <v>1578700</v>
      </c>
      <c r="AR118">
        <v>1669400</v>
      </c>
      <c r="AS118">
        <v>1802700</v>
      </c>
      <c r="AT118">
        <v>1828600</v>
      </c>
      <c r="AU118">
        <v>2009700</v>
      </c>
      <c r="AV118">
        <v>1894600</v>
      </c>
      <c r="AW118">
        <v>2118000</v>
      </c>
      <c r="AX118">
        <v>2004000</v>
      </c>
      <c r="AY118">
        <v>2047500</v>
      </c>
      <c r="AZ118">
        <v>2391200</v>
      </c>
      <c r="BA118">
        <v>2569400</v>
      </c>
      <c r="BB118">
        <v>2980400</v>
      </c>
      <c r="BC118">
        <v>3453400</v>
      </c>
      <c r="BD118">
        <v>3694600</v>
      </c>
      <c r="BE118">
        <v>3753600</v>
      </c>
      <c r="BF118">
        <v>3698500</v>
      </c>
      <c r="BG118">
        <v>4033200</v>
      </c>
      <c r="BH118">
        <v>4442967</v>
      </c>
      <c r="BI118">
        <v>3967140</v>
      </c>
      <c r="BJ118">
        <v>3708138</v>
      </c>
      <c r="BK118">
        <v>3677879</v>
      </c>
      <c r="BL118">
        <v>4968931</v>
      </c>
      <c r="BM118">
        <v>4392448</v>
      </c>
      <c r="BN118">
        <v>4357151</v>
      </c>
      <c r="BO118">
        <v>4662615</v>
      </c>
      <c r="BP118">
        <v>4563041</v>
      </c>
      <c r="BQ118">
        <v>4605452</v>
      </c>
      <c r="BR118">
        <v>5084798</v>
      </c>
      <c r="BS118">
        <v>5151469</v>
      </c>
      <c r="BT118">
        <v>5381980</v>
      </c>
      <c r="BU118">
        <v>5565864</v>
      </c>
      <c r="BV118">
        <v>5886728</v>
      </c>
      <c r="BW118">
        <v>6331198</v>
      </c>
      <c r="BX118">
        <v>6866472</v>
      </c>
      <c r="BY118">
        <v>6993888</v>
      </c>
      <c r="BZ118">
        <v>7404373</v>
      </c>
      <c r="CA118">
        <v>6659838.3099999996</v>
      </c>
    </row>
    <row r="119" spans="2:79" x14ac:dyDescent="0.3">
      <c r="B119" s="9">
        <v>117</v>
      </c>
      <c r="C119" s="49">
        <v>9719</v>
      </c>
      <c r="D119" s="9">
        <f>YEAR(Tabla1[[#This Row],[Date]])</f>
        <v>1926</v>
      </c>
      <c r="E119" s="9" t="str" cm="1">
        <f t="array" ref="E119">IFERROR(_xlfn.IFS(AND(D119&lt;1980,D119&gt;=1970),"70",AND(D119&lt;1990,D119&gt;=1980),"80",AND(D119&lt;2000,D119&gt;=1990),"90",AND(D119&lt;2010,D119&gt;=2000),"00",AND(D119&lt;=2019,D119&gt;=2010),"10"),"1908-1970")</f>
        <v>1908-1970</v>
      </c>
      <c r="F119" s="3" t="s">
        <v>28931</v>
      </c>
      <c r="G119" t="s">
        <v>5432</v>
      </c>
      <c r="H119" t="s">
        <v>5417</v>
      </c>
      <c r="I119" t="s">
        <v>28931</v>
      </c>
      <c r="J119" t="s">
        <v>28931</v>
      </c>
      <c r="K119" t="s">
        <v>5433</v>
      </c>
      <c r="L119" s="7" t="s">
        <v>5434</v>
      </c>
      <c r="M119">
        <v>1554</v>
      </c>
      <c r="N119">
        <v>4</v>
      </c>
      <c r="O119">
        <v>3</v>
      </c>
      <c r="P119">
        <v>1</v>
      </c>
      <c r="Q119">
        <v>4</v>
      </c>
      <c r="R119">
        <v>3</v>
      </c>
      <c r="S119">
        <v>1</v>
      </c>
      <c r="T119">
        <v>0</v>
      </c>
      <c r="U119" t="s">
        <v>5435</v>
      </c>
      <c r="V119">
        <f>Tabla1[[#This Row],[Aboard]]-Tabla1[[#This Row],[Fatalities]]</f>
        <v>0</v>
      </c>
      <c r="W119" s="50">
        <f>IFERROR(Tabla1[[#This Row],[Fatalities]]/Tabla1[[#This Row],[Aboard]],0)</f>
        <v>1</v>
      </c>
      <c r="X119" s="51" t="str" cm="1">
        <f t="array" ref="X119">_xlfn.IFS(Tabla1[[#This Row],[Porcentaje de muertes]]&lt;0.35,"LEVE",AND(Tabla1[[#This Row],[Porcentaje de muertes]]&gt;0.35,Tabla1[[#This Row],[Porcentaje de muertes]]&lt;0.65),"MEDIO",Tabla1[[#This Row],[Porcentaje de muertes]]&gt;0.65,"GRAVE")</f>
        <v>GRAVE</v>
      </c>
      <c r="AB119" t="s">
        <v>28583</v>
      </c>
      <c r="AC119" t="s">
        <v>28584</v>
      </c>
      <c r="AD119">
        <v>6743700</v>
      </c>
      <c r="AE119">
        <v>7644100</v>
      </c>
      <c r="AF119">
        <v>7462200</v>
      </c>
      <c r="AG119">
        <v>8189900</v>
      </c>
      <c r="AH119">
        <v>8631400</v>
      </c>
      <c r="AI119">
        <v>8360600</v>
      </c>
      <c r="AJ119">
        <v>8238100</v>
      </c>
      <c r="AK119">
        <v>9424100</v>
      </c>
      <c r="AL119">
        <v>9507000</v>
      </c>
      <c r="AM119">
        <v>9462500</v>
      </c>
      <c r="AN119">
        <v>9955800</v>
      </c>
      <c r="AO119">
        <v>10493300</v>
      </c>
      <c r="AP119">
        <v>11611000</v>
      </c>
      <c r="AQ119">
        <v>11996600</v>
      </c>
      <c r="AR119">
        <v>12593600</v>
      </c>
      <c r="AS119">
        <v>14408000</v>
      </c>
      <c r="AT119">
        <v>13811100</v>
      </c>
      <c r="AU119">
        <v>15268100</v>
      </c>
      <c r="AV119">
        <v>15649200</v>
      </c>
      <c r="AW119">
        <v>17437700</v>
      </c>
      <c r="AX119">
        <v>19750000</v>
      </c>
      <c r="AY119">
        <v>18846800</v>
      </c>
      <c r="AZ119">
        <v>21766700</v>
      </c>
      <c r="BA119">
        <v>21901400</v>
      </c>
      <c r="BB119">
        <v>22959300</v>
      </c>
      <c r="BC119">
        <v>23665800</v>
      </c>
      <c r="BD119">
        <v>25838500</v>
      </c>
      <c r="BE119">
        <v>28183900</v>
      </c>
      <c r="BF119">
        <v>27462700</v>
      </c>
      <c r="BG119">
        <v>28281000</v>
      </c>
      <c r="BH119">
        <v>30418137</v>
      </c>
      <c r="BI119">
        <v>31031074</v>
      </c>
      <c r="BJ119">
        <v>28244627</v>
      </c>
      <c r="BK119">
        <v>36345771</v>
      </c>
      <c r="BL119">
        <v>35922093</v>
      </c>
      <c r="BM119">
        <v>36115764</v>
      </c>
      <c r="BN119">
        <v>36709131</v>
      </c>
      <c r="BO119">
        <v>37830745</v>
      </c>
      <c r="BP119">
        <v>30672048</v>
      </c>
      <c r="BQ119">
        <v>33194501</v>
      </c>
      <c r="BR119">
        <v>32645164</v>
      </c>
      <c r="BS119">
        <v>33923370.509999998</v>
      </c>
      <c r="BT119">
        <v>31072962.16</v>
      </c>
      <c r="BU119">
        <v>27846220</v>
      </c>
      <c r="BV119">
        <v>27193939</v>
      </c>
      <c r="BW119">
        <v>28603919</v>
      </c>
      <c r="BX119">
        <v>29120041</v>
      </c>
      <c r="BY119">
        <v>26288001</v>
      </c>
      <c r="BZ119">
        <v>27243741</v>
      </c>
      <c r="CA119">
        <v>27760301</v>
      </c>
    </row>
    <row r="120" spans="2:79" x14ac:dyDescent="0.3">
      <c r="B120" s="9">
        <v>118</v>
      </c>
      <c r="C120" s="49">
        <v>9791</v>
      </c>
      <c r="D120" s="9">
        <f>YEAR(Tabla1[[#This Row],[Date]])</f>
        <v>1926</v>
      </c>
      <c r="E120" s="9" t="str" cm="1">
        <f t="array" ref="E120">IFERROR(_xlfn.IFS(AND(D120&lt;1980,D120&gt;=1970),"70",AND(D120&lt;1990,D120&gt;=1980),"80",AND(D120&lt;2000,D120&gt;=1990),"90",AND(D120&lt;2010,D120&gt;=2000),"00",AND(D120&lt;=2019,D120&gt;=2010),"10"),"1908-1970")</f>
        <v>1908-1970</v>
      </c>
      <c r="F120" s="3">
        <v>0.55208333333333337</v>
      </c>
      <c r="G120" t="s">
        <v>5401</v>
      </c>
      <c r="H120" t="s">
        <v>5350</v>
      </c>
      <c r="I120" t="s">
        <v>28931</v>
      </c>
      <c r="J120" t="s">
        <v>5247</v>
      </c>
      <c r="K120" t="s">
        <v>5436</v>
      </c>
      <c r="L120" s="7" t="s">
        <v>5437</v>
      </c>
      <c r="M120" t="s">
        <v>5438</v>
      </c>
      <c r="N120">
        <v>12</v>
      </c>
      <c r="O120">
        <v>10</v>
      </c>
      <c r="P120">
        <v>2</v>
      </c>
      <c r="Q120">
        <v>0</v>
      </c>
      <c r="R120">
        <v>0</v>
      </c>
      <c r="S120">
        <v>0</v>
      </c>
      <c r="T120">
        <v>0</v>
      </c>
      <c r="U120" t="s">
        <v>5439</v>
      </c>
      <c r="V120">
        <f>Tabla1[[#This Row],[Aboard]]-Tabla1[[#This Row],[Fatalities]]</f>
        <v>12</v>
      </c>
      <c r="W120" s="50">
        <f>IFERROR(Tabla1[[#This Row],[Fatalities]]/Tabla1[[#This Row],[Aboard]],0)</f>
        <v>0</v>
      </c>
      <c r="X120" s="51" t="str" cm="1">
        <f t="array" ref="X120">_xlfn.IFS(Tabla1[[#This Row],[Porcentaje de muertes]]&lt;0.35,"LEVE",AND(Tabla1[[#This Row],[Porcentaje de muertes]]&gt;0.35,Tabla1[[#This Row],[Porcentaje de muertes]]&lt;0.65),"MEDIO",Tabla1[[#This Row],[Porcentaje de muertes]]&gt;0.65,"GRAVE")</f>
        <v>LEVE</v>
      </c>
      <c r="AB120" t="s">
        <v>28585</v>
      </c>
      <c r="AC120" t="s">
        <v>28586</v>
      </c>
      <c r="AD120">
        <v>278700</v>
      </c>
      <c r="AE120">
        <v>425400</v>
      </c>
      <c r="AF120">
        <v>554900</v>
      </c>
      <c r="AG120">
        <v>568500</v>
      </c>
      <c r="AH120">
        <v>743300</v>
      </c>
      <c r="AI120">
        <v>696800</v>
      </c>
      <c r="AJ120">
        <v>706500</v>
      </c>
      <c r="AK120">
        <v>601800</v>
      </c>
      <c r="AL120">
        <v>705900</v>
      </c>
      <c r="AM120">
        <v>795300</v>
      </c>
      <c r="AN120">
        <v>722700</v>
      </c>
      <c r="AO120">
        <v>727800</v>
      </c>
      <c r="AP120">
        <v>729600</v>
      </c>
      <c r="AQ120">
        <v>716300</v>
      </c>
      <c r="AR120">
        <v>826000</v>
      </c>
      <c r="AS120">
        <v>887600</v>
      </c>
      <c r="AT120">
        <v>1058600</v>
      </c>
      <c r="AU120">
        <v>1257500</v>
      </c>
      <c r="AV120">
        <v>1188700</v>
      </c>
      <c r="AW120">
        <v>1210800</v>
      </c>
      <c r="AX120">
        <v>1003600</v>
      </c>
      <c r="AY120">
        <v>894000</v>
      </c>
      <c r="AZ120">
        <v>983200</v>
      </c>
      <c r="BA120">
        <v>1037800</v>
      </c>
      <c r="BB120">
        <v>1011000</v>
      </c>
      <c r="BC120">
        <v>1126400</v>
      </c>
      <c r="BD120">
        <v>1388300</v>
      </c>
      <c r="BE120">
        <v>1400100</v>
      </c>
      <c r="BF120">
        <v>1453900</v>
      </c>
      <c r="BG120">
        <v>1669800</v>
      </c>
      <c r="BH120">
        <v>1922123</v>
      </c>
      <c r="BI120">
        <v>1946123</v>
      </c>
      <c r="BJ120">
        <v>2016000</v>
      </c>
      <c r="BK120">
        <v>1838047</v>
      </c>
      <c r="BL120">
        <v>2007765</v>
      </c>
      <c r="BM120">
        <v>1573785</v>
      </c>
      <c r="BN120">
        <v>1526571</v>
      </c>
      <c r="BO120">
        <v>1618165</v>
      </c>
      <c r="BP120">
        <v>1644056</v>
      </c>
      <c r="BQ120">
        <v>1380000</v>
      </c>
      <c r="BR120">
        <v>0</v>
      </c>
      <c r="BS120">
        <v>0</v>
      </c>
      <c r="BT120">
        <v>0</v>
      </c>
      <c r="BU120">
        <v>46272</v>
      </c>
      <c r="BV120">
        <v>76244</v>
      </c>
      <c r="BW120">
        <v>92836</v>
      </c>
      <c r="BX120">
        <v>136744</v>
      </c>
      <c r="BY120">
        <v>151326</v>
      </c>
      <c r="BZ120">
        <v>180951.272</v>
      </c>
      <c r="CA120" t="s">
        <v>28966</v>
      </c>
    </row>
    <row r="121" spans="2:79" x14ac:dyDescent="0.3">
      <c r="B121" s="9">
        <v>119</v>
      </c>
      <c r="C121" s="49">
        <v>9812</v>
      </c>
      <c r="D121" s="9">
        <f>YEAR(Tabla1[[#This Row],[Date]])</f>
        <v>1926</v>
      </c>
      <c r="E121" s="9" t="str" cm="1">
        <f t="array" ref="E121">IFERROR(_xlfn.IFS(AND(D121&lt;1980,D121&gt;=1970),"70",AND(D121&lt;1990,D121&gt;=1980),"80",AND(D121&lt;2000,D121&gt;=1990),"90",AND(D121&lt;2010,D121&gt;=2000),"00",AND(D121&lt;=2019,D121&gt;=2010),"10"),"1908-1970")</f>
        <v>1908-1970</v>
      </c>
      <c r="F121" s="3">
        <v>0.33333333333333331</v>
      </c>
      <c r="G121" t="s">
        <v>5440</v>
      </c>
      <c r="H121" t="s">
        <v>5262</v>
      </c>
      <c r="I121" t="s">
        <v>28931</v>
      </c>
      <c r="J121" t="s">
        <v>5441</v>
      </c>
      <c r="K121" t="s">
        <v>5167</v>
      </c>
      <c r="L121" s="7" t="s">
        <v>5442</v>
      </c>
      <c r="M121">
        <v>198</v>
      </c>
      <c r="N121">
        <v>3</v>
      </c>
      <c r="O121">
        <v>3</v>
      </c>
      <c r="P121">
        <v>0</v>
      </c>
      <c r="Q121">
        <v>3</v>
      </c>
      <c r="R121">
        <v>3</v>
      </c>
      <c r="S121">
        <v>0</v>
      </c>
      <c r="T121">
        <v>0</v>
      </c>
      <c r="U121" t="s">
        <v>5443</v>
      </c>
      <c r="V121">
        <f>Tabla1[[#This Row],[Aboard]]-Tabla1[[#This Row],[Fatalities]]</f>
        <v>0</v>
      </c>
      <c r="W121" s="50">
        <f>IFERROR(Tabla1[[#This Row],[Fatalities]]/Tabla1[[#This Row],[Aboard]],0)</f>
        <v>1</v>
      </c>
      <c r="X121" s="51" t="str" cm="1">
        <f t="array" ref="X121">_xlfn.IFS(Tabla1[[#This Row],[Porcentaje de muertes]]&lt;0.35,"LEVE",AND(Tabla1[[#This Row],[Porcentaje de muertes]]&gt;0.35,Tabla1[[#This Row],[Porcentaje de muertes]]&lt;0.65),"MEDIO",Tabla1[[#This Row],[Porcentaje de muertes]]&gt;0.65,"GRAVE")</f>
        <v>GRAVE</v>
      </c>
      <c r="AB121" t="s">
        <v>28587</v>
      </c>
      <c r="AC121" t="s">
        <v>28588</v>
      </c>
      <c r="AD121">
        <v>118800</v>
      </c>
      <c r="AE121">
        <v>119600</v>
      </c>
      <c r="AF121">
        <v>119900</v>
      </c>
      <c r="AG121">
        <v>162300</v>
      </c>
      <c r="AH121">
        <v>243400</v>
      </c>
      <c r="AI121">
        <v>379900</v>
      </c>
      <c r="AJ121">
        <v>475500</v>
      </c>
      <c r="AK121">
        <v>557300</v>
      </c>
      <c r="AL121">
        <v>728400</v>
      </c>
      <c r="AM121">
        <v>914300</v>
      </c>
      <c r="AN121">
        <v>1112600</v>
      </c>
      <c r="AO121">
        <v>1443300</v>
      </c>
      <c r="AP121">
        <v>1667300</v>
      </c>
      <c r="AQ121">
        <v>1457300</v>
      </c>
      <c r="AR121">
        <v>1327600</v>
      </c>
      <c r="AS121">
        <v>1310200</v>
      </c>
      <c r="AT121">
        <v>1132000</v>
      </c>
      <c r="AU121">
        <v>1178000</v>
      </c>
      <c r="AV121">
        <v>1225900</v>
      </c>
      <c r="AW121">
        <v>1204000</v>
      </c>
      <c r="AX121">
        <v>963900</v>
      </c>
      <c r="AY121">
        <v>797200</v>
      </c>
      <c r="AZ121">
        <v>1109300</v>
      </c>
      <c r="BA121">
        <v>1185600</v>
      </c>
      <c r="BB121">
        <v>1219500</v>
      </c>
      <c r="BC121">
        <v>1270000</v>
      </c>
      <c r="BD121">
        <v>1299200</v>
      </c>
      <c r="BE121">
        <v>1353400</v>
      </c>
      <c r="BF121">
        <v>1186700</v>
      </c>
      <c r="BG121">
        <v>1252200</v>
      </c>
      <c r="BH121">
        <v>1281997</v>
      </c>
      <c r="BI121">
        <v>1178058</v>
      </c>
      <c r="BJ121">
        <v>1299699</v>
      </c>
      <c r="BK121">
        <v>1353444</v>
      </c>
      <c r="BL121">
        <v>1660235</v>
      </c>
      <c r="BM121">
        <v>1737165</v>
      </c>
      <c r="BN121">
        <v>2046457</v>
      </c>
      <c r="BO121">
        <v>2246212</v>
      </c>
      <c r="BP121">
        <v>2355285</v>
      </c>
      <c r="BQ121">
        <v>2323750</v>
      </c>
      <c r="BR121">
        <v>3077036.696</v>
      </c>
      <c r="BS121">
        <v>3267109.736</v>
      </c>
      <c r="BT121">
        <v>3438356</v>
      </c>
      <c r="BU121">
        <v>3294911</v>
      </c>
      <c r="BV121">
        <v>3211795</v>
      </c>
      <c r="BW121">
        <v>3065145</v>
      </c>
      <c r="BX121">
        <v>3181283</v>
      </c>
      <c r="BY121">
        <v>3381677</v>
      </c>
      <c r="BZ121">
        <v>3383805</v>
      </c>
      <c r="CA121">
        <v>3478444</v>
      </c>
    </row>
    <row r="122" spans="2:79" x14ac:dyDescent="0.3">
      <c r="B122" s="9">
        <v>120</v>
      </c>
      <c r="C122" s="49">
        <v>9847</v>
      </c>
      <c r="D122" s="9">
        <f>YEAR(Tabla1[[#This Row],[Date]])</f>
        <v>1926</v>
      </c>
      <c r="E122" s="9" t="str" cm="1">
        <f t="array" ref="E122">IFERROR(_xlfn.IFS(AND(D122&lt;1980,D122&gt;=1970),"70",AND(D122&lt;1990,D122&gt;=1980),"80",AND(D122&lt;2000,D122&gt;=1990),"90",AND(D122&lt;2010,D122&gt;=2000),"00",AND(D122&lt;=2019,D122&gt;=2010),"10"),"1908-1970")</f>
        <v>1908-1970</v>
      </c>
      <c r="F122" s="3" t="s">
        <v>28931</v>
      </c>
      <c r="G122" t="s">
        <v>5444</v>
      </c>
      <c r="H122" t="s">
        <v>5445</v>
      </c>
      <c r="I122" t="s">
        <v>28931</v>
      </c>
      <c r="J122" t="s">
        <v>28931</v>
      </c>
      <c r="K122" t="s">
        <v>5446</v>
      </c>
      <c r="L122" s="7">
        <v>2</v>
      </c>
      <c r="M122" t="s">
        <v>28931</v>
      </c>
      <c r="N122">
        <v>1</v>
      </c>
      <c r="O122">
        <v>0</v>
      </c>
      <c r="P122">
        <v>1</v>
      </c>
      <c r="Q122">
        <v>1</v>
      </c>
      <c r="R122">
        <v>0</v>
      </c>
      <c r="S122">
        <v>1</v>
      </c>
      <c r="T122">
        <v>0</v>
      </c>
      <c r="U122" t="s">
        <v>5447</v>
      </c>
      <c r="V122">
        <f>Tabla1[[#This Row],[Aboard]]-Tabla1[[#This Row],[Fatalities]]</f>
        <v>0</v>
      </c>
      <c r="W122" s="50">
        <f>IFERROR(Tabla1[[#This Row],[Fatalities]]/Tabla1[[#This Row],[Aboard]],0)</f>
        <v>1</v>
      </c>
      <c r="X122" s="51" t="str" cm="1">
        <f t="array" ref="X122">_xlfn.IFS(Tabla1[[#This Row],[Porcentaje de muertes]]&lt;0.35,"LEVE",AND(Tabla1[[#This Row],[Porcentaje de muertes]]&gt;0.35,Tabla1[[#This Row],[Porcentaje de muertes]]&lt;0.65),"MEDIO",Tabla1[[#This Row],[Porcentaje de muertes]]&gt;0.65,"GRAVE")</f>
        <v>GRAVE</v>
      </c>
      <c r="AB122" t="s">
        <v>28589</v>
      </c>
      <c r="AC122" t="s">
        <v>28590</v>
      </c>
      <c r="AD122">
        <v>16315100</v>
      </c>
      <c r="AE122">
        <v>17880500</v>
      </c>
      <c r="AF122">
        <v>20169500</v>
      </c>
      <c r="AG122">
        <v>25393100</v>
      </c>
      <c r="AH122">
        <v>27485700</v>
      </c>
      <c r="AI122">
        <v>27281400</v>
      </c>
      <c r="AJ122">
        <v>29566000</v>
      </c>
      <c r="AK122">
        <v>36177400</v>
      </c>
      <c r="AL122">
        <v>40554700</v>
      </c>
      <c r="AM122">
        <v>45367800</v>
      </c>
      <c r="AN122">
        <v>45144500</v>
      </c>
      <c r="AO122">
        <v>48061200</v>
      </c>
      <c r="AP122">
        <v>46394200</v>
      </c>
      <c r="AQ122">
        <v>46554000</v>
      </c>
      <c r="AR122">
        <v>50452800</v>
      </c>
      <c r="AS122">
        <v>51294700</v>
      </c>
      <c r="AT122">
        <v>52489800</v>
      </c>
      <c r="AU122">
        <v>57757700</v>
      </c>
      <c r="AV122">
        <v>62087500</v>
      </c>
      <c r="AW122">
        <v>69321696</v>
      </c>
      <c r="AX122">
        <v>76223800</v>
      </c>
      <c r="AY122">
        <v>78719800</v>
      </c>
      <c r="AZ122">
        <v>81378400</v>
      </c>
      <c r="BA122">
        <v>80063904</v>
      </c>
      <c r="BB122">
        <v>83913504</v>
      </c>
      <c r="BC122">
        <v>91797000</v>
      </c>
      <c r="BD122">
        <v>95913504</v>
      </c>
      <c r="BE122">
        <v>94997600</v>
      </c>
      <c r="BF122">
        <v>101701200</v>
      </c>
      <c r="BG122">
        <v>105994496</v>
      </c>
      <c r="BH122">
        <v>109123312</v>
      </c>
      <c r="BI122">
        <v>107823469</v>
      </c>
      <c r="BJ122">
        <v>109037841</v>
      </c>
      <c r="BK122">
        <v>103988547</v>
      </c>
      <c r="BL122">
        <v>101740600</v>
      </c>
      <c r="BM122">
        <v>102279015</v>
      </c>
      <c r="BN122">
        <v>102845319</v>
      </c>
      <c r="BO122">
        <v>99842338</v>
      </c>
      <c r="BP122">
        <v>97022471</v>
      </c>
      <c r="BQ122">
        <v>86896527</v>
      </c>
      <c r="BR122">
        <v>109617021</v>
      </c>
      <c r="BS122">
        <v>89788818</v>
      </c>
      <c r="BT122">
        <v>98907859</v>
      </c>
      <c r="BU122">
        <v>107573000</v>
      </c>
      <c r="BV122">
        <v>110547000</v>
      </c>
      <c r="BW122">
        <v>114128000</v>
      </c>
      <c r="BX122">
        <v>117708000</v>
      </c>
      <c r="BY122">
        <v>123898000</v>
      </c>
      <c r="BZ122">
        <v>126387527</v>
      </c>
      <c r="CA122">
        <v>130233352</v>
      </c>
    </row>
    <row r="123" spans="2:79" x14ac:dyDescent="0.3">
      <c r="B123" s="9">
        <v>121</v>
      </c>
      <c r="C123" s="49">
        <v>10197</v>
      </c>
      <c r="D123" s="9">
        <f>YEAR(Tabla1[[#This Row],[Date]])</f>
        <v>1927</v>
      </c>
      <c r="E123" s="9" t="str" cm="1">
        <f t="array" ref="E123">IFERROR(_xlfn.IFS(AND(D123&lt;1980,D123&gt;=1970),"70",AND(D123&lt;1990,D123&gt;=1980),"80",AND(D123&lt;2000,D123&gt;=1990),"90",AND(D123&lt;2010,D123&gt;=2000),"00",AND(D123&lt;=2019,D123&gt;=2010),"10"),"1908-1970")</f>
        <v>1908-1970</v>
      </c>
      <c r="F123" s="3" t="s">
        <v>28931</v>
      </c>
      <c r="G123" t="s">
        <v>5448</v>
      </c>
      <c r="H123" t="s">
        <v>5449</v>
      </c>
      <c r="I123" t="s">
        <v>28931</v>
      </c>
      <c r="J123" t="s">
        <v>5450</v>
      </c>
      <c r="K123" t="s">
        <v>5451</v>
      </c>
      <c r="L123" s="7" t="s">
        <v>5452</v>
      </c>
      <c r="M123">
        <v>4938</v>
      </c>
      <c r="N123">
        <v>0</v>
      </c>
      <c r="O123">
        <v>0</v>
      </c>
      <c r="P123">
        <v>2</v>
      </c>
      <c r="Q123">
        <v>0</v>
      </c>
      <c r="R123">
        <v>0</v>
      </c>
      <c r="S123">
        <v>2</v>
      </c>
      <c r="T123">
        <v>0</v>
      </c>
      <c r="U123" t="s">
        <v>5453</v>
      </c>
      <c r="V123">
        <f>Tabla1[[#This Row],[Aboard]]-Tabla1[[#This Row],[Fatalities]]</f>
        <v>0</v>
      </c>
      <c r="W123" s="50">
        <f>IFERROR(Tabla1[[#This Row],[Fatalities]]/Tabla1[[#This Row],[Aboard]],0)</f>
        <v>0</v>
      </c>
      <c r="X123" s="51" t="str" cm="1">
        <f t="array" ref="X123">_xlfn.IFS(Tabla1[[#This Row],[Porcentaje de muertes]]&lt;0.35,"LEVE",AND(Tabla1[[#This Row],[Porcentaje de muertes]]&gt;0.35,Tabla1[[#This Row],[Porcentaje de muertes]]&lt;0.65),"MEDIO",Tabla1[[#This Row],[Porcentaje de muertes]]&gt;0.65,"GRAVE")</f>
        <v>LEVE</v>
      </c>
      <c r="AB123" t="s">
        <v>28591</v>
      </c>
      <c r="AC123" t="s">
        <v>28592</v>
      </c>
      <c r="AD123" t="s">
        <v>28966</v>
      </c>
      <c r="AE123" t="s">
        <v>28966</v>
      </c>
      <c r="AF123" t="s">
        <v>28966</v>
      </c>
      <c r="AG123" t="s">
        <v>28966</v>
      </c>
      <c r="AH123" t="s">
        <v>28966</v>
      </c>
      <c r="AI123" t="s">
        <v>28966</v>
      </c>
      <c r="AJ123" t="s">
        <v>28966</v>
      </c>
      <c r="AK123" t="s">
        <v>28966</v>
      </c>
      <c r="AL123" t="s">
        <v>28966</v>
      </c>
      <c r="AM123" t="s">
        <v>28966</v>
      </c>
      <c r="AN123" t="s">
        <v>28966</v>
      </c>
      <c r="AO123" t="s">
        <v>28966</v>
      </c>
      <c r="AP123" t="s">
        <v>28966</v>
      </c>
      <c r="AQ123" t="s">
        <v>28966</v>
      </c>
      <c r="AR123" t="s">
        <v>28966</v>
      </c>
      <c r="AS123" t="s">
        <v>28966</v>
      </c>
      <c r="AT123" t="s">
        <v>28966</v>
      </c>
      <c r="AU123" t="s">
        <v>28966</v>
      </c>
      <c r="AV123" t="s">
        <v>28966</v>
      </c>
      <c r="AW123" t="s">
        <v>28966</v>
      </c>
      <c r="AX123" t="s">
        <v>28966</v>
      </c>
      <c r="AY123" t="s">
        <v>28966</v>
      </c>
      <c r="AZ123">
        <v>5273400</v>
      </c>
      <c r="BA123">
        <v>706400</v>
      </c>
      <c r="BB123">
        <v>702300</v>
      </c>
      <c r="BC123">
        <v>1117300</v>
      </c>
      <c r="BD123">
        <v>568000</v>
      </c>
      <c r="BE123">
        <v>568000</v>
      </c>
      <c r="BF123">
        <v>565800</v>
      </c>
      <c r="BG123">
        <v>467200</v>
      </c>
      <c r="BH123">
        <v>461283</v>
      </c>
      <c r="BI123">
        <v>500981</v>
      </c>
      <c r="BJ123">
        <v>756959</v>
      </c>
      <c r="BK123">
        <v>1009731</v>
      </c>
      <c r="BL123">
        <v>834760</v>
      </c>
      <c r="BM123">
        <v>1160286</v>
      </c>
      <c r="BN123">
        <v>1283250</v>
      </c>
      <c r="BO123">
        <v>1295050</v>
      </c>
      <c r="BP123">
        <v>1275624</v>
      </c>
      <c r="BQ123">
        <v>1192714</v>
      </c>
      <c r="BR123">
        <v>3098327</v>
      </c>
      <c r="BS123">
        <v>3786453.0639999998</v>
      </c>
      <c r="BT123">
        <v>4064819.023</v>
      </c>
      <c r="BU123">
        <v>4785588</v>
      </c>
      <c r="BV123">
        <v>4918608</v>
      </c>
      <c r="BW123">
        <v>5081632</v>
      </c>
      <c r="BX123">
        <v>5007869</v>
      </c>
      <c r="BY123">
        <v>6903190</v>
      </c>
      <c r="BZ123">
        <v>5920110</v>
      </c>
      <c r="CA123">
        <v>6800111</v>
      </c>
    </row>
    <row r="124" spans="2:79" x14ac:dyDescent="0.3">
      <c r="B124" s="9">
        <v>122</v>
      </c>
      <c r="C124" s="49">
        <v>9941</v>
      </c>
      <c r="D124" s="9">
        <f>YEAR(Tabla1[[#This Row],[Date]])</f>
        <v>1927</v>
      </c>
      <c r="E124" s="9" t="str" cm="1">
        <f t="array" ref="E124">IFERROR(_xlfn.IFS(AND(D124&lt;1980,D124&gt;=1970),"70",AND(D124&lt;1990,D124&gt;=1980),"80",AND(D124&lt;2000,D124&gt;=1990),"90",AND(D124&lt;2010,D124&gt;=2000),"00",AND(D124&lt;=2019,D124&gt;=2010),"10"),"1908-1970")</f>
        <v>1908-1970</v>
      </c>
      <c r="F124" s="3" t="s">
        <v>28931</v>
      </c>
      <c r="G124" t="s">
        <v>5454</v>
      </c>
      <c r="H124" t="s">
        <v>5262</v>
      </c>
      <c r="I124" t="s">
        <v>28931</v>
      </c>
      <c r="J124" t="s">
        <v>5455</v>
      </c>
      <c r="K124" t="s">
        <v>5167</v>
      </c>
      <c r="L124" s="7" t="s">
        <v>5456</v>
      </c>
      <c r="M124" t="s">
        <v>28931</v>
      </c>
      <c r="N124">
        <v>1</v>
      </c>
      <c r="O124">
        <v>0</v>
      </c>
      <c r="P124">
        <v>1</v>
      </c>
      <c r="Q124">
        <v>1</v>
      </c>
      <c r="R124">
        <v>0</v>
      </c>
      <c r="S124">
        <v>1</v>
      </c>
      <c r="T124">
        <v>0</v>
      </c>
      <c r="U124" t="s">
        <v>5457</v>
      </c>
      <c r="V124">
        <f>Tabla1[[#This Row],[Aboard]]-Tabla1[[#This Row],[Fatalities]]</f>
        <v>0</v>
      </c>
      <c r="W124" s="50">
        <f>IFERROR(Tabla1[[#This Row],[Fatalities]]/Tabla1[[#This Row],[Aboard]],0)</f>
        <v>1</v>
      </c>
      <c r="X124" s="51" t="str" cm="1">
        <f t="array" ref="X124">_xlfn.IFS(Tabla1[[#This Row],[Porcentaje de muertes]]&lt;0.35,"LEVE",AND(Tabla1[[#This Row],[Porcentaje de muertes]]&gt;0.35,Tabla1[[#This Row],[Porcentaje de muertes]]&lt;0.65),"MEDIO",Tabla1[[#This Row],[Porcentaje de muertes]]&gt;0.65,"GRAVE")</f>
        <v>GRAVE</v>
      </c>
      <c r="AB124" t="s">
        <v>28593</v>
      </c>
      <c r="AC124" t="s">
        <v>28594</v>
      </c>
      <c r="AD124">
        <v>171500</v>
      </c>
      <c r="AE124">
        <v>188000</v>
      </c>
      <c r="AF124">
        <v>216800</v>
      </c>
      <c r="AG124">
        <v>340800</v>
      </c>
      <c r="AH124">
        <v>382800</v>
      </c>
      <c r="AI124">
        <v>361500</v>
      </c>
      <c r="AJ124">
        <v>449600</v>
      </c>
      <c r="AK124">
        <v>237300</v>
      </c>
      <c r="AL124">
        <v>363300</v>
      </c>
      <c r="AM124">
        <v>377400</v>
      </c>
      <c r="AN124">
        <v>392500</v>
      </c>
      <c r="AO124">
        <v>408700</v>
      </c>
      <c r="AP124">
        <v>391300</v>
      </c>
      <c r="AQ124">
        <v>435500</v>
      </c>
      <c r="AR124">
        <v>479200</v>
      </c>
      <c r="AS124">
        <v>558700</v>
      </c>
      <c r="AT124">
        <v>611300</v>
      </c>
      <c r="AU124">
        <v>655800</v>
      </c>
      <c r="AV124">
        <v>720900</v>
      </c>
      <c r="AW124">
        <v>760500</v>
      </c>
      <c r="AX124">
        <v>794400</v>
      </c>
      <c r="AY124">
        <v>759900</v>
      </c>
      <c r="AZ124">
        <v>721400</v>
      </c>
      <c r="BA124">
        <v>769500</v>
      </c>
      <c r="BB124">
        <v>753500</v>
      </c>
      <c r="BC124">
        <v>740400</v>
      </c>
      <c r="BD124">
        <v>778600</v>
      </c>
      <c r="BE124">
        <v>835700</v>
      </c>
      <c r="BF124">
        <v>1138400</v>
      </c>
      <c r="BG124">
        <v>1357800</v>
      </c>
      <c r="BH124">
        <v>1554949</v>
      </c>
      <c r="BI124">
        <v>1418183</v>
      </c>
      <c r="BJ124">
        <v>1599843</v>
      </c>
      <c r="BK124">
        <v>1678160</v>
      </c>
      <c r="BL124">
        <v>2005473</v>
      </c>
      <c r="BM124">
        <v>2424382</v>
      </c>
      <c r="BN124">
        <v>2685148</v>
      </c>
      <c r="BO124">
        <v>2857464</v>
      </c>
      <c r="BP124">
        <v>2880546</v>
      </c>
      <c r="BQ124">
        <v>2948920</v>
      </c>
      <c r="BR124">
        <v>4039583</v>
      </c>
      <c r="BS124">
        <v>4508698.0120000001</v>
      </c>
      <c r="BT124">
        <v>4653459.7350000003</v>
      </c>
      <c r="BU124">
        <v>4516500</v>
      </c>
      <c r="BV124">
        <v>4448530.5279999999</v>
      </c>
      <c r="BW124">
        <v>4569473</v>
      </c>
      <c r="BX124">
        <v>4848016</v>
      </c>
      <c r="BY124">
        <v>5109576</v>
      </c>
      <c r="BZ124">
        <v>5905365.1229999997</v>
      </c>
      <c r="CA124">
        <v>6417534.0559999999</v>
      </c>
    </row>
    <row r="125" spans="2:79" x14ac:dyDescent="0.3">
      <c r="B125" s="9">
        <v>123</v>
      </c>
      <c r="C125" s="49">
        <v>9945</v>
      </c>
      <c r="D125" s="9">
        <f>YEAR(Tabla1[[#This Row],[Date]])</f>
        <v>1927</v>
      </c>
      <c r="E125" s="9" t="str" cm="1">
        <f t="array" ref="E125">IFERROR(_xlfn.IFS(AND(D125&lt;1980,D125&gt;=1970),"70",AND(D125&lt;1990,D125&gt;=1980),"80",AND(D125&lt;2000,D125&gt;=1990),"90",AND(D125&lt;2010,D125&gt;=2000),"00",AND(D125&lt;=2019,D125&gt;=2010),"10"),"1908-1970")</f>
        <v>1908-1970</v>
      </c>
      <c r="F125" s="3" t="s">
        <v>28931</v>
      </c>
      <c r="G125" t="s">
        <v>5458</v>
      </c>
      <c r="H125" t="s">
        <v>5459</v>
      </c>
      <c r="I125" t="s">
        <v>28931</v>
      </c>
      <c r="J125" t="s">
        <v>5460</v>
      </c>
      <c r="K125" t="s">
        <v>5461</v>
      </c>
      <c r="L125" s="7" t="s">
        <v>5462</v>
      </c>
      <c r="M125">
        <v>86</v>
      </c>
      <c r="N125">
        <v>3</v>
      </c>
      <c r="O125">
        <v>2</v>
      </c>
      <c r="P125">
        <v>1</v>
      </c>
      <c r="Q125">
        <v>3</v>
      </c>
      <c r="R125">
        <v>2</v>
      </c>
      <c r="S125">
        <v>1</v>
      </c>
      <c r="T125">
        <v>0</v>
      </c>
      <c r="U125" t="s">
        <v>5463</v>
      </c>
      <c r="V125">
        <f>Tabla1[[#This Row],[Aboard]]-Tabla1[[#This Row],[Fatalities]]</f>
        <v>0</v>
      </c>
      <c r="W125" s="50">
        <f>IFERROR(Tabla1[[#This Row],[Fatalities]]/Tabla1[[#This Row],[Aboard]],0)</f>
        <v>1</v>
      </c>
      <c r="X125" s="51" t="str" cm="1">
        <f t="array" ref="X125">_xlfn.IFS(Tabla1[[#This Row],[Porcentaje de muertes]]&lt;0.35,"LEVE",AND(Tabla1[[#This Row],[Porcentaje de muertes]]&gt;0.35,Tabla1[[#This Row],[Porcentaje de muertes]]&lt;0.65),"MEDIO",Tabla1[[#This Row],[Porcentaje de muertes]]&gt;0.65,"GRAVE")</f>
        <v>GRAVE</v>
      </c>
      <c r="AB125" t="s">
        <v>28595</v>
      </c>
      <c r="AC125" t="s">
        <v>28596</v>
      </c>
      <c r="AD125" t="s">
        <v>28966</v>
      </c>
      <c r="AE125" t="s">
        <v>28966</v>
      </c>
      <c r="AF125" t="s">
        <v>28966</v>
      </c>
      <c r="AG125" t="s">
        <v>28966</v>
      </c>
      <c r="AH125" t="s">
        <v>28966</v>
      </c>
      <c r="AI125" t="s">
        <v>28966</v>
      </c>
      <c r="AJ125" t="s">
        <v>28966</v>
      </c>
      <c r="AK125" t="s">
        <v>28966</v>
      </c>
      <c r="AL125" t="s">
        <v>28966</v>
      </c>
      <c r="AM125" t="s">
        <v>28966</v>
      </c>
      <c r="AN125" t="s">
        <v>28966</v>
      </c>
      <c r="AO125" t="s">
        <v>28966</v>
      </c>
      <c r="AP125" t="s">
        <v>28966</v>
      </c>
      <c r="AQ125" t="s">
        <v>28966</v>
      </c>
      <c r="AR125" t="s">
        <v>28966</v>
      </c>
      <c r="AS125" t="s">
        <v>28966</v>
      </c>
      <c r="AT125" t="s">
        <v>28966</v>
      </c>
      <c r="AU125" t="s">
        <v>28966</v>
      </c>
      <c r="AV125" t="s">
        <v>28966</v>
      </c>
      <c r="AW125" t="s">
        <v>28966</v>
      </c>
      <c r="AX125" t="s">
        <v>28966</v>
      </c>
      <c r="AY125" t="s">
        <v>28966</v>
      </c>
      <c r="AZ125" t="s">
        <v>28966</v>
      </c>
      <c r="BA125">
        <v>464000</v>
      </c>
      <c r="BB125">
        <v>464000</v>
      </c>
      <c r="BC125">
        <v>438700</v>
      </c>
      <c r="BD125">
        <v>488200</v>
      </c>
      <c r="BE125">
        <v>423000</v>
      </c>
      <c r="BF125">
        <v>620100</v>
      </c>
      <c r="BG125">
        <v>312100</v>
      </c>
      <c r="BH125">
        <v>240954</v>
      </c>
      <c r="BI125">
        <v>192060</v>
      </c>
      <c r="BJ125">
        <v>174369</v>
      </c>
      <c r="BK125">
        <v>205604</v>
      </c>
      <c r="BL125">
        <v>245570</v>
      </c>
      <c r="BM125">
        <v>225923</v>
      </c>
      <c r="BN125">
        <v>219464</v>
      </c>
      <c r="BO125">
        <v>274981</v>
      </c>
      <c r="BP125">
        <v>204525</v>
      </c>
      <c r="BQ125">
        <v>309488</v>
      </c>
      <c r="BR125">
        <v>375602</v>
      </c>
      <c r="BS125">
        <v>526018.01249999995</v>
      </c>
      <c r="BT125">
        <v>494640.42680000002</v>
      </c>
      <c r="BU125">
        <v>771165</v>
      </c>
      <c r="BV125">
        <v>712284</v>
      </c>
      <c r="BW125">
        <v>967629</v>
      </c>
      <c r="BX125">
        <v>1015750</v>
      </c>
      <c r="BY125">
        <v>1122951</v>
      </c>
      <c r="BZ125">
        <v>1175000.7039999999</v>
      </c>
      <c r="CA125">
        <v>874326</v>
      </c>
    </row>
    <row r="126" spans="2:79" x14ac:dyDescent="0.3">
      <c r="B126" s="9">
        <v>124</v>
      </c>
      <c r="C126" s="49">
        <v>9967</v>
      </c>
      <c r="D126" s="9">
        <f>YEAR(Tabla1[[#This Row],[Date]])</f>
        <v>1927</v>
      </c>
      <c r="E126" s="9" t="str" cm="1">
        <f t="array" ref="E126">IFERROR(_xlfn.IFS(AND(D126&lt;1980,D126&gt;=1970),"70",AND(D126&lt;1990,D126&gt;=1980),"80",AND(D126&lt;2000,D126&gt;=1990),"90",AND(D126&lt;2010,D126&gt;=2000),"00",AND(D126&lt;=2019,D126&gt;=2010),"10"),"1908-1970")</f>
        <v>1908-1970</v>
      </c>
      <c r="F126" s="3" t="s">
        <v>28931</v>
      </c>
      <c r="G126" t="s">
        <v>5464</v>
      </c>
      <c r="H126" t="s">
        <v>5465</v>
      </c>
      <c r="I126" t="s">
        <v>28931</v>
      </c>
      <c r="J126" t="s">
        <v>28931</v>
      </c>
      <c r="K126" t="s">
        <v>5466</v>
      </c>
      <c r="L126" s="7" t="s">
        <v>28931</v>
      </c>
      <c r="M126" t="s">
        <v>5467</v>
      </c>
      <c r="N126">
        <v>1</v>
      </c>
      <c r="O126">
        <v>0</v>
      </c>
      <c r="P126">
        <v>1</v>
      </c>
      <c r="Q126">
        <v>1</v>
      </c>
      <c r="R126">
        <v>0</v>
      </c>
      <c r="S126">
        <v>1</v>
      </c>
      <c r="T126">
        <v>0</v>
      </c>
      <c r="U126" t="s">
        <v>5468</v>
      </c>
      <c r="V126">
        <f>Tabla1[[#This Row],[Aboard]]-Tabla1[[#This Row],[Fatalities]]</f>
        <v>0</v>
      </c>
      <c r="W126" s="50">
        <f>IFERROR(Tabla1[[#This Row],[Fatalities]]/Tabla1[[#This Row],[Aboard]],0)</f>
        <v>1</v>
      </c>
      <c r="X126" s="51" t="str" cm="1">
        <f t="array" ref="X126">_xlfn.IFS(Tabla1[[#This Row],[Porcentaje de muertes]]&lt;0.35,"LEVE",AND(Tabla1[[#This Row],[Porcentaje de muertes]]&gt;0.35,Tabla1[[#This Row],[Porcentaje de muertes]]&lt;0.65),"MEDIO",Tabla1[[#This Row],[Porcentaje de muertes]]&gt;0.65,"GRAVE")</f>
        <v>GRAVE</v>
      </c>
      <c r="AB126" t="s">
        <v>28597</v>
      </c>
      <c r="AC126" t="s">
        <v>28598</v>
      </c>
      <c r="AD126">
        <v>40500</v>
      </c>
      <c r="AE126">
        <v>107000</v>
      </c>
      <c r="AF126">
        <v>136200</v>
      </c>
      <c r="AG126">
        <v>140000</v>
      </c>
      <c r="AH126">
        <v>129000</v>
      </c>
      <c r="AI126">
        <v>112500</v>
      </c>
      <c r="AJ126">
        <v>112500</v>
      </c>
      <c r="AK126">
        <v>112500</v>
      </c>
      <c r="AL126" t="s">
        <v>28966</v>
      </c>
      <c r="AM126" t="s">
        <v>28966</v>
      </c>
      <c r="AN126" t="s">
        <v>28966</v>
      </c>
      <c r="AO126" t="s">
        <v>28966</v>
      </c>
      <c r="AP126" t="s">
        <v>28966</v>
      </c>
      <c r="AQ126" t="s">
        <v>28966</v>
      </c>
      <c r="AR126" t="s">
        <v>28966</v>
      </c>
      <c r="AS126" t="s">
        <v>28966</v>
      </c>
      <c r="AT126" t="s">
        <v>28966</v>
      </c>
      <c r="AU126" t="s">
        <v>28966</v>
      </c>
      <c r="AV126" t="s">
        <v>28966</v>
      </c>
      <c r="AW126" t="s">
        <v>28966</v>
      </c>
      <c r="AX126" t="s">
        <v>28966</v>
      </c>
      <c r="AY126" t="s">
        <v>28966</v>
      </c>
      <c r="AZ126" t="s">
        <v>28966</v>
      </c>
      <c r="BA126" t="s">
        <v>28966</v>
      </c>
      <c r="BB126" t="s">
        <v>28966</v>
      </c>
      <c r="BC126" t="s">
        <v>28966</v>
      </c>
      <c r="BD126" t="s">
        <v>28966</v>
      </c>
      <c r="BE126" t="s">
        <v>28966</v>
      </c>
      <c r="BF126" t="s">
        <v>28966</v>
      </c>
      <c r="BG126" t="s">
        <v>28966</v>
      </c>
      <c r="BH126" t="s">
        <v>28966</v>
      </c>
      <c r="BI126" t="s">
        <v>28966</v>
      </c>
      <c r="BJ126">
        <v>124847</v>
      </c>
      <c r="BK126">
        <v>164515</v>
      </c>
      <c r="BL126">
        <v>162132</v>
      </c>
      <c r="BM126">
        <v>168810</v>
      </c>
      <c r="BN126">
        <v>256160</v>
      </c>
      <c r="BO126">
        <v>307782</v>
      </c>
      <c r="BP126">
        <v>211281</v>
      </c>
      <c r="BQ126">
        <v>183503</v>
      </c>
      <c r="BR126">
        <v>277725.05430000002</v>
      </c>
      <c r="BS126">
        <v>499981.51799999998</v>
      </c>
      <c r="BT126">
        <v>508688.50939999998</v>
      </c>
      <c r="BU126">
        <v>615123.32799999998</v>
      </c>
      <c r="BV126">
        <v>1071179</v>
      </c>
      <c r="BW126">
        <v>1103880</v>
      </c>
      <c r="BX126">
        <v>1047394</v>
      </c>
      <c r="BY126">
        <v>1305297</v>
      </c>
      <c r="BZ126">
        <v>1411059</v>
      </c>
      <c r="CA126">
        <v>1429503.73</v>
      </c>
    </row>
    <row r="127" spans="2:79" x14ac:dyDescent="0.3">
      <c r="B127" s="9">
        <v>125</v>
      </c>
      <c r="C127" s="49">
        <v>9974</v>
      </c>
      <c r="D127" s="9">
        <f>YEAR(Tabla1[[#This Row],[Date]])</f>
        <v>1927</v>
      </c>
      <c r="E127" s="9" t="str" cm="1">
        <f t="array" ref="E127">IFERROR(_xlfn.IFS(AND(D127&lt;1980,D127&gt;=1970),"70",AND(D127&lt;1990,D127&gt;=1980),"80",AND(D127&lt;2000,D127&gt;=1990),"90",AND(D127&lt;2010,D127&gt;=2000),"00",AND(D127&lt;=2019,D127&gt;=2010),"10"),"1908-1970")</f>
        <v>1908-1970</v>
      </c>
      <c r="F127" s="3" t="s">
        <v>28931</v>
      </c>
      <c r="G127" t="s">
        <v>5469</v>
      </c>
      <c r="H127" t="s">
        <v>5417</v>
      </c>
      <c r="I127" t="s">
        <v>28931</v>
      </c>
      <c r="J127" t="s">
        <v>5460</v>
      </c>
      <c r="K127" t="s">
        <v>5433</v>
      </c>
      <c r="L127" s="7" t="s">
        <v>5470</v>
      </c>
      <c r="M127">
        <v>1567</v>
      </c>
      <c r="N127">
        <v>2</v>
      </c>
      <c r="O127">
        <v>1</v>
      </c>
      <c r="P127">
        <v>1</v>
      </c>
      <c r="Q127">
        <v>2</v>
      </c>
      <c r="R127">
        <v>1</v>
      </c>
      <c r="S127">
        <v>1</v>
      </c>
      <c r="T127">
        <v>0</v>
      </c>
      <c r="U127" t="s">
        <v>5471</v>
      </c>
      <c r="V127">
        <f>Tabla1[[#This Row],[Aboard]]-Tabla1[[#This Row],[Fatalities]]</f>
        <v>0</v>
      </c>
      <c r="W127" s="50">
        <f>IFERROR(Tabla1[[#This Row],[Fatalities]]/Tabla1[[#This Row],[Aboard]],0)</f>
        <v>1</v>
      </c>
      <c r="X127" s="51" t="str" cm="1">
        <f t="array" ref="X127">_xlfn.IFS(Tabla1[[#This Row],[Porcentaje de muertes]]&lt;0.35,"LEVE",AND(Tabla1[[#This Row],[Porcentaje de muertes]]&gt;0.35,Tabla1[[#This Row],[Porcentaje de muertes]]&lt;0.65),"MEDIO",Tabla1[[#This Row],[Porcentaje de muertes]]&gt;0.65,"GRAVE")</f>
        <v>GRAVE</v>
      </c>
      <c r="AB127" t="s">
        <v>28599</v>
      </c>
      <c r="AC127" t="s">
        <v>28600</v>
      </c>
      <c r="AD127" t="s">
        <v>28966</v>
      </c>
      <c r="AE127" t="s">
        <v>28966</v>
      </c>
      <c r="AF127" t="s">
        <v>28966</v>
      </c>
      <c r="AG127" t="s">
        <v>28966</v>
      </c>
      <c r="AH127" t="s">
        <v>28966</v>
      </c>
      <c r="AI127" t="s">
        <v>28966</v>
      </c>
      <c r="AJ127" t="s">
        <v>28966</v>
      </c>
      <c r="AK127" t="s">
        <v>28966</v>
      </c>
      <c r="AL127" t="s">
        <v>28966</v>
      </c>
      <c r="AM127" t="s">
        <v>28966</v>
      </c>
      <c r="AN127" t="s">
        <v>28966</v>
      </c>
      <c r="AO127">
        <v>59000</v>
      </c>
      <c r="AP127">
        <v>60000</v>
      </c>
      <c r="AQ127">
        <v>60000</v>
      </c>
      <c r="AR127">
        <v>65500</v>
      </c>
      <c r="AS127">
        <v>26400</v>
      </c>
      <c r="AT127">
        <v>32000</v>
      </c>
      <c r="AU127">
        <v>24900</v>
      </c>
      <c r="AV127">
        <v>24000</v>
      </c>
      <c r="AW127">
        <v>24900</v>
      </c>
      <c r="AX127">
        <v>24900</v>
      </c>
      <c r="AY127">
        <v>24900</v>
      </c>
      <c r="AZ127">
        <v>25400</v>
      </c>
      <c r="BA127">
        <v>25600</v>
      </c>
      <c r="BB127">
        <v>25600</v>
      </c>
      <c r="BC127">
        <v>26900</v>
      </c>
      <c r="BD127">
        <v>28400</v>
      </c>
      <c r="BE127">
        <v>28400</v>
      </c>
      <c r="BF127">
        <v>28300</v>
      </c>
      <c r="BG127" t="s">
        <v>28966</v>
      </c>
      <c r="BH127" t="s">
        <v>28966</v>
      </c>
      <c r="BI127" t="s">
        <v>28966</v>
      </c>
      <c r="BJ127" t="s">
        <v>28966</v>
      </c>
      <c r="BK127" t="s">
        <v>28966</v>
      </c>
      <c r="BL127" t="s">
        <v>28966</v>
      </c>
      <c r="BM127" t="s">
        <v>28966</v>
      </c>
      <c r="BN127" t="s">
        <v>28966</v>
      </c>
      <c r="BO127" t="s">
        <v>28966</v>
      </c>
      <c r="BP127" t="s">
        <v>28966</v>
      </c>
      <c r="BQ127" t="s">
        <v>28966</v>
      </c>
      <c r="BR127" t="s">
        <v>28966</v>
      </c>
      <c r="BS127" t="s">
        <v>28966</v>
      </c>
      <c r="BT127" t="s">
        <v>28966</v>
      </c>
      <c r="BU127" t="s">
        <v>28966</v>
      </c>
      <c r="BV127" t="s">
        <v>28966</v>
      </c>
      <c r="BW127" t="s">
        <v>28966</v>
      </c>
      <c r="BX127" t="s">
        <v>28966</v>
      </c>
      <c r="BY127">
        <v>66567</v>
      </c>
      <c r="BZ127">
        <v>66567</v>
      </c>
      <c r="CA127">
        <v>65846.851999999999</v>
      </c>
    </row>
    <row r="128" spans="2:79" x14ac:dyDescent="0.3">
      <c r="B128" s="9">
        <v>126</v>
      </c>
      <c r="C128" s="49">
        <v>9974</v>
      </c>
      <c r="D128" s="9">
        <f>YEAR(Tabla1[[#This Row],[Date]])</f>
        <v>1927</v>
      </c>
      <c r="E128" s="9" t="str" cm="1">
        <f t="array" ref="E128">IFERROR(_xlfn.IFS(AND(D128&lt;1980,D128&gt;=1970),"70",AND(D128&lt;1990,D128&gt;=1980),"80",AND(D128&lt;2000,D128&gt;=1990),"90",AND(D128&lt;2010,D128&gt;=2000),"00",AND(D128&lt;=2019,D128&gt;=2010),"10"),"1908-1970")</f>
        <v>1908-1970</v>
      </c>
      <c r="F128" s="3" t="s">
        <v>28931</v>
      </c>
      <c r="G128" t="s">
        <v>5347</v>
      </c>
      <c r="H128" t="s">
        <v>5096</v>
      </c>
      <c r="I128" t="s">
        <v>28931</v>
      </c>
      <c r="J128" t="s">
        <v>28931</v>
      </c>
      <c r="K128" t="s">
        <v>5472</v>
      </c>
      <c r="L128" s="7">
        <v>626</v>
      </c>
      <c r="M128" t="s">
        <v>28931</v>
      </c>
      <c r="N128">
        <v>1</v>
      </c>
      <c r="O128">
        <v>0</v>
      </c>
      <c r="P128">
        <v>1</v>
      </c>
      <c r="Q128">
        <v>1</v>
      </c>
      <c r="R128">
        <v>0</v>
      </c>
      <c r="S128">
        <v>1</v>
      </c>
      <c r="T128">
        <v>0</v>
      </c>
      <c r="U128" t="s">
        <v>5473</v>
      </c>
      <c r="V128">
        <f>Tabla1[[#This Row],[Aboard]]-Tabla1[[#This Row],[Fatalities]]</f>
        <v>0</v>
      </c>
      <c r="W128" s="50">
        <f>IFERROR(Tabla1[[#This Row],[Fatalities]]/Tabla1[[#This Row],[Aboard]],0)</f>
        <v>1</v>
      </c>
      <c r="X128" s="51" t="str" cm="1">
        <f t="array" ref="X128">_xlfn.IFS(Tabla1[[#This Row],[Porcentaje de muertes]]&lt;0.35,"LEVE",AND(Tabla1[[#This Row],[Porcentaje de muertes]]&gt;0.35,Tabla1[[#This Row],[Porcentaje de muertes]]&lt;0.65),"MEDIO",Tabla1[[#This Row],[Porcentaje de muertes]]&gt;0.65,"GRAVE")</f>
        <v>GRAVE</v>
      </c>
      <c r="AB128" t="s">
        <v>28601</v>
      </c>
      <c r="AC128" t="s">
        <v>28602</v>
      </c>
      <c r="AD128" t="s">
        <v>28966</v>
      </c>
      <c r="AE128" t="s">
        <v>28966</v>
      </c>
      <c r="AF128" t="s">
        <v>28966</v>
      </c>
      <c r="AG128" t="s">
        <v>28966</v>
      </c>
      <c r="AH128" t="s">
        <v>28966</v>
      </c>
      <c r="AI128" t="s">
        <v>28966</v>
      </c>
      <c r="AJ128" t="s">
        <v>28966</v>
      </c>
      <c r="AK128" t="s">
        <v>28966</v>
      </c>
      <c r="AL128" t="s">
        <v>28966</v>
      </c>
      <c r="AM128" t="s">
        <v>28966</v>
      </c>
      <c r="AN128" t="s">
        <v>28966</v>
      </c>
      <c r="AO128" t="s">
        <v>28966</v>
      </c>
      <c r="AP128" t="s">
        <v>28966</v>
      </c>
      <c r="AQ128" t="s">
        <v>28966</v>
      </c>
      <c r="AR128" t="s">
        <v>28966</v>
      </c>
      <c r="AS128" t="s">
        <v>28966</v>
      </c>
      <c r="AT128" t="s">
        <v>28966</v>
      </c>
      <c r="AU128" t="s">
        <v>28966</v>
      </c>
      <c r="AV128" t="s">
        <v>28966</v>
      </c>
      <c r="AW128" t="s">
        <v>28966</v>
      </c>
      <c r="AX128" t="s">
        <v>28966</v>
      </c>
      <c r="AY128" t="s">
        <v>28966</v>
      </c>
      <c r="AZ128" t="s">
        <v>28966</v>
      </c>
      <c r="BA128" t="s">
        <v>28966</v>
      </c>
      <c r="BB128" t="s">
        <v>28966</v>
      </c>
      <c r="BC128" t="s">
        <v>28966</v>
      </c>
      <c r="BD128" t="s">
        <v>28966</v>
      </c>
      <c r="BE128" t="s">
        <v>28966</v>
      </c>
      <c r="BF128" t="s">
        <v>28966</v>
      </c>
      <c r="BG128" t="s">
        <v>28966</v>
      </c>
      <c r="BH128" t="s">
        <v>28966</v>
      </c>
      <c r="BI128" t="s">
        <v>28966</v>
      </c>
      <c r="BJ128" t="s">
        <v>28966</v>
      </c>
      <c r="BK128" t="s">
        <v>28966</v>
      </c>
      <c r="BL128" t="s">
        <v>28966</v>
      </c>
      <c r="BM128" t="s">
        <v>28966</v>
      </c>
      <c r="BN128" t="s">
        <v>28966</v>
      </c>
      <c r="BO128" t="s">
        <v>28966</v>
      </c>
      <c r="BP128" t="s">
        <v>28966</v>
      </c>
      <c r="BQ128" t="s">
        <v>28966</v>
      </c>
      <c r="BR128" t="s">
        <v>28966</v>
      </c>
      <c r="BS128" t="s">
        <v>28966</v>
      </c>
      <c r="BT128" t="s">
        <v>28966</v>
      </c>
      <c r="BU128" t="s">
        <v>28966</v>
      </c>
      <c r="BV128" t="s">
        <v>28966</v>
      </c>
      <c r="BW128" t="s">
        <v>28966</v>
      </c>
      <c r="BX128" t="s">
        <v>28966</v>
      </c>
      <c r="BY128" t="s">
        <v>28966</v>
      </c>
      <c r="BZ128" t="s">
        <v>28966</v>
      </c>
      <c r="CA128" t="s">
        <v>28966</v>
      </c>
    </row>
    <row r="129" spans="2:79" x14ac:dyDescent="0.3">
      <c r="B129" s="9">
        <v>127</v>
      </c>
      <c r="C129" s="49">
        <v>9898</v>
      </c>
      <c r="D129" s="9">
        <f>YEAR(Tabla1[[#This Row],[Date]])</f>
        <v>1927</v>
      </c>
      <c r="E129" s="9" t="str" cm="1">
        <f t="array" ref="E129">IFERROR(_xlfn.IFS(AND(D129&lt;1980,D129&gt;=1970),"70",AND(D129&lt;1990,D129&gt;=1980),"80",AND(D129&lt;2000,D129&gt;=1990),"90",AND(D129&lt;2010,D129&gt;=2000),"00",AND(D129&lt;=2019,D129&gt;=2010),"10"),"1908-1970")</f>
        <v>1908-1970</v>
      </c>
      <c r="F129" s="3" t="s">
        <v>28931</v>
      </c>
      <c r="G129" t="s">
        <v>5474</v>
      </c>
      <c r="H129" t="s">
        <v>5298</v>
      </c>
      <c r="I129" t="s">
        <v>28931</v>
      </c>
      <c r="J129" t="s">
        <v>28931</v>
      </c>
      <c r="K129" t="s">
        <v>5475</v>
      </c>
      <c r="L129" s="7" t="s">
        <v>5476</v>
      </c>
      <c r="M129" t="s">
        <v>28931</v>
      </c>
      <c r="N129">
        <v>3</v>
      </c>
      <c r="O129">
        <v>0</v>
      </c>
      <c r="P129">
        <v>3</v>
      </c>
      <c r="Q129">
        <v>1</v>
      </c>
      <c r="R129">
        <v>0</v>
      </c>
      <c r="S129">
        <v>1</v>
      </c>
      <c r="T129">
        <v>0</v>
      </c>
      <c r="U129" t="s">
        <v>5477</v>
      </c>
      <c r="V129">
        <f>Tabla1[[#This Row],[Aboard]]-Tabla1[[#This Row],[Fatalities]]</f>
        <v>2</v>
      </c>
      <c r="W129" s="50">
        <f>IFERROR(Tabla1[[#This Row],[Fatalities]]/Tabla1[[#This Row],[Aboard]],0)</f>
        <v>0.33333333333333331</v>
      </c>
      <c r="X129" s="51" t="str" cm="1">
        <f t="array" ref="X129">_xlfn.IFS(Tabla1[[#This Row],[Porcentaje de muertes]]&lt;0.35,"LEVE",AND(Tabla1[[#This Row],[Porcentaje de muertes]]&gt;0.35,Tabla1[[#This Row],[Porcentaje de muertes]]&lt;0.65),"MEDIO",Tabla1[[#This Row],[Porcentaje de muertes]]&gt;0.65,"GRAVE")</f>
        <v>LEVE</v>
      </c>
      <c r="AB129" t="s">
        <v>28603</v>
      </c>
      <c r="AC129" t="s">
        <v>28604</v>
      </c>
      <c r="AD129">
        <v>1208100</v>
      </c>
      <c r="AE129">
        <v>1463600</v>
      </c>
      <c r="AF129">
        <v>1640000</v>
      </c>
      <c r="AG129">
        <v>2213400</v>
      </c>
      <c r="AH129">
        <v>1923800</v>
      </c>
      <c r="AI129">
        <v>2046700</v>
      </c>
      <c r="AJ129">
        <v>2075200</v>
      </c>
      <c r="AK129">
        <v>2466500</v>
      </c>
      <c r="AL129">
        <v>3099800</v>
      </c>
      <c r="AM129">
        <v>3725900</v>
      </c>
      <c r="AN129">
        <v>3566600</v>
      </c>
      <c r="AO129">
        <v>4186700</v>
      </c>
      <c r="AP129">
        <v>4201500</v>
      </c>
      <c r="AQ129">
        <v>4861500</v>
      </c>
      <c r="AR129">
        <v>5353300</v>
      </c>
      <c r="AS129">
        <v>6202500</v>
      </c>
      <c r="AT129">
        <v>7211400</v>
      </c>
      <c r="AU129">
        <v>8330900</v>
      </c>
      <c r="AV129">
        <v>9826000</v>
      </c>
      <c r="AW129">
        <v>13160800</v>
      </c>
      <c r="AX129">
        <v>15684500</v>
      </c>
      <c r="AY129">
        <v>16908000</v>
      </c>
      <c r="AZ129">
        <v>19766900</v>
      </c>
      <c r="BA129">
        <v>21425900</v>
      </c>
      <c r="BB129">
        <v>24932300</v>
      </c>
      <c r="BC129">
        <v>29345200</v>
      </c>
      <c r="BD129">
        <v>33002700</v>
      </c>
      <c r="BE129">
        <v>35505800</v>
      </c>
      <c r="BF129">
        <v>27109000</v>
      </c>
      <c r="BG129">
        <v>30870200</v>
      </c>
      <c r="BH129">
        <v>34331368</v>
      </c>
      <c r="BI129">
        <v>33710340</v>
      </c>
      <c r="BJ129">
        <v>34831814</v>
      </c>
      <c r="BK129">
        <v>33372577</v>
      </c>
      <c r="BL129">
        <v>34511494</v>
      </c>
      <c r="BM129">
        <v>33888328</v>
      </c>
      <c r="BN129">
        <v>34842655</v>
      </c>
      <c r="BO129">
        <v>36655313</v>
      </c>
      <c r="BP129">
        <v>36077655</v>
      </c>
      <c r="BQ129">
        <v>34168590</v>
      </c>
      <c r="BR129">
        <v>36987982</v>
      </c>
      <c r="BS129">
        <v>39911749.590000004</v>
      </c>
      <c r="BT129">
        <v>39969577.020000003</v>
      </c>
      <c r="BU129">
        <v>54530105</v>
      </c>
      <c r="BV129">
        <v>58289180</v>
      </c>
      <c r="BW129">
        <v>66093149</v>
      </c>
      <c r="BX129">
        <v>76859538</v>
      </c>
      <c r="BY129">
        <v>82818983</v>
      </c>
      <c r="BZ129">
        <v>88157579</v>
      </c>
      <c r="CA129">
        <v>92434079</v>
      </c>
    </row>
    <row r="130" spans="2:79" x14ac:dyDescent="0.3">
      <c r="B130" s="9">
        <v>128</v>
      </c>
      <c r="C130" s="49">
        <v>10070</v>
      </c>
      <c r="D130" s="9">
        <f>YEAR(Tabla1[[#This Row],[Date]])</f>
        <v>1927</v>
      </c>
      <c r="E130" s="9" t="str" cm="1">
        <f t="array" ref="E130">IFERROR(_xlfn.IFS(AND(D130&lt;1980,D130&gt;=1970),"70",AND(D130&lt;1990,D130&gt;=1980),"80",AND(D130&lt;2000,D130&gt;=1990),"90",AND(D130&lt;2010,D130&gt;=2000),"00",AND(D130&lt;=2019,D130&gt;=2010),"10"),"1908-1970")</f>
        <v>1908-1970</v>
      </c>
      <c r="F130" s="3" t="s">
        <v>28931</v>
      </c>
      <c r="G130" t="s">
        <v>5478</v>
      </c>
      <c r="H130" t="s">
        <v>5417</v>
      </c>
      <c r="I130" t="s">
        <v>28931</v>
      </c>
      <c r="J130" t="s">
        <v>5479</v>
      </c>
      <c r="K130" t="s">
        <v>5157</v>
      </c>
      <c r="L130" s="7" t="s">
        <v>5480</v>
      </c>
      <c r="M130">
        <v>591</v>
      </c>
      <c r="N130">
        <v>5</v>
      </c>
      <c r="O130">
        <v>3</v>
      </c>
      <c r="P130">
        <v>2</v>
      </c>
      <c r="Q130">
        <v>5</v>
      </c>
      <c r="R130">
        <v>3</v>
      </c>
      <c r="S130">
        <v>2</v>
      </c>
      <c r="T130">
        <v>0</v>
      </c>
      <c r="U130" t="s">
        <v>5481</v>
      </c>
      <c r="V130">
        <f>Tabla1[[#This Row],[Aboard]]-Tabla1[[#This Row],[Fatalities]]</f>
        <v>0</v>
      </c>
      <c r="W130" s="50">
        <f>IFERROR(Tabla1[[#This Row],[Fatalities]]/Tabla1[[#This Row],[Aboard]],0)</f>
        <v>1</v>
      </c>
      <c r="X130" s="51" t="str" cm="1">
        <f t="array" ref="X130">_xlfn.IFS(Tabla1[[#This Row],[Porcentaje de muertes]]&lt;0.35,"LEVE",AND(Tabla1[[#This Row],[Porcentaje de muertes]]&gt;0.35,Tabla1[[#This Row],[Porcentaje de muertes]]&lt;0.65),"MEDIO",Tabla1[[#This Row],[Porcentaje de muertes]]&gt;0.65,"GRAVE")</f>
        <v>GRAVE</v>
      </c>
      <c r="AB130" t="s">
        <v>28605</v>
      </c>
      <c r="AC130" t="s">
        <v>28606</v>
      </c>
      <c r="AD130">
        <v>315200</v>
      </c>
      <c r="AE130">
        <v>342200</v>
      </c>
      <c r="AF130">
        <v>390700</v>
      </c>
      <c r="AG130">
        <v>453600</v>
      </c>
      <c r="AH130">
        <v>517900</v>
      </c>
      <c r="AI130">
        <v>624800</v>
      </c>
      <c r="AJ130">
        <v>737000</v>
      </c>
      <c r="AK130">
        <v>812300</v>
      </c>
      <c r="AL130">
        <v>849500</v>
      </c>
      <c r="AM130">
        <v>965100</v>
      </c>
      <c r="AN130">
        <v>1076200</v>
      </c>
      <c r="AO130">
        <v>1252500</v>
      </c>
      <c r="AP130">
        <v>1460700</v>
      </c>
      <c r="AQ130">
        <v>1534500</v>
      </c>
      <c r="AR130">
        <v>1497900</v>
      </c>
      <c r="AS130">
        <v>1449200</v>
      </c>
      <c r="AT130">
        <v>1465700</v>
      </c>
      <c r="AU130">
        <v>1511100</v>
      </c>
      <c r="AV130">
        <v>1557300</v>
      </c>
      <c r="AW130">
        <v>1640600</v>
      </c>
      <c r="AX130">
        <v>965600</v>
      </c>
      <c r="AY130">
        <v>840100</v>
      </c>
      <c r="AZ130">
        <v>1408600</v>
      </c>
      <c r="BA130">
        <v>1553800</v>
      </c>
      <c r="BB130">
        <v>1756200</v>
      </c>
      <c r="BC130">
        <v>1950800</v>
      </c>
      <c r="BD130">
        <v>2133400</v>
      </c>
      <c r="BE130">
        <v>2113900</v>
      </c>
      <c r="BF130">
        <v>2240800</v>
      </c>
      <c r="BG130">
        <v>2130000</v>
      </c>
      <c r="BH130">
        <v>2112523</v>
      </c>
      <c r="BI130">
        <v>2084574</v>
      </c>
      <c r="BJ130">
        <v>2299218</v>
      </c>
      <c r="BK130">
        <v>2185990</v>
      </c>
      <c r="BL130">
        <v>2496441</v>
      </c>
      <c r="BM130">
        <v>2433213</v>
      </c>
      <c r="BN130">
        <v>2627870</v>
      </c>
      <c r="BO130">
        <v>2659769</v>
      </c>
      <c r="BP130">
        <v>2523966</v>
      </c>
      <c r="BQ130">
        <v>2597076</v>
      </c>
      <c r="BR130">
        <v>4563082</v>
      </c>
      <c r="BS130">
        <v>3722729.503</v>
      </c>
      <c r="BT130">
        <v>3481039</v>
      </c>
      <c r="BU130">
        <v>3244805</v>
      </c>
      <c r="BV130">
        <v>3530851</v>
      </c>
      <c r="BW130">
        <v>3752995</v>
      </c>
      <c r="BX130">
        <v>4069935</v>
      </c>
      <c r="BY130">
        <v>5731748</v>
      </c>
      <c r="BZ130">
        <v>6464847</v>
      </c>
      <c r="CA130">
        <v>7385299</v>
      </c>
    </row>
    <row r="131" spans="2:79" x14ac:dyDescent="0.3">
      <c r="B131" s="9">
        <v>129</v>
      </c>
      <c r="C131" s="49">
        <v>10096</v>
      </c>
      <c r="D131" s="9">
        <f>YEAR(Tabla1[[#This Row],[Date]])</f>
        <v>1927</v>
      </c>
      <c r="E131" s="9" t="str" cm="1">
        <f t="array" ref="E131">IFERROR(_xlfn.IFS(AND(D131&lt;1980,D131&gt;=1970),"70",AND(D131&lt;1990,D131&gt;=1980),"80",AND(D131&lt;2000,D131&gt;=1990),"90",AND(D131&lt;2010,D131&gt;=2000),"00",AND(D131&lt;=2019,D131&gt;=2010),"10"),"1908-1970")</f>
        <v>1908-1970</v>
      </c>
      <c r="F131" s="3">
        <v>0.35416666666666669</v>
      </c>
      <c r="G131" t="s">
        <v>5482</v>
      </c>
      <c r="H131" t="s">
        <v>5332</v>
      </c>
      <c r="I131" t="s">
        <v>28931</v>
      </c>
      <c r="J131" t="s">
        <v>5483</v>
      </c>
      <c r="K131" t="s">
        <v>5484</v>
      </c>
      <c r="L131" s="7" t="s">
        <v>5485</v>
      </c>
      <c r="M131">
        <v>4993</v>
      </c>
      <c r="N131">
        <v>11</v>
      </c>
      <c r="O131">
        <v>9</v>
      </c>
      <c r="P131">
        <v>2</v>
      </c>
      <c r="Q131">
        <v>1</v>
      </c>
      <c r="R131">
        <v>0</v>
      </c>
      <c r="S131">
        <v>1</v>
      </c>
      <c r="T131">
        <v>0</v>
      </c>
      <c r="U131" t="s">
        <v>5486</v>
      </c>
      <c r="V131">
        <f>Tabla1[[#This Row],[Aboard]]-Tabla1[[#This Row],[Fatalities]]</f>
        <v>10</v>
      </c>
      <c r="W131" s="50">
        <f>IFERROR(Tabla1[[#This Row],[Fatalities]]/Tabla1[[#This Row],[Aboard]],0)</f>
        <v>9.0909090909090912E-2</v>
      </c>
      <c r="X131" s="51" t="str" cm="1">
        <f t="array" ref="X131">_xlfn.IFS(Tabla1[[#This Row],[Porcentaje de muertes]]&lt;0.35,"LEVE",AND(Tabla1[[#This Row],[Porcentaje de muertes]]&gt;0.35,Tabla1[[#This Row],[Porcentaje de muertes]]&lt;0.65),"MEDIO",Tabla1[[#This Row],[Porcentaje de muertes]]&gt;0.65,"GRAVE")</f>
        <v>LEVE</v>
      </c>
      <c r="AB131" t="s">
        <v>28607</v>
      </c>
      <c r="AC131" t="s">
        <v>28608</v>
      </c>
      <c r="AD131">
        <v>15309100</v>
      </c>
      <c r="AE131">
        <v>16221900</v>
      </c>
      <c r="AF131">
        <v>18362100</v>
      </c>
      <c r="AG131">
        <v>19932800</v>
      </c>
      <c r="AH131">
        <v>23338700</v>
      </c>
      <c r="AI131">
        <v>26591400</v>
      </c>
      <c r="AJ131">
        <v>29501700</v>
      </c>
      <c r="AK131">
        <v>31872900</v>
      </c>
      <c r="AL131">
        <v>35398800</v>
      </c>
      <c r="AM131">
        <v>40941100</v>
      </c>
      <c r="AN131">
        <v>44275500</v>
      </c>
      <c r="AO131">
        <v>43379100</v>
      </c>
      <c r="AP131">
        <v>44101800</v>
      </c>
      <c r="AQ131">
        <v>45091900</v>
      </c>
      <c r="AR131">
        <v>46268800</v>
      </c>
      <c r="AS131">
        <v>47473500</v>
      </c>
      <c r="AT131">
        <v>50588300</v>
      </c>
      <c r="AU131">
        <v>51188300</v>
      </c>
      <c r="AV131">
        <v>48560200</v>
      </c>
      <c r="AW131">
        <v>51734600</v>
      </c>
      <c r="AX131">
        <v>53506300</v>
      </c>
      <c r="AY131">
        <v>52311900</v>
      </c>
      <c r="AZ131">
        <v>52316200</v>
      </c>
      <c r="BA131">
        <v>55325000</v>
      </c>
      <c r="BB131">
        <v>61662500</v>
      </c>
      <c r="BC131">
        <v>61056200</v>
      </c>
      <c r="BD131">
        <v>65666200</v>
      </c>
      <c r="BE131">
        <v>73303600</v>
      </c>
      <c r="BF131">
        <v>77885600</v>
      </c>
      <c r="BG131">
        <v>78956200</v>
      </c>
      <c r="BH131">
        <v>81854501</v>
      </c>
      <c r="BI131">
        <v>81867726</v>
      </c>
      <c r="BJ131">
        <v>81964755</v>
      </c>
      <c r="BK131">
        <v>81085205</v>
      </c>
      <c r="BL131">
        <v>87141018</v>
      </c>
      <c r="BM131">
        <v>93115390</v>
      </c>
      <c r="BN131">
        <v>95816180</v>
      </c>
      <c r="BO131">
        <v>103841513</v>
      </c>
      <c r="BP131">
        <v>116271617</v>
      </c>
      <c r="BQ131">
        <v>123930038</v>
      </c>
      <c r="BR131">
        <v>158357125.80000001</v>
      </c>
      <c r="BS131">
        <v>174395052.59999999</v>
      </c>
      <c r="BT131">
        <v>191682898.90000001</v>
      </c>
      <c r="BU131">
        <v>208956931.5</v>
      </c>
      <c r="BV131">
        <v>221642902.19999999</v>
      </c>
      <c r="BW131">
        <v>237567474</v>
      </c>
      <c r="BX131">
        <v>239723192</v>
      </c>
      <c r="BY131">
        <v>249448786.40000001</v>
      </c>
      <c r="BZ131">
        <v>266449596.80000001</v>
      </c>
      <c r="CA131">
        <v>277418454.69999999</v>
      </c>
    </row>
    <row r="132" spans="2:79" x14ac:dyDescent="0.3">
      <c r="B132" s="9">
        <v>130</v>
      </c>
      <c r="C132" s="49">
        <v>9930</v>
      </c>
      <c r="D132" s="9">
        <f>YEAR(Tabla1[[#This Row],[Date]])</f>
        <v>1927</v>
      </c>
      <c r="E132" s="9" t="str" cm="1">
        <f t="array" ref="E132">IFERROR(_xlfn.IFS(AND(D132&lt;1980,D132&gt;=1970),"70",AND(D132&lt;1990,D132&gt;=1980),"80",AND(D132&lt;2000,D132&gt;=1990),"90",AND(D132&lt;2010,D132&gt;=2000),"00",AND(D132&lt;=2019,D132&gt;=2010),"10"),"1908-1970")</f>
        <v>1908-1970</v>
      </c>
      <c r="F132" s="3" t="s">
        <v>28931</v>
      </c>
      <c r="G132" t="s">
        <v>5487</v>
      </c>
      <c r="H132" t="s">
        <v>5488</v>
      </c>
      <c r="I132" t="s">
        <v>28931</v>
      </c>
      <c r="J132" t="s">
        <v>28931</v>
      </c>
      <c r="K132" t="s">
        <v>5489</v>
      </c>
      <c r="L132" s="7" t="s">
        <v>5490</v>
      </c>
      <c r="M132">
        <v>405</v>
      </c>
      <c r="N132">
        <v>1</v>
      </c>
      <c r="O132">
        <v>0</v>
      </c>
      <c r="P132">
        <v>1</v>
      </c>
      <c r="Q132">
        <v>1</v>
      </c>
      <c r="R132">
        <v>0</v>
      </c>
      <c r="S132">
        <v>1</v>
      </c>
      <c r="T132">
        <v>0</v>
      </c>
      <c r="U132" t="s">
        <v>5491</v>
      </c>
      <c r="V132">
        <f>Tabla1[[#This Row],[Aboard]]-Tabla1[[#This Row],[Fatalities]]</f>
        <v>0</v>
      </c>
      <c r="W132" s="50">
        <f>IFERROR(Tabla1[[#This Row],[Fatalities]]/Tabla1[[#This Row],[Aboard]],0)</f>
        <v>1</v>
      </c>
      <c r="X132" s="51" t="str" cm="1">
        <f t="array" ref="X132">_xlfn.IFS(Tabla1[[#This Row],[Porcentaje de muertes]]&lt;0.35,"LEVE",AND(Tabla1[[#This Row],[Porcentaje de muertes]]&gt;0.35,Tabla1[[#This Row],[Porcentaje de muertes]]&lt;0.65),"MEDIO",Tabla1[[#This Row],[Porcentaje de muertes]]&gt;0.65,"GRAVE")</f>
        <v>GRAVE</v>
      </c>
      <c r="AB132" t="s">
        <v>28609</v>
      </c>
      <c r="AC132" t="s">
        <v>28610</v>
      </c>
      <c r="AD132">
        <v>55900</v>
      </c>
      <c r="AE132">
        <v>42000</v>
      </c>
      <c r="AF132">
        <v>43000</v>
      </c>
      <c r="AG132">
        <v>44500</v>
      </c>
      <c r="AH132">
        <v>45000</v>
      </c>
      <c r="AI132">
        <v>45000</v>
      </c>
      <c r="AJ132">
        <v>45000</v>
      </c>
      <c r="AK132">
        <v>30000</v>
      </c>
      <c r="AL132">
        <v>12000</v>
      </c>
      <c r="AM132">
        <v>13000</v>
      </c>
      <c r="AN132">
        <v>13000</v>
      </c>
      <c r="AO132">
        <v>14500</v>
      </c>
      <c r="AP132">
        <v>14700</v>
      </c>
      <c r="AQ132">
        <v>14000</v>
      </c>
      <c r="AR132">
        <v>15700</v>
      </c>
      <c r="AS132">
        <v>15800</v>
      </c>
      <c r="AT132">
        <v>24500</v>
      </c>
      <c r="AU132">
        <v>45000</v>
      </c>
      <c r="AV132">
        <v>47500</v>
      </c>
      <c r="AW132">
        <v>49600</v>
      </c>
      <c r="AX132">
        <v>115400</v>
      </c>
      <c r="AY132">
        <v>115400</v>
      </c>
      <c r="AZ132">
        <v>118500</v>
      </c>
      <c r="BA132">
        <v>118500</v>
      </c>
      <c r="BB132">
        <v>118500</v>
      </c>
      <c r="BC132">
        <v>124500</v>
      </c>
      <c r="BD132">
        <v>124500</v>
      </c>
      <c r="BE132">
        <v>124500</v>
      </c>
      <c r="BF132">
        <v>124100</v>
      </c>
      <c r="BG132">
        <v>197200</v>
      </c>
      <c r="BH132">
        <v>210847</v>
      </c>
      <c r="BI132">
        <v>210847</v>
      </c>
      <c r="BJ132">
        <v>219598</v>
      </c>
      <c r="BK132">
        <v>218652</v>
      </c>
      <c r="BL132">
        <v>271706</v>
      </c>
      <c r="BM132">
        <v>293442</v>
      </c>
      <c r="BN132">
        <v>326730</v>
      </c>
      <c r="BO132">
        <v>328326</v>
      </c>
      <c r="BP132">
        <v>323401</v>
      </c>
      <c r="BQ132">
        <v>302596</v>
      </c>
      <c r="BR132">
        <v>443778</v>
      </c>
      <c r="BS132">
        <v>532707</v>
      </c>
      <c r="BT132">
        <v>877949.88139999995</v>
      </c>
      <c r="BU132">
        <v>1476528</v>
      </c>
      <c r="BV132">
        <v>1310124</v>
      </c>
      <c r="BW132">
        <v>1181188</v>
      </c>
      <c r="BX132">
        <v>1220201</v>
      </c>
      <c r="BY132">
        <v>1196041</v>
      </c>
      <c r="BZ132">
        <v>1009414</v>
      </c>
      <c r="CA132">
        <v>979307</v>
      </c>
    </row>
    <row r="133" spans="2:79" x14ac:dyDescent="0.3">
      <c r="B133" s="9">
        <v>131</v>
      </c>
      <c r="C133" s="49">
        <v>10122</v>
      </c>
      <c r="D133" s="9">
        <f>YEAR(Tabla1[[#This Row],[Date]])</f>
        <v>1927</v>
      </c>
      <c r="E133" s="9" t="str" cm="1">
        <f t="array" ref="E133">IFERROR(_xlfn.IFS(AND(D133&lt;1980,D133&gt;=1970),"70",AND(D133&lt;1990,D133&gt;=1980),"80",AND(D133&lt;2000,D133&gt;=1990),"90",AND(D133&lt;2010,D133&gt;=2000),"00",AND(D133&lt;=2019,D133&gt;=2010),"10"),"1908-1970")</f>
        <v>1908-1970</v>
      </c>
      <c r="F133" s="3" t="s">
        <v>28931</v>
      </c>
      <c r="G133" t="s">
        <v>5492</v>
      </c>
      <c r="H133" t="s">
        <v>5493</v>
      </c>
      <c r="I133" t="s">
        <v>28931</v>
      </c>
      <c r="J133" t="s">
        <v>5494</v>
      </c>
      <c r="K133" t="s">
        <v>5451</v>
      </c>
      <c r="L133" s="7" t="s">
        <v>5495</v>
      </c>
      <c r="M133">
        <v>4840</v>
      </c>
      <c r="N133">
        <v>12</v>
      </c>
      <c r="O133">
        <v>11</v>
      </c>
      <c r="P133">
        <v>1</v>
      </c>
      <c r="Q133">
        <v>7</v>
      </c>
      <c r="R133">
        <v>6</v>
      </c>
      <c r="S133">
        <v>1</v>
      </c>
      <c r="T133">
        <v>0</v>
      </c>
      <c r="U133" t="s">
        <v>5496</v>
      </c>
      <c r="V133">
        <f>Tabla1[[#This Row],[Aboard]]-Tabla1[[#This Row],[Fatalities]]</f>
        <v>5</v>
      </c>
      <c r="W133" s="50">
        <f>IFERROR(Tabla1[[#This Row],[Fatalities]]/Tabla1[[#This Row],[Aboard]],0)</f>
        <v>0.58333333333333337</v>
      </c>
      <c r="X133" s="51" t="str" cm="1">
        <f t="array" ref="X133">_xlfn.IFS(Tabla1[[#This Row],[Porcentaje de muertes]]&lt;0.35,"LEVE",AND(Tabla1[[#This Row],[Porcentaje de muertes]]&gt;0.35,Tabla1[[#This Row],[Porcentaje de muertes]]&lt;0.65),"MEDIO",Tabla1[[#This Row],[Porcentaje de muertes]]&gt;0.65,"GRAVE")</f>
        <v>MEDIO</v>
      </c>
      <c r="AB133" t="s">
        <v>28611</v>
      </c>
      <c r="AC133" t="s">
        <v>28612</v>
      </c>
      <c r="AD133">
        <v>548600</v>
      </c>
      <c r="AE133">
        <v>648000</v>
      </c>
      <c r="AF133">
        <v>743800</v>
      </c>
      <c r="AG133">
        <v>819000</v>
      </c>
      <c r="AH133">
        <v>1037300</v>
      </c>
      <c r="AI133">
        <v>900000</v>
      </c>
      <c r="AJ133">
        <v>1050000</v>
      </c>
      <c r="AK133">
        <v>928500</v>
      </c>
      <c r="AL133">
        <v>862900</v>
      </c>
      <c r="AM133">
        <v>904000</v>
      </c>
      <c r="AN133">
        <v>930300</v>
      </c>
      <c r="AO133">
        <v>843800</v>
      </c>
      <c r="AP133">
        <v>571000</v>
      </c>
      <c r="AQ133">
        <v>695800</v>
      </c>
      <c r="AR133">
        <v>410700</v>
      </c>
      <c r="AS133">
        <v>501300</v>
      </c>
      <c r="AT133">
        <v>498700</v>
      </c>
      <c r="AU133">
        <v>353300</v>
      </c>
      <c r="AV133">
        <v>493200</v>
      </c>
      <c r="AW133">
        <v>182600</v>
      </c>
      <c r="AX133">
        <v>572300</v>
      </c>
      <c r="AY133">
        <v>535500</v>
      </c>
      <c r="AZ133">
        <v>599600</v>
      </c>
      <c r="BA133">
        <v>677400</v>
      </c>
      <c r="BB133">
        <v>706400</v>
      </c>
      <c r="BC133">
        <v>769800</v>
      </c>
      <c r="BD133">
        <v>774600</v>
      </c>
      <c r="BE133">
        <v>856900</v>
      </c>
      <c r="BF133">
        <v>716000</v>
      </c>
      <c r="BG133">
        <v>719400</v>
      </c>
      <c r="BH133">
        <v>805803</v>
      </c>
      <c r="BI133">
        <v>815862</v>
      </c>
      <c r="BJ133">
        <v>874152</v>
      </c>
      <c r="BK133">
        <v>935213</v>
      </c>
      <c r="BL133">
        <v>1086730</v>
      </c>
      <c r="BM133">
        <v>1076258</v>
      </c>
      <c r="BN133">
        <v>968820</v>
      </c>
      <c r="BO133">
        <v>1074219</v>
      </c>
      <c r="BP133">
        <v>1067774</v>
      </c>
      <c r="BQ133">
        <v>1308382</v>
      </c>
      <c r="BR133">
        <v>1893359</v>
      </c>
      <c r="BS133">
        <v>2029610</v>
      </c>
      <c r="BT133">
        <v>2148669</v>
      </c>
      <c r="BU133">
        <v>2241480</v>
      </c>
      <c r="BV133">
        <v>2419476</v>
      </c>
      <c r="BW133">
        <v>2591297</v>
      </c>
      <c r="BX133">
        <v>2647258</v>
      </c>
      <c r="BY133">
        <v>2879528</v>
      </c>
      <c r="BZ133">
        <v>2981937</v>
      </c>
      <c r="CA133">
        <v>3164358</v>
      </c>
    </row>
    <row r="134" spans="2:79" x14ac:dyDescent="0.3">
      <c r="B134" s="9">
        <v>132</v>
      </c>
      <c r="C134" s="49">
        <v>10122</v>
      </c>
      <c r="D134" s="9">
        <f>YEAR(Tabla1[[#This Row],[Date]])</f>
        <v>1927</v>
      </c>
      <c r="E134" s="9" t="str" cm="1">
        <f t="array" ref="E134">IFERROR(_xlfn.IFS(AND(D134&lt;1980,D134&gt;=1970),"70",AND(D134&lt;1990,D134&gt;=1980),"80",AND(D134&lt;2000,D134&gt;=1990),"90",AND(D134&lt;2010,D134&gt;=2000),"00",AND(D134&lt;=2019,D134&gt;=2010),"10"),"1908-1970")</f>
        <v>1908-1970</v>
      </c>
      <c r="F134" s="3">
        <v>0.17013888888888887</v>
      </c>
      <c r="G134" t="s">
        <v>5497</v>
      </c>
      <c r="H134" t="s">
        <v>5032</v>
      </c>
      <c r="I134" t="s">
        <v>28931</v>
      </c>
      <c r="J134" t="s">
        <v>5498</v>
      </c>
      <c r="K134" t="s">
        <v>5413</v>
      </c>
      <c r="L134" s="7" t="s">
        <v>5499</v>
      </c>
      <c r="M134" t="s">
        <v>5500</v>
      </c>
      <c r="N134">
        <v>3</v>
      </c>
      <c r="O134">
        <v>1</v>
      </c>
      <c r="P134">
        <v>2</v>
      </c>
      <c r="Q134">
        <v>3</v>
      </c>
      <c r="R134">
        <v>1</v>
      </c>
      <c r="S134">
        <v>2</v>
      </c>
      <c r="T134">
        <v>0</v>
      </c>
      <c r="U134" t="s">
        <v>5501</v>
      </c>
      <c r="V134">
        <f>Tabla1[[#This Row],[Aboard]]-Tabla1[[#This Row],[Fatalities]]</f>
        <v>0</v>
      </c>
      <c r="W134" s="50">
        <f>IFERROR(Tabla1[[#This Row],[Fatalities]]/Tabla1[[#This Row],[Aboard]],0)</f>
        <v>1</v>
      </c>
      <c r="X134" s="51" t="str" cm="1">
        <f t="array" ref="X134">_xlfn.IFS(Tabla1[[#This Row],[Porcentaje de muertes]]&lt;0.35,"LEVE",AND(Tabla1[[#This Row],[Porcentaje de muertes]]&gt;0.35,Tabla1[[#This Row],[Porcentaje de muertes]]&lt;0.65),"MEDIO",Tabla1[[#This Row],[Porcentaje de muertes]]&gt;0.65,"GRAVE")</f>
        <v>GRAVE</v>
      </c>
      <c r="AB134" t="s">
        <v>28613</v>
      </c>
      <c r="AC134" t="s">
        <v>28614</v>
      </c>
      <c r="AD134" t="s">
        <v>28966</v>
      </c>
      <c r="AE134" t="s">
        <v>28966</v>
      </c>
      <c r="AF134" t="s">
        <v>28966</v>
      </c>
      <c r="AG134" t="s">
        <v>28966</v>
      </c>
      <c r="AH134">
        <v>25000</v>
      </c>
      <c r="AI134">
        <v>25500</v>
      </c>
      <c r="AJ134">
        <v>26000</v>
      </c>
      <c r="AK134">
        <v>27000</v>
      </c>
      <c r="AL134">
        <v>29000</v>
      </c>
      <c r="AM134">
        <v>9400</v>
      </c>
      <c r="AN134">
        <v>10600</v>
      </c>
      <c r="AO134">
        <v>30400</v>
      </c>
      <c r="AP134">
        <v>40900</v>
      </c>
      <c r="AQ134">
        <v>44000</v>
      </c>
      <c r="AR134">
        <v>50000</v>
      </c>
      <c r="AS134">
        <v>42000</v>
      </c>
      <c r="AT134">
        <v>42000</v>
      </c>
      <c r="AU134">
        <v>44000</v>
      </c>
      <c r="AV134">
        <v>45700</v>
      </c>
      <c r="AW134">
        <v>46300</v>
      </c>
      <c r="AX134">
        <v>33700</v>
      </c>
      <c r="AY134">
        <v>32000</v>
      </c>
      <c r="AZ134">
        <v>32000</v>
      </c>
      <c r="BA134" t="s">
        <v>28966</v>
      </c>
      <c r="BB134" t="s">
        <v>28966</v>
      </c>
      <c r="BC134" t="s">
        <v>28966</v>
      </c>
      <c r="BD134" t="s">
        <v>28966</v>
      </c>
      <c r="BE134" t="s">
        <v>28966</v>
      </c>
      <c r="BF134" t="s">
        <v>28966</v>
      </c>
      <c r="BG134" t="s">
        <v>28966</v>
      </c>
      <c r="BH134" t="s">
        <v>28966</v>
      </c>
      <c r="BI134" t="s">
        <v>28966</v>
      </c>
      <c r="BJ134" t="s">
        <v>28966</v>
      </c>
      <c r="BK134" t="s">
        <v>28966</v>
      </c>
      <c r="BL134" t="s">
        <v>28966</v>
      </c>
      <c r="BM134" t="s">
        <v>28966</v>
      </c>
      <c r="BN134" t="s">
        <v>28966</v>
      </c>
      <c r="BO134" t="s">
        <v>28966</v>
      </c>
      <c r="BP134" t="s">
        <v>28966</v>
      </c>
      <c r="BQ134" t="s">
        <v>28966</v>
      </c>
      <c r="BR134" t="s">
        <v>28966</v>
      </c>
      <c r="BS134" t="s">
        <v>28966</v>
      </c>
      <c r="BT134" t="s">
        <v>28966</v>
      </c>
      <c r="BU134" t="s">
        <v>28966</v>
      </c>
      <c r="BV134" t="s">
        <v>28966</v>
      </c>
      <c r="BW134" t="s">
        <v>28966</v>
      </c>
      <c r="BX134" t="s">
        <v>28966</v>
      </c>
      <c r="BY134" t="s">
        <v>28966</v>
      </c>
      <c r="BZ134" t="s">
        <v>28966</v>
      </c>
      <c r="CA134" t="s">
        <v>28966</v>
      </c>
    </row>
    <row r="135" spans="2:79" x14ac:dyDescent="0.3">
      <c r="B135" s="9">
        <v>133</v>
      </c>
      <c r="C135" s="49">
        <v>10128</v>
      </c>
      <c r="D135" s="9">
        <f>YEAR(Tabla1[[#This Row],[Date]])</f>
        <v>1927</v>
      </c>
      <c r="E135" s="9" t="str" cm="1">
        <f t="array" ref="E135">IFERROR(_xlfn.IFS(AND(D135&lt;1980,D135&gt;=1970),"70",AND(D135&lt;1990,D135&gt;=1980),"80",AND(D135&lt;2000,D135&gt;=1990),"90",AND(D135&lt;2010,D135&gt;=2000),"00",AND(D135&lt;=2019,D135&gt;=2010),"10"),"1908-1970")</f>
        <v>1908-1970</v>
      </c>
      <c r="F135" s="3">
        <v>0.41666666666666669</v>
      </c>
      <c r="G135" t="s">
        <v>5502</v>
      </c>
      <c r="H135" t="s">
        <v>5417</v>
      </c>
      <c r="I135" t="s">
        <v>28931</v>
      </c>
      <c r="J135" t="s">
        <v>5503</v>
      </c>
      <c r="K135" t="s">
        <v>5504</v>
      </c>
      <c r="L135" s="7" t="s">
        <v>5505</v>
      </c>
      <c r="M135">
        <v>75</v>
      </c>
      <c r="N135">
        <v>6</v>
      </c>
      <c r="O135">
        <v>4</v>
      </c>
      <c r="P135">
        <v>2</v>
      </c>
      <c r="Q135">
        <v>6</v>
      </c>
      <c r="R135">
        <v>4</v>
      </c>
      <c r="S135">
        <v>2</v>
      </c>
      <c r="T135">
        <v>0</v>
      </c>
      <c r="U135" t="s">
        <v>5506</v>
      </c>
      <c r="V135">
        <f>Tabla1[[#This Row],[Aboard]]-Tabla1[[#This Row],[Fatalities]]</f>
        <v>0</v>
      </c>
      <c r="W135" s="50">
        <f>IFERROR(Tabla1[[#This Row],[Fatalities]]/Tabla1[[#This Row],[Aboard]],0)</f>
        <v>1</v>
      </c>
      <c r="X135" s="51" t="str" cm="1">
        <f t="array" ref="X135">_xlfn.IFS(Tabla1[[#This Row],[Porcentaje de muertes]]&lt;0.35,"LEVE",AND(Tabla1[[#This Row],[Porcentaje de muertes]]&gt;0.35,Tabla1[[#This Row],[Porcentaje de muertes]]&lt;0.65),"MEDIO",Tabla1[[#This Row],[Porcentaje de muertes]]&gt;0.65,"GRAVE")</f>
        <v>GRAVE</v>
      </c>
      <c r="AB135" t="s">
        <v>28615</v>
      </c>
      <c r="AC135" t="s">
        <v>28616</v>
      </c>
      <c r="AD135">
        <v>190200</v>
      </c>
      <c r="AE135">
        <v>259400</v>
      </c>
      <c r="AF135">
        <v>327200</v>
      </c>
      <c r="AG135">
        <v>352000</v>
      </c>
      <c r="AH135">
        <v>408000</v>
      </c>
      <c r="AI135">
        <v>558000</v>
      </c>
      <c r="AJ135">
        <v>669900</v>
      </c>
      <c r="AK135">
        <v>801900</v>
      </c>
      <c r="AL135">
        <v>890600</v>
      </c>
      <c r="AM135">
        <v>913800</v>
      </c>
      <c r="AN135">
        <v>1168800</v>
      </c>
      <c r="AO135">
        <v>1486000</v>
      </c>
      <c r="AP135">
        <v>1557800</v>
      </c>
      <c r="AQ135">
        <v>1860000</v>
      </c>
      <c r="AR135">
        <v>1583800</v>
      </c>
      <c r="AS135">
        <v>1579300</v>
      </c>
      <c r="AT135">
        <v>1382900</v>
      </c>
      <c r="AU135">
        <v>1515100</v>
      </c>
      <c r="AV135">
        <v>1581200</v>
      </c>
      <c r="AW135">
        <v>1617000</v>
      </c>
      <c r="AX135">
        <v>1803000</v>
      </c>
      <c r="AY135">
        <v>1883700</v>
      </c>
      <c r="AZ135">
        <v>1350100</v>
      </c>
      <c r="BA135">
        <v>853000</v>
      </c>
      <c r="BB135">
        <v>640800</v>
      </c>
      <c r="BC135">
        <v>623200</v>
      </c>
      <c r="BD135">
        <v>638600</v>
      </c>
      <c r="BE135">
        <v>570600</v>
      </c>
      <c r="BF135">
        <v>570600</v>
      </c>
      <c r="BG135">
        <v>585500</v>
      </c>
      <c r="BH135">
        <v>600734</v>
      </c>
      <c r="BI135">
        <v>582712</v>
      </c>
      <c r="BJ135">
        <v>559404</v>
      </c>
      <c r="BK135">
        <v>626532</v>
      </c>
      <c r="BL135">
        <v>850185</v>
      </c>
      <c r="BM135">
        <v>0</v>
      </c>
      <c r="BN135">
        <v>1151785</v>
      </c>
      <c r="BO135">
        <v>1204107</v>
      </c>
      <c r="BP135">
        <v>1213854</v>
      </c>
      <c r="BQ135">
        <v>1147234</v>
      </c>
      <c r="BR135">
        <v>2928705.68</v>
      </c>
      <c r="BS135">
        <v>2284066.5010000002</v>
      </c>
      <c r="BT135">
        <v>1398125.1340000001</v>
      </c>
      <c r="BU135">
        <v>2744844</v>
      </c>
      <c r="BV135">
        <v>2391856</v>
      </c>
      <c r="BW135">
        <v>1430460</v>
      </c>
      <c r="BX135">
        <v>1283181</v>
      </c>
      <c r="BY135">
        <v>1186424</v>
      </c>
      <c r="BZ135">
        <v>1442576</v>
      </c>
      <c r="CA135">
        <v>1367458</v>
      </c>
    </row>
    <row r="136" spans="2:79" x14ac:dyDescent="0.3">
      <c r="B136" s="9">
        <v>134</v>
      </c>
      <c r="C136" s="49">
        <v>10023</v>
      </c>
      <c r="D136" s="9">
        <f>YEAR(Tabla1[[#This Row],[Date]])</f>
        <v>1927</v>
      </c>
      <c r="E136" s="9" t="str" cm="1">
        <f t="array" ref="E136">IFERROR(_xlfn.IFS(AND(D136&lt;1980,D136&gt;=1970),"70",AND(D136&lt;1990,D136&gt;=1980),"80",AND(D136&lt;2000,D136&gt;=1990),"90",AND(D136&lt;2010,D136&gt;=2000),"00",AND(D136&lt;=2019,D136&gt;=2010),"10"),"1908-1970")</f>
        <v>1908-1970</v>
      </c>
      <c r="F136" s="3" t="s">
        <v>28931</v>
      </c>
      <c r="G136" t="s">
        <v>5507</v>
      </c>
      <c r="H136" t="s">
        <v>5372</v>
      </c>
      <c r="I136" t="s">
        <v>28931</v>
      </c>
      <c r="J136" t="s">
        <v>5508</v>
      </c>
      <c r="K136" t="s">
        <v>5167</v>
      </c>
      <c r="L136" s="7" t="s">
        <v>5509</v>
      </c>
      <c r="M136">
        <v>229</v>
      </c>
      <c r="N136">
        <v>2</v>
      </c>
      <c r="O136">
        <v>0</v>
      </c>
      <c r="P136">
        <v>2</v>
      </c>
      <c r="Q136">
        <v>2</v>
      </c>
      <c r="R136">
        <v>0</v>
      </c>
      <c r="S136">
        <v>2</v>
      </c>
      <c r="T136">
        <v>0</v>
      </c>
      <c r="U136" t="s">
        <v>5510</v>
      </c>
      <c r="V136">
        <f>Tabla1[[#This Row],[Aboard]]-Tabla1[[#This Row],[Fatalities]]</f>
        <v>0</v>
      </c>
      <c r="W136" s="50">
        <f>IFERROR(Tabla1[[#This Row],[Fatalities]]/Tabla1[[#This Row],[Aboard]],0)</f>
        <v>1</v>
      </c>
      <c r="X136" s="51" t="str" cm="1">
        <f t="array" ref="X136">_xlfn.IFS(Tabla1[[#This Row],[Porcentaje de muertes]]&lt;0.35,"LEVE",AND(Tabla1[[#This Row],[Porcentaje de muertes]]&gt;0.35,Tabla1[[#This Row],[Porcentaje de muertes]]&lt;0.65),"MEDIO",Tabla1[[#This Row],[Porcentaje de muertes]]&gt;0.65,"GRAVE")</f>
        <v>GRAVE</v>
      </c>
      <c r="AB136" t="s">
        <v>28617</v>
      </c>
      <c r="AC136" t="s">
        <v>28618</v>
      </c>
      <c r="AD136" t="s">
        <v>28966</v>
      </c>
      <c r="AE136" t="s">
        <v>28966</v>
      </c>
      <c r="AF136" t="s">
        <v>28966</v>
      </c>
      <c r="AG136" t="s">
        <v>28966</v>
      </c>
      <c r="AH136" t="s">
        <v>28966</v>
      </c>
      <c r="AI136" t="s">
        <v>28966</v>
      </c>
      <c r="AJ136" t="s">
        <v>28966</v>
      </c>
      <c r="AK136" t="s">
        <v>28966</v>
      </c>
      <c r="AL136" t="s">
        <v>28966</v>
      </c>
      <c r="AM136" t="s">
        <v>28966</v>
      </c>
      <c r="AN136" t="s">
        <v>28966</v>
      </c>
      <c r="AO136" t="s">
        <v>28966</v>
      </c>
      <c r="AP136" t="s">
        <v>28966</v>
      </c>
      <c r="AQ136" t="s">
        <v>28966</v>
      </c>
      <c r="AR136" t="s">
        <v>28966</v>
      </c>
      <c r="AS136" t="s">
        <v>28966</v>
      </c>
      <c r="AT136" t="s">
        <v>28966</v>
      </c>
      <c r="AU136" t="s">
        <v>28966</v>
      </c>
      <c r="AV136" t="s">
        <v>28966</v>
      </c>
      <c r="AW136" t="s">
        <v>28966</v>
      </c>
      <c r="AX136" t="s">
        <v>28966</v>
      </c>
      <c r="AY136" t="s">
        <v>28966</v>
      </c>
      <c r="AZ136" t="s">
        <v>28966</v>
      </c>
      <c r="BA136" t="s">
        <v>28966</v>
      </c>
      <c r="BB136" t="s">
        <v>28966</v>
      </c>
      <c r="BC136" t="s">
        <v>28966</v>
      </c>
      <c r="BD136" t="s">
        <v>28966</v>
      </c>
      <c r="BE136" t="s">
        <v>28966</v>
      </c>
      <c r="BF136" t="s">
        <v>28966</v>
      </c>
      <c r="BG136" t="s">
        <v>28966</v>
      </c>
      <c r="BH136" t="s">
        <v>28966</v>
      </c>
      <c r="BI136" t="s">
        <v>28966</v>
      </c>
      <c r="BJ136" t="s">
        <v>28966</v>
      </c>
      <c r="BK136" t="s">
        <v>28966</v>
      </c>
      <c r="BL136" t="s">
        <v>28966</v>
      </c>
      <c r="BM136" t="s">
        <v>28966</v>
      </c>
      <c r="BN136" t="s">
        <v>28966</v>
      </c>
      <c r="BO136" t="s">
        <v>28966</v>
      </c>
      <c r="BP136" t="s">
        <v>28966</v>
      </c>
      <c r="BQ136" t="s">
        <v>28966</v>
      </c>
      <c r="BR136" t="s">
        <v>28966</v>
      </c>
      <c r="BS136" t="s">
        <v>28966</v>
      </c>
      <c r="BT136" t="s">
        <v>28966</v>
      </c>
      <c r="BU136" t="s">
        <v>28966</v>
      </c>
      <c r="BV136" t="s">
        <v>28966</v>
      </c>
      <c r="BW136" t="s">
        <v>28966</v>
      </c>
      <c r="BX136" t="s">
        <v>28966</v>
      </c>
      <c r="BY136" t="s">
        <v>28966</v>
      </c>
      <c r="BZ136" t="s">
        <v>28966</v>
      </c>
      <c r="CA136" t="s">
        <v>28966</v>
      </c>
    </row>
    <row r="137" spans="2:79" x14ac:dyDescent="0.3">
      <c r="B137" s="9">
        <v>135</v>
      </c>
      <c r="C137" s="49">
        <v>10165</v>
      </c>
      <c r="D137" s="9">
        <f>YEAR(Tabla1[[#This Row],[Date]])</f>
        <v>1927</v>
      </c>
      <c r="E137" s="9" t="str" cm="1">
        <f t="array" ref="E137">IFERROR(_xlfn.IFS(AND(D137&lt;1980,D137&gt;=1970),"70",AND(D137&lt;1990,D137&gt;=1980),"80",AND(D137&lt;2000,D137&gt;=1990),"90",AND(D137&lt;2010,D137&gt;=2000),"00",AND(D137&lt;=2019,D137&gt;=2010),"10"),"1908-1970")</f>
        <v>1908-1970</v>
      </c>
      <c r="F137" s="3" t="s">
        <v>28931</v>
      </c>
      <c r="G137" t="s">
        <v>5511</v>
      </c>
      <c r="H137" t="s">
        <v>5488</v>
      </c>
      <c r="I137" t="s">
        <v>28931</v>
      </c>
      <c r="J137" t="s">
        <v>28931</v>
      </c>
      <c r="K137" t="s">
        <v>5512</v>
      </c>
      <c r="L137" s="7" t="s">
        <v>28931</v>
      </c>
      <c r="M137">
        <v>20</v>
      </c>
      <c r="N137">
        <v>4</v>
      </c>
      <c r="O137">
        <v>3</v>
      </c>
      <c r="P137">
        <v>1</v>
      </c>
      <c r="Q137">
        <v>4</v>
      </c>
      <c r="R137">
        <v>3</v>
      </c>
      <c r="S137">
        <v>1</v>
      </c>
      <c r="T137">
        <v>0</v>
      </c>
      <c r="U137" t="s">
        <v>5513</v>
      </c>
      <c r="V137">
        <f>Tabla1[[#This Row],[Aboard]]-Tabla1[[#This Row],[Fatalities]]</f>
        <v>0</v>
      </c>
      <c r="W137" s="50">
        <f>IFERROR(Tabla1[[#This Row],[Fatalities]]/Tabla1[[#This Row],[Aboard]],0)</f>
        <v>1</v>
      </c>
      <c r="X137" s="51" t="str" cm="1">
        <f t="array" ref="X137">_xlfn.IFS(Tabla1[[#This Row],[Porcentaje de muertes]]&lt;0.35,"LEVE",AND(Tabla1[[#This Row],[Porcentaje de muertes]]&gt;0.35,Tabla1[[#This Row],[Porcentaje de muertes]]&lt;0.65),"MEDIO",Tabla1[[#This Row],[Porcentaje de muertes]]&gt;0.65,"GRAVE")</f>
        <v>GRAVE</v>
      </c>
      <c r="AB137" t="s">
        <v>28619</v>
      </c>
      <c r="AC137" t="s">
        <v>28620</v>
      </c>
      <c r="AD137">
        <v>17717500</v>
      </c>
      <c r="AE137">
        <v>18809300</v>
      </c>
      <c r="AF137">
        <v>21078700</v>
      </c>
      <c r="AG137">
        <v>22821000</v>
      </c>
      <c r="AH137">
        <v>26532900</v>
      </c>
      <c r="AI137">
        <v>30649500</v>
      </c>
      <c r="AJ137">
        <v>33989400</v>
      </c>
      <c r="AK137">
        <v>37141200</v>
      </c>
      <c r="AL137">
        <v>41000200</v>
      </c>
      <c r="AM137">
        <v>47754900</v>
      </c>
      <c r="AN137">
        <v>51822900</v>
      </c>
      <c r="AO137">
        <v>52315700</v>
      </c>
      <c r="AP137">
        <v>53473200</v>
      </c>
      <c r="AQ137">
        <v>53517600</v>
      </c>
      <c r="AR137">
        <v>54487400</v>
      </c>
      <c r="AS137">
        <v>56286100</v>
      </c>
      <c r="AT137">
        <v>60548200</v>
      </c>
      <c r="AU137">
        <v>61892400</v>
      </c>
      <c r="AV137">
        <v>61535800</v>
      </c>
      <c r="AW137">
        <v>66610700</v>
      </c>
      <c r="AX137">
        <v>65165400</v>
      </c>
      <c r="AY137">
        <v>64136600</v>
      </c>
      <c r="AZ137">
        <v>64903900</v>
      </c>
      <c r="BA137">
        <v>68207800</v>
      </c>
      <c r="BB137">
        <v>73894400</v>
      </c>
      <c r="BC137">
        <v>72889000</v>
      </c>
      <c r="BD137">
        <v>77252200</v>
      </c>
      <c r="BE137">
        <v>85239100</v>
      </c>
      <c r="BF137">
        <v>90079300</v>
      </c>
      <c r="BG137">
        <v>93629700</v>
      </c>
      <c r="BH137">
        <v>96507566</v>
      </c>
      <c r="BI137">
        <v>101576743</v>
      </c>
      <c r="BJ137">
        <v>97945064</v>
      </c>
      <c r="BK137">
        <v>94799825</v>
      </c>
      <c r="BL137">
        <v>100859199</v>
      </c>
      <c r="BM137">
        <v>107537262</v>
      </c>
      <c r="BN137">
        <v>110439889</v>
      </c>
      <c r="BO137">
        <v>120106257</v>
      </c>
      <c r="BP137">
        <v>133677728</v>
      </c>
      <c r="BQ137">
        <v>140453020</v>
      </c>
      <c r="BR137">
        <v>178418790.80000001</v>
      </c>
      <c r="BS137">
        <v>198178802.30000001</v>
      </c>
      <c r="BT137">
        <v>217297987.69999999</v>
      </c>
      <c r="BU137">
        <v>234290843.09999999</v>
      </c>
      <c r="BV137">
        <v>248819233</v>
      </c>
      <c r="BW137">
        <v>264217989</v>
      </c>
      <c r="BX137">
        <v>266690030</v>
      </c>
      <c r="BY137">
        <v>275641368.39999998</v>
      </c>
      <c r="BZ137">
        <v>293327220.80000001</v>
      </c>
      <c r="CA137">
        <v>305099527.69999999</v>
      </c>
    </row>
    <row r="138" spans="2:79" x14ac:dyDescent="0.3">
      <c r="B138" s="9">
        <v>136</v>
      </c>
      <c r="C138" s="49">
        <v>10085</v>
      </c>
      <c r="D138" s="9">
        <f>YEAR(Tabla1[[#This Row],[Date]])</f>
        <v>1927</v>
      </c>
      <c r="E138" s="9" t="str" cm="1">
        <f t="array" ref="E138">IFERROR(_xlfn.IFS(AND(D138&lt;1980,D138&gt;=1970),"70",AND(D138&lt;1990,D138&gt;=1980),"80",AND(D138&lt;2000,D138&gt;=1990),"90",AND(D138&lt;2010,D138&gt;=2000),"00",AND(D138&lt;=2019,D138&gt;=2010),"10"),"1908-1970")</f>
        <v>1908-1970</v>
      </c>
      <c r="F138" s="3" t="s">
        <v>28931</v>
      </c>
      <c r="G138" t="s">
        <v>5514</v>
      </c>
      <c r="H138" t="s">
        <v>5377</v>
      </c>
      <c r="I138" t="s">
        <v>28931</v>
      </c>
      <c r="J138" t="s">
        <v>5257</v>
      </c>
      <c r="K138" t="s">
        <v>5515</v>
      </c>
      <c r="L138" s="7" t="s">
        <v>5516</v>
      </c>
      <c r="M138">
        <v>1</v>
      </c>
      <c r="N138">
        <v>1</v>
      </c>
      <c r="O138">
        <v>0</v>
      </c>
      <c r="P138">
        <v>1</v>
      </c>
      <c r="Q138">
        <v>1</v>
      </c>
      <c r="R138">
        <v>0</v>
      </c>
      <c r="S138">
        <v>1</v>
      </c>
      <c r="T138">
        <v>0</v>
      </c>
      <c r="U138" t="s">
        <v>5517</v>
      </c>
      <c r="V138">
        <f>Tabla1[[#This Row],[Aboard]]-Tabla1[[#This Row],[Fatalities]]</f>
        <v>0</v>
      </c>
      <c r="W138" s="50">
        <f>IFERROR(Tabla1[[#This Row],[Fatalities]]/Tabla1[[#This Row],[Aboard]],0)</f>
        <v>1</v>
      </c>
      <c r="X138" s="51" t="str" cm="1">
        <f t="array" ref="X138">_xlfn.IFS(Tabla1[[#This Row],[Porcentaje de muertes]]&lt;0.35,"LEVE",AND(Tabla1[[#This Row],[Porcentaje de muertes]]&gt;0.35,Tabla1[[#This Row],[Porcentaje de muertes]]&lt;0.65),"MEDIO",Tabla1[[#This Row],[Porcentaje de muertes]]&gt;0.65,"GRAVE")</f>
        <v>GRAVE</v>
      </c>
      <c r="AB138" t="s">
        <v>28621</v>
      </c>
      <c r="AC138" t="s">
        <v>28622</v>
      </c>
      <c r="AD138">
        <v>2730800</v>
      </c>
      <c r="AE138">
        <v>3045500</v>
      </c>
      <c r="AF138">
        <v>3129100</v>
      </c>
      <c r="AG138">
        <v>3816800</v>
      </c>
      <c r="AH138">
        <v>3969800</v>
      </c>
      <c r="AI138">
        <v>4109300</v>
      </c>
      <c r="AJ138">
        <v>4915900</v>
      </c>
      <c r="AK138">
        <v>4914900</v>
      </c>
      <c r="AL138">
        <v>5137300</v>
      </c>
      <c r="AM138">
        <v>6108400</v>
      </c>
      <c r="AN138">
        <v>6523600</v>
      </c>
      <c r="AO138">
        <v>6950300</v>
      </c>
      <c r="AP138">
        <v>7329400</v>
      </c>
      <c r="AQ138">
        <v>7433800</v>
      </c>
      <c r="AR138">
        <v>7539900</v>
      </c>
      <c r="AS138">
        <v>7459300</v>
      </c>
      <c r="AT138">
        <v>7562300</v>
      </c>
      <c r="AU138">
        <v>7675100</v>
      </c>
      <c r="AV138">
        <v>8589300</v>
      </c>
      <c r="AW138">
        <v>7631200</v>
      </c>
      <c r="AX138">
        <v>7986900</v>
      </c>
      <c r="AY138">
        <v>7201900</v>
      </c>
      <c r="AZ138">
        <v>7366700</v>
      </c>
      <c r="BA138">
        <v>7251300</v>
      </c>
      <c r="BB138">
        <v>7794000</v>
      </c>
      <c r="BC138">
        <v>7350100</v>
      </c>
      <c r="BD138">
        <v>7686300</v>
      </c>
      <c r="BE138">
        <v>7640300</v>
      </c>
      <c r="BF138">
        <v>7741700</v>
      </c>
      <c r="BG138">
        <v>7631800</v>
      </c>
      <c r="BH138">
        <v>7690574</v>
      </c>
      <c r="BI138">
        <v>7544406</v>
      </c>
      <c r="BJ138">
        <v>7533065</v>
      </c>
      <c r="BK138">
        <v>7643563</v>
      </c>
      <c r="BL138">
        <v>9205839</v>
      </c>
      <c r="BM138">
        <v>9963958</v>
      </c>
      <c r="BN138">
        <v>10582532</v>
      </c>
      <c r="BO138">
        <v>11015971</v>
      </c>
      <c r="BP138">
        <v>11256036</v>
      </c>
      <c r="BQ138">
        <v>11769610</v>
      </c>
      <c r="BR138">
        <v>18083757.289999999</v>
      </c>
      <c r="BS138">
        <v>21798105.780000001</v>
      </c>
      <c r="BT138">
        <v>22619178.960000001</v>
      </c>
      <c r="BU138">
        <v>25019675.149999999</v>
      </c>
      <c r="BV138">
        <v>25990551.469999999</v>
      </c>
      <c r="BW138">
        <v>25697166</v>
      </c>
      <c r="BX138">
        <v>27094160</v>
      </c>
      <c r="BY138">
        <v>32834897.629999999</v>
      </c>
      <c r="BZ138">
        <v>38813584.409999996</v>
      </c>
      <c r="CA138">
        <v>37021082.490000002</v>
      </c>
    </row>
    <row r="139" spans="2:79" x14ac:dyDescent="0.3">
      <c r="B139" s="9">
        <v>137</v>
      </c>
      <c r="C139" s="49">
        <v>10182</v>
      </c>
      <c r="D139" s="9">
        <f>YEAR(Tabla1[[#This Row],[Date]])</f>
        <v>1927</v>
      </c>
      <c r="E139" s="9" t="str" cm="1">
        <f t="array" ref="E139">IFERROR(_xlfn.IFS(AND(D139&lt;1980,D139&gt;=1970),"70",AND(D139&lt;1990,D139&gt;=1980),"80",AND(D139&lt;2000,D139&gt;=1990),"90",AND(D139&lt;2010,D139&gt;=2000),"00",AND(D139&lt;=2019,D139&gt;=2010),"10"),"1908-1970")</f>
        <v>1908-1970</v>
      </c>
      <c r="F139" s="3" t="s">
        <v>28931</v>
      </c>
      <c r="G139" t="s">
        <v>5518</v>
      </c>
      <c r="H139" t="s">
        <v>5519</v>
      </c>
      <c r="I139" t="s">
        <v>28931</v>
      </c>
      <c r="J139" t="s">
        <v>5520</v>
      </c>
      <c r="K139" t="s">
        <v>5157</v>
      </c>
      <c r="L139" s="7" t="s">
        <v>5521</v>
      </c>
      <c r="M139">
        <v>798</v>
      </c>
      <c r="N139">
        <v>6</v>
      </c>
      <c r="O139">
        <v>4</v>
      </c>
      <c r="P139">
        <v>2</v>
      </c>
      <c r="Q139">
        <v>6</v>
      </c>
      <c r="R139">
        <v>4</v>
      </c>
      <c r="S139">
        <v>2</v>
      </c>
      <c r="T139">
        <v>0</v>
      </c>
      <c r="U139" t="s">
        <v>5522</v>
      </c>
      <c r="V139">
        <f>Tabla1[[#This Row],[Aboard]]-Tabla1[[#This Row],[Fatalities]]</f>
        <v>0</v>
      </c>
      <c r="W139" s="50">
        <f>IFERROR(Tabla1[[#This Row],[Fatalities]]/Tabla1[[#This Row],[Aboard]],0)</f>
        <v>1</v>
      </c>
      <c r="X139" s="51" t="str" cm="1">
        <f t="array" ref="X139">_xlfn.IFS(Tabla1[[#This Row],[Porcentaje de muertes]]&lt;0.35,"LEVE",AND(Tabla1[[#This Row],[Porcentaje de muertes]]&gt;0.35,Tabla1[[#This Row],[Porcentaje de muertes]]&lt;0.65),"MEDIO",Tabla1[[#This Row],[Porcentaje de muertes]]&gt;0.65,"GRAVE")</f>
        <v>GRAVE</v>
      </c>
      <c r="AB139" t="s">
        <v>28623</v>
      </c>
      <c r="AC139" t="s">
        <v>28624</v>
      </c>
      <c r="AD139">
        <v>1820500</v>
      </c>
      <c r="AE139">
        <v>2007800</v>
      </c>
      <c r="AF139">
        <v>1941900</v>
      </c>
      <c r="AG139">
        <v>1977700</v>
      </c>
      <c r="AH139">
        <v>2251600</v>
      </c>
      <c r="AI139">
        <v>2477200</v>
      </c>
      <c r="AJ139">
        <v>3120300</v>
      </c>
      <c r="AK139">
        <v>3254700</v>
      </c>
      <c r="AL139">
        <v>3354900</v>
      </c>
      <c r="AM139">
        <v>3672900</v>
      </c>
      <c r="AN139">
        <v>3956500</v>
      </c>
      <c r="AO139">
        <v>4210100</v>
      </c>
      <c r="AP139">
        <v>4264500</v>
      </c>
      <c r="AQ139">
        <v>4339700</v>
      </c>
      <c r="AR139">
        <v>4383100</v>
      </c>
      <c r="AS139">
        <v>3995300</v>
      </c>
      <c r="AT139">
        <v>4185700</v>
      </c>
      <c r="AU139">
        <v>4185700</v>
      </c>
      <c r="AV139">
        <v>4318400</v>
      </c>
      <c r="AW139">
        <v>4345400</v>
      </c>
      <c r="AX139">
        <v>4712200</v>
      </c>
      <c r="AY139">
        <v>4151500</v>
      </c>
      <c r="AZ139">
        <v>4459600</v>
      </c>
      <c r="BA139">
        <v>4416500</v>
      </c>
      <c r="BB139">
        <v>4535400</v>
      </c>
      <c r="BC139">
        <v>4203400</v>
      </c>
      <c r="BD139">
        <v>4500900</v>
      </c>
      <c r="BE139">
        <v>4498300</v>
      </c>
      <c r="BF139">
        <v>4544500</v>
      </c>
      <c r="BG139">
        <v>4659500</v>
      </c>
      <c r="BH139">
        <v>4776260</v>
      </c>
      <c r="BI139">
        <v>4640077</v>
      </c>
      <c r="BJ139" t="s">
        <v>28966</v>
      </c>
      <c r="BK139" t="s">
        <v>28966</v>
      </c>
      <c r="BL139" t="s">
        <v>28966</v>
      </c>
      <c r="BM139" t="s">
        <v>28966</v>
      </c>
      <c r="BN139" t="s">
        <v>28966</v>
      </c>
      <c r="BO139" t="s">
        <v>28966</v>
      </c>
      <c r="BP139" t="s">
        <v>28966</v>
      </c>
      <c r="BQ139" t="s">
        <v>28966</v>
      </c>
      <c r="BR139">
        <v>11761536.130000001</v>
      </c>
      <c r="BS139">
        <v>14168273.539999999</v>
      </c>
      <c r="BT139">
        <v>13737452.859999999</v>
      </c>
      <c r="BU139">
        <v>14815345</v>
      </c>
      <c r="BV139">
        <v>14719339.16</v>
      </c>
      <c r="BW139">
        <v>12867667</v>
      </c>
      <c r="BX139">
        <v>13753911</v>
      </c>
      <c r="BY139">
        <v>15919522.08</v>
      </c>
      <c r="BZ139">
        <v>17823482.469999999</v>
      </c>
      <c r="CA139">
        <v>18715242.199999999</v>
      </c>
    </row>
    <row r="140" spans="2:79" x14ac:dyDescent="0.3">
      <c r="B140" s="9">
        <v>138</v>
      </c>
      <c r="C140" s="49">
        <v>10195</v>
      </c>
      <c r="D140" s="9">
        <f>YEAR(Tabla1[[#This Row],[Date]])</f>
        <v>1927</v>
      </c>
      <c r="E140" s="9" t="str" cm="1">
        <f t="array" ref="E140">IFERROR(_xlfn.IFS(AND(D140&lt;1980,D140&gt;=1970),"70",AND(D140&lt;1990,D140&gt;=1980),"80",AND(D140&lt;2000,D140&gt;=1990),"90",AND(D140&lt;2010,D140&gt;=2000),"00",AND(D140&lt;=2019,D140&gt;=2010),"10"),"1908-1970")</f>
        <v>1908-1970</v>
      </c>
      <c r="F140" s="3" t="s">
        <v>28931</v>
      </c>
      <c r="G140" t="s">
        <v>5523</v>
      </c>
      <c r="H140" t="s">
        <v>5524</v>
      </c>
      <c r="I140" t="s">
        <v>28931</v>
      </c>
      <c r="J140" t="s">
        <v>28931</v>
      </c>
      <c r="K140" t="s">
        <v>5472</v>
      </c>
      <c r="L140" s="7" t="s">
        <v>5525</v>
      </c>
      <c r="M140" t="s">
        <v>5526</v>
      </c>
      <c r="N140">
        <v>1</v>
      </c>
      <c r="O140">
        <v>0</v>
      </c>
      <c r="P140">
        <v>1</v>
      </c>
      <c r="Q140">
        <v>1</v>
      </c>
      <c r="R140">
        <v>0</v>
      </c>
      <c r="S140">
        <v>1</v>
      </c>
      <c r="T140">
        <v>0</v>
      </c>
      <c r="U140" t="s">
        <v>5527</v>
      </c>
      <c r="V140">
        <f>Tabla1[[#This Row],[Aboard]]-Tabla1[[#This Row],[Fatalities]]</f>
        <v>0</v>
      </c>
      <c r="W140" s="50">
        <f>IFERROR(Tabla1[[#This Row],[Fatalities]]/Tabla1[[#This Row],[Aboard]],0)</f>
        <v>1</v>
      </c>
      <c r="X140" s="51" t="str" cm="1">
        <f t="array" ref="X140">_xlfn.IFS(Tabla1[[#This Row],[Porcentaje de muertes]]&lt;0.35,"LEVE",AND(Tabla1[[#This Row],[Porcentaje de muertes]]&gt;0.35,Tabla1[[#This Row],[Porcentaje de muertes]]&lt;0.65),"MEDIO",Tabla1[[#This Row],[Porcentaje de muertes]]&gt;0.65,"GRAVE")</f>
        <v>GRAVE</v>
      </c>
      <c r="AB140" t="s">
        <v>28625</v>
      </c>
      <c r="AC140" t="s">
        <v>28626</v>
      </c>
      <c r="AD140" t="s">
        <v>28966</v>
      </c>
      <c r="AE140" t="s">
        <v>28966</v>
      </c>
      <c r="AF140" t="s">
        <v>28966</v>
      </c>
      <c r="AG140" t="s">
        <v>28966</v>
      </c>
      <c r="AH140" t="s">
        <v>28966</v>
      </c>
      <c r="AI140" t="s">
        <v>28966</v>
      </c>
      <c r="AJ140" t="s">
        <v>28966</v>
      </c>
      <c r="AK140" t="s">
        <v>28966</v>
      </c>
      <c r="AL140" t="s">
        <v>28966</v>
      </c>
      <c r="AM140" t="s">
        <v>28966</v>
      </c>
      <c r="AN140" t="s">
        <v>28966</v>
      </c>
      <c r="AO140" t="s">
        <v>28966</v>
      </c>
      <c r="AP140" t="s">
        <v>28966</v>
      </c>
      <c r="AQ140" t="s">
        <v>28966</v>
      </c>
      <c r="AR140" t="s">
        <v>28966</v>
      </c>
      <c r="AS140" t="s">
        <v>28966</v>
      </c>
      <c r="AT140" t="s">
        <v>28966</v>
      </c>
      <c r="AU140" t="s">
        <v>28966</v>
      </c>
      <c r="AV140" t="s">
        <v>28966</v>
      </c>
      <c r="AW140" t="s">
        <v>28966</v>
      </c>
      <c r="AX140" t="s">
        <v>28966</v>
      </c>
      <c r="AY140" t="s">
        <v>28966</v>
      </c>
      <c r="AZ140" t="s">
        <v>28966</v>
      </c>
      <c r="BA140" t="s">
        <v>28966</v>
      </c>
      <c r="BB140" t="s">
        <v>28966</v>
      </c>
      <c r="BC140" t="s">
        <v>28966</v>
      </c>
      <c r="BD140" t="s">
        <v>28966</v>
      </c>
      <c r="BE140" t="s">
        <v>28966</v>
      </c>
      <c r="BF140" t="s">
        <v>28966</v>
      </c>
      <c r="BG140" t="s">
        <v>28966</v>
      </c>
      <c r="BH140" t="s">
        <v>28966</v>
      </c>
      <c r="BI140" t="s">
        <v>28966</v>
      </c>
      <c r="BJ140" t="s">
        <v>28966</v>
      </c>
      <c r="BK140" t="s">
        <v>28966</v>
      </c>
      <c r="BL140" t="s">
        <v>28966</v>
      </c>
      <c r="BM140" t="s">
        <v>28966</v>
      </c>
      <c r="BN140" t="s">
        <v>28966</v>
      </c>
      <c r="BO140" t="s">
        <v>28966</v>
      </c>
      <c r="BP140" t="s">
        <v>28966</v>
      </c>
      <c r="BQ140" t="s">
        <v>28966</v>
      </c>
      <c r="BR140" t="s">
        <v>28966</v>
      </c>
      <c r="BS140" t="s">
        <v>28966</v>
      </c>
      <c r="BT140" t="s">
        <v>28966</v>
      </c>
      <c r="BU140" t="s">
        <v>28966</v>
      </c>
      <c r="BV140" t="s">
        <v>28966</v>
      </c>
      <c r="BW140" t="s">
        <v>28966</v>
      </c>
      <c r="BX140" t="s">
        <v>28966</v>
      </c>
      <c r="BY140" t="s">
        <v>28966</v>
      </c>
      <c r="BZ140" t="s">
        <v>28966</v>
      </c>
      <c r="CA140" t="s">
        <v>28966</v>
      </c>
    </row>
    <row r="141" spans="2:79" x14ac:dyDescent="0.3">
      <c r="B141" s="9">
        <v>139</v>
      </c>
      <c r="C141" s="49">
        <v>10224</v>
      </c>
      <c r="D141" s="9">
        <f>YEAR(Tabla1[[#This Row],[Date]])</f>
        <v>1927</v>
      </c>
      <c r="E141" s="9" t="str" cm="1">
        <f t="array" ref="E141">IFERROR(_xlfn.IFS(AND(D141&lt;1980,D141&gt;=1970),"70",AND(D141&lt;1990,D141&gt;=1980),"80",AND(D141&lt;2000,D141&gt;=1990),"90",AND(D141&lt;2010,D141&gt;=2000),"00",AND(D141&lt;=2019,D141&gt;=2010),"10"),"1908-1970")</f>
        <v>1908-1970</v>
      </c>
      <c r="F141" s="3" t="s">
        <v>28931</v>
      </c>
      <c r="G141" t="s">
        <v>5528</v>
      </c>
      <c r="H141" t="s">
        <v>5182</v>
      </c>
      <c r="I141" t="s">
        <v>28931</v>
      </c>
      <c r="J141" t="s">
        <v>5529</v>
      </c>
      <c r="K141" t="s">
        <v>5167</v>
      </c>
      <c r="L141" s="7" t="s">
        <v>5530</v>
      </c>
      <c r="M141">
        <v>227</v>
      </c>
      <c r="N141">
        <v>1</v>
      </c>
      <c r="O141">
        <v>0</v>
      </c>
      <c r="P141">
        <v>1</v>
      </c>
      <c r="Q141">
        <v>1</v>
      </c>
      <c r="R141">
        <v>0</v>
      </c>
      <c r="S141">
        <v>1</v>
      </c>
      <c r="T141">
        <v>0</v>
      </c>
      <c r="U141" t="s">
        <v>5531</v>
      </c>
      <c r="V141">
        <f>Tabla1[[#This Row],[Aboard]]-Tabla1[[#This Row],[Fatalities]]</f>
        <v>0</v>
      </c>
      <c r="W141" s="50">
        <f>IFERROR(Tabla1[[#This Row],[Fatalities]]/Tabla1[[#This Row],[Aboard]],0)</f>
        <v>1</v>
      </c>
      <c r="X141" s="51" t="str" cm="1">
        <f t="array" ref="X141">_xlfn.IFS(Tabla1[[#This Row],[Porcentaje de muertes]]&lt;0.35,"LEVE",AND(Tabla1[[#This Row],[Porcentaje de muertes]]&gt;0.35,Tabla1[[#This Row],[Porcentaje de muertes]]&lt;0.65),"MEDIO",Tabla1[[#This Row],[Porcentaje de muertes]]&gt;0.65,"GRAVE")</f>
        <v>GRAVE</v>
      </c>
      <c r="AB141" t="s">
        <v>28627</v>
      </c>
      <c r="AC141" t="s">
        <v>28628</v>
      </c>
      <c r="AD141">
        <v>104600</v>
      </c>
      <c r="AE141">
        <v>116000</v>
      </c>
      <c r="AF141">
        <v>116000</v>
      </c>
      <c r="AG141">
        <v>108500</v>
      </c>
      <c r="AH141">
        <v>107700</v>
      </c>
      <c r="AI141">
        <v>117300</v>
      </c>
      <c r="AJ141">
        <v>127700</v>
      </c>
      <c r="AK141">
        <v>181000</v>
      </c>
      <c r="AL141">
        <v>100000</v>
      </c>
      <c r="AM141">
        <v>105300</v>
      </c>
      <c r="AN141">
        <v>235000</v>
      </c>
      <c r="AO141">
        <v>405200</v>
      </c>
      <c r="AP141">
        <v>572700</v>
      </c>
      <c r="AQ141">
        <v>616500</v>
      </c>
      <c r="AR141">
        <v>681300</v>
      </c>
      <c r="AS141">
        <v>698600</v>
      </c>
      <c r="AT141">
        <v>611400</v>
      </c>
      <c r="AU141">
        <v>586900</v>
      </c>
      <c r="AV141">
        <v>694300</v>
      </c>
      <c r="AW141">
        <v>744500</v>
      </c>
      <c r="AX141">
        <v>891800</v>
      </c>
      <c r="AY141">
        <v>892700</v>
      </c>
      <c r="AZ141">
        <v>1045600</v>
      </c>
      <c r="BA141">
        <v>993800</v>
      </c>
      <c r="BB141">
        <v>1066800</v>
      </c>
      <c r="BC141">
        <v>1155700</v>
      </c>
      <c r="BD141">
        <v>1170700</v>
      </c>
      <c r="BE141">
        <v>1231900</v>
      </c>
      <c r="BF141">
        <v>1212500</v>
      </c>
      <c r="BG141">
        <v>1421500</v>
      </c>
      <c r="BH141">
        <v>1755567</v>
      </c>
      <c r="BI141">
        <v>1718331</v>
      </c>
      <c r="BJ141">
        <v>1740807</v>
      </c>
      <c r="BK141">
        <v>1957606</v>
      </c>
      <c r="BL141">
        <v>2412889</v>
      </c>
      <c r="BM141">
        <v>2817778</v>
      </c>
      <c r="BN141">
        <v>3100832</v>
      </c>
      <c r="BO141">
        <v>3206766</v>
      </c>
      <c r="BP141">
        <v>2951506</v>
      </c>
      <c r="BQ141">
        <v>2417713</v>
      </c>
      <c r="BR141">
        <v>3008322.6919999998</v>
      </c>
      <c r="BS141">
        <v>3665394</v>
      </c>
      <c r="BT141">
        <v>4616417</v>
      </c>
      <c r="BU141">
        <v>4793393.4000000004</v>
      </c>
      <c r="BV141">
        <v>4756131</v>
      </c>
      <c r="BW141">
        <v>4911730</v>
      </c>
      <c r="BX141">
        <v>5284585</v>
      </c>
      <c r="BY141">
        <v>5403577</v>
      </c>
      <c r="BZ141">
        <v>5882376</v>
      </c>
      <c r="CA141">
        <v>5582446</v>
      </c>
    </row>
    <row r="142" spans="2:79" x14ac:dyDescent="0.3">
      <c r="B142" s="9">
        <v>140</v>
      </c>
      <c r="C142" s="49">
        <v>10227</v>
      </c>
      <c r="D142" s="9">
        <f>YEAR(Tabla1[[#This Row],[Date]])</f>
        <v>1927</v>
      </c>
      <c r="E142" s="9" t="str" cm="1">
        <f t="array" ref="E142">IFERROR(_xlfn.IFS(AND(D142&lt;1980,D142&gt;=1970),"70",AND(D142&lt;1990,D142&gt;=1980),"80",AND(D142&lt;2000,D142&gt;=1990),"90",AND(D142&lt;2010,D142&gt;=2000),"00",AND(D142&lt;=2019,D142&gt;=2010),"10"),"1908-1970")</f>
        <v>1908-1970</v>
      </c>
      <c r="F142" s="3" t="s">
        <v>28931</v>
      </c>
      <c r="G142" t="s">
        <v>5532</v>
      </c>
      <c r="H142" t="s">
        <v>5162</v>
      </c>
      <c r="I142" t="s">
        <v>28931</v>
      </c>
      <c r="J142" t="s">
        <v>5028</v>
      </c>
      <c r="K142" t="s">
        <v>5533</v>
      </c>
      <c r="L142" s="7" t="s">
        <v>5534</v>
      </c>
      <c r="M142" s="5">
        <v>44584</v>
      </c>
      <c r="N142">
        <v>5</v>
      </c>
      <c r="O142">
        <v>0</v>
      </c>
      <c r="P142">
        <v>5</v>
      </c>
      <c r="Q142">
        <v>5</v>
      </c>
      <c r="R142">
        <v>0</v>
      </c>
      <c r="S142">
        <v>5</v>
      </c>
      <c r="T142">
        <v>0</v>
      </c>
      <c r="U142" t="s">
        <v>5535</v>
      </c>
      <c r="V142">
        <f>Tabla1[[#This Row],[Aboard]]-Tabla1[[#This Row],[Fatalities]]</f>
        <v>0</v>
      </c>
      <c r="W142" s="50">
        <f>IFERROR(Tabla1[[#This Row],[Fatalities]]/Tabla1[[#This Row],[Aboard]],0)</f>
        <v>1</v>
      </c>
      <c r="X142" s="51" t="str" cm="1">
        <f t="array" ref="X142">_xlfn.IFS(Tabla1[[#This Row],[Porcentaje de muertes]]&lt;0.35,"LEVE",AND(Tabla1[[#This Row],[Porcentaje de muertes]]&gt;0.35,Tabla1[[#This Row],[Porcentaje de muertes]]&lt;0.65),"MEDIO",Tabla1[[#This Row],[Porcentaje de muertes]]&gt;0.65,"GRAVE")</f>
        <v>GRAVE</v>
      </c>
      <c r="AB142" t="s">
        <v>28629</v>
      </c>
      <c r="AC142" t="s">
        <v>28630</v>
      </c>
      <c r="AD142">
        <v>14146800</v>
      </c>
      <c r="AE142">
        <v>13828400</v>
      </c>
      <c r="AF142">
        <v>14948900</v>
      </c>
      <c r="AG142">
        <v>17301000</v>
      </c>
      <c r="AH142">
        <v>18433100</v>
      </c>
      <c r="AI142">
        <v>21875700</v>
      </c>
      <c r="AJ142">
        <v>25420000</v>
      </c>
      <c r="AK142">
        <v>29007800</v>
      </c>
      <c r="AL142">
        <v>33284800</v>
      </c>
      <c r="AM142">
        <v>35025400</v>
      </c>
      <c r="AN142">
        <v>36968200</v>
      </c>
      <c r="AO142">
        <v>40233900</v>
      </c>
      <c r="AP142">
        <v>42789900</v>
      </c>
      <c r="AQ142">
        <v>45727300</v>
      </c>
      <c r="AR142">
        <v>49686100</v>
      </c>
      <c r="AS142">
        <v>51542100</v>
      </c>
      <c r="AT142">
        <v>53088200</v>
      </c>
      <c r="AU142">
        <v>55498000</v>
      </c>
      <c r="AV142">
        <v>58594300</v>
      </c>
      <c r="AW142">
        <v>59127200</v>
      </c>
      <c r="AX142">
        <v>58443200</v>
      </c>
      <c r="AY142">
        <v>58350100</v>
      </c>
      <c r="AZ142">
        <v>70712500</v>
      </c>
      <c r="BA142">
        <v>66565400</v>
      </c>
      <c r="BB142">
        <v>72614700</v>
      </c>
      <c r="BC142">
        <v>79546500</v>
      </c>
      <c r="BD142">
        <v>81709600</v>
      </c>
      <c r="BE142">
        <v>84396300</v>
      </c>
      <c r="BF142">
        <v>82697100</v>
      </c>
      <c r="BG142">
        <v>75595700</v>
      </c>
      <c r="BH142">
        <v>80713568</v>
      </c>
      <c r="BI142">
        <v>92091011</v>
      </c>
      <c r="BJ142">
        <v>84160922</v>
      </c>
      <c r="BK142">
        <v>93191967</v>
      </c>
      <c r="BL142">
        <v>114547801</v>
      </c>
      <c r="BM142">
        <v>123206707</v>
      </c>
      <c r="BN142">
        <v>142223883</v>
      </c>
      <c r="BO142">
        <v>157930225</v>
      </c>
      <c r="BP142">
        <v>159838914</v>
      </c>
      <c r="BQ142">
        <v>164958473</v>
      </c>
      <c r="BR142">
        <v>242592321.5</v>
      </c>
      <c r="BS142">
        <v>277010278.30000001</v>
      </c>
      <c r="BT142">
        <v>289944155.60000002</v>
      </c>
      <c r="BU142">
        <v>298197940</v>
      </c>
      <c r="BV142">
        <v>325085167</v>
      </c>
      <c r="BW142">
        <v>354631230</v>
      </c>
      <c r="BX142">
        <v>403099557</v>
      </c>
      <c r="BY142">
        <v>451715655.69999999</v>
      </c>
      <c r="BZ142">
        <v>497639888.30000001</v>
      </c>
      <c r="CA142">
        <v>485852079.60000002</v>
      </c>
    </row>
    <row r="143" spans="2:79" x14ac:dyDescent="0.3">
      <c r="B143" s="9">
        <v>141</v>
      </c>
      <c r="C143" s="49">
        <v>10441</v>
      </c>
      <c r="D143" s="9">
        <f>YEAR(Tabla1[[#This Row],[Date]])</f>
        <v>1928</v>
      </c>
      <c r="E143" s="9" t="str" cm="1">
        <f t="array" ref="E143">IFERROR(_xlfn.IFS(AND(D143&lt;1980,D143&gt;=1970),"70",AND(D143&lt;1990,D143&gt;=1980),"80",AND(D143&lt;2000,D143&gt;=1990),"90",AND(D143&lt;2010,D143&gt;=2000),"00",AND(D143&lt;=2019,D143&gt;=2010),"10"),"1908-1970")</f>
        <v>1908-1970</v>
      </c>
      <c r="F143" s="3" t="s">
        <v>28931</v>
      </c>
      <c r="G143" t="s">
        <v>5536</v>
      </c>
      <c r="H143" t="s">
        <v>5537</v>
      </c>
      <c r="I143" t="s">
        <v>28931</v>
      </c>
      <c r="J143" t="s">
        <v>5538</v>
      </c>
      <c r="K143" t="s">
        <v>5512</v>
      </c>
      <c r="L143" s="7" t="s">
        <v>5539</v>
      </c>
      <c r="M143">
        <v>39</v>
      </c>
      <c r="N143">
        <v>3</v>
      </c>
      <c r="O143">
        <v>1</v>
      </c>
      <c r="P143">
        <v>2</v>
      </c>
      <c r="Q143">
        <v>3</v>
      </c>
      <c r="R143">
        <v>1</v>
      </c>
      <c r="S143">
        <v>2</v>
      </c>
      <c r="T143">
        <v>0</v>
      </c>
      <c r="U143" t="s">
        <v>5540</v>
      </c>
      <c r="V143">
        <f>Tabla1[[#This Row],[Aboard]]-Tabla1[[#This Row],[Fatalities]]</f>
        <v>0</v>
      </c>
      <c r="W143" s="50">
        <f>IFERROR(Tabla1[[#This Row],[Fatalities]]/Tabla1[[#This Row],[Aboard]],0)</f>
        <v>1</v>
      </c>
      <c r="X143" s="51" t="str" cm="1">
        <f t="array" ref="X143">_xlfn.IFS(Tabla1[[#This Row],[Porcentaje de muertes]]&lt;0.35,"LEVE",AND(Tabla1[[#This Row],[Porcentaje de muertes]]&gt;0.35,Tabla1[[#This Row],[Porcentaje de muertes]]&lt;0.65),"MEDIO",Tabla1[[#This Row],[Porcentaje de muertes]]&gt;0.65,"GRAVE")</f>
        <v>GRAVE</v>
      </c>
      <c r="AB143" t="s">
        <v>28631</v>
      </c>
      <c r="AC143" t="s">
        <v>28632</v>
      </c>
      <c r="AD143" t="s">
        <v>28966</v>
      </c>
      <c r="AE143" t="s">
        <v>28966</v>
      </c>
      <c r="AF143" t="s">
        <v>28966</v>
      </c>
      <c r="AG143" t="s">
        <v>28966</v>
      </c>
      <c r="AH143">
        <v>56112600</v>
      </c>
      <c r="AI143">
        <v>64058300</v>
      </c>
      <c r="AJ143">
        <v>73133900</v>
      </c>
      <c r="AK143">
        <v>79736800</v>
      </c>
      <c r="AL143">
        <v>88449100</v>
      </c>
      <c r="AM143">
        <v>98846700</v>
      </c>
      <c r="AN143">
        <v>105431200</v>
      </c>
      <c r="AO143">
        <v>111458200</v>
      </c>
      <c r="AP143">
        <v>115611200</v>
      </c>
      <c r="AQ143">
        <v>120020600</v>
      </c>
      <c r="AR143">
        <v>127389400</v>
      </c>
      <c r="AS143">
        <v>132966000</v>
      </c>
      <c r="AT143">
        <v>140810600</v>
      </c>
      <c r="AU143">
        <v>149505700</v>
      </c>
      <c r="AV143">
        <v>157940200</v>
      </c>
      <c r="AW143">
        <v>158104100</v>
      </c>
      <c r="AX143">
        <v>167747800</v>
      </c>
      <c r="AY143">
        <v>295359700</v>
      </c>
      <c r="AZ143">
        <v>259509400</v>
      </c>
      <c r="BA143">
        <v>236169600</v>
      </c>
      <c r="BB143">
        <v>251850100</v>
      </c>
      <c r="BC143">
        <v>269705600</v>
      </c>
      <c r="BD143">
        <v>277787100</v>
      </c>
      <c r="BE143">
        <v>287395600</v>
      </c>
      <c r="BF143">
        <v>284683200</v>
      </c>
      <c r="BG143">
        <v>288820600</v>
      </c>
      <c r="BH143">
        <v>308344969</v>
      </c>
      <c r="BI143">
        <v>332003774</v>
      </c>
      <c r="BJ143">
        <v>336352773</v>
      </c>
      <c r="BK143">
        <v>350038834</v>
      </c>
      <c r="BL143">
        <v>427064325</v>
      </c>
      <c r="BM143">
        <v>464332419</v>
      </c>
      <c r="BN143">
        <v>514678364</v>
      </c>
      <c r="BO143">
        <v>579030330</v>
      </c>
      <c r="BP143">
        <v>609013383</v>
      </c>
      <c r="BQ143">
        <v>662531836</v>
      </c>
      <c r="BR143">
        <v>868444010.20000005</v>
      </c>
      <c r="BS143">
        <v>969998335.79999995</v>
      </c>
      <c r="BT143">
        <v>1050213214</v>
      </c>
      <c r="BU143">
        <v>1144598528</v>
      </c>
      <c r="BV143">
        <v>1244554029</v>
      </c>
      <c r="BW143">
        <v>1365284976</v>
      </c>
      <c r="BX143">
        <v>1484942512</v>
      </c>
      <c r="BY143">
        <v>1646720312</v>
      </c>
      <c r="BZ143">
        <v>1804079431</v>
      </c>
      <c r="CA143">
        <v>1870492239</v>
      </c>
    </row>
    <row r="144" spans="2:79" x14ac:dyDescent="0.3">
      <c r="B144" s="9">
        <v>142</v>
      </c>
      <c r="C144" s="49">
        <v>10243</v>
      </c>
      <c r="D144" s="9">
        <f>YEAR(Tabla1[[#This Row],[Date]])</f>
        <v>1928</v>
      </c>
      <c r="E144" s="9" t="str" cm="1">
        <f t="array" ref="E144">IFERROR(_xlfn.IFS(AND(D144&lt;1980,D144&gt;=1970),"70",AND(D144&lt;1990,D144&gt;=1980),"80",AND(D144&lt;2000,D144&gt;=1990),"90",AND(D144&lt;2010,D144&gt;=2000),"00",AND(D144&lt;=2019,D144&gt;=2010),"10"),"1908-1970")</f>
        <v>1908-1970</v>
      </c>
      <c r="F144" s="3" t="s">
        <v>28931</v>
      </c>
      <c r="G144" t="s">
        <v>5541</v>
      </c>
      <c r="H144" t="s">
        <v>5182</v>
      </c>
      <c r="I144" t="s">
        <v>5542</v>
      </c>
      <c r="J144" t="s">
        <v>5543</v>
      </c>
      <c r="K144" t="s">
        <v>5544</v>
      </c>
      <c r="L144" s="7" t="s">
        <v>5542</v>
      </c>
      <c r="M144">
        <v>633</v>
      </c>
      <c r="N144">
        <v>2</v>
      </c>
      <c r="O144">
        <v>0</v>
      </c>
      <c r="P144">
        <v>2</v>
      </c>
      <c r="Q144">
        <v>2</v>
      </c>
      <c r="R144">
        <v>0</v>
      </c>
      <c r="S144">
        <v>2</v>
      </c>
      <c r="T144">
        <v>0</v>
      </c>
      <c r="U144" t="s">
        <v>5545</v>
      </c>
      <c r="V144">
        <f>Tabla1[[#This Row],[Aboard]]-Tabla1[[#This Row],[Fatalities]]</f>
        <v>0</v>
      </c>
      <c r="W144" s="50">
        <f>IFERROR(Tabla1[[#This Row],[Fatalities]]/Tabla1[[#This Row],[Aboard]],0)</f>
        <v>1</v>
      </c>
      <c r="X144" s="51" t="str" cm="1">
        <f t="array" ref="X144">_xlfn.IFS(Tabla1[[#This Row],[Porcentaje de muertes]]&lt;0.35,"LEVE",AND(Tabla1[[#This Row],[Porcentaje de muertes]]&gt;0.35,Tabla1[[#This Row],[Porcentaje de muertes]]&lt;0.65),"MEDIO",Tabla1[[#This Row],[Porcentaje de muertes]]&gt;0.65,"GRAVE")</f>
        <v>GRAVE</v>
      </c>
      <c r="AB144" t="s">
        <v>28633</v>
      </c>
      <c r="AC144" t="s">
        <v>28634</v>
      </c>
      <c r="AD144" t="s">
        <v>28966</v>
      </c>
      <c r="AE144" t="s">
        <v>28966</v>
      </c>
      <c r="AF144" t="s">
        <v>28966</v>
      </c>
      <c r="AG144" t="s">
        <v>28966</v>
      </c>
      <c r="AH144">
        <v>10000</v>
      </c>
      <c r="AI144">
        <v>10000</v>
      </c>
      <c r="AJ144">
        <v>11000</v>
      </c>
      <c r="AK144">
        <v>11000</v>
      </c>
      <c r="AL144">
        <v>40000</v>
      </c>
      <c r="AM144">
        <v>52000</v>
      </c>
      <c r="AN144">
        <v>36300</v>
      </c>
      <c r="AO144">
        <v>36600</v>
      </c>
      <c r="AP144">
        <v>54800</v>
      </c>
      <c r="AQ144">
        <v>61000</v>
      </c>
      <c r="AR144">
        <v>48700</v>
      </c>
      <c r="AS144">
        <v>50700</v>
      </c>
      <c r="AT144">
        <v>55300</v>
      </c>
      <c r="AU144">
        <v>60900</v>
      </c>
      <c r="AV144">
        <v>63000</v>
      </c>
      <c r="AW144">
        <v>53300</v>
      </c>
      <c r="AX144">
        <v>56000</v>
      </c>
      <c r="AY144">
        <v>56000</v>
      </c>
      <c r="AZ144">
        <v>26100</v>
      </c>
      <c r="BA144">
        <v>20500</v>
      </c>
      <c r="BB144">
        <v>26600</v>
      </c>
      <c r="BC144">
        <v>24800</v>
      </c>
      <c r="BD144">
        <v>17100</v>
      </c>
      <c r="BE144">
        <v>10500</v>
      </c>
      <c r="BF144">
        <v>28200</v>
      </c>
      <c r="BG144">
        <v>1300</v>
      </c>
      <c r="BH144" t="s">
        <v>28966</v>
      </c>
      <c r="BI144" t="s">
        <v>28966</v>
      </c>
      <c r="BJ144" t="s">
        <v>28966</v>
      </c>
      <c r="BK144" t="s">
        <v>28966</v>
      </c>
      <c r="BL144" t="s">
        <v>28966</v>
      </c>
      <c r="BM144" t="s">
        <v>28966</v>
      </c>
      <c r="BN144" t="s">
        <v>28966</v>
      </c>
      <c r="BO144" t="s">
        <v>28966</v>
      </c>
      <c r="BP144" t="s">
        <v>28966</v>
      </c>
      <c r="BQ144" t="s">
        <v>28966</v>
      </c>
      <c r="BR144" t="s">
        <v>28966</v>
      </c>
      <c r="BS144" t="s">
        <v>28966</v>
      </c>
      <c r="BT144" t="s">
        <v>28966</v>
      </c>
      <c r="BU144" t="s">
        <v>28966</v>
      </c>
      <c r="BV144" t="s">
        <v>28966</v>
      </c>
      <c r="BW144" t="s">
        <v>28966</v>
      </c>
      <c r="BX144" t="s">
        <v>28966</v>
      </c>
      <c r="BY144" t="s">
        <v>28966</v>
      </c>
      <c r="BZ144" t="s">
        <v>28966</v>
      </c>
      <c r="CA144" t="s">
        <v>28966</v>
      </c>
    </row>
    <row r="145" spans="2:79" x14ac:dyDescent="0.3">
      <c r="B145" s="9">
        <v>143</v>
      </c>
      <c r="C145" s="49">
        <v>10249</v>
      </c>
      <c r="D145" s="9">
        <f>YEAR(Tabla1[[#This Row],[Date]])</f>
        <v>1928</v>
      </c>
      <c r="E145" s="9" t="str" cm="1">
        <f t="array" ref="E145">IFERROR(_xlfn.IFS(AND(D145&lt;1980,D145&gt;=1970),"70",AND(D145&lt;1990,D145&gt;=1980),"80",AND(D145&lt;2000,D145&gt;=1990),"90",AND(D145&lt;2010,D145&gt;=2000),"00",AND(D145&lt;=2019,D145&gt;=2010),"10"),"1908-1970")</f>
        <v>1908-1970</v>
      </c>
      <c r="F145" s="3" t="s">
        <v>28931</v>
      </c>
      <c r="G145" t="s">
        <v>5546</v>
      </c>
      <c r="H145" t="s">
        <v>5182</v>
      </c>
      <c r="I145" t="s">
        <v>28931</v>
      </c>
      <c r="J145" t="s">
        <v>5547</v>
      </c>
      <c r="K145" t="s">
        <v>5167</v>
      </c>
      <c r="L145" s="7" t="s">
        <v>5548</v>
      </c>
      <c r="M145" t="s">
        <v>28931</v>
      </c>
      <c r="N145">
        <v>1</v>
      </c>
      <c r="O145">
        <v>0</v>
      </c>
      <c r="P145">
        <v>1</v>
      </c>
      <c r="Q145">
        <v>1</v>
      </c>
      <c r="R145">
        <v>0</v>
      </c>
      <c r="S145">
        <v>1</v>
      </c>
      <c r="T145">
        <v>0</v>
      </c>
      <c r="U145" t="s">
        <v>5549</v>
      </c>
      <c r="V145">
        <f>Tabla1[[#This Row],[Aboard]]-Tabla1[[#This Row],[Fatalities]]</f>
        <v>0</v>
      </c>
      <c r="W145" s="50">
        <f>IFERROR(Tabla1[[#This Row],[Fatalities]]/Tabla1[[#This Row],[Aboard]],0)</f>
        <v>1</v>
      </c>
      <c r="X145" s="51" t="str" cm="1">
        <f t="array" ref="X145">_xlfn.IFS(Tabla1[[#This Row],[Porcentaje de muertes]]&lt;0.35,"LEVE",AND(Tabla1[[#This Row],[Porcentaje de muertes]]&gt;0.35,Tabla1[[#This Row],[Porcentaje de muertes]]&lt;0.65),"MEDIO",Tabla1[[#This Row],[Porcentaje de muertes]]&gt;0.65,"GRAVE")</f>
        <v>GRAVE</v>
      </c>
      <c r="AB145" t="s">
        <v>28635</v>
      </c>
      <c r="AC145" t="s">
        <v>28636</v>
      </c>
      <c r="AD145" t="s">
        <v>28966</v>
      </c>
      <c r="AE145" t="s">
        <v>28966</v>
      </c>
      <c r="AF145" t="s">
        <v>28966</v>
      </c>
      <c r="AG145" t="s">
        <v>28966</v>
      </c>
      <c r="AH145">
        <v>24637200</v>
      </c>
      <c r="AI145">
        <v>27412300</v>
      </c>
      <c r="AJ145">
        <v>30153500</v>
      </c>
      <c r="AK145">
        <v>32162100</v>
      </c>
      <c r="AL145">
        <v>35456000</v>
      </c>
      <c r="AM145">
        <v>40432600</v>
      </c>
      <c r="AN145">
        <v>42895300</v>
      </c>
      <c r="AO145">
        <v>45741200</v>
      </c>
      <c r="AP145">
        <v>48636300</v>
      </c>
      <c r="AQ145">
        <v>48639000</v>
      </c>
      <c r="AR145">
        <v>51251500</v>
      </c>
      <c r="AS145">
        <v>55201400</v>
      </c>
      <c r="AT145">
        <v>63012500</v>
      </c>
      <c r="AU145">
        <v>68463800</v>
      </c>
      <c r="AV145">
        <v>76750800</v>
      </c>
      <c r="AW145">
        <v>76969300</v>
      </c>
      <c r="AX145">
        <v>84784000</v>
      </c>
      <c r="AY145">
        <v>218048600</v>
      </c>
      <c r="AZ145">
        <v>169668800</v>
      </c>
      <c r="BA145">
        <v>149063500</v>
      </c>
      <c r="BB145">
        <v>156855000</v>
      </c>
      <c r="BC145">
        <v>173392100</v>
      </c>
      <c r="BD145">
        <v>178597200</v>
      </c>
      <c r="BE145">
        <v>184906800</v>
      </c>
      <c r="BF145">
        <v>187098700</v>
      </c>
      <c r="BG145">
        <v>199593400</v>
      </c>
      <c r="BH145">
        <v>216639000</v>
      </c>
      <c r="BI145">
        <v>237815480</v>
      </c>
      <c r="BJ145">
        <v>258940139</v>
      </c>
      <c r="BK145">
        <v>271040893</v>
      </c>
      <c r="BL145">
        <v>331760561</v>
      </c>
      <c r="BM145">
        <v>347642313</v>
      </c>
      <c r="BN145">
        <v>384756400</v>
      </c>
      <c r="BO145">
        <v>444476143</v>
      </c>
      <c r="BP145">
        <v>485748645</v>
      </c>
      <c r="BQ145">
        <v>572829124</v>
      </c>
      <c r="BR145">
        <v>685670532.10000002</v>
      </c>
      <c r="BS145">
        <v>761255355.39999998</v>
      </c>
      <c r="BT145">
        <v>830069110.5</v>
      </c>
      <c r="BU145">
        <v>907272787.70000005</v>
      </c>
      <c r="BV145">
        <v>985686600.89999998</v>
      </c>
      <c r="BW145">
        <v>1088963002</v>
      </c>
      <c r="BX145">
        <v>1190947049</v>
      </c>
      <c r="BY145">
        <v>1323673354</v>
      </c>
      <c r="BZ145">
        <v>1434010524</v>
      </c>
      <c r="CA145">
        <v>1522692336</v>
      </c>
    </row>
    <row r="146" spans="2:79" x14ac:dyDescent="0.3">
      <c r="B146" s="9">
        <v>144</v>
      </c>
      <c r="C146" s="49">
        <v>10249</v>
      </c>
      <c r="D146" s="9">
        <f>YEAR(Tabla1[[#This Row],[Date]])</f>
        <v>1928</v>
      </c>
      <c r="E146" s="9" t="str" cm="1">
        <f t="array" ref="E146">IFERROR(_xlfn.IFS(AND(D146&lt;1980,D146&gt;=1970),"70",AND(D146&lt;1990,D146&gt;=1980),"80",AND(D146&lt;2000,D146&gt;=1990),"90",AND(D146&lt;2010,D146&gt;=2000),"00",AND(D146&lt;=2019,D146&gt;=2010),"10"),"1908-1970")</f>
        <v>1908-1970</v>
      </c>
      <c r="F146" s="3" t="s">
        <v>28931</v>
      </c>
      <c r="G146" t="s">
        <v>5550</v>
      </c>
      <c r="H146" t="s">
        <v>5182</v>
      </c>
      <c r="I146" t="s">
        <v>28931</v>
      </c>
      <c r="J146" t="s">
        <v>5551</v>
      </c>
      <c r="K146" t="s">
        <v>5167</v>
      </c>
      <c r="L146" s="7" t="s">
        <v>5552</v>
      </c>
      <c r="M146">
        <v>240</v>
      </c>
      <c r="N146">
        <v>2</v>
      </c>
      <c r="O146">
        <v>0</v>
      </c>
      <c r="P146">
        <v>2</v>
      </c>
      <c r="Q146">
        <v>2</v>
      </c>
      <c r="R146">
        <v>0</v>
      </c>
      <c r="S146">
        <v>2</v>
      </c>
      <c r="T146">
        <v>0</v>
      </c>
      <c r="U146" t="s">
        <v>5553</v>
      </c>
      <c r="V146">
        <f>Tabla1[[#This Row],[Aboard]]-Tabla1[[#This Row],[Fatalities]]</f>
        <v>0</v>
      </c>
      <c r="W146" s="50">
        <f>IFERROR(Tabla1[[#This Row],[Fatalities]]/Tabla1[[#This Row],[Aboard]],0)</f>
        <v>1</v>
      </c>
      <c r="X146" s="51" t="str" cm="1">
        <f t="array" ref="X146">_xlfn.IFS(Tabla1[[#This Row],[Porcentaje de muertes]]&lt;0.35,"LEVE",AND(Tabla1[[#This Row],[Porcentaje de muertes]]&gt;0.35,Tabla1[[#This Row],[Porcentaje de muertes]]&lt;0.65),"MEDIO",Tabla1[[#This Row],[Porcentaje de muertes]]&gt;0.65,"GRAVE")</f>
        <v>GRAVE</v>
      </c>
      <c r="AB146" t="s">
        <v>28637</v>
      </c>
      <c r="AC146" t="s">
        <v>28638</v>
      </c>
      <c r="AD146" t="s">
        <v>28966</v>
      </c>
      <c r="AE146" t="s">
        <v>28966</v>
      </c>
      <c r="AF146" t="s">
        <v>28966</v>
      </c>
      <c r="AG146" t="s">
        <v>28966</v>
      </c>
      <c r="AH146" t="s">
        <v>28966</v>
      </c>
      <c r="AI146" t="s">
        <v>28966</v>
      </c>
      <c r="AJ146" t="s">
        <v>28966</v>
      </c>
      <c r="AK146" t="s">
        <v>28966</v>
      </c>
      <c r="AL146" t="s">
        <v>28966</v>
      </c>
      <c r="AM146" t="s">
        <v>28966</v>
      </c>
      <c r="AN146" t="s">
        <v>28966</v>
      </c>
      <c r="AO146" t="s">
        <v>28966</v>
      </c>
      <c r="AP146" t="s">
        <v>28966</v>
      </c>
      <c r="AQ146" t="s">
        <v>28966</v>
      </c>
      <c r="AR146" t="s">
        <v>28966</v>
      </c>
      <c r="AS146" t="s">
        <v>28966</v>
      </c>
      <c r="AT146" t="s">
        <v>28966</v>
      </c>
      <c r="AU146" t="s">
        <v>28966</v>
      </c>
      <c r="AV146" t="s">
        <v>28966</v>
      </c>
      <c r="AW146" t="s">
        <v>28966</v>
      </c>
      <c r="AX146" t="s">
        <v>28966</v>
      </c>
      <c r="AY146" t="s">
        <v>28966</v>
      </c>
      <c r="AZ146">
        <v>557200</v>
      </c>
      <c r="BA146">
        <v>149700</v>
      </c>
      <c r="BB146">
        <v>194500</v>
      </c>
      <c r="BC146">
        <v>209900</v>
      </c>
      <c r="BD146">
        <v>214000</v>
      </c>
      <c r="BE146">
        <v>236800</v>
      </c>
      <c r="BF146">
        <v>258900</v>
      </c>
      <c r="BG146">
        <v>249600</v>
      </c>
      <c r="BH146">
        <v>283836</v>
      </c>
      <c r="BI146">
        <v>304051</v>
      </c>
      <c r="BJ146">
        <v>303865</v>
      </c>
      <c r="BK146">
        <v>329271</v>
      </c>
      <c r="BL146">
        <v>447883</v>
      </c>
      <c r="BM146">
        <v>505409</v>
      </c>
      <c r="BN146">
        <v>429657</v>
      </c>
      <c r="BO146">
        <v>423585</v>
      </c>
      <c r="BP146">
        <v>609847</v>
      </c>
      <c r="BQ146">
        <v>616514</v>
      </c>
      <c r="BR146">
        <v>81450</v>
      </c>
      <c r="BS146">
        <v>69445</v>
      </c>
      <c r="BT146">
        <v>592996</v>
      </c>
      <c r="BU146">
        <v>1009728</v>
      </c>
      <c r="BV146">
        <v>1274911</v>
      </c>
      <c r="BW146">
        <v>1363946</v>
      </c>
      <c r="BX146">
        <v>1046012</v>
      </c>
      <c r="BY146">
        <v>1069268</v>
      </c>
      <c r="BZ146">
        <v>26031</v>
      </c>
      <c r="CA146">
        <v>40610</v>
      </c>
    </row>
    <row r="147" spans="2:79" x14ac:dyDescent="0.3">
      <c r="B147" s="9">
        <v>145</v>
      </c>
      <c r="C147" s="49">
        <v>10254</v>
      </c>
      <c r="D147" s="9">
        <f>YEAR(Tabla1[[#This Row],[Date]])</f>
        <v>1928</v>
      </c>
      <c r="E147" s="9" t="str" cm="1">
        <f t="array" ref="E147">IFERROR(_xlfn.IFS(AND(D147&lt;1980,D147&gt;=1970),"70",AND(D147&lt;1990,D147&gt;=1980),"80",AND(D147&lt;2000,D147&gt;=1990),"90",AND(D147&lt;2010,D147&gt;=2000),"00",AND(D147&lt;=2019,D147&gt;=2010),"10"),"1908-1970")</f>
        <v>1908-1970</v>
      </c>
      <c r="F147" s="3" t="s">
        <v>28931</v>
      </c>
      <c r="G147" t="s">
        <v>5528</v>
      </c>
      <c r="H147" t="s">
        <v>5182</v>
      </c>
      <c r="I147" t="s">
        <v>28931</v>
      </c>
      <c r="J147" t="s">
        <v>5551</v>
      </c>
      <c r="K147" t="s">
        <v>5167</v>
      </c>
      <c r="L147" s="7" t="s">
        <v>5554</v>
      </c>
      <c r="M147">
        <v>162</v>
      </c>
      <c r="N147">
        <v>1</v>
      </c>
      <c r="O147">
        <v>0</v>
      </c>
      <c r="P147">
        <v>1</v>
      </c>
      <c r="Q147">
        <v>1</v>
      </c>
      <c r="R147">
        <v>0</v>
      </c>
      <c r="S147">
        <v>1</v>
      </c>
      <c r="T147">
        <v>0</v>
      </c>
      <c r="U147" t="s">
        <v>5555</v>
      </c>
      <c r="V147">
        <f>Tabla1[[#This Row],[Aboard]]-Tabla1[[#This Row],[Fatalities]]</f>
        <v>0</v>
      </c>
      <c r="W147" s="50">
        <f>IFERROR(Tabla1[[#This Row],[Fatalities]]/Tabla1[[#This Row],[Aboard]],0)</f>
        <v>1</v>
      </c>
      <c r="X147" s="51" t="str" cm="1">
        <f t="array" ref="X147">_xlfn.IFS(Tabla1[[#This Row],[Porcentaje de muertes]]&lt;0.35,"LEVE",AND(Tabla1[[#This Row],[Porcentaje de muertes]]&gt;0.35,Tabla1[[#This Row],[Porcentaje de muertes]]&lt;0.65),"MEDIO",Tabla1[[#This Row],[Porcentaje de muertes]]&gt;0.65,"GRAVE")</f>
        <v>GRAVE</v>
      </c>
      <c r="AB147" t="s">
        <v>28639</v>
      </c>
      <c r="AC147" t="s">
        <v>28640</v>
      </c>
      <c r="AD147">
        <v>167000</v>
      </c>
      <c r="AE147">
        <v>250000</v>
      </c>
      <c r="AF147">
        <v>211300</v>
      </c>
      <c r="AG147">
        <v>218100</v>
      </c>
      <c r="AH147">
        <v>220600</v>
      </c>
      <c r="AI147">
        <v>230000</v>
      </c>
      <c r="AJ147">
        <v>250000</v>
      </c>
      <c r="AK147">
        <v>260000</v>
      </c>
      <c r="AL147">
        <v>290000</v>
      </c>
      <c r="AM147">
        <v>300000</v>
      </c>
      <c r="AN147">
        <v>161500</v>
      </c>
      <c r="AO147">
        <v>163200</v>
      </c>
      <c r="AP147">
        <v>203700</v>
      </c>
      <c r="AQ147">
        <v>224100</v>
      </c>
      <c r="AR147">
        <v>243200</v>
      </c>
      <c r="AS147">
        <v>239400</v>
      </c>
      <c r="AT147">
        <v>247700</v>
      </c>
      <c r="AU147">
        <v>272900</v>
      </c>
      <c r="AV147">
        <v>293900</v>
      </c>
      <c r="AW147">
        <v>296000</v>
      </c>
      <c r="AX147">
        <v>409300</v>
      </c>
      <c r="AY147">
        <v>405700</v>
      </c>
      <c r="AZ147">
        <v>460600</v>
      </c>
      <c r="BA147">
        <v>470500</v>
      </c>
      <c r="BB147">
        <v>532500</v>
      </c>
      <c r="BC147">
        <v>569700</v>
      </c>
      <c r="BD147">
        <v>639100</v>
      </c>
      <c r="BE147">
        <v>559800</v>
      </c>
      <c r="BF147">
        <v>701400</v>
      </c>
      <c r="BG147">
        <v>842700</v>
      </c>
      <c r="BH147">
        <v>870831</v>
      </c>
      <c r="BI147">
        <v>885852</v>
      </c>
      <c r="BJ147">
        <v>822533</v>
      </c>
      <c r="BK147">
        <v>853903</v>
      </c>
      <c r="BL147">
        <v>855840</v>
      </c>
      <c r="BM147">
        <v>851136</v>
      </c>
      <c r="BN147">
        <v>927738</v>
      </c>
      <c r="BO147">
        <v>1039067</v>
      </c>
      <c r="BP147">
        <v>1059848</v>
      </c>
      <c r="BQ147">
        <v>681482</v>
      </c>
      <c r="BR147">
        <v>786920</v>
      </c>
      <c r="BS147">
        <v>785200</v>
      </c>
      <c r="BT147">
        <v>781146</v>
      </c>
      <c r="BU147">
        <v>1555788</v>
      </c>
      <c r="BV147">
        <v>1710624</v>
      </c>
      <c r="BW147">
        <v>1830972</v>
      </c>
      <c r="BX147">
        <v>1845726</v>
      </c>
      <c r="BY147">
        <v>1901012</v>
      </c>
      <c r="BZ147">
        <v>2099102</v>
      </c>
      <c r="CA147">
        <v>2114417</v>
      </c>
    </row>
    <row r="148" spans="2:79" x14ac:dyDescent="0.3">
      <c r="B148" s="9">
        <v>146</v>
      </c>
      <c r="C148" s="49">
        <v>10284</v>
      </c>
      <c r="D148" s="9">
        <f>YEAR(Tabla1[[#This Row],[Date]])</f>
        <v>1928</v>
      </c>
      <c r="E148" s="9" t="str" cm="1">
        <f t="array" ref="E148">IFERROR(_xlfn.IFS(AND(D148&lt;1980,D148&gt;=1970),"70",AND(D148&lt;1990,D148&gt;=1980),"80",AND(D148&lt;2000,D148&gt;=1990),"90",AND(D148&lt;2010,D148&gt;=2000),"00",AND(D148&lt;=2019,D148&gt;=2010),"10"),"1908-1970")</f>
        <v>1908-1970</v>
      </c>
      <c r="F148" s="3" t="s">
        <v>28931</v>
      </c>
      <c r="G148" t="s">
        <v>5556</v>
      </c>
      <c r="H148" t="s">
        <v>5557</v>
      </c>
      <c r="I148" t="s">
        <v>28931</v>
      </c>
      <c r="J148" t="s">
        <v>28931</v>
      </c>
      <c r="K148" t="s">
        <v>5558</v>
      </c>
      <c r="L148" s="7" t="s">
        <v>5559</v>
      </c>
      <c r="M148">
        <v>891</v>
      </c>
      <c r="N148">
        <v>2</v>
      </c>
      <c r="O148">
        <v>1</v>
      </c>
      <c r="P148">
        <v>1</v>
      </c>
      <c r="Q148">
        <v>1</v>
      </c>
      <c r="R148">
        <v>1</v>
      </c>
      <c r="S148">
        <v>0</v>
      </c>
      <c r="T148">
        <v>0</v>
      </c>
      <c r="U148" t="s">
        <v>5560</v>
      </c>
      <c r="V148">
        <f>Tabla1[[#This Row],[Aboard]]-Tabla1[[#This Row],[Fatalities]]</f>
        <v>1</v>
      </c>
      <c r="W148" s="50">
        <f>IFERROR(Tabla1[[#This Row],[Fatalities]]/Tabla1[[#This Row],[Aboard]],0)</f>
        <v>0.5</v>
      </c>
      <c r="X148" s="51" t="str" cm="1">
        <f t="array" ref="X148">_xlfn.IFS(Tabla1[[#This Row],[Porcentaje de muertes]]&lt;0.35,"LEVE",AND(Tabla1[[#This Row],[Porcentaje de muertes]]&gt;0.35,Tabla1[[#This Row],[Porcentaje de muertes]]&lt;0.65),"MEDIO",Tabla1[[#This Row],[Porcentaje de muertes]]&gt;0.65,"GRAVE")</f>
        <v>MEDIO</v>
      </c>
      <c r="AB148" t="s">
        <v>28641</v>
      </c>
      <c r="AC148" t="s">
        <v>28642</v>
      </c>
      <c r="AD148" t="s">
        <v>28966</v>
      </c>
      <c r="AE148" t="s">
        <v>28966</v>
      </c>
      <c r="AF148" t="s">
        <v>28966</v>
      </c>
      <c r="AG148" t="s">
        <v>28966</v>
      </c>
      <c r="AH148" t="s">
        <v>28966</v>
      </c>
      <c r="AI148" t="s">
        <v>28966</v>
      </c>
      <c r="AJ148" t="s">
        <v>28966</v>
      </c>
      <c r="AK148" t="s">
        <v>28966</v>
      </c>
      <c r="AL148" t="s">
        <v>28966</v>
      </c>
      <c r="AM148" t="s">
        <v>28966</v>
      </c>
      <c r="AN148" t="s">
        <v>28966</v>
      </c>
      <c r="AO148" t="s">
        <v>28966</v>
      </c>
      <c r="AP148" t="s">
        <v>28966</v>
      </c>
      <c r="AQ148" t="s">
        <v>28966</v>
      </c>
      <c r="AR148" t="s">
        <v>28966</v>
      </c>
      <c r="AS148" t="s">
        <v>28966</v>
      </c>
      <c r="AT148" t="s">
        <v>28966</v>
      </c>
      <c r="AU148" t="s">
        <v>28966</v>
      </c>
      <c r="AV148" t="s">
        <v>28966</v>
      </c>
      <c r="AW148" t="s">
        <v>28966</v>
      </c>
      <c r="AX148" t="s">
        <v>28966</v>
      </c>
      <c r="AY148" t="s">
        <v>28966</v>
      </c>
      <c r="AZ148">
        <v>65700</v>
      </c>
      <c r="BA148">
        <v>111200</v>
      </c>
      <c r="BB148">
        <v>167000</v>
      </c>
      <c r="BC148">
        <v>173000</v>
      </c>
      <c r="BD148">
        <v>275900</v>
      </c>
      <c r="BE148">
        <v>229100</v>
      </c>
      <c r="BF148">
        <v>229100</v>
      </c>
      <c r="BG148">
        <v>196200</v>
      </c>
      <c r="BH148">
        <v>278396</v>
      </c>
      <c r="BI148">
        <v>255392</v>
      </c>
      <c r="BJ148">
        <v>264991</v>
      </c>
      <c r="BK148">
        <v>339747</v>
      </c>
      <c r="BL148">
        <v>593662</v>
      </c>
      <c r="BM148">
        <v>1032128</v>
      </c>
      <c r="BN148">
        <v>1409620</v>
      </c>
      <c r="BO148">
        <v>1344912</v>
      </c>
      <c r="BP148">
        <v>1371810</v>
      </c>
      <c r="BQ148">
        <v>1301848</v>
      </c>
      <c r="BR148">
        <v>3158051</v>
      </c>
      <c r="BS148">
        <v>3299391</v>
      </c>
      <c r="BT148">
        <v>2888683</v>
      </c>
      <c r="BU148">
        <v>2754720</v>
      </c>
      <c r="BV148">
        <v>2636612.7590000001</v>
      </c>
      <c r="BW148">
        <v>2527368</v>
      </c>
      <c r="BX148">
        <v>2843133</v>
      </c>
      <c r="BY148">
        <v>3441024</v>
      </c>
      <c r="BZ148">
        <v>4058762</v>
      </c>
      <c r="CA148">
        <v>4976410</v>
      </c>
    </row>
    <row r="149" spans="2:79" x14ac:dyDescent="0.3">
      <c r="B149" s="9">
        <v>147</v>
      </c>
      <c r="C149" s="49">
        <v>10535</v>
      </c>
      <c r="D149" s="9">
        <f>YEAR(Tabla1[[#This Row],[Date]])</f>
        <v>1928</v>
      </c>
      <c r="E149" s="9" t="str" cm="1">
        <f t="array" ref="E149">IFERROR(_xlfn.IFS(AND(D149&lt;1980,D149&gt;=1970),"70",AND(D149&lt;1990,D149&gt;=1980),"80",AND(D149&lt;2000,D149&gt;=1990),"90",AND(D149&lt;2010,D149&gt;=2000),"00",AND(D149&lt;=2019,D149&gt;=2010),"10"),"1908-1970")</f>
        <v>1908-1970</v>
      </c>
      <c r="F149" s="3" t="s">
        <v>28931</v>
      </c>
      <c r="G149" t="s">
        <v>5561</v>
      </c>
      <c r="H149" t="s">
        <v>5298</v>
      </c>
      <c r="I149" t="s">
        <v>28931</v>
      </c>
      <c r="J149" t="s">
        <v>5562</v>
      </c>
      <c r="K149" t="s">
        <v>5294</v>
      </c>
      <c r="L149" s="7" t="s">
        <v>5563</v>
      </c>
      <c r="M149" t="s">
        <v>5564</v>
      </c>
      <c r="N149">
        <v>2</v>
      </c>
      <c r="O149">
        <v>0</v>
      </c>
      <c r="P149">
        <v>2</v>
      </c>
      <c r="Q149">
        <v>2</v>
      </c>
      <c r="R149">
        <v>0</v>
      </c>
      <c r="S149">
        <v>2</v>
      </c>
      <c r="T149">
        <v>0</v>
      </c>
      <c r="U149" t="s">
        <v>5565</v>
      </c>
      <c r="V149">
        <f>Tabla1[[#This Row],[Aboard]]-Tabla1[[#This Row],[Fatalities]]</f>
        <v>0</v>
      </c>
      <c r="W149" s="50">
        <f>IFERROR(Tabla1[[#This Row],[Fatalities]]/Tabla1[[#This Row],[Aboard]],0)</f>
        <v>1</v>
      </c>
      <c r="X149" s="51" t="str" cm="1">
        <f t="array" ref="X149">_xlfn.IFS(Tabla1[[#This Row],[Porcentaje de muertes]]&lt;0.35,"LEVE",AND(Tabla1[[#This Row],[Porcentaje de muertes]]&gt;0.35,Tabla1[[#This Row],[Porcentaje de muertes]]&lt;0.65),"MEDIO",Tabla1[[#This Row],[Porcentaje de muertes]]&gt;0.65,"GRAVE")</f>
        <v>GRAVE</v>
      </c>
      <c r="AB149" t="s">
        <v>28643</v>
      </c>
      <c r="AC149" t="s">
        <v>28644</v>
      </c>
      <c r="AD149" t="s">
        <v>28966</v>
      </c>
      <c r="AE149" t="s">
        <v>28966</v>
      </c>
      <c r="AF149" t="s">
        <v>28966</v>
      </c>
      <c r="AG149" t="s">
        <v>28966</v>
      </c>
      <c r="AH149" t="s">
        <v>28966</v>
      </c>
      <c r="AI149" t="s">
        <v>28966</v>
      </c>
      <c r="AJ149" t="s">
        <v>28966</v>
      </c>
      <c r="AK149" t="s">
        <v>28966</v>
      </c>
      <c r="AL149" t="s">
        <v>28966</v>
      </c>
      <c r="AM149" t="s">
        <v>28966</v>
      </c>
      <c r="AN149" t="s">
        <v>28966</v>
      </c>
      <c r="AO149" t="s">
        <v>28966</v>
      </c>
      <c r="AP149" t="s">
        <v>28966</v>
      </c>
      <c r="AQ149" t="s">
        <v>28966</v>
      </c>
      <c r="AR149" t="s">
        <v>28966</v>
      </c>
      <c r="AS149" t="s">
        <v>28966</v>
      </c>
      <c r="AT149" t="s">
        <v>28966</v>
      </c>
      <c r="AU149" t="s">
        <v>28966</v>
      </c>
      <c r="AV149" t="s">
        <v>28966</v>
      </c>
      <c r="AW149" t="s">
        <v>28966</v>
      </c>
      <c r="AX149" t="s">
        <v>28966</v>
      </c>
      <c r="AY149" t="s">
        <v>28966</v>
      </c>
      <c r="AZ149" t="s">
        <v>28966</v>
      </c>
      <c r="BA149" t="s">
        <v>28966</v>
      </c>
      <c r="BB149" t="s">
        <v>28966</v>
      </c>
      <c r="BC149" t="s">
        <v>28966</v>
      </c>
      <c r="BD149" t="s">
        <v>28966</v>
      </c>
      <c r="BE149" t="s">
        <v>28966</v>
      </c>
      <c r="BF149" t="s">
        <v>28966</v>
      </c>
      <c r="BG149" t="s">
        <v>28966</v>
      </c>
      <c r="BH149">
        <v>1532189</v>
      </c>
      <c r="BI149">
        <v>1706332</v>
      </c>
      <c r="BJ149">
        <v>1728004</v>
      </c>
      <c r="BK149">
        <v>1211797</v>
      </c>
      <c r="BL149">
        <v>1800237</v>
      </c>
      <c r="BM149">
        <v>2040654</v>
      </c>
      <c r="BN149">
        <v>2285750</v>
      </c>
      <c r="BO149">
        <v>2393294</v>
      </c>
      <c r="BP149">
        <v>1866141</v>
      </c>
      <c r="BQ149">
        <v>1427324</v>
      </c>
      <c r="BR149">
        <v>1329721</v>
      </c>
      <c r="BS149">
        <v>1327732</v>
      </c>
      <c r="BT149">
        <v>1561850</v>
      </c>
      <c r="BU149">
        <v>1767100</v>
      </c>
      <c r="BV149">
        <v>2078758</v>
      </c>
      <c r="BW149">
        <v>2276436</v>
      </c>
      <c r="BX149">
        <v>2788571</v>
      </c>
      <c r="BY149">
        <v>2776815</v>
      </c>
      <c r="BZ149">
        <v>3157724</v>
      </c>
      <c r="CA149">
        <v>3659911</v>
      </c>
    </row>
    <row r="150" spans="2:79" x14ac:dyDescent="0.3">
      <c r="B150" s="9">
        <v>148</v>
      </c>
      <c r="C150" s="49">
        <v>10335</v>
      </c>
      <c r="D150" s="9">
        <f>YEAR(Tabla1[[#This Row],[Date]])</f>
        <v>1928</v>
      </c>
      <c r="E150" s="9" t="str" cm="1">
        <f t="array" ref="E150">IFERROR(_xlfn.IFS(AND(D150&lt;1980,D150&gt;=1970),"70",AND(D150&lt;1990,D150&gt;=1980),"80",AND(D150&lt;2000,D150&gt;=1990),"90",AND(D150&lt;2010,D150&gt;=2000),"00",AND(D150&lt;=2019,D150&gt;=2010),"10"),"1908-1970")</f>
        <v>1908-1970</v>
      </c>
      <c r="F150" s="3" t="s">
        <v>28931</v>
      </c>
      <c r="G150" t="s">
        <v>5566</v>
      </c>
      <c r="H150" t="s">
        <v>5557</v>
      </c>
      <c r="I150" t="s">
        <v>28931</v>
      </c>
      <c r="J150" t="s">
        <v>28931</v>
      </c>
      <c r="K150" t="s">
        <v>5558</v>
      </c>
      <c r="L150" s="7" t="s">
        <v>5567</v>
      </c>
      <c r="M150">
        <v>893</v>
      </c>
      <c r="N150">
        <v>2</v>
      </c>
      <c r="O150">
        <v>1</v>
      </c>
      <c r="P150">
        <v>1</v>
      </c>
      <c r="Q150">
        <v>1</v>
      </c>
      <c r="R150">
        <v>1</v>
      </c>
      <c r="S150">
        <v>0</v>
      </c>
      <c r="T150">
        <v>0</v>
      </c>
      <c r="U150" t="s">
        <v>5568</v>
      </c>
      <c r="V150">
        <f>Tabla1[[#This Row],[Aboard]]-Tabla1[[#This Row],[Fatalities]]</f>
        <v>1</v>
      </c>
      <c r="W150" s="50">
        <f>IFERROR(Tabla1[[#This Row],[Fatalities]]/Tabla1[[#This Row],[Aboard]],0)</f>
        <v>0.5</v>
      </c>
      <c r="X150" s="51" t="str" cm="1">
        <f t="array" ref="X150">_xlfn.IFS(Tabla1[[#This Row],[Porcentaje de muertes]]&lt;0.35,"LEVE",AND(Tabla1[[#This Row],[Porcentaje de muertes]]&gt;0.35,Tabla1[[#This Row],[Porcentaje de muertes]]&lt;0.65),"MEDIO",Tabla1[[#This Row],[Porcentaje de muertes]]&gt;0.65,"GRAVE")</f>
        <v>MEDIO</v>
      </c>
      <c r="AB150" t="s">
        <v>28645</v>
      </c>
      <c r="AC150" t="s">
        <v>28646</v>
      </c>
      <c r="AD150" t="s">
        <v>28966</v>
      </c>
      <c r="AE150" t="s">
        <v>28966</v>
      </c>
      <c r="AF150" t="s">
        <v>28966</v>
      </c>
      <c r="AG150" t="s">
        <v>28966</v>
      </c>
      <c r="AH150" t="s">
        <v>28966</v>
      </c>
      <c r="AI150" t="s">
        <v>28966</v>
      </c>
      <c r="AJ150" t="s">
        <v>28966</v>
      </c>
      <c r="AK150" t="s">
        <v>28966</v>
      </c>
      <c r="AL150" t="s">
        <v>28966</v>
      </c>
      <c r="AM150" t="s">
        <v>28966</v>
      </c>
      <c r="AN150" t="s">
        <v>28966</v>
      </c>
      <c r="AO150" t="s">
        <v>28966</v>
      </c>
      <c r="AP150" t="s">
        <v>28966</v>
      </c>
      <c r="AQ150" t="s">
        <v>28966</v>
      </c>
      <c r="AR150" t="s">
        <v>28966</v>
      </c>
      <c r="AS150" t="s">
        <v>28966</v>
      </c>
      <c r="AT150" t="s">
        <v>28966</v>
      </c>
      <c r="AU150" t="s">
        <v>28966</v>
      </c>
      <c r="AV150" t="s">
        <v>28966</v>
      </c>
      <c r="AW150" t="s">
        <v>28966</v>
      </c>
      <c r="AX150" t="s">
        <v>28966</v>
      </c>
      <c r="AY150" t="s">
        <v>28966</v>
      </c>
      <c r="AZ150" t="s">
        <v>28966</v>
      </c>
      <c r="BA150" t="s">
        <v>28966</v>
      </c>
      <c r="BB150" t="s">
        <v>28966</v>
      </c>
      <c r="BC150" t="s">
        <v>28966</v>
      </c>
      <c r="BD150" t="s">
        <v>28966</v>
      </c>
      <c r="BE150" t="s">
        <v>28966</v>
      </c>
      <c r="BF150" t="s">
        <v>28966</v>
      </c>
      <c r="BG150" t="s">
        <v>28966</v>
      </c>
      <c r="BH150" t="s">
        <v>28966</v>
      </c>
      <c r="BI150" t="s">
        <v>28966</v>
      </c>
      <c r="BJ150" t="s">
        <v>28966</v>
      </c>
      <c r="BK150" t="s">
        <v>28966</v>
      </c>
      <c r="BL150" t="s">
        <v>28966</v>
      </c>
      <c r="BM150" t="s">
        <v>28966</v>
      </c>
      <c r="BN150" t="s">
        <v>28966</v>
      </c>
      <c r="BO150" t="s">
        <v>28966</v>
      </c>
      <c r="BP150" t="s">
        <v>28966</v>
      </c>
      <c r="BQ150" t="s">
        <v>28966</v>
      </c>
      <c r="BR150" t="s">
        <v>28966</v>
      </c>
      <c r="BS150" t="s">
        <v>28966</v>
      </c>
      <c r="BT150" t="s">
        <v>28966</v>
      </c>
      <c r="BU150" t="s">
        <v>28966</v>
      </c>
      <c r="BV150" t="s">
        <v>28966</v>
      </c>
      <c r="BW150" t="s">
        <v>28966</v>
      </c>
      <c r="BX150" t="s">
        <v>28966</v>
      </c>
      <c r="BY150" t="s">
        <v>28966</v>
      </c>
      <c r="BZ150" t="s">
        <v>28966</v>
      </c>
      <c r="CA150" t="s">
        <v>28966</v>
      </c>
    </row>
    <row r="151" spans="2:79" x14ac:dyDescent="0.3">
      <c r="B151" s="9">
        <v>149</v>
      </c>
      <c r="C151" s="49">
        <v>10337</v>
      </c>
      <c r="D151" s="9">
        <f>YEAR(Tabla1[[#This Row],[Date]])</f>
        <v>1928</v>
      </c>
      <c r="E151" s="9" t="str" cm="1">
        <f t="array" ref="E151">IFERROR(_xlfn.IFS(AND(D151&lt;1980,D151&gt;=1970),"70",AND(D151&lt;1990,D151&gt;=1980),"80",AND(D151&lt;2000,D151&gt;=1990),"90",AND(D151&lt;2010,D151&gt;=2000),"00",AND(D151&lt;=2019,D151&gt;=2010),"10"),"1908-1970")</f>
        <v>1908-1970</v>
      </c>
      <c r="F151" s="3" t="s">
        <v>28931</v>
      </c>
      <c r="G151" t="s">
        <v>5569</v>
      </c>
      <c r="H151" t="s">
        <v>5570</v>
      </c>
      <c r="I151" t="s">
        <v>28931</v>
      </c>
      <c r="J151" t="s">
        <v>5571</v>
      </c>
      <c r="K151" t="s">
        <v>5572</v>
      </c>
      <c r="L151" s="7" t="s">
        <v>5573</v>
      </c>
      <c r="M151">
        <v>36</v>
      </c>
      <c r="N151">
        <v>9</v>
      </c>
      <c r="O151">
        <v>7</v>
      </c>
      <c r="P151">
        <v>2</v>
      </c>
      <c r="Q151">
        <v>9</v>
      </c>
      <c r="R151">
        <v>7</v>
      </c>
      <c r="S151">
        <v>2</v>
      </c>
      <c r="T151">
        <v>0</v>
      </c>
      <c r="U151" t="s">
        <v>5574</v>
      </c>
      <c r="V151">
        <f>Tabla1[[#This Row],[Aboard]]-Tabla1[[#This Row],[Fatalities]]</f>
        <v>0</v>
      </c>
      <c r="W151" s="50">
        <f>IFERROR(Tabla1[[#This Row],[Fatalities]]/Tabla1[[#This Row],[Aboard]],0)</f>
        <v>1</v>
      </c>
      <c r="X151" s="51" t="str" cm="1">
        <f t="array" ref="X151">_xlfn.IFS(Tabla1[[#This Row],[Porcentaje de muertes]]&lt;0.35,"LEVE",AND(Tabla1[[#This Row],[Porcentaje de muertes]]&gt;0.35,Tabla1[[#This Row],[Porcentaje de muertes]]&lt;0.65),"MEDIO",Tabla1[[#This Row],[Porcentaje de muertes]]&gt;0.65,"GRAVE")</f>
        <v>GRAVE</v>
      </c>
      <c r="AB151" t="s">
        <v>28647</v>
      </c>
      <c r="AC151" t="s">
        <v>28648</v>
      </c>
      <c r="AD151">
        <v>289500</v>
      </c>
      <c r="AE151">
        <v>362000</v>
      </c>
      <c r="AF151">
        <v>410300</v>
      </c>
      <c r="AG151">
        <v>486500</v>
      </c>
      <c r="AH151">
        <v>509600</v>
      </c>
      <c r="AI151">
        <v>672900</v>
      </c>
      <c r="AJ151">
        <v>808900</v>
      </c>
      <c r="AK151">
        <v>1047200</v>
      </c>
      <c r="AL151">
        <v>1131700</v>
      </c>
      <c r="AM151">
        <v>1153800</v>
      </c>
      <c r="AN151">
        <v>947400</v>
      </c>
      <c r="AO151">
        <v>929600</v>
      </c>
      <c r="AP151">
        <v>974100</v>
      </c>
      <c r="AQ151">
        <v>932200</v>
      </c>
      <c r="AR151">
        <v>1000700</v>
      </c>
      <c r="AS151">
        <v>1113900</v>
      </c>
      <c r="AT151">
        <v>1095500</v>
      </c>
      <c r="AU151">
        <v>1187400</v>
      </c>
      <c r="AV151">
        <v>1267300</v>
      </c>
      <c r="AW151">
        <v>1360800</v>
      </c>
      <c r="AX151">
        <v>1580000</v>
      </c>
      <c r="AY151">
        <v>1429700</v>
      </c>
      <c r="AZ151">
        <v>2169000</v>
      </c>
      <c r="BA151">
        <v>2139600</v>
      </c>
      <c r="BB151">
        <v>2183900</v>
      </c>
      <c r="BC151">
        <v>2147200</v>
      </c>
      <c r="BD151">
        <v>2301200</v>
      </c>
      <c r="BE151">
        <v>2638400</v>
      </c>
      <c r="BF151">
        <v>3012000</v>
      </c>
      <c r="BG151">
        <v>3392100</v>
      </c>
      <c r="BH151">
        <v>3671317</v>
      </c>
      <c r="BI151">
        <v>3680688</v>
      </c>
      <c r="BJ151">
        <v>3049154</v>
      </c>
      <c r="BK151">
        <v>2638314</v>
      </c>
      <c r="BL151">
        <v>3004353</v>
      </c>
      <c r="BM151">
        <v>3492984</v>
      </c>
      <c r="BN151">
        <v>4109489</v>
      </c>
      <c r="BO151">
        <v>4623543</v>
      </c>
      <c r="BP151">
        <v>4927341</v>
      </c>
      <c r="BQ151">
        <v>4930683</v>
      </c>
      <c r="BR151">
        <v>7144446</v>
      </c>
      <c r="BS151">
        <v>7502696.7450000001</v>
      </c>
      <c r="BT151">
        <v>6563646.676</v>
      </c>
      <c r="BU151">
        <v>6507408</v>
      </c>
      <c r="BV151">
        <v>6976810</v>
      </c>
      <c r="BW151">
        <v>7043971</v>
      </c>
      <c r="BX151">
        <v>7738637</v>
      </c>
      <c r="BY151">
        <v>8667392</v>
      </c>
      <c r="BZ151">
        <v>8132917</v>
      </c>
      <c r="CA151">
        <v>9380951</v>
      </c>
    </row>
    <row r="152" spans="2:79" x14ac:dyDescent="0.3">
      <c r="B152" s="9">
        <v>150</v>
      </c>
      <c r="C152" s="49">
        <v>10414</v>
      </c>
      <c r="D152" s="9">
        <f>YEAR(Tabla1[[#This Row],[Date]])</f>
        <v>1928</v>
      </c>
      <c r="E152" s="9" t="str" cm="1">
        <f t="array" ref="E152">IFERROR(_xlfn.IFS(AND(D152&lt;1980,D152&gt;=1970),"70",AND(D152&lt;1990,D152&gt;=1980),"80",AND(D152&lt;2000,D152&gt;=1990),"90",AND(D152&lt;2010,D152&gt;=2000),"00",AND(D152&lt;=2019,D152&gt;=2010),"10"),"1908-1970")</f>
        <v>1908-1970</v>
      </c>
      <c r="F152" s="3" t="s">
        <v>28931</v>
      </c>
      <c r="G152" t="s">
        <v>5575</v>
      </c>
      <c r="H152" t="s">
        <v>5182</v>
      </c>
      <c r="I152" t="s">
        <v>28931</v>
      </c>
      <c r="J152" t="s">
        <v>28931</v>
      </c>
      <c r="K152" t="s">
        <v>5576</v>
      </c>
      <c r="L152" s="7" t="s">
        <v>5577</v>
      </c>
      <c r="M152">
        <v>671</v>
      </c>
      <c r="N152">
        <v>5</v>
      </c>
      <c r="O152">
        <v>3</v>
      </c>
      <c r="P152">
        <v>2</v>
      </c>
      <c r="Q152">
        <v>1</v>
      </c>
      <c r="R152">
        <v>1</v>
      </c>
      <c r="S152">
        <v>0</v>
      </c>
      <c r="T152">
        <v>0</v>
      </c>
      <c r="U152" t="s">
        <v>5578</v>
      </c>
      <c r="V152">
        <f>Tabla1[[#This Row],[Aboard]]-Tabla1[[#This Row],[Fatalities]]</f>
        <v>4</v>
      </c>
      <c r="W152" s="50">
        <f>IFERROR(Tabla1[[#This Row],[Fatalities]]/Tabla1[[#This Row],[Aboard]],0)</f>
        <v>0.2</v>
      </c>
      <c r="X152" s="51" t="str" cm="1">
        <f t="array" ref="X152">_xlfn.IFS(Tabla1[[#This Row],[Porcentaje de muertes]]&lt;0.35,"LEVE",AND(Tabla1[[#This Row],[Porcentaje de muertes]]&gt;0.35,Tabla1[[#This Row],[Porcentaje de muertes]]&lt;0.65),"MEDIO",Tabla1[[#This Row],[Porcentaje de muertes]]&gt;0.65,"GRAVE")</f>
        <v>LEVE</v>
      </c>
      <c r="AB152" t="s">
        <v>28649</v>
      </c>
      <c r="AC152" t="s">
        <v>28650</v>
      </c>
      <c r="AD152" t="s">
        <v>28966</v>
      </c>
      <c r="AE152" t="s">
        <v>28966</v>
      </c>
      <c r="AF152" t="s">
        <v>28966</v>
      </c>
      <c r="AG152" t="s">
        <v>28966</v>
      </c>
      <c r="AH152" t="s">
        <v>28966</v>
      </c>
      <c r="AI152" t="s">
        <v>28966</v>
      </c>
      <c r="AJ152" t="s">
        <v>28966</v>
      </c>
      <c r="AK152" t="s">
        <v>28966</v>
      </c>
      <c r="AL152" t="s">
        <v>28966</v>
      </c>
      <c r="AM152" t="s">
        <v>28966</v>
      </c>
      <c r="AN152">
        <v>44000</v>
      </c>
      <c r="AO152">
        <v>44000</v>
      </c>
      <c r="AP152">
        <v>44000</v>
      </c>
      <c r="AQ152">
        <v>44000</v>
      </c>
      <c r="AR152">
        <v>73200</v>
      </c>
      <c r="AS152">
        <v>73800</v>
      </c>
      <c r="AT152">
        <v>37500</v>
      </c>
      <c r="AU152">
        <v>40000</v>
      </c>
      <c r="AV152">
        <v>40000</v>
      </c>
      <c r="AW152">
        <v>42500</v>
      </c>
      <c r="AX152">
        <v>42500</v>
      </c>
      <c r="AY152">
        <v>42500</v>
      </c>
      <c r="AZ152">
        <v>44000</v>
      </c>
      <c r="BA152">
        <v>44000</v>
      </c>
      <c r="BB152">
        <v>44000</v>
      </c>
      <c r="BC152">
        <v>44000</v>
      </c>
      <c r="BD152">
        <v>44000</v>
      </c>
      <c r="BE152">
        <v>44000</v>
      </c>
      <c r="BF152">
        <v>43800</v>
      </c>
      <c r="BG152">
        <v>75200</v>
      </c>
      <c r="BH152">
        <v>82764</v>
      </c>
      <c r="BI152">
        <v>77798</v>
      </c>
      <c r="BJ152">
        <v>104255</v>
      </c>
      <c r="BK152">
        <v>94563</v>
      </c>
      <c r="BL152">
        <v>83916</v>
      </c>
      <c r="BM152">
        <v>87523</v>
      </c>
      <c r="BN152">
        <v>95721</v>
      </c>
      <c r="BO152">
        <v>101753</v>
      </c>
      <c r="BP152">
        <v>84660</v>
      </c>
      <c r="BQ152">
        <v>63876</v>
      </c>
      <c r="BR152">
        <v>59658</v>
      </c>
      <c r="BS152">
        <v>63186</v>
      </c>
      <c r="BT152">
        <v>65404.363640000003</v>
      </c>
      <c r="BU152">
        <v>64524</v>
      </c>
      <c r="BV152">
        <v>64188</v>
      </c>
      <c r="BW152">
        <v>60382</v>
      </c>
      <c r="BX152">
        <v>12137</v>
      </c>
      <c r="BY152">
        <v>316</v>
      </c>
      <c r="BZ152">
        <v>316</v>
      </c>
      <c r="CA152">
        <v>316</v>
      </c>
    </row>
    <row r="153" spans="2:79" x14ac:dyDescent="0.3">
      <c r="B153" s="9">
        <v>151</v>
      </c>
      <c r="C153" s="49">
        <v>10567</v>
      </c>
      <c r="D153" s="9">
        <f>YEAR(Tabla1[[#This Row],[Date]])</f>
        <v>1928</v>
      </c>
      <c r="E153" s="9" t="str" cm="1">
        <f t="array" ref="E153">IFERROR(_xlfn.IFS(AND(D153&lt;1980,D153&gt;=1970),"70",AND(D153&lt;1990,D153&gt;=1980),"80",AND(D153&lt;2000,D153&gt;=1990),"90",AND(D153&lt;2010,D153&gt;=2000),"00",AND(D153&lt;=2019,D153&gt;=2010),"10"),"1908-1970")</f>
        <v>1908-1970</v>
      </c>
      <c r="F153" s="3" t="s">
        <v>28931</v>
      </c>
      <c r="G153" t="s">
        <v>5579</v>
      </c>
      <c r="H153" t="s">
        <v>5580</v>
      </c>
      <c r="I153" t="s">
        <v>28931</v>
      </c>
      <c r="J153" t="s">
        <v>5581</v>
      </c>
      <c r="K153" t="s">
        <v>5582</v>
      </c>
      <c r="L153" s="7" t="s">
        <v>5583</v>
      </c>
      <c r="M153" t="s">
        <v>5584</v>
      </c>
      <c r="N153">
        <v>2</v>
      </c>
      <c r="O153">
        <v>0</v>
      </c>
      <c r="P153">
        <v>2</v>
      </c>
      <c r="Q153">
        <v>2</v>
      </c>
      <c r="R153">
        <v>0</v>
      </c>
      <c r="S153">
        <v>2</v>
      </c>
      <c r="T153">
        <v>0</v>
      </c>
      <c r="U153" t="s">
        <v>5585</v>
      </c>
      <c r="V153">
        <f>Tabla1[[#This Row],[Aboard]]-Tabla1[[#This Row],[Fatalities]]</f>
        <v>0</v>
      </c>
      <c r="W153" s="50">
        <f>IFERROR(Tabla1[[#This Row],[Fatalities]]/Tabla1[[#This Row],[Aboard]],0)</f>
        <v>1</v>
      </c>
      <c r="X153" s="51" t="str" cm="1">
        <f t="array" ref="X153">_xlfn.IFS(Tabla1[[#This Row],[Porcentaje de muertes]]&lt;0.35,"LEVE",AND(Tabla1[[#This Row],[Porcentaje de muertes]]&gt;0.35,Tabla1[[#This Row],[Porcentaje de muertes]]&lt;0.65),"MEDIO",Tabla1[[#This Row],[Porcentaje de muertes]]&gt;0.65,"GRAVE")</f>
        <v>GRAVE</v>
      </c>
      <c r="AB153" t="s">
        <v>28651</v>
      </c>
      <c r="AC153" t="s">
        <v>28652</v>
      </c>
      <c r="AD153" t="s">
        <v>28966</v>
      </c>
      <c r="AE153" t="s">
        <v>28966</v>
      </c>
      <c r="AF153" t="s">
        <v>28966</v>
      </c>
      <c r="AG153" t="s">
        <v>28966</v>
      </c>
      <c r="AH153" t="s">
        <v>28966</v>
      </c>
      <c r="AI153" t="s">
        <v>28966</v>
      </c>
      <c r="AJ153" t="s">
        <v>28966</v>
      </c>
      <c r="AK153" t="s">
        <v>28966</v>
      </c>
      <c r="AL153" t="s">
        <v>28966</v>
      </c>
      <c r="AM153" t="s">
        <v>28966</v>
      </c>
      <c r="AN153" t="s">
        <v>28966</v>
      </c>
      <c r="AO153" t="s">
        <v>28966</v>
      </c>
      <c r="AP153" t="s">
        <v>28966</v>
      </c>
      <c r="AQ153" t="s">
        <v>28966</v>
      </c>
      <c r="AR153" t="s">
        <v>28966</v>
      </c>
      <c r="AS153" t="s">
        <v>28966</v>
      </c>
      <c r="AT153" t="s">
        <v>28966</v>
      </c>
      <c r="AU153" t="s">
        <v>28966</v>
      </c>
      <c r="AV153" t="s">
        <v>28966</v>
      </c>
      <c r="AW153" t="s">
        <v>28966</v>
      </c>
      <c r="AX153" t="s">
        <v>28966</v>
      </c>
      <c r="AY153" t="s">
        <v>28966</v>
      </c>
      <c r="AZ153">
        <v>571100</v>
      </c>
      <c r="BA153">
        <v>312300</v>
      </c>
      <c r="BB153">
        <v>312300</v>
      </c>
      <c r="BC153">
        <v>169500</v>
      </c>
      <c r="BD153">
        <v>190000</v>
      </c>
      <c r="BE153">
        <v>46400</v>
      </c>
      <c r="BF153">
        <v>118000</v>
      </c>
      <c r="BG153">
        <v>43000</v>
      </c>
      <c r="BH153">
        <v>117532</v>
      </c>
      <c r="BI153">
        <v>120125</v>
      </c>
      <c r="BJ153">
        <v>129377</v>
      </c>
      <c r="BK153">
        <v>179084</v>
      </c>
      <c r="BL153">
        <v>200615</v>
      </c>
      <c r="BM153">
        <v>231985</v>
      </c>
      <c r="BN153">
        <v>273810</v>
      </c>
      <c r="BO153">
        <v>314361</v>
      </c>
      <c r="BP153">
        <v>401199</v>
      </c>
      <c r="BQ153">
        <v>402423</v>
      </c>
      <c r="BR153">
        <v>479457</v>
      </c>
      <c r="BS153">
        <v>540679</v>
      </c>
      <c r="BT153">
        <v>543872</v>
      </c>
      <c r="BU153">
        <v>557653</v>
      </c>
      <c r="BV153">
        <v>692496</v>
      </c>
      <c r="BW153">
        <v>1005936</v>
      </c>
      <c r="BX153">
        <v>936254</v>
      </c>
      <c r="BY153">
        <v>1092606</v>
      </c>
      <c r="BZ153">
        <v>1423791</v>
      </c>
      <c r="CA153">
        <v>1408166</v>
      </c>
    </row>
    <row r="154" spans="2:79" x14ac:dyDescent="0.3">
      <c r="B154" s="9">
        <v>152</v>
      </c>
      <c r="C154" s="49">
        <v>10374</v>
      </c>
      <c r="D154" s="9">
        <f>YEAR(Tabla1[[#This Row],[Date]])</f>
        <v>1928</v>
      </c>
      <c r="E154" s="9" t="str" cm="1">
        <f t="array" ref="E154">IFERROR(_xlfn.IFS(AND(D154&lt;1980,D154&gt;=1970),"70",AND(D154&lt;1990,D154&gt;=1980),"80",AND(D154&lt;2000,D154&gt;=1990),"90",AND(D154&lt;2010,D154&gt;=2000),"00",AND(D154&lt;=2019,D154&gt;=2010),"10"),"1908-1970")</f>
        <v>1908-1970</v>
      </c>
      <c r="F154" s="3" t="s">
        <v>28931</v>
      </c>
      <c r="G154" t="s">
        <v>5586</v>
      </c>
      <c r="H154" t="s">
        <v>5417</v>
      </c>
      <c r="I154" t="s">
        <v>28931</v>
      </c>
      <c r="J154" t="s">
        <v>5587</v>
      </c>
      <c r="K154" t="s">
        <v>5157</v>
      </c>
      <c r="L154" s="7" t="s">
        <v>5588</v>
      </c>
      <c r="M154">
        <v>742</v>
      </c>
      <c r="N154">
        <v>5</v>
      </c>
      <c r="O154">
        <v>4</v>
      </c>
      <c r="P154">
        <v>1</v>
      </c>
      <c r="Q154">
        <v>3</v>
      </c>
      <c r="R154">
        <v>2</v>
      </c>
      <c r="S154">
        <v>1</v>
      </c>
      <c r="T154">
        <v>0</v>
      </c>
      <c r="U154" t="s">
        <v>5589</v>
      </c>
      <c r="V154">
        <f>Tabla1[[#This Row],[Aboard]]-Tabla1[[#This Row],[Fatalities]]</f>
        <v>2</v>
      </c>
      <c r="W154" s="50">
        <f>IFERROR(Tabla1[[#This Row],[Fatalities]]/Tabla1[[#This Row],[Aboard]],0)</f>
        <v>0.6</v>
      </c>
      <c r="X154" s="51" t="str" cm="1">
        <f t="array" ref="X154">_xlfn.IFS(Tabla1[[#This Row],[Porcentaje de muertes]]&lt;0.35,"LEVE",AND(Tabla1[[#This Row],[Porcentaje de muertes]]&gt;0.35,Tabla1[[#This Row],[Porcentaje de muertes]]&lt;0.65),"MEDIO",Tabla1[[#This Row],[Porcentaje de muertes]]&gt;0.65,"GRAVE")</f>
        <v>MEDIO</v>
      </c>
      <c r="AB154" t="s">
        <v>18919</v>
      </c>
      <c r="AC154" t="s">
        <v>28653</v>
      </c>
      <c r="AD154">
        <v>168000</v>
      </c>
      <c r="AE154">
        <v>197700</v>
      </c>
      <c r="AF154">
        <v>201100</v>
      </c>
      <c r="AG154">
        <v>217800</v>
      </c>
      <c r="AH154">
        <v>230700</v>
      </c>
      <c r="AI154">
        <v>203100</v>
      </c>
      <c r="AJ154">
        <v>262000</v>
      </c>
      <c r="AK154">
        <v>292200</v>
      </c>
      <c r="AL154">
        <v>335800</v>
      </c>
      <c r="AM154">
        <v>407500</v>
      </c>
      <c r="AN154">
        <v>447700</v>
      </c>
      <c r="AO154">
        <v>444900</v>
      </c>
      <c r="AP154">
        <v>410200</v>
      </c>
      <c r="AQ154">
        <v>347300</v>
      </c>
      <c r="AR154">
        <v>360000</v>
      </c>
      <c r="AS154">
        <v>350800</v>
      </c>
      <c r="AT154">
        <v>355900</v>
      </c>
      <c r="AU154">
        <v>410600</v>
      </c>
      <c r="AV154">
        <v>387000</v>
      </c>
      <c r="AW154">
        <v>342400</v>
      </c>
      <c r="AX154">
        <v>424200</v>
      </c>
      <c r="AY154">
        <v>314300</v>
      </c>
      <c r="AZ154">
        <v>343900</v>
      </c>
      <c r="BA154">
        <v>418500</v>
      </c>
      <c r="BB154">
        <v>450700</v>
      </c>
      <c r="BC154">
        <v>497200</v>
      </c>
      <c r="BD154">
        <v>542100</v>
      </c>
      <c r="BE154">
        <v>574900</v>
      </c>
      <c r="BF154">
        <v>600500</v>
      </c>
      <c r="BG154">
        <v>639800</v>
      </c>
      <c r="BH154">
        <v>629409</v>
      </c>
      <c r="BI154">
        <v>657953</v>
      </c>
      <c r="BJ154">
        <v>266033</v>
      </c>
      <c r="BK154">
        <v>451729</v>
      </c>
      <c r="BL154">
        <v>513508</v>
      </c>
      <c r="BM154">
        <v>574904</v>
      </c>
      <c r="BN154">
        <v>572991</v>
      </c>
      <c r="BO154">
        <v>616433</v>
      </c>
      <c r="BP154">
        <v>558981</v>
      </c>
      <c r="BQ154">
        <v>499526</v>
      </c>
      <c r="BR154">
        <v>524296</v>
      </c>
      <c r="BS154">
        <v>544100.72730000003</v>
      </c>
      <c r="BT154">
        <v>588169</v>
      </c>
      <c r="BU154">
        <v>539208</v>
      </c>
      <c r="BV154">
        <v>520421</v>
      </c>
      <c r="BW154">
        <v>458572</v>
      </c>
      <c r="BX154">
        <v>441861</v>
      </c>
      <c r="BY154">
        <v>486425</v>
      </c>
      <c r="BZ154">
        <v>541290</v>
      </c>
      <c r="CA154">
        <v>544458</v>
      </c>
    </row>
    <row r="155" spans="2:79" x14ac:dyDescent="0.3">
      <c r="B155" s="9">
        <v>153</v>
      </c>
      <c r="C155" s="49">
        <v>10393</v>
      </c>
      <c r="D155" s="9">
        <f>YEAR(Tabla1[[#This Row],[Date]])</f>
        <v>1928</v>
      </c>
      <c r="E155" s="9" t="str" cm="1">
        <f t="array" ref="E155">IFERROR(_xlfn.IFS(AND(D155&lt;1980,D155&gt;=1970),"70",AND(D155&lt;1990,D155&gt;=1980),"80",AND(D155&lt;2000,D155&gt;=1990),"90",AND(D155&lt;2010,D155&gt;=2000),"00",AND(D155&lt;=2019,D155&gt;=2010),"10"),"1908-1970")</f>
        <v>1908-1970</v>
      </c>
      <c r="F155" s="3" t="s">
        <v>28931</v>
      </c>
      <c r="G155" t="s">
        <v>5590</v>
      </c>
      <c r="H155" t="s">
        <v>5417</v>
      </c>
      <c r="I155" t="s">
        <v>28931</v>
      </c>
      <c r="J155" t="s">
        <v>28931</v>
      </c>
      <c r="K155" t="s">
        <v>5591</v>
      </c>
      <c r="L155" s="7" t="s">
        <v>5592</v>
      </c>
      <c r="M155">
        <v>439</v>
      </c>
      <c r="N155">
        <v>5</v>
      </c>
      <c r="O155">
        <v>4</v>
      </c>
      <c r="P155">
        <v>1</v>
      </c>
      <c r="Q155">
        <v>5</v>
      </c>
      <c r="R155">
        <v>4</v>
      </c>
      <c r="S155">
        <v>1</v>
      </c>
      <c r="T155">
        <v>0</v>
      </c>
      <c r="U155" t="s">
        <v>5593</v>
      </c>
      <c r="V155">
        <f>Tabla1[[#This Row],[Aboard]]-Tabla1[[#This Row],[Fatalities]]</f>
        <v>0</v>
      </c>
      <c r="W155" s="50">
        <f>IFERROR(Tabla1[[#This Row],[Fatalities]]/Tabla1[[#This Row],[Aboard]],0)</f>
        <v>1</v>
      </c>
      <c r="X155" s="51" t="str" cm="1">
        <f t="array" ref="X155">_xlfn.IFS(Tabla1[[#This Row],[Porcentaje de muertes]]&lt;0.35,"LEVE",AND(Tabla1[[#This Row],[Porcentaje de muertes]]&gt;0.35,Tabla1[[#This Row],[Porcentaje de muertes]]&lt;0.65),"MEDIO",Tabla1[[#This Row],[Porcentaje de muertes]]&gt;0.65,"GRAVE")</f>
        <v>GRAVE</v>
      </c>
      <c r="AB155" t="s">
        <v>28654</v>
      </c>
      <c r="AC155" t="s">
        <v>28655</v>
      </c>
      <c r="AD155" t="s">
        <v>28966</v>
      </c>
      <c r="AE155" t="s">
        <v>28966</v>
      </c>
      <c r="AF155" t="s">
        <v>28966</v>
      </c>
      <c r="AG155" t="s">
        <v>28966</v>
      </c>
      <c r="AH155" t="s">
        <v>28966</v>
      </c>
      <c r="AI155">
        <v>7000</v>
      </c>
      <c r="AJ155">
        <v>10000</v>
      </c>
      <c r="AK155">
        <v>13000</v>
      </c>
      <c r="AL155">
        <v>20000</v>
      </c>
      <c r="AM155">
        <v>25000</v>
      </c>
      <c r="AN155">
        <v>27000</v>
      </c>
      <c r="AO155">
        <v>33800</v>
      </c>
      <c r="AP155">
        <v>34000</v>
      </c>
      <c r="AQ155">
        <v>38000</v>
      </c>
      <c r="AR155">
        <v>40000</v>
      </c>
      <c r="AS155">
        <v>60000</v>
      </c>
      <c r="AT155">
        <v>65000</v>
      </c>
      <c r="AU155">
        <v>8400</v>
      </c>
      <c r="AV155">
        <v>8400</v>
      </c>
      <c r="AW155">
        <v>8400</v>
      </c>
      <c r="AX155">
        <v>9400</v>
      </c>
      <c r="AY155">
        <v>9400</v>
      </c>
      <c r="AZ155">
        <v>9400</v>
      </c>
      <c r="BA155">
        <v>9400</v>
      </c>
      <c r="BB155">
        <v>38500</v>
      </c>
      <c r="BC155">
        <v>158600</v>
      </c>
      <c r="BD155">
        <v>206900</v>
      </c>
      <c r="BE155">
        <v>188900</v>
      </c>
      <c r="BF155">
        <v>247200</v>
      </c>
      <c r="BG155">
        <v>261100</v>
      </c>
      <c r="BH155">
        <v>315108</v>
      </c>
      <c r="BI155">
        <v>56216</v>
      </c>
      <c r="BJ155">
        <v>57902</v>
      </c>
      <c r="BK155">
        <v>60218</v>
      </c>
      <c r="BL155">
        <v>75875</v>
      </c>
      <c r="BM155">
        <v>81945</v>
      </c>
      <c r="BN155">
        <v>93417</v>
      </c>
      <c r="BO155">
        <v>92483</v>
      </c>
      <c r="BP155">
        <v>91096</v>
      </c>
      <c r="BQ155">
        <v>85448</v>
      </c>
      <c r="BR155" t="s">
        <v>28966</v>
      </c>
      <c r="BS155" t="s">
        <v>28966</v>
      </c>
      <c r="BT155" t="s">
        <v>28966</v>
      </c>
      <c r="BU155" t="s">
        <v>28966</v>
      </c>
      <c r="BV155">
        <v>1024693.845</v>
      </c>
      <c r="BW155">
        <v>1313533</v>
      </c>
      <c r="BX155">
        <v>1409704</v>
      </c>
      <c r="BY155">
        <v>1485752</v>
      </c>
      <c r="BZ155">
        <v>1191383.0830000001</v>
      </c>
      <c r="CA155">
        <v>1221786.675</v>
      </c>
    </row>
    <row r="156" spans="2:79" x14ac:dyDescent="0.3">
      <c r="B156" s="9">
        <v>154</v>
      </c>
      <c r="C156" s="49">
        <v>10401</v>
      </c>
      <c r="D156" s="9">
        <f>YEAR(Tabla1[[#This Row],[Date]])</f>
        <v>1928</v>
      </c>
      <c r="E156" s="9" t="str" cm="1">
        <f t="array" ref="E156">IFERROR(_xlfn.IFS(AND(D156&lt;1980,D156&gt;=1970),"70",AND(D156&lt;1990,D156&gt;=1980),"80",AND(D156&lt;2000,D156&gt;=1990),"90",AND(D156&lt;2010,D156&gt;=2000),"00",AND(D156&lt;=2019,D156&gt;=2010),"10"),"1908-1970")</f>
        <v>1908-1970</v>
      </c>
      <c r="F156" s="3" t="s">
        <v>28931</v>
      </c>
      <c r="G156" t="s">
        <v>5594</v>
      </c>
      <c r="H156" t="s">
        <v>5524</v>
      </c>
      <c r="I156" t="s">
        <v>28931</v>
      </c>
      <c r="J156" t="s">
        <v>5595</v>
      </c>
      <c r="K156" t="s">
        <v>5472</v>
      </c>
      <c r="L156" s="7" t="s">
        <v>5596</v>
      </c>
      <c r="M156">
        <v>628</v>
      </c>
      <c r="N156">
        <v>1</v>
      </c>
      <c r="O156">
        <v>0</v>
      </c>
      <c r="P156">
        <v>1</v>
      </c>
      <c r="Q156">
        <v>1</v>
      </c>
      <c r="R156">
        <v>0</v>
      </c>
      <c r="S156">
        <v>1</v>
      </c>
      <c r="T156">
        <v>0</v>
      </c>
      <c r="U156" t="s">
        <v>5597</v>
      </c>
      <c r="V156">
        <f>Tabla1[[#This Row],[Aboard]]-Tabla1[[#This Row],[Fatalities]]</f>
        <v>0</v>
      </c>
      <c r="W156" s="50">
        <f>IFERROR(Tabla1[[#This Row],[Fatalities]]/Tabla1[[#This Row],[Aboard]],0)</f>
        <v>1</v>
      </c>
      <c r="X156" s="51" t="str" cm="1">
        <f t="array" ref="X156">_xlfn.IFS(Tabla1[[#This Row],[Porcentaje de muertes]]&lt;0.35,"LEVE",AND(Tabla1[[#This Row],[Porcentaje de muertes]]&gt;0.35,Tabla1[[#This Row],[Porcentaje de muertes]]&lt;0.65),"MEDIO",Tabla1[[#This Row],[Porcentaje de muertes]]&gt;0.65,"GRAVE")</f>
        <v>GRAVE</v>
      </c>
      <c r="AB156" t="s">
        <v>28656</v>
      </c>
      <c r="AC156" t="s">
        <v>28657</v>
      </c>
      <c r="AD156">
        <v>5302800</v>
      </c>
      <c r="AE156">
        <v>6428900</v>
      </c>
      <c r="AF156">
        <v>7528900</v>
      </c>
      <c r="AG156">
        <v>8687900</v>
      </c>
      <c r="AH156">
        <v>10597800</v>
      </c>
      <c r="AI156">
        <v>13016800</v>
      </c>
      <c r="AJ156">
        <v>16872300</v>
      </c>
      <c r="AK156">
        <v>20259300</v>
      </c>
      <c r="AL156">
        <v>23545300</v>
      </c>
      <c r="AM156">
        <v>25387900</v>
      </c>
      <c r="AN156">
        <v>27858700</v>
      </c>
      <c r="AO156">
        <v>28680800</v>
      </c>
      <c r="AP156">
        <v>30856600</v>
      </c>
      <c r="AQ156">
        <v>33496000</v>
      </c>
      <c r="AR156">
        <v>35296900</v>
      </c>
      <c r="AS156">
        <v>34822500</v>
      </c>
      <c r="AT156">
        <v>34087200</v>
      </c>
      <c r="AU156">
        <v>35611400</v>
      </c>
      <c r="AV156">
        <v>36641600</v>
      </c>
      <c r="AW156">
        <v>38333400</v>
      </c>
      <c r="AX156">
        <v>38928000</v>
      </c>
      <c r="AY156">
        <v>36420700</v>
      </c>
      <c r="AZ156">
        <v>41137700</v>
      </c>
      <c r="BA156">
        <v>42087100</v>
      </c>
      <c r="BB156">
        <v>45080700</v>
      </c>
      <c r="BC156">
        <v>45976000</v>
      </c>
      <c r="BD156">
        <v>49613000</v>
      </c>
      <c r="BE156">
        <v>53725800</v>
      </c>
      <c r="BF156">
        <v>53713700</v>
      </c>
      <c r="BG156">
        <v>56424000</v>
      </c>
      <c r="BH156">
        <v>59654534</v>
      </c>
      <c r="BI156">
        <v>67991058</v>
      </c>
      <c r="BJ156">
        <v>64355768</v>
      </c>
      <c r="BK156">
        <v>73216604</v>
      </c>
      <c r="BL156">
        <v>78560904</v>
      </c>
      <c r="BM156">
        <v>61431744</v>
      </c>
      <c r="BN156">
        <v>66638675</v>
      </c>
      <c r="BO156">
        <v>71222974</v>
      </c>
      <c r="BP156">
        <v>71070884</v>
      </c>
      <c r="BQ156">
        <v>114274202</v>
      </c>
      <c r="BR156">
        <v>151073013.59999999</v>
      </c>
      <c r="BS156">
        <v>160271708.80000001</v>
      </c>
      <c r="BT156">
        <v>175337423.59999999</v>
      </c>
      <c r="BU156">
        <v>188897689.09999999</v>
      </c>
      <c r="BV156">
        <v>204902736.90000001</v>
      </c>
      <c r="BW156">
        <v>217000211</v>
      </c>
      <c r="BX156">
        <v>239193056</v>
      </c>
      <c r="BY156">
        <v>257942310.80000001</v>
      </c>
      <c r="BZ156">
        <v>264706357.90000001</v>
      </c>
      <c r="CA156">
        <v>264891892.90000001</v>
      </c>
    </row>
    <row r="157" spans="2:79" x14ac:dyDescent="0.3">
      <c r="B157" s="9">
        <v>155</v>
      </c>
      <c r="C157" s="49">
        <v>10508</v>
      </c>
      <c r="D157" s="9">
        <f>YEAR(Tabla1[[#This Row],[Date]])</f>
        <v>1928</v>
      </c>
      <c r="E157" s="9" t="str" cm="1">
        <f t="array" ref="E157">IFERROR(_xlfn.IFS(AND(D157&lt;1980,D157&gt;=1970),"70",AND(D157&lt;1990,D157&gt;=1980),"80",AND(D157&lt;2000,D157&gt;=1990),"90",AND(D157&lt;2010,D157&gt;=2000),"00",AND(D157&lt;=2019,D157&gt;=2010),"10"),"1908-1970")</f>
        <v>1908-1970</v>
      </c>
      <c r="F157" s="3" t="s">
        <v>28931</v>
      </c>
      <c r="G157" t="s">
        <v>5518</v>
      </c>
      <c r="H157" t="s">
        <v>5519</v>
      </c>
      <c r="I157" t="s">
        <v>28931</v>
      </c>
      <c r="J157" t="s">
        <v>5520</v>
      </c>
      <c r="K157" t="s">
        <v>5157</v>
      </c>
      <c r="L157" s="7" t="s">
        <v>5598</v>
      </c>
      <c r="M157">
        <v>760</v>
      </c>
      <c r="N157">
        <v>6</v>
      </c>
      <c r="O157">
        <v>4</v>
      </c>
      <c r="P157">
        <v>2</v>
      </c>
      <c r="Q157">
        <v>6</v>
      </c>
      <c r="R157">
        <v>4</v>
      </c>
      <c r="S157">
        <v>2</v>
      </c>
      <c r="T157">
        <v>0</v>
      </c>
      <c r="U157" t="s">
        <v>5599</v>
      </c>
      <c r="V157">
        <f>Tabla1[[#This Row],[Aboard]]-Tabla1[[#This Row],[Fatalities]]</f>
        <v>0</v>
      </c>
      <c r="W157" s="50">
        <f>IFERROR(Tabla1[[#This Row],[Fatalities]]/Tabla1[[#This Row],[Aboard]],0)</f>
        <v>1</v>
      </c>
      <c r="X157" s="51" t="str" cm="1">
        <f t="array" ref="X157">_xlfn.IFS(Tabla1[[#This Row],[Porcentaje de muertes]]&lt;0.35,"LEVE",AND(Tabla1[[#This Row],[Porcentaje de muertes]]&gt;0.35,Tabla1[[#This Row],[Porcentaje de muertes]]&lt;0.65),"MEDIO",Tabla1[[#This Row],[Porcentaje de muertes]]&gt;0.65,"GRAVE")</f>
        <v>GRAVE</v>
      </c>
      <c r="AB157" t="s">
        <v>28658</v>
      </c>
      <c r="AC157" t="s">
        <v>28659</v>
      </c>
      <c r="AD157">
        <v>2966600</v>
      </c>
      <c r="AE157">
        <v>3107300</v>
      </c>
      <c r="AF157">
        <v>3962000</v>
      </c>
      <c r="AG157">
        <v>4589600</v>
      </c>
      <c r="AH157">
        <v>5501500</v>
      </c>
      <c r="AI157">
        <v>6522900</v>
      </c>
      <c r="AJ157">
        <v>7675700</v>
      </c>
      <c r="AK157">
        <v>8238200</v>
      </c>
      <c r="AL157">
        <v>9387700</v>
      </c>
      <c r="AM157">
        <v>11381500</v>
      </c>
      <c r="AN157">
        <v>12889800</v>
      </c>
      <c r="AO157">
        <v>13853300</v>
      </c>
      <c r="AP157">
        <v>12777300</v>
      </c>
      <c r="AQ157">
        <v>13923500</v>
      </c>
      <c r="AR157">
        <v>14440200</v>
      </c>
      <c r="AS157">
        <v>15364400</v>
      </c>
      <c r="AT157">
        <v>13824500</v>
      </c>
      <c r="AU157">
        <v>13504900</v>
      </c>
      <c r="AV157">
        <v>11412300</v>
      </c>
      <c r="AW157">
        <v>12689000</v>
      </c>
      <c r="AX157">
        <v>14341300</v>
      </c>
      <c r="AY157">
        <v>14901000</v>
      </c>
      <c r="AZ157">
        <v>15532200</v>
      </c>
      <c r="BA157">
        <v>16484800</v>
      </c>
      <c r="BB157">
        <v>18791400</v>
      </c>
      <c r="BC157">
        <v>14968800</v>
      </c>
      <c r="BD157">
        <v>14677700</v>
      </c>
      <c r="BE157">
        <v>17266500</v>
      </c>
      <c r="BF157">
        <v>17717400</v>
      </c>
      <c r="BG157">
        <v>20561100</v>
      </c>
      <c r="BH157">
        <v>20894205</v>
      </c>
      <c r="BI157">
        <v>20172824</v>
      </c>
      <c r="BJ157">
        <v>19618662</v>
      </c>
      <c r="BK157">
        <v>20661206</v>
      </c>
      <c r="BL157">
        <v>21167881</v>
      </c>
      <c r="BM157">
        <v>21857658</v>
      </c>
      <c r="BN157">
        <v>21243010</v>
      </c>
      <c r="BO157">
        <v>20952513</v>
      </c>
      <c r="BP157">
        <v>18825976</v>
      </c>
      <c r="BQ157">
        <v>15728171</v>
      </c>
      <c r="BR157">
        <v>31269061</v>
      </c>
      <c r="BS157">
        <v>29538937</v>
      </c>
      <c r="BT157">
        <v>32909408.719999999</v>
      </c>
      <c r="BU157">
        <v>35986501.82</v>
      </c>
      <c r="BV157">
        <v>39570522</v>
      </c>
      <c r="BW157">
        <v>46966763</v>
      </c>
      <c r="BX157">
        <v>53313307</v>
      </c>
      <c r="BY157">
        <v>58537832</v>
      </c>
      <c r="BZ157">
        <v>64569640</v>
      </c>
      <c r="CA157">
        <v>69937838</v>
      </c>
    </row>
    <row r="158" spans="2:79" x14ac:dyDescent="0.3">
      <c r="B158" s="9">
        <v>156</v>
      </c>
      <c r="C158" s="49">
        <v>10422</v>
      </c>
      <c r="D158" s="9">
        <f>YEAR(Tabla1[[#This Row],[Date]])</f>
        <v>1928</v>
      </c>
      <c r="E158" s="9" t="str" cm="1">
        <f t="array" ref="E158">IFERROR(_xlfn.IFS(AND(D158&lt;1980,D158&gt;=1970),"70",AND(D158&lt;1990,D158&gt;=1980),"80",AND(D158&lt;2000,D158&gt;=1990),"90",AND(D158&lt;2010,D158&gt;=2000),"00",AND(D158&lt;=2019,D158&gt;=2010),"10"),"1908-1970")</f>
        <v>1908-1970</v>
      </c>
      <c r="F158" s="3" t="s">
        <v>28931</v>
      </c>
      <c r="G158" t="s">
        <v>5349</v>
      </c>
      <c r="H158" t="s">
        <v>5350</v>
      </c>
      <c r="I158" t="s">
        <v>28931</v>
      </c>
      <c r="J158" t="s">
        <v>5600</v>
      </c>
      <c r="K158" t="s">
        <v>5601</v>
      </c>
      <c r="L158" s="7" t="s">
        <v>5602</v>
      </c>
      <c r="M158">
        <v>9</v>
      </c>
      <c r="N158">
        <v>6</v>
      </c>
      <c r="O158">
        <v>5</v>
      </c>
      <c r="P158">
        <v>1</v>
      </c>
      <c r="Q158">
        <v>4</v>
      </c>
      <c r="R158">
        <v>4</v>
      </c>
      <c r="S158">
        <v>0</v>
      </c>
      <c r="T158">
        <v>0</v>
      </c>
      <c r="U158" t="s">
        <v>5603</v>
      </c>
      <c r="V158">
        <f>Tabla1[[#This Row],[Aboard]]-Tabla1[[#This Row],[Fatalities]]</f>
        <v>2</v>
      </c>
      <c r="W158" s="50">
        <f>IFERROR(Tabla1[[#This Row],[Fatalities]]/Tabla1[[#This Row],[Aboard]],0)</f>
        <v>0.66666666666666663</v>
      </c>
      <c r="X158" s="51" t="str" cm="1">
        <f t="array" ref="X158">_xlfn.IFS(Tabla1[[#This Row],[Porcentaje de muertes]]&lt;0.35,"LEVE",AND(Tabla1[[#This Row],[Porcentaje de muertes]]&gt;0.35,Tabla1[[#This Row],[Porcentaje de muertes]]&lt;0.65),"MEDIO",Tabla1[[#This Row],[Porcentaje de muertes]]&gt;0.65,"GRAVE")</f>
        <v>GRAVE</v>
      </c>
      <c r="AB158" t="s">
        <v>28660</v>
      </c>
      <c r="AC158" t="s">
        <v>28661</v>
      </c>
      <c r="AD158" t="s">
        <v>28966</v>
      </c>
      <c r="AE158" t="s">
        <v>28966</v>
      </c>
      <c r="AF158" t="s">
        <v>28966</v>
      </c>
      <c r="AG158" t="s">
        <v>28966</v>
      </c>
      <c r="AH158" t="s">
        <v>28966</v>
      </c>
      <c r="AI158" t="s">
        <v>28966</v>
      </c>
      <c r="AJ158" t="s">
        <v>28966</v>
      </c>
      <c r="AK158" t="s">
        <v>28966</v>
      </c>
      <c r="AL158" t="s">
        <v>28966</v>
      </c>
      <c r="AM158" t="s">
        <v>28966</v>
      </c>
      <c r="AN158" t="s">
        <v>28966</v>
      </c>
      <c r="AO158" t="s">
        <v>28966</v>
      </c>
      <c r="AP158" t="s">
        <v>28966</v>
      </c>
      <c r="AQ158" t="s">
        <v>28966</v>
      </c>
      <c r="AR158" t="s">
        <v>28966</v>
      </c>
      <c r="AS158" t="s">
        <v>28966</v>
      </c>
      <c r="AT158" t="s">
        <v>28966</v>
      </c>
      <c r="AU158">
        <v>32000</v>
      </c>
      <c r="AV158">
        <v>33800</v>
      </c>
      <c r="AW158">
        <v>36300</v>
      </c>
      <c r="AX158">
        <v>66400</v>
      </c>
      <c r="AY158">
        <v>66300</v>
      </c>
      <c r="AZ158">
        <v>96000</v>
      </c>
      <c r="BA158">
        <v>43500</v>
      </c>
      <c r="BB158">
        <v>41900</v>
      </c>
      <c r="BC158">
        <v>45800</v>
      </c>
      <c r="BD158">
        <v>41300</v>
      </c>
      <c r="BE158">
        <v>33100</v>
      </c>
      <c r="BF158">
        <v>32000</v>
      </c>
      <c r="BG158">
        <v>33100</v>
      </c>
      <c r="BH158">
        <v>16109</v>
      </c>
      <c r="BI158">
        <v>18805</v>
      </c>
      <c r="BJ158">
        <v>24592</v>
      </c>
      <c r="BK158">
        <v>27471</v>
      </c>
      <c r="BL158">
        <v>28970</v>
      </c>
      <c r="BM158">
        <v>25789</v>
      </c>
      <c r="BN158">
        <v>30232</v>
      </c>
      <c r="BO158">
        <v>29980</v>
      </c>
      <c r="BP158">
        <v>29530</v>
      </c>
      <c r="BQ158">
        <v>27692</v>
      </c>
      <c r="BR158" t="s">
        <v>28966</v>
      </c>
      <c r="BS158" t="s">
        <v>28966</v>
      </c>
      <c r="BT158" t="s">
        <v>28966</v>
      </c>
      <c r="BU158" t="s">
        <v>28966</v>
      </c>
      <c r="BV158" t="s">
        <v>28966</v>
      </c>
      <c r="BW158" t="s">
        <v>28966</v>
      </c>
      <c r="BX158" t="s">
        <v>28966</v>
      </c>
      <c r="BY158">
        <v>22435</v>
      </c>
      <c r="BZ158">
        <v>24313</v>
      </c>
      <c r="CA158">
        <v>21500</v>
      </c>
    </row>
    <row r="159" spans="2:79" x14ac:dyDescent="0.3">
      <c r="B159" s="9">
        <v>157</v>
      </c>
      <c r="C159" s="49">
        <v>10433</v>
      </c>
      <c r="D159" s="9">
        <f>YEAR(Tabla1[[#This Row],[Date]])</f>
        <v>1928</v>
      </c>
      <c r="E159" s="9" t="str" cm="1">
        <f t="array" ref="E159">IFERROR(_xlfn.IFS(AND(D159&lt;1980,D159&gt;=1970),"70",AND(D159&lt;1990,D159&gt;=1980),"80",AND(D159&lt;2000,D159&gt;=1990),"90",AND(D159&lt;2010,D159&gt;=2000),"00",AND(D159&lt;=2019,D159&gt;=2010),"10"),"1908-1970")</f>
        <v>1908-1970</v>
      </c>
      <c r="F159" s="3">
        <v>0.6166666666666667</v>
      </c>
      <c r="G159" t="s">
        <v>5604</v>
      </c>
      <c r="H159" t="s">
        <v>5332</v>
      </c>
      <c r="I159" t="s">
        <v>28931</v>
      </c>
      <c r="J159" t="s">
        <v>5605</v>
      </c>
      <c r="K159" t="s">
        <v>5606</v>
      </c>
      <c r="L159" s="7" t="s">
        <v>5607</v>
      </c>
      <c r="M159" t="s">
        <v>5608</v>
      </c>
      <c r="N159">
        <v>6</v>
      </c>
      <c r="O159">
        <v>5</v>
      </c>
      <c r="P159">
        <v>1</v>
      </c>
      <c r="Q159">
        <v>1</v>
      </c>
      <c r="R159">
        <v>1</v>
      </c>
      <c r="S159">
        <v>0</v>
      </c>
      <c r="T159">
        <v>0</v>
      </c>
      <c r="U159" t="s">
        <v>5609</v>
      </c>
      <c r="V159">
        <f>Tabla1[[#This Row],[Aboard]]-Tabla1[[#This Row],[Fatalities]]</f>
        <v>5</v>
      </c>
      <c r="W159" s="50">
        <f>IFERROR(Tabla1[[#This Row],[Fatalities]]/Tabla1[[#This Row],[Aboard]],0)</f>
        <v>0.16666666666666666</v>
      </c>
      <c r="X159" s="51" t="str" cm="1">
        <f t="array" ref="X159">_xlfn.IFS(Tabla1[[#This Row],[Porcentaje de muertes]]&lt;0.35,"LEVE",AND(Tabla1[[#This Row],[Porcentaje de muertes]]&gt;0.35,Tabla1[[#This Row],[Porcentaje de muertes]]&lt;0.65),"MEDIO",Tabla1[[#This Row],[Porcentaje de muertes]]&gt;0.65,"GRAVE")</f>
        <v>LEVE</v>
      </c>
      <c r="AB159" t="s">
        <v>28662</v>
      </c>
      <c r="AC159" t="s">
        <v>28663</v>
      </c>
      <c r="AD159" t="s">
        <v>28966</v>
      </c>
      <c r="AE159" t="s">
        <v>28966</v>
      </c>
      <c r="AF159" t="s">
        <v>28966</v>
      </c>
      <c r="AG159" t="s">
        <v>28966</v>
      </c>
      <c r="AH159">
        <v>53861000</v>
      </c>
      <c r="AI159">
        <v>61581100</v>
      </c>
      <c r="AJ159">
        <v>70013600</v>
      </c>
      <c r="AK159">
        <v>76482100</v>
      </c>
      <c r="AL159">
        <v>85094200</v>
      </c>
      <c r="AM159">
        <v>95173800</v>
      </c>
      <c r="AN159">
        <v>101474700</v>
      </c>
      <c r="AO159">
        <v>107248100</v>
      </c>
      <c r="AP159">
        <v>111346700</v>
      </c>
      <c r="AQ159">
        <v>115680900</v>
      </c>
      <c r="AR159">
        <v>123006300</v>
      </c>
      <c r="AS159">
        <v>128970700</v>
      </c>
      <c r="AT159">
        <v>136624900</v>
      </c>
      <c r="AU159">
        <v>145320000</v>
      </c>
      <c r="AV159">
        <v>153621800</v>
      </c>
      <c r="AW159">
        <v>153758700</v>
      </c>
      <c r="AX159">
        <v>163035600</v>
      </c>
      <c r="AY159">
        <v>291208200</v>
      </c>
      <c r="AZ159">
        <v>255049800</v>
      </c>
      <c r="BA159">
        <v>231753100</v>
      </c>
      <c r="BB159">
        <v>247314700</v>
      </c>
      <c r="BC159">
        <v>265502200</v>
      </c>
      <c r="BD159">
        <v>273286200</v>
      </c>
      <c r="BE159">
        <v>282897300</v>
      </c>
      <c r="BF159">
        <v>280138700</v>
      </c>
      <c r="BG159">
        <v>284161100</v>
      </c>
      <c r="BH159">
        <v>303568709</v>
      </c>
      <c r="BI159">
        <v>327363697</v>
      </c>
      <c r="BJ159">
        <v>332200014</v>
      </c>
      <c r="BK159">
        <v>345724905</v>
      </c>
      <c r="BL159">
        <v>421849936</v>
      </c>
      <c r="BM159">
        <v>458543191</v>
      </c>
      <c r="BN159">
        <v>508659021</v>
      </c>
      <c r="BO159">
        <v>572214366</v>
      </c>
      <c r="BP159">
        <v>601803110</v>
      </c>
      <c r="BQ159">
        <v>655205066</v>
      </c>
      <c r="BR159">
        <v>856682474.10000002</v>
      </c>
      <c r="BS159">
        <v>955830062.29999995</v>
      </c>
      <c r="BT159">
        <v>1036475761</v>
      </c>
      <c r="BU159">
        <v>1129783183</v>
      </c>
      <c r="BV159">
        <v>1229834690</v>
      </c>
      <c r="BW159">
        <v>1352417309</v>
      </c>
      <c r="BX159">
        <v>1471188601</v>
      </c>
      <c r="BY159">
        <v>1630800790</v>
      </c>
      <c r="BZ159">
        <v>1786255949</v>
      </c>
      <c r="CA159">
        <v>1851776997</v>
      </c>
    </row>
    <row r="160" spans="2:79" x14ac:dyDescent="0.3">
      <c r="B160" s="9">
        <v>158</v>
      </c>
      <c r="C160" s="49">
        <v>10465</v>
      </c>
      <c r="D160" s="9">
        <f>YEAR(Tabla1[[#This Row],[Date]])</f>
        <v>1928</v>
      </c>
      <c r="E160" s="9" t="str" cm="1">
        <f t="array" ref="E160">IFERROR(_xlfn.IFS(AND(D160&lt;1980,D160&gt;=1970),"70",AND(D160&lt;1990,D160&gt;=1980),"80",AND(D160&lt;2000,D160&gt;=1990),"90",AND(D160&lt;2010,D160&gt;=2000),"00",AND(D160&lt;=2019,D160&gt;=2010),"10"),"1908-1970")</f>
        <v>1908-1970</v>
      </c>
      <c r="F160" s="3">
        <v>0.45833333333333331</v>
      </c>
      <c r="G160" t="s">
        <v>5610</v>
      </c>
      <c r="H160" t="s">
        <v>5611</v>
      </c>
      <c r="I160" t="s">
        <v>28931</v>
      </c>
      <c r="J160" t="s">
        <v>5612</v>
      </c>
      <c r="K160" t="s">
        <v>5613</v>
      </c>
      <c r="L160" s="7" t="s">
        <v>5614</v>
      </c>
      <c r="M160" t="s">
        <v>5615</v>
      </c>
      <c r="N160">
        <v>7</v>
      </c>
      <c r="O160">
        <v>5</v>
      </c>
      <c r="P160">
        <v>2</v>
      </c>
      <c r="Q160">
        <v>7</v>
      </c>
      <c r="R160">
        <v>5</v>
      </c>
      <c r="S160">
        <v>2</v>
      </c>
      <c r="T160">
        <v>0</v>
      </c>
      <c r="U160" t="s">
        <v>5616</v>
      </c>
      <c r="V160">
        <f>Tabla1[[#This Row],[Aboard]]-Tabla1[[#This Row],[Fatalities]]</f>
        <v>0</v>
      </c>
      <c r="W160" s="50">
        <f>IFERROR(Tabla1[[#This Row],[Fatalities]]/Tabla1[[#This Row],[Aboard]],0)</f>
        <v>1</v>
      </c>
      <c r="X160" s="51" t="str" cm="1">
        <f t="array" ref="X160">_xlfn.IFS(Tabla1[[#This Row],[Porcentaje de muertes]]&lt;0.35,"LEVE",AND(Tabla1[[#This Row],[Porcentaje de muertes]]&gt;0.35,Tabla1[[#This Row],[Porcentaje de muertes]]&lt;0.65),"MEDIO",Tabla1[[#This Row],[Porcentaje de muertes]]&gt;0.65,"GRAVE")</f>
        <v>GRAVE</v>
      </c>
      <c r="AB160" t="s">
        <v>28664</v>
      </c>
      <c r="AC160" t="s">
        <v>28665</v>
      </c>
      <c r="AD160" t="s">
        <v>28966</v>
      </c>
      <c r="AE160" t="s">
        <v>28966</v>
      </c>
      <c r="AF160" t="s">
        <v>28966</v>
      </c>
      <c r="AG160" t="s">
        <v>28966</v>
      </c>
      <c r="AH160" t="s">
        <v>28966</v>
      </c>
      <c r="AI160" t="s">
        <v>28966</v>
      </c>
      <c r="AJ160" t="s">
        <v>28966</v>
      </c>
      <c r="AK160" t="s">
        <v>28966</v>
      </c>
      <c r="AL160" t="s">
        <v>28966</v>
      </c>
      <c r="AM160" t="s">
        <v>28966</v>
      </c>
      <c r="AN160" t="s">
        <v>28966</v>
      </c>
      <c r="AO160" t="s">
        <v>28966</v>
      </c>
      <c r="AP160" t="s">
        <v>28966</v>
      </c>
      <c r="AQ160" t="s">
        <v>28966</v>
      </c>
      <c r="AR160" t="s">
        <v>28966</v>
      </c>
      <c r="AS160" t="s">
        <v>28966</v>
      </c>
      <c r="AT160" t="s">
        <v>28966</v>
      </c>
      <c r="AU160" t="s">
        <v>28966</v>
      </c>
      <c r="AV160" t="s">
        <v>28966</v>
      </c>
      <c r="AW160" t="s">
        <v>28966</v>
      </c>
      <c r="AX160" t="s">
        <v>28966</v>
      </c>
      <c r="AY160" t="s">
        <v>28966</v>
      </c>
      <c r="AZ160" t="s">
        <v>28966</v>
      </c>
      <c r="BA160">
        <v>187500</v>
      </c>
      <c r="BB160">
        <v>203000</v>
      </c>
      <c r="BC160">
        <v>215000</v>
      </c>
      <c r="BD160">
        <v>287300</v>
      </c>
      <c r="BE160">
        <v>228900</v>
      </c>
      <c r="BF160">
        <v>488900</v>
      </c>
      <c r="BG160">
        <v>506100</v>
      </c>
      <c r="BH160">
        <v>599012</v>
      </c>
      <c r="BI160">
        <v>315450</v>
      </c>
      <c r="BJ160">
        <v>165735</v>
      </c>
      <c r="BK160">
        <v>200959</v>
      </c>
      <c r="BL160">
        <v>210875</v>
      </c>
      <c r="BM160">
        <v>191977</v>
      </c>
      <c r="BN160">
        <v>209255</v>
      </c>
      <c r="BO160">
        <v>234366</v>
      </c>
      <c r="BP160">
        <v>196420</v>
      </c>
      <c r="BQ160">
        <v>86868</v>
      </c>
      <c r="BR160" t="s">
        <v>28966</v>
      </c>
      <c r="BS160" t="s">
        <v>28966</v>
      </c>
      <c r="BT160" t="s">
        <v>28966</v>
      </c>
      <c r="BU160" t="s">
        <v>28966</v>
      </c>
      <c r="BV160" t="s">
        <v>28966</v>
      </c>
      <c r="BW160" t="s">
        <v>28966</v>
      </c>
      <c r="BX160" t="s">
        <v>28966</v>
      </c>
      <c r="BY160" t="s">
        <v>28966</v>
      </c>
      <c r="BZ160" t="s">
        <v>28966</v>
      </c>
      <c r="CA160" t="s">
        <v>28966</v>
      </c>
    </row>
    <row r="161" spans="2:79" x14ac:dyDescent="0.3">
      <c r="B161" s="9">
        <v>159</v>
      </c>
      <c r="C161" s="49">
        <v>10267</v>
      </c>
      <c r="D161" s="9">
        <f>YEAR(Tabla1[[#This Row],[Date]])</f>
        <v>1928</v>
      </c>
      <c r="E161" s="9" t="str" cm="1">
        <f t="array" ref="E161">IFERROR(_xlfn.IFS(AND(D161&lt;1980,D161&gt;=1970),"70",AND(D161&lt;1990,D161&gt;=1980),"80",AND(D161&lt;2000,D161&gt;=1990),"90",AND(D161&lt;2010,D161&gt;=2000),"00",AND(D161&lt;=2019,D161&gt;=2010),"10"),"1908-1970")</f>
        <v>1908-1970</v>
      </c>
      <c r="F161" s="3">
        <v>0.79513888888888884</v>
      </c>
      <c r="G161" t="s">
        <v>5384</v>
      </c>
      <c r="H161" t="s">
        <v>5377</v>
      </c>
      <c r="I161" t="s">
        <v>28931</v>
      </c>
      <c r="J161" t="s">
        <v>5617</v>
      </c>
      <c r="K161" t="s">
        <v>5618</v>
      </c>
      <c r="L161" s="7" t="s">
        <v>5619</v>
      </c>
      <c r="M161" s="6">
        <v>842736</v>
      </c>
      <c r="N161">
        <v>5</v>
      </c>
      <c r="O161">
        <v>2</v>
      </c>
      <c r="P161">
        <v>3</v>
      </c>
      <c r="Q161">
        <v>5</v>
      </c>
      <c r="R161">
        <v>2</v>
      </c>
      <c r="S161">
        <v>3</v>
      </c>
      <c r="T161">
        <v>0</v>
      </c>
      <c r="U161" t="s">
        <v>5620</v>
      </c>
      <c r="V161">
        <f>Tabla1[[#This Row],[Aboard]]-Tabla1[[#This Row],[Fatalities]]</f>
        <v>0</v>
      </c>
      <c r="W161" s="50">
        <f>IFERROR(Tabla1[[#This Row],[Fatalities]]/Tabla1[[#This Row],[Aboard]],0)</f>
        <v>1</v>
      </c>
      <c r="X161" s="51" t="str" cm="1">
        <f t="array" ref="X161">_xlfn.IFS(Tabla1[[#This Row],[Porcentaje de muertes]]&lt;0.35,"LEVE",AND(Tabla1[[#This Row],[Porcentaje de muertes]]&gt;0.35,Tabla1[[#This Row],[Porcentaje de muertes]]&lt;0.65),"MEDIO",Tabla1[[#This Row],[Porcentaje de muertes]]&gt;0.65,"GRAVE")</f>
        <v>GRAVE</v>
      </c>
      <c r="AB161" t="s">
        <v>28666</v>
      </c>
      <c r="AC161" t="s">
        <v>28667</v>
      </c>
      <c r="AD161">
        <v>39200</v>
      </c>
      <c r="AE161">
        <v>39000</v>
      </c>
      <c r="AF161">
        <v>44000</v>
      </c>
      <c r="AG161">
        <v>46900</v>
      </c>
      <c r="AH161">
        <v>49800</v>
      </c>
      <c r="AI161">
        <v>50500</v>
      </c>
      <c r="AJ161">
        <v>59400</v>
      </c>
      <c r="AK161">
        <v>61400</v>
      </c>
      <c r="AL161">
        <v>57000</v>
      </c>
      <c r="AM161">
        <v>66000</v>
      </c>
      <c r="AN161">
        <v>71000</v>
      </c>
      <c r="AO161">
        <v>71000</v>
      </c>
      <c r="AP161">
        <v>79000</v>
      </c>
      <c r="AQ161">
        <v>77000</v>
      </c>
      <c r="AR161">
        <v>70000</v>
      </c>
      <c r="AS161">
        <v>61000</v>
      </c>
      <c r="AT161">
        <v>69000</v>
      </c>
      <c r="AU161">
        <v>4000</v>
      </c>
      <c r="AV161" t="s">
        <v>28966</v>
      </c>
      <c r="AW161" t="s">
        <v>28966</v>
      </c>
      <c r="AX161" t="s">
        <v>28966</v>
      </c>
      <c r="AY161" t="s">
        <v>28966</v>
      </c>
      <c r="AZ161">
        <v>66300</v>
      </c>
      <c r="BA161">
        <v>68200</v>
      </c>
      <c r="BB161">
        <v>69200</v>
      </c>
      <c r="BC161">
        <v>74100</v>
      </c>
      <c r="BD161">
        <v>75100</v>
      </c>
      <c r="BE161">
        <v>85500</v>
      </c>
      <c r="BF161">
        <v>90500</v>
      </c>
      <c r="BG161">
        <v>83900</v>
      </c>
      <c r="BH161">
        <v>77273</v>
      </c>
      <c r="BI161">
        <v>46364</v>
      </c>
      <c r="BJ161" t="s">
        <v>28966</v>
      </c>
      <c r="BK161" t="s">
        <v>28966</v>
      </c>
      <c r="BL161" t="s">
        <v>28966</v>
      </c>
      <c r="BM161" t="s">
        <v>28966</v>
      </c>
      <c r="BN161" t="s">
        <v>28966</v>
      </c>
      <c r="BO161" t="s">
        <v>28966</v>
      </c>
      <c r="BP161" t="s">
        <v>28966</v>
      </c>
      <c r="BQ161" t="s">
        <v>28966</v>
      </c>
      <c r="BR161">
        <v>303692</v>
      </c>
      <c r="BS161">
        <v>363857.37589999998</v>
      </c>
      <c r="BT161">
        <v>181742.61420000001</v>
      </c>
      <c r="BU161">
        <v>33444</v>
      </c>
      <c r="BV161">
        <v>0</v>
      </c>
      <c r="BW161" t="s">
        <v>28966</v>
      </c>
      <c r="BX161" t="s">
        <v>28966</v>
      </c>
      <c r="BY161" t="s">
        <v>28966</v>
      </c>
      <c r="BZ161" t="s">
        <v>28966</v>
      </c>
      <c r="CA161" t="s">
        <v>28966</v>
      </c>
    </row>
    <row r="162" spans="2:79" x14ac:dyDescent="0.3">
      <c r="B162" s="9">
        <v>160</v>
      </c>
      <c r="C162" s="49">
        <v>10327</v>
      </c>
      <c r="D162" s="9">
        <f>YEAR(Tabla1[[#This Row],[Date]])</f>
        <v>1928</v>
      </c>
      <c r="E162" s="9" t="str" cm="1">
        <f t="array" ref="E162">IFERROR(_xlfn.IFS(AND(D162&lt;1980,D162&gt;=1970),"70",AND(D162&lt;1990,D162&gt;=1980),"80",AND(D162&lt;2000,D162&gt;=1990),"90",AND(D162&lt;2010,D162&gt;=2000),"00",AND(D162&lt;=2019,D162&gt;=2010),"10"),"1908-1970")</f>
        <v>1908-1970</v>
      </c>
      <c r="F162" s="3" t="s">
        <v>28931</v>
      </c>
      <c r="G162" t="s">
        <v>5621</v>
      </c>
      <c r="H162" t="s">
        <v>5459</v>
      </c>
      <c r="I162" t="s">
        <v>28931</v>
      </c>
      <c r="J162" t="s">
        <v>5622</v>
      </c>
      <c r="K162" t="s">
        <v>5623</v>
      </c>
      <c r="L162" s="7" t="s">
        <v>5624</v>
      </c>
      <c r="M162">
        <v>5</v>
      </c>
      <c r="N162">
        <v>2</v>
      </c>
      <c r="O162">
        <v>0</v>
      </c>
      <c r="P162">
        <v>2</v>
      </c>
      <c r="Q162">
        <v>1</v>
      </c>
      <c r="R162">
        <v>0</v>
      </c>
      <c r="S162">
        <v>1</v>
      </c>
      <c r="T162">
        <v>0</v>
      </c>
      <c r="U162" t="s">
        <v>5625</v>
      </c>
      <c r="V162">
        <f>Tabla1[[#This Row],[Aboard]]-Tabla1[[#This Row],[Fatalities]]</f>
        <v>1</v>
      </c>
      <c r="W162" s="50">
        <f>IFERROR(Tabla1[[#This Row],[Fatalities]]/Tabla1[[#This Row],[Aboard]],0)</f>
        <v>0.5</v>
      </c>
      <c r="X162" s="51" t="str" cm="1">
        <f t="array" ref="X162">_xlfn.IFS(Tabla1[[#This Row],[Porcentaje de muertes]]&lt;0.35,"LEVE",AND(Tabla1[[#This Row],[Porcentaje de muertes]]&gt;0.35,Tabla1[[#This Row],[Porcentaje de muertes]]&lt;0.65),"MEDIO",Tabla1[[#This Row],[Porcentaje de muertes]]&gt;0.65,"GRAVE")</f>
        <v>MEDIO</v>
      </c>
      <c r="AB162" t="s">
        <v>28668</v>
      </c>
      <c r="AC162" t="s">
        <v>28669</v>
      </c>
      <c r="AD162">
        <v>127800</v>
      </c>
      <c r="AE162">
        <v>110800</v>
      </c>
      <c r="AF162">
        <v>102100</v>
      </c>
      <c r="AG162">
        <v>140600</v>
      </c>
      <c r="AH162">
        <v>152500</v>
      </c>
      <c r="AI162">
        <v>205200</v>
      </c>
      <c r="AJ162">
        <v>221100</v>
      </c>
      <c r="AK162">
        <v>255300</v>
      </c>
      <c r="AL162">
        <v>351600</v>
      </c>
      <c r="AM162">
        <v>382000</v>
      </c>
      <c r="AN162">
        <v>401500</v>
      </c>
      <c r="AO162">
        <v>397900</v>
      </c>
      <c r="AP162">
        <v>401700</v>
      </c>
      <c r="AQ162">
        <v>366300</v>
      </c>
      <c r="AR162">
        <v>364100</v>
      </c>
      <c r="AS162">
        <v>384100</v>
      </c>
      <c r="AT162">
        <v>411300</v>
      </c>
      <c r="AU162">
        <v>429400</v>
      </c>
      <c r="AV162">
        <v>480600</v>
      </c>
      <c r="AW162">
        <v>506500</v>
      </c>
      <c r="AX162">
        <v>597800</v>
      </c>
      <c r="AY162">
        <v>648600</v>
      </c>
      <c r="AZ162">
        <v>692500</v>
      </c>
      <c r="BA162">
        <v>797000</v>
      </c>
      <c r="BB162">
        <v>1002500</v>
      </c>
      <c r="BC162">
        <v>1065900</v>
      </c>
      <c r="BD162">
        <v>1037500</v>
      </c>
      <c r="BE162">
        <v>1054300</v>
      </c>
      <c r="BF162">
        <v>1159400</v>
      </c>
      <c r="BG162">
        <v>1421300</v>
      </c>
      <c r="BH162">
        <v>1364904</v>
      </c>
      <c r="BI162">
        <v>1340031</v>
      </c>
      <c r="BJ162">
        <v>1398990</v>
      </c>
      <c r="BK162">
        <v>1309119</v>
      </c>
      <c r="BL162">
        <v>1365223</v>
      </c>
      <c r="BM162">
        <v>1371865</v>
      </c>
      <c r="BN162">
        <v>1495333</v>
      </c>
      <c r="BO162">
        <v>1674773</v>
      </c>
      <c r="BP162">
        <v>1708268</v>
      </c>
      <c r="BQ162">
        <v>1992900</v>
      </c>
      <c r="BR162">
        <v>1699829</v>
      </c>
      <c r="BS162">
        <v>1673765</v>
      </c>
      <c r="BT162">
        <v>1535101</v>
      </c>
      <c r="BU162">
        <v>1603404</v>
      </c>
      <c r="BV162">
        <v>1588165</v>
      </c>
      <c r="BW162">
        <v>1583046</v>
      </c>
      <c r="BX162">
        <v>1500824</v>
      </c>
      <c r="BY162">
        <v>1575125</v>
      </c>
      <c r="BZ162">
        <v>2576898</v>
      </c>
      <c r="CA162">
        <v>2251944.835</v>
      </c>
    </row>
    <row r="163" spans="2:79" x14ac:dyDescent="0.3">
      <c r="B163" s="9">
        <v>161</v>
      </c>
      <c r="C163" s="49">
        <v>10327</v>
      </c>
      <c r="D163" s="9">
        <f>YEAR(Tabla1[[#This Row],[Date]])</f>
        <v>1928</v>
      </c>
      <c r="E163" s="9" t="str" cm="1">
        <f t="array" ref="E163">IFERROR(_xlfn.IFS(AND(D163&lt;1980,D163&gt;=1970),"70",AND(D163&lt;1990,D163&gt;=1980),"80",AND(D163&lt;2000,D163&gt;=1990),"90",AND(D163&lt;2010,D163&gt;=2000),"00",AND(D163&lt;=2019,D163&gt;=2010),"10"),"1908-1970")</f>
        <v>1908-1970</v>
      </c>
      <c r="F163" s="3">
        <v>0.47916666666666669</v>
      </c>
      <c r="G163" t="s">
        <v>5626</v>
      </c>
      <c r="H163" t="s">
        <v>5627</v>
      </c>
      <c r="I163" t="s">
        <v>28931</v>
      </c>
      <c r="J163" t="s">
        <v>5628</v>
      </c>
      <c r="K163" t="s">
        <v>5629</v>
      </c>
      <c r="L163" s="7" t="s">
        <v>5630</v>
      </c>
      <c r="M163">
        <v>809</v>
      </c>
      <c r="N163">
        <v>7</v>
      </c>
      <c r="O163">
        <v>6</v>
      </c>
      <c r="P163">
        <v>1</v>
      </c>
      <c r="Q163">
        <v>7</v>
      </c>
      <c r="R163">
        <v>6</v>
      </c>
      <c r="S163">
        <v>1</v>
      </c>
      <c r="T163">
        <v>0</v>
      </c>
      <c r="U163" t="s">
        <v>5631</v>
      </c>
      <c r="V163">
        <f>Tabla1[[#This Row],[Aboard]]-Tabla1[[#This Row],[Fatalities]]</f>
        <v>0</v>
      </c>
      <c r="W163" s="50">
        <f>IFERROR(Tabla1[[#This Row],[Fatalities]]/Tabla1[[#This Row],[Aboard]],0)</f>
        <v>1</v>
      </c>
      <c r="X163" s="51" t="str" cm="1">
        <f t="array" ref="X163">_xlfn.IFS(Tabla1[[#This Row],[Porcentaje de muertes]]&lt;0.35,"LEVE",AND(Tabla1[[#This Row],[Porcentaje de muertes]]&gt;0.35,Tabla1[[#This Row],[Porcentaje de muertes]]&lt;0.65),"MEDIO",Tabla1[[#This Row],[Porcentaje de muertes]]&gt;0.65,"GRAVE")</f>
        <v>GRAVE</v>
      </c>
      <c r="AB163" t="s">
        <v>28670</v>
      </c>
      <c r="AC163" t="s">
        <v>28671</v>
      </c>
      <c r="AD163">
        <v>345800</v>
      </c>
      <c r="AE163">
        <v>380500</v>
      </c>
      <c r="AF163">
        <v>393000</v>
      </c>
      <c r="AG163">
        <v>405000</v>
      </c>
      <c r="AH163">
        <v>388300</v>
      </c>
      <c r="AI163">
        <v>391300</v>
      </c>
      <c r="AJ163">
        <v>396000</v>
      </c>
      <c r="AK163">
        <v>410000</v>
      </c>
      <c r="AL163">
        <v>425000</v>
      </c>
      <c r="AM163">
        <v>460000</v>
      </c>
      <c r="AN163">
        <v>481000</v>
      </c>
      <c r="AO163">
        <v>500000</v>
      </c>
      <c r="AP163">
        <v>515000</v>
      </c>
      <c r="AQ163">
        <v>517000</v>
      </c>
      <c r="AR163">
        <v>487000</v>
      </c>
      <c r="AS163">
        <v>509000</v>
      </c>
      <c r="AT163">
        <v>511000</v>
      </c>
      <c r="AU163">
        <v>512000</v>
      </c>
      <c r="AV163">
        <v>516000</v>
      </c>
      <c r="AW163">
        <v>308000</v>
      </c>
      <c r="AX163">
        <v>318500</v>
      </c>
      <c r="AY163">
        <v>318500</v>
      </c>
      <c r="AZ163">
        <v>318500</v>
      </c>
      <c r="BA163">
        <v>318500</v>
      </c>
      <c r="BB163">
        <v>318500</v>
      </c>
      <c r="BC163">
        <v>334500</v>
      </c>
      <c r="BD163">
        <v>334500</v>
      </c>
      <c r="BE163">
        <v>334500</v>
      </c>
      <c r="BF163">
        <v>333200</v>
      </c>
      <c r="BG163">
        <v>536800</v>
      </c>
      <c r="BH163">
        <v>437600</v>
      </c>
      <c r="BI163">
        <v>398216</v>
      </c>
      <c r="BJ163">
        <v>1186162</v>
      </c>
      <c r="BK163">
        <v>1117208</v>
      </c>
      <c r="BL163">
        <v>1392244</v>
      </c>
      <c r="BM163">
        <v>1503624</v>
      </c>
      <c r="BN163">
        <v>1620895</v>
      </c>
      <c r="BO163">
        <v>1662866</v>
      </c>
      <c r="BP163">
        <v>1637923</v>
      </c>
      <c r="BQ163">
        <v>1527346</v>
      </c>
      <c r="BR163">
        <v>924207</v>
      </c>
      <c r="BS163">
        <v>1539676</v>
      </c>
      <c r="BT163">
        <v>1663425.4350000001</v>
      </c>
      <c r="BU163">
        <v>1572120</v>
      </c>
      <c r="BV163">
        <v>1926969</v>
      </c>
      <c r="BW163">
        <v>2095503</v>
      </c>
      <c r="BX163">
        <v>2741388</v>
      </c>
      <c r="BY163">
        <v>3149037</v>
      </c>
      <c r="BZ163">
        <v>3407788.4330000002</v>
      </c>
      <c r="CA163">
        <v>3701663.8489999999</v>
      </c>
    </row>
    <row r="164" spans="2:79" x14ac:dyDescent="0.3">
      <c r="B164" s="9">
        <v>162</v>
      </c>
      <c r="C164" s="49">
        <v>10388</v>
      </c>
      <c r="D164" s="9">
        <f>YEAR(Tabla1[[#This Row],[Date]])</f>
        <v>1928</v>
      </c>
      <c r="E164" s="9" t="str" cm="1">
        <f t="array" ref="E164">IFERROR(_xlfn.IFS(AND(D164&lt;1980,D164&gt;=1970),"70",AND(D164&lt;1990,D164&gt;=1980),"80",AND(D164&lt;2000,D164&gt;=1990),"90",AND(D164&lt;2010,D164&gt;=2000),"00",AND(D164&lt;=2019,D164&gt;=2010),"10"),"1908-1970")</f>
        <v>1908-1970</v>
      </c>
      <c r="F164" s="3" t="s">
        <v>28931</v>
      </c>
      <c r="G164" t="s">
        <v>5632</v>
      </c>
      <c r="H164" t="s">
        <v>5417</v>
      </c>
      <c r="I164" t="s">
        <v>28931</v>
      </c>
      <c r="J164" t="s">
        <v>28931</v>
      </c>
      <c r="K164" t="s">
        <v>5433</v>
      </c>
      <c r="L164" s="7" t="s">
        <v>5633</v>
      </c>
      <c r="M164">
        <v>1531</v>
      </c>
      <c r="N164">
        <v>3</v>
      </c>
      <c r="O164">
        <v>2</v>
      </c>
      <c r="P164">
        <v>1</v>
      </c>
      <c r="Q164">
        <v>3</v>
      </c>
      <c r="R164">
        <v>2</v>
      </c>
      <c r="S164">
        <v>1</v>
      </c>
      <c r="T164">
        <v>0</v>
      </c>
      <c r="U164" t="s">
        <v>5634</v>
      </c>
      <c r="V164">
        <f>Tabla1[[#This Row],[Aboard]]-Tabla1[[#This Row],[Fatalities]]</f>
        <v>0</v>
      </c>
      <c r="W164" s="50">
        <f>IFERROR(Tabla1[[#This Row],[Fatalities]]/Tabla1[[#This Row],[Aboard]],0)</f>
        <v>1</v>
      </c>
      <c r="X164" s="51" t="str" cm="1">
        <f t="array" ref="X164">_xlfn.IFS(Tabla1[[#This Row],[Porcentaje de muertes]]&lt;0.35,"LEVE",AND(Tabla1[[#This Row],[Porcentaje de muertes]]&gt;0.35,Tabla1[[#This Row],[Porcentaje de muertes]]&lt;0.65),"MEDIO",Tabla1[[#This Row],[Porcentaje de muertes]]&gt;0.65,"GRAVE")</f>
        <v>GRAVE</v>
      </c>
      <c r="AB164" t="s">
        <v>28672</v>
      </c>
      <c r="AC164" t="s">
        <v>28673</v>
      </c>
      <c r="AD164">
        <v>3575800</v>
      </c>
      <c r="AE164">
        <v>4124900</v>
      </c>
      <c r="AF164">
        <v>4817000</v>
      </c>
      <c r="AG164">
        <v>5611900</v>
      </c>
      <c r="AH164">
        <v>6920600</v>
      </c>
      <c r="AI164">
        <v>8605400</v>
      </c>
      <c r="AJ164">
        <v>10386000</v>
      </c>
      <c r="AK164">
        <v>11833300</v>
      </c>
      <c r="AL164">
        <v>13058400</v>
      </c>
      <c r="AM164">
        <v>12941600</v>
      </c>
      <c r="AN164">
        <v>13570500</v>
      </c>
      <c r="AO164">
        <v>13987100</v>
      </c>
      <c r="AP164">
        <v>15082400</v>
      </c>
      <c r="AQ164">
        <v>16939000</v>
      </c>
      <c r="AR164">
        <v>17702900</v>
      </c>
      <c r="AS164">
        <v>17521400</v>
      </c>
      <c r="AT164">
        <v>17574800</v>
      </c>
      <c r="AU164">
        <v>18367600</v>
      </c>
      <c r="AV164">
        <v>19326800</v>
      </c>
      <c r="AW164">
        <v>20258200</v>
      </c>
      <c r="AX164">
        <v>20968500</v>
      </c>
      <c r="AY164">
        <v>18725100</v>
      </c>
      <c r="AZ164">
        <v>19938500</v>
      </c>
      <c r="BA164">
        <v>19026300</v>
      </c>
      <c r="BB164">
        <v>20017600</v>
      </c>
      <c r="BC164">
        <v>20833300</v>
      </c>
      <c r="BD164">
        <v>22956900</v>
      </c>
      <c r="BE164">
        <v>26337800</v>
      </c>
      <c r="BF164">
        <v>25271800</v>
      </c>
      <c r="BG164">
        <v>25105400</v>
      </c>
      <c r="BH164">
        <v>26100792</v>
      </c>
      <c r="BI164">
        <v>34079465</v>
      </c>
      <c r="BJ164">
        <v>26788324</v>
      </c>
      <c r="BK164">
        <v>32800028</v>
      </c>
      <c r="BL164">
        <v>30468644</v>
      </c>
      <c r="BM164">
        <v>31260133</v>
      </c>
      <c r="BN164">
        <v>34256632</v>
      </c>
      <c r="BO164">
        <v>36205520</v>
      </c>
      <c r="BP164">
        <v>35864926</v>
      </c>
      <c r="BQ164">
        <v>38021520</v>
      </c>
      <c r="BR164">
        <v>52770471.770000003</v>
      </c>
      <c r="BS164">
        <v>52290259.43</v>
      </c>
      <c r="BT164">
        <v>50973534.93</v>
      </c>
      <c r="BU164">
        <v>53720922.149999999</v>
      </c>
      <c r="BV164">
        <v>54370978.909999996</v>
      </c>
      <c r="BW164">
        <v>50614910</v>
      </c>
      <c r="BX164">
        <v>55760221</v>
      </c>
      <c r="BY164">
        <v>66657459.789999999</v>
      </c>
      <c r="BZ164">
        <v>67240082.920000002</v>
      </c>
      <c r="CA164">
        <v>65811920.689999998</v>
      </c>
    </row>
    <row r="165" spans="2:79" x14ac:dyDescent="0.3">
      <c r="B165" s="9">
        <v>163</v>
      </c>
      <c r="C165" s="49">
        <v>10328</v>
      </c>
      <c r="D165" s="9">
        <f>YEAR(Tabla1[[#This Row],[Date]])</f>
        <v>1928</v>
      </c>
      <c r="E165" s="9" t="str" cm="1">
        <f t="array" ref="E165">IFERROR(_xlfn.IFS(AND(D165&lt;1980,D165&gt;=1970),"70",AND(D165&lt;1990,D165&gt;=1980),"80",AND(D165&lt;2000,D165&gt;=1990),"90",AND(D165&lt;2010,D165&gt;=2000),"00",AND(D165&lt;=2019,D165&gt;=2010),"10"),"1908-1970")</f>
        <v>1908-1970</v>
      </c>
      <c r="F165" s="3" t="s">
        <v>28931</v>
      </c>
      <c r="G165" t="s">
        <v>5635</v>
      </c>
      <c r="H165" t="s">
        <v>5182</v>
      </c>
      <c r="I165" t="s">
        <v>28931</v>
      </c>
      <c r="J165" t="s">
        <v>5636</v>
      </c>
      <c r="K165" t="s">
        <v>5167</v>
      </c>
      <c r="L165" s="7" t="s">
        <v>5637</v>
      </c>
      <c r="M165">
        <v>159</v>
      </c>
      <c r="N165">
        <v>3</v>
      </c>
      <c r="O165">
        <v>2</v>
      </c>
      <c r="P165">
        <v>1</v>
      </c>
      <c r="Q165">
        <v>3</v>
      </c>
      <c r="R165">
        <v>2</v>
      </c>
      <c r="S165">
        <v>1</v>
      </c>
      <c r="T165">
        <v>0</v>
      </c>
      <c r="U165" t="s">
        <v>5638</v>
      </c>
      <c r="V165">
        <f>Tabla1[[#This Row],[Aboard]]-Tabla1[[#This Row],[Fatalities]]</f>
        <v>0</v>
      </c>
      <c r="W165" s="50">
        <f>IFERROR(Tabla1[[#This Row],[Fatalities]]/Tabla1[[#This Row],[Aboard]],0)</f>
        <v>1</v>
      </c>
      <c r="X165" s="51" t="str" cm="1">
        <f t="array" ref="X165">_xlfn.IFS(Tabla1[[#This Row],[Porcentaje de muertes]]&lt;0.35,"LEVE",AND(Tabla1[[#This Row],[Porcentaje de muertes]]&gt;0.35,Tabla1[[#This Row],[Porcentaje de muertes]]&lt;0.65),"MEDIO",Tabla1[[#This Row],[Porcentaje de muertes]]&gt;0.65,"GRAVE")</f>
        <v>GRAVE</v>
      </c>
      <c r="AB165" t="s">
        <v>28674</v>
      </c>
      <c r="AC165" t="s">
        <v>28675</v>
      </c>
      <c r="AD165" t="s">
        <v>28966</v>
      </c>
      <c r="AE165" t="s">
        <v>28966</v>
      </c>
      <c r="AF165" t="s">
        <v>28966</v>
      </c>
      <c r="AG165" t="s">
        <v>28966</v>
      </c>
      <c r="AH165" t="s">
        <v>28966</v>
      </c>
      <c r="AI165" t="s">
        <v>28966</v>
      </c>
      <c r="AJ165" t="s">
        <v>28966</v>
      </c>
      <c r="AK165" t="s">
        <v>28966</v>
      </c>
      <c r="AL165" t="s">
        <v>28966</v>
      </c>
      <c r="AM165" t="s">
        <v>28966</v>
      </c>
      <c r="AN165" t="s">
        <v>28966</v>
      </c>
      <c r="AO165" t="s">
        <v>28966</v>
      </c>
      <c r="AP165" t="s">
        <v>28966</v>
      </c>
      <c r="AQ165" t="s">
        <v>28966</v>
      </c>
      <c r="AR165" t="s">
        <v>28966</v>
      </c>
      <c r="AS165" t="s">
        <v>28966</v>
      </c>
      <c r="AT165" t="s">
        <v>28966</v>
      </c>
      <c r="AU165" t="s">
        <v>28966</v>
      </c>
      <c r="AV165" t="s">
        <v>28966</v>
      </c>
      <c r="AW165" t="s">
        <v>28966</v>
      </c>
      <c r="AX165" t="s">
        <v>28966</v>
      </c>
      <c r="AY165" t="s">
        <v>28966</v>
      </c>
      <c r="AZ165" t="s">
        <v>28966</v>
      </c>
      <c r="BA165" t="s">
        <v>28966</v>
      </c>
      <c r="BB165" t="s">
        <v>28966</v>
      </c>
      <c r="BC165" t="s">
        <v>28966</v>
      </c>
      <c r="BD165" t="s">
        <v>28966</v>
      </c>
      <c r="BE165" t="s">
        <v>28966</v>
      </c>
      <c r="BF165" t="s">
        <v>28966</v>
      </c>
      <c r="BG165" t="s">
        <v>28966</v>
      </c>
      <c r="BH165" t="s">
        <v>28966</v>
      </c>
      <c r="BI165">
        <v>121737</v>
      </c>
      <c r="BJ165" t="s">
        <v>28966</v>
      </c>
      <c r="BK165">
        <v>287111</v>
      </c>
      <c r="BL165">
        <v>337046</v>
      </c>
      <c r="BM165">
        <v>383140</v>
      </c>
      <c r="BN165" t="s">
        <v>28966</v>
      </c>
      <c r="BO165" t="s">
        <v>28966</v>
      </c>
      <c r="BP165" t="s">
        <v>28966</v>
      </c>
      <c r="BQ165" t="s">
        <v>28966</v>
      </c>
      <c r="BR165">
        <v>659355.41480000003</v>
      </c>
      <c r="BS165">
        <v>523356</v>
      </c>
      <c r="BT165">
        <v>544519</v>
      </c>
      <c r="BU165">
        <v>528852</v>
      </c>
      <c r="BV165">
        <v>503040</v>
      </c>
      <c r="BW165">
        <v>526980</v>
      </c>
      <c r="BX165">
        <v>544597</v>
      </c>
      <c r="BY165">
        <v>507637</v>
      </c>
      <c r="BZ165">
        <v>565522</v>
      </c>
      <c r="CA165">
        <v>597380</v>
      </c>
    </row>
    <row r="166" spans="2:79" x14ac:dyDescent="0.3">
      <c r="B166" s="9">
        <v>164</v>
      </c>
      <c r="C166" s="49">
        <v>10519</v>
      </c>
      <c r="D166" s="9">
        <f>YEAR(Tabla1[[#This Row],[Date]])</f>
        <v>1928</v>
      </c>
      <c r="E166" s="9" t="str" cm="1">
        <f t="array" ref="E166">IFERROR(_xlfn.IFS(AND(D166&lt;1980,D166&gt;=1970),"70",AND(D166&lt;1990,D166&gt;=1980),"80",AND(D166&lt;2000,D166&gt;=1990),"90",AND(D166&lt;2010,D166&gt;=2000),"00",AND(D166&lt;=2019,D166&gt;=2010),"10"),"1908-1970")</f>
        <v>1908-1970</v>
      </c>
      <c r="F166" s="3" t="s">
        <v>28931</v>
      </c>
      <c r="G166" t="s">
        <v>5639</v>
      </c>
      <c r="H166" t="s">
        <v>5524</v>
      </c>
      <c r="I166" t="s">
        <v>28931</v>
      </c>
      <c r="J166" t="s">
        <v>28931</v>
      </c>
      <c r="K166" t="s">
        <v>5472</v>
      </c>
      <c r="L166" s="7" t="s">
        <v>5640</v>
      </c>
      <c r="M166">
        <v>658</v>
      </c>
      <c r="N166">
        <v>1</v>
      </c>
      <c r="O166">
        <v>0</v>
      </c>
      <c r="P166">
        <v>1</v>
      </c>
      <c r="Q166">
        <v>1</v>
      </c>
      <c r="R166">
        <v>0</v>
      </c>
      <c r="S166">
        <v>1</v>
      </c>
      <c r="T166">
        <v>0</v>
      </c>
      <c r="U166" t="s">
        <v>5641</v>
      </c>
      <c r="V166">
        <f>Tabla1[[#This Row],[Aboard]]-Tabla1[[#This Row],[Fatalities]]</f>
        <v>0</v>
      </c>
      <c r="W166" s="50">
        <f>IFERROR(Tabla1[[#This Row],[Fatalities]]/Tabla1[[#This Row],[Aboard]],0)</f>
        <v>1</v>
      </c>
      <c r="X166" s="51" t="str" cm="1">
        <f t="array" ref="X166">_xlfn.IFS(Tabla1[[#This Row],[Porcentaje de muertes]]&lt;0.35,"LEVE",AND(Tabla1[[#This Row],[Porcentaje de muertes]]&gt;0.35,Tabla1[[#This Row],[Porcentaje de muertes]]&lt;0.65),"MEDIO",Tabla1[[#This Row],[Porcentaje de muertes]]&gt;0.65,"GRAVE")</f>
        <v>GRAVE</v>
      </c>
      <c r="AB166" t="s">
        <v>28676</v>
      </c>
      <c r="AC166" t="s">
        <v>28677</v>
      </c>
      <c r="AD166" t="s">
        <v>28966</v>
      </c>
      <c r="AE166" t="s">
        <v>28966</v>
      </c>
      <c r="AF166" t="s">
        <v>28966</v>
      </c>
      <c r="AG166" t="s">
        <v>28966</v>
      </c>
      <c r="AH166" t="s">
        <v>28966</v>
      </c>
      <c r="AI166" t="s">
        <v>28966</v>
      </c>
      <c r="AJ166" t="s">
        <v>28966</v>
      </c>
      <c r="AK166" t="s">
        <v>28966</v>
      </c>
      <c r="AL166" t="s">
        <v>28966</v>
      </c>
      <c r="AM166" t="s">
        <v>28966</v>
      </c>
      <c r="AN166" t="s">
        <v>28966</v>
      </c>
      <c r="AO166" t="s">
        <v>28966</v>
      </c>
      <c r="AP166" t="s">
        <v>28966</v>
      </c>
      <c r="AQ166" t="s">
        <v>28966</v>
      </c>
      <c r="AR166" t="s">
        <v>28966</v>
      </c>
      <c r="AS166" t="s">
        <v>28966</v>
      </c>
      <c r="AT166" t="s">
        <v>28966</v>
      </c>
      <c r="AU166" t="s">
        <v>28966</v>
      </c>
      <c r="AV166" t="s">
        <v>28966</v>
      </c>
      <c r="AW166" t="s">
        <v>28966</v>
      </c>
      <c r="AX166" t="s">
        <v>28966</v>
      </c>
      <c r="AY166">
        <v>615700</v>
      </c>
      <c r="AZ166">
        <v>590600</v>
      </c>
      <c r="BA166">
        <v>630000</v>
      </c>
      <c r="BB166">
        <v>630000</v>
      </c>
      <c r="BC166">
        <v>661500</v>
      </c>
      <c r="BD166">
        <v>661500</v>
      </c>
      <c r="BE166">
        <v>240200</v>
      </c>
      <c r="BF166">
        <v>239700</v>
      </c>
      <c r="BG166">
        <v>224700</v>
      </c>
      <c r="BH166">
        <v>253917</v>
      </c>
      <c r="BI166">
        <v>255298</v>
      </c>
      <c r="BJ166">
        <v>269886</v>
      </c>
      <c r="BK166">
        <v>294880</v>
      </c>
      <c r="BL166">
        <v>310158</v>
      </c>
      <c r="BM166">
        <v>295252</v>
      </c>
      <c r="BN166">
        <v>347998</v>
      </c>
      <c r="BO166">
        <v>380708</v>
      </c>
      <c r="BP166">
        <v>364470</v>
      </c>
      <c r="BQ166">
        <v>257233</v>
      </c>
      <c r="BR166">
        <v>391188</v>
      </c>
      <c r="BS166">
        <v>496649.10769999999</v>
      </c>
      <c r="BT166">
        <v>626469.96649999998</v>
      </c>
      <c r="BU166">
        <v>585864</v>
      </c>
      <c r="BV166">
        <v>683254</v>
      </c>
      <c r="BW166">
        <v>529311</v>
      </c>
      <c r="BX166">
        <v>537853</v>
      </c>
      <c r="BY166">
        <v>602775</v>
      </c>
      <c r="BZ166">
        <v>670360</v>
      </c>
      <c r="CA166">
        <v>744413</v>
      </c>
    </row>
    <row r="167" spans="2:79" x14ac:dyDescent="0.3">
      <c r="B167" s="9">
        <v>165</v>
      </c>
      <c r="C167" s="49">
        <v>10532</v>
      </c>
      <c r="D167" s="9">
        <f>YEAR(Tabla1[[#This Row],[Date]])</f>
        <v>1928</v>
      </c>
      <c r="E167" s="9" t="str" cm="1">
        <f t="array" ref="E167">IFERROR(_xlfn.IFS(AND(D167&lt;1980,D167&gt;=1970),"70",AND(D167&lt;1990,D167&gt;=1980),"80",AND(D167&lt;2000,D167&gt;=1990),"90",AND(D167&lt;2010,D167&gt;=2000),"00",AND(D167&lt;=2019,D167&gt;=2010),"10"),"1908-1970")</f>
        <v>1908-1970</v>
      </c>
      <c r="F167" s="3" t="s">
        <v>28931</v>
      </c>
      <c r="G167" t="s">
        <v>5642</v>
      </c>
      <c r="H167" t="s">
        <v>5298</v>
      </c>
      <c r="I167" t="s">
        <v>28931</v>
      </c>
      <c r="J167" t="s">
        <v>5643</v>
      </c>
      <c r="K167" t="s">
        <v>5644</v>
      </c>
      <c r="L167" s="7" t="s">
        <v>5645</v>
      </c>
      <c r="M167" t="s">
        <v>5646</v>
      </c>
      <c r="N167">
        <v>2</v>
      </c>
      <c r="O167">
        <v>1</v>
      </c>
      <c r="P167">
        <v>1</v>
      </c>
      <c r="Q167">
        <v>1</v>
      </c>
      <c r="R167">
        <v>0</v>
      </c>
      <c r="S167">
        <v>1</v>
      </c>
      <c r="T167">
        <v>0</v>
      </c>
      <c r="U167" t="s">
        <v>5647</v>
      </c>
      <c r="V167">
        <f>Tabla1[[#This Row],[Aboard]]-Tabla1[[#This Row],[Fatalities]]</f>
        <v>1</v>
      </c>
      <c r="W167" s="50">
        <f>IFERROR(Tabla1[[#This Row],[Fatalities]]/Tabla1[[#This Row],[Aboard]],0)</f>
        <v>0.5</v>
      </c>
      <c r="X167" s="51" t="str" cm="1">
        <f t="array" ref="X167">_xlfn.IFS(Tabla1[[#This Row],[Porcentaje de muertes]]&lt;0.35,"LEVE",AND(Tabla1[[#This Row],[Porcentaje de muertes]]&gt;0.35,Tabla1[[#This Row],[Porcentaje de muertes]]&lt;0.65),"MEDIO",Tabla1[[#This Row],[Porcentaje de muertes]]&gt;0.65,"GRAVE")</f>
        <v>MEDIO</v>
      </c>
      <c r="AB167" t="s">
        <v>28678</v>
      </c>
      <c r="AC167" t="s">
        <v>28679</v>
      </c>
      <c r="AD167" t="s">
        <v>28966</v>
      </c>
      <c r="AE167" t="s">
        <v>28966</v>
      </c>
      <c r="AF167" t="s">
        <v>28966</v>
      </c>
      <c r="AG167" t="s">
        <v>28966</v>
      </c>
      <c r="AH167" t="s">
        <v>28966</v>
      </c>
      <c r="AI167" t="s">
        <v>28966</v>
      </c>
      <c r="AJ167" t="s">
        <v>28966</v>
      </c>
      <c r="AK167" t="s">
        <v>28966</v>
      </c>
      <c r="AL167" t="s">
        <v>28966</v>
      </c>
      <c r="AM167" t="s">
        <v>28966</v>
      </c>
      <c r="AN167" t="s">
        <v>28966</v>
      </c>
      <c r="AO167" t="s">
        <v>28966</v>
      </c>
      <c r="AP167" t="s">
        <v>28966</v>
      </c>
      <c r="AQ167" t="s">
        <v>28966</v>
      </c>
      <c r="AR167" t="s">
        <v>28966</v>
      </c>
      <c r="AS167" t="s">
        <v>28966</v>
      </c>
      <c r="AT167" t="s">
        <v>28966</v>
      </c>
      <c r="AU167" t="s">
        <v>28966</v>
      </c>
      <c r="AV167" t="s">
        <v>28966</v>
      </c>
      <c r="AW167" t="s">
        <v>28966</v>
      </c>
      <c r="AX167" t="s">
        <v>28966</v>
      </c>
      <c r="AY167" t="s">
        <v>28966</v>
      </c>
      <c r="AZ167" t="s">
        <v>28966</v>
      </c>
      <c r="BA167" t="s">
        <v>28966</v>
      </c>
      <c r="BB167" t="s">
        <v>28966</v>
      </c>
      <c r="BC167" t="s">
        <v>28966</v>
      </c>
      <c r="BD167" t="s">
        <v>28966</v>
      </c>
      <c r="BE167" t="s">
        <v>28966</v>
      </c>
      <c r="BF167" t="s">
        <v>28966</v>
      </c>
      <c r="BG167" t="s">
        <v>28966</v>
      </c>
      <c r="BH167" t="s">
        <v>28966</v>
      </c>
      <c r="BI167" t="s">
        <v>28966</v>
      </c>
      <c r="BJ167" t="s">
        <v>28966</v>
      </c>
      <c r="BK167" t="s">
        <v>28966</v>
      </c>
      <c r="BL167" t="s">
        <v>28966</v>
      </c>
      <c r="BM167" t="s">
        <v>28966</v>
      </c>
      <c r="BN167" t="s">
        <v>28966</v>
      </c>
      <c r="BO167" t="s">
        <v>28966</v>
      </c>
      <c r="BP167" t="s">
        <v>28966</v>
      </c>
      <c r="BQ167" t="s">
        <v>28966</v>
      </c>
      <c r="BR167" t="s">
        <v>28966</v>
      </c>
      <c r="BS167" t="s">
        <v>28966</v>
      </c>
      <c r="BT167" t="s">
        <v>28966</v>
      </c>
      <c r="BU167" t="s">
        <v>28966</v>
      </c>
      <c r="BV167" t="s">
        <v>28966</v>
      </c>
      <c r="BW167" t="s">
        <v>28966</v>
      </c>
      <c r="BX167" t="s">
        <v>28966</v>
      </c>
      <c r="BY167" t="s">
        <v>28966</v>
      </c>
      <c r="BZ167" t="s">
        <v>28966</v>
      </c>
      <c r="CA167" t="s">
        <v>28966</v>
      </c>
    </row>
    <row r="168" spans="2:79" x14ac:dyDescent="0.3">
      <c r="B168" s="9">
        <v>166</v>
      </c>
      <c r="C168" s="49">
        <v>10547</v>
      </c>
      <c r="D168" s="9">
        <f>YEAR(Tabla1[[#This Row],[Date]])</f>
        <v>1928</v>
      </c>
      <c r="E168" s="9" t="str" cm="1">
        <f t="array" ref="E168">IFERROR(_xlfn.IFS(AND(D168&lt;1980,D168&gt;=1970),"70",AND(D168&lt;1990,D168&gt;=1980),"80",AND(D168&lt;2000,D168&gt;=1990),"90",AND(D168&lt;2010,D168&gt;=2000),"00",AND(D168&lt;=2019,D168&gt;=2010),"10"),"1908-1970")</f>
        <v>1908-1970</v>
      </c>
      <c r="F168" s="3" t="s">
        <v>28931</v>
      </c>
      <c r="G168" t="s">
        <v>5189</v>
      </c>
      <c r="H168" t="s">
        <v>5182</v>
      </c>
      <c r="I168" t="s">
        <v>28931</v>
      </c>
      <c r="J168" t="s">
        <v>5648</v>
      </c>
      <c r="K168" t="s">
        <v>5649</v>
      </c>
      <c r="L168" s="7" t="s">
        <v>5650</v>
      </c>
      <c r="M168">
        <v>80</v>
      </c>
      <c r="N168">
        <v>3</v>
      </c>
      <c r="O168" t="s">
        <v>5038</v>
      </c>
      <c r="P168">
        <v>3</v>
      </c>
      <c r="Q168">
        <v>1</v>
      </c>
      <c r="R168">
        <v>0</v>
      </c>
      <c r="S168">
        <v>1</v>
      </c>
      <c r="T168">
        <v>0</v>
      </c>
      <c r="U168" t="s">
        <v>5651</v>
      </c>
      <c r="V168">
        <f>Tabla1[[#This Row],[Aboard]]-Tabla1[[#This Row],[Fatalities]]</f>
        <v>2</v>
      </c>
      <c r="W168" s="50">
        <f>IFERROR(Tabla1[[#This Row],[Fatalities]]/Tabla1[[#This Row],[Aboard]],0)</f>
        <v>0.33333333333333331</v>
      </c>
      <c r="X168" s="51" t="str" cm="1">
        <f t="array" ref="X168">_xlfn.IFS(Tabla1[[#This Row],[Porcentaje de muertes]]&lt;0.35,"LEVE",AND(Tabla1[[#This Row],[Porcentaje de muertes]]&gt;0.35,Tabla1[[#This Row],[Porcentaje de muertes]]&lt;0.65),"MEDIO",Tabla1[[#This Row],[Porcentaje de muertes]]&gt;0.65,"GRAVE")</f>
        <v>LEVE</v>
      </c>
      <c r="AB168" t="s">
        <v>28680</v>
      </c>
      <c r="AC168" t="s">
        <v>28681</v>
      </c>
      <c r="AD168" t="s">
        <v>28966</v>
      </c>
      <c r="AE168" t="s">
        <v>28966</v>
      </c>
      <c r="AF168" t="s">
        <v>28966</v>
      </c>
      <c r="AG168" t="s">
        <v>28966</v>
      </c>
      <c r="AH168" t="s">
        <v>28966</v>
      </c>
      <c r="AI168">
        <v>119500</v>
      </c>
      <c r="AJ168">
        <v>248900</v>
      </c>
      <c r="AK168">
        <v>225200</v>
      </c>
      <c r="AL168">
        <v>266400</v>
      </c>
      <c r="AM168">
        <v>273000</v>
      </c>
      <c r="AN168">
        <v>282200</v>
      </c>
      <c r="AO168">
        <v>291500</v>
      </c>
      <c r="AP168">
        <v>391100</v>
      </c>
      <c r="AQ168">
        <v>404700</v>
      </c>
      <c r="AR168">
        <v>325200</v>
      </c>
      <c r="AS168">
        <v>207700</v>
      </c>
      <c r="AT168">
        <v>226400</v>
      </c>
      <c r="AU168">
        <v>210600</v>
      </c>
      <c r="AV168">
        <v>235000</v>
      </c>
      <c r="AW168">
        <v>242900</v>
      </c>
      <c r="AX168">
        <v>279500</v>
      </c>
      <c r="AY168">
        <v>282800</v>
      </c>
      <c r="AZ168">
        <v>224700</v>
      </c>
      <c r="BA168">
        <v>206200</v>
      </c>
      <c r="BB168">
        <v>220700</v>
      </c>
      <c r="BC168">
        <v>168200</v>
      </c>
      <c r="BD168">
        <v>163400</v>
      </c>
      <c r="BE168">
        <v>188400</v>
      </c>
      <c r="BF168">
        <v>200700</v>
      </c>
      <c r="BG168">
        <v>234800</v>
      </c>
      <c r="BH168">
        <v>259568</v>
      </c>
      <c r="BI168">
        <v>264216</v>
      </c>
      <c r="BJ168">
        <v>281513</v>
      </c>
      <c r="BK168">
        <v>280516</v>
      </c>
      <c r="BL168">
        <v>293873</v>
      </c>
      <c r="BM168">
        <v>346830</v>
      </c>
      <c r="BN168">
        <v>350314</v>
      </c>
      <c r="BO168">
        <v>443010</v>
      </c>
      <c r="BP168">
        <v>461125</v>
      </c>
      <c r="BQ168">
        <v>490019</v>
      </c>
      <c r="BR168">
        <v>558192</v>
      </c>
      <c r="BS168">
        <v>577019.81449999998</v>
      </c>
      <c r="BT168">
        <v>559608.79570000002</v>
      </c>
      <c r="BU168">
        <v>701472</v>
      </c>
      <c r="BV168">
        <v>739636.74410000001</v>
      </c>
      <c r="BW168">
        <v>676028</v>
      </c>
      <c r="BX168">
        <v>632965</v>
      </c>
      <c r="BY168">
        <v>569211</v>
      </c>
      <c r="BZ168">
        <v>540124</v>
      </c>
      <c r="CA168">
        <v>587364</v>
      </c>
    </row>
    <row r="169" spans="2:79" x14ac:dyDescent="0.3">
      <c r="B169" s="9">
        <v>167</v>
      </c>
      <c r="C169" s="49">
        <v>10556</v>
      </c>
      <c r="D169" s="9">
        <f>YEAR(Tabla1[[#This Row],[Date]])</f>
        <v>1928</v>
      </c>
      <c r="E169" s="9" t="str" cm="1">
        <f t="array" ref="E169">IFERROR(_xlfn.IFS(AND(D169&lt;1980,D169&gt;=1970),"70",AND(D169&lt;1990,D169&gt;=1980),"80",AND(D169&lt;2000,D169&gt;=1990),"90",AND(D169&lt;2010,D169&gt;=2000),"00",AND(D169&lt;=2019,D169&gt;=2010),"10"),"1908-1970")</f>
        <v>1908-1970</v>
      </c>
      <c r="F169" s="3" t="s">
        <v>28931</v>
      </c>
      <c r="G169" t="s">
        <v>5652</v>
      </c>
      <c r="H169" t="s">
        <v>5653</v>
      </c>
      <c r="I169" t="s">
        <v>28931</v>
      </c>
      <c r="J169" t="s">
        <v>5654</v>
      </c>
      <c r="K169" t="s">
        <v>5655</v>
      </c>
      <c r="L169" s="7" t="s">
        <v>5656</v>
      </c>
      <c r="M169">
        <v>46</v>
      </c>
      <c r="N169">
        <v>3</v>
      </c>
      <c r="O169">
        <v>2</v>
      </c>
      <c r="P169">
        <v>1</v>
      </c>
      <c r="Q169">
        <v>3</v>
      </c>
      <c r="R169">
        <v>2</v>
      </c>
      <c r="S169">
        <v>1</v>
      </c>
      <c r="T169">
        <v>0</v>
      </c>
      <c r="U169" t="s">
        <v>5657</v>
      </c>
      <c r="V169">
        <f>Tabla1[[#This Row],[Aboard]]-Tabla1[[#This Row],[Fatalities]]</f>
        <v>0</v>
      </c>
      <c r="W169" s="50">
        <f>IFERROR(Tabla1[[#This Row],[Fatalities]]/Tabla1[[#This Row],[Aboard]],0)</f>
        <v>1</v>
      </c>
      <c r="X169" s="51" t="str" cm="1">
        <f t="array" ref="X169">_xlfn.IFS(Tabla1[[#This Row],[Porcentaje de muertes]]&lt;0.35,"LEVE",AND(Tabla1[[#This Row],[Porcentaje de muertes]]&gt;0.35,Tabla1[[#This Row],[Porcentaje de muertes]]&lt;0.65),"MEDIO",Tabla1[[#This Row],[Porcentaje de muertes]]&gt;0.65,"GRAVE")</f>
        <v>GRAVE</v>
      </c>
      <c r="AB169" t="s">
        <v>28682</v>
      </c>
      <c r="AC169" t="s">
        <v>28683</v>
      </c>
      <c r="AD169">
        <v>84500</v>
      </c>
      <c r="AE169">
        <v>68400</v>
      </c>
      <c r="AF169">
        <v>65900</v>
      </c>
      <c r="AG169">
        <v>72700</v>
      </c>
      <c r="AH169">
        <v>78300</v>
      </c>
      <c r="AI169">
        <v>84500</v>
      </c>
      <c r="AJ169">
        <v>94400</v>
      </c>
      <c r="AK169">
        <v>105400</v>
      </c>
      <c r="AL169">
        <v>117200</v>
      </c>
      <c r="AM169">
        <v>124300</v>
      </c>
      <c r="AN169">
        <v>141100</v>
      </c>
      <c r="AO169">
        <v>144100</v>
      </c>
      <c r="AP169">
        <v>147300</v>
      </c>
      <c r="AQ169">
        <v>148500</v>
      </c>
      <c r="AR169">
        <v>201700</v>
      </c>
      <c r="AS169">
        <v>213800</v>
      </c>
      <c r="AT169">
        <v>233400</v>
      </c>
      <c r="AU169">
        <v>216100</v>
      </c>
      <c r="AV169">
        <v>216100</v>
      </c>
      <c r="AW169">
        <v>220400</v>
      </c>
      <c r="AX169">
        <v>222700</v>
      </c>
      <c r="AY169">
        <v>212700</v>
      </c>
      <c r="AZ169">
        <v>212700</v>
      </c>
      <c r="BA169">
        <v>214600</v>
      </c>
      <c r="BB169">
        <v>215600</v>
      </c>
      <c r="BC169">
        <v>227900</v>
      </c>
      <c r="BD169">
        <v>234800</v>
      </c>
      <c r="BE169">
        <v>245200</v>
      </c>
      <c r="BF169">
        <v>249600</v>
      </c>
      <c r="BG169">
        <v>187400</v>
      </c>
      <c r="BH169">
        <v>185061</v>
      </c>
      <c r="BI169">
        <v>155687</v>
      </c>
      <c r="BJ169">
        <v>105541</v>
      </c>
      <c r="BK169">
        <v>116136</v>
      </c>
      <c r="BL169">
        <v>128329</v>
      </c>
      <c r="BM169">
        <v>138595</v>
      </c>
      <c r="BN169">
        <v>149188</v>
      </c>
      <c r="BO169">
        <v>154662</v>
      </c>
      <c r="BP169">
        <v>153895</v>
      </c>
      <c r="BQ169">
        <v>142355</v>
      </c>
      <c r="BR169">
        <v>524817.89469999995</v>
      </c>
      <c r="BS169">
        <v>381075.92359999998</v>
      </c>
      <c r="BT169">
        <v>325239.52360000001</v>
      </c>
      <c r="BU169">
        <v>261696</v>
      </c>
      <c r="BV169">
        <v>271212</v>
      </c>
      <c r="BW169">
        <v>248158</v>
      </c>
      <c r="BX169">
        <v>280215</v>
      </c>
      <c r="BY169">
        <v>418817</v>
      </c>
      <c r="BZ169">
        <v>379211</v>
      </c>
      <c r="CA169">
        <v>386621</v>
      </c>
    </row>
    <row r="170" spans="2:79" x14ac:dyDescent="0.3">
      <c r="B170" s="9">
        <v>168</v>
      </c>
      <c r="C170" s="49">
        <v>10557</v>
      </c>
      <c r="D170" s="9">
        <f>YEAR(Tabla1[[#This Row],[Date]])</f>
        <v>1928</v>
      </c>
      <c r="E170" s="9" t="str" cm="1">
        <f t="array" ref="E170">IFERROR(_xlfn.IFS(AND(D170&lt;1980,D170&gt;=1970),"70",AND(D170&lt;1990,D170&gt;=1980),"80",AND(D170&lt;2000,D170&gt;=1990),"90",AND(D170&lt;2010,D170&gt;=2000),"00",AND(D170&lt;=2019,D170&gt;=2010),"10"),"1908-1970")</f>
        <v>1908-1970</v>
      </c>
      <c r="F170" s="3" t="s">
        <v>28931</v>
      </c>
      <c r="G170" t="s">
        <v>5652</v>
      </c>
      <c r="H170" t="s">
        <v>5658</v>
      </c>
      <c r="I170" t="s">
        <v>28931</v>
      </c>
      <c r="J170" t="s">
        <v>5659</v>
      </c>
      <c r="K170" t="s">
        <v>5660</v>
      </c>
      <c r="L170" s="7" t="s">
        <v>5661</v>
      </c>
      <c r="M170">
        <v>525</v>
      </c>
      <c r="N170">
        <v>1</v>
      </c>
      <c r="O170">
        <v>0</v>
      </c>
      <c r="P170">
        <v>1</v>
      </c>
      <c r="Q170">
        <v>1</v>
      </c>
      <c r="R170">
        <v>0</v>
      </c>
      <c r="S170">
        <v>1</v>
      </c>
      <c r="T170">
        <v>0</v>
      </c>
      <c r="U170" t="s">
        <v>5662</v>
      </c>
      <c r="V170">
        <f>Tabla1[[#This Row],[Aboard]]-Tabla1[[#This Row],[Fatalities]]</f>
        <v>0</v>
      </c>
      <c r="W170" s="50">
        <f>IFERROR(Tabla1[[#This Row],[Fatalities]]/Tabla1[[#This Row],[Aboard]],0)</f>
        <v>1</v>
      </c>
      <c r="X170" s="51" t="str" cm="1">
        <f t="array" ref="X170">_xlfn.IFS(Tabla1[[#This Row],[Porcentaje de muertes]]&lt;0.35,"LEVE",AND(Tabla1[[#This Row],[Porcentaje de muertes]]&gt;0.35,Tabla1[[#This Row],[Porcentaje de muertes]]&lt;0.65),"MEDIO",Tabla1[[#This Row],[Porcentaje de muertes]]&gt;0.65,"GRAVE")</f>
        <v>GRAVE</v>
      </c>
      <c r="AB170" t="s">
        <v>28684</v>
      </c>
      <c r="AC170" t="s">
        <v>28685</v>
      </c>
      <c r="AD170">
        <v>23000</v>
      </c>
      <c r="AE170">
        <v>24200</v>
      </c>
      <c r="AF170">
        <v>25200</v>
      </c>
      <c r="AG170">
        <v>24000</v>
      </c>
      <c r="AH170">
        <v>28000</v>
      </c>
      <c r="AI170">
        <v>30000</v>
      </c>
      <c r="AJ170">
        <v>33000</v>
      </c>
      <c r="AK170">
        <v>30100</v>
      </c>
      <c r="AL170">
        <v>55000</v>
      </c>
      <c r="AM170">
        <v>82300</v>
      </c>
      <c r="AN170">
        <v>83700</v>
      </c>
      <c r="AO170">
        <v>102200</v>
      </c>
      <c r="AP170">
        <v>106400</v>
      </c>
      <c r="AQ170">
        <v>122900</v>
      </c>
      <c r="AR170">
        <v>155000</v>
      </c>
      <c r="AS170">
        <v>182800</v>
      </c>
      <c r="AT170">
        <v>199700</v>
      </c>
      <c r="AU170">
        <v>285400</v>
      </c>
      <c r="AV170">
        <v>383700</v>
      </c>
      <c r="AW170">
        <v>423800</v>
      </c>
      <c r="AX170">
        <v>519700</v>
      </c>
      <c r="AY170">
        <v>525300</v>
      </c>
      <c r="AZ170">
        <v>578100</v>
      </c>
      <c r="BA170">
        <v>581900</v>
      </c>
      <c r="BB170">
        <v>635900</v>
      </c>
      <c r="BC170">
        <v>675800</v>
      </c>
      <c r="BD170">
        <v>716900</v>
      </c>
      <c r="BE170">
        <v>803900</v>
      </c>
      <c r="BF170">
        <v>847500</v>
      </c>
      <c r="BG170">
        <v>823200</v>
      </c>
      <c r="BH170">
        <v>949085</v>
      </c>
      <c r="BI170">
        <v>1002282</v>
      </c>
      <c r="BJ170">
        <v>1029466</v>
      </c>
      <c r="BK170">
        <v>1042773</v>
      </c>
      <c r="BL170">
        <v>1088696</v>
      </c>
      <c r="BM170">
        <v>1145737</v>
      </c>
      <c r="BN170">
        <v>1056496</v>
      </c>
      <c r="BO170">
        <v>1277957</v>
      </c>
      <c r="BP170">
        <v>1256746</v>
      </c>
      <c r="BQ170">
        <v>1092580</v>
      </c>
      <c r="BR170">
        <v>1265458</v>
      </c>
      <c r="BS170">
        <v>1321491</v>
      </c>
      <c r="BT170">
        <v>1313976</v>
      </c>
      <c r="BU170">
        <v>1318052</v>
      </c>
      <c r="BV170">
        <v>1354388</v>
      </c>
      <c r="BW170">
        <v>1466527</v>
      </c>
      <c r="BX170">
        <v>1593666</v>
      </c>
      <c r="BY170">
        <v>1674395</v>
      </c>
      <c r="BZ170">
        <v>1745291</v>
      </c>
      <c r="CA170">
        <v>1726868</v>
      </c>
    </row>
    <row r="171" spans="2:79" x14ac:dyDescent="0.3">
      <c r="B171" s="9">
        <v>169</v>
      </c>
      <c r="C171" s="49">
        <v>10557</v>
      </c>
      <c r="D171" s="9">
        <f>YEAR(Tabla1[[#This Row],[Date]])</f>
        <v>1928</v>
      </c>
      <c r="E171" s="9" t="str" cm="1">
        <f t="array" ref="E171">IFERROR(_xlfn.IFS(AND(D171&lt;1980,D171&gt;=1970),"70",AND(D171&lt;1990,D171&gt;=1980),"80",AND(D171&lt;2000,D171&gt;=1990),"90",AND(D171&lt;2010,D171&gt;=2000),"00",AND(D171&lt;=2019,D171&gt;=2010),"10"),"1908-1970")</f>
        <v>1908-1970</v>
      </c>
      <c r="F171" s="3" t="s">
        <v>28931</v>
      </c>
      <c r="G171" t="s">
        <v>5663</v>
      </c>
      <c r="H171" t="s">
        <v>5524</v>
      </c>
      <c r="I171" t="s">
        <v>28931</v>
      </c>
      <c r="J171" t="s">
        <v>28931</v>
      </c>
      <c r="K171" t="s">
        <v>5472</v>
      </c>
      <c r="L171" s="7" t="s">
        <v>5664</v>
      </c>
      <c r="M171">
        <v>650</v>
      </c>
      <c r="N171">
        <v>1</v>
      </c>
      <c r="O171">
        <v>0</v>
      </c>
      <c r="P171">
        <v>1</v>
      </c>
      <c r="Q171">
        <v>1</v>
      </c>
      <c r="R171">
        <v>0</v>
      </c>
      <c r="S171">
        <v>1</v>
      </c>
      <c r="T171">
        <v>0</v>
      </c>
      <c r="U171" t="s">
        <v>5665</v>
      </c>
      <c r="V171">
        <f>Tabla1[[#This Row],[Aboard]]-Tabla1[[#This Row],[Fatalities]]</f>
        <v>0</v>
      </c>
      <c r="W171" s="50">
        <f>IFERROR(Tabla1[[#This Row],[Fatalities]]/Tabla1[[#This Row],[Aboard]],0)</f>
        <v>1</v>
      </c>
      <c r="X171" s="51" t="str" cm="1">
        <f t="array" ref="X171">_xlfn.IFS(Tabla1[[#This Row],[Porcentaje de muertes]]&lt;0.35,"LEVE",AND(Tabla1[[#This Row],[Porcentaje de muertes]]&gt;0.35,Tabla1[[#This Row],[Porcentaje de muertes]]&lt;0.65),"MEDIO",Tabla1[[#This Row],[Porcentaje de muertes]]&gt;0.65,"GRAVE")</f>
        <v>GRAVE</v>
      </c>
      <c r="AB171" t="s">
        <v>28686</v>
      </c>
      <c r="AC171" t="s">
        <v>28687</v>
      </c>
      <c r="AD171">
        <v>51700</v>
      </c>
      <c r="AE171">
        <v>66100</v>
      </c>
      <c r="AF171">
        <v>74700</v>
      </c>
      <c r="AG171">
        <v>90400</v>
      </c>
      <c r="AH171">
        <v>98300</v>
      </c>
      <c r="AI171">
        <v>122400</v>
      </c>
      <c r="AJ171">
        <v>93700</v>
      </c>
      <c r="AK171">
        <v>100300</v>
      </c>
      <c r="AL171">
        <v>106400</v>
      </c>
      <c r="AM171">
        <v>111700</v>
      </c>
      <c r="AN171">
        <v>94000</v>
      </c>
      <c r="AO171">
        <v>107600</v>
      </c>
      <c r="AP171">
        <v>130300</v>
      </c>
      <c r="AQ171">
        <v>96900</v>
      </c>
      <c r="AR171">
        <v>127000</v>
      </c>
      <c r="AS171">
        <v>140400</v>
      </c>
      <c r="AT171">
        <v>140200</v>
      </c>
      <c r="AU171">
        <v>114200</v>
      </c>
      <c r="AV171">
        <v>115800</v>
      </c>
      <c r="AW171">
        <v>121200</v>
      </c>
      <c r="AX171">
        <v>120300</v>
      </c>
      <c r="AY171">
        <v>120100</v>
      </c>
      <c r="AZ171">
        <v>121400</v>
      </c>
      <c r="BA171">
        <v>132100</v>
      </c>
      <c r="BB171">
        <v>141600</v>
      </c>
      <c r="BC171">
        <v>148700</v>
      </c>
      <c r="BD171">
        <v>152500</v>
      </c>
      <c r="BE171">
        <v>158300</v>
      </c>
      <c r="BF171">
        <v>157700</v>
      </c>
      <c r="BG171">
        <v>112300</v>
      </c>
      <c r="BH171">
        <v>115831</v>
      </c>
      <c r="BI171">
        <v>112560</v>
      </c>
      <c r="BJ171">
        <v>104711</v>
      </c>
      <c r="BK171">
        <v>108854</v>
      </c>
      <c r="BL171">
        <v>122477</v>
      </c>
      <c r="BM171">
        <v>132275</v>
      </c>
      <c r="BN171">
        <v>145747</v>
      </c>
      <c r="BO171">
        <v>154837</v>
      </c>
      <c r="BP171">
        <v>159917</v>
      </c>
      <c r="BQ171">
        <v>157007</v>
      </c>
      <c r="BR171">
        <v>91520.189400000003</v>
      </c>
      <c r="BS171">
        <v>82709.544989999995</v>
      </c>
      <c r="BT171">
        <v>53518.998</v>
      </c>
      <c r="BU171">
        <v>5856</v>
      </c>
      <c r="BV171">
        <v>5856</v>
      </c>
      <c r="BW171">
        <v>6011</v>
      </c>
      <c r="BX171">
        <v>6744</v>
      </c>
      <c r="BY171">
        <v>10545</v>
      </c>
      <c r="BZ171">
        <v>10545</v>
      </c>
      <c r="CA171">
        <v>7117</v>
      </c>
    </row>
    <row r="172" spans="2:79" x14ac:dyDescent="0.3">
      <c r="B172" s="9">
        <v>170</v>
      </c>
      <c r="C172" s="49">
        <v>10239</v>
      </c>
      <c r="D172" s="9">
        <f>YEAR(Tabla1[[#This Row],[Date]])</f>
        <v>1928</v>
      </c>
      <c r="E172" s="9" t="str" cm="1">
        <f t="array" ref="E172">IFERROR(_xlfn.IFS(AND(D172&lt;1980,D172&gt;=1970),"70",AND(D172&lt;1990,D172&gt;=1980),"80",AND(D172&lt;2000,D172&gt;=1990),"90",AND(D172&lt;2010,D172&gt;=2000),"00",AND(D172&lt;=2019,D172&gt;=2010),"10"),"1908-1970")</f>
        <v>1908-1970</v>
      </c>
      <c r="F172" s="3">
        <v>0.41666666666666669</v>
      </c>
      <c r="G172" t="s">
        <v>5666</v>
      </c>
      <c r="H172" t="s">
        <v>5667</v>
      </c>
      <c r="I172" t="s">
        <v>28931</v>
      </c>
      <c r="J172" t="s">
        <v>5668</v>
      </c>
      <c r="K172" t="s">
        <v>5613</v>
      </c>
      <c r="L172" s="7" t="s">
        <v>5669</v>
      </c>
      <c r="M172" t="s">
        <v>5670</v>
      </c>
      <c r="N172">
        <v>5</v>
      </c>
      <c r="O172">
        <v>4</v>
      </c>
      <c r="P172">
        <v>1</v>
      </c>
      <c r="Q172">
        <v>5</v>
      </c>
      <c r="R172">
        <v>4</v>
      </c>
      <c r="S172">
        <v>1</v>
      </c>
      <c r="T172">
        <v>0</v>
      </c>
      <c r="U172" t="s">
        <v>5671</v>
      </c>
      <c r="V172">
        <f>Tabla1[[#This Row],[Aboard]]-Tabla1[[#This Row],[Fatalities]]</f>
        <v>0</v>
      </c>
      <c r="W172" s="50">
        <f>IFERROR(Tabla1[[#This Row],[Fatalities]]/Tabla1[[#This Row],[Aboard]],0)</f>
        <v>1</v>
      </c>
      <c r="X172" s="51" t="str" cm="1">
        <f t="array" ref="X172">_xlfn.IFS(Tabla1[[#This Row],[Porcentaje de muertes]]&lt;0.35,"LEVE",AND(Tabla1[[#This Row],[Porcentaje de muertes]]&gt;0.35,Tabla1[[#This Row],[Porcentaje de muertes]]&lt;0.65),"MEDIO",Tabla1[[#This Row],[Porcentaje de muertes]]&gt;0.65,"GRAVE")</f>
        <v>GRAVE</v>
      </c>
      <c r="AB172" t="s">
        <v>28688</v>
      </c>
      <c r="AC172" t="s">
        <v>28689</v>
      </c>
      <c r="AD172">
        <v>748900</v>
      </c>
      <c r="AE172">
        <v>875100</v>
      </c>
      <c r="AF172">
        <v>1015600</v>
      </c>
      <c r="AG172">
        <v>1864400</v>
      </c>
      <c r="AH172">
        <v>2331900</v>
      </c>
      <c r="AI172">
        <v>2503600</v>
      </c>
      <c r="AJ172">
        <v>2671000</v>
      </c>
      <c r="AK172">
        <v>2864700</v>
      </c>
      <c r="AL172">
        <v>3096000</v>
      </c>
      <c r="AM172">
        <v>3489500</v>
      </c>
      <c r="AN172">
        <v>4516400</v>
      </c>
      <c r="AO172">
        <v>5347700</v>
      </c>
      <c r="AP172">
        <v>5241700</v>
      </c>
      <c r="AQ172">
        <v>5360900</v>
      </c>
      <c r="AR172">
        <v>5685400</v>
      </c>
      <c r="AS172">
        <v>5687000</v>
      </c>
      <c r="AT172">
        <v>6310500</v>
      </c>
      <c r="AU172">
        <v>7396100</v>
      </c>
      <c r="AV172">
        <v>7683600</v>
      </c>
      <c r="AW172">
        <v>8694600</v>
      </c>
      <c r="AX172">
        <v>10241500</v>
      </c>
      <c r="AY172">
        <v>11837400</v>
      </c>
      <c r="AZ172">
        <v>12756900</v>
      </c>
      <c r="BA172">
        <v>13101300</v>
      </c>
      <c r="BB172">
        <v>14249800</v>
      </c>
      <c r="BC172">
        <v>15417800</v>
      </c>
      <c r="BD172">
        <v>15117600</v>
      </c>
      <c r="BE172">
        <v>15591600</v>
      </c>
      <c r="BF172">
        <v>13654400</v>
      </c>
      <c r="BG172">
        <v>14984600</v>
      </c>
      <c r="BH172">
        <v>16560793</v>
      </c>
      <c r="BI172">
        <v>16107156</v>
      </c>
      <c r="BJ172">
        <v>16281275</v>
      </c>
      <c r="BK172">
        <v>16704600</v>
      </c>
      <c r="BL172">
        <v>19226564</v>
      </c>
      <c r="BM172">
        <v>20369086</v>
      </c>
      <c r="BN172">
        <v>17833364</v>
      </c>
      <c r="BO172">
        <v>21325754</v>
      </c>
      <c r="BP172">
        <v>22420870</v>
      </c>
      <c r="BQ172">
        <v>23766316</v>
      </c>
      <c r="BR172">
        <v>34239014.170000002</v>
      </c>
      <c r="BS172">
        <v>38218608.850000001</v>
      </c>
      <c r="BT172">
        <v>39165195.219999999</v>
      </c>
      <c r="BU172">
        <v>47995842</v>
      </c>
      <c r="BV172">
        <v>49673884</v>
      </c>
      <c r="BW172">
        <v>50345820</v>
      </c>
      <c r="BX172">
        <v>53817353</v>
      </c>
      <c r="BY172">
        <v>58711937</v>
      </c>
      <c r="BZ172">
        <v>60481772</v>
      </c>
      <c r="CA172">
        <v>63623130</v>
      </c>
    </row>
    <row r="173" spans="2:79" x14ac:dyDescent="0.3">
      <c r="B173" s="9">
        <v>171</v>
      </c>
      <c r="C173" s="49">
        <v>10299</v>
      </c>
      <c r="D173" s="9">
        <f>YEAR(Tabla1[[#This Row],[Date]])</f>
        <v>1928</v>
      </c>
      <c r="E173" s="9" t="str" cm="1">
        <f t="array" ref="E173">IFERROR(_xlfn.IFS(AND(D173&lt;1980,D173&gt;=1970),"70",AND(D173&lt;1990,D173&gt;=1980),"80",AND(D173&lt;2000,D173&gt;=1990),"90",AND(D173&lt;2010,D173&gt;=2000),"00",AND(D173&lt;=2019,D173&gt;=2010),"10"),"1908-1970")</f>
        <v>1908-1970</v>
      </c>
      <c r="F173" s="3">
        <v>0.33333333333333331</v>
      </c>
      <c r="G173" t="s">
        <v>5672</v>
      </c>
      <c r="H173" t="s">
        <v>5673</v>
      </c>
      <c r="I173" t="s">
        <v>28931</v>
      </c>
      <c r="J173" t="s">
        <v>5494</v>
      </c>
      <c r="K173" t="s">
        <v>5674</v>
      </c>
      <c r="L173" s="7" t="s">
        <v>5675</v>
      </c>
      <c r="M173">
        <v>83</v>
      </c>
      <c r="N173">
        <v>14</v>
      </c>
      <c r="O173">
        <v>9</v>
      </c>
      <c r="P173">
        <v>5</v>
      </c>
      <c r="Q173">
        <v>14</v>
      </c>
      <c r="R173">
        <v>9</v>
      </c>
      <c r="S173">
        <v>5</v>
      </c>
      <c r="T173">
        <v>0</v>
      </c>
      <c r="U173" t="s">
        <v>5676</v>
      </c>
      <c r="V173">
        <f>Tabla1[[#This Row],[Aboard]]-Tabla1[[#This Row],[Fatalities]]</f>
        <v>0</v>
      </c>
      <c r="W173" s="50">
        <f>IFERROR(Tabla1[[#This Row],[Fatalities]]/Tabla1[[#This Row],[Aboard]],0)</f>
        <v>1</v>
      </c>
      <c r="X173" s="51" t="str" cm="1">
        <f t="array" ref="X173">_xlfn.IFS(Tabla1[[#This Row],[Porcentaje de muertes]]&lt;0.35,"LEVE",AND(Tabla1[[#This Row],[Porcentaje de muertes]]&gt;0.35,Tabla1[[#This Row],[Porcentaje de muertes]]&lt;0.65),"MEDIO",Tabla1[[#This Row],[Porcentaje de muertes]]&gt;0.65,"GRAVE")</f>
        <v>GRAVE</v>
      </c>
      <c r="AB173" t="s">
        <v>28690</v>
      </c>
      <c r="AC173" t="s">
        <v>28691</v>
      </c>
      <c r="AD173">
        <v>173629292</v>
      </c>
      <c r="AE173">
        <v>184390404</v>
      </c>
      <c r="AF173">
        <v>202953908</v>
      </c>
      <c r="AG173">
        <v>216936000</v>
      </c>
      <c r="AH173">
        <v>223979900</v>
      </c>
      <c r="AI173">
        <v>221613300</v>
      </c>
      <c r="AJ173">
        <v>239850396</v>
      </c>
      <c r="AK173">
        <v>257611392</v>
      </c>
      <c r="AL173">
        <v>291497504</v>
      </c>
      <c r="AM173">
        <v>334470400</v>
      </c>
      <c r="AN173">
        <v>317782088</v>
      </c>
      <c r="AO173">
        <v>303183500</v>
      </c>
      <c r="AP173">
        <v>310646408</v>
      </c>
      <c r="AQ173">
        <v>333707996</v>
      </c>
      <c r="AR173">
        <v>359574088</v>
      </c>
      <c r="AS173">
        <v>391747504</v>
      </c>
      <c r="AT173">
        <v>434932996</v>
      </c>
      <c r="AU173">
        <v>461779204</v>
      </c>
      <c r="AV173">
        <v>476582312</v>
      </c>
      <c r="AW173">
        <v>474435304</v>
      </c>
      <c r="AX173">
        <v>485175416</v>
      </c>
      <c r="AY173">
        <v>468602404</v>
      </c>
      <c r="AZ173">
        <v>483783292</v>
      </c>
      <c r="BA173">
        <v>487442612</v>
      </c>
      <c r="BB173">
        <v>533028800</v>
      </c>
      <c r="BC173">
        <v>553803196</v>
      </c>
      <c r="BD173">
        <v>593928000</v>
      </c>
      <c r="BE173">
        <v>614552892</v>
      </c>
      <c r="BF173">
        <v>612824180</v>
      </c>
      <c r="BG173">
        <v>658966608</v>
      </c>
      <c r="BH173">
        <v>707095388</v>
      </c>
      <c r="BI173">
        <v>662639760</v>
      </c>
      <c r="BJ173">
        <v>621733444</v>
      </c>
      <c r="BK173">
        <v>624881527</v>
      </c>
      <c r="BL173">
        <v>718811915</v>
      </c>
      <c r="BM173">
        <v>765777598</v>
      </c>
      <c r="BN173">
        <v>772257943</v>
      </c>
      <c r="BO173">
        <v>796405857</v>
      </c>
      <c r="BP173">
        <v>755498308</v>
      </c>
      <c r="BQ173">
        <v>732006924</v>
      </c>
      <c r="BR173">
        <v>783774409.39999998</v>
      </c>
      <c r="BS173">
        <v>796874012</v>
      </c>
      <c r="BT173">
        <v>807166400.79999995</v>
      </c>
      <c r="BU173">
        <v>814697725.89999998</v>
      </c>
      <c r="BV173">
        <v>838238607</v>
      </c>
      <c r="BW173">
        <v>878450302</v>
      </c>
      <c r="BX173">
        <v>909445425</v>
      </c>
      <c r="BY173">
        <v>940807001</v>
      </c>
      <c r="BZ173">
        <v>980528000</v>
      </c>
      <c r="CA173">
        <v>1020089000</v>
      </c>
    </row>
    <row r="174" spans="2:79" x14ac:dyDescent="0.3">
      <c r="B174" s="9">
        <v>172</v>
      </c>
      <c r="C174" s="49">
        <v>10513</v>
      </c>
      <c r="D174" s="9">
        <f>YEAR(Tabla1[[#This Row],[Date]])</f>
        <v>1928</v>
      </c>
      <c r="E174" s="9" t="str" cm="1">
        <f t="array" ref="E174">IFERROR(_xlfn.IFS(AND(D174&lt;1980,D174&gt;=1970),"70",AND(D174&lt;1990,D174&gt;=1980),"80",AND(D174&lt;2000,D174&gt;=1990),"90",AND(D174&lt;2010,D174&gt;=2000),"00",AND(D174&lt;=2019,D174&gt;=2010),"10"),"1908-1970")</f>
        <v>1908-1970</v>
      </c>
      <c r="F174" s="3">
        <v>0.44791666666666669</v>
      </c>
      <c r="G174" t="s">
        <v>5677</v>
      </c>
      <c r="H174" t="s">
        <v>5678</v>
      </c>
      <c r="I174" t="s">
        <v>28931</v>
      </c>
      <c r="J174" t="s">
        <v>5679</v>
      </c>
      <c r="K174" t="s">
        <v>5680</v>
      </c>
      <c r="L174" s="7" t="s">
        <v>5681</v>
      </c>
      <c r="M174" t="s">
        <v>5682</v>
      </c>
      <c r="N174">
        <v>5</v>
      </c>
      <c r="O174">
        <v>3</v>
      </c>
      <c r="P174">
        <v>2</v>
      </c>
      <c r="Q174">
        <v>5</v>
      </c>
      <c r="R174">
        <v>3</v>
      </c>
      <c r="S174">
        <v>2</v>
      </c>
      <c r="T174">
        <v>0</v>
      </c>
      <c r="U174" t="s">
        <v>5683</v>
      </c>
      <c r="V174">
        <f>Tabla1[[#This Row],[Aboard]]-Tabla1[[#This Row],[Fatalities]]</f>
        <v>0</v>
      </c>
      <c r="W174" s="50">
        <f>IFERROR(Tabla1[[#This Row],[Fatalities]]/Tabla1[[#This Row],[Aboard]],0)</f>
        <v>1</v>
      </c>
      <c r="X174" s="51" t="str" cm="1">
        <f t="array" ref="X174">_xlfn.IFS(Tabla1[[#This Row],[Porcentaje de muertes]]&lt;0.35,"LEVE",AND(Tabla1[[#This Row],[Porcentaje de muertes]]&gt;0.35,Tabla1[[#This Row],[Porcentaje de muertes]]&lt;0.65),"MEDIO",Tabla1[[#This Row],[Porcentaje de muertes]]&gt;0.65,"GRAVE")</f>
        <v>GRAVE</v>
      </c>
      <c r="AB174" t="s">
        <v>28692</v>
      </c>
      <c r="AC174" t="s">
        <v>28693</v>
      </c>
      <c r="AD174" t="s">
        <v>28966</v>
      </c>
      <c r="AE174" t="s">
        <v>28966</v>
      </c>
      <c r="AF174" t="s">
        <v>28966</v>
      </c>
      <c r="AG174" t="s">
        <v>28966</v>
      </c>
      <c r="AH174" t="s">
        <v>28966</v>
      </c>
      <c r="AI174" t="s">
        <v>28966</v>
      </c>
      <c r="AJ174" t="s">
        <v>28966</v>
      </c>
      <c r="AK174" t="s">
        <v>28966</v>
      </c>
      <c r="AL174" t="s">
        <v>28966</v>
      </c>
      <c r="AM174" t="s">
        <v>28966</v>
      </c>
      <c r="AN174" t="s">
        <v>28966</v>
      </c>
      <c r="AO174" t="s">
        <v>28966</v>
      </c>
      <c r="AP174" t="s">
        <v>28966</v>
      </c>
      <c r="AQ174" t="s">
        <v>28966</v>
      </c>
      <c r="AR174" t="s">
        <v>28966</v>
      </c>
      <c r="AS174" t="s">
        <v>28966</v>
      </c>
      <c r="AT174" t="s">
        <v>28966</v>
      </c>
      <c r="AU174" t="s">
        <v>28966</v>
      </c>
      <c r="AV174" t="s">
        <v>28966</v>
      </c>
      <c r="AW174" t="s">
        <v>28966</v>
      </c>
      <c r="AX174" t="s">
        <v>28966</v>
      </c>
      <c r="AY174">
        <v>455000</v>
      </c>
      <c r="AZ174">
        <v>163200</v>
      </c>
      <c r="BA174">
        <v>178700</v>
      </c>
      <c r="BB174">
        <v>198800</v>
      </c>
      <c r="BC174">
        <v>224600</v>
      </c>
      <c r="BD174">
        <v>236800</v>
      </c>
      <c r="BE174">
        <v>214500</v>
      </c>
      <c r="BF174">
        <v>213700</v>
      </c>
      <c r="BG174">
        <v>214100</v>
      </c>
      <c r="BH174">
        <v>247147</v>
      </c>
      <c r="BI174">
        <v>215237</v>
      </c>
      <c r="BJ174">
        <v>222009</v>
      </c>
      <c r="BK174">
        <v>265655</v>
      </c>
      <c r="BL174">
        <v>282915</v>
      </c>
      <c r="BM174">
        <v>399280</v>
      </c>
      <c r="BN174">
        <v>400947</v>
      </c>
      <c r="BO174">
        <v>430741</v>
      </c>
      <c r="BP174">
        <v>452167</v>
      </c>
      <c r="BQ174">
        <v>454855</v>
      </c>
      <c r="BR174">
        <v>485849</v>
      </c>
      <c r="BS174">
        <v>540867.9</v>
      </c>
      <c r="BT174">
        <v>632330.08499999996</v>
      </c>
      <c r="BU174">
        <v>510000</v>
      </c>
      <c r="BV174">
        <v>522216</v>
      </c>
      <c r="BW174">
        <v>553322</v>
      </c>
      <c r="BX174">
        <v>558713</v>
      </c>
      <c r="BY174">
        <v>623076</v>
      </c>
      <c r="BZ174">
        <v>602893</v>
      </c>
      <c r="CA174">
        <v>212578</v>
      </c>
    </row>
    <row r="175" spans="2:79" x14ac:dyDescent="0.3">
      <c r="B175" s="9">
        <v>173</v>
      </c>
      <c r="C175" s="49">
        <v>10544</v>
      </c>
      <c r="D175" s="9">
        <f>YEAR(Tabla1[[#This Row],[Date]])</f>
        <v>1928</v>
      </c>
      <c r="E175" s="9" t="str" cm="1">
        <f t="array" ref="E175">IFERROR(_xlfn.IFS(AND(D175&lt;1980,D175&gt;=1970),"70",AND(D175&lt;1990,D175&gt;=1980),"80",AND(D175&lt;2000,D175&gt;=1990),"90",AND(D175&lt;2010,D175&gt;=2000),"00",AND(D175&lt;=2019,D175&gt;=2010),"10"),"1908-1970")</f>
        <v>1908-1970</v>
      </c>
      <c r="F175" s="3" t="s">
        <v>28931</v>
      </c>
      <c r="G175" t="s">
        <v>5684</v>
      </c>
      <c r="H175" t="s">
        <v>5417</v>
      </c>
      <c r="I175" t="s">
        <v>28931</v>
      </c>
      <c r="J175" t="s">
        <v>5685</v>
      </c>
      <c r="K175" t="s">
        <v>5686</v>
      </c>
      <c r="L175" s="7" t="s">
        <v>5687</v>
      </c>
      <c r="M175">
        <v>3005</v>
      </c>
      <c r="N175">
        <v>4</v>
      </c>
      <c r="O175">
        <v>1</v>
      </c>
      <c r="P175">
        <v>3</v>
      </c>
      <c r="Q175">
        <v>3</v>
      </c>
      <c r="R175">
        <v>0</v>
      </c>
      <c r="S175">
        <v>3</v>
      </c>
      <c r="T175">
        <v>0</v>
      </c>
      <c r="U175" t="s">
        <v>5688</v>
      </c>
      <c r="V175">
        <f>Tabla1[[#This Row],[Aboard]]-Tabla1[[#This Row],[Fatalities]]</f>
        <v>1</v>
      </c>
      <c r="W175" s="50">
        <f>IFERROR(Tabla1[[#This Row],[Fatalities]]/Tabla1[[#This Row],[Aboard]],0)</f>
        <v>0.75</v>
      </c>
      <c r="X175" s="51" t="str" cm="1">
        <f t="array" ref="X175">_xlfn.IFS(Tabla1[[#This Row],[Porcentaje de muertes]]&lt;0.35,"LEVE",AND(Tabla1[[#This Row],[Porcentaje de muertes]]&gt;0.35,Tabla1[[#This Row],[Porcentaje de muertes]]&lt;0.65),"MEDIO",Tabla1[[#This Row],[Porcentaje de muertes]]&gt;0.65,"GRAVE")</f>
        <v>GRAVE</v>
      </c>
      <c r="AB175" t="s">
        <v>28694</v>
      </c>
      <c r="AC175" t="s">
        <v>28695</v>
      </c>
      <c r="AD175" t="s">
        <v>28966</v>
      </c>
      <c r="AE175" t="s">
        <v>28966</v>
      </c>
      <c r="AF175" t="s">
        <v>28966</v>
      </c>
      <c r="AG175" t="s">
        <v>28966</v>
      </c>
      <c r="AH175" t="s">
        <v>28966</v>
      </c>
      <c r="AI175" t="s">
        <v>28966</v>
      </c>
      <c r="AJ175" t="s">
        <v>28966</v>
      </c>
      <c r="AK175" t="s">
        <v>28966</v>
      </c>
      <c r="AL175" t="s">
        <v>28966</v>
      </c>
      <c r="AM175" t="s">
        <v>28966</v>
      </c>
      <c r="AN175" t="s">
        <v>28966</v>
      </c>
      <c r="AO175" t="s">
        <v>28966</v>
      </c>
      <c r="AP175" t="s">
        <v>28966</v>
      </c>
      <c r="AQ175" t="s">
        <v>28966</v>
      </c>
      <c r="AR175" t="s">
        <v>28966</v>
      </c>
      <c r="AS175" t="s">
        <v>28966</v>
      </c>
      <c r="AT175" t="s">
        <v>28966</v>
      </c>
      <c r="AU175" t="s">
        <v>28966</v>
      </c>
      <c r="AV175" t="s">
        <v>28966</v>
      </c>
      <c r="AW175" t="s">
        <v>28966</v>
      </c>
      <c r="AX175" t="s">
        <v>28966</v>
      </c>
      <c r="AY175" t="s">
        <v>28966</v>
      </c>
      <c r="AZ175" t="s">
        <v>28966</v>
      </c>
      <c r="BA175" t="s">
        <v>28966</v>
      </c>
      <c r="BB175" t="s">
        <v>28966</v>
      </c>
      <c r="BC175" t="s">
        <v>28966</v>
      </c>
      <c r="BD175" t="s">
        <v>28966</v>
      </c>
      <c r="BE175" t="s">
        <v>28966</v>
      </c>
      <c r="BF175" t="s">
        <v>28966</v>
      </c>
      <c r="BG175" t="s">
        <v>28966</v>
      </c>
      <c r="BH175" t="s">
        <v>28966</v>
      </c>
      <c r="BI175" t="s">
        <v>28966</v>
      </c>
      <c r="BJ175" t="s">
        <v>28966</v>
      </c>
      <c r="BK175" t="s">
        <v>28966</v>
      </c>
      <c r="BL175" t="s">
        <v>28966</v>
      </c>
      <c r="BM175" t="s">
        <v>28966</v>
      </c>
      <c r="BN175" t="s">
        <v>28966</v>
      </c>
      <c r="BO175" t="s">
        <v>28966</v>
      </c>
      <c r="BP175" t="s">
        <v>28966</v>
      </c>
      <c r="BQ175" t="s">
        <v>28966</v>
      </c>
      <c r="BR175" t="s">
        <v>28966</v>
      </c>
      <c r="BS175" t="s">
        <v>28966</v>
      </c>
      <c r="BT175" t="s">
        <v>28966</v>
      </c>
      <c r="BU175" t="s">
        <v>28966</v>
      </c>
      <c r="BV175" t="s">
        <v>28966</v>
      </c>
      <c r="BW175" t="s">
        <v>28966</v>
      </c>
      <c r="BX175" t="s">
        <v>28966</v>
      </c>
      <c r="BY175" t="s">
        <v>28966</v>
      </c>
      <c r="BZ175" t="s">
        <v>28966</v>
      </c>
      <c r="CA175" t="s">
        <v>28966</v>
      </c>
    </row>
    <row r="176" spans="2:79" x14ac:dyDescent="0.3">
      <c r="B176" s="9">
        <v>174</v>
      </c>
      <c r="C176" s="49">
        <v>10582</v>
      </c>
      <c r="D176" s="9">
        <f>YEAR(Tabla1[[#This Row],[Date]])</f>
        <v>1928</v>
      </c>
      <c r="E176" s="9" t="str" cm="1">
        <f t="array" ref="E176">IFERROR(_xlfn.IFS(AND(D176&lt;1980,D176&gt;=1970),"70",AND(D176&lt;1990,D176&gt;=1980),"80",AND(D176&lt;2000,D176&gt;=1990),"90",AND(D176&lt;2010,D176&gt;=2000),"00",AND(D176&lt;=2019,D176&gt;=2010),"10"),"1908-1970")</f>
        <v>1908-1970</v>
      </c>
      <c r="F176" s="3" t="s">
        <v>28931</v>
      </c>
      <c r="G176" t="s">
        <v>5689</v>
      </c>
      <c r="H176" t="s">
        <v>5524</v>
      </c>
      <c r="I176" t="s">
        <v>28931</v>
      </c>
      <c r="J176" t="s">
        <v>5654</v>
      </c>
      <c r="K176" t="s">
        <v>5472</v>
      </c>
      <c r="L176" s="7" t="s">
        <v>5690</v>
      </c>
      <c r="M176">
        <v>653</v>
      </c>
      <c r="N176">
        <v>1</v>
      </c>
      <c r="O176">
        <v>0</v>
      </c>
      <c r="P176">
        <v>1</v>
      </c>
      <c r="Q176">
        <v>1</v>
      </c>
      <c r="R176">
        <v>0</v>
      </c>
      <c r="S176">
        <v>1</v>
      </c>
      <c r="T176">
        <v>0</v>
      </c>
      <c r="U176" t="s">
        <v>5691</v>
      </c>
      <c r="V176">
        <f>Tabla1[[#This Row],[Aboard]]-Tabla1[[#This Row],[Fatalities]]</f>
        <v>0</v>
      </c>
      <c r="W176" s="50">
        <f>IFERROR(Tabla1[[#This Row],[Fatalities]]/Tabla1[[#This Row],[Aboard]],0)</f>
        <v>1</v>
      </c>
      <c r="X176" s="51" t="str" cm="1">
        <f t="array" ref="X176">_xlfn.IFS(Tabla1[[#This Row],[Porcentaje de muertes]]&lt;0.35,"LEVE",AND(Tabla1[[#This Row],[Porcentaje de muertes]]&gt;0.35,Tabla1[[#This Row],[Porcentaje de muertes]]&lt;0.65),"MEDIO",Tabla1[[#This Row],[Porcentaje de muertes]]&gt;0.65,"GRAVE")</f>
        <v>GRAVE</v>
      </c>
      <c r="AB176" t="s">
        <v>28696</v>
      </c>
      <c r="AC176" t="s">
        <v>28697</v>
      </c>
      <c r="AD176">
        <v>54700</v>
      </c>
      <c r="AE176">
        <v>56700</v>
      </c>
      <c r="AF176">
        <v>52900</v>
      </c>
      <c r="AG176">
        <v>57600</v>
      </c>
      <c r="AH176">
        <v>63500</v>
      </c>
      <c r="AI176">
        <v>69000</v>
      </c>
      <c r="AJ176">
        <v>75400</v>
      </c>
      <c r="AK176">
        <v>83400</v>
      </c>
      <c r="AL176">
        <v>94200</v>
      </c>
      <c r="AM176">
        <v>99300</v>
      </c>
      <c r="AN176">
        <v>111100</v>
      </c>
      <c r="AO176">
        <v>114100</v>
      </c>
      <c r="AP176">
        <v>116300</v>
      </c>
      <c r="AQ176">
        <v>117500</v>
      </c>
      <c r="AR176">
        <v>117700</v>
      </c>
      <c r="AS176">
        <v>73500</v>
      </c>
      <c r="AT176">
        <v>120000</v>
      </c>
      <c r="AU176">
        <v>111700</v>
      </c>
      <c r="AV176">
        <v>111300</v>
      </c>
      <c r="AW176">
        <v>74000</v>
      </c>
      <c r="AX176">
        <v>76300</v>
      </c>
      <c r="AY176">
        <v>66300</v>
      </c>
      <c r="AZ176">
        <v>66300</v>
      </c>
      <c r="BA176">
        <v>68200</v>
      </c>
      <c r="BB176">
        <v>69200</v>
      </c>
      <c r="BC176">
        <v>74100</v>
      </c>
      <c r="BD176">
        <v>75100</v>
      </c>
      <c r="BE176">
        <v>85500</v>
      </c>
      <c r="BF176">
        <v>90500</v>
      </c>
      <c r="BG176">
        <v>83900</v>
      </c>
      <c r="BH176">
        <v>77273</v>
      </c>
      <c r="BI176">
        <v>46364</v>
      </c>
      <c r="BJ176" t="s">
        <v>28966</v>
      </c>
      <c r="BK176" t="s">
        <v>28966</v>
      </c>
      <c r="BL176" t="s">
        <v>28966</v>
      </c>
      <c r="BM176" t="s">
        <v>28966</v>
      </c>
      <c r="BN176" t="s">
        <v>28966</v>
      </c>
      <c r="BO176" t="s">
        <v>28966</v>
      </c>
      <c r="BP176" t="s">
        <v>28966</v>
      </c>
      <c r="BQ176" t="s">
        <v>28966</v>
      </c>
      <c r="BR176">
        <v>0</v>
      </c>
      <c r="BS176">
        <v>0</v>
      </c>
      <c r="BT176">
        <v>119652</v>
      </c>
      <c r="BU176">
        <v>87936</v>
      </c>
      <c r="BV176">
        <v>13227.5</v>
      </c>
      <c r="BW176">
        <v>15243</v>
      </c>
      <c r="BX176">
        <v>15044</v>
      </c>
      <c r="BY176">
        <v>14713</v>
      </c>
      <c r="BZ176" t="s">
        <v>28966</v>
      </c>
      <c r="CA176" t="s">
        <v>28966</v>
      </c>
    </row>
    <row r="177" spans="2:79" x14ac:dyDescent="0.3">
      <c r="B177" s="9">
        <v>175</v>
      </c>
      <c r="C177" s="49">
        <v>10585</v>
      </c>
      <c r="D177" s="9">
        <f>YEAR(Tabla1[[#This Row],[Date]])</f>
        <v>1928</v>
      </c>
      <c r="E177" s="9" t="str" cm="1">
        <f t="array" ref="E177">IFERROR(_xlfn.IFS(AND(D177&lt;1980,D177&gt;=1970),"70",AND(D177&lt;1990,D177&gt;=1980),"80",AND(D177&lt;2000,D177&gt;=1990),"90",AND(D177&lt;2010,D177&gt;=2000),"00",AND(D177&lt;=2019,D177&gt;=2010),"10"),"1908-1970")</f>
        <v>1908-1970</v>
      </c>
      <c r="F177" s="3" t="s">
        <v>28931</v>
      </c>
      <c r="G177" t="s">
        <v>5692</v>
      </c>
      <c r="H177" t="s">
        <v>5693</v>
      </c>
      <c r="I177" t="s">
        <v>28931</v>
      </c>
      <c r="J177" t="s">
        <v>28931</v>
      </c>
      <c r="K177" t="s">
        <v>5512</v>
      </c>
      <c r="L177" s="7" t="s">
        <v>28931</v>
      </c>
      <c r="M177" t="s">
        <v>28931</v>
      </c>
      <c r="N177">
        <v>4</v>
      </c>
      <c r="O177">
        <v>3</v>
      </c>
      <c r="P177">
        <v>1</v>
      </c>
      <c r="Q177">
        <v>4</v>
      </c>
      <c r="R177">
        <v>3</v>
      </c>
      <c r="S177">
        <v>1</v>
      </c>
      <c r="T177">
        <v>0</v>
      </c>
      <c r="U177" t="s">
        <v>5694</v>
      </c>
      <c r="V177">
        <f>Tabla1[[#This Row],[Aboard]]-Tabla1[[#This Row],[Fatalities]]</f>
        <v>0</v>
      </c>
      <c r="W177" s="50">
        <f>IFERROR(Tabla1[[#This Row],[Fatalities]]/Tabla1[[#This Row],[Aboard]],0)</f>
        <v>1</v>
      </c>
      <c r="X177" s="51" t="str" cm="1">
        <f t="array" ref="X177">_xlfn.IFS(Tabla1[[#This Row],[Porcentaje de muertes]]&lt;0.35,"LEVE",AND(Tabla1[[#This Row],[Porcentaje de muertes]]&gt;0.35,Tabla1[[#This Row],[Porcentaje de muertes]]&lt;0.65),"MEDIO",Tabla1[[#This Row],[Porcentaje de muertes]]&gt;0.65,"GRAVE")</f>
        <v>GRAVE</v>
      </c>
      <c r="AB177" t="s">
        <v>28698</v>
      </c>
      <c r="AC177" t="s">
        <v>28699</v>
      </c>
      <c r="AD177">
        <v>173000</v>
      </c>
      <c r="AE177">
        <v>227100</v>
      </c>
      <c r="AF177">
        <v>286800</v>
      </c>
      <c r="AG177">
        <v>314100</v>
      </c>
      <c r="AH177">
        <v>430300</v>
      </c>
      <c r="AI177">
        <v>590400</v>
      </c>
      <c r="AJ177">
        <v>800800</v>
      </c>
      <c r="AK177">
        <v>1093900</v>
      </c>
      <c r="AL177">
        <v>1441000</v>
      </c>
      <c r="AM177">
        <v>1581300</v>
      </c>
      <c r="AN177">
        <v>1938500</v>
      </c>
      <c r="AO177">
        <v>2300200</v>
      </c>
      <c r="AP177">
        <v>2138400</v>
      </c>
      <c r="AQ177">
        <v>2221300</v>
      </c>
      <c r="AR177">
        <v>1945900</v>
      </c>
      <c r="AS177">
        <v>2575000</v>
      </c>
      <c r="AT177">
        <v>2134000</v>
      </c>
      <c r="AU177">
        <v>1614400</v>
      </c>
      <c r="AV177">
        <v>995000</v>
      </c>
      <c r="AW177">
        <v>848900</v>
      </c>
      <c r="AX177">
        <v>964800</v>
      </c>
      <c r="AY177">
        <v>930000</v>
      </c>
      <c r="AZ177">
        <v>646500</v>
      </c>
      <c r="BA177">
        <v>608400</v>
      </c>
      <c r="BB177">
        <v>664800</v>
      </c>
      <c r="BC177">
        <v>547900</v>
      </c>
      <c r="BD177">
        <v>221200</v>
      </c>
      <c r="BE177">
        <v>318200</v>
      </c>
      <c r="BF177">
        <v>313400</v>
      </c>
      <c r="BG177">
        <v>419700</v>
      </c>
      <c r="BH177">
        <v>507396</v>
      </c>
      <c r="BI177">
        <v>519453</v>
      </c>
      <c r="BJ177">
        <v>520278</v>
      </c>
      <c r="BK177">
        <v>520263</v>
      </c>
      <c r="BL177">
        <v>540461</v>
      </c>
      <c r="BM177">
        <v>747648</v>
      </c>
      <c r="BN177">
        <v>1307541</v>
      </c>
      <c r="BO177">
        <v>1363435</v>
      </c>
      <c r="BP177">
        <v>1460900</v>
      </c>
      <c r="BQ177">
        <v>1365343</v>
      </c>
      <c r="BR177">
        <v>4197375</v>
      </c>
      <c r="BS177">
        <v>4793913.2740000002</v>
      </c>
      <c r="BT177">
        <v>4716148.0810000002</v>
      </c>
      <c r="BU177">
        <v>4209624</v>
      </c>
      <c r="BV177">
        <v>4462001.63</v>
      </c>
      <c r="BW177">
        <v>4613169</v>
      </c>
      <c r="BX177">
        <v>4110075</v>
      </c>
      <c r="BY177">
        <v>4789878</v>
      </c>
      <c r="BZ177">
        <v>7786143.9939999999</v>
      </c>
      <c r="CA177">
        <v>6539048.3530000001</v>
      </c>
    </row>
    <row r="178" spans="2:79" x14ac:dyDescent="0.3">
      <c r="B178" s="9">
        <v>176</v>
      </c>
      <c r="C178" s="49">
        <v>10593</v>
      </c>
      <c r="D178" s="9">
        <f>YEAR(Tabla1[[#This Row],[Date]])</f>
        <v>1928</v>
      </c>
      <c r="E178" s="9" t="str" cm="1">
        <f t="array" ref="E178">IFERROR(_xlfn.IFS(AND(D178&lt;1980,D178&gt;=1970),"70",AND(D178&lt;1990,D178&gt;=1980),"80",AND(D178&lt;2000,D178&gt;=1990),"90",AND(D178&lt;2010,D178&gt;=2000),"00",AND(D178&lt;=2019,D178&gt;=2010),"10"),"1908-1970")</f>
        <v>1908-1970</v>
      </c>
      <c r="F178" s="3" t="s">
        <v>28931</v>
      </c>
      <c r="G178" t="s">
        <v>5695</v>
      </c>
      <c r="H178" t="s">
        <v>5377</v>
      </c>
      <c r="I178" t="s">
        <v>28931</v>
      </c>
      <c r="J178" t="s">
        <v>5257</v>
      </c>
      <c r="K178" t="s">
        <v>5696</v>
      </c>
      <c r="L178" s="7" t="s">
        <v>5697</v>
      </c>
      <c r="M178" t="s">
        <v>5698</v>
      </c>
      <c r="N178">
        <v>3</v>
      </c>
      <c r="O178">
        <v>2</v>
      </c>
      <c r="P178">
        <v>1</v>
      </c>
      <c r="Q178">
        <v>2</v>
      </c>
      <c r="R178">
        <v>2</v>
      </c>
      <c r="S178">
        <v>0</v>
      </c>
      <c r="T178">
        <v>0</v>
      </c>
      <c r="U178" t="s">
        <v>5699</v>
      </c>
      <c r="V178">
        <f>Tabla1[[#This Row],[Aboard]]-Tabla1[[#This Row],[Fatalities]]</f>
        <v>1</v>
      </c>
      <c r="W178" s="50">
        <f>IFERROR(Tabla1[[#This Row],[Fatalities]]/Tabla1[[#This Row],[Aboard]],0)</f>
        <v>0.66666666666666663</v>
      </c>
      <c r="X178" s="51" t="str" cm="1">
        <f t="array" ref="X178">_xlfn.IFS(Tabla1[[#This Row],[Porcentaje de muertes]]&lt;0.35,"LEVE",AND(Tabla1[[#This Row],[Porcentaje de muertes]]&gt;0.35,Tabla1[[#This Row],[Porcentaje de muertes]]&lt;0.65),"MEDIO",Tabla1[[#This Row],[Porcentaje de muertes]]&gt;0.65,"GRAVE")</f>
        <v>GRAVE</v>
      </c>
      <c r="AB178" t="s">
        <v>12689</v>
      </c>
      <c r="AC178" t="s">
        <v>28700</v>
      </c>
      <c r="AD178">
        <v>107100</v>
      </c>
      <c r="AE178">
        <v>137500</v>
      </c>
      <c r="AF178">
        <v>144000</v>
      </c>
      <c r="AG178">
        <v>77500</v>
      </c>
      <c r="AH178">
        <v>81000</v>
      </c>
      <c r="AI178">
        <v>85000</v>
      </c>
      <c r="AJ178">
        <v>89000</v>
      </c>
      <c r="AK178">
        <v>110000</v>
      </c>
      <c r="AL178">
        <v>110000</v>
      </c>
      <c r="AM178">
        <v>145000</v>
      </c>
      <c r="AN178">
        <v>115000</v>
      </c>
      <c r="AO178">
        <v>97000</v>
      </c>
      <c r="AP178">
        <v>100000</v>
      </c>
      <c r="AQ178">
        <v>95000</v>
      </c>
      <c r="AR178">
        <v>85000</v>
      </c>
      <c r="AS178">
        <v>90000</v>
      </c>
      <c r="AT178">
        <v>80900</v>
      </c>
      <c r="AU178">
        <v>85000</v>
      </c>
      <c r="AV178">
        <v>86500</v>
      </c>
      <c r="AW178">
        <v>109500</v>
      </c>
      <c r="AX178">
        <v>129600</v>
      </c>
      <c r="AY178">
        <v>129600</v>
      </c>
      <c r="AZ178">
        <v>159200</v>
      </c>
      <c r="BA178">
        <v>34000</v>
      </c>
      <c r="BB178">
        <v>43800</v>
      </c>
      <c r="BC178">
        <v>48200</v>
      </c>
      <c r="BD178">
        <v>51300</v>
      </c>
      <c r="BE178">
        <v>51300</v>
      </c>
      <c r="BF178">
        <v>51100</v>
      </c>
      <c r="BG178">
        <v>58700</v>
      </c>
      <c r="BH178">
        <v>61031</v>
      </c>
      <c r="BI178" t="s">
        <v>28966</v>
      </c>
      <c r="BJ178" t="s">
        <v>28966</v>
      </c>
      <c r="BK178" t="s">
        <v>28966</v>
      </c>
      <c r="BL178" t="s">
        <v>28966</v>
      </c>
      <c r="BM178" t="s">
        <v>28966</v>
      </c>
      <c r="BN178" t="s">
        <v>28966</v>
      </c>
      <c r="BO178" t="s">
        <v>28966</v>
      </c>
      <c r="BP178" t="s">
        <v>28966</v>
      </c>
      <c r="BQ178" t="s">
        <v>28966</v>
      </c>
      <c r="BR178" t="s">
        <v>28966</v>
      </c>
      <c r="BS178" t="s">
        <v>28966</v>
      </c>
      <c r="BT178" t="s">
        <v>28966</v>
      </c>
      <c r="BU178" t="s">
        <v>28966</v>
      </c>
      <c r="BV178" t="s">
        <v>28966</v>
      </c>
      <c r="BW178" t="s">
        <v>28966</v>
      </c>
      <c r="BX178" t="s">
        <v>28966</v>
      </c>
      <c r="BY178" t="s">
        <v>28966</v>
      </c>
      <c r="BZ178" t="s">
        <v>28966</v>
      </c>
      <c r="CA178" t="s">
        <v>28966</v>
      </c>
    </row>
    <row r="179" spans="2:79" x14ac:dyDescent="0.3">
      <c r="B179" s="9">
        <v>177</v>
      </c>
      <c r="C179" s="49">
        <v>10714</v>
      </c>
      <c r="D179" s="9">
        <f>YEAR(Tabla1[[#This Row],[Date]])</f>
        <v>1929</v>
      </c>
      <c r="E179" s="9" t="str" cm="1">
        <f t="array" ref="E179">IFERROR(_xlfn.IFS(AND(D179&lt;1980,D179&gt;=1970),"70",AND(D179&lt;1990,D179&gt;=1980),"80",AND(D179&lt;2000,D179&gt;=1990),"90",AND(D179&lt;2010,D179&gt;=2000),"00",AND(D179&lt;=2019,D179&gt;=2010),"10"),"1908-1970")</f>
        <v>1908-1970</v>
      </c>
      <c r="F179" s="3" t="s">
        <v>28931</v>
      </c>
      <c r="G179" t="s">
        <v>5700</v>
      </c>
      <c r="H179" t="s">
        <v>5488</v>
      </c>
      <c r="I179" t="s">
        <v>28931</v>
      </c>
      <c r="J179" t="s">
        <v>28931</v>
      </c>
      <c r="K179" t="s">
        <v>5512</v>
      </c>
      <c r="L179" s="7" t="s">
        <v>5701</v>
      </c>
      <c r="M179">
        <v>111</v>
      </c>
      <c r="N179">
        <v>1</v>
      </c>
      <c r="O179">
        <v>0</v>
      </c>
      <c r="P179">
        <v>1</v>
      </c>
      <c r="Q179">
        <v>1</v>
      </c>
      <c r="R179">
        <v>0</v>
      </c>
      <c r="S179">
        <v>1</v>
      </c>
      <c r="T179">
        <v>0</v>
      </c>
      <c r="U179" t="s">
        <v>5702</v>
      </c>
      <c r="V179">
        <f>Tabla1[[#This Row],[Aboard]]-Tabla1[[#This Row],[Fatalities]]</f>
        <v>0</v>
      </c>
      <c r="W179" s="50">
        <f>IFERROR(Tabla1[[#This Row],[Fatalities]]/Tabla1[[#This Row],[Aboard]],0)</f>
        <v>1</v>
      </c>
      <c r="X179" s="51" t="str" cm="1">
        <f t="array" ref="X179">_xlfn.IFS(Tabla1[[#This Row],[Porcentaje de muertes]]&lt;0.35,"LEVE",AND(Tabla1[[#This Row],[Porcentaje de muertes]]&gt;0.35,Tabla1[[#This Row],[Porcentaje de muertes]]&lt;0.65),"MEDIO",Tabla1[[#This Row],[Porcentaje de muertes]]&gt;0.65,"GRAVE")</f>
        <v>GRAVE</v>
      </c>
      <c r="AB179" t="s">
        <v>28701</v>
      </c>
      <c r="AC179" t="s">
        <v>28702</v>
      </c>
      <c r="AD179">
        <v>2881100</v>
      </c>
      <c r="AE179">
        <v>3012300</v>
      </c>
      <c r="AF179">
        <v>3275800</v>
      </c>
      <c r="AG179">
        <v>3682400</v>
      </c>
      <c r="AH179">
        <v>3627100</v>
      </c>
      <c r="AI179">
        <v>3827700</v>
      </c>
      <c r="AJ179">
        <v>4080900</v>
      </c>
      <c r="AK179">
        <v>4452000</v>
      </c>
      <c r="AL179">
        <v>4718300</v>
      </c>
      <c r="AM179">
        <v>4918900</v>
      </c>
      <c r="AN179">
        <v>4983800</v>
      </c>
      <c r="AO179">
        <v>5058000</v>
      </c>
      <c r="AP179">
        <v>5201900</v>
      </c>
      <c r="AQ179">
        <v>5278900</v>
      </c>
      <c r="AR179">
        <v>5654900</v>
      </c>
      <c r="AS179">
        <v>6027700</v>
      </c>
      <c r="AT179">
        <v>6382000</v>
      </c>
      <c r="AU179">
        <v>7403400</v>
      </c>
      <c r="AV179">
        <v>7860100</v>
      </c>
      <c r="AW179">
        <v>8253400</v>
      </c>
      <c r="AX179">
        <v>8559400</v>
      </c>
      <c r="AY179">
        <v>8893200</v>
      </c>
      <c r="AZ179">
        <v>10087800</v>
      </c>
      <c r="BA179">
        <v>11774600</v>
      </c>
      <c r="BB179">
        <v>12894800</v>
      </c>
      <c r="BC179">
        <v>16377900</v>
      </c>
      <c r="BD179">
        <v>17114300</v>
      </c>
      <c r="BE179">
        <v>17889900</v>
      </c>
      <c r="BF179">
        <v>18675500</v>
      </c>
      <c r="BG179">
        <v>19741200</v>
      </c>
      <c r="BH179">
        <v>20898713</v>
      </c>
      <c r="BI179">
        <v>20072980</v>
      </c>
      <c r="BJ179">
        <v>22931166</v>
      </c>
      <c r="BK179">
        <v>23454932</v>
      </c>
      <c r="BL179">
        <v>25595676</v>
      </c>
      <c r="BM179">
        <v>26132696</v>
      </c>
      <c r="BN179">
        <v>27454451</v>
      </c>
      <c r="BO179">
        <v>28857440</v>
      </c>
      <c r="BP179">
        <v>29601230</v>
      </c>
      <c r="BQ179">
        <v>29108547</v>
      </c>
      <c r="BR179">
        <v>26979676.629999999</v>
      </c>
      <c r="BS179">
        <v>29959476.399999999</v>
      </c>
      <c r="BT179">
        <v>31672223.98</v>
      </c>
      <c r="BU179">
        <v>33455251</v>
      </c>
      <c r="BV179">
        <v>33956338</v>
      </c>
      <c r="BW179">
        <v>35687843</v>
      </c>
      <c r="BX179">
        <v>40078714</v>
      </c>
      <c r="BY179">
        <v>42763443</v>
      </c>
      <c r="BZ179">
        <v>44417573.579999998</v>
      </c>
      <c r="CA179">
        <v>46358457.950000003</v>
      </c>
    </row>
    <row r="180" spans="2:79" x14ac:dyDescent="0.3">
      <c r="B180" s="9">
        <v>178</v>
      </c>
      <c r="C180" s="49">
        <v>10611</v>
      </c>
      <c r="D180" s="9">
        <f>YEAR(Tabla1[[#This Row],[Date]])</f>
        <v>1929</v>
      </c>
      <c r="E180" s="9" t="str" cm="1">
        <f t="array" ref="E180">IFERROR(_xlfn.IFS(AND(D180&lt;1980,D180&gt;=1970),"70",AND(D180&lt;1990,D180&gt;=1980),"80",AND(D180&lt;2000,D180&gt;=1990),"90",AND(D180&lt;2010,D180&gt;=2000),"00",AND(D180&lt;=2019,D180&gt;=2010),"10"),"1908-1970")</f>
        <v>1908-1970</v>
      </c>
      <c r="F180" s="3" t="s">
        <v>28931</v>
      </c>
      <c r="G180" t="s">
        <v>5703</v>
      </c>
      <c r="H180" t="s">
        <v>5465</v>
      </c>
      <c r="I180" t="s">
        <v>28931</v>
      </c>
      <c r="J180" t="s">
        <v>5704</v>
      </c>
      <c r="K180" t="s">
        <v>5705</v>
      </c>
      <c r="L180" s="7" t="s">
        <v>5706</v>
      </c>
      <c r="M180">
        <v>102</v>
      </c>
      <c r="N180">
        <v>1</v>
      </c>
      <c r="O180">
        <v>0</v>
      </c>
      <c r="P180">
        <v>1</v>
      </c>
      <c r="Q180">
        <v>1</v>
      </c>
      <c r="R180">
        <v>0</v>
      </c>
      <c r="S180">
        <v>1</v>
      </c>
      <c r="T180">
        <v>0</v>
      </c>
      <c r="U180" t="s">
        <v>5707</v>
      </c>
      <c r="V180">
        <f>Tabla1[[#This Row],[Aboard]]-Tabla1[[#This Row],[Fatalities]]</f>
        <v>0</v>
      </c>
      <c r="W180" s="50">
        <f>IFERROR(Tabla1[[#This Row],[Fatalities]]/Tabla1[[#This Row],[Aboard]],0)</f>
        <v>1</v>
      </c>
      <c r="X180" s="51" t="str" cm="1">
        <f t="array" ref="X180">_xlfn.IFS(Tabla1[[#This Row],[Porcentaje de muertes]]&lt;0.35,"LEVE",AND(Tabla1[[#This Row],[Porcentaje de muertes]]&gt;0.35,Tabla1[[#This Row],[Porcentaje de muertes]]&lt;0.65),"MEDIO",Tabla1[[#This Row],[Porcentaje de muertes]]&gt;0.65,"GRAVE")</f>
        <v>GRAVE</v>
      </c>
      <c r="AB180" t="s">
        <v>7857</v>
      </c>
      <c r="AC180" t="s">
        <v>28703</v>
      </c>
      <c r="AD180">
        <v>2412300</v>
      </c>
      <c r="AE180">
        <v>2791600</v>
      </c>
      <c r="AF180">
        <v>3101600</v>
      </c>
      <c r="AG180">
        <v>3342600</v>
      </c>
      <c r="AH180">
        <v>3367500</v>
      </c>
      <c r="AI180">
        <v>3530400</v>
      </c>
      <c r="AJ180">
        <v>3853500</v>
      </c>
      <c r="AK180">
        <v>4192500</v>
      </c>
      <c r="AL180">
        <v>4487400</v>
      </c>
      <c r="AM180">
        <v>4866900</v>
      </c>
      <c r="AN180">
        <v>4804400</v>
      </c>
      <c r="AO180">
        <v>4979400</v>
      </c>
      <c r="AP180">
        <v>5210400</v>
      </c>
      <c r="AQ180">
        <v>5610800</v>
      </c>
      <c r="AR180">
        <v>6113900</v>
      </c>
      <c r="AS180">
        <v>6799700</v>
      </c>
      <c r="AT180">
        <v>7485200</v>
      </c>
      <c r="AU180">
        <v>8146000</v>
      </c>
      <c r="AV180">
        <v>8261000</v>
      </c>
      <c r="AW180">
        <v>8300000</v>
      </c>
      <c r="AX180">
        <v>8928500</v>
      </c>
      <c r="AY180">
        <v>8857300</v>
      </c>
      <c r="AZ180">
        <v>9661200</v>
      </c>
      <c r="BA180">
        <v>10383600</v>
      </c>
      <c r="BB180">
        <v>11133100</v>
      </c>
      <c r="BC180">
        <v>11695500</v>
      </c>
      <c r="BD180">
        <v>12727300</v>
      </c>
      <c r="BE180">
        <v>13759000</v>
      </c>
      <c r="BF180">
        <v>14291500</v>
      </c>
      <c r="BG180">
        <v>15009600</v>
      </c>
      <c r="BH180">
        <v>15182305</v>
      </c>
      <c r="BI180">
        <v>14556181</v>
      </c>
      <c r="BJ180">
        <v>13699204</v>
      </c>
      <c r="BK180">
        <v>12805757</v>
      </c>
      <c r="BL180">
        <v>12277222</v>
      </c>
      <c r="BM180" t="s">
        <v>28966</v>
      </c>
      <c r="BN180" t="s">
        <v>28966</v>
      </c>
      <c r="BO180" t="s">
        <v>28966</v>
      </c>
      <c r="BP180" t="s">
        <v>28966</v>
      </c>
      <c r="BQ180" t="s">
        <v>28966</v>
      </c>
      <c r="BR180" t="s">
        <v>28966</v>
      </c>
      <c r="BS180" t="s">
        <v>28966</v>
      </c>
      <c r="BT180" t="s">
        <v>28966</v>
      </c>
      <c r="BU180" t="s">
        <v>28966</v>
      </c>
      <c r="BV180" t="s">
        <v>28966</v>
      </c>
      <c r="BW180" t="s">
        <v>28966</v>
      </c>
      <c r="BX180" t="s">
        <v>28966</v>
      </c>
      <c r="BY180" t="s">
        <v>28966</v>
      </c>
      <c r="BZ180" t="s">
        <v>28966</v>
      </c>
      <c r="CA180" t="s">
        <v>28966</v>
      </c>
    </row>
    <row r="181" spans="2:79" x14ac:dyDescent="0.3">
      <c r="B181" s="9">
        <v>179</v>
      </c>
      <c r="C181" s="49">
        <v>10618</v>
      </c>
      <c r="D181" s="9">
        <f>YEAR(Tabla1[[#This Row],[Date]])</f>
        <v>1929</v>
      </c>
      <c r="E181" s="9" t="str" cm="1">
        <f t="array" ref="E181">IFERROR(_xlfn.IFS(AND(D181&lt;1980,D181&gt;=1970),"70",AND(D181&lt;1990,D181&gt;=1980),"80",AND(D181&lt;2000,D181&gt;=1990),"90",AND(D181&lt;2010,D181&gt;=2000),"00",AND(D181&lt;=2019,D181&gt;=2010),"10"),"1908-1970")</f>
        <v>1908-1970</v>
      </c>
      <c r="F181" s="3" t="s">
        <v>28931</v>
      </c>
      <c r="G181" t="s">
        <v>5708</v>
      </c>
      <c r="H181" t="s">
        <v>5709</v>
      </c>
      <c r="I181" t="s">
        <v>28931</v>
      </c>
      <c r="J181" t="s">
        <v>5710</v>
      </c>
      <c r="K181" t="s">
        <v>5711</v>
      </c>
      <c r="L181" s="7" t="s">
        <v>5712</v>
      </c>
      <c r="M181">
        <v>53</v>
      </c>
      <c r="N181">
        <v>9</v>
      </c>
      <c r="O181">
        <v>7</v>
      </c>
      <c r="P181">
        <v>2</v>
      </c>
      <c r="Q181">
        <v>2</v>
      </c>
      <c r="R181">
        <v>7</v>
      </c>
      <c r="S181">
        <v>2</v>
      </c>
      <c r="T181">
        <v>0</v>
      </c>
      <c r="U181" t="s">
        <v>5713</v>
      </c>
      <c r="V181">
        <f>Tabla1[[#This Row],[Aboard]]-Tabla1[[#This Row],[Fatalities]]</f>
        <v>7</v>
      </c>
      <c r="W181" s="50">
        <f>IFERROR(Tabla1[[#This Row],[Fatalities]]/Tabla1[[#This Row],[Aboard]],0)</f>
        <v>0.22222222222222221</v>
      </c>
      <c r="X181" s="51" t="str" cm="1">
        <f t="array" ref="X181">_xlfn.IFS(Tabla1[[#This Row],[Porcentaje de muertes]]&lt;0.35,"LEVE",AND(Tabla1[[#This Row],[Porcentaje de muertes]]&gt;0.35,Tabla1[[#This Row],[Porcentaje de muertes]]&lt;0.65),"MEDIO",Tabla1[[#This Row],[Porcentaje de muertes]]&gt;0.65,"GRAVE")</f>
        <v>LEVE</v>
      </c>
      <c r="AB181" t="s">
        <v>28704</v>
      </c>
      <c r="AC181" t="s">
        <v>28705</v>
      </c>
      <c r="AD181">
        <v>203400</v>
      </c>
      <c r="AE181">
        <v>217900</v>
      </c>
      <c r="AF181">
        <v>232000</v>
      </c>
      <c r="AG181">
        <v>250000</v>
      </c>
      <c r="AH181">
        <v>263000</v>
      </c>
      <c r="AI181">
        <v>219700</v>
      </c>
      <c r="AJ181">
        <v>248300</v>
      </c>
      <c r="AK181">
        <v>255000</v>
      </c>
      <c r="AL181">
        <v>270000</v>
      </c>
      <c r="AM181">
        <v>416500</v>
      </c>
      <c r="AN181">
        <v>379900</v>
      </c>
      <c r="AO181">
        <v>364500</v>
      </c>
      <c r="AP181">
        <v>400200</v>
      </c>
      <c r="AQ181">
        <v>363700</v>
      </c>
      <c r="AR181">
        <v>395500</v>
      </c>
      <c r="AS181">
        <v>422000</v>
      </c>
      <c r="AT181">
        <v>436200</v>
      </c>
      <c r="AU181">
        <v>408800</v>
      </c>
      <c r="AV181">
        <v>987800</v>
      </c>
      <c r="AW181">
        <v>679100</v>
      </c>
      <c r="AX181">
        <v>679000</v>
      </c>
      <c r="AY181">
        <v>633900</v>
      </c>
      <c r="AZ181">
        <v>648800</v>
      </c>
      <c r="BA181">
        <v>633100</v>
      </c>
      <c r="BB181">
        <v>682600</v>
      </c>
      <c r="BC181">
        <v>716700</v>
      </c>
      <c r="BD181">
        <v>755000</v>
      </c>
      <c r="BE181">
        <v>755000</v>
      </c>
      <c r="BF181">
        <v>753600</v>
      </c>
      <c r="BG181">
        <v>582600</v>
      </c>
      <c r="BH181">
        <v>643332</v>
      </c>
      <c r="BI181">
        <v>641142</v>
      </c>
      <c r="BJ181">
        <v>352544</v>
      </c>
      <c r="BK181">
        <v>356369</v>
      </c>
      <c r="BL181">
        <v>444691</v>
      </c>
      <c r="BM181">
        <v>480266</v>
      </c>
      <c r="BN181">
        <v>509792</v>
      </c>
      <c r="BO181">
        <v>528226</v>
      </c>
      <c r="BP181">
        <v>520303</v>
      </c>
      <c r="BQ181">
        <v>484394</v>
      </c>
      <c r="BR181">
        <v>917939</v>
      </c>
      <c r="BS181">
        <v>901116.11789999995</v>
      </c>
      <c r="BT181">
        <v>776864.12159999995</v>
      </c>
      <c r="BU181">
        <v>643140</v>
      </c>
      <c r="BV181">
        <v>517548</v>
      </c>
      <c r="BW181">
        <v>510342</v>
      </c>
      <c r="BX181">
        <v>634292</v>
      </c>
      <c r="BY181">
        <v>2443630.5120000001</v>
      </c>
      <c r="BZ181">
        <v>4525805</v>
      </c>
      <c r="CA181">
        <v>1659671</v>
      </c>
    </row>
    <row r="182" spans="2:79" x14ac:dyDescent="0.3">
      <c r="B182" s="9">
        <v>180</v>
      </c>
      <c r="C182" s="49">
        <v>10624</v>
      </c>
      <c r="D182" s="9">
        <f>YEAR(Tabla1[[#This Row],[Date]])</f>
        <v>1929</v>
      </c>
      <c r="E182" s="9" t="str" cm="1">
        <f t="array" ref="E182">IFERROR(_xlfn.IFS(AND(D182&lt;1980,D182&gt;=1970),"70",AND(D182&lt;1990,D182&gt;=1980),"80",AND(D182&lt;2000,D182&gt;=1990),"90",AND(D182&lt;2010,D182&gt;=2000),"00",AND(D182&lt;=2019,D182&gt;=2010),"10"),"1908-1970")</f>
        <v>1908-1970</v>
      </c>
      <c r="F182" s="3" t="s">
        <v>28931</v>
      </c>
      <c r="G182" t="s">
        <v>5714</v>
      </c>
      <c r="H182" t="s">
        <v>5182</v>
      </c>
      <c r="I182" t="s">
        <v>28931</v>
      </c>
      <c r="J182" t="s">
        <v>5715</v>
      </c>
      <c r="K182" t="s">
        <v>5576</v>
      </c>
      <c r="L182" s="7" t="s">
        <v>5716</v>
      </c>
      <c r="M182">
        <v>674</v>
      </c>
      <c r="N182">
        <v>2</v>
      </c>
      <c r="O182">
        <v>0</v>
      </c>
      <c r="P182">
        <v>2</v>
      </c>
      <c r="Q182">
        <v>2</v>
      </c>
      <c r="R182">
        <v>0</v>
      </c>
      <c r="S182">
        <v>2</v>
      </c>
      <c r="T182">
        <v>0</v>
      </c>
      <c r="U182" t="s">
        <v>5717</v>
      </c>
      <c r="V182">
        <f>Tabla1[[#This Row],[Aboard]]-Tabla1[[#This Row],[Fatalities]]</f>
        <v>0</v>
      </c>
      <c r="W182" s="50">
        <f>IFERROR(Tabla1[[#This Row],[Fatalities]]/Tabla1[[#This Row],[Aboard]],0)</f>
        <v>1</v>
      </c>
      <c r="X182" s="51" t="str" cm="1">
        <f t="array" ref="X182">_xlfn.IFS(Tabla1[[#This Row],[Porcentaje de muertes]]&lt;0.35,"LEVE",AND(Tabla1[[#This Row],[Porcentaje de muertes]]&gt;0.35,Tabla1[[#This Row],[Porcentaje de muertes]]&lt;0.65),"MEDIO",Tabla1[[#This Row],[Porcentaje de muertes]]&gt;0.65,"GRAVE")</f>
        <v>GRAVE</v>
      </c>
      <c r="AB182" t="s">
        <v>28706</v>
      </c>
      <c r="AC182" t="s">
        <v>28707</v>
      </c>
      <c r="AD182" t="s">
        <v>28966</v>
      </c>
      <c r="AE182" t="s">
        <v>28966</v>
      </c>
      <c r="AF182" t="s">
        <v>28966</v>
      </c>
      <c r="AG182" t="s">
        <v>28966</v>
      </c>
      <c r="AH182" t="s">
        <v>28966</v>
      </c>
      <c r="AI182" t="s">
        <v>28966</v>
      </c>
      <c r="AJ182" t="s">
        <v>28966</v>
      </c>
      <c r="AK182" t="s">
        <v>28966</v>
      </c>
      <c r="AL182" t="s">
        <v>28966</v>
      </c>
      <c r="AM182" t="s">
        <v>28966</v>
      </c>
      <c r="AN182" t="s">
        <v>28966</v>
      </c>
      <c r="AO182" t="s">
        <v>28966</v>
      </c>
      <c r="AP182" t="s">
        <v>28966</v>
      </c>
      <c r="AQ182" t="s">
        <v>28966</v>
      </c>
      <c r="AR182" t="s">
        <v>28966</v>
      </c>
      <c r="AS182" t="s">
        <v>28966</v>
      </c>
      <c r="AT182" t="s">
        <v>28966</v>
      </c>
      <c r="AU182" t="s">
        <v>28966</v>
      </c>
      <c r="AV182" t="s">
        <v>28966</v>
      </c>
      <c r="AW182" t="s">
        <v>28966</v>
      </c>
      <c r="AX182" t="s">
        <v>28966</v>
      </c>
      <c r="AY182" t="s">
        <v>28966</v>
      </c>
      <c r="AZ182" t="s">
        <v>28966</v>
      </c>
      <c r="BA182" t="s">
        <v>28966</v>
      </c>
      <c r="BB182" t="s">
        <v>28966</v>
      </c>
      <c r="BC182" t="s">
        <v>28966</v>
      </c>
      <c r="BD182" t="s">
        <v>28966</v>
      </c>
      <c r="BE182" t="s">
        <v>28966</v>
      </c>
      <c r="BF182" t="s">
        <v>28966</v>
      </c>
      <c r="BG182" t="s">
        <v>28966</v>
      </c>
      <c r="BH182" t="s">
        <v>28966</v>
      </c>
      <c r="BI182" t="s">
        <v>28966</v>
      </c>
      <c r="BJ182" t="s">
        <v>28966</v>
      </c>
      <c r="BK182" t="s">
        <v>28966</v>
      </c>
      <c r="BL182" t="s">
        <v>28966</v>
      </c>
      <c r="BM182" t="s">
        <v>28966</v>
      </c>
      <c r="BN182" t="s">
        <v>28966</v>
      </c>
      <c r="BO182" t="s">
        <v>28966</v>
      </c>
      <c r="BP182" t="s">
        <v>28966</v>
      </c>
      <c r="BQ182">
        <v>210424</v>
      </c>
      <c r="BR182">
        <v>30195.521049999999</v>
      </c>
      <c r="BS182">
        <v>34884.326889999997</v>
      </c>
      <c r="BT182">
        <v>19334.847849999998</v>
      </c>
      <c r="BU182">
        <v>16488</v>
      </c>
      <c r="BV182">
        <v>34572</v>
      </c>
      <c r="BW182">
        <v>38859</v>
      </c>
      <c r="BX182">
        <v>47252</v>
      </c>
      <c r="BY182">
        <v>45457</v>
      </c>
      <c r="BZ182">
        <v>40290</v>
      </c>
      <c r="CA182">
        <v>50668</v>
      </c>
    </row>
    <row r="183" spans="2:79" x14ac:dyDescent="0.3">
      <c r="B183" s="9">
        <v>181</v>
      </c>
      <c r="C183" s="49">
        <v>10624</v>
      </c>
      <c r="D183" s="9">
        <f>YEAR(Tabla1[[#This Row],[Date]])</f>
        <v>1929</v>
      </c>
      <c r="E183" s="9" t="str" cm="1">
        <f t="array" ref="E183">IFERROR(_xlfn.IFS(AND(D183&lt;1980,D183&gt;=1970),"70",AND(D183&lt;1990,D183&gt;=1980),"80",AND(D183&lt;2000,D183&gt;=1990),"90",AND(D183&lt;2010,D183&gt;=2000),"00",AND(D183&lt;=2019,D183&gt;=2010),"10"),"1908-1970")</f>
        <v>1908-1970</v>
      </c>
      <c r="F183" s="3" t="s">
        <v>28931</v>
      </c>
      <c r="G183" t="s">
        <v>5718</v>
      </c>
      <c r="H183" t="s">
        <v>5719</v>
      </c>
      <c r="I183" t="s">
        <v>28931</v>
      </c>
      <c r="J183" t="s">
        <v>28931</v>
      </c>
      <c r="K183" t="s">
        <v>5660</v>
      </c>
      <c r="L183" s="7" t="s">
        <v>5720</v>
      </c>
      <c r="M183">
        <v>800</v>
      </c>
      <c r="N183">
        <v>1</v>
      </c>
      <c r="O183">
        <v>0</v>
      </c>
      <c r="P183">
        <v>1</v>
      </c>
      <c r="Q183">
        <v>1</v>
      </c>
      <c r="R183">
        <v>0</v>
      </c>
      <c r="S183">
        <v>1</v>
      </c>
      <c r="T183">
        <v>0</v>
      </c>
      <c r="U183" t="s">
        <v>5721</v>
      </c>
      <c r="V183">
        <f>Tabla1[[#This Row],[Aboard]]-Tabla1[[#This Row],[Fatalities]]</f>
        <v>0</v>
      </c>
      <c r="W183" s="50">
        <f>IFERROR(Tabla1[[#This Row],[Fatalities]]/Tabla1[[#This Row],[Aboard]],0)</f>
        <v>1</v>
      </c>
      <c r="X183" s="51" t="str" cm="1">
        <f t="array" ref="X183">_xlfn.IFS(Tabla1[[#This Row],[Porcentaje de muertes]]&lt;0.35,"LEVE",AND(Tabla1[[#This Row],[Porcentaje de muertes]]&gt;0.35,Tabla1[[#This Row],[Porcentaje de muertes]]&lt;0.65),"MEDIO",Tabla1[[#This Row],[Porcentaje de muertes]]&gt;0.65,"GRAVE")</f>
        <v>GRAVE</v>
      </c>
      <c r="AB183" t="s">
        <v>28708</v>
      </c>
      <c r="AC183" t="s">
        <v>28709</v>
      </c>
      <c r="AD183">
        <v>1862000</v>
      </c>
      <c r="AE183">
        <v>1923800</v>
      </c>
      <c r="AF183">
        <v>2084300</v>
      </c>
      <c r="AG183">
        <v>2544400</v>
      </c>
      <c r="AH183">
        <v>2961300</v>
      </c>
      <c r="AI183">
        <v>3047400</v>
      </c>
      <c r="AJ183">
        <v>3023200</v>
      </c>
      <c r="AK183">
        <v>3198500</v>
      </c>
      <c r="AL183">
        <v>3399500</v>
      </c>
      <c r="AM183">
        <v>3807300</v>
      </c>
      <c r="AN183">
        <v>3497500</v>
      </c>
      <c r="AO183">
        <v>3316100</v>
      </c>
      <c r="AP183">
        <v>3073900</v>
      </c>
      <c r="AQ183">
        <v>3222000</v>
      </c>
      <c r="AR183">
        <v>3764900</v>
      </c>
      <c r="AS183">
        <v>4158600</v>
      </c>
      <c r="AT183">
        <v>4527300</v>
      </c>
      <c r="AU183">
        <v>4812300</v>
      </c>
      <c r="AV183">
        <v>5093600</v>
      </c>
      <c r="AW183">
        <v>5723500</v>
      </c>
      <c r="AX183">
        <v>5865600</v>
      </c>
      <c r="AY183">
        <v>5370800</v>
      </c>
      <c r="AZ183">
        <v>5784400</v>
      </c>
      <c r="BA183">
        <v>6290800</v>
      </c>
      <c r="BB183">
        <v>7716100</v>
      </c>
      <c r="BC183">
        <v>7676600</v>
      </c>
      <c r="BD183">
        <v>9597000</v>
      </c>
      <c r="BE183">
        <v>9435400</v>
      </c>
      <c r="BF183">
        <v>8654900</v>
      </c>
      <c r="BG183">
        <v>9565600</v>
      </c>
      <c r="BH183">
        <v>10781314</v>
      </c>
      <c r="BI183">
        <v>11467023</v>
      </c>
      <c r="BJ183">
        <v>11285424</v>
      </c>
      <c r="BK183">
        <v>12259437</v>
      </c>
      <c r="BL183">
        <v>11305401</v>
      </c>
      <c r="BM183">
        <v>11951935</v>
      </c>
      <c r="BN183">
        <v>12382205</v>
      </c>
      <c r="BO183">
        <v>12545766</v>
      </c>
      <c r="BP183">
        <v>12950904</v>
      </c>
      <c r="BQ183">
        <v>12104116</v>
      </c>
      <c r="BR183">
        <v>13295185</v>
      </c>
      <c r="BS183">
        <v>13747024.210000001</v>
      </c>
      <c r="BT183">
        <v>13937353.939999999</v>
      </c>
      <c r="BU183">
        <v>14434056</v>
      </c>
      <c r="BV183">
        <v>13618712</v>
      </c>
      <c r="BW183">
        <v>14385078</v>
      </c>
      <c r="BX183">
        <v>15300409</v>
      </c>
      <c r="BY183">
        <v>16271523</v>
      </c>
      <c r="BZ183">
        <v>17249049.949999999</v>
      </c>
      <c r="CA183">
        <v>17763604.460000001</v>
      </c>
    </row>
    <row r="184" spans="2:79" x14ac:dyDescent="0.3">
      <c r="B184" s="9">
        <v>182</v>
      </c>
      <c r="C184" s="49">
        <v>10669</v>
      </c>
      <c r="D184" s="9">
        <f>YEAR(Tabla1[[#This Row],[Date]])</f>
        <v>1929</v>
      </c>
      <c r="E184" s="9" t="str" cm="1">
        <f t="array" ref="E184">IFERROR(_xlfn.IFS(AND(D184&lt;1980,D184&gt;=1970),"70",AND(D184&lt;1990,D184&gt;=1980),"80",AND(D184&lt;2000,D184&gt;=1990),"90",AND(D184&lt;2010,D184&gt;=2000),"00",AND(D184&lt;=2019,D184&gt;=2010),"10"),"1908-1970")</f>
        <v>1908-1970</v>
      </c>
      <c r="F184" s="3">
        <v>0.70833333333333337</v>
      </c>
      <c r="G184" t="s">
        <v>5132</v>
      </c>
      <c r="H184" t="s">
        <v>5537</v>
      </c>
      <c r="I184" t="s">
        <v>28931</v>
      </c>
      <c r="J184" t="s">
        <v>5494</v>
      </c>
      <c r="K184" t="s">
        <v>5722</v>
      </c>
      <c r="L184" s="7" t="s">
        <v>5723</v>
      </c>
      <c r="M184" t="s">
        <v>5724</v>
      </c>
      <c r="N184">
        <v>15</v>
      </c>
      <c r="O184">
        <v>13</v>
      </c>
      <c r="P184">
        <v>2</v>
      </c>
      <c r="Q184">
        <v>14</v>
      </c>
      <c r="R184">
        <v>13</v>
      </c>
      <c r="S184">
        <v>1</v>
      </c>
      <c r="T184">
        <v>0</v>
      </c>
      <c r="U184" t="s">
        <v>5725</v>
      </c>
      <c r="V184">
        <f>Tabla1[[#This Row],[Aboard]]-Tabla1[[#This Row],[Fatalities]]</f>
        <v>1</v>
      </c>
      <c r="W184" s="50">
        <f>IFERROR(Tabla1[[#This Row],[Fatalities]]/Tabla1[[#This Row],[Aboard]],0)</f>
        <v>0.93333333333333335</v>
      </c>
      <c r="X184" s="51" t="str" cm="1">
        <f t="array" ref="X184">_xlfn.IFS(Tabla1[[#This Row],[Porcentaje de muertes]]&lt;0.35,"LEVE",AND(Tabla1[[#This Row],[Porcentaje de muertes]]&gt;0.35,Tabla1[[#This Row],[Porcentaje de muertes]]&lt;0.65),"MEDIO",Tabla1[[#This Row],[Porcentaje de muertes]]&gt;0.65,"GRAVE")</f>
        <v>GRAVE</v>
      </c>
      <c r="AB184" t="s">
        <v>28710</v>
      </c>
      <c r="AC184" t="s">
        <v>28711</v>
      </c>
      <c r="AD184">
        <v>276589892</v>
      </c>
      <c r="AE184">
        <v>296537504</v>
      </c>
      <c r="AF184">
        <v>327004108</v>
      </c>
      <c r="AG184">
        <v>356798200</v>
      </c>
      <c r="AH184">
        <v>369035400</v>
      </c>
      <c r="AI184">
        <v>371410200</v>
      </c>
      <c r="AJ184">
        <v>401309296</v>
      </c>
      <c r="AK184">
        <v>434540092</v>
      </c>
      <c r="AL184">
        <v>487082104</v>
      </c>
      <c r="AM184">
        <v>547918000</v>
      </c>
      <c r="AN184">
        <v>531814388</v>
      </c>
      <c r="AO184">
        <v>524004700</v>
      </c>
      <c r="AP184">
        <v>532905608</v>
      </c>
      <c r="AQ184">
        <v>560323496</v>
      </c>
      <c r="AR184">
        <v>598958588</v>
      </c>
      <c r="AS184">
        <v>644682604</v>
      </c>
      <c r="AT184">
        <v>694577696</v>
      </c>
      <c r="AU184">
        <v>746656404</v>
      </c>
      <c r="AV184">
        <v>782184012</v>
      </c>
      <c r="AW184">
        <v>810093200</v>
      </c>
      <c r="AX184">
        <v>846937916</v>
      </c>
      <c r="AY184">
        <v>826639404</v>
      </c>
      <c r="AZ184">
        <v>873450392</v>
      </c>
      <c r="BA184">
        <v>893611716</v>
      </c>
      <c r="BB184">
        <v>971255004</v>
      </c>
      <c r="BC184">
        <v>1021039596</v>
      </c>
      <c r="BD184">
        <v>1099596504</v>
      </c>
      <c r="BE184">
        <v>1151287192</v>
      </c>
      <c r="BF184">
        <v>1159476480</v>
      </c>
      <c r="BG184">
        <v>1245629100</v>
      </c>
      <c r="BH184">
        <v>1333236717</v>
      </c>
      <c r="BI184">
        <v>1283609610</v>
      </c>
      <c r="BJ184">
        <v>1247264642</v>
      </c>
      <c r="BK184">
        <v>1278025311</v>
      </c>
      <c r="BL184">
        <v>1413357107</v>
      </c>
      <c r="BM184">
        <v>1475137918</v>
      </c>
      <c r="BN184">
        <v>1523845112</v>
      </c>
      <c r="BO184">
        <v>1594664421</v>
      </c>
      <c r="BP184">
        <v>1561688255</v>
      </c>
      <c r="BQ184">
        <v>1516777735</v>
      </c>
      <c r="BR184">
        <v>1673073625</v>
      </c>
      <c r="BS184">
        <v>1721515451</v>
      </c>
      <c r="BT184">
        <v>1764708589</v>
      </c>
      <c r="BU184">
        <v>1828732574</v>
      </c>
      <c r="BV184">
        <v>1901844153</v>
      </c>
      <c r="BW184">
        <v>2024220925</v>
      </c>
      <c r="BX184">
        <v>2134765172</v>
      </c>
      <c r="BY184">
        <v>2243961564</v>
      </c>
      <c r="BZ184">
        <v>2361878663</v>
      </c>
      <c r="CA184">
        <v>2449730657</v>
      </c>
    </row>
    <row r="185" spans="2:79" x14ac:dyDescent="0.3">
      <c r="B185" s="9">
        <v>183</v>
      </c>
      <c r="C185" s="49">
        <v>10682</v>
      </c>
      <c r="D185" s="9">
        <f>YEAR(Tabla1[[#This Row],[Date]])</f>
        <v>1929</v>
      </c>
      <c r="E185" s="9" t="str" cm="1">
        <f t="array" ref="E185">IFERROR(_xlfn.IFS(AND(D185&lt;1980,D185&gt;=1970),"70",AND(D185&lt;1990,D185&gt;=1980),"80",AND(D185&lt;2000,D185&gt;=1990),"90",AND(D185&lt;2010,D185&gt;=2000),"00",AND(D185&lt;=2019,D185&gt;=2010),"10"),"1908-1970")</f>
        <v>1908-1970</v>
      </c>
      <c r="F185" s="3">
        <v>0.38750000000000001</v>
      </c>
      <c r="G185" t="s">
        <v>5726</v>
      </c>
      <c r="H185" t="s">
        <v>5727</v>
      </c>
      <c r="I185" t="s">
        <v>28931</v>
      </c>
      <c r="J185" t="s">
        <v>5728</v>
      </c>
      <c r="K185" t="s">
        <v>5729</v>
      </c>
      <c r="L185" s="7" t="s">
        <v>5730</v>
      </c>
      <c r="M185">
        <v>617</v>
      </c>
      <c r="N185">
        <v>4</v>
      </c>
      <c r="O185">
        <v>3</v>
      </c>
      <c r="P185">
        <v>1</v>
      </c>
      <c r="Q185">
        <v>4</v>
      </c>
      <c r="R185">
        <v>3</v>
      </c>
      <c r="S185">
        <v>1</v>
      </c>
      <c r="T185">
        <v>0</v>
      </c>
      <c r="U185" t="s">
        <v>5731</v>
      </c>
      <c r="V185">
        <f>Tabla1[[#This Row],[Aboard]]-Tabla1[[#This Row],[Fatalities]]</f>
        <v>0</v>
      </c>
      <c r="W185" s="50">
        <f>IFERROR(Tabla1[[#This Row],[Fatalities]]/Tabla1[[#This Row],[Aboard]],0)</f>
        <v>1</v>
      </c>
      <c r="X185" s="51" t="str" cm="1">
        <f t="array" ref="X185">_xlfn.IFS(Tabla1[[#This Row],[Porcentaje de muertes]]&lt;0.35,"LEVE",AND(Tabla1[[#This Row],[Porcentaje de muertes]]&gt;0.35,Tabla1[[#This Row],[Porcentaje de muertes]]&lt;0.65),"MEDIO",Tabla1[[#This Row],[Porcentaje de muertes]]&gt;0.65,"GRAVE")</f>
        <v>GRAVE</v>
      </c>
      <c r="AB185" t="s">
        <v>28712</v>
      </c>
      <c r="AC185" t="s">
        <v>28713</v>
      </c>
      <c r="AD185" t="s">
        <v>28966</v>
      </c>
      <c r="AE185" t="s">
        <v>28966</v>
      </c>
      <c r="AF185" t="s">
        <v>28966</v>
      </c>
      <c r="AG185" t="s">
        <v>28966</v>
      </c>
      <c r="AH185">
        <v>127500</v>
      </c>
      <c r="AI185">
        <v>173000</v>
      </c>
      <c r="AJ185">
        <v>240100</v>
      </c>
      <c r="AK185">
        <v>299800</v>
      </c>
      <c r="AL185">
        <v>374500</v>
      </c>
      <c r="AM185">
        <v>456500</v>
      </c>
      <c r="AN185">
        <v>521500</v>
      </c>
      <c r="AO185">
        <v>577800</v>
      </c>
      <c r="AP185">
        <v>569800</v>
      </c>
      <c r="AQ185">
        <v>601800</v>
      </c>
      <c r="AR185">
        <v>674200</v>
      </c>
      <c r="AS185">
        <v>717500</v>
      </c>
      <c r="AT185">
        <v>647400</v>
      </c>
      <c r="AU185">
        <v>699200</v>
      </c>
      <c r="AV185">
        <v>776400</v>
      </c>
      <c r="AW185">
        <v>834800</v>
      </c>
      <c r="AX185">
        <v>852900</v>
      </c>
      <c r="AY185">
        <v>957500</v>
      </c>
      <c r="AZ185">
        <v>1081100</v>
      </c>
      <c r="BA185">
        <v>1180000</v>
      </c>
      <c r="BB185">
        <v>1511800</v>
      </c>
      <c r="BC185">
        <v>1452900</v>
      </c>
      <c r="BD185">
        <v>1620200</v>
      </c>
      <c r="BE185">
        <v>1678400</v>
      </c>
      <c r="BF185">
        <v>1849300</v>
      </c>
      <c r="BG185">
        <v>1933100</v>
      </c>
      <c r="BH185">
        <v>2118338</v>
      </c>
      <c r="BI185">
        <v>1980076</v>
      </c>
      <c r="BJ185">
        <v>2103559</v>
      </c>
      <c r="BK185">
        <v>2777424</v>
      </c>
      <c r="BL185">
        <v>3267088</v>
      </c>
      <c r="BM185" t="s">
        <v>28966</v>
      </c>
      <c r="BN185" t="s">
        <v>28966</v>
      </c>
      <c r="BO185" t="s">
        <v>28966</v>
      </c>
      <c r="BP185" t="s">
        <v>28966</v>
      </c>
      <c r="BQ185">
        <v>2360682</v>
      </c>
      <c r="BR185">
        <v>3262849</v>
      </c>
      <c r="BS185">
        <v>3795755</v>
      </c>
      <c r="BT185">
        <v>4430383</v>
      </c>
      <c r="BU185">
        <v>4994729</v>
      </c>
      <c r="BV185">
        <v>5051804</v>
      </c>
      <c r="BW185">
        <v>6365784</v>
      </c>
      <c r="BX185">
        <v>7709851</v>
      </c>
      <c r="BY185">
        <v>9035230</v>
      </c>
      <c r="BZ185">
        <v>10438241</v>
      </c>
      <c r="CA185">
        <v>11239996</v>
      </c>
    </row>
    <row r="186" spans="2:79" x14ac:dyDescent="0.3">
      <c r="B186" s="9">
        <v>184</v>
      </c>
      <c r="C186" s="49">
        <v>10704</v>
      </c>
      <c r="D186" s="9">
        <f>YEAR(Tabla1[[#This Row],[Date]])</f>
        <v>1929</v>
      </c>
      <c r="E186" s="9" t="str" cm="1">
        <f t="array" ref="E186">IFERROR(_xlfn.IFS(AND(D186&lt;1980,D186&gt;=1970),"70",AND(D186&lt;1990,D186&gt;=1980),"80",AND(D186&lt;2000,D186&gt;=1990),"90",AND(D186&lt;2010,D186&gt;=2000),"00",AND(D186&lt;=2019,D186&gt;=2010),"10"),"1908-1970")</f>
        <v>1908-1970</v>
      </c>
      <c r="F186" s="3">
        <v>0.48958333333333331</v>
      </c>
      <c r="G186" t="s">
        <v>5732</v>
      </c>
      <c r="H186" t="s">
        <v>5733</v>
      </c>
      <c r="I186" t="s">
        <v>28931</v>
      </c>
      <c r="J186" t="s">
        <v>5734</v>
      </c>
      <c r="K186" t="s">
        <v>5735</v>
      </c>
      <c r="L186" s="7" t="s">
        <v>5736</v>
      </c>
      <c r="M186" t="s">
        <v>5737</v>
      </c>
      <c r="N186">
        <v>6</v>
      </c>
      <c r="O186">
        <v>3</v>
      </c>
      <c r="P186">
        <v>3</v>
      </c>
      <c r="Q186">
        <v>6</v>
      </c>
      <c r="R186">
        <v>3</v>
      </c>
      <c r="S186">
        <v>3</v>
      </c>
      <c r="T186">
        <v>0</v>
      </c>
      <c r="U186" t="s">
        <v>5738</v>
      </c>
      <c r="V186">
        <f>Tabla1[[#This Row],[Aboard]]-Tabla1[[#This Row],[Fatalities]]</f>
        <v>0</v>
      </c>
      <c r="W186" s="50">
        <f>IFERROR(Tabla1[[#This Row],[Fatalities]]/Tabla1[[#This Row],[Aboard]],0)</f>
        <v>1</v>
      </c>
      <c r="X186" s="51" t="str" cm="1">
        <f t="array" ref="X186">_xlfn.IFS(Tabla1[[#This Row],[Porcentaje de muertes]]&lt;0.35,"LEVE",AND(Tabla1[[#This Row],[Porcentaje de muertes]]&gt;0.35,Tabla1[[#This Row],[Porcentaje de muertes]]&lt;0.65),"MEDIO",Tabla1[[#This Row],[Porcentaje de muertes]]&gt;0.65,"GRAVE")</f>
        <v>GRAVE</v>
      </c>
      <c r="AB186" t="s">
        <v>28714</v>
      </c>
      <c r="AC186" t="s">
        <v>28715</v>
      </c>
      <c r="AD186" t="s">
        <v>28966</v>
      </c>
      <c r="AE186" t="s">
        <v>28966</v>
      </c>
      <c r="AF186" t="s">
        <v>28966</v>
      </c>
      <c r="AG186" t="s">
        <v>28966</v>
      </c>
      <c r="AH186" t="s">
        <v>28966</v>
      </c>
      <c r="AI186" t="s">
        <v>28966</v>
      </c>
      <c r="AJ186" t="s">
        <v>28966</v>
      </c>
      <c r="AK186" t="s">
        <v>28966</v>
      </c>
      <c r="AL186" t="s">
        <v>28966</v>
      </c>
      <c r="AM186" t="s">
        <v>28966</v>
      </c>
      <c r="AN186" t="s">
        <v>28966</v>
      </c>
      <c r="AO186" t="s">
        <v>28966</v>
      </c>
      <c r="AP186" t="s">
        <v>28966</v>
      </c>
      <c r="AQ186" t="s">
        <v>28966</v>
      </c>
      <c r="AR186" t="s">
        <v>28966</v>
      </c>
      <c r="AS186" t="s">
        <v>28966</v>
      </c>
      <c r="AT186" t="s">
        <v>28966</v>
      </c>
      <c r="AU186" t="s">
        <v>28966</v>
      </c>
      <c r="AV186">
        <v>5273200</v>
      </c>
      <c r="AW186">
        <v>5397300</v>
      </c>
      <c r="AX186">
        <v>5798000</v>
      </c>
      <c r="AY186">
        <v>6502100</v>
      </c>
      <c r="AZ186">
        <v>6772500</v>
      </c>
      <c r="BA186">
        <v>7255400</v>
      </c>
      <c r="BB186">
        <v>8573000</v>
      </c>
      <c r="BC186">
        <v>8905500</v>
      </c>
      <c r="BD186">
        <v>9287800</v>
      </c>
      <c r="BE186">
        <v>9670100</v>
      </c>
      <c r="BF186">
        <v>10360700</v>
      </c>
      <c r="BG186">
        <v>11464000</v>
      </c>
      <c r="BH186" t="s">
        <v>28966</v>
      </c>
      <c r="BI186" t="s">
        <v>28966</v>
      </c>
      <c r="BJ186" t="s">
        <v>28966</v>
      </c>
      <c r="BK186" t="s">
        <v>28966</v>
      </c>
      <c r="BL186" t="s">
        <v>28966</v>
      </c>
      <c r="BM186" t="s">
        <v>28966</v>
      </c>
      <c r="BN186" t="s">
        <v>28966</v>
      </c>
      <c r="BO186" t="s">
        <v>28966</v>
      </c>
      <c r="BP186" t="s">
        <v>28966</v>
      </c>
      <c r="BQ186" t="s">
        <v>28966</v>
      </c>
      <c r="BR186">
        <v>29535977.739999998</v>
      </c>
      <c r="BS186">
        <v>31467772.899999999</v>
      </c>
      <c r="BT186">
        <v>34532854.869999997</v>
      </c>
      <c r="BU186">
        <v>34877522</v>
      </c>
      <c r="BV186" t="s">
        <v>28966</v>
      </c>
      <c r="BW186">
        <v>43818107</v>
      </c>
      <c r="BX186">
        <v>51705282</v>
      </c>
      <c r="BY186" t="s">
        <v>28966</v>
      </c>
      <c r="BZ186">
        <v>53400215.369999997</v>
      </c>
      <c r="CA186">
        <v>54168104.909999996</v>
      </c>
    </row>
    <row r="187" spans="2:79" x14ac:dyDescent="0.3">
      <c r="B187" s="9">
        <v>185</v>
      </c>
      <c r="C187" s="49">
        <v>10841</v>
      </c>
      <c r="D187" s="9">
        <f>YEAR(Tabla1[[#This Row],[Date]])</f>
        <v>1929</v>
      </c>
      <c r="E187" s="9" t="str" cm="1">
        <f t="array" ref="E187">IFERROR(_xlfn.IFS(AND(D187&lt;1980,D187&gt;=1970),"70",AND(D187&lt;1990,D187&gt;=1980),"80",AND(D187&lt;2000,D187&gt;=1990),"90",AND(D187&lt;2010,D187&gt;=2000),"00",AND(D187&lt;=2019,D187&gt;=2010),"10"),"1908-1970")</f>
        <v>1908-1970</v>
      </c>
      <c r="F187" s="3" t="s">
        <v>28931</v>
      </c>
      <c r="G187" t="s">
        <v>5739</v>
      </c>
      <c r="H187" t="s">
        <v>5740</v>
      </c>
      <c r="I187" t="s">
        <v>28931</v>
      </c>
      <c r="J187" t="s">
        <v>5741</v>
      </c>
      <c r="K187" t="s">
        <v>5680</v>
      </c>
      <c r="L187" s="7" t="s">
        <v>5742</v>
      </c>
      <c r="M187" t="s">
        <v>28931</v>
      </c>
      <c r="N187">
        <v>5</v>
      </c>
      <c r="O187">
        <v>4</v>
      </c>
      <c r="P187">
        <v>1</v>
      </c>
      <c r="Q187">
        <v>5</v>
      </c>
      <c r="R187">
        <v>4</v>
      </c>
      <c r="S187">
        <v>1</v>
      </c>
      <c r="T187">
        <v>0</v>
      </c>
      <c r="U187" t="s">
        <v>5743</v>
      </c>
      <c r="V187">
        <f>Tabla1[[#This Row],[Aboard]]-Tabla1[[#This Row],[Fatalities]]</f>
        <v>0</v>
      </c>
      <c r="W187" s="50">
        <f>IFERROR(Tabla1[[#This Row],[Fatalities]]/Tabla1[[#This Row],[Aboard]],0)</f>
        <v>1</v>
      </c>
      <c r="X187" s="51" t="str" cm="1">
        <f t="array" ref="X187">_xlfn.IFS(Tabla1[[#This Row],[Porcentaje de muertes]]&lt;0.35,"LEVE",AND(Tabla1[[#This Row],[Porcentaje de muertes]]&gt;0.35,Tabla1[[#This Row],[Porcentaje de muertes]]&lt;0.65),"MEDIO",Tabla1[[#This Row],[Porcentaje de muertes]]&gt;0.65,"GRAVE")</f>
        <v>GRAVE</v>
      </c>
      <c r="AB187" t="s">
        <v>14711</v>
      </c>
      <c r="AC187" t="s">
        <v>28716</v>
      </c>
      <c r="AD187">
        <v>1335900</v>
      </c>
      <c r="AE187">
        <v>1085600</v>
      </c>
      <c r="AF187">
        <v>625200</v>
      </c>
      <c r="AG187">
        <v>805200</v>
      </c>
      <c r="AH187">
        <v>1047700</v>
      </c>
      <c r="AI187">
        <v>1451800</v>
      </c>
      <c r="AJ187">
        <v>1947400</v>
      </c>
      <c r="AK187">
        <v>2303700</v>
      </c>
      <c r="AL187">
        <v>2656300</v>
      </c>
      <c r="AM187">
        <v>2773100</v>
      </c>
      <c r="AN187">
        <v>3029200</v>
      </c>
      <c r="AO187">
        <v>3096800</v>
      </c>
      <c r="AP187">
        <v>3328800</v>
      </c>
      <c r="AQ187">
        <v>3466900</v>
      </c>
      <c r="AR187">
        <v>3641900</v>
      </c>
      <c r="AS187">
        <v>3839400</v>
      </c>
      <c r="AT187">
        <v>4127200</v>
      </c>
      <c r="AU187">
        <v>4434400</v>
      </c>
      <c r="AV187">
        <v>4889400</v>
      </c>
      <c r="AW187">
        <v>5009000</v>
      </c>
      <c r="AX187">
        <v>5180200</v>
      </c>
      <c r="AY187">
        <v>5197700</v>
      </c>
      <c r="AZ187">
        <v>5680600</v>
      </c>
      <c r="BA187">
        <v>5647100</v>
      </c>
      <c r="BB187">
        <v>5663700</v>
      </c>
      <c r="BC187">
        <v>5342600</v>
      </c>
      <c r="BD187">
        <v>5375000</v>
      </c>
      <c r="BE187">
        <v>5882500</v>
      </c>
      <c r="BF187">
        <v>5414100</v>
      </c>
      <c r="BG187">
        <v>5850000</v>
      </c>
      <c r="BH187">
        <v>5293541</v>
      </c>
      <c r="BI187">
        <v>6011849</v>
      </c>
      <c r="BJ187">
        <v>4141009</v>
      </c>
      <c r="BK187">
        <v>4522110</v>
      </c>
      <c r="BL187">
        <v>5097477</v>
      </c>
      <c r="BM187">
        <v>5364134</v>
      </c>
      <c r="BN187">
        <v>5714831</v>
      </c>
      <c r="BO187">
        <v>5439144</v>
      </c>
      <c r="BP187">
        <v>5605758</v>
      </c>
      <c r="BQ187">
        <v>5303268</v>
      </c>
      <c r="BR187">
        <v>6588114</v>
      </c>
      <c r="BS187">
        <v>7940545.0760000004</v>
      </c>
      <c r="BT187">
        <v>7973906.3609999996</v>
      </c>
      <c r="BU187">
        <v>7833901.0880000005</v>
      </c>
      <c r="BV187">
        <v>7670348.1849999996</v>
      </c>
      <c r="BW187">
        <v>8467827</v>
      </c>
      <c r="BX187">
        <v>9628354</v>
      </c>
      <c r="BY187">
        <v>7260769</v>
      </c>
      <c r="BZ187">
        <v>6880637</v>
      </c>
      <c r="CA187">
        <v>7420378.2489999998</v>
      </c>
    </row>
    <row r="188" spans="2:79" x14ac:dyDescent="0.3">
      <c r="B188" s="9">
        <v>186</v>
      </c>
      <c r="C188" s="49">
        <v>10731</v>
      </c>
      <c r="D188" s="9">
        <f>YEAR(Tabla1[[#This Row],[Date]])</f>
        <v>1929</v>
      </c>
      <c r="E188" s="9" t="str" cm="1">
        <f t="array" ref="E188">IFERROR(_xlfn.IFS(AND(D188&lt;1980,D188&gt;=1970),"70",AND(D188&lt;1990,D188&gt;=1980),"80",AND(D188&lt;2000,D188&gt;=1990),"90",AND(D188&lt;2010,D188&gt;=2000),"00",AND(D188&lt;=2019,D188&gt;=2010),"10"),"1908-1970")</f>
        <v>1908-1970</v>
      </c>
      <c r="F188" s="3" t="s">
        <v>28931</v>
      </c>
      <c r="G188" t="s">
        <v>5744</v>
      </c>
      <c r="H188" t="s">
        <v>5745</v>
      </c>
      <c r="I188" t="s">
        <v>28931</v>
      </c>
      <c r="J188" t="s">
        <v>28931</v>
      </c>
      <c r="K188" t="s">
        <v>5746</v>
      </c>
      <c r="L188" s="7" t="s">
        <v>5747</v>
      </c>
      <c r="M188">
        <v>1604</v>
      </c>
      <c r="N188">
        <v>2</v>
      </c>
      <c r="O188">
        <v>0</v>
      </c>
      <c r="P188">
        <v>2</v>
      </c>
      <c r="Q188">
        <v>2</v>
      </c>
      <c r="R188">
        <v>0</v>
      </c>
      <c r="S188">
        <v>2</v>
      </c>
      <c r="T188">
        <v>0</v>
      </c>
      <c r="U188" t="s">
        <v>5748</v>
      </c>
      <c r="V188">
        <f>Tabla1[[#This Row],[Aboard]]-Tabla1[[#This Row],[Fatalities]]</f>
        <v>0</v>
      </c>
      <c r="W188" s="50">
        <f>IFERROR(Tabla1[[#This Row],[Fatalities]]/Tabla1[[#This Row],[Aboard]],0)</f>
        <v>1</v>
      </c>
      <c r="X188" s="51" t="str" cm="1">
        <f t="array" ref="X188">_xlfn.IFS(Tabla1[[#This Row],[Porcentaje de muertes]]&lt;0.35,"LEVE",AND(Tabla1[[#This Row],[Porcentaje de muertes]]&gt;0.35,Tabla1[[#This Row],[Porcentaje de muertes]]&lt;0.65),"MEDIO",Tabla1[[#This Row],[Porcentaje de muertes]]&gt;0.65,"GRAVE")</f>
        <v>GRAVE</v>
      </c>
      <c r="AB188" t="s">
        <v>20526</v>
      </c>
      <c r="AC188" t="s">
        <v>28717</v>
      </c>
      <c r="AD188">
        <v>307400</v>
      </c>
      <c r="AE188">
        <v>337200</v>
      </c>
      <c r="AF188">
        <v>316200</v>
      </c>
      <c r="AG188">
        <v>217500</v>
      </c>
      <c r="AH188">
        <v>275700</v>
      </c>
      <c r="AI188">
        <v>357100</v>
      </c>
      <c r="AJ188">
        <v>374100</v>
      </c>
      <c r="AK188">
        <v>347400</v>
      </c>
      <c r="AL188">
        <v>365700</v>
      </c>
      <c r="AM188">
        <v>381300</v>
      </c>
      <c r="AN188">
        <v>355200</v>
      </c>
      <c r="AO188">
        <v>309200</v>
      </c>
      <c r="AP188">
        <v>332200</v>
      </c>
      <c r="AQ188">
        <v>323400</v>
      </c>
      <c r="AR188">
        <v>371600</v>
      </c>
      <c r="AS188">
        <v>390300</v>
      </c>
      <c r="AT188">
        <v>364200</v>
      </c>
      <c r="AU188">
        <v>370800</v>
      </c>
      <c r="AV188">
        <v>382000</v>
      </c>
      <c r="AW188">
        <v>372500</v>
      </c>
      <c r="AX188">
        <v>265800</v>
      </c>
      <c r="AY188">
        <v>342700</v>
      </c>
      <c r="AZ188">
        <v>282700</v>
      </c>
      <c r="BA188">
        <v>320500</v>
      </c>
      <c r="BB188">
        <v>519900</v>
      </c>
      <c r="BC188">
        <v>661200</v>
      </c>
      <c r="BD188">
        <v>688800</v>
      </c>
      <c r="BE188">
        <v>772200</v>
      </c>
      <c r="BF188">
        <v>859900</v>
      </c>
      <c r="BG188">
        <v>932500</v>
      </c>
      <c r="BH188">
        <v>1117411</v>
      </c>
      <c r="BI188">
        <v>1114727</v>
      </c>
      <c r="BJ188">
        <v>1047843</v>
      </c>
      <c r="BK188">
        <v>1416071</v>
      </c>
      <c r="BL188">
        <v>1500673</v>
      </c>
      <c r="BM188">
        <v>1795958</v>
      </c>
      <c r="BN188">
        <v>2028711</v>
      </c>
      <c r="BO188">
        <v>2473261</v>
      </c>
      <c r="BP188">
        <v>2762458</v>
      </c>
      <c r="BQ188">
        <v>6348000</v>
      </c>
      <c r="BR188">
        <v>5524157.4299999997</v>
      </c>
      <c r="BS188">
        <v>6380080.1840000004</v>
      </c>
      <c r="BT188">
        <v>7517581.2769999998</v>
      </c>
      <c r="BU188">
        <v>11656416</v>
      </c>
      <c r="BV188">
        <v>11812712.84</v>
      </c>
      <c r="BW188">
        <v>12193261</v>
      </c>
      <c r="BX188">
        <v>13285098</v>
      </c>
      <c r="BY188">
        <v>11975372</v>
      </c>
      <c r="BZ188">
        <v>12631703</v>
      </c>
      <c r="CA188">
        <v>12497758</v>
      </c>
    </row>
    <row r="189" spans="2:79" x14ac:dyDescent="0.3">
      <c r="B189" s="9">
        <v>187</v>
      </c>
      <c r="C189" s="49">
        <v>10735</v>
      </c>
      <c r="D189" s="9">
        <f>YEAR(Tabla1[[#This Row],[Date]])</f>
        <v>1929</v>
      </c>
      <c r="E189" s="9" t="str" cm="1">
        <f t="array" ref="E189">IFERROR(_xlfn.IFS(AND(D189&lt;1980,D189&gt;=1970),"70",AND(D189&lt;1990,D189&gt;=1980),"80",AND(D189&lt;2000,D189&gt;=1990),"90",AND(D189&lt;2010,D189&gt;=2000),"00",AND(D189&lt;=2019,D189&gt;=2010),"10"),"1908-1970")</f>
        <v>1908-1970</v>
      </c>
      <c r="F189" s="3" t="s">
        <v>28931</v>
      </c>
      <c r="G189" t="s">
        <v>5749</v>
      </c>
      <c r="H189" t="s">
        <v>5182</v>
      </c>
      <c r="I189" t="s">
        <v>28931</v>
      </c>
      <c r="J189" t="s">
        <v>5750</v>
      </c>
      <c r="K189" t="s">
        <v>5751</v>
      </c>
      <c r="L189" s="7" t="s">
        <v>5752</v>
      </c>
      <c r="M189">
        <v>7</v>
      </c>
      <c r="N189">
        <v>6</v>
      </c>
      <c r="O189">
        <v>3</v>
      </c>
      <c r="P189">
        <v>3</v>
      </c>
      <c r="Q189">
        <v>4</v>
      </c>
      <c r="R189">
        <v>3</v>
      </c>
      <c r="S189">
        <v>2</v>
      </c>
      <c r="T189">
        <v>0</v>
      </c>
      <c r="U189" t="s">
        <v>5753</v>
      </c>
      <c r="V189">
        <f>Tabla1[[#This Row],[Aboard]]-Tabla1[[#This Row],[Fatalities]]</f>
        <v>2</v>
      </c>
      <c r="W189" s="50">
        <f>IFERROR(Tabla1[[#This Row],[Fatalities]]/Tabla1[[#This Row],[Aboard]],0)</f>
        <v>0.66666666666666663</v>
      </c>
      <c r="X189" s="51" t="str" cm="1">
        <f t="array" ref="X189">_xlfn.IFS(Tabla1[[#This Row],[Porcentaje de muertes]]&lt;0.35,"LEVE",AND(Tabla1[[#This Row],[Porcentaje de muertes]]&gt;0.35,Tabla1[[#This Row],[Porcentaje de muertes]]&lt;0.65),"MEDIO",Tabla1[[#This Row],[Porcentaje de muertes]]&gt;0.65,"GRAVE")</f>
        <v>GRAVE</v>
      </c>
      <c r="AB189" t="s">
        <v>28718</v>
      </c>
      <c r="AC189" t="s">
        <v>28719</v>
      </c>
      <c r="AD189">
        <v>390500</v>
      </c>
      <c r="AE189">
        <v>263700</v>
      </c>
      <c r="AF189">
        <v>525300</v>
      </c>
      <c r="AG189">
        <v>590000</v>
      </c>
      <c r="AH189">
        <v>1116900</v>
      </c>
      <c r="AI189">
        <v>1335200</v>
      </c>
      <c r="AJ189">
        <v>1439200</v>
      </c>
      <c r="AK189">
        <v>1425000</v>
      </c>
      <c r="AL189">
        <v>1449000</v>
      </c>
      <c r="AM189">
        <v>1686100</v>
      </c>
      <c r="AN189">
        <v>1980100</v>
      </c>
      <c r="AO189">
        <v>1777100</v>
      </c>
      <c r="AP189">
        <v>1739700</v>
      </c>
      <c r="AQ189">
        <v>1698200</v>
      </c>
      <c r="AR189">
        <v>1616800</v>
      </c>
      <c r="AS189">
        <v>1563900</v>
      </c>
      <c r="AT189">
        <v>2152900</v>
      </c>
      <c r="AU189">
        <v>3009000</v>
      </c>
      <c r="AV189">
        <v>2737100</v>
      </c>
      <c r="AW189">
        <v>1854300</v>
      </c>
      <c r="AX189">
        <v>1816200</v>
      </c>
      <c r="AY189">
        <v>1490600</v>
      </c>
      <c r="AZ189">
        <v>1217600</v>
      </c>
      <c r="BA189">
        <v>1362400</v>
      </c>
      <c r="BB189">
        <v>1894900</v>
      </c>
      <c r="BC189">
        <v>2508300</v>
      </c>
      <c r="BD189">
        <v>2327500</v>
      </c>
      <c r="BE189">
        <v>2724500</v>
      </c>
      <c r="BF189">
        <v>2774500</v>
      </c>
      <c r="BG189">
        <v>1900000</v>
      </c>
      <c r="BH189">
        <v>1595268</v>
      </c>
      <c r="BI189">
        <v>2248991</v>
      </c>
      <c r="BJ189">
        <v>2085823</v>
      </c>
      <c r="BK189">
        <v>2226329</v>
      </c>
      <c r="BL189">
        <v>3225128</v>
      </c>
      <c r="BM189">
        <v>4332223</v>
      </c>
      <c r="BN189">
        <v>4217880</v>
      </c>
      <c r="BO189">
        <v>5273188</v>
      </c>
      <c r="BP189">
        <v>6184410</v>
      </c>
      <c r="BQ189">
        <v>5843195</v>
      </c>
      <c r="BR189">
        <v>7106025.2929999996</v>
      </c>
      <c r="BS189">
        <v>8609620.3540000003</v>
      </c>
      <c r="BT189">
        <v>10074855.609999999</v>
      </c>
      <c r="BU189">
        <v>12255937.76</v>
      </c>
      <c r="BV189">
        <v>12284677</v>
      </c>
      <c r="BW189">
        <v>13877662</v>
      </c>
      <c r="BX189">
        <v>15081755</v>
      </c>
      <c r="BY189">
        <v>16094150</v>
      </c>
      <c r="BZ189">
        <v>17758527.27</v>
      </c>
      <c r="CA189">
        <v>18820572</v>
      </c>
    </row>
    <row r="190" spans="2:79" x14ac:dyDescent="0.3">
      <c r="B190" s="9">
        <v>188</v>
      </c>
      <c r="C190" s="49">
        <v>10757</v>
      </c>
      <c r="D190" s="9">
        <f>YEAR(Tabla1[[#This Row],[Date]])</f>
        <v>1929</v>
      </c>
      <c r="E190" s="9" t="str" cm="1">
        <f t="array" ref="E190">IFERROR(_xlfn.IFS(AND(D190&lt;1980,D190&gt;=1970),"70",AND(D190&lt;1990,D190&gt;=1980),"80",AND(D190&lt;2000,D190&gt;=1990),"90",AND(D190&lt;2010,D190&gt;=2000),"00",AND(D190&lt;=2019,D190&gt;=2010),"10"),"1908-1970")</f>
        <v>1908-1970</v>
      </c>
      <c r="F190" s="3">
        <v>0.33333333333333331</v>
      </c>
      <c r="G190" t="s">
        <v>5754</v>
      </c>
      <c r="H190" t="s">
        <v>5755</v>
      </c>
      <c r="I190" t="s">
        <v>28931</v>
      </c>
      <c r="J190" t="s">
        <v>5756</v>
      </c>
      <c r="K190" t="s">
        <v>5757</v>
      </c>
      <c r="L190" s="7" t="s">
        <v>5758</v>
      </c>
      <c r="M190">
        <v>1010</v>
      </c>
      <c r="N190">
        <v>5</v>
      </c>
      <c r="O190">
        <v>1</v>
      </c>
      <c r="P190">
        <v>4</v>
      </c>
      <c r="Q190">
        <v>2</v>
      </c>
      <c r="R190">
        <v>1</v>
      </c>
      <c r="S190">
        <v>1</v>
      </c>
      <c r="T190">
        <v>0</v>
      </c>
      <c r="U190" t="s">
        <v>5759</v>
      </c>
      <c r="V190">
        <f>Tabla1[[#This Row],[Aboard]]-Tabla1[[#This Row],[Fatalities]]</f>
        <v>3</v>
      </c>
      <c r="W190" s="50">
        <f>IFERROR(Tabla1[[#This Row],[Fatalities]]/Tabla1[[#This Row],[Aboard]],0)</f>
        <v>0.4</v>
      </c>
      <c r="X190" s="51" t="str" cm="1">
        <f t="array" ref="X190">_xlfn.IFS(Tabla1[[#This Row],[Porcentaje de muertes]]&lt;0.35,"LEVE",AND(Tabla1[[#This Row],[Porcentaje de muertes]]&gt;0.35,Tabla1[[#This Row],[Porcentaje de muertes]]&lt;0.65),"MEDIO",Tabla1[[#This Row],[Porcentaje de muertes]]&gt;0.65,"GRAVE")</f>
        <v>MEDIO</v>
      </c>
      <c r="AB190" t="s">
        <v>28720</v>
      </c>
      <c r="AC190" t="s">
        <v>28721</v>
      </c>
      <c r="AD190">
        <v>2369000</v>
      </c>
      <c r="AE190">
        <v>2070900</v>
      </c>
      <c r="AF190">
        <v>2123900</v>
      </c>
      <c r="AG190">
        <v>2349600</v>
      </c>
      <c r="AH190">
        <v>2525100</v>
      </c>
      <c r="AI190">
        <v>2758400</v>
      </c>
      <c r="AJ190">
        <v>2815700</v>
      </c>
      <c r="AK190">
        <v>3021100</v>
      </c>
      <c r="AL190">
        <v>3411600</v>
      </c>
      <c r="AM190">
        <v>3474900</v>
      </c>
      <c r="AN190">
        <v>3245600</v>
      </c>
      <c r="AO190">
        <v>3542700</v>
      </c>
      <c r="AP190">
        <v>3866900</v>
      </c>
      <c r="AQ190">
        <v>4319800</v>
      </c>
      <c r="AR190">
        <v>4394000</v>
      </c>
      <c r="AS190">
        <v>4610400</v>
      </c>
      <c r="AT190">
        <v>4879600</v>
      </c>
      <c r="AU190">
        <v>5247300</v>
      </c>
      <c r="AV190">
        <v>5719500</v>
      </c>
      <c r="AW190">
        <v>5715200</v>
      </c>
      <c r="AX190">
        <v>5638700</v>
      </c>
      <c r="AY190">
        <v>5438100</v>
      </c>
      <c r="AZ190">
        <v>6136500</v>
      </c>
      <c r="BA190">
        <v>6526200</v>
      </c>
      <c r="BB190">
        <v>6851500</v>
      </c>
      <c r="BC190">
        <v>7179600</v>
      </c>
      <c r="BD190">
        <v>7263100</v>
      </c>
      <c r="BE190">
        <v>7474600</v>
      </c>
      <c r="BF190">
        <v>6731600</v>
      </c>
      <c r="BG190">
        <v>5024000</v>
      </c>
      <c r="BH190">
        <v>5756288</v>
      </c>
      <c r="BI190">
        <v>6416383</v>
      </c>
      <c r="BJ190">
        <v>6449022</v>
      </c>
      <c r="BK190">
        <v>6457529</v>
      </c>
      <c r="BL190">
        <v>7387965</v>
      </c>
      <c r="BM190">
        <v>8056829</v>
      </c>
      <c r="BN190">
        <v>8304634</v>
      </c>
      <c r="BO190">
        <v>8818150</v>
      </c>
      <c r="BP190">
        <v>9508389</v>
      </c>
      <c r="BQ190">
        <v>10480898</v>
      </c>
      <c r="BR190">
        <v>22575356</v>
      </c>
      <c r="BS190">
        <v>26326620.760000002</v>
      </c>
      <c r="BT190">
        <v>28540727.359999999</v>
      </c>
      <c r="BU190">
        <v>25540880</v>
      </c>
      <c r="BV190">
        <v>34897404</v>
      </c>
      <c r="BW190">
        <v>37023422</v>
      </c>
      <c r="BX190">
        <v>40206684</v>
      </c>
      <c r="BY190">
        <v>39341995</v>
      </c>
      <c r="BZ190">
        <v>43080118</v>
      </c>
      <c r="CA190">
        <v>47776892</v>
      </c>
    </row>
    <row r="191" spans="2:79" x14ac:dyDescent="0.3">
      <c r="B191" s="9">
        <v>189</v>
      </c>
      <c r="C191" s="49">
        <v>10758</v>
      </c>
      <c r="D191" s="9">
        <f>YEAR(Tabla1[[#This Row],[Date]])</f>
        <v>1929</v>
      </c>
      <c r="E191" s="9" t="str" cm="1">
        <f t="array" ref="E191">IFERROR(_xlfn.IFS(AND(D191&lt;1980,D191&gt;=1970),"70",AND(D191&lt;1990,D191&gt;=1980),"80",AND(D191&lt;2000,D191&gt;=1990),"90",AND(D191&lt;2010,D191&gt;=2000),"00",AND(D191&lt;=2019,D191&gt;=2010),"10"),"1908-1970")</f>
        <v>1908-1970</v>
      </c>
      <c r="F191" s="3" t="s">
        <v>28931</v>
      </c>
      <c r="G191" t="s">
        <v>5181</v>
      </c>
      <c r="H191" t="s">
        <v>5182</v>
      </c>
      <c r="I191" t="s">
        <v>28931</v>
      </c>
      <c r="J191" t="s">
        <v>5760</v>
      </c>
      <c r="K191" t="s">
        <v>5167</v>
      </c>
      <c r="L191" s="7" t="s">
        <v>5761</v>
      </c>
      <c r="M191">
        <v>217</v>
      </c>
      <c r="N191">
        <v>2</v>
      </c>
      <c r="O191">
        <v>0</v>
      </c>
      <c r="P191">
        <v>2</v>
      </c>
      <c r="Q191">
        <v>1</v>
      </c>
      <c r="R191">
        <v>0</v>
      </c>
      <c r="S191">
        <v>1</v>
      </c>
      <c r="T191">
        <v>0</v>
      </c>
      <c r="U191" t="s">
        <v>5762</v>
      </c>
      <c r="V191">
        <f>Tabla1[[#This Row],[Aboard]]-Tabla1[[#This Row],[Fatalities]]</f>
        <v>1</v>
      </c>
      <c r="W191" s="50">
        <f>IFERROR(Tabla1[[#This Row],[Fatalities]]/Tabla1[[#This Row],[Aboard]],0)</f>
        <v>0.5</v>
      </c>
      <c r="X191" s="51" t="str" cm="1">
        <f t="array" ref="X191">_xlfn.IFS(Tabla1[[#This Row],[Porcentaje de muertes]]&lt;0.35,"LEVE",AND(Tabla1[[#This Row],[Porcentaje de muertes]]&gt;0.35,Tabla1[[#This Row],[Porcentaje de muertes]]&lt;0.65),"MEDIO",Tabla1[[#This Row],[Porcentaje de muertes]]&gt;0.65,"GRAVE")</f>
        <v>MEDIO</v>
      </c>
      <c r="AB191" t="s">
        <v>28722</v>
      </c>
      <c r="AC191" t="s">
        <v>28723</v>
      </c>
      <c r="AD191" t="s">
        <v>28966</v>
      </c>
      <c r="AE191" t="s">
        <v>28966</v>
      </c>
      <c r="AF191" t="s">
        <v>28966</v>
      </c>
      <c r="AG191" t="s">
        <v>28966</v>
      </c>
      <c r="AH191" t="s">
        <v>28966</v>
      </c>
      <c r="AI191" t="s">
        <v>28966</v>
      </c>
      <c r="AJ191" t="s">
        <v>28966</v>
      </c>
      <c r="AK191" t="s">
        <v>28966</v>
      </c>
      <c r="AL191" t="s">
        <v>28966</v>
      </c>
      <c r="AM191" t="s">
        <v>28966</v>
      </c>
      <c r="AN191" t="s">
        <v>28966</v>
      </c>
      <c r="AO191" t="s">
        <v>28966</v>
      </c>
      <c r="AP191" t="s">
        <v>28966</v>
      </c>
      <c r="AQ191" t="s">
        <v>28966</v>
      </c>
      <c r="AR191" t="s">
        <v>28966</v>
      </c>
      <c r="AS191" t="s">
        <v>28966</v>
      </c>
      <c r="AT191" t="s">
        <v>28966</v>
      </c>
      <c r="AU191" t="s">
        <v>28966</v>
      </c>
      <c r="AV191" t="s">
        <v>28966</v>
      </c>
      <c r="AW191" t="s">
        <v>28966</v>
      </c>
      <c r="AX191" t="s">
        <v>28966</v>
      </c>
      <c r="AY191" t="s">
        <v>28966</v>
      </c>
      <c r="AZ191" t="s">
        <v>28966</v>
      </c>
      <c r="BA191" t="s">
        <v>28966</v>
      </c>
      <c r="BB191" t="s">
        <v>28966</v>
      </c>
      <c r="BC191" t="s">
        <v>28966</v>
      </c>
      <c r="BD191" t="s">
        <v>28966</v>
      </c>
      <c r="BE191" t="s">
        <v>28966</v>
      </c>
      <c r="BF191" t="s">
        <v>28966</v>
      </c>
      <c r="BG191" t="s">
        <v>28966</v>
      </c>
      <c r="BH191" t="s">
        <v>28966</v>
      </c>
      <c r="BI191" t="s">
        <v>28966</v>
      </c>
      <c r="BJ191" t="s">
        <v>28966</v>
      </c>
      <c r="BK191" t="s">
        <v>28966</v>
      </c>
      <c r="BL191" t="s">
        <v>28966</v>
      </c>
      <c r="BM191" t="s">
        <v>28966</v>
      </c>
      <c r="BN191" t="s">
        <v>28966</v>
      </c>
      <c r="BO191" t="s">
        <v>28966</v>
      </c>
      <c r="BP191" t="s">
        <v>28966</v>
      </c>
      <c r="BQ191" t="s">
        <v>28966</v>
      </c>
      <c r="BR191" t="s">
        <v>28966</v>
      </c>
      <c r="BS191" t="s">
        <v>28966</v>
      </c>
      <c r="BT191" t="s">
        <v>28966</v>
      </c>
      <c r="BU191" t="s">
        <v>28966</v>
      </c>
      <c r="BV191" t="s">
        <v>28966</v>
      </c>
      <c r="BW191" t="s">
        <v>28966</v>
      </c>
      <c r="BX191" t="s">
        <v>28966</v>
      </c>
      <c r="BY191" t="s">
        <v>28966</v>
      </c>
      <c r="BZ191" t="s">
        <v>28966</v>
      </c>
      <c r="CA191" t="s">
        <v>28966</v>
      </c>
    </row>
    <row r="192" spans="2:79" x14ac:dyDescent="0.3">
      <c r="B192" s="9">
        <v>190</v>
      </c>
      <c r="C192" s="49">
        <v>10761</v>
      </c>
      <c r="D192" s="9">
        <f>YEAR(Tabla1[[#This Row],[Date]])</f>
        <v>1929</v>
      </c>
      <c r="E192" s="9" t="str" cm="1">
        <f t="array" ref="E192">IFERROR(_xlfn.IFS(AND(D192&lt;1980,D192&gt;=1970),"70",AND(D192&lt;1990,D192&gt;=1980),"80",AND(D192&lt;2000,D192&gt;=1990),"90",AND(D192&lt;2010,D192&gt;=2000),"00",AND(D192&lt;=2019,D192&gt;=2010),"10"),"1908-1970")</f>
        <v>1908-1970</v>
      </c>
      <c r="F192" s="3">
        <v>0.47916666666666669</v>
      </c>
      <c r="G192" t="s">
        <v>5763</v>
      </c>
      <c r="H192" t="s">
        <v>5350</v>
      </c>
      <c r="I192" t="s">
        <v>28931</v>
      </c>
      <c r="J192" t="s">
        <v>5764</v>
      </c>
      <c r="K192" t="s">
        <v>5436</v>
      </c>
      <c r="L192" s="7" t="s">
        <v>5765</v>
      </c>
      <c r="M192" t="s">
        <v>5766</v>
      </c>
      <c r="N192">
        <v>13</v>
      </c>
      <c r="O192">
        <v>11</v>
      </c>
      <c r="P192">
        <v>2</v>
      </c>
      <c r="Q192">
        <v>7</v>
      </c>
      <c r="R192">
        <v>7</v>
      </c>
      <c r="S192">
        <v>0</v>
      </c>
      <c r="T192">
        <v>0</v>
      </c>
      <c r="U192" t="s">
        <v>5767</v>
      </c>
      <c r="V192">
        <f>Tabla1[[#This Row],[Aboard]]-Tabla1[[#This Row],[Fatalities]]</f>
        <v>6</v>
      </c>
      <c r="W192" s="50">
        <f>IFERROR(Tabla1[[#This Row],[Fatalities]]/Tabla1[[#This Row],[Aboard]],0)</f>
        <v>0.53846153846153844</v>
      </c>
      <c r="X192" s="51" t="str" cm="1">
        <f t="array" ref="X192">_xlfn.IFS(Tabla1[[#This Row],[Porcentaje de muertes]]&lt;0.35,"LEVE",AND(Tabla1[[#This Row],[Porcentaje de muertes]]&gt;0.35,Tabla1[[#This Row],[Porcentaje de muertes]]&lt;0.65),"MEDIO",Tabla1[[#This Row],[Porcentaje de muertes]]&gt;0.65,"GRAVE")</f>
        <v>MEDIO</v>
      </c>
      <c r="AB192" t="s">
        <v>22706</v>
      </c>
      <c r="AC192" t="s">
        <v>28724</v>
      </c>
      <c r="AD192" t="s">
        <v>28966</v>
      </c>
      <c r="AE192" t="s">
        <v>28966</v>
      </c>
      <c r="AF192" t="s">
        <v>28966</v>
      </c>
      <c r="AG192" t="s">
        <v>28966</v>
      </c>
      <c r="AH192" t="s">
        <v>28966</v>
      </c>
      <c r="AI192">
        <v>355000</v>
      </c>
      <c r="AJ192">
        <v>405300</v>
      </c>
      <c r="AK192">
        <v>440000</v>
      </c>
      <c r="AL192">
        <v>532300</v>
      </c>
      <c r="AM192">
        <v>572300</v>
      </c>
      <c r="AN192">
        <v>558600</v>
      </c>
      <c r="AO192">
        <v>553500</v>
      </c>
      <c r="AP192">
        <v>560400</v>
      </c>
      <c r="AQ192">
        <v>533800</v>
      </c>
      <c r="AR192">
        <v>711400</v>
      </c>
      <c r="AS192">
        <v>700900</v>
      </c>
      <c r="AT192">
        <v>807400</v>
      </c>
      <c r="AU192">
        <v>798300</v>
      </c>
      <c r="AV192">
        <v>886600</v>
      </c>
      <c r="AW192">
        <v>963400</v>
      </c>
      <c r="AX192">
        <v>931200</v>
      </c>
      <c r="AY192">
        <v>911000</v>
      </c>
      <c r="AZ192">
        <v>954000</v>
      </c>
      <c r="BA192">
        <v>866000</v>
      </c>
      <c r="BB192">
        <v>1112800</v>
      </c>
      <c r="BC192">
        <v>970000</v>
      </c>
      <c r="BD192">
        <v>970000</v>
      </c>
      <c r="BE192">
        <v>1114000</v>
      </c>
      <c r="BF192">
        <v>1110300</v>
      </c>
      <c r="BG192">
        <v>1058200</v>
      </c>
      <c r="BH192">
        <v>1099772</v>
      </c>
      <c r="BI192">
        <v>1188089</v>
      </c>
      <c r="BJ192">
        <v>1234779</v>
      </c>
      <c r="BK192">
        <v>690528</v>
      </c>
      <c r="BL192">
        <v>762784</v>
      </c>
      <c r="BM192">
        <v>818773</v>
      </c>
      <c r="BN192">
        <v>918640</v>
      </c>
      <c r="BO192">
        <v>918665</v>
      </c>
      <c r="BP192">
        <v>904885</v>
      </c>
      <c r="BQ192">
        <v>847353</v>
      </c>
      <c r="BR192">
        <v>1405169</v>
      </c>
      <c r="BS192">
        <v>1563593.8529999999</v>
      </c>
      <c r="BT192">
        <v>1630308.432</v>
      </c>
      <c r="BU192">
        <v>1870968</v>
      </c>
      <c r="BV192">
        <v>2074020</v>
      </c>
      <c r="BW192">
        <v>1679156</v>
      </c>
      <c r="BX192">
        <v>1711274</v>
      </c>
      <c r="BY192">
        <v>1864653</v>
      </c>
      <c r="BZ192">
        <v>1831903</v>
      </c>
      <c r="CA192">
        <v>2029701</v>
      </c>
    </row>
    <row r="193" spans="2:79" x14ac:dyDescent="0.3">
      <c r="B193" s="9">
        <v>191</v>
      </c>
      <c r="C193" s="49">
        <v>10768</v>
      </c>
      <c r="D193" s="9">
        <f>YEAR(Tabla1[[#This Row],[Date]])</f>
        <v>1929</v>
      </c>
      <c r="E193" s="9" t="str" cm="1">
        <f t="array" ref="E193">IFERROR(_xlfn.IFS(AND(D193&lt;1980,D193&gt;=1970),"70",AND(D193&lt;1990,D193&gt;=1980),"80",AND(D193&lt;2000,D193&gt;=1990),"90",AND(D193&lt;2010,D193&gt;=2000),"00",AND(D193&lt;=2019,D193&gt;=2010),"10"),"1908-1970")</f>
        <v>1908-1970</v>
      </c>
      <c r="F193" s="3" t="s">
        <v>28931</v>
      </c>
      <c r="G193" t="s">
        <v>5768</v>
      </c>
      <c r="H193" t="s">
        <v>5769</v>
      </c>
      <c r="I193" t="s">
        <v>28931</v>
      </c>
      <c r="J193" t="s">
        <v>5770</v>
      </c>
      <c r="K193" t="s">
        <v>5771</v>
      </c>
      <c r="L193" s="7" t="s">
        <v>5772</v>
      </c>
      <c r="M193" t="s">
        <v>5773</v>
      </c>
      <c r="N193">
        <v>8</v>
      </c>
      <c r="O193">
        <v>6</v>
      </c>
      <c r="P193">
        <v>2</v>
      </c>
      <c r="Q193">
        <v>1</v>
      </c>
      <c r="R193">
        <v>0</v>
      </c>
      <c r="S193">
        <v>1</v>
      </c>
      <c r="T193">
        <v>0</v>
      </c>
      <c r="U193" t="s">
        <v>5774</v>
      </c>
      <c r="V193">
        <f>Tabla1[[#This Row],[Aboard]]-Tabla1[[#This Row],[Fatalities]]</f>
        <v>7</v>
      </c>
      <c r="W193" s="50">
        <f>IFERROR(Tabla1[[#This Row],[Fatalities]]/Tabla1[[#This Row],[Aboard]],0)</f>
        <v>0.125</v>
      </c>
      <c r="X193" s="51" t="str" cm="1">
        <f t="array" ref="X193">_xlfn.IFS(Tabla1[[#This Row],[Porcentaje de muertes]]&lt;0.35,"LEVE",AND(Tabla1[[#This Row],[Porcentaje de muertes]]&gt;0.35,Tabla1[[#This Row],[Porcentaje de muertes]]&lt;0.65),"MEDIO",Tabla1[[#This Row],[Porcentaje de muertes]]&gt;0.65,"GRAVE")</f>
        <v>LEVE</v>
      </c>
      <c r="AB193" t="s">
        <v>28725</v>
      </c>
      <c r="AC193" t="s">
        <v>28726</v>
      </c>
      <c r="AD193">
        <v>904000</v>
      </c>
      <c r="AE193">
        <v>1031200</v>
      </c>
      <c r="AF193">
        <v>1267000</v>
      </c>
      <c r="AG193">
        <v>1491000</v>
      </c>
      <c r="AH193">
        <v>1086800</v>
      </c>
      <c r="AI193">
        <v>1454500</v>
      </c>
      <c r="AJ193">
        <v>1472400</v>
      </c>
      <c r="AK193">
        <v>1643200</v>
      </c>
      <c r="AL193">
        <v>1702300</v>
      </c>
      <c r="AM193">
        <v>1850400</v>
      </c>
      <c r="AN193">
        <v>1710500</v>
      </c>
      <c r="AO193">
        <v>1592800</v>
      </c>
      <c r="AP193">
        <v>755500</v>
      </c>
      <c r="AQ193">
        <v>1287000</v>
      </c>
      <c r="AR193">
        <v>1595900</v>
      </c>
      <c r="AS193">
        <v>1587000</v>
      </c>
      <c r="AT193">
        <v>1573500</v>
      </c>
      <c r="AU193">
        <v>1569500</v>
      </c>
      <c r="AV193">
        <v>1600200</v>
      </c>
      <c r="AW193">
        <v>1907300</v>
      </c>
      <c r="AX193">
        <v>1501000</v>
      </c>
      <c r="AY193">
        <v>1051200</v>
      </c>
      <c r="AZ193">
        <v>1102100</v>
      </c>
      <c r="BA193">
        <v>1269900</v>
      </c>
      <c r="BB193">
        <v>1451800</v>
      </c>
      <c r="BC193">
        <v>1657300</v>
      </c>
      <c r="BD193">
        <v>1805900</v>
      </c>
      <c r="BE193">
        <v>1998000</v>
      </c>
      <c r="BF193">
        <v>2212500</v>
      </c>
      <c r="BG193">
        <v>2140700</v>
      </c>
      <c r="BH193">
        <v>2340919</v>
      </c>
      <c r="BI193">
        <v>2670283</v>
      </c>
      <c r="BJ193">
        <v>2845919</v>
      </c>
      <c r="BK193">
        <v>3252222</v>
      </c>
      <c r="BL193">
        <v>3493094</v>
      </c>
      <c r="BM193">
        <v>3553680</v>
      </c>
      <c r="BN193">
        <v>3625982</v>
      </c>
      <c r="BO193">
        <v>4269655</v>
      </c>
      <c r="BP193">
        <v>4634676</v>
      </c>
      <c r="BQ193">
        <v>4279072</v>
      </c>
      <c r="BR193">
        <v>4099082</v>
      </c>
      <c r="BS193">
        <v>4448727.0599999996</v>
      </c>
      <c r="BT193">
        <v>4909100.392</v>
      </c>
      <c r="BU193">
        <v>5002975.7489999998</v>
      </c>
      <c r="BV193">
        <v>5038745.426</v>
      </c>
      <c r="BW193">
        <v>4448883</v>
      </c>
      <c r="BX193">
        <v>5497163</v>
      </c>
      <c r="BY193">
        <v>7376512</v>
      </c>
      <c r="BZ193">
        <v>9277538</v>
      </c>
      <c r="CA193">
        <v>10225516</v>
      </c>
    </row>
    <row r="194" spans="2:79" x14ac:dyDescent="0.3">
      <c r="B194" s="9">
        <v>192</v>
      </c>
      <c r="C194" s="49">
        <v>10773</v>
      </c>
      <c r="D194" s="9">
        <f>YEAR(Tabla1[[#This Row],[Date]])</f>
        <v>1929</v>
      </c>
      <c r="E194" s="9" t="str" cm="1">
        <f t="array" ref="E194">IFERROR(_xlfn.IFS(AND(D194&lt;1980,D194&gt;=1970),"70",AND(D194&lt;1990,D194&gt;=1980),"80",AND(D194&lt;2000,D194&gt;=1990),"90",AND(D194&lt;2010,D194&gt;=2000),"00",AND(D194&lt;=2019,D194&gt;=2010),"10"),"1908-1970")</f>
        <v>1908-1970</v>
      </c>
      <c r="F194" s="3">
        <v>0.875</v>
      </c>
      <c r="G194" t="s">
        <v>5775</v>
      </c>
      <c r="H194" t="s">
        <v>5776</v>
      </c>
      <c r="I194" t="s">
        <v>28931</v>
      </c>
      <c r="J194" t="s">
        <v>28931</v>
      </c>
      <c r="K194" t="s">
        <v>5777</v>
      </c>
      <c r="L194" s="7" t="s">
        <v>5778</v>
      </c>
      <c r="M194">
        <v>151</v>
      </c>
      <c r="N194">
        <v>5</v>
      </c>
      <c r="O194">
        <v>4</v>
      </c>
      <c r="P194">
        <v>1</v>
      </c>
      <c r="Q194">
        <v>5</v>
      </c>
      <c r="R194">
        <v>4</v>
      </c>
      <c r="S194">
        <v>1</v>
      </c>
      <c r="T194">
        <v>0</v>
      </c>
      <c r="U194" t="s">
        <v>5779</v>
      </c>
      <c r="V194">
        <f>Tabla1[[#This Row],[Aboard]]-Tabla1[[#This Row],[Fatalities]]</f>
        <v>0</v>
      </c>
      <c r="W194" s="50">
        <f>IFERROR(Tabla1[[#This Row],[Fatalities]]/Tabla1[[#This Row],[Aboard]],0)</f>
        <v>1</v>
      </c>
      <c r="X194" s="51" t="str" cm="1">
        <f t="array" ref="X194">_xlfn.IFS(Tabla1[[#This Row],[Porcentaje de muertes]]&lt;0.35,"LEVE",AND(Tabla1[[#This Row],[Porcentaje de muertes]]&gt;0.35,Tabla1[[#This Row],[Porcentaje de muertes]]&lt;0.65),"MEDIO",Tabla1[[#This Row],[Porcentaje de muertes]]&gt;0.65,"GRAVE")</f>
        <v>GRAVE</v>
      </c>
      <c r="AB194" t="s">
        <v>28727</v>
      </c>
      <c r="AC194" t="s">
        <v>28728</v>
      </c>
      <c r="AD194">
        <v>2589800</v>
      </c>
      <c r="AE194">
        <v>2847200</v>
      </c>
      <c r="AF194">
        <v>2900000</v>
      </c>
      <c r="AG194">
        <v>3299800</v>
      </c>
      <c r="AH194">
        <v>3830100</v>
      </c>
      <c r="AI194">
        <v>4279000</v>
      </c>
      <c r="AJ194">
        <v>5416400</v>
      </c>
      <c r="AK194">
        <v>5693100</v>
      </c>
      <c r="AL194">
        <v>6456000</v>
      </c>
      <c r="AM194">
        <v>7333900</v>
      </c>
      <c r="AN194">
        <v>8054300</v>
      </c>
      <c r="AO194">
        <v>8800000</v>
      </c>
      <c r="AP194">
        <v>8987200</v>
      </c>
      <c r="AQ194">
        <v>9138600</v>
      </c>
      <c r="AR194">
        <v>8906500</v>
      </c>
      <c r="AS194">
        <v>9315600</v>
      </c>
      <c r="AT194">
        <v>8586600</v>
      </c>
      <c r="AU194">
        <v>8136900</v>
      </c>
      <c r="AV194">
        <v>8313100</v>
      </c>
      <c r="AW194">
        <v>7581600</v>
      </c>
      <c r="AX194">
        <v>7398600</v>
      </c>
      <c r="AY194">
        <v>6057800</v>
      </c>
      <c r="AZ194">
        <v>5674400</v>
      </c>
      <c r="BA194">
        <v>5354400</v>
      </c>
      <c r="BB194">
        <v>5857800</v>
      </c>
      <c r="BC194">
        <v>5618900</v>
      </c>
      <c r="BD194">
        <v>5427100</v>
      </c>
      <c r="BE194">
        <v>5219400</v>
      </c>
      <c r="BF194">
        <v>5677400</v>
      </c>
      <c r="BG194">
        <v>5720100</v>
      </c>
      <c r="BH194">
        <v>5605843</v>
      </c>
      <c r="BI194">
        <v>5129614</v>
      </c>
      <c r="BJ194" t="s">
        <v>28966</v>
      </c>
      <c r="BK194" t="s">
        <v>28966</v>
      </c>
      <c r="BL194" t="s">
        <v>28966</v>
      </c>
      <c r="BM194" t="s">
        <v>28966</v>
      </c>
      <c r="BN194" t="s">
        <v>28966</v>
      </c>
      <c r="BO194" t="s">
        <v>28966</v>
      </c>
      <c r="BP194" t="s">
        <v>28966</v>
      </c>
      <c r="BQ194" t="s">
        <v>28966</v>
      </c>
      <c r="BR194">
        <v>17819048.66</v>
      </c>
      <c r="BS194">
        <v>20387700.77</v>
      </c>
      <c r="BT194">
        <v>20515501.68</v>
      </c>
      <c r="BU194">
        <v>19925850.82</v>
      </c>
      <c r="BV194">
        <v>19349770.899999999</v>
      </c>
      <c r="BW194">
        <v>21230480</v>
      </c>
      <c r="BX194">
        <v>20633300</v>
      </c>
      <c r="BY194">
        <v>21624757.050000001</v>
      </c>
      <c r="BZ194">
        <v>28768397.359999999</v>
      </c>
      <c r="CA194">
        <v>25602394.16</v>
      </c>
    </row>
    <row r="195" spans="2:79" x14ac:dyDescent="0.3">
      <c r="B195" s="9">
        <v>193</v>
      </c>
      <c r="C195" s="49">
        <v>10773</v>
      </c>
      <c r="D195" s="9">
        <f>YEAR(Tabla1[[#This Row],[Date]])</f>
        <v>1929</v>
      </c>
      <c r="E195" s="9" t="str" cm="1">
        <f t="array" ref="E195">IFERROR(_xlfn.IFS(AND(D195&lt;1980,D195&gt;=1970),"70",AND(D195&lt;1990,D195&gt;=1980),"80",AND(D195&lt;2000,D195&gt;=1990),"90",AND(D195&lt;2010,D195&gt;=2000),"00",AND(D195&lt;=2019,D195&gt;=2010),"10"),"1908-1970")</f>
        <v>1908-1970</v>
      </c>
      <c r="F195" s="3" t="s">
        <v>28931</v>
      </c>
      <c r="G195" t="s">
        <v>5780</v>
      </c>
      <c r="H195" t="s">
        <v>5658</v>
      </c>
      <c r="I195" t="s">
        <v>28931</v>
      </c>
      <c r="J195" t="s">
        <v>28931</v>
      </c>
      <c r="K195" t="s">
        <v>5660</v>
      </c>
      <c r="L195" s="7" t="s">
        <v>5781</v>
      </c>
      <c r="M195">
        <v>524</v>
      </c>
      <c r="N195">
        <v>1</v>
      </c>
      <c r="O195">
        <v>0</v>
      </c>
      <c r="P195">
        <v>1</v>
      </c>
      <c r="Q195">
        <v>1</v>
      </c>
      <c r="R195">
        <v>0</v>
      </c>
      <c r="S195">
        <v>1</v>
      </c>
      <c r="T195">
        <v>0</v>
      </c>
      <c r="U195" t="s">
        <v>5782</v>
      </c>
      <c r="V195">
        <f>Tabla1[[#This Row],[Aboard]]-Tabla1[[#This Row],[Fatalities]]</f>
        <v>0</v>
      </c>
      <c r="W195" s="50">
        <f>IFERROR(Tabla1[[#This Row],[Fatalities]]/Tabla1[[#This Row],[Aboard]],0)</f>
        <v>1</v>
      </c>
      <c r="X195" s="51" t="str" cm="1">
        <f t="array" ref="X195">_xlfn.IFS(Tabla1[[#This Row],[Porcentaje de muertes]]&lt;0.35,"LEVE",AND(Tabla1[[#This Row],[Porcentaje de muertes]]&gt;0.35,Tabla1[[#This Row],[Porcentaje de muertes]]&lt;0.65),"MEDIO",Tabla1[[#This Row],[Porcentaje de muertes]]&gt;0.65,"GRAVE")</f>
        <v>GRAVE</v>
      </c>
      <c r="AB195" t="s">
        <v>28729</v>
      </c>
      <c r="AC195" t="s">
        <v>28730</v>
      </c>
      <c r="AD195" t="s">
        <v>28966</v>
      </c>
      <c r="AE195" t="s">
        <v>28966</v>
      </c>
      <c r="AF195" t="s">
        <v>28966</v>
      </c>
      <c r="AG195" t="s">
        <v>28966</v>
      </c>
      <c r="AH195" t="s">
        <v>28966</v>
      </c>
      <c r="AI195" t="s">
        <v>28966</v>
      </c>
      <c r="AJ195" t="s">
        <v>28966</v>
      </c>
      <c r="AK195" t="s">
        <v>28966</v>
      </c>
      <c r="AL195" t="s">
        <v>28966</v>
      </c>
      <c r="AM195" t="s">
        <v>28966</v>
      </c>
      <c r="AN195" t="s">
        <v>28966</v>
      </c>
      <c r="AO195" t="s">
        <v>28966</v>
      </c>
      <c r="AP195" t="s">
        <v>28966</v>
      </c>
      <c r="AQ195" t="s">
        <v>28966</v>
      </c>
      <c r="AR195" t="s">
        <v>28966</v>
      </c>
      <c r="AS195" t="s">
        <v>28966</v>
      </c>
      <c r="AT195" t="s">
        <v>28966</v>
      </c>
      <c r="AU195" t="s">
        <v>28966</v>
      </c>
      <c r="AV195" t="s">
        <v>28966</v>
      </c>
      <c r="AW195" t="s">
        <v>28966</v>
      </c>
      <c r="AX195" t="s">
        <v>28966</v>
      </c>
      <c r="AY195" t="s">
        <v>28966</v>
      </c>
      <c r="AZ195" t="s">
        <v>28966</v>
      </c>
      <c r="BA195" t="s">
        <v>28966</v>
      </c>
      <c r="BB195" t="s">
        <v>28966</v>
      </c>
      <c r="BC195" t="s">
        <v>28966</v>
      </c>
      <c r="BD195" t="s">
        <v>28966</v>
      </c>
      <c r="BE195" t="s">
        <v>28966</v>
      </c>
      <c r="BF195" t="s">
        <v>28966</v>
      </c>
      <c r="BG195" t="s">
        <v>28966</v>
      </c>
      <c r="BH195" t="s">
        <v>28966</v>
      </c>
      <c r="BI195" t="s">
        <v>28966</v>
      </c>
      <c r="BJ195" t="s">
        <v>28966</v>
      </c>
      <c r="BK195" t="s">
        <v>28966</v>
      </c>
      <c r="BL195" t="s">
        <v>28966</v>
      </c>
      <c r="BM195" t="s">
        <v>28966</v>
      </c>
      <c r="BN195" t="s">
        <v>28966</v>
      </c>
      <c r="BO195" t="s">
        <v>28966</v>
      </c>
      <c r="BP195" t="s">
        <v>28966</v>
      </c>
      <c r="BQ195" t="s">
        <v>28966</v>
      </c>
      <c r="BR195" t="s">
        <v>28966</v>
      </c>
      <c r="BS195" t="s">
        <v>28966</v>
      </c>
      <c r="BT195" t="s">
        <v>28966</v>
      </c>
      <c r="BU195" t="s">
        <v>28966</v>
      </c>
      <c r="BV195" t="s">
        <v>28966</v>
      </c>
      <c r="BW195" t="s">
        <v>28966</v>
      </c>
      <c r="BX195" t="s">
        <v>28966</v>
      </c>
      <c r="BY195" t="s">
        <v>28966</v>
      </c>
      <c r="BZ195" t="s">
        <v>28966</v>
      </c>
      <c r="CA195" t="s">
        <v>28966</v>
      </c>
    </row>
    <row r="196" spans="2:79" x14ac:dyDescent="0.3">
      <c r="B196" s="9">
        <v>194</v>
      </c>
      <c r="C196" s="49">
        <v>10905</v>
      </c>
      <c r="D196" s="9">
        <f>YEAR(Tabla1[[#This Row],[Date]])</f>
        <v>1929</v>
      </c>
      <c r="E196" s="9" t="str" cm="1">
        <f t="array" ref="E196">IFERROR(_xlfn.IFS(AND(D196&lt;1980,D196&gt;=1970),"70",AND(D196&lt;1990,D196&gt;=1980),"80",AND(D196&lt;2000,D196&gt;=1990),"90",AND(D196&lt;2010,D196&gt;=2000),"00",AND(D196&lt;=2019,D196&gt;=2010),"10"),"1908-1970")</f>
        <v>1908-1970</v>
      </c>
      <c r="F196" s="3" t="s">
        <v>28931</v>
      </c>
      <c r="G196" t="s">
        <v>5783</v>
      </c>
      <c r="H196" t="s">
        <v>5784</v>
      </c>
      <c r="I196" t="s">
        <v>28931</v>
      </c>
      <c r="J196" t="s">
        <v>28931</v>
      </c>
      <c r="K196" t="s">
        <v>5785</v>
      </c>
      <c r="L196" s="7" t="s">
        <v>5786</v>
      </c>
      <c r="M196" t="s">
        <v>28931</v>
      </c>
      <c r="N196">
        <v>4</v>
      </c>
      <c r="O196">
        <v>2</v>
      </c>
      <c r="P196">
        <v>2</v>
      </c>
      <c r="Q196">
        <v>4</v>
      </c>
      <c r="R196">
        <v>2</v>
      </c>
      <c r="S196">
        <v>2</v>
      </c>
      <c r="T196">
        <v>0</v>
      </c>
      <c r="U196" t="s">
        <v>5787</v>
      </c>
      <c r="V196">
        <f>Tabla1[[#This Row],[Aboard]]-Tabla1[[#This Row],[Fatalities]]</f>
        <v>0</v>
      </c>
      <c r="W196" s="50">
        <f>IFERROR(Tabla1[[#This Row],[Fatalities]]/Tabla1[[#This Row],[Aboard]],0)</f>
        <v>1</v>
      </c>
      <c r="X196" s="51" t="str" cm="1">
        <f t="array" ref="X196">_xlfn.IFS(Tabla1[[#This Row],[Porcentaje de muertes]]&lt;0.35,"LEVE",AND(Tabla1[[#This Row],[Porcentaje de muertes]]&gt;0.35,Tabla1[[#This Row],[Porcentaje de muertes]]&lt;0.65),"MEDIO",Tabla1[[#This Row],[Porcentaje de muertes]]&gt;0.65,"GRAVE")</f>
        <v>GRAVE</v>
      </c>
      <c r="AB196" t="s">
        <v>28603</v>
      </c>
      <c r="AC196" t="s">
        <v>28731</v>
      </c>
      <c r="AD196">
        <v>165000</v>
      </c>
      <c r="AE196">
        <v>166000</v>
      </c>
      <c r="AF196" t="s">
        <v>28966</v>
      </c>
      <c r="AG196" t="s">
        <v>28966</v>
      </c>
      <c r="AH196" t="s">
        <v>28966</v>
      </c>
      <c r="AI196" t="s">
        <v>28966</v>
      </c>
      <c r="AJ196" t="s">
        <v>28966</v>
      </c>
      <c r="AK196">
        <v>165000</v>
      </c>
      <c r="AL196">
        <v>166000</v>
      </c>
      <c r="AM196">
        <v>184000</v>
      </c>
      <c r="AN196">
        <v>192200</v>
      </c>
      <c r="AO196">
        <v>184400</v>
      </c>
      <c r="AP196">
        <v>185000</v>
      </c>
      <c r="AQ196">
        <v>196000</v>
      </c>
      <c r="AR196">
        <v>197500</v>
      </c>
      <c r="AS196">
        <v>202000</v>
      </c>
      <c r="AT196">
        <v>200000</v>
      </c>
      <c r="AU196">
        <v>205000</v>
      </c>
      <c r="AV196">
        <v>217500</v>
      </c>
      <c r="AW196">
        <v>220400</v>
      </c>
      <c r="AX196">
        <v>222700</v>
      </c>
      <c r="AY196">
        <v>222700</v>
      </c>
      <c r="AZ196">
        <v>235100</v>
      </c>
      <c r="BA196">
        <v>241800</v>
      </c>
      <c r="BB196">
        <v>241800</v>
      </c>
      <c r="BC196">
        <v>254000</v>
      </c>
      <c r="BD196">
        <v>254000</v>
      </c>
      <c r="BE196">
        <v>280000</v>
      </c>
      <c r="BF196">
        <v>64000</v>
      </c>
      <c r="BG196">
        <v>76700</v>
      </c>
      <c r="BH196">
        <v>82953</v>
      </c>
      <c r="BI196">
        <v>78805</v>
      </c>
      <c r="BJ196">
        <v>84321</v>
      </c>
      <c r="BK196">
        <v>75046</v>
      </c>
      <c r="BL196">
        <v>93808</v>
      </c>
      <c r="BM196">
        <v>101313</v>
      </c>
      <c r="BN196">
        <v>105366</v>
      </c>
      <c r="BO196">
        <v>110634</v>
      </c>
      <c r="BP196">
        <v>108974</v>
      </c>
      <c r="BQ196">
        <v>101237</v>
      </c>
      <c r="BR196">
        <v>73052</v>
      </c>
      <c r="BS196">
        <v>78558.861550000001</v>
      </c>
      <c r="BT196">
        <v>100113.3486</v>
      </c>
      <c r="BU196">
        <v>371004</v>
      </c>
      <c r="BV196">
        <v>90335.875</v>
      </c>
      <c r="BW196">
        <v>87082</v>
      </c>
      <c r="BX196">
        <v>94919</v>
      </c>
      <c r="BY196">
        <v>103560</v>
      </c>
      <c r="BZ196">
        <v>94245</v>
      </c>
      <c r="CA196">
        <v>109095</v>
      </c>
    </row>
    <row r="197" spans="2:79" x14ac:dyDescent="0.3">
      <c r="B197" s="9">
        <v>195</v>
      </c>
      <c r="C197" s="49">
        <v>10829</v>
      </c>
      <c r="D197" s="9">
        <f>YEAR(Tabla1[[#This Row],[Date]])</f>
        <v>1929</v>
      </c>
      <c r="E197" s="9" t="str" cm="1">
        <f t="array" ref="E197">IFERROR(_xlfn.IFS(AND(D197&lt;1980,D197&gt;=1970),"70",AND(D197&lt;1990,D197&gt;=1980),"80",AND(D197&lt;2000,D197&gt;=1990),"90",AND(D197&lt;2010,D197&gt;=2000),"00",AND(D197&lt;=2019,D197&gt;=2010),"10"),"1908-1970")</f>
        <v>1908-1970</v>
      </c>
      <c r="F197" s="3" t="s">
        <v>28931</v>
      </c>
      <c r="G197" t="s">
        <v>5788</v>
      </c>
      <c r="H197" t="s">
        <v>5789</v>
      </c>
      <c r="I197" t="s">
        <v>28931</v>
      </c>
      <c r="J197" t="s">
        <v>28931</v>
      </c>
      <c r="K197" t="s">
        <v>5790</v>
      </c>
      <c r="L197" s="7" t="s">
        <v>5791</v>
      </c>
      <c r="M197">
        <v>108</v>
      </c>
      <c r="N197">
        <v>1</v>
      </c>
      <c r="O197">
        <v>0</v>
      </c>
      <c r="P197">
        <v>1</v>
      </c>
      <c r="Q197">
        <v>1</v>
      </c>
      <c r="R197">
        <v>0</v>
      </c>
      <c r="S197">
        <v>1</v>
      </c>
      <c r="T197">
        <v>0</v>
      </c>
      <c r="U197" t="s">
        <v>5274</v>
      </c>
      <c r="V197">
        <f>Tabla1[[#This Row],[Aboard]]-Tabla1[[#This Row],[Fatalities]]</f>
        <v>0</v>
      </c>
      <c r="W197" s="50">
        <f>IFERROR(Tabla1[[#This Row],[Fatalities]]/Tabla1[[#This Row],[Aboard]],0)</f>
        <v>1</v>
      </c>
      <c r="X197" s="51" t="str" cm="1">
        <f t="array" ref="X197">_xlfn.IFS(Tabla1[[#This Row],[Porcentaje de muertes]]&lt;0.35,"LEVE",AND(Tabla1[[#This Row],[Porcentaje de muertes]]&gt;0.35,Tabla1[[#This Row],[Porcentaje de muertes]]&lt;0.65),"MEDIO",Tabla1[[#This Row],[Porcentaje de muertes]]&gt;0.65,"GRAVE")</f>
        <v>GRAVE</v>
      </c>
      <c r="AB197" t="s">
        <v>28732</v>
      </c>
      <c r="AC197" t="s">
        <v>28733</v>
      </c>
      <c r="AD197">
        <v>1415400</v>
      </c>
      <c r="AE197">
        <v>1656100</v>
      </c>
      <c r="AF197">
        <v>1949800</v>
      </c>
      <c r="AG197">
        <v>2247100</v>
      </c>
      <c r="AH197">
        <v>2250400</v>
      </c>
      <c r="AI197">
        <v>1681300</v>
      </c>
      <c r="AJ197">
        <v>1650300</v>
      </c>
      <c r="AK197">
        <v>1833400</v>
      </c>
      <c r="AL197">
        <v>2014400</v>
      </c>
      <c r="AM197">
        <v>2264500</v>
      </c>
      <c r="AN197">
        <v>1978100</v>
      </c>
      <c r="AO197">
        <v>2168500</v>
      </c>
      <c r="AP197">
        <v>2272200</v>
      </c>
      <c r="AQ197">
        <v>2218400</v>
      </c>
      <c r="AR197">
        <v>2311800</v>
      </c>
      <c r="AS197">
        <v>2315200</v>
      </c>
      <c r="AT197">
        <v>2422600</v>
      </c>
      <c r="AU197">
        <v>2785600</v>
      </c>
      <c r="AV197">
        <v>3025100</v>
      </c>
      <c r="AW197">
        <v>3187300</v>
      </c>
      <c r="AX197">
        <v>3504500</v>
      </c>
      <c r="AY197">
        <v>3571800</v>
      </c>
      <c r="AZ197">
        <v>4108800</v>
      </c>
      <c r="BA197">
        <v>4378900</v>
      </c>
      <c r="BB197">
        <v>4359600</v>
      </c>
      <c r="BC197">
        <v>4590100</v>
      </c>
      <c r="BD197">
        <v>4805500</v>
      </c>
      <c r="BE197">
        <v>6281400</v>
      </c>
      <c r="BF197">
        <v>7023100</v>
      </c>
      <c r="BG197">
        <v>7339300</v>
      </c>
      <c r="BH197">
        <v>6721365</v>
      </c>
      <c r="BI197">
        <v>6650492</v>
      </c>
      <c r="BJ197">
        <v>6795580</v>
      </c>
      <c r="BK197">
        <v>7590259</v>
      </c>
      <c r="BL197">
        <v>9052471</v>
      </c>
      <c r="BM197">
        <v>10139655</v>
      </c>
      <c r="BN197">
        <v>9440930</v>
      </c>
      <c r="BO197">
        <v>10320040</v>
      </c>
      <c r="BP197">
        <v>11171020</v>
      </c>
      <c r="BQ197">
        <v>9903771</v>
      </c>
      <c r="BR197">
        <v>10428173.51</v>
      </c>
      <c r="BS197">
        <v>11014639</v>
      </c>
      <c r="BT197">
        <v>11338080</v>
      </c>
      <c r="BU197">
        <v>11860998</v>
      </c>
      <c r="BV197">
        <v>12635439</v>
      </c>
      <c r="BW197">
        <v>12706909</v>
      </c>
      <c r="BX197">
        <v>13105120</v>
      </c>
      <c r="BY197">
        <v>15937325</v>
      </c>
      <c r="BZ197">
        <v>17367956</v>
      </c>
      <c r="CA197">
        <v>18673912.199999999</v>
      </c>
    </row>
    <row r="198" spans="2:79" x14ac:dyDescent="0.3">
      <c r="B198" s="9">
        <v>196</v>
      </c>
      <c r="C198" s="49">
        <v>10829</v>
      </c>
      <c r="D198" s="9">
        <f>YEAR(Tabla1[[#This Row],[Date]])</f>
        <v>1929</v>
      </c>
      <c r="E198" s="9" t="str" cm="1">
        <f t="array" ref="E198">IFERROR(_xlfn.IFS(AND(D198&lt;1980,D198&gt;=1970),"70",AND(D198&lt;1990,D198&gt;=1980),"80",AND(D198&lt;2000,D198&gt;=1990),"90",AND(D198&lt;2010,D198&gt;=2000),"00",AND(D198&lt;=2019,D198&gt;=2010),"10"),"1908-1970")</f>
        <v>1908-1970</v>
      </c>
      <c r="F198" s="3" t="s">
        <v>28931</v>
      </c>
      <c r="G198" t="s">
        <v>5792</v>
      </c>
      <c r="H198" t="s">
        <v>5417</v>
      </c>
      <c r="I198" t="s">
        <v>28931</v>
      </c>
      <c r="J198" t="s">
        <v>5793</v>
      </c>
      <c r="K198" t="s">
        <v>5794</v>
      </c>
      <c r="L198" s="7" t="s">
        <v>5795</v>
      </c>
      <c r="M198">
        <v>1571</v>
      </c>
      <c r="N198">
        <v>5</v>
      </c>
      <c r="O198">
        <v>4</v>
      </c>
      <c r="P198">
        <v>1</v>
      </c>
      <c r="Q198">
        <v>4</v>
      </c>
      <c r="R198">
        <v>3</v>
      </c>
      <c r="S198">
        <v>1</v>
      </c>
      <c r="T198">
        <v>0</v>
      </c>
      <c r="U198" t="s">
        <v>5796</v>
      </c>
      <c r="V198">
        <f>Tabla1[[#This Row],[Aboard]]-Tabla1[[#This Row],[Fatalities]]</f>
        <v>1</v>
      </c>
      <c r="W198" s="50">
        <f>IFERROR(Tabla1[[#This Row],[Fatalities]]/Tabla1[[#This Row],[Aboard]],0)</f>
        <v>0.8</v>
      </c>
      <c r="X198" s="51" t="str" cm="1">
        <f t="array" ref="X198">_xlfn.IFS(Tabla1[[#This Row],[Porcentaje de muertes]]&lt;0.35,"LEVE",AND(Tabla1[[#This Row],[Porcentaje de muertes]]&gt;0.35,Tabla1[[#This Row],[Porcentaje de muertes]]&lt;0.65),"MEDIO",Tabla1[[#This Row],[Porcentaje de muertes]]&gt;0.65,"GRAVE")</f>
        <v>GRAVE</v>
      </c>
      <c r="AB198" t="s">
        <v>28734</v>
      </c>
      <c r="AC198" t="s">
        <v>28735</v>
      </c>
      <c r="AD198">
        <v>80600</v>
      </c>
      <c r="AE198">
        <v>84300</v>
      </c>
      <c r="AF198">
        <v>53700</v>
      </c>
      <c r="AG198">
        <v>59600</v>
      </c>
      <c r="AH198">
        <v>61000</v>
      </c>
      <c r="AI198">
        <v>64500</v>
      </c>
      <c r="AJ198">
        <v>66500</v>
      </c>
      <c r="AK198">
        <v>104600</v>
      </c>
      <c r="AL198">
        <v>111700</v>
      </c>
      <c r="AM198">
        <v>118500</v>
      </c>
      <c r="AN198">
        <v>129000</v>
      </c>
      <c r="AO198">
        <v>127000</v>
      </c>
      <c r="AP198">
        <v>167000</v>
      </c>
      <c r="AQ198">
        <v>163500</v>
      </c>
      <c r="AR198">
        <v>179000</v>
      </c>
      <c r="AS198">
        <v>212000</v>
      </c>
      <c r="AT198">
        <v>184200</v>
      </c>
      <c r="AU198">
        <v>205000</v>
      </c>
      <c r="AV198">
        <v>248600</v>
      </c>
      <c r="AW198">
        <v>272300</v>
      </c>
      <c r="AX198">
        <v>273000</v>
      </c>
      <c r="AY198">
        <v>308800</v>
      </c>
      <c r="AZ198">
        <v>313600</v>
      </c>
      <c r="BA198">
        <v>337500</v>
      </c>
      <c r="BB198">
        <v>324200</v>
      </c>
      <c r="BC198">
        <v>105200</v>
      </c>
      <c r="BD198">
        <v>260500</v>
      </c>
      <c r="BE198">
        <v>196000</v>
      </c>
      <c r="BF198">
        <v>222200</v>
      </c>
      <c r="BG198">
        <v>231700</v>
      </c>
      <c r="BH198">
        <v>265898</v>
      </c>
      <c r="BI198">
        <v>281040</v>
      </c>
      <c r="BJ198">
        <v>267089</v>
      </c>
      <c r="BK198">
        <v>298928</v>
      </c>
      <c r="BL198">
        <v>373456</v>
      </c>
      <c r="BM198">
        <v>445854</v>
      </c>
      <c r="BN198">
        <v>432760</v>
      </c>
      <c r="BO198">
        <v>458688</v>
      </c>
      <c r="BP198">
        <v>465911</v>
      </c>
      <c r="BQ198">
        <v>428493</v>
      </c>
      <c r="BR198">
        <v>715072</v>
      </c>
      <c r="BS198">
        <v>845395.6888</v>
      </c>
      <c r="BT198">
        <v>794176</v>
      </c>
      <c r="BU198">
        <v>711548.47</v>
      </c>
      <c r="BV198">
        <v>608844</v>
      </c>
      <c r="BW198">
        <v>452004</v>
      </c>
      <c r="BX198">
        <v>467713</v>
      </c>
      <c r="BY198">
        <v>454276</v>
      </c>
      <c r="BZ198">
        <v>710407</v>
      </c>
      <c r="CA198">
        <v>632389</v>
      </c>
    </row>
    <row r="199" spans="2:79" x14ac:dyDescent="0.3">
      <c r="B199" s="9">
        <v>197</v>
      </c>
      <c r="C199" s="49">
        <v>10633</v>
      </c>
      <c r="D199" s="9">
        <f>YEAR(Tabla1[[#This Row],[Date]])</f>
        <v>1929</v>
      </c>
      <c r="E199" s="9" t="str" cm="1">
        <f t="array" ref="E199">IFERROR(_xlfn.IFS(AND(D199&lt;1980,D199&gt;=1970),"70",AND(D199&lt;1990,D199&gt;=1980),"80",AND(D199&lt;2000,D199&gt;=1990),"90",AND(D199&lt;2010,D199&gt;=2000),"00",AND(D199&lt;=2019,D199&gt;=2010),"10"),"1908-1970")</f>
        <v>1908-1970</v>
      </c>
      <c r="F199" s="3" t="s">
        <v>28931</v>
      </c>
      <c r="G199" t="s">
        <v>5797</v>
      </c>
      <c r="H199" t="s">
        <v>5798</v>
      </c>
      <c r="I199" t="s">
        <v>28931</v>
      </c>
      <c r="J199" t="s">
        <v>28931</v>
      </c>
      <c r="K199" t="s">
        <v>5799</v>
      </c>
      <c r="L199" s="7" t="s">
        <v>5800</v>
      </c>
      <c r="M199">
        <v>67</v>
      </c>
      <c r="N199">
        <v>2</v>
      </c>
      <c r="O199">
        <v>0</v>
      </c>
      <c r="P199">
        <v>2</v>
      </c>
      <c r="Q199">
        <v>1</v>
      </c>
      <c r="R199">
        <v>0</v>
      </c>
      <c r="S199">
        <v>1</v>
      </c>
      <c r="T199">
        <v>0</v>
      </c>
      <c r="U199" t="s">
        <v>5801</v>
      </c>
      <c r="V199">
        <f>Tabla1[[#This Row],[Aboard]]-Tabla1[[#This Row],[Fatalities]]</f>
        <v>1</v>
      </c>
      <c r="W199" s="50">
        <f>IFERROR(Tabla1[[#This Row],[Fatalities]]/Tabla1[[#This Row],[Aboard]],0)</f>
        <v>0.5</v>
      </c>
      <c r="X199" s="51" t="str" cm="1">
        <f t="array" ref="X199">_xlfn.IFS(Tabla1[[#This Row],[Porcentaje de muertes]]&lt;0.35,"LEVE",AND(Tabla1[[#This Row],[Porcentaje de muertes]]&gt;0.35,Tabla1[[#This Row],[Porcentaje de muertes]]&lt;0.65),"MEDIO",Tabla1[[#This Row],[Porcentaje de muertes]]&gt;0.65,"GRAVE")</f>
        <v>MEDIO</v>
      </c>
      <c r="AB199" t="s">
        <v>28736</v>
      </c>
      <c r="AC199" t="s">
        <v>28737</v>
      </c>
      <c r="AD199" t="s">
        <v>28966</v>
      </c>
      <c r="AE199" t="s">
        <v>28966</v>
      </c>
      <c r="AF199" t="s">
        <v>28966</v>
      </c>
      <c r="AG199" t="s">
        <v>28966</v>
      </c>
      <c r="AH199" t="s">
        <v>28966</v>
      </c>
      <c r="AI199" t="s">
        <v>28966</v>
      </c>
      <c r="AJ199" t="s">
        <v>28966</v>
      </c>
      <c r="AK199" t="s">
        <v>28966</v>
      </c>
      <c r="AL199" t="s">
        <v>28966</v>
      </c>
      <c r="AM199" t="s">
        <v>28966</v>
      </c>
      <c r="AN199" t="s">
        <v>28966</v>
      </c>
      <c r="AO199" t="s">
        <v>28966</v>
      </c>
      <c r="AP199" t="s">
        <v>28966</v>
      </c>
      <c r="AQ199" t="s">
        <v>28966</v>
      </c>
      <c r="AR199" t="s">
        <v>28966</v>
      </c>
      <c r="AS199" t="s">
        <v>28966</v>
      </c>
      <c r="AT199" t="s">
        <v>28966</v>
      </c>
      <c r="AU199" t="s">
        <v>28966</v>
      </c>
      <c r="AV199" t="s">
        <v>28966</v>
      </c>
      <c r="AW199" t="s">
        <v>28966</v>
      </c>
      <c r="AX199" t="s">
        <v>28966</v>
      </c>
      <c r="AY199" t="s">
        <v>28966</v>
      </c>
      <c r="AZ199" t="s">
        <v>28966</v>
      </c>
      <c r="BA199" t="s">
        <v>28966</v>
      </c>
      <c r="BB199" t="s">
        <v>28966</v>
      </c>
      <c r="BC199" t="s">
        <v>28966</v>
      </c>
      <c r="BD199" t="s">
        <v>28966</v>
      </c>
      <c r="BE199" t="s">
        <v>28966</v>
      </c>
      <c r="BF199" t="s">
        <v>28966</v>
      </c>
      <c r="BG199" t="s">
        <v>28966</v>
      </c>
      <c r="BH199" t="s">
        <v>28966</v>
      </c>
      <c r="BI199" t="s">
        <v>28966</v>
      </c>
      <c r="BJ199" t="s">
        <v>28966</v>
      </c>
      <c r="BK199" t="s">
        <v>28966</v>
      </c>
      <c r="BL199" t="s">
        <v>28966</v>
      </c>
      <c r="BM199" t="s">
        <v>28966</v>
      </c>
      <c r="BN199" t="s">
        <v>28966</v>
      </c>
      <c r="BO199" t="s">
        <v>28966</v>
      </c>
      <c r="BP199" t="s">
        <v>28966</v>
      </c>
      <c r="BQ199" t="s">
        <v>28966</v>
      </c>
      <c r="BR199" t="s">
        <v>28966</v>
      </c>
      <c r="BS199" t="s">
        <v>28966</v>
      </c>
      <c r="BT199" t="s">
        <v>28966</v>
      </c>
      <c r="BU199" t="s">
        <v>28966</v>
      </c>
      <c r="BV199" t="s">
        <v>28966</v>
      </c>
      <c r="BW199" t="s">
        <v>28966</v>
      </c>
      <c r="BX199" t="s">
        <v>28966</v>
      </c>
      <c r="BY199" t="s">
        <v>28966</v>
      </c>
      <c r="BZ199" t="s">
        <v>28966</v>
      </c>
      <c r="CA199" t="s">
        <v>28966</v>
      </c>
    </row>
    <row r="200" spans="2:79" x14ac:dyDescent="0.3">
      <c r="B200" s="9">
        <v>198</v>
      </c>
      <c r="C200" s="49">
        <v>10661</v>
      </c>
      <c r="D200" s="9">
        <f>YEAR(Tabla1[[#This Row],[Date]])</f>
        <v>1929</v>
      </c>
      <c r="E200" s="9" t="str" cm="1">
        <f t="array" ref="E200">IFERROR(_xlfn.IFS(AND(D200&lt;1980,D200&gt;=1970),"70",AND(D200&lt;1990,D200&gt;=1980),"80",AND(D200&lt;2000,D200&gt;=1990),"90",AND(D200&lt;2010,D200&gt;=2000),"00",AND(D200&lt;=2019,D200&gt;=2010),"10"),"1908-1970")</f>
        <v>1908-1970</v>
      </c>
      <c r="F200" s="3">
        <v>0.45902777777777781</v>
      </c>
      <c r="G200" t="s">
        <v>5802</v>
      </c>
      <c r="H200" t="s">
        <v>5803</v>
      </c>
      <c r="I200" t="s">
        <v>28931</v>
      </c>
      <c r="J200" t="s">
        <v>5804</v>
      </c>
      <c r="K200" t="s">
        <v>5722</v>
      </c>
      <c r="L200" s="7" t="s">
        <v>5805</v>
      </c>
      <c r="M200" t="s">
        <v>5773</v>
      </c>
      <c r="N200">
        <v>8</v>
      </c>
      <c r="O200">
        <v>5</v>
      </c>
      <c r="P200">
        <v>3</v>
      </c>
      <c r="Q200">
        <v>8</v>
      </c>
      <c r="R200">
        <v>5</v>
      </c>
      <c r="S200">
        <v>3</v>
      </c>
      <c r="T200">
        <v>0</v>
      </c>
      <c r="U200" t="s">
        <v>5806</v>
      </c>
      <c r="V200">
        <f>Tabla1[[#This Row],[Aboard]]-Tabla1[[#This Row],[Fatalities]]</f>
        <v>0</v>
      </c>
      <c r="W200" s="50">
        <f>IFERROR(Tabla1[[#This Row],[Fatalities]]/Tabla1[[#This Row],[Aboard]],0)</f>
        <v>1</v>
      </c>
      <c r="X200" s="51" t="str" cm="1">
        <f t="array" ref="X200">_xlfn.IFS(Tabla1[[#This Row],[Porcentaje de muertes]]&lt;0.35,"LEVE",AND(Tabla1[[#This Row],[Porcentaje de muertes]]&gt;0.35,Tabla1[[#This Row],[Porcentaje de muertes]]&lt;0.65),"MEDIO",Tabla1[[#This Row],[Porcentaje de muertes]]&gt;0.65,"GRAVE")</f>
        <v>GRAVE</v>
      </c>
      <c r="AB200" t="s">
        <v>28738</v>
      </c>
      <c r="AC200" t="s">
        <v>28739</v>
      </c>
      <c r="AD200" t="s">
        <v>28966</v>
      </c>
      <c r="AE200" t="s">
        <v>28966</v>
      </c>
      <c r="AF200" t="s">
        <v>28966</v>
      </c>
      <c r="AG200" t="s">
        <v>28966</v>
      </c>
      <c r="AH200" t="s">
        <v>28966</v>
      </c>
      <c r="AI200" t="s">
        <v>28966</v>
      </c>
      <c r="AJ200" t="s">
        <v>28966</v>
      </c>
      <c r="AK200" t="s">
        <v>28966</v>
      </c>
      <c r="AL200" t="s">
        <v>28966</v>
      </c>
      <c r="AM200" t="s">
        <v>28966</v>
      </c>
      <c r="AN200" t="s">
        <v>28966</v>
      </c>
      <c r="AO200" t="s">
        <v>28966</v>
      </c>
      <c r="AP200">
        <v>457900</v>
      </c>
      <c r="AQ200">
        <v>448500</v>
      </c>
      <c r="AR200">
        <v>478500</v>
      </c>
      <c r="AS200">
        <v>435000</v>
      </c>
      <c r="AT200">
        <v>455800</v>
      </c>
      <c r="AU200">
        <v>488000</v>
      </c>
      <c r="AV200">
        <v>560000</v>
      </c>
      <c r="AW200">
        <v>641700</v>
      </c>
      <c r="AX200">
        <v>647200</v>
      </c>
      <c r="AY200">
        <v>661900</v>
      </c>
      <c r="AZ200">
        <v>711300</v>
      </c>
      <c r="BA200">
        <v>669900</v>
      </c>
      <c r="BB200">
        <v>734300</v>
      </c>
      <c r="BC200">
        <v>775600</v>
      </c>
      <c r="BD200">
        <v>1042400</v>
      </c>
      <c r="BE200">
        <v>871600</v>
      </c>
      <c r="BF200">
        <v>956800</v>
      </c>
      <c r="BG200">
        <v>972400</v>
      </c>
      <c r="BH200">
        <v>994674</v>
      </c>
      <c r="BI200">
        <v>1040635</v>
      </c>
      <c r="BJ200">
        <v>1169195</v>
      </c>
      <c r="BK200">
        <v>1409660</v>
      </c>
      <c r="BL200">
        <v>1376595</v>
      </c>
      <c r="BM200">
        <v>1366689</v>
      </c>
      <c r="BN200">
        <v>1468156</v>
      </c>
      <c r="BO200">
        <v>1510124</v>
      </c>
      <c r="BP200">
        <v>1487471</v>
      </c>
      <c r="BQ200">
        <v>1861811</v>
      </c>
      <c r="BR200">
        <v>1679808.5209999999</v>
      </c>
      <c r="BS200">
        <v>1691669.5079999999</v>
      </c>
      <c r="BT200">
        <v>1701510.5249999999</v>
      </c>
      <c r="BU200">
        <v>1807896</v>
      </c>
      <c r="BV200">
        <v>2006028</v>
      </c>
      <c r="BW200">
        <v>2120856</v>
      </c>
      <c r="BX200">
        <v>2238966</v>
      </c>
      <c r="BY200">
        <v>2543172</v>
      </c>
      <c r="BZ200">
        <v>2681606</v>
      </c>
      <c r="CA200">
        <v>2609710.5529999998</v>
      </c>
    </row>
    <row r="201" spans="2:79" x14ac:dyDescent="0.3">
      <c r="B201" s="9">
        <v>199</v>
      </c>
      <c r="C201" s="49">
        <v>10753</v>
      </c>
      <c r="D201" s="9">
        <f>YEAR(Tabla1[[#This Row],[Date]])</f>
        <v>1929</v>
      </c>
      <c r="E201" s="9" t="str" cm="1">
        <f t="array" ref="E201">IFERROR(_xlfn.IFS(AND(D201&lt;1980,D201&gt;=1970),"70",AND(D201&lt;1990,D201&gt;=1980),"80",AND(D201&lt;2000,D201&gt;=1990),"90",AND(D201&lt;2010,D201&gt;=2000),"00",AND(D201&lt;=2019,D201&gt;=2010),"10"),"1908-1970")</f>
        <v>1908-1970</v>
      </c>
      <c r="F201" s="3" t="s">
        <v>28931</v>
      </c>
      <c r="G201" t="s">
        <v>5807</v>
      </c>
      <c r="H201" t="s">
        <v>5350</v>
      </c>
      <c r="I201" t="s">
        <v>28931</v>
      </c>
      <c r="J201" t="s">
        <v>5808</v>
      </c>
      <c r="K201" t="s">
        <v>5809</v>
      </c>
      <c r="L201" s="7" t="s">
        <v>5810</v>
      </c>
      <c r="M201">
        <v>239</v>
      </c>
      <c r="N201">
        <v>5</v>
      </c>
      <c r="O201">
        <v>2</v>
      </c>
      <c r="P201">
        <v>3</v>
      </c>
      <c r="Q201">
        <v>3</v>
      </c>
      <c r="R201">
        <v>1</v>
      </c>
      <c r="S201">
        <v>2</v>
      </c>
      <c r="T201">
        <v>0</v>
      </c>
      <c r="U201" t="s">
        <v>5811</v>
      </c>
      <c r="V201">
        <f>Tabla1[[#This Row],[Aboard]]-Tabla1[[#This Row],[Fatalities]]</f>
        <v>2</v>
      </c>
      <c r="W201" s="50">
        <f>IFERROR(Tabla1[[#This Row],[Fatalities]]/Tabla1[[#This Row],[Aboard]],0)</f>
        <v>0.6</v>
      </c>
      <c r="X201" s="51" t="str" cm="1">
        <f t="array" ref="X201">_xlfn.IFS(Tabla1[[#This Row],[Porcentaje de muertes]]&lt;0.35,"LEVE",AND(Tabla1[[#This Row],[Porcentaje de muertes]]&gt;0.35,Tabla1[[#This Row],[Porcentaje de muertes]]&lt;0.65),"MEDIO",Tabla1[[#This Row],[Porcentaje de muertes]]&gt;0.65,"GRAVE")</f>
        <v>MEDIO</v>
      </c>
      <c r="AB201" t="s">
        <v>28740</v>
      </c>
      <c r="AC201" t="s">
        <v>28741</v>
      </c>
      <c r="AD201">
        <v>268162692</v>
      </c>
      <c r="AE201">
        <v>286858404</v>
      </c>
      <c r="AF201">
        <v>316019208</v>
      </c>
      <c r="AG201">
        <v>344448000</v>
      </c>
      <c r="AH201">
        <v>356860200</v>
      </c>
      <c r="AI201">
        <v>358191400</v>
      </c>
      <c r="AJ201">
        <v>386117596</v>
      </c>
      <c r="AK201">
        <v>417928492</v>
      </c>
      <c r="AL201">
        <v>469681004</v>
      </c>
      <c r="AM201">
        <v>528337700</v>
      </c>
      <c r="AN201">
        <v>512934188</v>
      </c>
      <c r="AO201">
        <v>504208800</v>
      </c>
      <c r="AP201">
        <v>512515308</v>
      </c>
      <c r="AQ201">
        <v>539249896</v>
      </c>
      <c r="AR201">
        <v>577758388</v>
      </c>
      <c r="AS201">
        <v>622754404</v>
      </c>
      <c r="AT201">
        <v>673840096</v>
      </c>
      <c r="AU201">
        <v>725444604</v>
      </c>
      <c r="AV201">
        <v>762609612</v>
      </c>
      <c r="AW201">
        <v>788098600</v>
      </c>
      <c r="AX201">
        <v>823529116</v>
      </c>
      <c r="AY201">
        <v>803342904</v>
      </c>
      <c r="AZ201">
        <v>851472092</v>
      </c>
      <c r="BA201">
        <v>866599916</v>
      </c>
      <c r="BB201">
        <v>939020504</v>
      </c>
      <c r="BC201">
        <v>989606440.10000002</v>
      </c>
      <c r="BD201">
        <v>1067013204</v>
      </c>
      <c r="BE201">
        <v>1118528992</v>
      </c>
      <c r="BF201">
        <v>1129879680</v>
      </c>
      <c r="BG201">
        <v>1214796800</v>
      </c>
      <c r="BH201">
        <v>1301972064</v>
      </c>
      <c r="BI201">
        <v>1251639848</v>
      </c>
      <c r="BJ201">
        <v>1214443600</v>
      </c>
      <c r="BK201">
        <v>1229236696</v>
      </c>
      <c r="BL201">
        <v>1360640668</v>
      </c>
      <c r="BM201">
        <v>1413314874</v>
      </c>
      <c r="BN201">
        <v>1455395380</v>
      </c>
      <c r="BO201">
        <v>1510562083</v>
      </c>
      <c r="BP201">
        <v>1469546762</v>
      </c>
      <c r="BQ201">
        <v>1409097909</v>
      </c>
      <c r="BR201">
        <v>1535018341</v>
      </c>
      <c r="BS201">
        <v>1572981002</v>
      </c>
      <c r="BT201">
        <v>1599345143</v>
      </c>
      <c r="BU201">
        <v>1647552396</v>
      </c>
      <c r="BV201">
        <v>1703839062</v>
      </c>
      <c r="BW201">
        <v>1789921540</v>
      </c>
      <c r="BX201">
        <v>1872020604</v>
      </c>
      <c r="BY201">
        <v>1948532976</v>
      </c>
      <c r="BZ201">
        <v>2038433312</v>
      </c>
      <c r="CA201">
        <v>2121997015</v>
      </c>
    </row>
    <row r="202" spans="2:79" x14ac:dyDescent="0.3">
      <c r="B202" s="9">
        <v>200</v>
      </c>
      <c r="C202" s="49">
        <v>10850</v>
      </c>
      <c r="D202" s="9">
        <f>YEAR(Tabla1[[#This Row],[Date]])</f>
        <v>1929</v>
      </c>
      <c r="E202" s="9" t="str" cm="1">
        <f t="array" ref="E202">IFERROR(_xlfn.IFS(AND(D202&lt;1980,D202&gt;=1970),"70",AND(D202&lt;1990,D202&gt;=1980),"80",AND(D202&lt;2000,D202&gt;=1990),"90",AND(D202&lt;2010,D202&gt;=2000),"00",AND(D202&lt;=2019,D202&gt;=2010),"10"),"1908-1970")</f>
        <v>1908-1970</v>
      </c>
      <c r="F202" s="3" t="s">
        <v>28931</v>
      </c>
      <c r="G202" t="s">
        <v>5231</v>
      </c>
      <c r="H202" t="s">
        <v>5182</v>
      </c>
      <c r="I202" t="s">
        <v>28931</v>
      </c>
      <c r="J202" t="s">
        <v>5812</v>
      </c>
      <c r="K202" t="s">
        <v>5544</v>
      </c>
      <c r="L202" s="7" t="s">
        <v>5813</v>
      </c>
      <c r="M202">
        <v>704</v>
      </c>
      <c r="N202">
        <v>6</v>
      </c>
      <c r="O202">
        <v>4</v>
      </c>
      <c r="P202">
        <v>2</v>
      </c>
      <c r="Q202">
        <v>6</v>
      </c>
      <c r="R202">
        <v>4</v>
      </c>
      <c r="S202">
        <v>2</v>
      </c>
      <c r="T202">
        <v>0</v>
      </c>
      <c r="U202" t="s">
        <v>5814</v>
      </c>
      <c r="V202">
        <f>Tabla1[[#This Row],[Aboard]]-Tabla1[[#This Row],[Fatalities]]</f>
        <v>0</v>
      </c>
      <c r="W202" s="50">
        <f>IFERROR(Tabla1[[#This Row],[Fatalities]]/Tabla1[[#This Row],[Aboard]],0)</f>
        <v>1</v>
      </c>
      <c r="X202" s="51" t="str" cm="1">
        <f t="array" ref="X202">_xlfn.IFS(Tabla1[[#This Row],[Porcentaje de muertes]]&lt;0.35,"LEVE",AND(Tabla1[[#This Row],[Porcentaje de muertes]]&gt;0.35,Tabla1[[#This Row],[Porcentaje de muertes]]&lt;0.65),"MEDIO",Tabla1[[#This Row],[Porcentaje de muertes]]&gt;0.65,"GRAVE")</f>
        <v>GRAVE</v>
      </c>
      <c r="AB202" t="s">
        <v>28742</v>
      </c>
      <c r="AC202" t="s">
        <v>28743</v>
      </c>
      <c r="AD202" t="s">
        <v>28966</v>
      </c>
      <c r="AE202" t="s">
        <v>28966</v>
      </c>
      <c r="AF202" t="s">
        <v>28966</v>
      </c>
      <c r="AG202" t="s">
        <v>28966</v>
      </c>
      <c r="AH202" t="s">
        <v>28966</v>
      </c>
      <c r="AI202" t="s">
        <v>28966</v>
      </c>
      <c r="AJ202" t="s">
        <v>28966</v>
      </c>
      <c r="AK202" t="s">
        <v>28966</v>
      </c>
      <c r="AL202" t="s">
        <v>28966</v>
      </c>
      <c r="AM202" t="s">
        <v>28966</v>
      </c>
      <c r="AN202" t="s">
        <v>28966</v>
      </c>
      <c r="AO202" t="s">
        <v>28966</v>
      </c>
      <c r="AP202" t="s">
        <v>28966</v>
      </c>
      <c r="AQ202" t="s">
        <v>28966</v>
      </c>
      <c r="AR202" t="s">
        <v>28966</v>
      </c>
      <c r="AS202" t="s">
        <v>28966</v>
      </c>
      <c r="AT202" t="s">
        <v>28966</v>
      </c>
      <c r="AU202" t="s">
        <v>28966</v>
      </c>
      <c r="AV202" t="s">
        <v>28966</v>
      </c>
      <c r="AW202" t="s">
        <v>28966</v>
      </c>
      <c r="AX202" t="s">
        <v>28966</v>
      </c>
      <c r="AY202" t="s">
        <v>28966</v>
      </c>
      <c r="AZ202" t="s">
        <v>28966</v>
      </c>
      <c r="BA202" t="s">
        <v>28966</v>
      </c>
      <c r="BB202" t="s">
        <v>28966</v>
      </c>
      <c r="BC202" t="s">
        <v>28966</v>
      </c>
      <c r="BD202" t="s">
        <v>28966</v>
      </c>
      <c r="BE202" t="s">
        <v>28966</v>
      </c>
      <c r="BF202" t="s">
        <v>28966</v>
      </c>
      <c r="BG202" t="s">
        <v>28966</v>
      </c>
      <c r="BH202" t="s">
        <v>28966</v>
      </c>
      <c r="BI202" t="s">
        <v>28966</v>
      </c>
      <c r="BJ202" t="s">
        <v>28966</v>
      </c>
      <c r="BK202" t="s">
        <v>28966</v>
      </c>
      <c r="BL202" t="s">
        <v>28966</v>
      </c>
      <c r="BM202" t="s">
        <v>28966</v>
      </c>
      <c r="BN202" t="s">
        <v>28966</v>
      </c>
      <c r="BO202" t="s">
        <v>28966</v>
      </c>
      <c r="BP202" t="s">
        <v>28966</v>
      </c>
      <c r="BQ202" t="s">
        <v>28966</v>
      </c>
      <c r="BR202" t="s">
        <v>28966</v>
      </c>
      <c r="BS202" t="s">
        <v>28966</v>
      </c>
      <c r="BT202" t="s">
        <v>28966</v>
      </c>
      <c r="BU202" t="s">
        <v>28966</v>
      </c>
      <c r="BV202" t="s">
        <v>28966</v>
      </c>
      <c r="BW202" t="s">
        <v>28966</v>
      </c>
      <c r="BX202" t="s">
        <v>28966</v>
      </c>
      <c r="BY202" t="s">
        <v>28966</v>
      </c>
      <c r="BZ202" t="s">
        <v>28966</v>
      </c>
      <c r="CA202" t="s">
        <v>28966</v>
      </c>
    </row>
    <row r="203" spans="2:79" x14ac:dyDescent="0.3">
      <c r="B203" s="9">
        <v>201</v>
      </c>
      <c r="C203" s="49">
        <v>10850</v>
      </c>
      <c r="D203" s="9">
        <f>YEAR(Tabla1[[#This Row],[Date]])</f>
        <v>1929</v>
      </c>
      <c r="E203" s="9" t="str" cm="1">
        <f t="array" ref="E203">IFERROR(_xlfn.IFS(AND(D203&lt;1980,D203&gt;=1970),"70",AND(D203&lt;1990,D203&gt;=1980),"80",AND(D203&lt;2000,D203&gt;=1990),"90",AND(D203&lt;2010,D203&gt;=2000),"00",AND(D203&lt;=2019,D203&gt;=2010),"10"),"1908-1970")</f>
        <v>1908-1970</v>
      </c>
      <c r="F203" s="3">
        <v>0.75</v>
      </c>
      <c r="G203" t="s">
        <v>5815</v>
      </c>
      <c r="H203" t="s">
        <v>5816</v>
      </c>
      <c r="I203" t="s">
        <v>28931</v>
      </c>
      <c r="J203" t="s">
        <v>5494</v>
      </c>
      <c r="K203" t="s">
        <v>5817</v>
      </c>
      <c r="L203" s="7" t="s">
        <v>5818</v>
      </c>
      <c r="M203">
        <v>1024</v>
      </c>
      <c r="N203">
        <v>6</v>
      </c>
      <c r="O203">
        <v>5</v>
      </c>
      <c r="P203">
        <v>1</v>
      </c>
      <c r="Q203">
        <v>6</v>
      </c>
      <c r="R203">
        <v>5</v>
      </c>
      <c r="S203">
        <v>1</v>
      </c>
      <c r="T203">
        <v>0</v>
      </c>
      <c r="U203" t="s">
        <v>5819</v>
      </c>
      <c r="V203">
        <f>Tabla1[[#This Row],[Aboard]]-Tabla1[[#This Row],[Fatalities]]</f>
        <v>0</v>
      </c>
      <c r="W203" s="50">
        <f>IFERROR(Tabla1[[#This Row],[Fatalities]]/Tabla1[[#This Row],[Aboard]],0)</f>
        <v>1</v>
      </c>
      <c r="X203" s="51" t="str" cm="1">
        <f t="array" ref="X203">_xlfn.IFS(Tabla1[[#This Row],[Porcentaje de muertes]]&lt;0.35,"LEVE",AND(Tabla1[[#This Row],[Porcentaje de muertes]]&gt;0.35,Tabla1[[#This Row],[Porcentaje de muertes]]&lt;0.65),"MEDIO",Tabla1[[#This Row],[Porcentaje de muertes]]&gt;0.65,"GRAVE")</f>
        <v>GRAVE</v>
      </c>
      <c r="AB203" t="s">
        <v>28744</v>
      </c>
      <c r="AC203" t="s">
        <v>28745</v>
      </c>
      <c r="AD203" t="s">
        <v>28966</v>
      </c>
      <c r="AE203" t="s">
        <v>28966</v>
      </c>
      <c r="AF203" t="s">
        <v>28966</v>
      </c>
      <c r="AG203" t="s">
        <v>28966</v>
      </c>
      <c r="AH203">
        <v>127500</v>
      </c>
      <c r="AI203">
        <v>173000</v>
      </c>
      <c r="AJ203">
        <v>240100</v>
      </c>
      <c r="AK203">
        <v>299800</v>
      </c>
      <c r="AL203">
        <v>374500</v>
      </c>
      <c r="AM203">
        <v>456500</v>
      </c>
      <c r="AN203">
        <v>521500</v>
      </c>
      <c r="AO203">
        <v>577800</v>
      </c>
      <c r="AP203">
        <v>569800</v>
      </c>
      <c r="AQ203">
        <v>601800</v>
      </c>
      <c r="AR203">
        <v>674200</v>
      </c>
      <c r="AS203">
        <v>717500</v>
      </c>
      <c r="AT203">
        <v>647400</v>
      </c>
      <c r="AU203">
        <v>621500</v>
      </c>
      <c r="AV203">
        <v>698400</v>
      </c>
      <c r="AW203">
        <v>752800</v>
      </c>
      <c r="AX203">
        <v>770900</v>
      </c>
      <c r="AY203">
        <v>875500</v>
      </c>
      <c r="AZ203">
        <v>981100</v>
      </c>
      <c r="BA203">
        <v>1080000</v>
      </c>
      <c r="BB203">
        <v>1150600</v>
      </c>
      <c r="BC203">
        <v>1072500</v>
      </c>
      <c r="BD203">
        <v>1200300</v>
      </c>
      <c r="BE203">
        <v>1164600</v>
      </c>
      <c r="BF203">
        <v>1207000</v>
      </c>
      <c r="BG203">
        <v>2325200</v>
      </c>
      <c r="BH203">
        <v>2672972</v>
      </c>
      <c r="BI203">
        <v>2778116</v>
      </c>
      <c r="BJ203">
        <v>3570521</v>
      </c>
      <c r="BK203">
        <v>3184104</v>
      </c>
      <c r="BL203">
        <v>4453071</v>
      </c>
      <c r="BM203">
        <v>6041040</v>
      </c>
      <c r="BN203">
        <v>7070851</v>
      </c>
      <c r="BO203">
        <v>8879109</v>
      </c>
      <c r="BP203">
        <v>9702479</v>
      </c>
      <c r="BQ203">
        <v>10211229</v>
      </c>
      <c r="BR203">
        <v>12391268</v>
      </c>
      <c r="BS203">
        <v>14568106</v>
      </c>
      <c r="BT203">
        <v>17187171</v>
      </c>
      <c r="BU203">
        <v>18737348</v>
      </c>
      <c r="BV203">
        <v>21425066</v>
      </c>
      <c r="BW203">
        <v>25263224</v>
      </c>
      <c r="BX203">
        <v>31209097</v>
      </c>
      <c r="BY203">
        <v>29949181</v>
      </c>
      <c r="BZ203">
        <v>29178923</v>
      </c>
      <c r="CA203">
        <v>32953297</v>
      </c>
    </row>
    <row r="204" spans="2:79" x14ac:dyDescent="0.3">
      <c r="B204" s="9">
        <v>202</v>
      </c>
      <c r="C204" s="49">
        <v>10853</v>
      </c>
      <c r="D204" s="9">
        <f>YEAR(Tabla1[[#This Row],[Date]])</f>
        <v>1929</v>
      </c>
      <c r="E204" s="9" t="str" cm="1">
        <f t="array" ref="E204">IFERROR(_xlfn.IFS(AND(D204&lt;1980,D204&gt;=1970),"70",AND(D204&lt;1990,D204&gt;=1980),"80",AND(D204&lt;2000,D204&gt;=1990),"90",AND(D204&lt;2010,D204&gt;=2000),"00",AND(D204&lt;=2019,D204&gt;=2010),"10"),"1908-1970")</f>
        <v>1908-1970</v>
      </c>
      <c r="F204" s="3" t="s">
        <v>28931</v>
      </c>
      <c r="G204" t="s">
        <v>5820</v>
      </c>
      <c r="H204" t="s">
        <v>5488</v>
      </c>
      <c r="I204" t="s">
        <v>28931</v>
      </c>
      <c r="J204" t="s">
        <v>28931</v>
      </c>
      <c r="K204" t="s">
        <v>5821</v>
      </c>
      <c r="L204" s="7" t="s">
        <v>28931</v>
      </c>
      <c r="M204" t="s">
        <v>28931</v>
      </c>
      <c r="N204">
        <v>1</v>
      </c>
      <c r="O204">
        <v>0</v>
      </c>
      <c r="P204">
        <v>1</v>
      </c>
      <c r="Q204">
        <v>1</v>
      </c>
      <c r="R204">
        <v>0</v>
      </c>
      <c r="S204">
        <v>1</v>
      </c>
      <c r="T204">
        <v>0</v>
      </c>
      <c r="U204" t="s">
        <v>5822</v>
      </c>
      <c r="V204">
        <f>Tabla1[[#This Row],[Aboard]]-Tabla1[[#This Row],[Fatalities]]</f>
        <v>0</v>
      </c>
      <c r="W204" s="50">
        <f>IFERROR(Tabla1[[#This Row],[Fatalities]]/Tabla1[[#This Row],[Aboard]],0)</f>
        <v>1</v>
      </c>
      <c r="X204" s="51" t="str" cm="1">
        <f t="array" ref="X204">_xlfn.IFS(Tabla1[[#This Row],[Porcentaje de muertes]]&lt;0.35,"LEVE",AND(Tabla1[[#This Row],[Porcentaje de muertes]]&gt;0.35,Tabla1[[#This Row],[Porcentaje de muertes]]&lt;0.65),"MEDIO",Tabla1[[#This Row],[Porcentaje de muertes]]&gt;0.65,"GRAVE")</f>
        <v>GRAVE</v>
      </c>
      <c r="AB204" t="s">
        <v>28746</v>
      </c>
      <c r="AC204" t="s">
        <v>28747</v>
      </c>
      <c r="AD204">
        <v>452500</v>
      </c>
      <c r="AE204">
        <v>429400</v>
      </c>
      <c r="AF204">
        <v>488800</v>
      </c>
      <c r="AG204">
        <v>611800</v>
      </c>
      <c r="AH204">
        <v>674400</v>
      </c>
      <c r="AI204">
        <v>613100</v>
      </c>
      <c r="AJ204">
        <v>912600</v>
      </c>
      <c r="AK204">
        <v>1077100</v>
      </c>
      <c r="AL204">
        <v>1084600</v>
      </c>
      <c r="AM204">
        <v>1119700</v>
      </c>
      <c r="AN204">
        <v>1112100</v>
      </c>
      <c r="AO204">
        <v>1079700</v>
      </c>
      <c r="AP204">
        <v>919400</v>
      </c>
      <c r="AQ204">
        <v>998600</v>
      </c>
      <c r="AR204">
        <v>1163400</v>
      </c>
      <c r="AS204">
        <v>1215800</v>
      </c>
      <c r="AT204">
        <v>1240400</v>
      </c>
      <c r="AU204">
        <v>1281300</v>
      </c>
      <c r="AV204">
        <v>1322500</v>
      </c>
      <c r="AW204">
        <v>1271700</v>
      </c>
      <c r="AX204">
        <v>1322000</v>
      </c>
      <c r="AY204">
        <v>1148900</v>
      </c>
      <c r="AZ204">
        <v>918900</v>
      </c>
      <c r="BA204">
        <v>979400</v>
      </c>
      <c r="BB204">
        <v>1242700</v>
      </c>
      <c r="BC204">
        <v>1244900</v>
      </c>
      <c r="BD204">
        <v>913300</v>
      </c>
      <c r="BE204">
        <v>995200</v>
      </c>
      <c r="BF204">
        <v>907600</v>
      </c>
      <c r="BG204">
        <v>980300</v>
      </c>
      <c r="BH204">
        <v>1218102</v>
      </c>
      <c r="BI204">
        <v>1137305</v>
      </c>
      <c r="BJ204">
        <v>959487</v>
      </c>
      <c r="BK204">
        <v>1255313</v>
      </c>
      <c r="BL204">
        <v>1337781</v>
      </c>
      <c r="BM204">
        <v>1707714</v>
      </c>
      <c r="BN204">
        <v>2047466</v>
      </c>
      <c r="BO204">
        <v>3003872</v>
      </c>
      <c r="BP204">
        <v>3253417</v>
      </c>
      <c r="BQ204">
        <v>3268022</v>
      </c>
      <c r="BR204">
        <v>3733253</v>
      </c>
      <c r="BS204">
        <v>3659209</v>
      </c>
      <c r="BT204">
        <v>3593312</v>
      </c>
      <c r="BU204">
        <v>3087143</v>
      </c>
      <c r="BV204">
        <v>3067724.4</v>
      </c>
      <c r="BW204">
        <v>3634598</v>
      </c>
      <c r="BX204">
        <v>3686938</v>
      </c>
      <c r="BY204">
        <v>4423249</v>
      </c>
      <c r="BZ204">
        <v>4908235</v>
      </c>
      <c r="CA204">
        <v>5630289</v>
      </c>
    </row>
    <row r="205" spans="2:79" x14ac:dyDescent="0.3">
      <c r="B205" s="9">
        <v>203</v>
      </c>
      <c r="C205" s="49">
        <v>10853</v>
      </c>
      <c r="D205" s="9">
        <f>YEAR(Tabla1[[#This Row],[Date]])</f>
        <v>1929</v>
      </c>
      <c r="E205" s="9" t="str" cm="1">
        <f t="array" ref="E205">IFERROR(_xlfn.IFS(AND(D205&lt;1980,D205&gt;=1970),"70",AND(D205&lt;1990,D205&gt;=1980),"80",AND(D205&lt;2000,D205&gt;=1990),"90",AND(D205&lt;2010,D205&gt;=2000),"00",AND(D205&lt;=2019,D205&gt;=2010),"10"),"1908-1970")</f>
        <v>1908-1970</v>
      </c>
      <c r="F205" s="3" t="s">
        <v>28931</v>
      </c>
      <c r="G205" t="s">
        <v>5823</v>
      </c>
      <c r="H205" t="s">
        <v>5182</v>
      </c>
      <c r="I205" t="s">
        <v>28931</v>
      </c>
      <c r="J205" t="s">
        <v>5824</v>
      </c>
      <c r="K205" t="s">
        <v>5825</v>
      </c>
      <c r="L205" s="7" t="s">
        <v>5813</v>
      </c>
      <c r="M205">
        <v>704</v>
      </c>
      <c r="N205">
        <v>5</v>
      </c>
      <c r="O205">
        <v>3</v>
      </c>
      <c r="P205">
        <v>2</v>
      </c>
      <c r="Q205">
        <v>5</v>
      </c>
      <c r="R205">
        <v>3</v>
      </c>
      <c r="S205">
        <v>2</v>
      </c>
      <c r="T205">
        <v>0</v>
      </c>
      <c r="U205" t="s">
        <v>5826</v>
      </c>
      <c r="V205">
        <f>Tabla1[[#This Row],[Aboard]]-Tabla1[[#This Row],[Fatalities]]</f>
        <v>0</v>
      </c>
      <c r="W205" s="50">
        <f>IFERROR(Tabla1[[#This Row],[Fatalities]]/Tabla1[[#This Row],[Aboard]],0)</f>
        <v>1</v>
      </c>
      <c r="X205" s="51" t="str" cm="1">
        <f t="array" ref="X205">_xlfn.IFS(Tabla1[[#This Row],[Porcentaje de muertes]]&lt;0.35,"LEVE",AND(Tabla1[[#This Row],[Porcentaje de muertes]]&gt;0.35,Tabla1[[#This Row],[Porcentaje de muertes]]&lt;0.65),"MEDIO",Tabla1[[#This Row],[Porcentaje de muertes]]&gt;0.65,"GRAVE")</f>
        <v>GRAVE</v>
      </c>
      <c r="AB205" t="s">
        <v>28748</v>
      </c>
      <c r="AC205" t="s">
        <v>28749</v>
      </c>
      <c r="AD205" t="s">
        <v>28966</v>
      </c>
      <c r="AE205" t="s">
        <v>28966</v>
      </c>
      <c r="AF205" t="s">
        <v>28966</v>
      </c>
      <c r="AG205" t="s">
        <v>28966</v>
      </c>
      <c r="AH205" t="s">
        <v>28966</v>
      </c>
      <c r="AI205" t="s">
        <v>28966</v>
      </c>
      <c r="AJ205" t="s">
        <v>28966</v>
      </c>
      <c r="AK205" t="s">
        <v>28966</v>
      </c>
      <c r="AL205" t="s">
        <v>28966</v>
      </c>
      <c r="AM205" t="s">
        <v>28966</v>
      </c>
      <c r="AN205" t="s">
        <v>28966</v>
      </c>
      <c r="AO205" t="s">
        <v>28966</v>
      </c>
      <c r="AP205" t="s">
        <v>28966</v>
      </c>
      <c r="AQ205" t="s">
        <v>28966</v>
      </c>
      <c r="AR205" t="s">
        <v>28966</v>
      </c>
      <c r="AS205" t="s">
        <v>28966</v>
      </c>
      <c r="AT205" t="s">
        <v>28966</v>
      </c>
      <c r="AU205" t="s">
        <v>28966</v>
      </c>
      <c r="AV205" t="s">
        <v>28966</v>
      </c>
      <c r="AW205" t="s">
        <v>28966</v>
      </c>
      <c r="AX205" t="s">
        <v>28966</v>
      </c>
      <c r="AY205">
        <v>128760600</v>
      </c>
      <c r="AZ205">
        <v>62173900</v>
      </c>
      <c r="BA205">
        <v>36124000</v>
      </c>
      <c r="BB205">
        <v>28933100</v>
      </c>
      <c r="BC205">
        <v>26524800</v>
      </c>
      <c r="BD205">
        <v>22117100</v>
      </c>
      <c r="BE205">
        <v>20419000</v>
      </c>
      <c r="BF205">
        <v>15223700</v>
      </c>
      <c r="BG205">
        <v>18600400</v>
      </c>
      <c r="BH205">
        <v>17687894</v>
      </c>
      <c r="BI205">
        <v>20301199</v>
      </c>
      <c r="BJ205">
        <v>20892156</v>
      </c>
      <c r="BK205">
        <v>22723072</v>
      </c>
      <c r="BL205">
        <v>25948923</v>
      </c>
      <c r="BM205">
        <v>26522315</v>
      </c>
      <c r="BN205">
        <v>28836949</v>
      </c>
      <c r="BO205">
        <v>33187839</v>
      </c>
      <c r="BP205">
        <v>37940321</v>
      </c>
      <c r="BQ205">
        <v>34402844</v>
      </c>
      <c r="BR205">
        <v>43855539</v>
      </c>
      <c r="BS205">
        <v>50555805</v>
      </c>
      <c r="BT205">
        <v>58727125</v>
      </c>
      <c r="BU205">
        <v>64072322</v>
      </c>
      <c r="BV205">
        <v>72189961</v>
      </c>
      <c r="BW205">
        <v>76846126</v>
      </c>
      <c r="BX205">
        <v>77458318</v>
      </c>
      <c r="BY205">
        <v>89373638</v>
      </c>
      <c r="BZ205">
        <v>99327311</v>
      </c>
      <c r="CA205">
        <v>115482744</v>
      </c>
    </row>
    <row r="206" spans="2:79" x14ac:dyDescent="0.3">
      <c r="B206" s="9">
        <v>204</v>
      </c>
      <c r="C206" s="49">
        <v>10853</v>
      </c>
      <c r="D206" s="9">
        <f>YEAR(Tabla1[[#This Row],[Date]])</f>
        <v>1929</v>
      </c>
      <c r="E206" s="9" t="str" cm="1">
        <f t="array" ref="E206">IFERROR(_xlfn.IFS(AND(D206&lt;1980,D206&gt;=1970),"70",AND(D206&lt;1990,D206&gt;=1980),"80",AND(D206&lt;2000,D206&gt;=1990),"90",AND(D206&lt;2010,D206&gt;=2000),"00",AND(D206&lt;=2019,D206&gt;=2010),"10"),"1908-1970")</f>
        <v>1908-1970</v>
      </c>
      <c r="F206" s="3" t="s">
        <v>28931</v>
      </c>
      <c r="G206" t="s">
        <v>5827</v>
      </c>
      <c r="H206" t="s">
        <v>5828</v>
      </c>
      <c r="I206" t="s">
        <v>28931</v>
      </c>
      <c r="J206" t="s">
        <v>5829</v>
      </c>
      <c r="K206" t="s">
        <v>5830</v>
      </c>
      <c r="L206" s="7" t="s">
        <v>28931</v>
      </c>
      <c r="M206" t="s">
        <v>28931</v>
      </c>
      <c r="N206">
        <v>2</v>
      </c>
      <c r="O206">
        <v>0</v>
      </c>
      <c r="P206">
        <v>2</v>
      </c>
      <c r="Q206">
        <v>1</v>
      </c>
      <c r="R206">
        <v>0</v>
      </c>
      <c r="S206">
        <v>1</v>
      </c>
      <c r="T206">
        <v>0</v>
      </c>
      <c r="U206" t="s">
        <v>5831</v>
      </c>
      <c r="V206">
        <f>Tabla1[[#This Row],[Aboard]]-Tabla1[[#This Row],[Fatalities]]</f>
        <v>1</v>
      </c>
      <c r="W206" s="50">
        <f>IFERROR(Tabla1[[#This Row],[Fatalities]]/Tabla1[[#This Row],[Aboard]],0)</f>
        <v>0.5</v>
      </c>
      <c r="X206" s="51" t="str" cm="1">
        <f t="array" ref="X206">_xlfn.IFS(Tabla1[[#This Row],[Porcentaje de muertes]]&lt;0.35,"LEVE",AND(Tabla1[[#This Row],[Porcentaje de muertes]]&gt;0.35,Tabla1[[#This Row],[Porcentaje de muertes]]&lt;0.65),"MEDIO",Tabla1[[#This Row],[Porcentaje de muertes]]&gt;0.65,"GRAVE")</f>
        <v>MEDIO</v>
      </c>
      <c r="AB206" t="s">
        <v>28750</v>
      </c>
      <c r="AC206" t="s">
        <v>28751</v>
      </c>
      <c r="AD206" t="s">
        <v>28966</v>
      </c>
      <c r="AE206" t="s">
        <v>28966</v>
      </c>
      <c r="AF206" t="s">
        <v>28966</v>
      </c>
      <c r="AG206" t="s">
        <v>28966</v>
      </c>
      <c r="AH206" t="s">
        <v>28966</v>
      </c>
      <c r="AI206" t="s">
        <v>28966</v>
      </c>
      <c r="AJ206" t="s">
        <v>28966</v>
      </c>
      <c r="AK206" t="s">
        <v>28966</v>
      </c>
      <c r="AL206" t="s">
        <v>28966</v>
      </c>
      <c r="AM206" t="s">
        <v>28966</v>
      </c>
      <c r="AN206" t="s">
        <v>28966</v>
      </c>
      <c r="AO206">
        <v>9700</v>
      </c>
      <c r="AP206">
        <v>25900</v>
      </c>
      <c r="AQ206">
        <v>4400</v>
      </c>
      <c r="AR206">
        <v>4600</v>
      </c>
      <c r="AS206">
        <v>4800</v>
      </c>
      <c r="AT206">
        <v>4300</v>
      </c>
      <c r="AU206">
        <v>8900</v>
      </c>
      <c r="AV206">
        <v>11900</v>
      </c>
      <c r="AW206">
        <v>10100</v>
      </c>
      <c r="AX206">
        <v>8400</v>
      </c>
      <c r="AY206">
        <v>10100</v>
      </c>
      <c r="AZ206">
        <v>9100</v>
      </c>
      <c r="BA206">
        <v>9100</v>
      </c>
      <c r="BB206">
        <v>9100</v>
      </c>
      <c r="BC206" t="s">
        <v>28966</v>
      </c>
      <c r="BD206" t="s">
        <v>28966</v>
      </c>
      <c r="BE206" t="s">
        <v>28966</v>
      </c>
      <c r="BF206" t="s">
        <v>28966</v>
      </c>
      <c r="BG206" t="s">
        <v>28966</v>
      </c>
      <c r="BH206" t="s">
        <v>28966</v>
      </c>
      <c r="BI206" t="s">
        <v>28966</v>
      </c>
      <c r="BJ206" t="s">
        <v>28966</v>
      </c>
      <c r="BK206" t="s">
        <v>28966</v>
      </c>
      <c r="BL206" t="s">
        <v>28966</v>
      </c>
      <c r="BM206" t="s">
        <v>28966</v>
      </c>
      <c r="BN206" t="s">
        <v>28966</v>
      </c>
      <c r="BO206" t="s">
        <v>28966</v>
      </c>
      <c r="BP206" t="s">
        <v>28966</v>
      </c>
      <c r="BQ206" t="s">
        <v>28966</v>
      </c>
      <c r="BR206">
        <v>188221</v>
      </c>
      <c r="BS206">
        <v>268376.55</v>
      </c>
      <c r="BT206">
        <v>593198.44999999995</v>
      </c>
      <c r="BU206">
        <v>610992</v>
      </c>
      <c r="BV206">
        <v>626928</v>
      </c>
      <c r="BW206">
        <v>544541</v>
      </c>
      <c r="BX206">
        <v>644559</v>
      </c>
      <c r="BY206">
        <v>1031957.04</v>
      </c>
      <c r="BZ206">
        <v>1502478</v>
      </c>
      <c r="CA206">
        <v>1561562.2139999999</v>
      </c>
    </row>
    <row r="207" spans="2:79" x14ac:dyDescent="0.3">
      <c r="B207" s="9">
        <v>205</v>
      </c>
      <c r="C207" s="49">
        <v>10892</v>
      </c>
      <c r="D207" s="9">
        <f>YEAR(Tabla1[[#This Row],[Date]])</f>
        <v>1929</v>
      </c>
      <c r="E207" s="9" t="str" cm="1">
        <f t="array" ref="E207">IFERROR(_xlfn.IFS(AND(D207&lt;1980,D207&gt;=1970),"70",AND(D207&lt;1990,D207&gt;=1980),"80",AND(D207&lt;2000,D207&gt;=1990),"90",AND(D207&lt;2010,D207&gt;=2000),"00",AND(D207&lt;=2019,D207&gt;=2010),"10"),"1908-1970")</f>
        <v>1908-1970</v>
      </c>
      <c r="F207" s="3">
        <v>0.75</v>
      </c>
      <c r="G207" t="s">
        <v>5832</v>
      </c>
      <c r="H207" t="s">
        <v>5350</v>
      </c>
      <c r="I207" t="s">
        <v>28931</v>
      </c>
      <c r="J207" t="s">
        <v>5833</v>
      </c>
      <c r="K207" t="s">
        <v>5834</v>
      </c>
      <c r="L207" s="7" t="s">
        <v>5835</v>
      </c>
      <c r="M207" t="s">
        <v>5836</v>
      </c>
      <c r="N207">
        <v>7</v>
      </c>
      <c r="O207">
        <v>5</v>
      </c>
      <c r="P207">
        <v>2</v>
      </c>
      <c r="Q207">
        <v>7</v>
      </c>
      <c r="R207">
        <v>5</v>
      </c>
      <c r="S207">
        <v>2</v>
      </c>
      <c r="T207">
        <v>0</v>
      </c>
      <c r="U207" t="s">
        <v>5837</v>
      </c>
      <c r="V207">
        <f>Tabla1[[#This Row],[Aboard]]-Tabla1[[#This Row],[Fatalities]]</f>
        <v>0</v>
      </c>
      <c r="W207" s="50">
        <f>IFERROR(Tabla1[[#This Row],[Fatalities]]/Tabla1[[#This Row],[Aboard]],0)</f>
        <v>1</v>
      </c>
      <c r="X207" s="51" t="str" cm="1">
        <f t="array" ref="X207">_xlfn.IFS(Tabla1[[#This Row],[Porcentaje de muertes]]&lt;0.35,"LEVE",AND(Tabla1[[#This Row],[Porcentaje de muertes]]&gt;0.35,Tabla1[[#This Row],[Porcentaje de muertes]]&lt;0.65),"MEDIO",Tabla1[[#This Row],[Porcentaje de muertes]]&gt;0.65,"GRAVE")</f>
        <v>GRAVE</v>
      </c>
      <c r="AB207" t="s">
        <v>28752</v>
      </c>
      <c r="AC207" t="s">
        <v>28753</v>
      </c>
      <c r="AD207">
        <v>4400200</v>
      </c>
      <c r="AE207">
        <v>4070900</v>
      </c>
      <c r="AF207">
        <v>4363900</v>
      </c>
      <c r="AG207">
        <v>5141900</v>
      </c>
      <c r="AH207">
        <v>4983200</v>
      </c>
      <c r="AI207">
        <v>6225200</v>
      </c>
      <c r="AJ207">
        <v>7422400</v>
      </c>
      <c r="AK207">
        <v>8481700</v>
      </c>
      <c r="AL207">
        <v>9790500</v>
      </c>
      <c r="AM207">
        <v>10583900</v>
      </c>
      <c r="AN207">
        <v>10964100</v>
      </c>
      <c r="AO207">
        <v>12195300</v>
      </c>
      <c r="AP207">
        <v>13529900</v>
      </c>
      <c r="AQ207">
        <v>14473100</v>
      </c>
      <c r="AR207">
        <v>15846600</v>
      </c>
      <c r="AS207">
        <v>17084600</v>
      </c>
      <c r="AT207">
        <v>18061800</v>
      </c>
      <c r="AU207">
        <v>19186000</v>
      </c>
      <c r="AV207">
        <v>20656900</v>
      </c>
      <c r="AW207">
        <v>20406500</v>
      </c>
      <c r="AX207">
        <v>18916100</v>
      </c>
      <c r="AY207">
        <v>18692200</v>
      </c>
      <c r="AZ207">
        <v>19784000</v>
      </c>
      <c r="BA207">
        <v>18013800</v>
      </c>
      <c r="BB207">
        <v>20433000</v>
      </c>
      <c r="BC207">
        <v>23175700</v>
      </c>
      <c r="BD207">
        <v>22444800</v>
      </c>
      <c r="BE207">
        <v>25538500</v>
      </c>
      <c r="BF207">
        <v>25389700</v>
      </c>
      <c r="BG207">
        <v>25506900</v>
      </c>
      <c r="BH207">
        <v>26822530</v>
      </c>
      <c r="BI207">
        <v>26775369</v>
      </c>
      <c r="BJ207">
        <v>25502242</v>
      </c>
      <c r="BK207">
        <v>27975359</v>
      </c>
      <c r="BL207">
        <v>33660738</v>
      </c>
      <c r="BM207">
        <v>38307149</v>
      </c>
      <c r="BN207">
        <v>51488173</v>
      </c>
      <c r="BO207">
        <v>62460543</v>
      </c>
      <c r="BP207">
        <v>60323625</v>
      </c>
      <c r="BQ207">
        <v>64195666</v>
      </c>
      <c r="BR207">
        <v>78888194.890000001</v>
      </c>
      <c r="BS207">
        <v>91031850.069999993</v>
      </c>
      <c r="BT207">
        <v>89645445.180000007</v>
      </c>
      <c r="BU207">
        <v>93893397.489999995</v>
      </c>
      <c r="BV207">
        <v>102251106.59999999</v>
      </c>
      <c r="BW207">
        <v>120221878</v>
      </c>
      <c r="BX207">
        <v>142492664</v>
      </c>
      <c r="BY207">
        <v>162908959.59999999</v>
      </c>
      <c r="BZ207">
        <v>189594450.59999999</v>
      </c>
      <c r="CA207">
        <v>190685363.30000001</v>
      </c>
    </row>
    <row r="208" spans="2:79" x14ac:dyDescent="0.3">
      <c r="B208" s="9">
        <v>206</v>
      </c>
      <c r="C208" s="49">
        <v>10895</v>
      </c>
      <c r="D208" s="9">
        <f>YEAR(Tabla1[[#This Row],[Date]])</f>
        <v>1929</v>
      </c>
      <c r="E208" s="9" t="str" cm="1">
        <f t="array" ref="E208">IFERROR(_xlfn.IFS(AND(D208&lt;1980,D208&gt;=1970),"70",AND(D208&lt;1990,D208&gt;=1980),"80",AND(D208&lt;2000,D208&gt;=1990),"90",AND(D208&lt;2010,D208&gt;=2000),"00",AND(D208&lt;=2019,D208&gt;=2010),"10"),"1908-1970")</f>
        <v>1908-1970</v>
      </c>
      <c r="F208" s="3" t="s">
        <v>28931</v>
      </c>
      <c r="G208" t="s">
        <v>5838</v>
      </c>
      <c r="H208" t="s">
        <v>5658</v>
      </c>
      <c r="I208" t="s">
        <v>28931</v>
      </c>
      <c r="J208" t="s">
        <v>5659</v>
      </c>
      <c r="K208" t="s">
        <v>5705</v>
      </c>
      <c r="L208" s="7" t="s">
        <v>28931</v>
      </c>
      <c r="M208" t="s">
        <v>28931</v>
      </c>
      <c r="N208">
        <v>1</v>
      </c>
      <c r="O208">
        <v>0</v>
      </c>
      <c r="P208">
        <v>1</v>
      </c>
      <c r="Q208">
        <v>1</v>
      </c>
      <c r="R208">
        <v>0</v>
      </c>
      <c r="S208">
        <v>1</v>
      </c>
      <c r="T208">
        <v>0</v>
      </c>
      <c r="U208" t="s">
        <v>5839</v>
      </c>
      <c r="V208">
        <f>Tabla1[[#This Row],[Aboard]]-Tabla1[[#This Row],[Fatalities]]</f>
        <v>0</v>
      </c>
      <c r="W208" s="50">
        <f>IFERROR(Tabla1[[#This Row],[Fatalities]]/Tabla1[[#This Row],[Aboard]],0)</f>
        <v>1</v>
      </c>
      <c r="X208" s="51" t="str" cm="1">
        <f t="array" ref="X208">_xlfn.IFS(Tabla1[[#This Row],[Porcentaje de muertes]]&lt;0.35,"LEVE",AND(Tabla1[[#This Row],[Porcentaje de muertes]]&gt;0.35,Tabla1[[#This Row],[Porcentaje de muertes]]&lt;0.65),"MEDIO",Tabla1[[#This Row],[Porcentaje de muertes]]&gt;0.65,"GRAVE")</f>
        <v>GRAVE</v>
      </c>
      <c r="AB208" t="s">
        <v>28754</v>
      </c>
      <c r="AC208" t="s">
        <v>28755</v>
      </c>
      <c r="AD208">
        <v>558000</v>
      </c>
      <c r="AE208">
        <v>513600</v>
      </c>
      <c r="AF208">
        <v>762000</v>
      </c>
      <c r="AG208">
        <v>968300</v>
      </c>
      <c r="AH208">
        <v>1282500</v>
      </c>
      <c r="AI208">
        <v>1835700</v>
      </c>
      <c r="AJ208">
        <v>3268000</v>
      </c>
      <c r="AK208">
        <v>4705100</v>
      </c>
      <c r="AL208">
        <v>6268100</v>
      </c>
      <c r="AM208">
        <v>7689200</v>
      </c>
      <c r="AN208">
        <v>9241200</v>
      </c>
      <c r="AO208">
        <v>9146900</v>
      </c>
      <c r="AP208">
        <v>10151800</v>
      </c>
      <c r="AQ208">
        <v>10670300</v>
      </c>
      <c r="AR208">
        <v>11365800</v>
      </c>
      <c r="AS208">
        <v>10795100</v>
      </c>
      <c r="AT208">
        <v>9929400</v>
      </c>
      <c r="AU208">
        <v>10258400</v>
      </c>
      <c r="AV208">
        <v>9879600</v>
      </c>
      <c r="AW208">
        <v>9988000</v>
      </c>
      <c r="AX208">
        <v>10311500</v>
      </c>
      <c r="AY208">
        <v>9409100</v>
      </c>
      <c r="AZ208">
        <v>11154800</v>
      </c>
      <c r="BA208">
        <v>11864300</v>
      </c>
      <c r="BB208">
        <v>12142300</v>
      </c>
      <c r="BC208">
        <v>11524200</v>
      </c>
      <c r="BD208">
        <v>11706300</v>
      </c>
      <c r="BE208">
        <v>11738200</v>
      </c>
      <c r="BF208">
        <v>11816200</v>
      </c>
      <c r="BG208">
        <v>12328500</v>
      </c>
      <c r="BH208">
        <v>12566492</v>
      </c>
      <c r="BI208">
        <v>12835735</v>
      </c>
      <c r="BJ208">
        <v>13564300</v>
      </c>
      <c r="BK208">
        <v>13821729</v>
      </c>
      <c r="BL208">
        <v>14942633</v>
      </c>
      <c r="BM208">
        <v>15933045</v>
      </c>
      <c r="BN208">
        <v>16830838</v>
      </c>
      <c r="BO208">
        <v>17141188</v>
      </c>
      <c r="BP208">
        <v>16708204</v>
      </c>
      <c r="BQ208">
        <v>17508200</v>
      </c>
      <c r="BR208">
        <v>20323592</v>
      </c>
      <c r="BS208">
        <v>23135735</v>
      </c>
      <c r="BT208">
        <v>26537661</v>
      </c>
      <c r="BU208">
        <v>28252104</v>
      </c>
      <c r="BV208">
        <v>32269452</v>
      </c>
      <c r="BW208">
        <v>33431736</v>
      </c>
      <c r="BX208">
        <v>35092840</v>
      </c>
      <c r="BY208">
        <v>37503000</v>
      </c>
      <c r="BZ208">
        <v>39767648</v>
      </c>
      <c r="CA208">
        <v>39350310</v>
      </c>
    </row>
    <row r="209" spans="2:79" x14ac:dyDescent="0.3">
      <c r="B209" s="9">
        <v>207</v>
      </c>
      <c r="C209" s="49">
        <v>10897</v>
      </c>
      <c r="D209" s="9">
        <f>YEAR(Tabla1[[#This Row],[Date]])</f>
        <v>1929</v>
      </c>
      <c r="E209" s="9" t="str" cm="1">
        <f t="array" ref="E209">IFERROR(_xlfn.IFS(AND(D209&lt;1980,D209&gt;=1970),"70",AND(D209&lt;1990,D209&gt;=1980),"80",AND(D209&lt;2000,D209&gt;=1990),"90",AND(D209&lt;2010,D209&gt;=2000),"00",AND(D209&lt;=2019,D209&gt;=2010),"10"),"1908-1970")</f>
        <v>1908-1970</v>
      </c>
      <c r="F209" s="3" t="s">
        <v>28931</v>
      </c>
      <c r="G209" t="s">
        <v>5840</v>
      </c>
      <c r="H209" t="s">
        <v>5841</v>
      </c>
      <c r="I209" t="s">
        <v>28931</v>
      </c>
      <c r="J209" t="s">
        <v>5842</v>
      </c>
      <c r="K209" t="s">
        <v>5843</v>
      </c>
      <c r="L209" s="7" t="s">
        <v>5844</v>
      </c>
      <c r="M209">
        <v>232</v>
      </c>
      <c r="N209">
        <v>2</v>
      </c>
      <c r="O209">
        <v>0</v>
      </c>
      <c r="P209">
        <v>2</v>
      </c>
      <c r="Q209">
        <v>2</v>
      </c>
      <c r="R209">
        <v>0</v>
      </c>
      <c r="S209">
        <v>2</v>
      </c>
      <c r="T209">
        <v>0</v>
      </c>
      <c r="U209" t="s">
        <v>5845</v>
      </c>
      <c r="V209">
        <f>Tabla1[[#This Row],[Aboard]]-Tabla1[[#This Row],[Fatalities]]</f>
        <v>0</v>
      </c>
      <c r="W209" s="50">
        <f>IFERROR(Tabla1[[#This Row],[Fatalities]]/Tabla1[[#This Row],[Aboard]],0)</f>
        <v>1</v>
      </c>
      <c r="X209" s="51" t="str" cm="1">
        <f t="array" ref="X209">_xlfn.IFS(Tabla1[[#This Row],[Porcentaje de muertes]]&lt;0.35,"LEVE",AND(Tabla1[[#This Row],[Porcentaje de muertes]]&gt;0.35,Tabla1[[#This Row],[Porcentaje de muertes]]&lt;0.65),"MEDIO",Tabla1[[#This Row],[Porcentaje de muertes]]&gt;0.65,"GRAVE")</f>
        <v>GRAVE</v>
      </c>
      <c r="AB209" t="s">
        <v>28756</v>
      </c>
      <c r="AC209" t="s">
        <v>28757</v>
      </c>
      <c r="AD209">
        <v>124700</v>
      </c>
      <c r="AE209">
        <v>139500</v>
      </c>
      <c r="AF209">
        <v>133400</v>
      </c>
      <c r="AG209">
        <v>221500</v>
      </c>
      <c r="AH209">
        <v>244700</v>
      </c>
      <c r="AI209">
        <v>250000</v>
      </c>
      <c r="AJ209">
        <v>328300</v>
      </c>
      <c r="AK209">
        <v>378500</v>
      </c>
      <c r="AL209">
        <v>176000</v>
      </c>
      <c r="AM209">
        <v>424000</v>
      </c>
      <c r="AN209">
        <v>519000</v>
      </c>
      <c r="AO209">
        <v>465300</v>
      </c>
      <c r="AP209">
        <v>477600</v>
      </c>
      <c r="AQ209">
        <v>473000</v>
      </c>
      <c r="AR209">
        <v>485000</v>
      </c>
      <c r="AS209">
        <v>428000</v>
      </c>
      <c r="AT209">
        <v>347400</v>
      </c>
      <c r="AU209">
        <v>417200</v>
      </c>
      <c r="AV209">
        <v>533700</v>
      </c>
      <c r="AW209">
        <v>363200</v>
      </c>
      <c r="AX209">
        <v>454100</v>
      </c>
      <c r="AY209">
        <v>363200</v>
      </c>
      <c r="AZ209">
        <v>480000</v>
      </c>
      <c r="BA209">
        <v>407900</v>
      </c>
      <c r="BB209">
        <v>432400</v>
      </c>
      <c r="BC209">
        <v>496900</v>
      </c>
      <c r="BD209">
        <v>490800</v>
      </c>
      <c r="BE209">
        <v>333100</v>
      </c>
      <c r="BF209">
        <v>498700</v>
      </c>
      <c r="BG209">
        <v>390300</v>
      </c>
      <c r="BH209">
        <v>414179</v>
      </c>
      <c r="BI209">
        <v>414983</v>
      </c>
      <c r="BJ209">
        <v>409178</v>
      </c>
      <c r="BK209">
        <v>420498</v>
      </c>
      <c r="BL209">
        <v>473127</v>
      </c>
      <c r="BM209">
        <v>510977</v>
      </c>
      <c r="BN209">
        <v>563026</v>
      </c>
      <c r="BO209">
        <v>598151</v>
      </c>
      <c r="BP209">
        <v>617785</v>
      </c>
      <c r="BQ209">
        <v>606558</v>
      </c>
      <c r="BR209">
        <v>580325</v>
      </c>
      <c r="BS209">
        <v>947031.45609999995</v>
      </c>
      <c r="BT209">
        <v>777346.33189999999</v>
      </c>
      <c r="BU209">
        <v>541644</v>
      </c>
      <c r="BV209">
        <v>501864</v>
      </c>
      <c r="BW209">
        <v>496177</v>
      </c>
      <c r="BX209">
        <v>292843</v>
      </c>
      <c r="BY209">
        <v>557792.04</v>
      </c>
      <c r="BZ209">
        <v>561520</v>
      </c>
      <c r="CA209">
        <v>530001</v>
      </c>
    </row>
    <row r="210" spans="2:79" x14ac:dyDescent="0.3">
      <c r="B210" s="9">
        <v>208</v>
      </c>
      <c r="C210" s="49">
        <v>10694</v>
      </c>
      <c r="D210" s="9">
        <f>YEAR(Tabla1[[#This Row],[Date]])</f>
        <v>1929</v>
      </c>
      <c r="E210" s="9" t="str" cm="1">
        <f t="array" ref="E210">IFERROR(_xlfn.IFS(AND(D210&lt;1980,D210&gt;=1970),"70",AND(D210&lt;1990,D210&gt;=1980),"80",AND(D210&lt;2000,D210&gt;=1990),"90",AND(D210&lt;2010,D210&gt;=2000),"00",AND(D210&lt;=2019,D210&gt;=2010),"10"),"1908-1970")</f>
        <v>1908-1970</v>
      </c>
      <c r="F210" s="3">
        <v>0.29166666666666669</v>
      </c>
      <c r="G210" t="s">
        <v>5846</v>
      </c>
      <c r="H210" t="s">
        <v>5847</v>
      </c>
      <c r="I210" t="s">
        <v>28931</v>
      </c>
      <c r="J210" t="s">
        <v>5848</v>
      </c>
      <c r="K210" t="s">
        <v>5849</v>
      </c>
      <c r="L210" s="7" t="s">
        <v>5850</v>
      </c>
      <c r="M210">
        <v>97</v>
      </c>
      <c r="N210">
        <v>4</v>
      </c>
      <c r="O210">
        <v>3</v>
      </c>
      <c r="P210">
        <v>1</v>
      </c>
      <c r="Q210">
        <v>4</v>
      </c>
      <c r="R210">
        <v>3</v>
      </c>
      <c r="S210">
        <v>1</v>
      </c>
      <c r="T210">
        <v>0</v>
      </c>
      <c r="U210" t="s">
        <v>5851</v>
      </c>
      <c r="V210">
        <f>Tabla1[[#This Row],[Aboard]]-Tabla1[[#This Row],[Fatalities]]</f>
        <v>0</v>
      </c>
      <c r="W210" s="50">
        <f>IFERROR(Tabla1[[#This Row],[Fatalities]]/Tabla1[[#This Row],[Aboard]],0)</f>
        <v>1</v>
      </c>
      <c r="X210" s="51" t="str" cm="1">
        <f t="array" ref="X210">_xlfn.IFS(Tabla1[[#This Row],[Porcentaje de muertes]]&lt;0.35,"LEVE",AND(Tabla1[[#This Row],[Porcentaje de muertes]]&gt;0.35,Tabla1[[#This Row],[Porcentaje de muertes]]&lt;0.65),"MEDIO",Tabla1[[#This Row],[Porcentaje de muertes]]&gt;0.65,"GRAVE")</f>
        <v>GRAVE</v>
      </c>
      <c r="AB210" t="s">
        <v>28758</v>
      </c>
      <c r="AC210" t="s">
        <v>28759</v>
      </c>
      <c r="AD210">
        <v>85100</v>
      </c>
      <c r="AE210">
        <v>89400</v>
      </c>
      <c r="AF210">
        <v>88900</v>
      </c>
      <c r="AG210">
        <v>94600</v>
      </c>
      <c r="AH210">
        <v>102500</v>
      </c>
      <c r="AI210">
        <v>110000</v>
      </c>
      <c r="AJ210">
        <v>120400</v>
      </c>
      <c r="AK210">
        <v>128400</v>
      </c>
      <c r="AL210">
        <v>137200</v>
      </c>
      <c r="AM210">
        <v>142300</v>
      </c>
      <c r="AN210">
        <v>113100</v>
      </c>
      <c r="AO210">
        <v>116100</v>
      </c>
      <c r="AP210">
        <v>118300</v>
      </c>
      <c r="AQ210">
        <v>124500</v>
      </c>
      <c r="AR210">
        <v>126300</v>
      </c>
      <c r="AS210">
        <v>132100</v>
      </c>
      <c r="AT210">
        <v>144100</v>
      </c>
      <c r="AU210">
        <v>135800</v>
      </c>
      <c r="AV210">
        <v>135400</v>
      </c>
      <c r="AW210">
        <v>139700</v>
      </c>
      <c r="AX210">
        <v>148300</v>
      </c>
      <c r="AY210">
        <v>138400</v>
      </c>
      <c r="AZ210">
        <v>138300</v>
      </c>
      <c r="BA210">
        <v>140200</v>
      </c>
      <c r="BB210">
        <v>141200</v>
      </c>
      <c r="BC210">
        <v>149700</v>
      </c>
      <c r="BD210">
        <v>155100</v>
      </c>
      <c r="BE210">
        <v>165500</v>
      </c>
      <c r="BF210">
        <v>121400</v>
      </c>
      <c r="BG210">
        <v>103400</v>
      </c>
      <c r="BH210">
        <v>97525</v>
      </c>
      <c r="BI210">
        <v>176413</v>
      </c>
      <c r="BJ210">
        <v>231333</v>
      </c>
      <c r="BK210">
        <v>129974</v>
      </c>
      <c r="BL210">
        <v>416372</v>
      </c>
      <c r="BM210">
        <v>449682</v>
      </c>
      <c r="BN210">
        <v>500677</v>
      </c>
      <c r="BO210">
        <v>538845</v>
      </c>
      <c r="BP210">
        <v>567101</v>
      </c>
      <c r="BQ210">
        <v>572609</v>
      </c>
      <c r="BR210">
        <v>0</v>
      </c>
      <c r="BS210">
        <v>391401.4</v>
      </c>
      <c r="BT210">
        <v>543987.6</v>
      </c>
      <c r="BU210">
        <v>219996</v>
      </c>
      <c r="BV210">
        <v>131964</v>
      </c>
      <c r="BW210">
        <v>115355</v>
      </c>
      <c r="BX210">
        <v>9874</v>
      </c>
      <c r="BY210">
        <v>21038</v>
      </c>
      <c r="BZ210">
        <v>278438.28860000003</v>
      </c>
      <c r="CA210">
        <v>284534.11739999999</v>
      </c>
    </row>
    <row r="211" spans="2:79" x14ac:dyDescent="0.3">
      <c r="B211" s="9">
        <v>209</v>
      </c>
      <c r="C211" s="49">
        <v>10755</v>
      </c>
      <c r="D211" s="9">
        <f>YEAR(Tabla1[[#This Row],[Date]])</f>
        <v>1929</v>
      </c>
      <c r="E211" s="9" t="str" cm="1">
        <f t="array" ref="E211">IFERROR(_xlfn.IFS(AND(D211&lt;1980,D211&gt;=1970),"70",AND(D211&lt;1990,D211&gt;=1980),"80",AND(D211&lt;2000,D211&gt;=1990),"90",AND(D211&lt;2010,D211&gt;=2000),"00",AND(D211&lt;=2019,D211&gt;=2010),"10"),"1908-1970")</f>
        <v>1908-1970</v>
      </c>
      <c r="F211" s="3">
        <v>0.4236111111111111</v>
      </c>
      <c r="G211" t="s">
        <v>5852</v>
      </c>
      <c r="H211" t="s">
        <v>5417</v>
      </c>
      <c r="I211" t="s">
        <v>28931</v>
      </c>
      <c r="J211" t="s">
        <v>5853</v>
      </c>
      <c r="K211" t="s">
        <v>5854</v>
      </c>
      <c r="L211" s="7" t="s">
        <v>5855</v>
      </c>
      <c r="M211">
        <v>911</v>
      </c>
      <c r="N211">
        <v>8</v>
      </c>
      <c r="O211">
        <v>4</v>
      </c>
      <c r="P211">
        <v>4</v>
      </c>
      <c r="Q211">
        <v>7</v>
      </c>
      <c r="R211">
        <v>3</v>
      </c>
      <c r="S211">
        <v>4</v>
      </c>
      <c r="T211">
        <v>0</v>
      </c>
      <c r="U211" t="s">
        <v>5856</v>
      </c>
      <c r="V211">
        <f>Tabla1[[#This Row],[Aboard]]-Tabla1[[#This Row],[Fatalities]]</f>
        <v>1</v>
      </c>
      <c r="W211" s="50">
        <f>IFERROR(Tabla1[[#This Row],[Fatalities]]/Tabla1[[#This Row],[Aboard]],0)</f>
        <v>0.875</v>
      </c>
      <c r="X211" s="51" t="str" cm="1">
        <f t="array" ref="X211">_xlfn.IFS(Tabla1[[#This Row],[Porcentaje de muertes]]&lt;0.35,"LEVE",AND(Tabla1[[#This Row],[Porcentaje de muertes]]&gt;0.35,Tabla1[[#This Row],[Porcentaje de muertes]]&lt;0.65),"MEDIO",Tabla1[[#This Row],[Porcentaje de muertes]]&gt;0.65,"GRAVE")</f>
        <v>GRAVE</v>
      </c>
      <c r="AB211" t="s">
        <v>13239</v>
      </c>
      <c r="AC211" t="s">
        <v>28760</v>
      </c>
      <c r="AD211">
        <v>748900</v>
      </c>
      <c r="AE211">
        <v>875100</v>
      </c>
      <c r="AF211">
        <v>976100</v>
      </c>
      <c r="AG211">
        <v>1248900</v>
      </c>
      <c r="AH211">
        <v>1508500</v>
      </c>
      <c r="AI211">
        <v>1814700</v>
      </c>
      <c r="AJ211">
        <v>2132100</v>
      </c>
      <c r="AK211">
        <v>2497300</v>
      </c>
      <c r="AL211">
        <v>2893200</v>
      </c>
      <c r="AM211">
        <v>3377500</v>
      </c>
      <c r="AN211">
        <v>3826900</v>
      </c>
      <c r="AO211">
        <v>4405400</v>
      </c>
      <c r="AP211">
        <v>4591500</v>
      </c>
      <c r="AQ211">
        <v>4531600</v>
      </c>
      <c r="AR211">
        <v>4791800</v>
      </c>
      <c r="AS211">
        <v>4912300</v>
      </c>
      <c r="AT211">
        <v>4990300</v>
      </c>
      <c r="AU211">
        <v>5248400</v>
      </c>
      <c r="AV211">
        <v>6046900</v>
      </c>
      <c r="AW211">
        <v>6659900</v>
      </c>
      <c r="AX211">
        <v>7046400</v>
      </c>
      <c r="AY211">
        <v>7745500</v>
      </c>
      <c r="AZ211">
        <v>8477300</v>
      </c>
      <c r="BA211">
        <v>9271200</v>
      </c>
      <c r="BB211">
        <v>9929400</v>
      </c>
      <c r="BC211">
        <v>10779300</v>
      </c>
      <c r="BD211">
        <v>11840700</v>
      </c>
      <c r="BE211">
        <v>12980700</v>
      </c>
      <c r="BF211">
        <v>13331100</v>
      </c>
      <c r="BG211">
        <v>15282600</v>
      </c>
      <c r="BH211">
        <v>16704341</v>
      </c>
      <c r="BI211">
        <v>16373648</v>
      </c>
      <c r="BJ211">
        <v>17256872</v>
      </c>
      <c r="BK211">
        <v>14172367</v>
      </c>
      <c r="BL211">
        <v>16995621</v>
      </c>
      <c r="BM211">
        <v>17744017</v>
      </c>
      <c r="BN211">
        <v>19565884</v>
      </c>
      <c r="BO211">
        <v>20671341</v>
      </c>
      <c r="BP211">
        <v>21050204</v>
      </c>
      <c r="BQ211">
        <v>18427473</v>
      </c>
      <c r="BR211">
        <v>24859825.16</v>
      </c>
      <c r="BS211">
        <v>26509929.140000001</v>
      </c>
      <c r="BT211">
        <v>29138458.27</v>
      </c>
      <c r="BU211">
        <v>31729241</v>
      </c>
      <c r="BV211">
        <v>33643518.420000002</v>
      </c>
      <c r="BW211">
        <v>33585397</v>
      </c>
      <c r="BX211">
        <v>35370328</v>
      </c>
      <c r="BY211">
        <v>38094990</v>
      </c>
      <c r="BZ211">
        <v>40401515</v>
      </c>
      <c r="CA211">
        <v>43050722</v>
      </c>
    </row>
    <row r="212" spans="2:79" x14ac:dyDescent="0.3">
      <c r="B212" s="9">
        <v>210</v>
      </c>
      <c r="C212" s="49">
        <v>10913</v>
      </c>
      <c r="D212" s="9">
        <f>YEAR(Tabla1[[#This Row],[Date]])</f>
        <v>1929</v>
      </c>
      <c r="E212" s="9" t="str" cm="1">
        <f t="array" ref="E212">IFERROR(_xlfn.IFS(AND(D212&lt;1980,D212&gt;=1970),"70",AND(D212&lt;1990,D212&gt;=1980),"80",AND(D212&lt;2000,D212&gt;=1990),"90",AND(D212&lt;2010,D212&gt;=2000),"00",AND(D212&lt;=2019,D212&gt;=2010),"10"),"1908-1970")</f>
        <v>1908-1970</v>
      </c>
      <c r="F212" s="3">
        <v>0.39930555555555558</v>
      </c>
      <c r="G212" t="s">
        <v>5857</v>
      </c>
      <c r="H212" t="s">
        <v>5298</v>
      </c>
      <c r="I212" t="s">
        <v>28931</v>
      </c>
      <c r="J212" t="s">
        <v>5858</v>
      </c>
      <c r="K212" t="s">
        <v>5859</v>
      </c>
      <c r="L212" s="7" t="s">
        <v>5860</v>
      </c>
      <c r="M212">
        <v>1</v>
      </c>
      <c r="N212">
        <v>3</v>
      </c>
      <c r="O212">
        <v>0</v>
      </c>
      <c r="P212">
        <v>3</v>
      </c>
      <c r="Q212">
        <v>3</v>
      </c>
      <c r="R212">
        <v>0</v>
      </c>
      <c r="S212">
        <v>3</v>
      </c>
      <c r="T212">
        <v>0</v>
      </c>
      <c r="U212" t="s">
        <v>5861</v>
      </c>
      <c r="V212">
        <f>Tabla1[[#This Row],[Aboard]]-Tabla1[[#This Row],[Fatalities]]</f>
        <v>0</v>
      </c>
      <c r="W212" s="50">
        <f>IFERROR(Tabla1[[#This Row],[Fatalities]]/Tabla1[[#This Row],[Aboard]],0)</f>
        <v>1</v>
      </c>
      <c r="X212" s="51" t="str" cm="1">
        <f t="array" ref="X212">_xlfn.IFS(Tabla1[[#This Row],[Porcentaje de muertes]]&lt;0.35,"LEVE",AND(Tabla1[[#This Row],[Porcentaje de muertes]]&gt;0.35,Tabla1[[#This Row],[Porcentaje de muertes]]&lt;0.65),"MEDIO",Tabla1[[#This Row],[Porcentaje de muertes]]&gt;0.65,"GRAVE")</f>
        <v>GRAVE</v>
      </c>
      <c r="AB212" t="s">
        <v>28761</v>
      </c>
      <c r="AC212" t="s">
        <v>28762</v>
      </c>
      <c r="AD212" t="s">
        <v>28966</v>
      </c>
      <c r="AE212" t="s">
        <v>28966</v>
      </c>
      <c r="AF212" t="s">
        <v>28966</v>
      </c>
      <c r="AG212" t="s">
        <v>28966</v>
      </c>
      <c r="AH212" t="s">
        <v>28966</v>
      </c>
      <c r="AI212" t="s">
        <v>28966</v>
      </c>
      <c r="AJ212" t="s">
        <v>28966</v>
      </c>
      <c r="AK212" t="s">
        <v>28966</v>
      </c>
      <c r="AL212" t="s">
        <v>28966</v>
      </c>
      <c r="AM212" t="s">
        <v>28966</v>
      </c>
      <c r="AN212">
        <v>42400</v>
      </c>
      <c r="AO212">
        <v>46200</v>
      </c>
      <c r="AP212">
        <v>51100</v>
      </c>
      <c r="AQ212">
        <v>54600</v>
      </c>
      <c r="AR212">
        <v>63700</v>
      </c>
      <c r="AS212">
        <v>66000</v>
      </c>
      <c r="AT212">
        <v>64900</v>
      </c>
      <c r="AU212">
        <v>67500</v>
      </c>
      <c r="AV212">
        <v>68500</v>
      </c>
      <c r="AW212">
        <v>69300</v>
      </c>
      <c r="AX212">
        <v>69400</v>
      </c>
      <c r="AY212">
        <v>69400</v>
      </c>
      <c r="AZ212">
        <v>69400</v>
      </c>
      <c r="BA212">
        <v>74600</v>
      </c>
      <c r="BB212">
        <v>78500</v>
      </c>
      <c r="BC212">
        <v>89500</v>
      </c>
      <c r="BD212">
        <v>94300</v>
      </c>
      <c r="BE212">
        <v>94300</v>
      </c>
      <c r="BF212">
        <v>94000</v>
      </c>
      <c r="BG212">
        <v>97700</v>
      </c>
      <c r="BH212">
        <v>75262</v>
      </c>
      <c r="BI212">
        <v>81376</v>
      </c>
      <c r="BJ212">
        <v>84537</v>
      </c>
      <c r="BK212">
        <v>68104</v>
      </c>
      <c r="BL212">
        <v>84676</v>
      </c>
      <c r="BM212">
        <v>91450</v>
      </c>
      <c r="BN212">
        <v>101190</v>
      </c>
      <c r="BO212">
        <v>102090</v>
      </c>
      <c r="BP212">
        <v>100558</v>
      </c>
      <c r="BQ212">
        <v>94027</v>
      </c>
      <c r="BR212">
        <v>142660</v>
      </c>
      <c r="BS212">
        <v>140183.26389999999</v>
      </c>
      <c r="BT212">
        <v>138160.1153</v>
      </c>
      <c r="BU212">
        <v>302412</v>
      </c>
      <c r="BV212">
        <v>330456</v>
      </c>
      <c r="BW212">
        <v>373739</v>
      </c>
      <c r="BX212">
        <v>373467</v>
      </c>
      <c r="BY212">
        <v>427806</v>
      </c>
      <c r="BZ212">
        <v>427806</v>
      </c>
      <c r="CA212">
        <v>229670.64799999999</v>
      </c>
    </row>
    <row r="213" spans="2:79" x14ac:dyDescent="0.3">
      <c r="B213" s="9">
        <v>211</v>
      </c>
      <c r="C213" s="49">
        <v>10917</v>
      </c>
      <c r="D213" s="9">
        <f>YEAR(Tabla1[[#This Row],[Date]])</f>
        <v>1929</v>
      </c>
      <c r="E213" s="9" t="str" cm="1">
        <f t="array" ref="E213">IFERROR(_xlfn.IFS(AND(D213&lt;1980,D213&gt;=1970),"70",AND(D213&lt;1990,D213&gt;=1980),"80",AND(D213&lt;2000,D213&gt;=1990),"90",AND(D213&lt;2010,D213&gt;=2000),"00",AND(D213&lt;=2019,D213&gt;=2010),"10"),"1908-1970")</f>
        <v>1908-1970</v>
      </c>
      <c r="F213" s="3" t="s">
        <v>28931</v>
      </c>
      <c r="G213" t="s">
        <v>5862</v>
      </c>
      <c r="H213" t="s">
        <v>5863</v>
      </c>
      <c r="I213" t="s">
        <v>28931</v>
      </c>
      <c r="J213" t="s">
        <v>5864</v>
      </c>
      <c r="K213" t="s">
        <v>5865</v>
      </c>
      <c r="L213" s="7" t="s">
        <v>5866</v>
      </c>
      <c r="M213">
        <v>10519</v>
      </c>
      <c r="N213">
        <v>12</v>
      </c>
      <c r="O213">
        <v>9</v>
      </c>
      <c r="P213">
        <v>3</v>
      </c>
      <c r="Q213">
        <v>1</v>
      </c>
      <c r="R213">
        <v>1</v>
      </c>
      <c r="S213">
        <v>0</v>
      </c>
      <c r="T213">
        <v>0</v>
      </c>
      <c r="U213" t="s">
        <v>5867</v>
      </c>
      <c r="V213">
        <f>Tabla1[[#This Row],[Aboard]]-Tabla1[[#This Row],[Fatalities]]</f>
        <v>11</v>
      </c>
      <c r="W213" s="50">
        <f>IFERROR(Tabla1[[#This Row],[Fatalities]]/Tabla1[[#This Row],[Aboard]],0)</f>
        <v>8.3333333333333329E-2</v>
      </c>
      <c r="X213" s="51" t="str" cm="1">
        <f t="array" ref="X213">_xlfn.IFS(Tabla1[[#This Row],[Porcentaje de muertes]]&lt;0.35,"LEVE",AND(Tabla1[[#This Row],[Porcentaje de muertes]]&gt;0.35,Tabla1[[#This Row],[Porcentaje de muertes]]&lt;0.65),"MEDIO",Tabla1[[#This Row],[Porcentaje de muertes]]&gt;0.65,"GRAVE")</f>
        <v>LEVE</v>
      </c>
      <c r="AB213" t="s">
        <v>28763</v>
      </c>
      <c r="AC213" t="s">
        <v>28764</v>
      </c>
      <c r="AD213" t="s">
        <v>28966</v>
      </c>
      <c r="AE213" t="s">
        <v>28966</v>
      </c>
      <c r="AF213" t="s">
        <v>28966</v>
      </c>
      <c r="AG213" t="s">
        <v>28966</v>
      </c>
      <c r="AH213" t="s">
        <v>28966</v>
      </c>
      <c r="AI213">
        <v>23000</v>
      </c>
      <c r="AJ213">
        <v>26000</v>
      </c>
      <c r="AK213">
        <v>27300</v>
      </c>
      <c r="AL213">
        <v>28500</v>
      </c>
      <c r="AM213">
        <v>28500</v>
      </c>
      <c r="AN213">
        <v>30000</v>
      </c>
      <c r="AO213">
        <v>30200</v>
      </c>
      <c r="AP213">
        <v>34000</v>
      </c>
      <c r="AQ213">
        <v>26400</v>
      </c>
      <c r="AR213">
        <v>56000</v>
      </c>
      <c r="AS213">
        <v>58000</v>
      </c>
      <c r="AT213">
        <v>59000</v>
      </c>
      <c r="AU213">
        <v>28900</v>
      </c>
      <c r="AV213">
        <v>43600</v>
      </c>
      <c r="AW213">
        <v>29600</v>
      </c>
      <c r="AX213">
        <v>30000</v>
      </c>
      <c r="AY213" t="s">
        <v>28966</v>
      </c>
      <c r="AZ213">
        <v>16500</v>
      </c>
      <c r="BA213">
        <v>17500</v>
      </c>
      <c r="BB213">
        <v>14500</v>
      </c>
      <c r="BC213">
        <v>14500</v>
      </c>
      <c r="BD213">
        <v>15200</v>
      </c>
      <c r="BE213">
        <v>0</v>
      </c>
      <c r="BF213">
        <v>0</v>
      </c>
      <c r="BG213" t="s">
        <v>28966</v>
      </c>
      <c r="BH213">
        <v>19009</v>
      </c>
      <c r="BI213">
        <v>13877</v>
      </c>
      <c r="BJ213">
        <v>13877</v>
      </c>
      <c r="BK213">
        <v>13599</v>
      </c>
      <c r="BL213">
        <v>15503</v>
      </c>
      <c r="BM213">
        <v>16743</v>
      </c>
      <c r="BN213">
        <v>18752</v>
      </c>
      <c r="BO213">
        <v>20252</v>
      </c>
      <c r="BP213">
        <v>21420</v>
      </c>
      <c r="BQ213">
        <v>21784</v>
      </c>
      <c r="BR213">
        <v>0</v>
      </c>
      <c r="BS213">
        <v>48789</v>
      </c>
      <c r="BT213">
        <v>50193</v>
      </c>
      <c r="BU213" t="s">
        <v>28966</v>
      </c>
      <c r="BV213" t="s">
        <v>28966</v>
      </c>
      <c r="BW213" t="s">
        <v>28966</v>
      </c>
      <c r="BX213" t="s">
        <v>28966</v>
      </c>
      <c r="BY213" t="s">
        <v>28966</v>
      </c>
      <c r="BZ213" t="s">
        <v>28966</v>
      </c>
      <c r="CA213" t="s">
        <v>28966</v>
      </c>
    </row>
    <row r="214" spans="2:79" x14ac:dyDescent="0.3">
      <c r="B214" s="9">
        <v>212</v>
      </c>
      <c r="C214" s="49">
        <v>10927</v>
      </c>
      <c r="D214" s="9">
        <f>YEAR(Tabla1[[#This Row],[Date]])</f>
        <v>1929</v>
      </c>
      <c r="E214" s="9" t="str" cm="1">
        <f t="array" ref="E214">IFERROR(_xlfn.IFS(AND(D214&lt;1980,D214&gt;=1970),"70",AND(D214&lt;1990,D214&gt;=1980),"80",AND(D214&lt;2000,D214&gt;=1990),"90",AND(D214&lt;2010,D214&gt;=2000),"00",AND(D214&lt;=2019,D214&gt;=2010),"10"),"1908-1970")</f>
        <v>1908-1970</v>
      </c>
      <c r="F214" s="3" t="s">
        <v>28931</v>
      </c>
      <c r="G214" t="s">
        <v>5868</v>
      </c>
      <c r="H214" t="s">
        <v>5465</v>
      </c>
      <c r="I214" t="s">
        <v>28931</v>
      </c>
      <c r="J214" t="s">
        <v>28931</v>
      </c>
      <c r="K214" t="s">
        <v>5869</v>
      </c>
      <c r="L214" s="7" t="s">
        <v>5870</v>
      </c>
      <c r="M214">
        <v>1006</v>
      </c>
      <c r="N214">
        <v>1</v>
      </c>
      <c r="O214">
        <v>0</v>
      </c>
      <c r="P214">
        <v>1</v>
      </c>
      <c r="Q214">
        <v>1</v>
      </c>
      <c r="R214">
        <v>0</v>
      </c>
      <c r="S214">
        <v>1</v>
      </c>
      <c r="T214">
        <v>0</v>
      </c>
      <c r="U214" t="s">
        <v>5871</v>
      </c>
      <c r="V214">
        <f>Tabla1[[#This Row],[Aboard]]-Tabla1[[#This Row],[Fatalities]]</f>
        <v>0</v>
      </c>
      <c r="W214" s="50">
        <f>IFERROR(Tabla1[[#This Row],[Fatalities]]/Tabla1[[#This Row],[Aboard]],0)</f>
        <v>1</v>
      </c>
      <c r="X214" s="51" t="str" cm="1">
        <f t="array" ref="X214">_xlfn.IFS(Tabla1[[#This Row],[Porcentaje de muertes]]&lt;0.35,"LEVE",AND(Tabla1[[#This Row],[Porcentaje de muertes]]&gt;0.35,Tabla1[[#This Row],[Porcentaje de muertes]]&lt;0.65),"MEDIO",Tabla1[[#This Row],[Porcentaje de muertes]]&gt;0.65,"GRAVE")</f>
        <v>GRAVE</v>
      </c>
      <c r="AB214" t="s">
        <v>28765</v>
      </c>
      <c r="AC214" t="s">
        <v>28766</v>
      </c>
      <c r="AD214">
        <v>138200</v>
      </c>
      <c r="AE214">
        <v>146000</v>
      </c>
      <c r="AF214">
        <v>140000</v>
      </c>
      <c r="AG214">
        <v>147000</v>
      </c>
      <c r="AH214">
        <v>155000</v>
      </c>
      <c r="AI214">
        <v>160000</v>
      </c>
      <c r="AJ214">
        <v>170000</v>
      </c>
      <c r="AK214">
        <v>210600</v>
      </c>
      <c r="AL214">
        <v>225300</v>
      </c>
      <c r="AM214">
        <v>257800</v>
      </c>
      <c r="AN214">
        <v>264600</v>
      </c>
      <c r="AO214">
        <v>241800</v>
      </c>
      <c r="AP214">
        <v>254800</v>
      </c>
      <c r="AQ214">
        <v>265500</v>
      </c>
      <c r="AR214">
        <v>360200</v>
      </c>
      <c r="AS214">
        <v>395000</v>
      </c>
      <c r="AT214">
        <v>467600</v>
      </c>
      <c r="AU214">
        <v>444100</v>
      </c>
      <c r="AV214">
        <v>448500</v>
      </c>
      <c r="AW214">
        <v>617800</v>
      </c>
      <c r="AX214">
        <v>524900</v>
      </c>
      <c r="AY214">
        <v>577400</v>
      </c>
      <c r="AZ214">
        <v>682900</v>
      </c>
      <c r="BA214">
        <v>1242500</v>
      </c>
      <c r="BB214">
        <v>1617100</v>
      </c>
      <c r="BC214">
        <v>1698000</v>
      </c>
      <c r="BD214">
        <v>1800000</v>
      </c>
      <c r="BE214">
        <v>1700600</v>
      </c>
      <c r="BF214">
        <v>1694000</v>
      </c>
      <c r="BG214">
        <v>1624100</v>
      </c>
      <c r="BH214">
        <v>1960363</v>
      </c>
      <c r="BI214">
        <v>1692334</v>
      </c>
      <c r="BJ214">
        <v>1804307</v>
      </c>
      <c r="BK214">
        <v>2182463</v>
      </c>
      <c r="BL214">
        <v>2391159</v>
      </c>
      <c r="BM214">
        <v>2540564</v>
      </c>
      <c r="BN214">
        <v>2579145</v>
      </c>
      <c r="BO214">
        <v>2536820</v>
      </c>
      <c r="BP214">
        <v>2279763</v>
      </c>
      <c r="BQ214">
        <v>1996982</v>
      </c>
      <c r="BR214">
        <v>1816391.1040000001</v>
      </c>
      <c r="BS214">
        <v>2151274</v>
      </c>
      <c r="BT214">
        <v>2523296</v>
      </c>
      <c r="BU214">
        <v>2509003</v>
      </c>
      <c r="BV214">
        <v>2816524</v>
      </c>
      <c r="BW214">
        <v>2597649</v>
      </c>
      <c r="BX214">
        <v>2603129</v>
      </c>
      <c r="BY214">
        <v>2670560</v>
      </c>
      <c r="BZ214">
        <v>2545105</v>
      </c>
      <c r="CA214">
        <v>2609917</v>
      </c>
    </row>
    <row r="215" spans="2:79" x14ac:dyDescent="0.3">
      <c r="B215" s="9">
        <v>213</v>
      </c>
      <c r="C215" s="49">
        <v>10636</v>
      </c>
      <c r="D215" s="9">
        <f>YEAR(Tabla1[[#This Row],[Date]])</f>
        <v>1929</v>
      </c>
      <c r="E215" s="9" t="str" cm="1">
        <f t="array" ref="E215">IFERROR(_xlfn.IFS(AND(D215&lt;1980,D215&gt;=1970),"70",AND(D215&lt;1990,D215&gt;=1980),"80",AND(D215&lt;2000,D215&gt;=1990),"90",AND(D215&lt;2010,D215&gt;=2000),"00",AND(D215&lt;=2019,D215&gt;=2010),"10"),"1908-1970")</f>
        <v>1908-1970</v>
      </c>
      <c r="F215" s="3" t="s">
        <v>28931</v>
      </c>
      <c r="G215" t="s">
        <v>5872</v>
      </c>
      <c r="H215" t="s">
        <v>5524</v>
      </c>
      <c r="I215" t="s">
        <v>28931</v>
      </c>
      <c r="J215" t="s">
        <v>28931</v>
      </c>
      <c r="K215" t="s">
        <v>5873</v>
      </c>
      <c r="L215" s="7" t="s">
        <v>5874</v>
      </c>
      <c r="M215">
        <v>622</v>
      </c>
      <c r="N215">
        <v>1</v>
      </c>
      <c r="O215">
        <v>0</v>
      </c>
      <c r="P215">
        <v>1</v>
      </c>
      <c r="Q215">
        <v>1</v>
      </c>
      <c r="R215">
        <v>0</v>
      </c>
      <c r="S215">
        <v>1</v>
      </c>
      <c r="T215">
        <v>0</v>
      </c>
      <c r="U215" t="s">
        <v>5875</v>
      </c>
      <c r="V215">
        <f>Tabla1[[#This Row],[Aboard]]-Tabla1[[#This Row],[Fatalities]]</f>
        <v>0</v>
      </c>
      <c r="W215" s="50">
        <f>IFERROR(Tabla1[[#This Row],[Fatalities]]/Tabla1[[#This Row],[Aboard]],0)</f>
        <v>1</v>
      </c>
      <c r="X215" s="51" t="str" cm="1">
        <f t="array" ref="X215">_xlfn.IFS(Tabla1[[#This Row],[Porcentaje de muertes]]&lt;0.35,"LEVE",AND(Tabla1[[#This Row],[Porcentaje de muertes]]&gt;0.35,Tabla1[[#This Row],[Porcentaje de muertes]]&lt;0.65),"MEDIO",Tabla1[[#This Row],[Porcentaje de muertes]]&gt;0.65,"GRAVE")</f>
        <v>GRAVE</v>
      </c>
      <c r="AB215" t="s">
        <v>28767</v>
      </c>
      <c r="AC215" t="s">
        <v>28768</v>
      </c>
      <c r="AD215" t="s">
        <v>28966</v>
      </c>
      <c r="AE215" t="s">
        <v>28966</v>
      </c>
      <c r="AF215" t="s">
        <v>28966</v>
      </c>
      <c r="AG215" t="s">
        <v>28966</v>
      </c>
      <c r="AH215" t="s">
        <v>28966</v>
      </c>
      <c r="AI215" t="s">
        <v>28966</v>
      </c>
      <c r="AJ215" t="s">
        <v>28966</v>
      </c>
      <c r="AK215" t="s">
        <v>28966</v>
      </c>
      <c r="AL215" t="s">
        <v>28966</v>
      </c>
      <c r="AM215" t="s">
        <v>28966</v>
      </c>
      <c r="AN215" t="s">
        <v>28966</v>
      </c>
      <c r="AO215" t="s">
        <v>28966</v>
      </c>
      <c r="AP215" t="s">
        <v>28966</v>
      </c>
      <c r="AQ215" t="s">
        <v>28966</v>
      </c>
      <c r="AR215" t="s">
        <v>28966</v>
      </c>
      <c r="AS215" t="s">
        <v>28966</v>
      </c>
      <c r="AT215" t="s">
        <v>28966</v>
      </c>
      <c r="AU215" t="s">
        <v>28966</v>
      </c>
      <c r="AV215" t="s">
        <v>28966</v>
      </c>
      <c r="AW215" t="s">
        <v>28966</v>
      </c>
      <c r="AX215" t="s">
        <v>28966</v>
      </c>
      <c r="AY215" t="s">
        <v>28966</v>
      </c>
      <c r="AZ215" t="s">
        <v>28966</v>
      </c>
      <c r="BA215" t="s">
        <v>28966</v>
      </c>
      <c r="BB215" t="s">
        <v>28966</v>
      </c>
      <c r="BC215" t="s">
        <v>28966</v>
      </c>
      <c r="BD215" t="s">
        <v>28966</v>
      </c>
      <c r="BE215" t="s">
        <v>28966</v>
      </c>
      <c r="BF215" t="s">
        <v>28966</v>
      </c>
      <c r="BG215" t="s">
        <v>28966</v>
      </c>
      <c r="BH215" t="s">
        <v>28966</v>
      </c>
      <c r="BI215" t="s">
        <v>28966</v>
      </c>
      <c r="BJ215" t="s">
        <v>28966</v>
      </c>
      <c r="BK215" t="s">
        <v>28966</v>
      </c>
      <c r="BL215" t="s">
        <v>28966</v>
      </c>
      <c r="BM215" t="s">
        <v>28966</v>
      </c>
      <c r="BN215" t="s">
        <v>28966</v>
      </c>
      <c r="BO215" t="s">
        <v>28966</v>
      </c>
      <c r="BP215" t="s">
        <v>28966</v>
      </c>
      <c r="BQ215" t="s">
        <v>28966</v>
      </c>
      <c r="BR215" t="s">
        <v>28966</v>
      </c>
      <c r="BS215" t="s">
        <v>28966</v>
      </c>
      <c r="BT215" t="s">
        <v>28966</v>
      </c>
      <c r="BU215" t="s">
        <v>28966</v>
      </c>
      <c r="BV215" t="s">
        <v>28966</v>
      </c>
      <c r="BW215" t="s">
        <v>28966</v>
      </c>
      <c r="BX215" t="s">
        <v>28966</v>
      </c>
      <c r="BY215" t="s">
        <v>28966</v>
      </c>
      <c r="BZ215" t="s">
        <v>28966</v>
      </c>
      <c r="CA215" t="s">
        <v>28966</v>
      </c>
    </row>
    <row r="216" spans="2:79" x14ac:dyDescent="0.3">
      <c r="B216" s="9">
        <v>214</v>
      </c>
      <c r="C216" s="49">
        <v>10946</v>
      </c>
      <c r="D216" s="9">
        <f>YEAR(Tabla1[[#This Row],[Date]])</f>
        <v>1929</v>
      </c>
      <c r="E216" s="9" t="str" cm="1">
        <f t="array" ref="E216">IFERROR(_xlfn.IFS(AND(D216&lt;1980,D216&gt;=1970),"70",AND(D216&lt;1990,D216&gt;=1980),"80",AND(D216&lt;2000,D216&gt;=1990),"90",AND(D216&lt;2010,D216&gt;=2000),"00",AND(D216&lt;=2019,D216&gt;=2010),"10"),"1908-1970")</f>
        <v>1908-1970</v>
      </c>
      <c r="F216" s="3" t="s">
        <v>28931</v>
      </c>
      <c r="G216" t="s">
        <v>5876</v>
      </c>
      <c r="H216" t="s">
        <v>5417</v>
      </c>
      <c r="I216" t="s">
        <v>28931</v>
      </c>
      <c r="J216" t="s">
        <v>5877</v>
      </c>
      <c r="K216" t="s">
        <v>5878</v>
      </c>
      <c r="L216" s="7" t="s">
        <v>5879</v>
      </c>
      <c r="M216">
        <v>47</v>
      </c>
      <c r="N216">
        <v>3</v>
      </c>
      <c r="O216">
        <v>0</v>
      </c>
      <c r="P216">
        <v>2</v>
      </c>
      <c r="Q216">
        <v>2</v>
      </c>
      <c r="R216">
        <v>0</v>
      </c>
      <c r="S216">
        <v>2</v>
      </c>
      <c r="T216">
        <v>0</v>
      </c>
      <c r="U216" t="s">
        <v>5880</v>
      </c>
      <c r="V216">
        <f>Tabla1[[#This Row],[Aboard]]-Tabla1[[#This Row],[Fatalities]]</f>
        <v>1</v>
      </c>
      <c r="W216" s="50">
        <f>IFERROR(Tabla1[[#This Row],[Fatalities]]/Tabla1[[#This Row],[Aboard]],0)</f>
        <v>0.66666666666666663</v>
      </c>
      <c r="X216" s="51" t="str" cm="1">
        <f t="array" ref="X216">_xlfn.IFS(Tabla1[[#This Row],[Porcentaje de muertes]]&lt;0.35,"LEVE",AND(Tabla1[[#This Row],[Porcentaje de muertes]]&gt;0.35,Tabla1[[#This Row],[Porcentaje de muertes]]&lt;0.65),"MEDIO",Tabla1[[#This Row],[Porcentaje de muertes]]&gt;0.65,"GRAVE")</f>
        <v>GRAVE</v>
      </c>
      <c r="AB216" t="s">
        <v>28769</v>
      </c>
      <c r="AC216" t="s">
        <v>28770</v>
      </c>
      <c r="AD216">
        <v>25700</v>
      </c>
      <c r="AE216">
        <v>29800</v>
      </c>
      <c r="AF216">
        <v>31400</v>
      </c>
      <c r="AG216">
        <v>33000</v>
      </c>
      <c r="AH216">
        <v>35000</v>
      </c>
      <c r="AI216">
        <v>35000</v>
      </c>
      <c r="AJ216">
        <v>38000</v>
      </c>
      <c r="AK216">
        <v>34000</v>
      </c>
      <c r="AL216">
        <v>36000</v>
      </c>
      <c r="AM216">
        <v>36500</v>
      </c>
      <c r="AN216">
        <v>90000</v>
      </c>
      <c r="AO216">
        <v>115800</v>
      </c>
      <c r="AP216">
        <v>99300</v>
      </c>
      <c r="AQ216">
        <v>117200</v>
      </c>
      <c r="AR216">
        <v>130000</v>
      </c>
      <c r="AS216">
        <v>99800</v>
      </c>
      <c r="AT216">
        <v>122000</v>
      </c>
      <c r="AU216">
        <v>128400</v>
      </c>
      <c r="AV216">
        <v>104700</v>
      </c>
      <c r="AW216">
        <v>89200</v>
      </c>
      <c r="AX216">
        <v>87600</v>
      </c>
      <c r="AY216">
        <v>46100</v>
      </c>
      <c r="AZ216" t="s">
        <v>28966</v>
      </c>
      <c r="BA216" t="s">
        <v>28966</v>
      </c>
      <c r="BB216" t="s">
        <v>28966</v>
      </c>
      <c r="BC216" t="s">
        <v>28966</v>
      </c>
      <c r="BD216" t="s">
        <v>28966</v>
      </c>
      <c r="BE216" t="s">
        <v>28966</v>
      </c>
      <c r="BF216" t="s">
        <v>28966</v>
      </c>
      <c r="BG216" t="s">
        <v>28966</v>
      </c>
      <c r="BH216" t="s">
        <v>28966</v>
      </c>
      <c r="BI216" t="s">
        <v>28966</v>
      </c>
      <c r="BJ216" t="s">
        <v>28966</v>
      </c>
      <c r="BK216" t="s">
        <v>28966</v>
      </c>
      <c r="BL216" t="s">
        <v>28966</v>
      </c>
      <c r="BM216" t="s">
        <v>28966</v>
      </c>
      <c r="BN216" t="s">
        <v>28966</v>
      </c>
      <c r="BO216" t="s">
        <v>28966</v>
      </c>
      <c r="BP216" t="s">
        <v>28966</v>
      </c>
      <c r="BQ216" t="s">
        <v>28966</v>
      </c>
      <c r="BR216">
        <v>163812.7458</v>
      </c>
      <c r="BS216">
        <v>177005.4</v>
      </c>
      <c r="BT216">
        <v>178709.7</v>
      </c>
      <c r="BU216">
        <v>258336</v>
      </c>
      <c r="BV216">
        <v>251652</v>
      </c>
      <c r="BW216" t="s">
        <v>28966</v>
      </c>
      <c r="BX216">
        <v>4486</v>
      </c>
      <c r="BY216">
        <v>4486</v>
      </c>
      <c r="BZ216">
        <v>33728.968659999999</v>
      </c>
      <c r="CA216">
        <v>34065.556850000001</v>
      </c>
    </row>
    <row r="217" spans="2:79" x14ac:dyDescent="0.3">
      <c r="B217" s="9">
        <v>215</v>
      </c>
      <c r="C217" s="49">
        <v>10957</v>
      </c>
      <c r="D217" s="9">
        <f>YEAR(Tabla1[[#This Row],[Date]])</f>
        <v>1929</v>
      </c>
      <c r="E217" s="9" t="str" cm="1">
        <f t="array" ref="E217">IFERROR(_xlfn.IFS(AND(D217&lt;1980,D217&gt;=1970),"70",AND(D217&lt;1990,D217&gt;=1980),"80",AND(D217&lt;2000,D217&gt;=1990),"90",AND(D217&lt;2010,D217&gt;=2000),"00",AND(D217&lt;=2019,D217&gt;=2010),"10"),"1908-1970")</f>
        <v>1908-1970</v>
      </c>
      <c r="F217" s="3">
        <v>0.70833333333333337</v>
      </c>
      <c r="G217" t="s">
        <v>5881</v>
      </c>
      <c r="H217" t="s">
        <v>5803</v>
      </c>
      <c r="I217" t="s">
        <v>28931</v>
      </c>
      <c r="J217" t="s">
        <v>5882</v>
      </c>
      <c r="K217" t="s">
        <v>5883</v>
      </c>
      <c r="L217" s="7" t="s">
        <v>28931</v>
      </c>
      <c r="M217" t="s">
        <v>28931</v>
      </c>
      <c r="N217">
        <v>5</v>
      </c>
      <c r="O217">
        <v>3</v>
      </c>
      <c r="P217">
        <v>2</v>
      </c>
      <c r="Q217">
        <v>5</v>
      </c>
      <c r="R217">
        <v>3</v>
      </c>
      <c r="S217">
        <v>2</v>
      </c>
      <c r="T217">
        <v>0</v>
      </c>
      <c r="U217" t="s">
        <v>5884</v>
      </c>
      <c r="V217">
        <f>Tabla1[[#This Row],[Aboard]]-Tabla1[[#This Row],[Fatalities]]</f>
        <v>0</v>
      </c>
      <c r="W217" s="50">
        <f>IFERROR(Tabla1[[#This Row],[Fatalities]]/Tabla1[[#This Row],[Aboard]],0)</f>
        <v>1</v>
      </c>
      <c r="X217" s="51" t="str" cm="1">
        <f t="array" ref="X217">_xlfn.IFS(Tabla1[[#This Row],[Porcentaje de muertes]]&lt;0.35,"LEVE",AND(Tabla1[[#This Row],[Porcentaje de muertes]]&gt;0.35,Tabla1[[#This Row],[Porcentaje de muertes]]&lt;0.65),"MEDIO",Tabla1[[#This Row],[Porcentaje de muertes]]&gt;0.65,"GRAVE")</f>
        <v>GRAVE</v>
      </c>
      <c r="AB217" t="s">
        <v>28771</v>
      </c>
      <c r="AC217" t="s">
        <v>28772</v>
      </c>
      <c r="AD217" t="s">
        <v>28966</v>
      </c>
      <c r="AE217" t="s">
        <v>28966</v>
      </c>
      <c r="AF217" t="s">
        <v>28966</v>
      </c>
      <c r="AG217" t="s">
        <v>28966</v>
      </c>
      <c r="AH217" t="s">
        <v>28966</v>
      </c>
      <c r="AI217" t="s">
        <v>28966</v>
      </c>
      <c r="AJ217" t="s">
        <v>28966</v>
      </c>
      <c r="AK217" t="s">
        <v>28966</v>
      </c>
      <c r="AL217" t="s">
        <v>28966</v>
      </c>
      <c r="AM217" t="s">
        <v>28966</v>
      </c>
      <c r="AN217" t="s">
        <v>28966</v>
      </c>
      <c r="AO217" t="s">
        <v>28966</v>
      </c>
      <c r="AP217" t="s">
        <v>28966</v>
      </c>
      <c r="AQ217" t="s">
        <v>28966</v>
      </c>
      <c r="AR217" t="s">
        <v>28966</v>
      </c>
      <c r="AS217" t="s">
        <v>28966</v>
      </c>
      <c r="AT217" t="s">
        <v>28966</v>
      </c>
      <c r="AU217" t="s">
        <v>28966</v>
      </c>
      <c r="AV217" t="s">
        <v>28966</v>
      </c>
      <c r="AW217" t="s">
        <v>28966</v>
      </c>
      <c r="AX217" t="s">
        <v>28966</v>
      </c>
      <c r="AY217" t="s">
        <v>28966</v>
      </c>
      <c r="AZ217" t="s">
        <v>28966</v>
      </c>
      <c r="BA217" t="s">
        <v>28966</v>
      </c>
      <c r="BB217" t="s">
        <v>28966</v>
      </c>
      <c r="BC217" t="s">
        <v>28966</v>
      </c>
      <c r="BD217" t="s">
        <v>28966</v>
      </c>
      <c r="BE217" t="s">
        <v>28966</v>
      </c>
      <c r="BF217" t="s">
        <v>28966</v>
      </c>
      <c r="BG217" t="s">
        <v>28966</v>
      </c>
      <c r="BH217" t="s">
        <v>28966</v>
      </c>
      <c r="BI217">
        <v>994880</v>
      </c>
      <c r="BJ217">
        <v>1185479</v>
      </c>
      <c r="BK217">
        <v>1011231</v>
      </c>
      <c r="BL217">
        <v>1076473</v>
      </c>
      <c r="BM217">
        <v>918540</v>
      </c>
      <c r="BN217">
        <v>1041747</v>
      </c>
      <c r="BO217">
        <v>1118404</v>
      </c>
      <c r="BP217">
        <v>1135322</v>
      </c>
      <c r="BQ217">
        <v>926618</v>
      </c>
      <c r="BR217">
        <v>985072</v>
      </c>
      <c r="BS217">
        <v>1149102</v>
      </c>
      <c r="BT217">
        <v>1240709</v>
      </c>
      <c r="BU217">
        <v>1241352</v>
      </c>
      <c r="BV217">
        <v>2187144</v>
      </c>
      <c r="BW217">
        <v>2427047</v>
      </c>
      <c r="BX217">
        <v>2486009</v>
      </c>
      <c r="BY217">
        <v>2442731</v>
      </c>
      <c r="BZ217">
        <v>2262703</v>
      </c>
      <c r="CA217">
        <v>2469081</v>
      </c>
    </row>
    <row r="218" spans="2:79" x14ac:dyDescent="0.3">
      <c r="B218" s="9">
        <v>216</v>
      </c>
      <c r="C218" s="49">
        <v>11232</v>
      </c>
      <c r="D218" s="9">
        <f>YEAR(Tabla1[[#This Row],[Date]])</f>
        <v>1930</v>
      </c>
      <c r="E218" s="9" t="str" cm="1">
        <f t="array" ref="E218">IFERROR(_xlfn.IFS(AND(D218&lt;1980,D218&gt;=1970),"70",AND(D218&lt;1990,D218&gt;=1980),"80",AND(D218&lt;2000,D218&gt;=1990),"90",AND(D218&lt;2010,D218&gt;=2000),"00",AND(D218&lt;=2019,D218&gt;=2010),"10"),"1908-1970")</f>
        <v>1908-1970</v>
      </c>
      <c r="F218" s="3" t="s">
        <v>28931</v>
      </c>
      <c r="G218" t="s">
        <v>5885</v>
      </c>
      <c r="H218" t="s">
        <v>5557</v>
      </c>
      <c r="I218" t="s">
        <v>28931</v>
      </c>
      <c r="J218" t="s">
        <v>28931</v>
      </c>
      <c r="K218" t="s">
        <v>5886</v>
      </c>
      <c r="L218" s="7" t="s">
        <v>5887</v>
      </c>
      <c r="M218" t="s">
        <v>28931</v>
      </c>
      <c r="N218">
        <v>1</v>
      </c>
      <c r="O218">
        <v>0</v>
      </c>
      <c r="P218">
        <v>1</v>
      </c>
      <c r="Q218">
        <v>1</v>
      </c>
      <c r="R218">
        <v>0</v>
      </c>
      <c r="S218">
        <v>1</v>
      </c>
      <c r="T218">
        <v>0</v>
      </c>
      <c r="U218" t="s">
        <v>5888</v>
      </c>
      <c r="V218">
        <f>Tabla1[[#This Row],[Aboard]]-Tabla1[[#This Row],[Fatalities]]</f>
        <v>0</v>
      </c>
      <c r="W218" s="50">
        <f>IFERROR(Tabla1[[#This Row],[Fatalities]]/Tabla1[[#This Row],[Aboard]],0)</f>
        <v>1</v>
      </c>
      <c r="X218" s="51" t="str" cm="1">
        <f t="array" ref="X218">_xlfn.IFS(Tabla1[[#This Row],[Porcentaje de muertes]]&lt;0.35,"LEVE",AND(Tabla1[[#This Row],[Porcentaje de muertes]]&gt;0.35,Tabla1[[#This Row],[Porcentaje de muertes]]&lt;0.65),"MEDIO",Tabla1[[#This Row],[Porcentaje de muertes]]&gt;0.65,"GRAVE")</f>
        <v>GRAVE</v>
      </c>
      <c r="AB218" t="s">
        <v>28773</v>
      </c>
      <c r="AC218" t="s">
        <v>28774</v>
      </c>
      <c r="AD218">
        <v>4585300</v>
      </c>
      <c r="AE218">
        <v>5013400</v>
      </c>
      <c r="AF218">
        <v>5360200</v>
      </c>
      <c r="AG218">
        <v>6261300</v>
      </c>
      <c r="AH218">
        <v>6811800</v>
      </c>
      <c r="AI218">
        <v>7320600</v>
      </c>
      <c r="AJ218">
        <v>8568400</v>
      </c>
      <c r="AK218">
        <v>8749000</v>
      </c>
      <c r="AL218">
        <v>9727500</v>
      </c>
      <c r="AM218">
        <v>11279300</v>
      </c>
      <c r="AN218">
        <v>13004500</v>
      </c>
      <c r="AO218">
        <v>14195700</v>
      </c>
      <c r="AP218">
        <v>14213900</v>
      </c>
      <c r="AQ218">
        <v>14332400</v>
      </c>
      <c r="AR218">
        <v>14673200</v>
      </c>
      <c r="AS218">
        <v>14994600</v>
      </c>
      <c r="AT218">
        <v>13895900</v>
      </c>
      <c r="AU218">
        <v>14099400</v>
      </c>
      <c r="AV218">
        <v>14634800</v>
      </c>
      <c r="AW218">
        <v>14534100</v>
      </c>
      <c r="AX218">
        <v>14566000</v>
      </c>
      <c r="AY218">
        <v>13966200</v>
      </c>
      <c r="AZ218">
        <v>13273000</v>
      </c>
      <c r="BA218">
        <v>13633700</v>
      </c>
      <c r="BB218">
        <v>14645200</v>
      </c>
      <c r="BC218">
        <v>15054600</v>
      </c>
      <c r="BD218">
        <v>15661100</v>
      </c>
      <c r="BE218">
        <v>16093100</v>
      </c>
      <c r="BF218">
        <v>15873700</v>
      </c>
      <c r="BG218">
        <v>16774800</v>
      </c>
      <c r="BH218">
        <v>17519022</v>
      </c>
      <c r="BI218">
        <v>16753549</v>
      </c>
      <c r="BJ218">
        <v>16016828</v>
      </c>
      <c r="BK218">
        <v>17470433</v>
      </c>
      <c r="BL218">
        <v>19705682</v>
      </c>
      <c r="BM218">
        <v>23121258</v>
      </c>
      <c r="BN218">
        <v>25230306</v>
      </c>
      <c r="BO218">
        <v>26657989</v>
      </c>
      <c r="BP218">
        <v>27510500</v>
      </c>
      <c r="BQ218">
        <v>27184327</v>
      </c>
      <c r="BR218">
        <v>37778795.140000001</v>
      </c>
      <c r="BS218">
        <v>42254442.399999999</v>
      </c>
      <c r="BT218">
        <v>45172846.799999997</v>
      </c>
      <c r="BU218">
        <v>43445905.82</v>
      </c>
      <c r="BV218">
        <v>43973716.119999997</v>
      </c>
      <c r="BW218">
        <v>47353496</v>
      </c>
      <c r="BX218">
        <v>49115389</v>
      </c>
      <c r="BY218">
        <v>53627313.079999998</v>
      </c>
      <c r="BZ218">
        <v>64496529.359999999</v>
      </c>
      <c r="CA218">
        <v>65267757.020000003</v>
      </c>
    </row>
    <row r="219" spans="2:79" x14ac:dyDescent="0.3">
      <c r="B219" s="9">
        <v>217</v>
      </c>
      <c r="C219" s="49">
        <v>10971</v>
      </c>
      <c r="D219" s="9">
        <f>YEAR(Tabla1[[#This Row],[Date]])</f>
        <v>1930</v>
      </c>
      <c r="E219" s="9" t="str" cm="1">
        <f t="array" ref="E219">IFERROR(_xlfn.IFS(AND(D219&lt;1980,D219&gt;=1970),"70",AND(D219&lt;1990,D219&gt;=1980),"80",AND(D219&lt;2000,D219&gt;=1990),"90",AND(D219&lt;2010,D219&gt;=2000),"00",AND(D219&lt;=2019,D219&gt;=2010),"10"),"1908-1970")</f>
        <v>1908-1970</v>
      </c>
      <c r="F219" s="3" t="s">
        <v>28931</v>
      </c>
      <c r="G219" t="s">
        <v>5889</v>
      </c>
      <c r="H219" t="s">
        <v>5890</v>
      </c>
      <c r="I219" t="s">
        <v>28931</v>
      </c>
      <c r="J219" t="s">
        <v>5891</v>
      </c>
      <c r="K219" t="s">
        <v>5892</v>
      </c>
      <c r="L219" s="7" t="s">
        <v>5893</v>
      </c>
      <c r="M219">
        <v>1</v>
      </c>
      <c r="N219">
        <v>3</v>
      </c>
      <c r="O219">
        <v>0</v>
      </c>
      <c r="P219">
        <v>3</v>
      </c>
      <c r="Q219">
        <v>3</v>
      </c>
      <c r="R219">
        <v>0</v>
      </c>
      <c r="S219">
        <v>3</v>
      </c>
      <c r="T219">
        <v>0</v>
      </c>
      <c r="U219" t="s">
        <v>5894</v>
      </c>
      <c r="V219">
        <f>Tabla1[[#This Row],[Aboard]]-Tabla1[[#This Row],[Fatalities]]</f>
        <v>0</v>
      </c>
      <c r="W219" s="50">
        <f>IFERROR(Tabla1[[#This Row],[Fatalities]]/Tabla1[[#This Row],[Aboard]],0)</f>
        <v>1</v>
      </c>
      <c r="X219" s="51" t="str" cm="1">
        <f t="array" ref="X219">_xlfn.IFS(Tabla1[[#This Row],[Porcentaje de muertes]]&lt;0.35,"LEVE",AND(Tabla1[[#This Row],[Porcentaje de muertes]]&gt;0.35,Tabla1[[#This Row],[Porcentaje de muertes]]&lt;0.65),"MEDIO",Tabla1[[#This Row],[Porcentaje de muertes]]&gt;0.65,"GRAVE")</f>
        <v>GRAVE</v>
      </c>
      <c r="AB219" t="s">
        <v>28775</v>
      </c>
      <c r="AC219" t="s">
        <v>28776</v>
      </c>
      <c r="AD219" t="s">
        <v>28966</v>
      </c>
      <c r="AE219" t="s">
        <v>28966</v>
      </c>
      <c r="AF219" t="s">
        <v>28966</v>
      </c>
      <c r="AG219" t="s">
        <v>28966</v>
      </c>
      <c r="AH219" t="s">
        <v>28966</v>
      </c>
      <c r="AI219" t="s">
        <v>28966</v>
      </c>
      <c r="AJ219" t="s">
        <v>28966</v>
      </c>
      <c r="AK219" t="s">
        <v>28966</v>
      </c>
      <c r="AL219" t="s">
        <v>28966</v>
      </c>
      <c r="AM219" t="s">
        <v>28966</v>
      </c>
      <c r="AN219" t="s">
        <v>28966</v>
      </c>
      <c r="AO219" t="s">
        <v>28966</v>
      </c>
      <c r="AP219" t="s">
        <v>28966</v>
      </c>
      <c r="AQ219" t="s">
        <v>28966</v>
      </c>
      <c r="AR219" t="s">
        <v>28966</v>
      </c>
      <c r="AS219" t="s">
        <v>28966</v>
      </c>
      <c r="AT219" t="s">
        <v>28966</v>
      </c>
      <c r="AU219" t="s">
        <v>28966</v>
      </c>
      <c r="AV219" t="s">
        <v>28966</v>
      </c>
      <c r="AW219" t="s">
        <v>28966</v>
      </c>
      <c r="AX219" t="s">
        <v>28966</v>
      </c>
      <c r="AY219" t="s">
        <v>28966</v>
      </c>
      <c r="AZ219" t="s">
        <v>28966</v>
      </c>
      <c r="BA219" t="s">
        <v>28966</v>
      </c>
      <c r="BB219" t="s">
        <v>28966</v>
      </c>
      <c r="BC219" t="s">
        <v>28966</v>
      </c>
      <c r="BD219" t="s">
        <v>28966</v>
      </c>
      <c r="BE219" t="s">
        <v>28966</v>
      </c>
      <c r="BF219" t="s">
        <v>28966</v>
      </c>
      <c r="BG219" t="s">
        <v>28966</v>
      </c>
      <c r="BH219" t="s">
        <v>28966</v>
      </c>
      <c r="BI219" t="s">
        <v>28966</v>
      </c>
      <c r="BJ219" t="s">
        <v>28966</v>
      </c>
      <c r="BK219" t="s">
        <v>28966</v>
      </c>
      <c r="BL219" t="s">
        <v>28966</v>
      </c>
      <c r="BM219" t="s">
        <v>28966</v>
      </c>
      <c r="BN219" t="s">
        <v>28966</v>
      </c>
      <c r="BO219" t="s">
        <v>28966</v>
      </c>
      <c r="BP219" t="s">
        <v>28966</v>
      </c>
      <c r="BQ219" t="s">
        <v>28966</v>
      </c>
      <c r="BR219" t="s">
        <v>28966</v>
      </c>
      <c r="BS219" t="s">
        <v>28966</v>
      </c>
      <c r="BT219" t="s">
        <v>28966</v>
      </c>
      <c r="BU219" t="s">
        <v>28966</v>
      </c>
      <c r="BV219" t="s">
        <v>28966</v>
      </c>
      <c r="BW219" t="s">
        <v>28966</v>
      </c>
      <c r="BX219" t="s">
        <v>28966</v>
      </c>
      <c r="BY219" t="s">
        <v>28966</v>
      </c>
      <c r="BZ219" t="s">
        <v>28966</v>
      </c>
      <c r="CA219" t="s">
        <v>28966</v>
      </c>
    </row>
    <row r="220" spans="2:79" x14ac:dyDescent="0.3">
      <c r="B220" s="9">
        <v>218</v>
      </c>
      <c r="C220" s="49">
        <v>10977</v>
      </c>
      <c r="D220" s="9">
        <f>YEAR(Tabla1[[#This Row],[Date]])</f>
        <v>1930</v>
      </c>
      <c r="E220" s="9" t="str" cm="1">
        <f t="array" ref="E220">IFERROR(_xlfn.IFS(AND(D220&lt;1980,D220&gt;=1970),"70",AND(D220&lt;1990,D220&gt;=1980),"80",AND(D220&lt;2000,D220&gt;=1990),"90",AND(D220&lt;2010,D220&gt;=2000),"00",AND(D220&lt;=2019,D220&gt;=2010),"10"),"1908-1970")</f>
        <v>1908-1970</v>
      </c>
      <c r="F220" s="3">
        <v>0.76597222222222217</v>
      </c>
      <c r="G220" t="s">
        <v>5895</v>
      </c>
      <c r="H220" t="s">
        <v>5896</v>
      </c>
      <c r="I220">
        <v>7</v>
      </c>
      <c r="J220" t="s">
        <v>5897</v>
      </c>
      <c r="K220" t="s">
        <v>5898</v>
      </c>
      <c r="L220" s="7" t="s">
        <v>5899</v>
      </c>
      <c r="M220" t="s">
        <v>5900</v>
      </c>
      <c r="N220">
        <v>16</v>
      </c>
      <c r="O220">
        <v>14</v>
      </c>
      <c r="P220">
        <v>2</v>
      </c>
      <c r="Q220">
        <v>16</v>
      </c>
      <c r="R220">
        <v>14</v>
      </c>
      <c r="S220">
        <v>2</v>
      </c>
      <c r="T220">
        <v>0</v>
      </c>
      <c r="U220" t="s">
        <v>5901</v>
      </c>
      <c r="V220">
        <f>Tabla1[[#This Row],[Aboard]]-Tabla1[[#This Row],[Fatalities]]</f>
        <v>0</v>
      </c>
      <c r="W220" s="50">
        <f>IFERROR(Tabla1[[#This Row],[Fatalities]]/Tabla1[[#This Row],[Aboard]],0)</f>
        <v>1</v>
      </c>
      <c r="X220" s="51" t="str" cm="1">
        <f t="array" ref="X220">_xlfn.IFS(Tabla1[[#This Row],[Porcentaje de muertes]]&lt;0.35,"LEVE",AND(Tabla1[[#This Row],[Porcentaje de muertes]]&gt;0.35,Tabla1[[#This Row],[Porcentaje de muertes]]&lt;0.65),"MEDIO",Tabla1[[#This Row],[Porcentaje de muertes]]&gt;0.65,"GRAVE")</f>
        <v>GRAVE</v>
      </c>
      <c r="AB220" t="s">
        <v>28777</v>
      </c>
      <c r="AC220" t="s">
        <v>28778</v>
      </c>
      <c r="AD220">
        <v>4585300</v>
      </c>
      <c r="AE220">
        <v>5013400</v>
      </c>
      <c r="AF220">
        <v>5360200</v>
      </c>
      <c r="AG220">
        <v>6261300</v>
      </c>
      <c r="AH220">
        <v>6811800</v>
      </c>
      <c r="AI220">
        <v>7320600</v>
      </c>
      <c r="AJ220">
        <v>8580400</v>
      </c>
      <c r="AK220">
        <v>8761000</v>
      </c>
      <c r="AL220">
        <v>9739500</v>
      </c>
      <c r="AM220">
        <v>11291300</v>
      </c>
      <c r="AN220">
        <v>13019500</v>
      </c>
      <c r="AO220">
        <v>14210700</v>
      </c>
      <c r="AP220">
        <v>14279000</v>
      </c>
      <c r="AQ220">
        <v>14397500</v>
      </c>
      <c r="AR220">
        <v>14786200</v>
      </c>
      <c r="AS220">
        <v>15179600</v>
      </c>
      <c r="AT220">
        <v>14090900</v>
      </c>
      <c r="AU220">
        <v>14322400</v>
      </c>
      <c r="AV220">
        <v>14862300</v>
      </c>
      <c r="AW220">
        <v>14713200</v>
      </c>
      <c r="AX220">
        <v>14808400</v>
      </c>
      <c r="AY220">
        <v>14208800</v>
      </c>
      <c r="AZ220">
        <v>13512500</v>
      </c>
      <c r="BA220">
        <v>13923000</v>
      </c>
      <c r="BB220">
        <v>14942600</v>
      </c>
      <c r="BC220">
        <v>15368600</v>
      </c>
      <c r="BD220">
        <v>16034300</v>
      </c>
      <c r="BE220">
        <v>16477400</v>
      </c>
      <c r="BF220">
        <v>16242300</v>
      </c>
      <c r="BG220">
        <v>17122000</v>
      </c>
      <c r="BH220">
        <v>17912857</v>
      </c>
      <c r="BI220">
        <v>17173516</v>
      </c>
      <c r="BJ220">
        <v>16535011</v>
      </c>
      <c r="BK220">
        <v>17883529</v>
      </c>
      <c r="BL220">
        <v>20167567</v>
      </c>
      <c r="BM220">
        <v>23620094</v>
      </c>
      <c r="BN220">
        <v>25775571</v>
      </c>
      <c r="BO220">
        <v>27232504</v>
      </c>
      <c r="BP220">
        <v>28096606</v>
      </c>
      <c r="BQ220">
        <v>27748907</v>
      </c>
      <c r="BR220">
        <v>38191509.140000001</v>
      </c>
      <c r="BS220">
        <v>42648276.399999999</v>
      </c>
      <c r="BT220">
        <v>45408840.799999997</v>
      </c>
      <c r="BU220">
        <v>43790341.82</v>
      </c>
      <c r="BV220">
        <v>44380996.119999997</v>
      </c>
      <c r="BW220">
        <v>47850992</v>
      </c>
      <c r="BX220">
        <v>49683303</v>
      </c>
      <c r="BY220">
        <v>54260831.079999998</v>
      </c>
      <c r="BZ220">
        <v>64951730.359999999</v>
      </c>
      <c r="CA220">
        <v>65681845.020000003</v>
      </c>
    </row>
    <row r="221" spans="2:79" x14ac:dyDescent="0.3">
      <c r="B221" s="9">
        <v>219</v>
      </c>
      <c r="C221" s="49">
        <v>10983</v>
      </c>
      <c r="D221" s="9">
        <f>YEAR(Tabla1[[#This Row],[Date]])</f>
        <v>1930</v>
      </c>
      <c r="E221" s="9" t="str" cm="1">
        <f t="array" ref="E221">IFERROR(_xlfn.IFS(AND(D221&lt;1980,D221&gt;=1970),"70",AND(D221&lt;1990,D221&gt;=1980),"80",AND(D221&lt;2000,D221&gt;=1990),"90",AND(D221&lt;2010,D221&gt;=2000),"00",AND(D221&lt;=2019,D221&gt;=2010),"10"),"1908-1970")</f>
        <v>1908-1970</v>
      </c>
      <c r="F221" s="3" t="s">
        <v>28931</v>
      </c>
      <c r="G221" t="s">
        <v>5902</v>
      </c>
      <c r="H221" t="s">
        <v>5182</v>
      </c>
      <c r="I221" t="s">
        <v>28931</v>
      </c>
      <c r="J221" t="s">
        <v>5903</v>
      </c>
      <c r="K221" t="s">
        <v>5544</v>
      </c>
      <c r="L221" s="7" t="s">
        <v>5904</v>
      </c>
      <c r="M221">
        <v>691</v>
      </c>
      <c r="N221">
        <v>2</v>
      </c>
      <c r="O221">
        <v>0</v>
      </c>
      <c r="P221">
        <v>2</v>
      </c>
      <c r="Q221">
        <v>2</v>
      </c>
      <c r="R221">
        <v>0</v>
      </c>
      <c r="S221">
        <v>2</v>
      </c>
      <c r="T221">
        <v>0</v>
      </c>
      <c r="U221" t="s">
        <v>5905</v>
      </c>
      <c r="V221">
        <f>Tabla1[[#This Row],[Aboard]]-Tabla1[[#This Row],[Fatalities]]</f>
        <v>0</v>
      </c>
      <c r="W221" s="50">
        <f>IFERROR(Tabla1[[#This Row],[Fatalities]]/Tabla1[[#This Row],[Aboard]],0)</f>
        <v>1</v>
      </c>
      <c r="X221" s="51" t="str" cm="1">
        <f t="array" ref="X221">_xlfn.IFS(Tabla1[[#This Row],[Porcentaje de muertes]]&lt;0.35,"LEVE",AND(Tabla1[[#This Row],[Porcentaje de muertes]]&gt;0.35,Tabla1[[#This Row],[Porcentaje de muertes]]&lt;0.65),"MEDIO",Tabla1[[#This Row],[Porcentaje de muertes]]&gt;0.65,"GRAVE")</f>
        <v>GRAVE</v>
      </c>
      <c r="AB221" t="s">
        <v>28779</v>
      </c>
      <c r="AC221" t="s">
        <v>28780</v>
      </c>
      <c r="AD221" t="s">
        <v>28966</v>
      </c>
      <c r="AE221" t="s">
        <v>28966</v>
      </c>
      <c r="AF221" t="s">
        <v>28966</v>
      </c>
      <c r="AG221" t="s">
        <v>28966</v>
      </c>
      <c r="AH221" t="s">
        <v>28966</v>
      </c>
      <c r="AI221" t="s">
        <v>28966</v>
      </c>
      <c r="AJ221" t="s">
        <v>28966</v>
      </c>
      <c r="AK221" t="s">
        <v>28966</v>
      </c>
      <c r="AL221" t="s">
        <v>28966</v>
      </c>
      <c r="AM221">
        <v>5196500</v>
      </c>
      <c r="AN221">
        <v>5689200</v>
      </c>
      <c r="AO221">
        <v>7233400</v>
      </c>
      <c r="AP221">
        <v>7466000</v>
      </c>
      <c r="AQ221">
        <v>7544700</v>
      </c>
      <c r="AR221">
        <v>8456300</v>
      </c>
      <c r="AS221">
        <v>8994900</v>
      </c>
      <c r="AT221">
        <v>9429300</v>
      </c>
      <c r="AU221">
        <v>9861000</v>
      </c>
      <c r="AV221">
        <v>10354200</v>
      </c>
      <c r="AW221">
        <v>10725700</v>
      </c>
      <c r="AX221">
        <v>10857400</v>
      </c>
      <c r="AY221">
        <v>11625200</v>
      </c>
      <c r="AZ221">
        <v>11807800</v>
      </c>
      <c r="BA221">
        <v>12380400</v>
      </c>
      <c r="BB221">
        <v>14086600</v>
      </c>
      <c r="BC221">
        <v>14804300</v>
      </c>
      <c r="BD221">
        <v>15011900</v>
      </c>
      <c r="BE221">
        <v>15107800</v>
      </c>
      <c r="BF221">
        <v>15925200</v>
      </c>
      <c r="BG221">
        <v>18686500</v>
      </c>
      <c r="BH221">
        <v>20091826</v>
      </c>
      <c r="BI221">
        <v>19806596</v>
      </c>
      <c r="BJ221" t="s">
        <v>28966</v>
      </c>
      <c r="BK221" t="s">
        <v>28966</v>
      </c>
      <c r="BL221" t="s">
        <v>28966</v>
      </c>
      <c r="BM221" t="s">
        <v>28966</v>
      </c>
      <c r="BN221" t="s">
        <v>28966</v>
      </c>
      <c r="BO221" t="s">
        <v>28966</v>
      </c>
      <c r="BP221" t="s">
        <v>28966</v>
      </c>
      <c r="BQ221" t="s">
        <v>28966</v>
      </c>
      <c r="BR221">
        <v>36212017.259999998</v>
      </c>
      <c r="BS221">
        <v>38988883.579999998</v>
      </c>
      <c r="BT221">
        <v>42154410.299999997</v>
      </c>
      <c r="BU221">
        <v>42160917.600000001</v>
      </c>
      <c r="BV221">
        <v>47106779.950000003</v>
      </c>
      <c r="BW221">
        <v>51784766</v>
      </c>
      <c r="BX221">
        <v>59930507</v>
      </c>
      <c r="BY221">
        <v>60503751</v>
      </c>
      <c r="BZ221">
        <v>62727473.880000003</v>
      </c>
      <c r="CA221">
        <v>63287776.009999998</v>
      </c>
    </row>
    <row r="222" spans="2:79" x14ac:dyDescent="0.3">
      <c r="B222" s="9">
        <v>220</v>
      </c>
      <c r="C222" s="49">
        <v>10985</v>
      </c>
      <c r="D222" s="9">
        <f>YEAR(Tabla1[[#This Row],[Date]])</f>
        <v>1930</v>
      </c>
      <c r="E222" s="9" t="str" cm="1">
        <f t="array" ref="E222">IFERROR(_xlfn.IFS(AND(D222&lt;1980,D222&gt;=1970),"70",AND(D222&lt;1990,D222&gt;=1980),"80",AND(D222&lt;2000,D222&gt;=1990),"90",AND(D222&lt;2010,D222&gt;=2000),"00",AND(D222&lt;=2019,D222&gt;=2010),"10"),"1908-1970")</f>
        <v>1908-1970</v>
      </c>
      <c r="F222" s="3">
        <v>0.72916666666666663</v>
      </c>
      <c r="G222" t="s">
        <v>5906</v>
      </c>
      <c r="H222" t="s">
        <v>5907</v>
      </c>
      <c r="I222" t="s">
        <v>28931</v>
      </c>
      <c r="J222" t="s">
        <v>5908</v>
      </c>
      <c r="K222" t="s">
        <v>5909</v>
      </c>
      <c r="L222" s="7" t="s">
        <v>28931</v>
      </c>
      <c r="M222">
        <v>963</v>
      </c>
      <c r="N222">
        <v>5</v>
      </c>
      <c r="O222">
        <v>4</v>
      </c>
      <c r="P222">
        <v>1</v>
      </c>
      <c r="Q222">
        <v>5</v>
      </c>
      <c r="R222">
        <v>4</v>
      </c>
      <c r="S222">
        <v>1</v>
      </c>
      <c r="T222">
        <v>0</v>
      </c>
      <c r="U222" t="s">
        <v>5910</v>
      </c>
      <c r="V222">
        <f>Tabla1[[#This Row],[Aboard]]-Tabla1[[#This Row],[Fatalities]]</f>
        <v>0</v>
      </c>
      <c r="W222" s="50">
        <f>IFERROR(Tabla1[[#This Row],[Fatalities]]/Tabla1[[#This Row],[Aboard]],0)</f>
        <v>1</v>
      </c>
      <c r="X222" s="51" t="str" cm="1">
        <f t="array" ref="X222">_xlfn.IFS(Tabla1[[#This Row],[Porcentaje de muertes]]&lt;0.35,"LEVE",AND(Tabla1[[#This Row],[Porcentaje de muertes]]&gt;0.35,Tabla1[[#This Row],[Porcentaje de muertes]]&lt;0.65),"MEDIO",Tabla1[[#This Row],[Porcentaje de muertes]]&gt;0.65,"GRAVE")</f>
        <v>GRAVE</v>
      </c>
      <c r="AB222" t="s">
        <v>28781</v>
      </c>
      <c r="AC222" t="s">
        <v>28782</v>
      </c>
      <c r="AD222" t="s">
        <v>28966</v>
      </c>
      <c r="AE222" t="s">
        <v>28966</v>
      </c>
      <c r="AF222" t="s">
        <v>28966</v>
      </c>
      <c r="AG222" t="s">
        <v>28966</v>
      </c>
      <c r="AH222" t="s">
        <v>28966</v>
      </c>
      <c r="AI222" t="s">
        <v>28966</v>
      </c>
      <c r="AJ222" t="s">
        <v>28966</v>
      </c>
      <c r="AK222" t="s">
        <v>28966</v>
      </c>
      <c r="AL222" t="s">
        <v>28966</v>
      </c>
      <c r="AM222" t="s">
        <v>28966</v>
      </c>
      <c r="AN222" t="s">
        <v>28966</v>
      </c>
      <c r="AO222" t="s">
        <v>28966</v>
      </c>
      <c r="AP222" t="s">
        <v>28966</v>
      </c>
      <c r="AQ222" t="s">
        <v>28966</v>
      </c>
      <c r="AR222" t="s">
        <v>28966</v>
      </c>
      <c r="AS222">
        <v>9500</v>
      </c>
      <c r="AT222">
        <v>9000</v>
      </c>
      <c r="AU222">
        <v>22000</v>
      </c>
      <c r="AV222">
        <v>22000</v>
      </c>
      <c r="AW222">
        <v>22300</v>
      </c>
      <c r="AX222">
        <v>22300</v>
      </c>
      <c r="AY222">
        <v>22300</v>
      </c>
      <c r="AZ222">
        <v>22300</v>
      </c>
      <c r="BA222">
        <v>22300</v>
      </c>
      <c r="BB222">
        <v>22300</v>
      </c>
      <c r="BC222">
        <v>22300</v>
      </c>
      <c r="BD222">
        <v>23000</v>
      </c>
      <c r="BE222">
        <v>24600</v>
      </c>
      <c r="BF222">
        <v>24500</v>
      </c>
      <c r="BG222">
        <v>33500</v>
      </c>
      <c r="BH222">
        <v>35054</v>
      </c>
      <c r="BI222">
        <v>35054</v>
      </c>
      <c r="BJ222">
        <v>34496</v>
      </c>
      <c r="BK222">
        <v>35680</v>
      </c>
      <c r="BL222">
        <v>40076</v>
      </c>
      <c r="BM222">
        <v>43282</v>
      </c>
      <c r="BN222">
        <v>47585</v>
      </c>
      <c r="BO222">
        <v>50440</v>
      </c>
      <c r="BP222">
        <v>51921</v>
      </c>
      <c r="BQ222">
        <v>50716</v>
      </c>
      <c r="BR222" t="s">
        <v>28966</v>
      </c>
      <c r="BS222" t="s">
        <v>28966</v>
      </c>
      <c r="BT222" t="s">
        <v>28966</v>
      </c>
      <c r="BU222" t="s">
        <v>28966</v>
      </c>
      <c r="BV222" t="s">
        <v>28966</v>
      </c>
      <c r="BW222" t="s">
        <v>28966</v>
      </c>
      <c r="BX222" t="s">
        <v>28966</v>
      </c>
      <c r="BY222" t="s">
        <v>28966</v>
      </c>
      <c r="BZ222">
        <v>36660</v>
      </c>
      <c r="CA222">
        <v>41933</v>
      </c>
    </row>
    <row r="223" spans="2:79" x14ac:dyDescent="0.3">
      <c r="B223" s="9">
        <v>221</v>
      </c>
      <c r="C223" s="49">
        <v>11019</v>
      </c>
      <c r="D223" s="9">
        <f>YEAR(Tabla1[[#This Row],[Date]])</f>
        <v>1930</v>
      </c>
      <c r="E223" s="9" t="str" cm="1">
        <f t="array" ref="E223">IFERROR(_xlfn.IFS(AND(D223&lt;1980,D223&gt;=1970),"70",AND(D223&lt;1990,D223&gt;=1980),"80",AND(D223&lt;2000,D223&gt;=1990),"90",AND(D223&lt;2010,D223&gt;=2000),"00",AND(D223&lt;=2019,D223&gt;=2010),"10"),"1908-1970")</f>
        <v>1908-1970</v>
      </c>
      <c r="F223" s="3" t="s">
        <v>28931</v>
      </c>
      <c r="G223" t="s">
        <v>5911</v>
      </c>
      <c r="H223" t="s">
        <v>5488</v>
      </c>
      <c r="I223" t="s">
        <v>28931</v>
      </c>
      <c r="J223" t="s">
        <v>5912</v>
      </c>
      <c r="K223" t="s">
        <v>5821</v>
      </c>
      <c r="L223" s="7" t="s">
        <v>5913</v>
      </c>
      <c r="M223">
        <v>41</v>
      </c>
      <c r="N223">
        <v>1</v>
      </c>
      <c r="O223">
        <v>0</v>
      </c>
      <c r="P223">
        <v>1</v>
      </c>
      <c r="Q223">
        <v>1</v>
      </c>
      <c r="R223">
        <v>0</v>
      </c>
      <c r="S223">
        <v>1</v>
      </c>
      <c r="T223">
        <v>0</v>
      </c>
      <c r="U223" t="s">
        <v>5914</v>
      </c>
      <c r="V223">
        <f>Tabla1[[#This Row],[Aboard]]-Tabla1[[#This Row],[Fatalities]]</f>
        <v>0</v>
      </c>
      <c r="W223" s="50">
        <f>IFERROR(Tabla1[[#This Row],[Fatalities]]/Tabla1[[#This Row],[Aboard]],0)</f>
        <v>1</v>
      </c>
      <c r="X223" s="51" t="str" cm="1">
        <f t="array" ref="X223">_xlfn.IFS(Tabla1[[#This Row],[Porcentaje de muertes]]&lt;0.35,"LEVE",AND(Tabla1[[#This Row],[Porcentaje de muertes]]&gt;0.35,Tabla1[[#This Row],[Porcentaje de muertes]]&lt;0.65),"MEDIO",Tabla1[[#This Row],[Porcentaje de muertes]]&gt;0.65,"GRAVE")</f>
        <v>GRAVE</v>
      </c>
      <c r="AB223" t="s">
        <v>28783</v>
      </c>
      <c r="AC223" t="s">
        <v>28784</v>
      </c>
      <c r="AD223" t="s">
        <v>28966</v>
      </c>
      <c r="AE223" t="s">
        <v>28966</v>
      </c>
      <c r="AF223" t="s">
        <v>28966</v>
      </c>
      <c r="AG223" t="s">
        <v>28966</v>
      </c>
      <c r="AH223" t="s">
        <v>28966</v>
      </c>
      <c r="AI223" t="s">
        <v>28966</v>
      </c>
      <c r="AJ223">
        <v>50000</v>
      </c>
      <c r="AK223">
        <v>53000</v>
      </c>
      <c r="AL223">
        <v>120000</v>
      </c>
      <c r="AM223">
        <v>146400</v>
      </c>
      <c r="AN223">
        <v>144000</v>
      </c>
      <c r="AO223">
        <v>144000</v>
      </c>
      <c r="AP223">
        <v>107000</v>
      </c>
      <c r="AQ223">
        <v>106000</v>
      </c>
      <c r="AR223">
        <v>117000</v>
      </c>
      <c r="AS223">
        <v>108000</v>
      </c>
      <c r="AT223">
        <v>89200</v>
      </c>
      <c r="AU223">
        <v>110400</v>
      </c>
      <c r="AV223">
        <v>135000</v>
      </c>
      <c r="AW223">
        <v>132500</v>
      </c>
      <c r="AX223">
        <v>132500</v>
      </c>
      <c r="AY223">
        <v>150000</v>
      </c>
      <c r="AZ223">
        <v>123000</v>
      </c>
      <c r="BA223">
        <v>96000</v>
      </c>
      <c r="BB223">
        <v>148900</v>
      </c>
      <c r="BC223">
        <v>161800</v>
      </c>
      <c r="BD223">
        <v>194700</v>
      </c>
      <c r="BE223">
        <v>278800</v>
      </c>
      <c r="BF223">
        <v>277700</v>
      </c>
      <c r="BG223">
        <v>307500</v>
      </c>
      <c r="BH223">
        <v>232649</v>
      </c>
      <c r="BI223">
        <v>202899</v>
      </c>
      <c r="BJ223">
        <v>191094</v>
      </c>
      <c r="BK223">
        <v>258311</v>
      </c>
      <c r="BL223">
        <v>289309</v>
      </c>
      <c r="BM223">
        <v>315410</v>
      </c>
      <c r="BN223">
        <v>306504</v>
      </c>
      <c r="BO223">
        <v>324821</v>
      </c>
      <c r="BP223">
        <v>329788</v>
      </c>
      <c r="BQ223">
        <v>303117</v>
      </c>
      <c r="BR223">
        <v>214667</v>
      </c>
      <c r="BS223">
        <v>204096.67600000001</v>
      </c>
      <c r="BT223">
        <v>240525.44149999999</v>
      </c>
      <c r="BU223">
        <v>255204</v>
      </c>
      <c r="BV223">
        <v>269148</v>
      </c>
      <c r="BW223">
        <v>259682</v>
      </c>
      <c r="BX223">
        <v>280090</v>
      </c>
      <c r="BY223">
        <v>284935</v>
      </c>
      <c r="BZ223">
        <v>272347</v>
      </c>
      <c r="CA223">
        <v>236601</v>
      </c>
    </row>
    <row r="224" spans="2:79" x14ac:dyDescent="0.3">
      <c r="B224" s="9">
        <v>222</v>
      </c>
      <c r="C224" s="49">
        <v>11233</v>
      </c>
      <c r="D224" s="9">
        <f>YEAR(Tabla1[[#This Row],[Date]])</f>
        <v>1930</v>
      </c>
      <c r="E224" s="9" t="str" cm="1">
        <f t="array" ref="E224">IFERROR(_xlfn.IFS(AND(D224&lt;1980,D224&gt;=1970),"70",AND(D224&lt;1990,D224&gt;=1980),"80",AND(D224&lt;2000,D224&gt;=1990),"90",AND(D224&lt;2010,D224&gt;=2000),"00",AND(D224&lt;=2019,D224&gt;=2010),"10"),"1908-1970")</f>
        <v>1908-1970</v>
      </c>
      <c r="F224" s="3" t="s">
        <v>28931</v>
      </c>
      <c r="G224" t="s">
        <v>5915</v>
      </c>
      <c r="H224" t="s">
        <v>5298</v>
      </c>
      <c r="I224" t="s">
        <v>28931</v>
      </c>
      <c r="J224" t="s">
        <v>5562</v>
      </c>
      <c r="K224" t="s">
        <v>5916</v>
      </c>
      <c r="L224" s="7" t="s">
        <v>5917</v>
      </c>
      <c r="M224" t="s">
        <v>5918</v>
      </c>
      <c r="N224">
        <v>6</v>
      </c>
      <c r="O224">
        <v>3</v>
      </c>
      <c r="P224">
        <v>3</v>
      </c>
      <c r="Q224">
        <v>2</v>
      </c>
      <c r="R224">
        <v>2</v>
      </c>
      <c r="S224">
        <v>0</v>
      </c>
      <c r="T224">
        <v>0</v>
      </c>
      <c r="U224" t="s">
        <v>5919</v>
      </c>
      <c r="V224">
        <f>Tabla1[[#This Row],[Aboard]]-Tabla1[[#This Row],[Fatalities]]</f>
        <v>4</v>
      </c>
      <c r="W224" s="50">
        <f>IFERROR(Tabla1[[#This Row],[Fatalities]]/Tabla1[[#This Row],[Aboard]],0)</f>
        <v>0.33333333333333331</v>
      </c>
      <c r="X224" s="51" t="str" cm="1">
        <f t="array" ref="X224">_xlfn.IFS(Tabla1[[#This Row],[Porcentaje de muertes]]&lt;0.35,"LEVE",AND(Tabla1[[#This Row],[Porcentaje de muertes]]&gt;0.35,Tabla1[[#This Row],[Porcentaje de muertes]]&lt;0.65),"MEDIO",Tabla1[[#This Row],[Porcentaje de muertes]]&gt;0.65,"GRAVE")</f>
        <v>LEVE</v>
      </c>
      <c r="AB224" t="s">
        <v>28785</v>
      </c>
      <c r="AC224" t="s">
        <v>28786</v>
      </c>
      <c r="AD224" t="s">
        <v>28966</v>
      </c>
      <c r="AE224" t="s">
        <v>28966</v>
      </c>
      <c r="AF224" t="s">
        <v>28966</v>
      </c>
      <c r="AG224" t="s">
        <v>28966</v>
      </c>
      <c r="AH224" t="s">
        <v>28966</v>
      </c>
      <c r="AI224" t="s">
        <v>28966</v>
      </c>
      <c r="AJ224" t="s">
        <v>28966</v>
      </c>
      <c r="AK224" t="s">
        <v>28966</v>
      </c>
      <c r="AL224" t="s">
        <v>28966</v>
      </c>
      <c r="AM224" t="s">
        <v>28966</v>
      </c>
      <c r="AN224" t="s">
        <v>28966</v>
      </c>
      <c r="AO224" t="s">
        <v>28966</v>
      </c>
      <c r="AP224" t="s">
        <v>28966</v>
      </c>
      <c r="AQ224" t="s">
        <v>28966</v>
      </c>
      <c r="AR224" t="s">
        <v>28966</v>
      </c>
      <c r="AS224" t="s">
        <v>28966</v>
      </c>
      <c r="AT224" t="s">
        <v>28966</v>
      </c>
      <c r="AU224" t="s">
        <v>28966</v>
      </c>
      <c r="AV224" t="s">
        <v>28966</v>
      </c>
      <c r="AW224" t="s">
        <v>28966</v>
      </c>
      <c r="AX224" t="s">
        <v>28966</v>
      </c>
      <c r="AY224" t="s">
        <v>28966</v>
      </c>
      <c r="AZ224" t="s">
        <v>28966</v>
      </c>
      <c r="BA224">
        <v>18300</v>
      </c>
      <c r="BB224">
        <v>22500</v>
      </c>
      <c r="BC224">
        <v>41100</v>
      </c>
      <c r="BD224">
        <v>62600</v>
      </c>
      <c r="BE224">
        <v>80700</v>
      </c>
      <c r="BF224">
        <v>107300</v>
      </c>
      <c r="BG224">
        <v>110600</v>
      </c>
      <c r="BH224">
        <v>57095</v>
      </c>
      <c r="BI224">
        <v>43113</v>
      </c>
      <c r="BJ224">
        <v>82821</v>
      </c>
      <c r="BK224">
        <v>190182</v>
      </c>
      <c r="BL224">
        <v>636276</v>
      </c>
      <c r="BM224">
        <v>711939</v>
      </c>
      <c r="BN224">
        <v>779759</v>
      </c>
      <c r="BO224">
        <v>2679227</v>
      </c>
      <c r="BP224">
        <v>2690428</v>
      </c>
      <c r="BQ224">
        <v>3440816</v>
      </c>
      <c r="BR224">
        <v>74856</v>
      </c>
      <c r="BS224">
        <v>34859</v>
      </c>
      <c r="BT224">
        <v>45111</v>
      </c>
      <c r="BU224">
        <v>64008</v>
      </c>
      <c r="BV224">
        <v>29031.598300000001</v>
      </c>
      <c r="BW224">
        <v>11098</v>
      </c>
      <c r="BX224">
        <v>12928</v>
      </c>
      <c r="BY224">
        <v>7925</v>
      </c>
      <c r="BZ224" t="s">
        <v>28966</v>
      </c>
      <c r="CA224" t="s">
        <v>28966</v>
      </c>
    </row>
    <row r="225" spans="2:79" x14ac:dyDescent="0.3">
      <c r="B225" s="9">
        <v>223</v>
      </c>
      <c r="C225" s="49">
        <v>11066</v>
      </c>
      <c r="D225" s="9">
        <f>YEAR(Tabla1[[#This Row],[Date]])</f>
        <v>1930</v>
      </c>
      <c r="E225" s="9" t="str" cm="1">
        <f t="array" ref="E225">IFERROR(_xlfn.IFS(AND(D225&lt;1980,D225&gt;=1970),"70",AND(D225&lt;1990,D225&gt;=1980),"80",AND(D225&lt;2000,D225&gt;=1990),"90",AND(D225&lt;2010,D225&gt;=2000),"00",AND(D225&lt;=2019,D225&gt;=2010),"10"),"1908-1970")</f>
        <v>1908-1970</v>
      </c>
      <c r="F225" s="3">
        <v>0.70833333333333337</v>
      </c>
      <c r="G225" t="s">
        <v>5920</v>
      </c>
      <c r="H225" t="s">
        <v>5921</v>
      </c>
      <c r="I225" t="s">
        <v>28931</v>
      </c>
      <c r="J225" t="s">
        <v>5922</v>
      </c>
      <c r="K225" t="s">
        <v>5830</v>
      </c>
      <c r="L225" s="7" t="s">
        <v>5923</v>
      </c>
      <c r="M225">
        <v>634</v>
      </c>
      <c r="N225">
        <v>4</v>
      </c>
      <c r="O225">
        <v>3</v>
      </c>
      <c r="P225">
        <v>1</v>
      </c>
      <c r="Q225">
        <v>4</v>
      </c>
      <c r="R225">
        <v>3</v>
      </c>
      <c r="S225">
        <v>1</v>
      </c>
      <c r="T225">
        <v>0</v>
      </c>
      <c r="U225" t="s">
        <v>5924</v>
      </c>
      <c r="V225">
        <f>Tabla1[[#This Row],[Aboard]]-Tabla1[[#This Row],[Fatalities]]</f>
        <v>0</v>
      </c>
      <c r="W225" s="50">
        <f>IFERROR(Tabla1[[#This Row],[Fatalities]]/Tabla1[[#This Row],[Aboard]],0)</f>
        <v>1</v>
      </c>
      <c r="X225" s="51" t="str" cm="1">
        <f t="array" ref="X225">_xlfn.IFS(Tabla1[[#This Row],[Porcentaje de muertes]]&lt;0.35,"LEVE",AND(Tabla1[[#This Row],[Porcentaje de muertes]]&gt;0.35,Tabla1[[#This Row],[Porcentaje de muertes]]&lt;0.65),"MEDIO",Tabla1[[#This Row],[Porcentaje de muertes]]&gt;0.65,"GRAVE")</f>
        <v>GRAVE</v>
      </c>
      <c r="AB225" t="s">
        <v>28787</v>
      </c>
      <c r="AC225" t="s">
        <v>28788</v>
      </c>
      <c r="AD225" t="s">
        <v>28966</v>
      </c>
      <c r="AE225" t="s">
        <v>28966</v>
      </c>
      <c r="AF225" t="s">
        <v>28966</v>
      </c>
      <c r="AG225" t="s">
        <v>28966</v>
      </c>
      <c r="AH225" t="s">
        <v>28966</v>
      </c>
      <c r="AI225" t="s">
        <v>28966</v>
      </c>
      <c r="AJ225" t="s">
        <v>28966</v>
      </c>
      <c r="AK225" t="s">
        <v>28966</v>
      </c>
      <c r="AL225" t="s">
        <v>28966</v>
      </c>
      <c r="AM225" t="s">
        <v>28966</v>
      </c>
      <c r="AN225" t="s">
        <v>28966</v>
      </c>
      <c r="AO225" t="s">
        <v>28966</v>
      </c>
      <c r="AP225" t="s">
        <v>28966</v>
      </c>
      <c r="AQ225" t="s">
        <v>28966</v>
      </c>
      <c r="AR225" t="s">
        <v>28966</v>
      </c>
      <c r="AS225" t="s">
        <v>28966</v>
      </c>
      <c r="AT225" t="s">
        <v>28966</v>
      </c>
      <c r="AU225" t="s">
        <v>28966</v>
      </c>
      <c r="AV225" t="s">
        <v>28966</v>
      </c>
      <c r="AW225" t="s">
        <v>28966</v>
      </c>
      <c r="AX225" t="s">
        <v>28966</v>
      </c>
      <c r="AY225" t="s">
        <v>28966</v>
      </c>
      <c r="AZ225">
        <v>188400</v>
      </c>
      <c r="BA225">
        <v>291200</v>
      </c>
      <c r="BB225">
        <v>339600</v>
      </c>
      <c r="BC225">
        <v>370700</v>
      </c>
      <c r="BD225">
        <v>393000</v>
      </c>
      <c r="BE225">
        <v>403800</v>
      </c>
      <c r="BF225">
        <v>459900</v>
      </c>
      <c r="BG225">
        <v>555500</v>
      </c>
      <c r="BH225">
        <v>627907</v>
      </c>
      <c r="BI225">
        <v>689635</v>
      </c>
      <c r="BJ225">
        <v>720513</v>
      </c>
      <c r="BK225">
        <v>758392</v>
      </c>
      <c r="BL225">
        <v>764991</v>
      </c>
      <c r="BM225">
        <v>757651</v>
      </c>
      <c r="BN225">
        <v>860735</v>
      </c>
      <c r="BO225">
        <v>945420</v>
      </c>
      <c r="BP225">
        <v>1103685</v>
      </c>
      <c r="BQ225">
        <v>953378</v>
      </c>
      <c r="BR225">
        <v>979803</v>
      </c>
      <c r="BS225">
        <v>972711</v>
      </c>
      <c r="BT225">
        <v>816630</v>
      </c>
      <c r="BU225">
        <v>857000</v>
      </c>
      <c r="BV225">
        <v>916981</v>
      </c>
      <c r="BW225">
        <v>1045409</v>
      </c>
      <c r="BX225">
        <v>1009559</v>
      </c>
      <c r="BY225">
        <v>1087075</v>
      </c>
      <c r="BZ225">
        <v>1094762</v>
      </c>
      <c r="CA225">
        <v>869640.1</v>
      </c>
    </row>
    <row r="226" spans="2:79" x14ac:dyDescent="0.3">
      <c r="B226" s="9">
        <v>224</v>
      </c>
      <c r="C226" s="49">
        <v>11236</v>
      </c>
      <c r="D226" s="9">
        <f>YEAR(Tabla1[[#This Row],[Date]])</f>
        <v>1930</v>
      </c>
      <c r="E226" s="9" t="str" cm="1">
        <f t="array" ref="E226">IFERROR(_xlfn.IFS(AND(D226&lt;1980,D226&gt;=1970),"70",AND(D226&lt;1990,D226&gt;=1980),"80",AND(D226&lt;2000,D226&gt;=1990),"90",AND(D226&lt;2010,D226&gt;=2000),"00",AND(D226&lt;=2019,D226&gt;=2010),"10"),"1908-1970")</f>
        <v>1908-1970</v>
      </c>
      <c r="F226" s="3" t="s">
        <v>28931</v>
      </c>
      <c r="G226" t="s">
        <v>5925</v>
      </c>
      <c r="H226" t="s">
        <v>5182</v>
      </c>
      <c r="I226" t="s">
        <v>28931</v>
      </c>
      <c r="J226" t="s">
        <v>5543</v>
      </c>
      <c r="K226" t="s">
        <v>5926</v>
      </c>
      <c r="L226" s="7" t="s">
        <v>5927</v>
      </c>
      <c r="M226">
        <v>918</v>
      </c>
      <c r="N226">
        <v>4</v>
      </c>
      <c r="O226">
        <v>2</v>
      </c>
      <c r="P226">
        <v>2</v>
      </c>
      <c r="Q226">
        <v>3</v>
      </c>
      <c r="R226">
        <v>1</v>
      </c>
      <c r="S226">
        <v>2</v>
      </c>
      <c r="T226">
        <v>0</v>
      </c>
      <c r="U226" t="s">
        <v>5928</v>
      </c>
      <c r="V226">
        <f>Tabla1[[#This Row],[Aboard]]-Tabla1[[#This Row],[Fatalities]]</f>
        <v>1</v>
      </c>
      <c r="W226" s="50">
        <f>IFERROR(Tabla1[[#This Row],[Fatalities]]/Tabla1[[#This Row],[Aboard]],0)</f>
        <v>0.75</v>
      </c>
      <c r="X226" s="51" t="str" cm="1">
        <f t="array" ref="X226">_xlfn.IFS(Tabla1[[#This Row],[Porcentaje de muertes]]&lt;0.35,"LEVE",AND(Tabla1[[#This Row],[Porcentaje de muertes]]&gt;0.35,Tabla1[[#This Row],[Porcentaje de muertes]]&lt;0.65),"MEDIO",Tabla1[[#This Row],[Porcentaje de muertes]]&gt;0.65,"GRAVE")</f>
        <v>GRAVE</v>
      </c>
      <c r="AB226" t="s">
        <v>28789</v>
      </c>
      <c r="AC226" t="s">
        <v>28790</v>
      </c>
      <c r="AD226">
        <v>2550000</v>
      </c>
      <c r="AE226">
        <v>2913800</v>
      </c>
      <c r="AF226">
        <v>3014000</v>
      </c>
      <c r="AG226">
        <v>3225900</v>
      </c>
      <c r="AH226">
        <v>3350300</v>
      </c>
      <c r="AI226">
        <v>3464700</v>
      </c>
      <c r="AJ226">
        <v>3908900</v>
      </c>
      <c r="AK226">
        <v>3851800</v>
      </c>
      <c r="AL226">
        <v>4360900</v>
      </c>
      <c r="AM226">
        <v>5193400</v>
      </c>
      <c r="AN226">
        <v>5209400</v>
      </c>
      <c r="AO226">
        <v>5632000</v>
      </c>
      <c r="AP226">
        <v>6091100</v>
      </c>
      <c r="AQ226">
        <v>6590800</v>
      </c>
      <c r="AR226">
        <v>7335200</v>
      </c>
      <c r="AS226">
        <v>7609600</v>
      </c>
      <c r="AT226">
        <v>8713900</v>
      </c>
      <c r="AU226">
        <v>9428800</v>
      </c>
      <c r="AV226">
        <v>10211900</v>
      </c>
      <c r="AW226">
        <v>10855000</v>
      </c>
      <c r="AX226">
        <v>11402500</v>
      </c>
      <c r="AY226">
        <v>9826800</v>
      </c>
      <c r="AZ226">
        <v>9923500</v>
      </c>
      <c r="BA226">
        <v>9719000</v>
      </c>
      <c r="BB226">
        <v>10807700</v>
      </c>
      <c r="BC226">
        <v>9498000</v>
      </c>
      <c r="BD226">
        <v>9879000</v>
      </c>
      <c r="BE226">
        <v>11326900</v>
      </c>
      <c r="BF226">
        <v>11877700</v>
      </c>
      <c r="BG226">
        <v>12917600</v>
      </c>
      <c r="BH226">
        <v>13354314</v>
      </c>
      <c r="BI226">
        <v>13123426</v>
      </c>
      <c r="BJ226">
        <v>12421220</v>
      </c>
      <c r="BK226">
        <v>11586025</v>
      </c>
      <c r="BL226">
        <v>11623925</v>
      </c>
      <c r="BM226" t="s">
        <v>28966</v>
      </c>
      <c r="BN226" t="s">
        <v>28966</v>
      </c>
      <c r="BO226" t="s">
        <v>28966</v>
      </c>
      <c r="BP226" t="s">
        <v>28966</v>
      </c>
      <c r="BQ226" t="s">
        <v>28966</v>
      </c>
      <c r="BR226" t="s">
        <v>28966</v>
      </c>
      <c r="BS226" t="s">
        <v>28966</v>
      </c>
      <c r="BT226" t="s">
        <v>28966</v>
      </c>
      <c r="BU226" t="s">
        <v>28966</v>
      </c>
      <c r="BV226" t="s">
        <v>28966</v>
      </c>
      <c r="BW226" t="s">
        <v>28966</v>
      </c>
      <c r="BX226" t="s">
        <v>28966</v>
      </c>
      <c r="BY226" t="s">
        <v>28966</v>
      </c>
      <c r="BZ226" t="s">
        <v>28966</v>
      </c>
      <c r="CA226" t="s">
        <v>28966</v>
      </c>
    </row>
    <row r="227" spans="2:79" x14ac:dyDescent="0.3">
      <c r="B227" s="9">
        <v>225</v>
      </c>
      <c r="C227" s="49">
        <v>11084</v>
      </c>
      <c r="D227" s="9">
        <f>YEAR(Tabla1[[#This Row],[Date]])</f>
        <v>1930</v>
      </c>
      <c r="E227" s="9" t="str" cm="1">
        <f t="array" ref="E227">IFERROR(_xlfn.IFS(AND(D227&lt;1980,D227&gt;=1970),"70",AND(D227&lt;1990,D227&gt;=1980),"80",AND(D227&lt;2000,D227&gt;=1990),"90",AND(D227&lt;2010,D227&gt;=2000),"00",AND(D227&lt;=2019,D227&gt;=2010),"10"),"1908-1970")</f>
        <v>1908-1970</v>
      </c>
      <c r="F227" s="3" t="s">
        <v>28931</v>
      </c>
      <c r="G227" t="s">
        <v>5929</v>
      </c>
      <c r="H227" t="s">
        <v>5488</v>
      </c>
      <c r="I227" t="s">
        <v>28931</v>
      </c>
      <c r="J227" t="s">
        <v>5930</v>
      </c>
      <c r="K227" t="s">
        <v>5931</v>
      </c>
      <c r="L227" s="7" t="s">
        <v>5932</v>
      </c>
      <c r="M227" t="s">
        <v>5933</v>
      </c>
      <c r="N227">
        <v>15</v>
      </c>
      <c r="O227">
        <v>13</v>
      </c>
      <c r="P227">
        <v>2</v>
      </c>
      <c r="Q227">
        <v>1</v>
      </c>
      <c r="R227">
        <v>1</v>
      </c>
      <c r="S227">
        <v>0</v>
      </c>
      <c r="T227">
        <v>0</v>
      </c>
      <c r="U227" t="s">
        <v>5934</v>
      </c>
      <c r="V227">
        <f>Tabla1[[#This Row],[Aboard]]-Tabla1[[#This Row],[Fatalities]]</f>
        <v>14</v>
      </c>
      <c r="W227" s="50">
        <f>IFERROR(Tabla1[[#This Row],[Fatalities]]/Tabla1[[#This Row],[Aboard]],0)</f>
        <v>6.6666666666666666E-2</v>
      </c>
      <c r="X227" s="51" t="str" cm="1">
        <f t="array" ref="X227">_xlfn.IFS(Tabla1[[#This Row],[Porcentaje de muertes]]&lt;0.35,"LEVE",AND(Tabla1[[#This Row],[Porcentaje de muertes]]&gt;0.35,Tabla1[[#This Row],[Porcentaje de muertes]]&lt;0.65),"MEDIO",Tabla1[[#This Row],[Porcentaje de muertes]]&gt;0.65,"GRAVE")</f>
        <v>LEVE</v>
      </c>
      <c r="AB227" t="s">
        <v>28791</v>
      </c>
      <c r="AC227" t="s">
        <v>28792</v>
      </c>
      <c r="AD227" t="s">
        <v>28966</v>
      </c>
      <c r="AE227" t="s">
        <v>28966</v>
      </c>
      <c r="AF227" t="s">
        <v>28966</v>
      </c>
      <c r="AG227">
        <v>14000</v>
      </c>
      <c r="AH227">
        <v>14000</v>
      </c>
      <c r="AI227">
        <v>14000</v>
      </c>
      <c r="AJ227">
        <v>14000</v>
      </c>
      <c r="AK227">
        <v>15000</v>
      </c>
      <c r="AL227">
        <v>15500</v>
      </c>
      <c r="AM227">
        <v>30000</v>
      </c>
      <c r="AN227">
        <v>31000</v>
      </c>
      <c r="AO227">
        <v>28800</v>
      </c>
      <c r="AP227">
        <v>24400</v>
      </c>
      <c r="AQ227">
        <v>29000</v>
      </c>
      <c r="AR227">
        <v>34300</v>
      </c>
      <c r="AS227">
        <v>39400</v>
      </c>
      <c r="AT227">
        <v>45000</v>
      </c>
      <c r="AU227">
        <v>45700</v>
      </c>
      <c r="AV227">
        <v>47000</v>
      </c>
      <c r="AW227">
        <v>50700</v>
      </c>
      <c r="AX227">
        <v>52900</v>
      </c>
      <c r="AY227">
        <v>59300</v>
      </c>
      <c r="AZ227">
        <v>57200</v>
      </c>
      <c r="BA227">
        <v>58400</v>
      </c>
      <c r="BB227">
        <v>64800</v>
      </c>
      <c r="BC227">
        <v>49300</v>
      </c>
      <c r="BD227">
        <v>54300</v>
      </c>
      <c r="BE227">
        <v>40700</v>
      </c>
      <c r="BF227">
        <v>40500</v>
      </c>
      <c r="BG227">
        <v>83000</v>
      </c>
      <c r="BH227">
        <v>89791</v>
      </c>
      <c r="BI227" t="s">
        <v>28966</v>
      </c>
      <c r="BJ227" t="s">
        <v>28966</v>
      </c>
      <c r="BK227" t="s">
        <v>28966</v>
      </c>
      <c r="BL227" t="s">
        <v>28966</v>
      </c>
      <c r="BM227" t="s">
        <v>28966</v>
      </c>
      <c r="BN227" t="s">
        <v>28966</v>
      </c>
      <c r="BO227" t="s">
        <v>28966</v>
      </c>
      <c r="BP227" t="s">
        <v>28966</v>
      </c>
      <c r="BQ227" t="s">
        <v>28966</v>
      </c>
      <c r="BR227" t="s">
        <v>28966</v>
      </c>
      <c r="BS227" t="s">
        <v>28966</v>
      </c>
      <c r="BT227" t="s">
        <v>28966</v>
      </c>
      <c r="BU227" t="s">
        <v>28966</v>
      </c>
      <c r="BV227" t="s">
        <v>28966</v>
      </c>
      <c r="BW227" t="s">
        <v>28966</v>
      </c>
      <c r="BX227" t="s">
        <v>28966</v>
      </c>
      <c r="BY227" t="s">
        <v>28966</v>
      </c>
      <c r="BZ227">
        <v>51633</v>
      </c>
      <c r="CA227">
        <v>52744</v>
      </c>
    </row>
    <row r="228" spans="2:79" x14ac:dyDescent="0.3">
      <c r="B228" s="9">
        <v>226</v>
      </c>
      <c r="C228" s="49">
        <v>11146</v>
      </c>
      <c r="D228" s="9">
        <f>YEAR(Tabla1[[#This Row],[Date]])</f>
        <v>1930</v>
      </c>
      <c r="E228" s="9" t="str" cm="1">
        <f t="array" ref="E228">IFERROR(_xlfn.IFS(AND(D228&lt;1980,D228&gt;=1970),"70",AND(D228&lt;1990,D228&gt;=1980),"80",AND(D228&lt;2000,D228&gt;=1990),"90",AND(D228&lt;2010,D228&gt;=2000),"00",AND(D228&lt;=2019,D228&gt;=2010),"10"),"1908-1970")</f>
        <v>1908-1970</v>
      </c>
      <c r="F228" s="3" t="s">
        <v>28931</v>
      </c>
      <c r="G228" t="s">
        <v>5935</v>
      </c>
      <c r="H228" t="s">
        <v>5417</v>
      </c>
      <c r="I228" t="s">
        <v>28931</v>
      </c>
      <c r="J228" t="s">
        <v>5936</v>
      </c>
      <c r="K228" t="s">
        <v>5674</v>
      </c>
      <c r="L228" s="7" t="s">
        <v>5937</v>
      </c>
      <c r="M228">
        <v>44</v>
      </c>
      <c r="N228">
        <v>8</v>
      </c>
      <c r="O228">
        <v>5</v>
      </c>
      <c r="P228">
        <v>3</v>
      </c>
      <c r="Q228">
        <v>5</v>
      </c>
      <c r="R228">
        <v>4</v>
      </c>
      <c r="S228">
        <v>1</v>
      </c>
      <c r="T228">
        <v>0</v>
      </c>
      <c r="U228" t="s">
        <v>5938</v>
      </c>
      <c r="V228">
        <f>Tabla1[[#This Row],[Aboard]]-Tabla1[[#This Row],[Fatalities]]</f>
        <v>3</v>
      </c>
      <c r="W228" s="50">
        <f>IFERROR(Tabla1[[#This Row],[Fatalities]]/Tabla1[[#This Row],[Aboard]],0)</f>
        <v>0.625</v>
      </c>
      <c r="X228" s="51" t="str" cm="1">
        <f t="array" ref="X228">_xlfn.IFS(Tabla1[[#This Row],[Porcentaje de muertes]]&lt;0.35,"LEVE",AND(Tabla1[[#This Row],[Porcentaje de muertes]]&gt;0.35,Tabla1[[#This Row],[Porcentaje de muertes]]&lt;0.65),"MEDIO",Tabla1[[#This Row],[Porcentaje de muertes]]&gt;0.65,"GRAVE")</f>
        <v>MEDIO</v>
      </c>
      <c r="AB228" t="s">
        <v>28793</v>
      </c>
      <c r="AC228" t="s">
        <v>28794</v>
      </c>
      <c r="AD228" t="s">
        <v>28966</v>
      </c>
      <c r="AE228" t="s">
        <v>28966</v>
      </c>
      <c r="AF228" t="s">
        <v>28966</v>
      </c>
      <c r="AG228" t="s">
        <v>28966</v>
      </c>
      <c r="AH228" t="s">
        <v>28966</v>
      </c>
      <c r="AI228" t="s">
        <v>28966</v>
      </c>
      <c r="AJ228" t="s">
        <v>28966</v>
      </c>
      <c r="AK228" t="s">
        <v>28966</v>
      </c>
      <c r="AL228" t="s">
        <v>28966</v>
      </c>
      <c r="AM228" t="s">
        <v>28966</v>
      </c>
      <c r="AN228" t="s">
        <v>28966</v>
      </c>
      <c r="AO228" t="s">
        <v>28966</v>
      </c>
      <c r="AP228" t="s">
        <v>28966</v>
      </c>
      <c r="AQ228" t="s">
        <v>28966</v>
      </c>
      <c r="AR228" t="s">
        <v>28966</v>
      </c>
      <c r="AS228" t="s">
        <v>28966</v>
      </c>
      <c r="AT228" t="s">
        <v>28966</v>
      </c>
      <c r="AU228" t="s">
        <v>28966</v>
      </c>
      <c r="AV228" t="s">
        <v>28966</v>
      </c>
      <c r="AW228" t="s">
        <v>28966</v>
      </c>
      <c r="AX228" t="s">
        <v>28966</v>
      </c>
      <c r="AY228" t="s">
        <v>28966</v>
      </c>
      <c r="AZ228" t="s">
        <v>28966</v>
      </c>
      <c r="BA228" t="s">
        <v>28966</v>
      </c>
      <c r="BB228" t="s">
        <v>28966</v>
      </c>
      <c r="BC228" t="s">
        <v>28966</v>
      </c>
      <c r="BD228" t="s">
        <v>28966</v>
      </c>
      <c r="BE228" t="s">
        <v>28966</v>
      </c>
      <c r="BF228" t="s">
        <v>28966</v>
      </c>
      <c r="BG228" t="s">
        <v>28966</v>
      </c>
      <c r="BH228" t="s">
        <v>28966</v>
      </c>
      <c r="BI228" t="s">
        <v>28966</v>
      </c>
      <c r="BJ228" t="s">
        <v>28966</v>
      </c>
      <c r="BK228" t="s">
        <v>28966</v>
      </c>
      <c r="BL228" t="s">
        <v>28966</v>
      </c>
      <c r="BM228" t="s">
        <v>28966</v>
      </c>
      <c r="BN228" t="s">
        <v>28966</v>
      </c>
      <c r="BO228" t="s">
        <v>28966</v>
      </c>
      <c r="BP228" t="s">
        <v>28966</v>
      </c>
      <c r="BQ228" t="s">
        <v>28966</v>
      </c>
      <c r="BR228" t="s">
        <v>28966</v>
      </c>
      <c r="BS228" t="s">
        <v>28966</v>
      </c>
      <c r="BT228" t="s">
        <v>28966</v>
      </c>
      <c r="BU228" t="s">
        <v>28966</v>
      </c>
      <c r="BV228" t="s">
        <v>28966</v>
      </c>
      <c r="BW228" t="s">
        <v>28966</v>
      </c>
      <c r="BX228" t="s">
        <v>28966</v>
      </c>
      <c r="BY228" t="s">
        <v>28966</v>
      </c>
      <c r="BZ228" t="s">
        <v>28966</v>
      </c>
      <c r="CA228" t="s">
        <v>28966</v>
      </c>
    </row>
    <row r="229" spans="2:79" x14ac:dyDescent="0.3">
      <c r="B229" s="9">
        <v>227</v>
      </c>
      <c r="C229" s="49">
        <v>11238</v>
      </c>
      <c r="D229" s="9">
        <f>YEAR(Tabla1[[#This Row],[Date]])</f>
        <v>1930</v>
      </c>
      <c r="E229" s="9" t="str" cm="1">
        <f t="array" ref="E229">IFERROR(_xlfn.IFS(AND(D229&lt;1980,D229&gt;=1970),"70",AND(D229&lt;1990,D229&gt;=1980),"80",AND(D229&lt;2000,D229&gt;=1990),"90",AND(D229&lt;2010,D229&gt;=2000),"00",AND(D229&lt;=2019,D229&gt;=2010),"10"),"1908-1970")</f>
        <v>1908-1970</v>
      </c>
      <c r="F229" s="3" t="s">
        <v>28931</v>
      </c>
      <c r="G229" t="s">
        <v>5939</v>
      </c>
      <c r="H229" t="s">
        <v>5940</v>
      </c>
      <c r="I229" t="s">
        <v>28931</v>
      </c>
      <c r="J229" t="s">
        <v>5941</v>
      </c>
      <c r="K229" t="s">
        <v>5849</v>
      </c>
      <c r="L229" s="7" t="s">
        <v>5942</v>
      </c>
      <c r="M229">
        <v>87</v>
      </c>
      <c r="N229">
        <v>5</v>
      </c>
      <c r="O229">
        <v>4</v>
      </c>
      <c r="P229">
        <v>1</v>
      </c>
      <c r="Q229">
        <v>5</v>
      </c>
      <c r="R229">
        <v>4</v>
      </c>
      <c r="S229">
        <v>1</v>
      </c>
      <c r="T229">
        <v>0</v>
      </c>
      <c r="U229" t="s">
        <v>5943</v>
      </c>
      <c r="V229">
        <f>Tabla1[[#This Row],[Aboard]]-Tabla1[[#This Row],[Fatalities]]</f>
        <v>0</v>
      </c>
      <c r="W229" s="50">
        <f>IFERROR(Tabla1[[#This Row],[Fatalities]]/Tabla1[[#This Row],[Aboard]],0)</f>
        <v>1</v>
      </c>
      <c r="X229" s="51" t="str" cm="1">
        <f t="array" ref="X229">_xlfn.IFS(Tabla1[[#This Row],[Porcentaje de muertes]]&lt;0.35,"LEVE",AND(Tabla1[[#This Row],[Porcentaje de muertes]]&gt;0.35,Tabla1[[#This Row],[Porcentaje de muertes]]&lt;0.65),"MEDIO",Tabla1[[#This Row],[Porcentaje de muertes]]&gt;0.65,"GRAVE")</f>
        <v>GRAVE</v>
      </c>
      <c r="AB229" t="s">
        <v>28795</v>
      </c>
      <c r="AC229" t="s">
        <v>28796</v>
      </c>
      <c r="AD229" t="s">
        <v>28966</v>
      </c>
      <c r="AE229" t="s">
        <v>28966</v>
      </c>
      <c r="AF229" t="s">
        <v>28966</v>
      </c>
      <c r="AG229" t="s">
        <v>28966</v>
      </c>
      <c r="AH229" t="s">
        <v>28966</v>
      </c>
      <c r="AI229" t="s">
        <v>28966</v>
      </c>
      <c r="AJ229">
        <v>12000</v>
      </c>
      <c r="AK229">
        <v>12000</v>
      </c>
      <c r="AL229">
        <v>12000</v>
      </c>
      <c r="AM229">
        <v>12000</v>
      </c>
      <c r="AN229">
        <v>15000</v>
      </c>
      <c r="AO229">
        <v>15000</v>
      </c>
      <c r="AP229">
        <v>65100</v>
      </c>
      <c r="AQ229">
        <v>65100</v>
      </c>
      <c r="AR229">
        <v>113000</v>
      </c>
      <c r="AS229">
        <v>185000</v>
      </c>
      <c r="AT229">
        <v>195000</v>
      </c>
      <c r="AU229">
        <v>223000</v>
      </c>
      <c r="AV229">
        <v>227500</v>
      </c>
      <c r="AW229">
        <v>179100</v>
      </c>
      <c r="AX229">
        <v>242400</v>
      </c>
      <c r="AY229">
        <v>242600</v>
      </c>
      <c r="AZ229">
        <v>239500</v>
      </c>
      <c r="BA229">
        <v>289300</v>
      </c>
      <c r="BB229">
        <v>297400</v>
      </c>
      <c r="BC229">
        <v>314000</v>
      </c>
      <c r="BD229">
        <v>373200</v>
      </c>
      <c r="BE229">
        <v>384300</v>
      </c>
      <c r="BF229">
        <v>368600</v>
      </c>
      <c r="BG229">
        <v>347200</v>
      </c>
      <c r="BH229">
        <v>393835</v>
      </c>
      <c r="BI229">
        <v>419967</v>
      </c>
      <c r="BJ229">
        <v>518183</v>
      </c>
      <c r="BK229">
        <v>413096</v>
      </c>
      <c r="BL229">
        <v>461885</v>
      </c>
      <c r="BM229">
        <v>498836</v>
      </c>
      <c r="BN229">
        <v>545265</v>
      </c>
      <c r="BO229">
        <v>574515</v>
      </c>
      <c r="BP229">
        <v>586106</v>
      </c>
      <c r="BQ229">
        <v>564580</v>
      </c>
      <c r="BR229">
        <v>412714</v>
      </c>
      <c r="BS229">
        <v>393834</v>
      </c>
      <c r="BT229">
        <v>235994</v>
      </c>
      <c r="BU229">
        <v>344436</v>
      </c>
      <c r="BV229">
        <v>407280</v>
      </c>
      <c r="BW229">
        <v>497496</v>
      </c>
      <c r="BX229">
        <v>567914</v>
      </c>
      <c r="BY229">
        <v>633518</v>
      </c>
      <c r="BZ229">
        <v>455201</v>
      </c>
      <c r="CA229">
        <v>414088</v>
      </c>
    </row>
    <row r="230" spans="2:79" x14ac:dyDescent="0.3">
      <c r="B230" s="9">
        <v>228</v>
      </c>
      <c r="C230" s="49">
        <v>11160</v>
      </c>
      <c r="D230" s="9">
        <f>YEAR(Tabla1[[#This Row],[Date]])</f>
        <v>1930</v>
      </c>
      <c r="E230" s="9" t="str" cm="1">
        <f t="array" ref="E230">IFERROR(_xlfn.IFS(AND(D230&lt;1980,D230&gt;=1970),"70",AND(D230&lt;1990,D230&gt;=1980),"80",AND(D230&lt;2000,D230&gt;=1990),"90",AND(D230&lt;2010,D230&gt;=2000),"00",AND(D230&lt;=2019,D230&gt;=2010),"10"),"1908-1970")</f>
        <v>1908-1970</v>
      </c>
      <c r="F230" s="3">
        <v>0.625</v>
      </c>
      <c r="G230" t="s">
        <v>5944</v>
      </c>
      <c r="H230" t="s">
        <v>5945</v>
      </c>
      <c r="I230" t="s">
        <v>28931</v>
      </c>
      <c r="J230" t="s">
        <v>5946</v>
      </c>
      <c r="K230" t="s">
        <v>5947</v>
      </c>
      <c r="L230" s="7" t="s">
        <v>5948</v>
      </c>
      <c r="M230" t="s">
        <v>28931</v>
      </c>
      <c r="N230">
        <v>6</v>
      </c>
      <c r="O230">
        <v>4</v>
      </c>
      <c r="P230">
        <v>2</v>
      </c>
      <c r="Q230">
        <v>6</v>
      </c>
      <c r="R230">
        <v>4</v>
      </c>
      <c r="S230">
        <v>2</v>
      </c>
      <c r="T230">
        <v>0</v>
      </c>
      <c r="U230" t="s">
        <v>5949</v>
      </c>
      <c r="V230">
        <f>Tabla1[[#This Row],[Aboard]]-Tabla1[[#This Row],[Fatalities]]</f>
        <v>0</v>
      </c>
      <c r="W230" s="50">
        <f>IFERROR(Tabla1[[#This Row],[Fatalities]]/Tabla1[[#This Row],[Aboard]],0)</f>
        <v>1</v>
      </c>
      <c r="X230" s="51" t="str" cm="1">
        <f t="array" ref="X230">_xlfn.IFS(Tabla1[[#This Row],[Porcentaje de muertes]]&lt;0.35,"LEVE",AND(Tabla1[[#This Row],[Porcentaje de muertes]]&gt;0.35,Tabla1[[#This Row],[Porcentaje de muertes]]&lt;0.65),"MEDIO",Tabla1[[#This Row],[Porcentaje de muertes]]&gt;0.65,"GRAVE")</f>
        <v>GRAVE</v>
      </c>
      <c r="AB230" t="s">
        <v>28797</v>
      </c>
      <c r="AC230" t="s">
        <v>28798</v>
      </c>
      <c r="AD230">
        <v>139000</v>
      </c>
      <c r="AE230">
        <v>145300</v>
      </c>
      <c r="AF230">
        <v>235700</v>
      </c>
      <c r="AG230">
        <v>184700</v>
      </c>
      <c r="AH230">
        <v>284300</v>
      </c>
      <c r="AI230">
        <v>370700</v>
      </c>
      <c r="AJ230">
        <v>448200</v>
      </c>
      <c r="AK230">
        <v>410600</v>
      </c>
      <c r="AL230">
        <v>494700</v>
      </c>
      <c r="AM230">
        <v>433200</v>
      </c>
      <c r="AN230">
        <v>465000</v>
      </c>
      <c r="AO230">
        <v>515500</v>
      </c>
      <c r="AP230">
        <v>466400</v>
      </c>
      <c r="AQ230">
        <v>486600</v>
      </c>
      <c r="AR230">
        <v>464400</v>
      </c>
      <c r="AS230">
        <v>475800</v>
      </c>
      <c r="AT230">
        <v>458600</v>
      </c>
      <c r="AU230">
        <v>390600</v>
      </c>
      <c r="AV230">
        <v>341600</v>
      </c>
      <c r="AW230">
        <v>456200</v>
      </c>
      <c r="AX230">
        <v>613300</v>
      </c>
      <c r="AY230">
        <v>661200</v>
      </c>
      <c r="AZ230">
        <v>551900</v>
      </c>
      <c r="BA230">
        <v>485000</v>
      </c>
      <c r="BB230">
        <v>472100</v>
      </c>
      <c r="BC230">
        <v>563100</v>
      </c>
      <c r="BD230">
        <v>598500</v>
      </c>
      <c r="BE230">
        <v>694200</v>
      </c>
      <c r="BF230">
        <v>685400</v>
      </c>
      <c r="BG230">
        <v>668400</v>
      </c>
      <c r="BH230">
        <v>750129</v>
      </c>
      <c r="BI230">
        <v>760923</v>
      </c>
      <c r="BJ230">
        <v>926850</v>
      </c>
      <c r="BK230">
        <v>907850</v>
      </c>
      <c r="BL230">
        <v>1169646</v>
      </c>
      <c r="BM230">
        <v>1239825</v>
      </c>
      <c r="BN230">
        <v>1252102</v>
      </c>
      <c r="BO230">
        <v>1371450</v>
      </c>
      <c r="BP230">
        <v>1358473</v>
      </c>
      <c r="BQ230">
        <v>1342518</v>
      </c>
      <c r="BR230">
        <v>1158366</v>
      </c>
      <c r="BS230">
        <v>1433766.6950000001</v>
      </c>
      <c r="BT230">
        <v>907927.74179999996</v>
      </c>
      <c r="BU230">
        <v>475932</v>
      </c>
      <c r="BV230">
        <v>475932</v>
      </c>
      <c r="BW230">
        <v>17902</v>
      </c>
      <c r="BX230">
        <v>18117</v>
      </c>
      <c r="BY230">
        <v>17564</v>
      </c>
      <c r="BZ230">
        <v>17896.921170000001</v>
      </c>
      <c r="CA230">
        <v>18456.645049999999</v>
      </c>
    </row>
    <row r="231" spans="2:79" x14ac:dyDescent="0.3">
      <c r="B231" s="9">
        <v>229</v>
      </c>
      <c r="C231" s="49">
        <v>11192</v>
      </c>
      <c r="D231" s="9">
        <f>YEAR(Tabla1[[#This Row],[Date]])</f>
        <v>1930</v>
      </c>
      <c r="E231" s="9" t="str" cm="1">
        <f t="array" ref="E231">IFERROR(_xlfn.IFS(AND(D231&lt;1980,D231&gt;=1970),"70",AND(D231&lt;1990,D231&gt;=1980),"80",AND(D231&lt;2000,D231&gt;=1990),"90",AND(D231&lt;2010,D231&gt;=2000),"00",AND(D231&lt;=2019,D231&gt;=2010),"10"),"1908-1970")</f>
        <v>1908-1970</v>
      </c>
      <c r="F231" s="3">
        <v>0.65625</v>
      </c>
      <c r="G231" t="s">
        <v>5950</v>
      </c>
      <c r="H231" t="s">
        <v>5951</v>
      </c>
      <c r="I231" t="s">
        <v>28931</v>
      </c>
      <c r="J231" t="s">
        <v>5952</v>
      </c>
      <c r="K231" t="s">
        <v>5898</v>
      </c>
      <c r="L231" s="7" t="s">
        <v>5953</v>
      </c>
      <c r="M231" t="s">
        <v>5954</v>
      </c>
      <c r="N231">
        <v>11</v>
      </c>
      <c r="O231">
        <v>10</v>
      </c>
      <c r="P231">
        <v>1</v>
      </c>
      <c r="Q231">
        <v>10</v>
      </c>
      <c r="R231">
        <v>9</v>
      </c>
      <c r="S231">
        <v>1</v>
      </c>
      <c r="T231">
        <v>0</v>
      </c>
      <c r="U231" t="s">
        <v>5955</v>
      </c>
      <c r="V231">
        <f>Tabla1[[#This Row],[Aboard]]-Tabla1[[#This Row],[Fatalities]]</f>
        <v>1</v>
      </c>
      <c r="W231" s="50">
        <f>IFERROR(Tabla1[[#This Row],[Fatalities]]/Tabla1[[#This Row],[Aboard]],0)</f>
        <v>0.90909090909090906</v>
      </c>
      <c r="X231" s="51" t="str" cm="1">
        <f t="array" ref="X231">_xlfn.IFS(Tabla1[[#This Row],[Porcentaje de muertes]]&lt;0.35,"LEVE",AND(Tabla1[[#This Row],[Porcentaje de muertes]]&gt;0.35,Tabla1[[#This Row],[Porcentaje de muertes]]&lt;0.65),"MEDIO",Tabla1[[#This Row],[Porcentaje de muertes]]&gt;0.65,"GRAVE")</f>
        <v>GRAVE</v>
      </c>
      <c r="AB231" t="s">
        <v>28799</v>
      </c>
      <c r="AC231" t="s">
        <v>28800</v>
      </c>
      <c r="AD231" t="s">
        <v>28966</v>
      </c>
      <c r="AE231" t="s">
        <v>28966</v>
      </c>
      <c r="AF231" t="s">
        <v>28966</v>
      </c>
      <c r="AG231" t="s">
        <v>28966</v>
      </c>
      <c r="AH231" t="s">
        <v>28966</v>
      </c>
      <c r="AI231" t="s">
        <v>28966</v>
      </c>
      <c r="AJ231" t="s">
        <v>28966</v>
      </c>
      <c r="AK231" t="s">
        <v>28966</v>
      </c>
      <c r="AL231" t="s">
        <v>28966</v>
      </c>
      <c r="AM231" t="s">
        <v>28966</v>
      </c>
      <c r="AN231" t="s">
        <v>28966</v>
      </c>
      <c r="AO231" t="s">
        <v>28966</v>
      </c>
      <c r="AP231" t="s">
        <v>28966</v>
      </c>
      <c r="AQ231" t="s">
        <v>28966</v>
      </c>
      <c r="AR231" t="s">
        <v>28966</v>
      </c>
      <c r="AS231" t="s">
        <v>28966</v>
      </c>
      <c r="AT231" t="s">
        <v>28966</v>
      </c>
      <c r="AU231" t="s">
        <v>28966</v>
      </c>
      <c r="AV231" t="s">
        <v>28966</v>
      </c>
      <c r="AW231" t="s">
        <v>28966</v>
      </c>
      <c r="AX231" t="s">
        <v>28966</v>
      </c>
      <c r="AY231" t="s">
        <v>28966</v>
      </c>
      <c r="AZ231" t="s">
        <v>28966</v>
      </c>
      <c r="BA231" t="s">
        <v>28966</v>
      </c>
      <c r="BB231" t="s">
        <v>28966</v>
      </c>
      <c r="BC231" t="s">
        <v>28966</v>
      </c>
      <c r="BD231" t="s">
        <v>28966</v>
      </c>
      <c r="BE231" t="s">
        <v>28966</v>
      </c>
      <c r="BF231" t="s">
        <v>28966</v>
      </c>
      <c r="BG231" t="s">
        <v>28966</v>
      </c>
      <c r="BH231" t="s">
        <v>28966</v>
      </c>
      <c r="BI231" t="s">
        <v>28966</v>
      </c>
      <c r="BJ231" t="s">
        <v>28966</v>
      </c>
      <c r="BK231" t="s">
        <v>28966</v>
      </c>
      <c r="BL231" t="s">
        <v>28966</v>
      </c>
      <c r="BM231" t="s">
        <v>28966</v>
      </c>
      <c r="BN231" t="s">
        <v>28966</v>
      </c>
      <c r="BO231" t="s">
        <v>28966</v>
      </c>
      <c r="BP231" t="s">
        <v>28966</v>
      </c>
      <c r="BQ231" t="s">
        <v>28966</v>
      </c>
      <c r="BR231" t="s">
        <v>28966</v>
      </c>
      <c r="BS231" t="s">
        <v>28966</v>
      </c>
      <c r="BT231" t="s">
        <v>28966</v>
      </c>
      <c r="BU231" t="s">
        <v>28966</v>
      </c>
      <c r="BV231" t="s">
        <v>28966</v>
      </c>
      <c r="BW231" t="s">
        <v>28966</v>
      </c>
      <c r="BX231" t="s">
        <v>28966</v>
      </c>
      <c r="BY231" t="s">
        <v>28966</v>
      </c>
      <c r="BZ231" t="s">
        <v>28966</v>
      </c>
      <c r="CA231" t="s">
        <v>28966</v>
      </c>
    </row>
    <row r="232" spans="2:79" x14ac:dyDescent="0.3">
      <c r="B232" s="9">
        <v>230</v>
      </c>
      <c r="C232" s="49">
        <v>11271</v>
      </c>
      <c r="D232" s="9">
        <f>YEAR(Tabla1[[#This Row],[Date]])</f>
        <v>1930</v>
      </c>
      <c r="E232" s="9" t="str" cm="1">
        <f t="array" ref="E232">IFERROR(_xlfn.IFS(AND(D232&lt;1980,D232&gt;=1970),"70",AND(D232&lt;1990,D232&gt;=1980),"80",AND(D232&lt;2000,D232&gt;=1990),"90",AND(D232&lt;2010,D232&gt;=2000),"00",AND(D232&lt;=2019,D232&gt;=2010),"10"),"1908-1970")</f>
        <v>1908-1970</v>
      </c>
      <c r="F232" s="3" t="s">
        <v>28931</v>
      </c>
      <c r="G232" t="s">
        <v>5956</v>
      </c>
      <c r="H232" t="s">
        <v>5957</v>
      </c>
      <c r="I232" t="s">
        <v>28931</v>
      </c>
      <c r="J232" t="s">
        <v>5958</v>
      </c>
      <c r="K232" t="s">
        <v>5959</v>
      </c>
      <c r="L232" s="7" t="s">
        <v>5960</v>
      </c>
      <c r="M232" t="s">
        <v>28931</v>
      </c>
      <c r="N232">
        <v>2</v>
      </c>
      <c r="O232">
        <v>0</v>
      </c>
      <c r="P232">
        <v>2</v>
      </c>
      <c r="Q232">
        <v>2</v>
      </c>
      <c r="R232">
        <v>0</v>
      </c>
      <c r="S232">
        <v>2</v>
      </c>
      <c r="T232">
        <v>0</v>
      </c>
      <c r="U232" t="s">
        <v>5961</v>
      </c>
      <c r="V232">
        <f>Tabla1[[#This Row],[Aboard]]-Tabla1[[#This Row],[Fatalities]]</f>
        <v>0</v>
      </c>
      <c r="W232" s="50">
        <f>IFERROR(Tabla1[[#This Row],[Fatalities]]/Tabla1[[#This Row],[Aboard]],0)</f>
        <v>1</v>
      </c>
      <c r="X232" s="51" t="str" cm="1">
        <f t="array" ref="X232">_xlfn.IFS(Tabla1[[#This Row],[Porcentaje de muertes]]&lt;0.35,"LEVE",AND(Tabla1[[#This Row],[Porcentaje de muertes]]&gt;0.35,Tabla1[[#This Row],[Porcentaje de muertes]]&lt;0.65),"MEDIO",Tabla1[[#This Row],[Porcentaje de muertes]]&gt;0.65,"GRAVE")</f>
        <v>GRAVE</v>
      </c>
      <c r="AB232" t="s">
        <v>28801</v>
      </c>
      <c r="AC232" t="s">
        <v>28802</v>
      </c>
      <c r="AD232">
        <v>55400</v>
      </c>
      <c r="AE232">
        <v>55000</v>
      </c>
      <c r="AF232">
        <v>50900</v>
      </c>
      <c r="AG232">
        <v>55100</v>
      </c>
      <c r="AH232">
        <v>59500</v>
      </c>
      <c r="AI232">
        <v>65500</v>
      </c>
      <c r="AJ232">
        <v>72400</v>
      </c>
      <c r="AK232">
        <v>79400</v>
      </c>
      <c r="AL232">
        <v>90200</v>
      </c>
      <c r="AM232">
        <v>96300</v>
      </c>
      <c r="AN232">
        <v>106100</v>
      </c>
      <c r="AO232">
        <v>80100</v>
      </c>
      <c r="AP232">
        <v>82800</v>
      </c>
      <c r="AQ232">
        <v>84500</v>
      </c>
      <c r="AR232">
        <v>87700</v>
      </c>
      <c r="AS232">
        <v>93500</v>
      </c>
      <c r="AT232">
        <v>104500</v>
      </c>
      <c r="AU232">
        <v>86600</v>
      </c>
      <c r="AV232">
        <v>86400</v>
      </c>
      <c r="AW232">
        <v>91100</v>
      </c>
      <c r="AX232">
        <v>93300</v>
      </c>
      <c r="AY232">
        <v>83400</v>
      </c>
      <c r="AZ232">
        <v>83400</v>
      </c>
      <c r="BA232">
        <v>85200</v>
      </c>
      <c r="BB232">
        <v>86300</v>
      </c>
      <c r="BC232">
        <v>92100</v>
      </c>
      <c r="BD232">
        <v>93100</v>
      </c>
      <c r="BE232">
        <v>93000</v>
      </c>
      <c r="BF232">
        <v>98000</v>
      </c>
      <c r="BG232">
        <v>83900</v>
      </c>
      <c r="BH232">
        <v>77273</v>
      </c>
      <c r="BI232">
        <v>46364</v>
      </c>
      <c r="BJ232" t="s">
        <v>28966</v>
      </c>
      <c r="BK232" t="s">
        <v>28966</v>
      </c>
      <c r="BL232" t="s">
        <v>28966</v>
      </c>
      <c r="BM232" t="s">
        <v>28966</v>
      </c>
      <c r="BN232" t="s">
        <v>28966</v>
      </c>
      <c r="BO232" t="s">
        <v>28966</v>
      </c>
      <c r="BP232" t="s">
        <v>28966</v>
      </c>
      <c r="BQ232" t="s">
        <v>28966</v>
      </c>
      <c r="BR232">
        <v>48519.199659999998</v>
      </c>
      <c r="BS232">
        <v>74653.8</v>
      </c>
      <c r="BT232">
        <v>52041.599999999999</v>
      </c>
      <c r="BU232">
        <v>28080</v>
      </c>
      <c r="BV232">
        <v>28332</v>
      </c>
      <c r="BW232" t="s">
        <v>28966</v>
      </c>
      <c r="BX232" t="s">
        <v>28966</v>
      </c>
      <c r="BY232" t="s">
        <v>28966</v>
      </c>
      <c r="BZ232" t="s">
        <v>28966</v>
      </c>
      <c r="CA232" t="s">
        <v>28966</v>
      </c>
    </row>
    <row r="233" spans="2:79" x14ac:dyDescent="0.3">
      <c r="B233" s="9">
        <v>231</v>
      </c>
      <c r="C233" s="49">
        <v>11226</v>
      </c>
      <c r="D233" s="9">
        <f>YEAR(Tabla1[[#This Row],[Date]])</f>
        <v>1930</v>
      </c>
      <c r="E233" s="9" t="str" cm="1">
        <f t="array" ref="E233">IFERROR(_xlfn.IFS(AND(D233&lt;1980,D233&gt;=1970),"70",AND(D233&lt;1990,D233&gt;=1980),"80",AND(D233&lt;2000,D233&gt;=1990),"90",AND(D233&lt;2010,D233&gt;=2000),"00",AND(D233&lt;=2019,D233&gt;=2010),"10"),"1908-1970")</f>
        <v>1908-1970</v>
      </c>
      <c r="F233" s="3" t="s">
        <v>28931</v>
      </c>
      <c r="G233" t="s">
        <v>5962</v>
      </c>
      <c r="H233" t="s">
        <v>5963</v>
      </c>
      <c r="I233" t="s">
        <v>28931</v>
      </c>
      <c r="J233" t="s">
        <v>5964</v>
      </c>
      <c r="K233" t="s">
        <v>5558</v>
      </c>
      <c r="L233" s="7" t="s">
        <v>5965</v>
      </c>
      <c r="M233">
        <v>1165</v>
      </c>
      <c r="N233">
        <v>3</v>
      </c>
      <c r="O233">
        <v>2</v>
      </c>
      <c r="P233">
        <v>1</v>
      </c>
      <c r="Q233">
        <v>3</v>
      </c>
      <c r="R233">
        <v>2</v>
      </c>
      <c r="S233">
        <v>1</v>
      </c>
      <c r="T233">
        <v>0</v>
      </c>
      <c r="U233" t="s">
        <v>5966</v>
      </c>
      <c r="V233">
        <f>Tabla1[[#This Row],[Aboard]]-Tabla1[[#This Row],[Fatalities]]</f>
        <v>0</v>
      </c>
      <c r="W233" s="50">
        <f>IFERROR(Tabla1[[#This Row],[Fatalities]]/Tabla1[[#This Row],[Aboard]],0)</f>
        <v>1</v>
      </c>
      <c r="X233" s="51" t="str" cm="1">
        <f t="array" ref="X233">_xlfn.IFS(Tabla1[[#This Row],[Porcentaje de muertes]]&lt;0.35,"LEVE",AND(Tabla1[[#This Row],[Porcentaje de muertes]]&gt;0.35,Tabla1[[#This Row],[Porcentaje de muertes]]&lt;0.65),"MEDIO",Tabla1[[#This Row],[Porcentaje de muertes]]&gt;0.65,"GRAVE")</f>
        <v>GRAVE</v>
      </c>
      <c r="AB233" t="s">
        <v>28803</v>
      </c>
      <c r="AC233" t="s">
        <v>28804</v>
      </c>
      <c r="AD233" t="s">
        <v>28966</v>
      </c>
      <c r="AE233" t="s">
        <v>28966</v>
      </c>
      <c r="AF233" t="s">
        <v>28966</v>
      </c>
      <c r="AG233" t="s">
        <v>28966</v>
      </c>
      <c r="AH233">
        <v>10458800</v>
      </c>
      <c r="AI233">
        <v>11774800</v>
      </c>
      <c r="AJ233">
        <v>12545500</v>
      </c>
      <c r="AK233">
        <v>13406100</v>
      </c>
      <c r="AL233">
        <v>15501800</v>
      </c>
      <c r="AM233">
        <v>17583700</v>
      </c>
      <c r="AN233">
        <v>19271100</v>
      </c>
      <c r="AO233">
        <v>22578600</v>
      </c>
      <c r="AP233">
        <v>23809200</v>
      </c>
      <c r="AQ233">
        <v>23966000</v>
      </c>
      <c r="AR233">
        <v>27011600</v>
      </c>
      <c r="AS233">
        <v>29876100</v>
      </c>
      <c r="AT233">
        <v>34562200</v>
      </c>
      <c r="AU233">
        <v>39822200</v>
      </c>
      <c r="AV233">
        <v>47560600</v>
      </c>
      <c r="AW233">
        <v>43888600</v>
      </c>
      <c r="AX233">
        <v>52002100</v>
      </c>
      <c r="AY233">
        <v>57726400</v>
      </c>
      <c r="AZ233">
        <v>68859100</v>
      </c>
      <c r="BA233">
        <v>76948800</v>
      </c>
      <c r="BB233">
        <v>88615600</v>
      </c>
      <c r="BC233">
        <v>104066600</v>
      </c>
      <c r="BD233">
        <v>110608300</v>
      </c>
      <c r="BE233">
        <v>107441300</v>
      </c>
      <c r="BF233">
        <v>106316600</v>
      </c>
      <c r="BG233">
        <v>105448300</v>
      </c>
      <c r="BH233">
        <v>117392048</v>
      </c>
      <c r="BI233">
        <v>131820683</v>
      </c>
      <c r="BJ233">
        <v>144870039</v>
      </c>
      <c r="BK233">
        <v>145911102</v>
      </c>
      <c r="BL233">
        <v>202852010</v>
      </c>
      <c r="BM233">
        <v>220785964</v>
      </c>
      <c r="BN233">
        <v>244343650</v>
      </c>
      <c r="BO233">
        <v>277657591</v>
      </c>
      <c r="BP233">
        <v>287610282</v>
      </c>
      <c r="BQ233">
        <v>326402729</v>
      </c>
      <c r="BR233">
        <v>430771969.39999998</v>
      </c>
      <c r="BS233">
        <v>482426892.5</v>
      </c>
      <c r="BT233">
        <v>525964519.89999998</v>
      </c>
      <c r="BU233">
        <v>579440333.79999995</v>
      </c>
      <c r="BV233">
        <v>640110151.29999995</v>
      </c>
      <c r="BW233">
        <v>708750644</v>
      </c>
      <c r="BX233">
        <v>790446548</v>
      </c>
      <c r="BY233">
        <v>881640190</v>
      </c>
      <c r="BZ233">
        <v>964270665.10000002</v>
      </c>
      <c r="CA233">
        <v>1005300883</v>
      </c>
    </row>
    <row r="234" spans="2:79" x14ac:dyDescent="0.3">
      <c r="B234" s="9">
        <v>232</v>
      </c>
      <c r="C234" s="49">
        <v>11088</v>
      </c>
      <c r="D234" s="9">
        <f>YEAR(Tabla1[[#This Row],[Date]])</f>
        <v>1930</v>
      </c>
      <c r="E234" s="9" t="str" cm="1">
        <f t="array" ref="E234">IFERROR(_xlfn.IFS(AND(D234&lt;1980,D234&gt;=1970),"70",AND(D234&lt;1990,D234&gt;=1980),"80",AND(D234&lt;2000,D234&gt;=1990),"90",AND(D234&lt;2010,D234&gt;=2000),"00",AND(D234&lt;=2019,D234&gt;=2010),"10"),"1908-1970")</f>
        <v>1908-1970</v>
      </c>
      <c r="F234" s="3">
        <v>8.6805555555555566E-2</v>
      </c>
      <c r="G234" t="s">
        <v>5967</v>
      </c>
      <c r="H234" t="s">
        <v>5968</v>
      </c>
      <c r="I234" t="s">
        <v>28931</v>
      </c>
      <c r="J234" t="s">
        <v>5969</v>
      </c>
      <c r="K234" t="s">
        <v>5970</v>
      </c>
      <c r="L234" s="7" t="s">
        <v>5971</v>
      </c>
      <c r="M234" t="s">
        <v>5972</v>
      </c>
      <c r="N234">
        <v>54</v>
      </c>
      <c r="O234" t="s">
        <v>5038</v>
      </c>
      <c r="P234" t="s">
        <v>5038</v>
      </c>
      <c r="Q234">
        <v>48</v>
      </c>
      <c r="R234" t="s">
        <v>5038</v>
      </c>
      <c r="S234" t="s">
        <v>5038</v>
      </c>
      <c r="T234">
        <v>0</v>
      </c>
      <c r="U234" t="s">
        <v>5973</v>
      </c>
      <c r="V234">
        <f>Tabla1[[#This Row],[Aboard]]-Tabla1[[#This Row],[Fatalities]]</f>
        <v>6</v>
      </c>
      <c r="W234" s="50">
        <f>IFERROR(Tabla1[[#This Row],[Fatalities]]/Tabla1[[#This Row],[Aboard]],0)</f>
        <v>0.88888888888888884</v>
      </c>
      <c r="X234" s="51" t="str" cm="1">
        <f t="array" ref="X234">_xlfn.IFS(Tabla1[[#This Row],[Porcentaje de muertes]]&lt;0.35,"LEVE",AND(Tabla1[[#This Row],[Porcentaje de muertes]]&gt;0.35,Tabla1[[#This Row],[Porcentaje de muertes]]&lt;0.65),"MEDIO",Tabla1[[#This Row],[Porcentaje de muertes]]&gt;0.65,"GRAVE")</f>
        <v>GRAVE</v>
      </c>
      <c r="AB234" t="s">
        <v>28805</v>
      </c>
      <c r="AC234" t="s">
        <v>28806</v>
      </c>
      <c r="AD234" t="s">
        <v>28966</v>
      </c>
      <c r="AE234" t="s">
        <v>28966</v>
      </c>
      <c r="AF234" t="s">
        <v>28966</v>
      </c>
      <c r="AG234" t="s">
        <v>28966</v>
      </c>
      <c r="AH234" t="s">
        <v>28966</v>
      </c>
      <c r="AI234" t="s">
        <v>28966</v>
      </c>
      <c r="AJ234" t="s">
        <v>28966</v>
      </c>
      <c r="AK234" t="s">
        <v>28966</v>
      </c>
      <c r="AL234" t="s">
        <v>28966</v>
      </c>
      <c r="AM234" t="s">
        <v>28966</v>
      </c>
      <c r="AN234" t="s">
        <v>28966</v>
      </c>
      <c r="AO234" t="s">
        <v>28966</v>
      </c>
      <c r="AP234" t="s">
        <v>28966</v>
      </c>
      <c r="AQ234" t="s">
        <v>28966</v>
      </c>
      <c r="AR234" t="s">
        <v>28966</v>
      </c>
      <c r="AS234" t="s">
        <v>28966</v>
      </c>
      <c r="AT234" t="s">
        <v>28966</v>
      </c>
      <c r="AU234" t="s">
        <v>28966</v>
      </c>
      <c r="AV234" t="s">
        <v>28966</v>
      </c>
      <c r="AW234" t="s">
        <v>28966</v>
      </c>
      <c r="AX234" t="s">
        <v>28966</v>
      </c>
      <c r="AY234" t="s">
        <v>28966</v>
      </c>
      <c r="AZ234">
        <v>86420700</v>
      </c>
      <c r="BA234">
        <v>54682300</v>
      </c>
      <c r="BB234">
        <v>48310200</v>
      </c>
      <c r="BC234">
        <v>46923144.100000001</v>
      </c>
      <c r="BD234">
        <v>42728900</v>
      </c>
      <c r="BE234">
        <v>41166500</v>
      </c>
      <c r="BF234">
        <v>37014300</v>
      </c>
      <c r="BG234">
        <v>40019000</v>
      </c>
      <c r="BH234">
        <v>41986042</v>
      </c>
      <c r="BI234">
        <v>44543460</v>
      </c>
      <c r="BJ234">
        <v>45328183</v>
      </c>
      <c r="BK234">
        <v>49555883</v>
      </c>
      <c r="BL234">
        <v>58378519</v>
      </c>
      <c r="BM234">
        <v>63293892</v>
      </c>
      <c r="BN234">
        <v>69212039</v>
      </c>
      <c r="BO234">
        <v>77911513</v>
      </c>
      <c r="BP234">
        <v>87710738</v>
      </c>
      <c r="BQ234">
        <v>88865012</v>
      </c>
      <c r="BR234">
        <v>115461132</v>
      </c>
      <c r="BS234">
        <v>133766768.59999999</v>
      </c>
      <c r="BT234">
        <v>153418991.80000001</v>
      </c>
      <c r="BU234">
        <v>171433958.59999999</v>
      </c>
      <c r="BV234">
        <v>188867281.80000001</v>
      </c>
      <c r="BW234">
        <v>206959900</v>
      </c>
      <c r="BX234">
        <v>214729427</v>
      </c>
      <c r="BY234">
        <v>241813816</v>
      </c>
      <c r="BZ234">
        <v>263345266.5</v>
      </c>
      <c r="CA234">
        <v>278283540.10000002</v>
      </c>
    </row>
    <row r="235" spans="2:79" x14ac:dyDescent="0.3">
      <c r="B235" s="9">
        <v>233</v>
      </c>
      <c r="C235" s="49">
        <v>11119</v>
      </c>
      <c r="D235" s="9">
        <f>YEAR(Tabla1[[#This Row],[Date]])</f>
        <v>1930</v>
      </c>
      <c r="E235" s="9" t="str" cm="1">
        <f t="array" ref="E235">IFERROR(_xlfn.IFS(AND(D235&lt;1980,D235&gt;=1970),"70",AND(D235&lt;1990,D235&gt;=1980),"80",AND(D235&lt;2000,D235&gt;=1990),"90",AND(D235&lt;2010,D235&gt;=2000),"00",AND(D235&lt;=2019,D235&gt;=2010),"10"),"1908-1970")</f>
        <v>1908-1970</v>
      </c>
      <c r="F235" s="3">
        <v>0.40625</v>
      </c>
      <c r="G235" t="s">
        <v>5974</v>
      </c>
      <c r="H235" t="s">
        <v>5417</v>
      </c>
      <c r="I235" t="s">
        <v>28931</v>
      </c>
      <c r="J235" t="s">
        <v>5975</v>
      </c>
      <c r="K235" t="s">
        <v>5976</v>
      </c>
      <c r="L235" s="7" t="s">
        <v>5977</v>
      </c>
      <c r="M235">
        <v>443</v>
      </c>
      <c r="N235">
        <v>8</v>
      </c>
      <c r="O235">
        <v>6</v>
      </c>
      <c r="P235">
        <v>2</v>
      </c>
      <c r="Q235">
        <v>8</v>
      </c>
      <c r="R235">
        <v>6</v>
      </c>
      <c r="S235">
        <v>2</v>
      </c>
      <c r="T235">
        <v>0</v>
      </c>
      <c r="U235" t="s">
        <v>5978</v>
      </c>
      <c r="V235">
        <f>Tabla1[[#This Row],[Aboard]]-Tabla1[[#This Row],[Fatalities]]</f>
        <v>0</v>
      </c>
      <c r="W235" s="50">
        <f>IFERROR(Tabla1[[#This Row],[Fatalities]]/Tabla1[[#This Row],[Aboard]],0)</f>
        <v>1</v>
      </c>
      <c r="X235" s="51" t="str" cm="1">
        <f t="array" ref="X235">_xlfn.IFS(Tabla1[[#This Row],[Porcentaje de muertes]]&lt;0.35,"LEVE",AND(Tabla1[[#This Row],[Porcentaje de muertes]]&gt;0.35,Tabla1[[#This Row],[Porcentaje de muertes]]&lt;0.65),"MEDIO",Tabla1[[#This Row],[Porcentaje de muertes]]&gt;0.65,"GRAVE")</f>
        <v>GRAVE</v>
      </c>
      <c r="AB235" t="s">
        <v>28807</v>
      </c>
      <c r="AC235" t="s">
        <v>28808</v>
      </c>
      <c r="AD235">
        <v>29900</v>
      </c>
      <c r="AE235">
        <v>31400</v>
      </c>
      <c r="AF235">
        <v>27700</v>
      </c>
      <c r="AG235">
        <v>30000</v>
      </c>
      <c r="AH235">
        <v>33800</v>
      </c>
      <c r="AI235">
        <v>37900</v>
      </c>
      <c r="AJ235">
        <v>43600</v>
      </c>
      <c r="AK235">
        <v>48900</v>
      </c>
      <c r="AL235">
        <v>55700</v>
      </c>
      <c r="AM235">
        <v>60800</v>
      </c>
      <c r="AN235">
        <v>64600</v>
      </c>
      <c r="AO235">
        <v>67600</v>
      </c>
      <c r="AP235">
        <v>69800</v>
      </c>
      <c r="AQ235">
        <v>71000</v>
      </c>
      <c r="AR235">
        <v>71700</v>
      </c>
      <c r="AS235">
        <v>77500</v>
      </c>
      <c r="AT235">
        <v>78400</v>
      </c>
      <c r="AU235">
        <v>70100</v>
      </c>
      <c r="AV235">
        <v>69700</v>
      </c>
      <c r="AW235">
        <v>74000</v>
      </c>
      <c r="AX235">
        <v>76300</v>
      </c>
      <c r="AY235">
        <v>66300</v>
      </c>
      <c r="AZ235">
        <v>66300</v>
      </c>
      <c r="BA235">
        <v>68200</v>
      </c>
      <c r="BB235">
        <v>69200</v>
      </c>
      <c r="BC235">
        <v>74100</v>
      </c>
      <c r="BD235">
        <v>75100</v>
      </c>
      <c r="BE235">
        <v>85500</v>
      </c>
      <c r="BF235">
        <v>90500</v>
      </c>
      <c r="BG235">
        <v>83900</v>
      </c>
      <c r="BH235">
        <v>77273</v>
      </c>
      <c r="BI235">
        <v>46364</v>
      </c>
      <c r="BJ235" t="s">
        <v>28966</v>
      </c>
      <c r="BK235" t="s">
        <v>28966</v>
      </c>
      <c r="BL235" t="s">
        <v>28966</v>
      </c>
      <c r="BM235" t="s">
        <v>28966</v>
      </c>
      <c r="BN235" t="s">
        <v>28966</v>
      </c>
      <c r="BO235" t="s">
        <v>28966</v>
      </c>
      <c r="BP235" t="s">
        <v>28966</v>
      </c>
      <c r="BQ235" t="s">
        <v>28966</v>
      </c>
      <c r="BR235">
        <v>663013</v>
      </c>
      <c r="BS235">
        <v>832351.15639999998</v>
      </c>
      <c r="BT235">
        <v>745781.74809999997</v>
      </c>
      <c r="BU235">
        <v>840948</v>
      </c>
      <c r="BV235">
        <v>426344.03989999997</v>
      </c>
      <c r="BW235">
        <v>420875</v>
      </c>
      <c r="BX235">
        <v>475185</v>
      </c>
      <c r="BY235">
        <v>500686</v>
      </c>
      <c r="BZ235">
        <v>566295</v>
      </c>
      <c r="CA235">
        <v>640683.272</v>
      </c>
    </row>
    <row r="236" spans="2:79" x14ac:dyDescent="0.3">
      <c r="B236" s="9">
        <v>234</v>
      </c>
      <c r="C236" s="49">
        <v>11302</v>
      </c>
      <c r="D236" s="9">
        <f>YEAR(Tabla1[[#This Row],[Date]])</f>
        <v>1930</v>
      </c>
      <c r="E236" s="9" t="str" cm="1">
        <f t="array" ref="E236">IFERROR(_xlfn.IFS(AND(D236&lt;1980,D236&gt;=1970),"70",AND(D236&lt;1990,D236&gt;=1980),"80",AND(D236&lt;2000,D236&gt;=1990),"90",AND(D236&lt;2010,D236&gt;=2000),"00",AND(D236&lt;=2019,D236&gt;=2010),"10"),"1908-1970")</f>
        <v>1908-1970</v>
      </c>
      <c r="F236" s="3" t="s">
        <v>28931</v>
      </c>
      <c r="G236" t="s">
        <v>5979</v>
      </c>
      <c r="H236" t="s">
        <v>5182</v>
      </c>
      <c r="I236" t="s">
        <v>28931</v>
      </c>
      <c r="J236" t="s">
        <v>5980</v>
      </c>
      <c r="K236" t="s">
        <v>5926</v>
      </c>
      <c r="L236" s="7" t="s">
        <v>5981</v>
      </c>
      <c r="M236" t="s">
        <v>28931</v>
      </c>
      <c r="N236">
        <v>4</v>
      </c>
      <c r="O236">
        <v>3</v>
      </c>
      <c r="P236">
        <v>1</v>
      </c>
      <c r="Q236">
        <v>4</v>
      </c>
      <c r="R236">
        <v>3</v>
      </c>
      <c r="S236">
        <v>1</v>
      </c>
      <c r="T236">
        <v>0</v>
      </c>
      <c r="U236" t="s">
        <v>5982</v>
      </c>
      <c r="V236">
        <f>Tabla1[[#This Row],[Aboard]]-Tabla1[[#This Row],[Fatalities]]</f>
        <v>0</v>
      </c>
      <c r="W236" s="50">
        <f>IFERROR(Tabla1[[#This Row],[Fatalities]]/Tabla1[[#This Row],[Aboard]],0)</f>
        <v>1</v>
      </c>
      <c r="X236" s="51" t="str" cm="1">
        <f t="array" ref="X236">_xlfn.IFS(Tabla1[[#This Row],[Porcentaje de muertes]]&lt;0.35,"LEVE",AND(Tabla1[[#This Row],[Porcentaje de muertes]]&gt;0.35,Tabla1[[#This Row],[Porcentaje de muertes]]&lt;0.65),"MEDIO",Tabla1[[#This Row],[Porcentaje de muertes]]&gt;0.65,"GRAVE")</f>
        <v>GRAVE</v>
      </c>
      <c r="AB236" t="s">
        <v>28809</v>
      </c>
      <c r="AC236" t="s">
        <v>28810</v>
      </c>
      <c r="AD236">
        <v>764200</v>
      </c>
      <c r="AE236">
        <v>713100</v>
      </c>
      <c r="AF236">
        <v>785600</v>
      </c>
      <c r="AG236">
        <v>1021000</v>
      </c>
      <c r="AH236">
        <v>1261000</v>
      </c>
      <c r="AI236">
        <v>1616500</v>
      </c>
      <c r="AJ236">
        <v>1633800</v>
      </c>
      <c r="AK236">
        <v>1331500</v>
      </c>
      <c r="AL236">
        <v>1773800</v>
      </c>
      <c r="AM236">
        <v>2088900</v>
      </c>
      <c r="AN236">
        <v>2459000</v>
      </c>
      <c r="AO236">
        <v>2834600</v>
      </c>
      <c r="AP236">
        <v>3154900</v>
      </c>
      <c r="AQ236">
        <v>3357000</v>
      </c>
      <c r="AR236">
        <v>3671300</v>
      </c>
      <c r="AS236">
        <v>4065900</v>
      </c>
      <c r="AT236">
        <v>4370000</v>
      </c>
      <c r="AU236">
        <v>5179600</v>
      </c>
      <c r="AV236">
        <v>6235900</v>
      </c>
      <c r="AW236">
        <v>7364500</v>
      </c>
      <c r="AX236">
        <v>8201400</v>
      </c>
      <c r="AY236">
        <v>7708600</v>
      </c>
      <c r="AZ236">
        <v>8546800</v>
      </c>
      <c r="BA236">
        <v>10196900</v>
      </c>
      <c r="BB236">
        <v>11404700</v>
      </c>
      <c r="BC236">
        <v>12771400</v>
      </c>
      <c r="BD236">
        <v>14078300</v>
      </c>
      <c r="BE236">
        <v>14235800</v>
      </c>
      <c r="BF236">
        <v>15015400</v>
      </c>
      <c r="BG236">
        <v>15950500</v>
      </c>
      <c r="BH236">
        <v>17392091</v>
      </c>
      <c r="BI236">
        <v>17662418</v>
      </c>
      <c r="BJ236">
        <v>18111892</v>
      </c>
      <c r="BK236">
        <v>16622502</v>
      </c>
      <c r="BL236">
        <v>20342582</v>
      </c>
      <c r="BM236">
        <v>18902629</v>
      </c>
      <c r="BN236">
        <v>20102408</v>
      </c>
      <c r="BO236">
        <v>21191723</v>
      </c>
      <c r="BP236">
        <v>19993134</v>
      </c>
      <c r="BQ236">
        <v>19618735</v>
      </c>
      <c r="BR236">
        <v>28780723</v>
      </c>
      <c r="BS236">
        <v>31940491.98</v>
      </c>
      <c r="BT236">
        <v>36392469.350000001</v>
      </c>
      <c r="BU236">
        <v>43029150.600000001</v>
      </c>
      <c r="BV236">
        <v>46546612.479999997</v>
      </c>
      <c r="BW236">
        <v>56447637</v>
      </c>
      <c r="BX236">
        <v>62341676</v>
      </c>
      <c r="BY236">
        <v>70704889</v>
      </c>
      <c r="BZ236">
        <v>76053042.75</v>
      </c>
      <c r="CA236">
        <v>78227313</v>
      </c>
    </row>
    <row r="237" spans="2:79" x14ac:dyDescent="0.3">
      <c r="B237" s="9">
        <v>235</v>
      </c>
      <c r="C237" s="49">
        <v>11244</v>
      </c>
      <c r="D237" s="9">
        <f>YEAR(Tabla1[[#This Row],[Date]])</f>
        <v>1930</v>
      </c>
      <c r="E237" s="9" t="str" cm="1">
        <f t="array" ref="E237">IFERROR(_xlfn.IFS(AND(D237&lt;1980,D237&gt;=1970),"70",AND(D237&lt;1990,D237&gt;=1980),"80",AND(D237&lt;2000,D237&gt;=1990),"90",AND(D237&lt;2010,D237&gt;=2000),"00",AND(D237&lt;=2019,D237&gt;=2010),"10"),"1908-1970")</f>
        <v>1908-1970</v>
      </c>
      <c r="F237" s="3" t="s">
        <v>28931</v>
      </c>
      <c r="G237" t="s">
        <v>5983</v>
      </c>
      <c r="H237" t="s">
        <v>5984</v>
      </c>
      <c r="I237" t="s">
        <v>28931</v>
      </c>
      <c r="J237" t="s">
        <v>28931</v>
      </c>
      <c r="K237" t="s">
        <v>5985</v>
      </c>
      <c r="L237" s="7" t="s">
        <v>5986</v>
      </c>
      <c r="M237">
        <v>2021</v>
      </c>
      <c r="N237">
        <v>3</v>
      </c>
      <c r="O237">
        <v>2</v>
      </c>
      <c r="P237">
        <v>1</v>
      </c>
      <c r="Q237">
        <v>3</v>
      </c>
      <c r="R237">
        <v>2</v>
      </c>
      <c r="S237">
        <v>1</v>
      </c>
      <c r="T237" t="s">
        <v>5038</v>
      </c>
      <c r="U237" t="s">
        <v>5987</v>
      </c>
      <c r="V237">
        <f>Tabla1[[#This Row],[Aboard]]-Tabla1[[#This Row],[Fatalities]]</f>
        <v>0</v>
      </c>
      <c r="W237" s="50">
        <f>IFERROR(Tabla1[[#This Row],[Fatalities]]/Tabla1[[#This Row],[Aboard]],0)</f>
        <v>1</v>
      </c>
      <c r="X237" s="51" t="str" cm="1">
        <f t="array" ref="X237">_xlfn.IFS(Tabla1[[#This Row],[Porcentaje de muertes]]&lt;0.35,"LEVE",AND(Tabla1[[#This Row],[Porcentaje de muertes]]&gt;0.35,Tabla1[[#This Row],[Porcentaje de muertes]]&lt;0.65),"MEDIO",Tabla1[[#This Row],[Porcentaje de muertes]]&gt;0.65,"GRAVE")</f>
        <v>GRAVE</v>
      </c>
      <c r="AB237" t="s">
        <v>28811</v>
      </c>
      <c r="AC237" t="s">
        <v>28812</v>
      </c>
      <c r="AD237" t="s">
        <v>28966</v>
      </c>
      <c r="AE237" t="s">
        <v>28966</v>
      </c>
      <c r="AF237" t="s">
        <v>28966</v>
      </c>
      <c r="AG237" t="s">
        <v>28966</v>
      </c>
      <c r="AH237" t="s">
        <v>28966</v>
      </c>
      <c r="AI237" t="s">
        <v>28966</v>
      </c>
      <c r="AJ237" t="s">
        <v>28966</v>
      </c>
      <c r="AK237" t="s">
        <v>28966</v>
      </c>
      <c r="AL237" t="s">
        <v>28966</v>
      </c>
      <c r="AM237" t="s">
        <v>28966</v>
      </c>
      <c r="AN237" t="s">
        <v>28966</v>
      </c>
      <c r="AO237" t="s">
        <v>28966</v>
      </c>
      <c r="AP237" t="s">
        <v>28966</v>
      </c>
      <c r="AQ237" t="s">
        <v>28966</v>
      </c>
      <c r="AR237" t="s">
        <v>28966</v>
      </c>
      <c r="AS237" t="s">
        <v>28966</v>
      </c>
      <c r="AT237" t="s">
        <v>28966</v>
      </c>
      <c r="AU237" t="s">
        <v>28966</v>
      </c>
      <c r="AV237" t="s">
        <v>28966</v>
      </c>
      <c r="AW237" t="s">
        <v>28966</v>
      </c>
      <c r="AX237" t="s">
        <v>28966</v>
      </c>
      <c r="AY237" t="s">
        <v>28966</v>
      </c>
      <c r="AZ237" t="s">
        <v>28966</v>
      </c>
      <c r="BA237">
        <v>782600</v>
      </c>
      <c r="BB237">
        <v>782600</v>
      </c>
      <c r="BC237">
        <v>822100</v>
      </c>
      <c r="BD237">
        <v>594000</v>
      </c>
      <c r="BE237">
        <v>594000</v>
      </c>
      <c r="BF237">
        <v>591700</v>
      </c>
      <c r="BG237">
        <v>155800</v>
      </c>
      <c r="BH237">
        <v>168006</v>
      </c>
      <c r="BI237" t="s">
        <v>28966</v>
      </c>
      <c r="BJ237">
        <v>496905</v>
      </c>
      <c r="BK237">
        <v>442712</v>
      </c>
      <c r="BL237">
        <v>598456</v>
      </c>
      <c r="BM237">
        <v>479172</v>
      </c>
      <c r="BN237">
        <v>394440</v>
      </c>
      <c r="BO237">
        <v>501178</v>
      </c>
      <c r="BP237">
        <v>683248</v>
      </c>
      <c r="BQ237">
        <v>764505</v>
      </c>
      <c r="BR237">
        <v>616999.41229999997</v>
      </c>
      <c r="BS237">
        <v>846967.38029999996</v>
      </c>
      <c r="BT237">
        <v>650130.54740000004</v>
      </c>
      <c r="BU237">
        <v>683060.15749999997</v>
      </c>
      <c r="BV237">
        <v>1064176.328</v>
      </c>
      <c r="BW237">
        <v>1034477</v>
      </c>
      <c r="BX237">
        <v>1037897</v>
      </c>
      <c r="BY237">
        <v>580374</v>
      </c>
      <c r="BZ237">
        <v>492320</v>
      </c>
      <c r="CA237">
        <v>539094.61600000004</v>
      </c>
    </row>
    <row r="238" spans="2:79" x14ac:dyDescent="0.3">
      <c r="B238" s="9">
        <v>236</v>
      </c>
      <c r="C238" s="49">
        <v>11259</v>
      </c>
      <c r="D238" s="9">
        <f>YEAR(Tabla1[[#This Row],[Date]])</f>
        <v>1930</v>
      </c>
      <c r="E238" s="9" t="str" cm="1">
        <f t="array" ref="E238">IFERROR(_xlfn.IFS(AND(D238&lt;1980,D238&gt;=1970),"70",AND(D238&lt;1990,D238&gt;=1980),"80",AND(D238&lt;2000,D238&gt;=1990),"90",AND(D238&lt;2010,D238&gt;=2000),"00",AND(D238&lt;=2019,D238&gt;=2010),"10"),"1908-1970")</f>
        <v>1908-1970</v>
      </c>
      <c r="F238" s="3" t="s">
        <v>28931</v>
      </c>
      <c r="G238" t="s">
        <v>5988</v>
      </c>
      <c r="H238" t="s">
        <v>5989</v>
      </c>
      <c r="I238" t="s">
        <v>28931</v>
      </c>
      <c r="J238" t="s">
        <v>28931</v>
      </c>
      <c r="K238" t="s">
        <v>5799</v>
      </c>
      <c r="L238" s="7" t="s">
        <v>5990</v>
      </c>
      <c r="M238">
        <v>120</v>
      </c>
      <c r="N238">
        <v>3</v>
      </c>
      <c r="O238">
        <v>2</v>
      </c>
      <c r="P238">
        <v>1</v>
      </c>
      <c r="Q238">
        <v>3</v>
      </c>
      <c r="R238">
        <v>2</v>
      </c>
      <c r="S238">
        <v>1</v>
      </c>
      <c r="T238">
        <v>0</v>
      </c>
      <c r="U238" t="s">
        <v>5991</v>
      </c>
      <c r="V238">
        <f>Tabla1[[#This Row],[Aboard]]-Tabla1[[#This Row],[Fatalities]]</f>
        <v>0</v>
      </c>
      <c r="W238" s="50">
        <f>IFERROR(Tabla1[[#This Row],[Fatalities]]/Tabla1[[#This Row],[Aboard]],0)</f>
        <v>1</v>
      </c>
      <c r="X238" s="51" t="str" cm="1">
        <f t="array" ref="X238">_xlfn.IFS(Tabla1[[#This Row],[Porcentaje de muertes]]&lt;0.35,"LEVE",AND(Tabla1[[#This Row],[Porcentaje de muertes]]&gt;0.35,Tabla1[[#This Row],[Porcentaje de muertes]]&lt;0.65),"MEDIO",Tabla1[[#This Row],[Porcentaje de muertes]]&gt;0.65,"GRAVE")</f>
        <v>GRAVE</v>
      </c>
      <c r="AB238" t="s">
        <v>28813</v>
      </c>
      <c r="AC238" t="s">
        <v>28814</v>
      </c>
      <c r="AD238" t="s">
        <v>28966</v>
      </c>
      <c r="AE238" t="s">
        <v>28966</v>
      </c>
      <c r="AF238" t="s">
        <v>28966</v>
      </c>
      <c r="AG238" t="s">
        <v>28966</v>
      </c>
      <c r="AH238" t="s">
        <v>28966</v>
      </c>
      <c r="AI238" t="s">
        <v>28966</v>
      </c>
      <c r="AJ238" t="s">
        <v>28966</v>
      </c>
      <c r="AK238" t="s">
        <v>28966</v>
      </c>
      <c r="AL238" t="s">
        <v>28966</v>
      </c>
      <c r="AM238" t="s">
        <v>28966</v>
      </c>
      <c r="AN238" t="s">
        <v>28966</v>
      </c>
      <c r="AO238" t="s">
        <v>28966</v>
      </c>
      <c r="AP238" t="s">
        <v>28966</v>
      </c>
      <c r="AQ238" t="s">
        <v>28966</v>
      </c>
      <c r="AR238" t="s">
        <v>28966</v>
      </c>
      <c r="AS238" t="s">
        <v>28966</v>
      </c>
      <c r="AT238" t="s">
        <v>28966</v>
      </c>
      <c r="AU238" t="s">
        <v>28966</v>
      </c>
      <c r="AV238" t="s">
        <v>28966</v>
      </c>
      <c r="AW238" t="s">
        <v>28966</v>
      </c>
      <c r="AX238" t="s">
        <v>28966</v>
      </c>
      <c r="AY238" t="s">
        <v>28966</v>
      </c>
      <c r="AZ238" t="s">
        <v>28966</v>
      </c>
      <c r="BA238">
        <v>747800</v>
      </c>
      <c r="BB238">
        <v>747800</v>
      </c>
      <c r="BC238">
        <v>747800</v>
      </c>
      <c r="BD238">
        <v>523000</v>
      </c>
      <c r="BE238">
        <v>523000</v>
      </c>
      <c r="BF238">
        <v>521000</v>
      </c>
      <c r="BG238">
        <v>1050400</v>
      </c>
      <c r="BH238">
        <v>1283780</v>
      </c>
      <c r="BI238">
        <v>1407423</v>
      </c>
      <c r="BJ238">
        <v>1407423</v>
      </c>
      <c r="BK238">
        <v>1411910</v>
      </c>
      <c r="BL238">
        <v>1612479</v>
      </c>
      <c r="BM238">
        <v>1653638</v>
      </c>
      <c r="BN238">
        <v>1843140</v>
      </c>
      <c r="BO238">
        <v>1850921</v>
      </c>
      <c r="BP238">
        <v>1823157</v>
      </c>
      <c r="BQ238">
        <v>1706055</v>
      </c>
      <c r="BR238">
        <v>300970</v>
      </c>
      <c r="BS238">
        <v>160243.7654</v>
      </c>
      <c r="BT238">
        <v>147500</v>
      </c>
      <c r="BU238">
        <v>1800847.4580000001</v>
      </c>
      <c r="BV238">
        <v>579715.68000000005</v>
      </c>
      <c r="BW238">
        <v>897079</v>
      </c>
      <c r="BX238">
        <v>1318350</v>
      </c>
      <c r="BY238">
        <v>2136219</v>
      </c>
      <c r="BZ238">
        <v>2457474</v>
      </c>
      <c r="CA238">
        <v>2081424.32</v>
      </c>
    </row>
    <row r="239" spans="2:79" x14ac:dyDescent="0.3">
      <c r="B239" s="9">
        <v>237</v>
      </c>
      <c r="C239" s="49">
        <v>11261</v>
      </c>
      <c r="D239" s="9">
        <f>YEAR(Tabla1[[#This Row],[Date]])</f>
        <v>1930</v>
      </c>
      <c r="E239" s="9" t="str" cm="1">
        <f t="array" ref="E239">IFERROR(_xlfn.IFS(AND(D239&lt;1980,D239&gt;=1970),"70",AND(D239&lt;1990,D239&gt;=1980),"80",AND(D239&lt;2000,D239&gt;=1990),"90",AND(D239&lt;2010,D239&gt;=2000),"00",AND(D239&lt;=2019,D239&gt;=2010),"10"),"1908-1970")</f>
        <v>1908-1970</v>
      </c>
      <c r="F239" s="3" t="s">
        <v>28931</v>
      </c>
      <c r="G239" t="s">
        <v>5992</v>
      </c>
      <c r="H239" t="s">
        <v>5350</v>
      </c>
      <c r="I239" t="s">
        <v>28931</v>
      </c>
      <c r="J239" t="s">
        <v>5993</v>
      </c>
      <c r="K239" t="s">
        <v>5994</v>
      </c>
      <c r="L239" s="7" t="s">
        <v>5995</v>
      </c>
      <c r="M239" t="s">
        <v>5996</v>
      </c>
      <c r="N239">
        <v>6</v>
      </c>
      <c r="O239">
        <v>3</v>
      </c>
      <c r="P239">
        <v>3</v>
      </c>
      <c r="Q239">
        <v>3</v>
      </c>
      <c r="R239">
        <v>2</v>
      </c>
      <c r="S239">
        <v>1</v>
      </c>
      <c r="T239">
        <v>0</v>
      </c>
      <c r="U239" t="s">
        <v>5997</v>
      </c>
      <c r="V239">
        <f>Tabla1[[#This Row],[Aboard]]-Tabla1[[#This Row],[Fatalities]]</f>
        <v>3</v>
      </c>
      <c r="W239" s="50">
        <f>IFERROR(Tabla1[[#This Row],[Fatalities]]/Tabla1[[#This Row],[Aboard]],0)</f>
        <v>0.5</v>
      </c>
      <c r="X239" s="51" t="str" cm="1">
        <f t="array" ref="X239">_xlfn.IFS(Tabla1[[#This Row],[Porcentaje de muertes]]&lt;0.35,"LEVE",AND(Tabla1[[#This Row],[Porcentaje de muertes]]&gt;0.35,Tabla1[[#This Row],[Porcentaje de muertes]]&lt;0.65),"MEDIO",Tabla1[[#This Row],[Porcentaje de muertes]]&gt;0.65,"GRAVE")</f>
        <v>MEDIO</v>
      </c>
      <c r="AB239" t="s">
        <v>28815</v>
      </c>
      <c r="AC239" t="s">
        <v>28816</v>
      </c>
      <c r="AD239">
        <v>16844000</v>
      </c>
      <c r="AE239">
        <v>17818600</v>
      </c>
      <c r="AF239">
        <v>20070700</v>
      </c>
      <c r="AG239">
        <v>21991800</v>
      </c>
      <c r="AH239">
        <v>25818100</v>
      </c>
      <c r="AI239">
        <v>29673800</v>
      </c>
      <c r="AJ239">
        <v>32994100</v>
      </c>
      <c r="AK239">
        <v>36212100</v>
      </c>
      <c r="AL239">
        <v>39956500</v>
      </c>
      <c r="AM239">
        <v>46567600</v>
      </c>
      <c r="AN239">
        <v>50756800</v>
      </c>
      <c r="AO239">
        <v>50864200</v>
      </c>
      <c r="AP239">
        <v>52570400</v>
      </c>
      <c r="AQ239">
        <v>51944700</v>
      </c>
      <c r="AR239">
        <v>52887400</v>
      </c>
      <c r="AS239">
        <v>54498800</v>
      </c>
      <c r="AT239">
        <v>58624400</v>
      </c>
      <c r="AU239">
        <v>59991400</v>
      </c>
      <c r="AV239">
        <v>59505900</v>
      </c>
      <c r="AW239">
        <v>64470900</v>
      </c>
      <c r="AX239">
        <v>62937900</v>
      </c>
      <c r="AY239">
        <v>62216000</v>
      </c>
      <c r="AZ239">
        <v>63335900</v>
      </c>
      <c r="BA239">
        <v>66721700</v>
      </c>
      <c r="BB239">
        <v>72301500</v>
      </c>
      <c r="BC239">
        <v>71128400</v>
      </c>
      <c r="BD239">
        <v>75346000</v>
      </c>
      <c r="BE239">
        <v>83418400</v>
      </c>
      <c r="BF239">
        <v>88239900</v>
      </c>
      <c r="BG239">
        <v>90651300</v>
      </c>
      <c r="BH239">
        <v>93639750</v>
      </c>
      <c r="BI239">
        <v>99068745</v>
      </c>
      <c r="BJ239">
        <v>95813090</v>
      </c>
      <c r="BK239">
        <v>92587521</v>
      </c>
      <c r="BL239">
        <v>99215943</v>
      </c>
      <c r="BM239">
        <v>105704481</v>
      </c>
      <c r="BN239">
        <v>108594923</v>
      </c>
      <c r="BO239">
        <v>118159408</v>
      </c>
      <c r="BP239">
        <v>131727500</v>
      </c>
      <c r="BQ239">
        <v>138693494</v>
      </c>
      <c r="BR239">
        <v>175872865</v>
      </c>
      <c r="BS239">
        <v>195644076.80000001</v>
      </c>
      <c r="BT239">
        <v>214936094</v>
      </c>
      <c r="BU239">
        <v>232318775.09999999</v>
      </c>
      <c r="BV239">
        <v>246692569.59999999</v>
      </c>
      <c r="BW239">
        <v>262023503</v>
      </c>
      <c r="BX239">
        <v>264419476</v>
      </c>
      <c r="BY239">
        <v>273553611.39999998</v>
      </c>
      <c r="BZ239">
        <v>290659005.89999998</v>
      </c>
      <c r="CA239">
        <v>302785268.69999999</v>
      </c>
    </row>
    <row r="240" spans="2:79" x14ac:dyDescent="0.3">
      <c r="B240" s="9">
        <v>238</v>
      </c>
      <c r="C240" s="49">
        <v>11261</v>
      </c>
      <c r="D240" s="9">
        <f>YEAR(Tabla1[[#This Row],[Date]])</f>
        <v>1930</v>
      </c>
      <c r="E240" s="9" t="str" cm="1">
        <f t="array" ref="E240">IFERROR(_xlfn.IFS(AND(D240&lt;1980,D240&gt;=1970),"70",AND(D240&lt;1990,D240&gt;=1980),"80",AND(D240&lt;2000,D240&gt;=1990),"90",AND(D240&lt;2010,D240&gt;=2000),"00",AND(D240&lt;=2019,D240&gt;=2010),"10"),"1908-1970")</f>
        <v>1908-1970</v>
      </c>
      <c r="F240" s="3" t="s">
        <v>28931</v>
      </c>
      <c r="G240" t="s">
        <v>5998</v>
      </c>
      <c r="H240" t="s">
        <v>5999</v>
      </c>
      <c r="I240" t="s">
        <v>28931</v>
      </c>
      <c r="J240" t="s">
        <v>28931</v>
      </c>
      <c r="K240" t="s">
        <v>5821</v>
      </c>
      <c r="L240" s="7" t="s">
        <v>28931</v>
      </c>
      <c r="M240" t="s">
        <v>28931</v>
      </c>
      <c r="N240">
        <v>1</v>
      </c>
      <c r="O240">
        <v>0</v>
      </c>
      <c r="P240">
        <v>1</v>
      </c>
      <c r="Q240">
        <v>1</v>
      </c>
      <c r="R240">
        <v>0</v>
      </c>
      <c r="S240">
        <v>1</v>
      </c>
      <c r="T240">
        <v>0</v>
      </c>
      <c r="U240" t="s">
        <v>6000</v>
      </c>
      <c r="V240">
        <f>Tabla1[[#This Row],[Aboard]]-Tabla1[[#This Row],[Fatalities]]</f>
        <v>0</v>
      </c>
      <c r="W240" s="50">
        <f>IFERROR(Tabla1[[#This Row],[Fatalities]]/Tabla1[[#This Row],[Aboard]],0)</f>
        <v>1</v>
      </c>
      <c r="X240" s="51" t="str" cm="1">
        <f t="array" ref="X240">_xlfn.IFS(Tabla1[[#This Row],[Porcentaje de muertes]]&lt;0.35,"LEVE",AND(Tabla1[[#This Row],[Porcentaje de muertes]]&gt;0.35,Tabla1[[#This Row],[Porcentaje de muertes]]&lt;0.65),"MEDIO",Tabla1[[#This Row],[Porcentaje de muertes]]&gt;0.65,"GRAVE")</f>
        <v>GRAVE</v>
      </c>
      <c r="AB240" t="s">
        <v>28817</v>
      </c>
      <c r="AC240" t="s">
        <v>28818</v>
      </c>
      <c r="AD240" t="s">
        <v>28966</v>
      </c>
      <c r="AE240" t="s">
        <v>28966</v>
      </c>
      <c r="AF240" t="s">
        <v>28966</v>
      </c>
      <c r="AG240" t="s">
        <v>28966</v>
      </c>
      <c r="AH240" t="s">
        <v>28966</v>
      </c>
      <c r="AI240" t="s">
        <v>28966</v>
      </c>
      <c r="AJ240" t="s">
        <v>28966</v>
      </c>
      <c r="AK240" t="s">
        <v>28966</v>
      </c>
      <c r="AL240" t="s">
        <v>28966</v>
      </c>
      <c r="AM240" t="s">
        <v>28966</v>
      </c>
      <c r="AN240" t="s">
        <v>28966</v>
      </c>
      <c r="AO240" t="s">
        <v>28966</v>
      </c>
      <c r="AP240" t="s">
        <v>28966</v>
      </c>
      <c r="AQ240" t="s">
        <v>28966</v>
      </c>
      <c r="AR240" t="s">
        <v>28966</v>
      </c>
      <c r="AS240" t="s">
        <v>28966</v>
      </c>
      <c r="AT240" t="s">
        <v>28966</v>
      </c>
      <c r="AU240" t="s">
        <v>28966</v>
      </c>
      <c r="AV240" t="s">
        <v>28966</v>
      </c>
      <c r="AW240" t="s">
        <v>28966</v>
      </c>
      <c r="AX240" t="s">
        <v>28966</v>
      </c>
      <c r="AY240" t="s">
        <v>28966</v>
      </c>
      <c r="AZ240" t="s">
        <v>28966</v>
      </c>
      <c r="BA240" t="s">
        <v>28966</v>
      </c>
      <c r="BB240" t="s">
        <v>28966</v>
      </c>
      <c r="BC240" t="s">
        <v>28966</v>
      </c>
      <c r="BD240" t="s">
        <v>28966</v>
      </c>
      <c r="BE240" t="s">
        <v>28966</v>
      </c>
      <c r="BF240" t="s">
        <v>28966</v>
      </c>
      <c r="BG240" t="s">
        <v>28966</v>
      </c>
      <c r="BH240" t="s">
        <v>28966</v>
      </c>
      <c r="BI240" t="s">
        <v>28966</v>
      </c>
      <c r="BJ240" t="s">
        <v>28966</v>
      </c>
      <c r="BK240" t="s">
        <v>28966</v>
      </c>
      <c r="BL240" t="s">
        <v>28966</v>
      </c>
      <c r="BM240" t="s">
        <v>28966</v>
      </c>
      <c r="BN240" t="s">
        <v>28966</v>
      </c>
      <c r="BO240" t="s">
        <v>28966</v>
      </c>
      <c r="BP240" t="s">
        <v>28966</v>
      </c>
      <c r="BQ240" t="s">
        <v>28966</v>
      </c>
      <c r="BR240" t="s">
        <v>28966</v>
      </c>
      <c r="BS240" t="s">
        <v>28966</v>
      </c>
      <c r="BT240" t="s">
        <v>28966</v>
      </c>
      <c r="BU240" t="s">
        <v>28966</v>
      </c>
      <c r="BV240" t="s">
        <v>28966</v>
      </c>
      <c r="BW240" t="s">
        <v>28966</v>
      </c>
      <c r="BX240" t="s">
        <v>28966</v>
      </c>
      <c r="BY240" t="s">
        <v>28966</v>
      </c>
      <c r="BZ240" t="s">
        <v>28966</v>
      </c>
      <c r="CA240" t="s">
        <v>28966</v>
      </c>
    </row>
    <row r="241" spans="2:79" x14ac:dyDescent="0.3">
      <c r="B241" s="9">
        <v>239</v>
      </c>
      <c r="C241" s="49">
        <v>11150</v>
      </c>
      <c r="D241" s="9">
        <f>YEAR(Tabla1[[#This Row],[Date]])</f>
        <v>1930</v>
      </c>
      <c r="E241" s="9" t="str" cm="1">
        <f t="array" ref="E241">IFERROR(_xlfn.IFS(AND(D241&lt;1980,D241&gt;=1970),"70",AND(D241&lt;1990,D241&gt;=1980),"80",AND(D241&lt;2000,D241&gt;=1990),"90",AND(D241&lt;2010,D241&gt;=2000),"00",AND(D241&lt;=2019,D241&gt;=2010),"10"),"1908-1970")</f>
        <v>1908-1970</v>
      </c>
      <c r="F241" s="3" t="s">
        <v>28931</v>
      </c>
      <c r="G241" t="s">
        <v>6001</v>
      </c>
      <c r="H241" t="s">
        <v>5673</v>
      </c>
      <c r="I241" t="s">
        <v>28931</v>
      </c>
      <c r="J241" t="s">
        <v>6002</v>
      </c>
      <c r="K241" t="s">
        <v>5854</v>
      </c>
      <c r="L241" s="7" t="s">
        <v>6003</v>
      </c>
      <c r="M241">
        <v>921</v>
      </c>
      <c r="N241">
        <v>9</v>
      </c>
      <c r="O241">
        <v>8</v>
      </c>
      <c r="P241">
        <v>1</v>
      </c>
      <c r="Q241">
        <v>1</v>
      </c>
      <c r="R241">
        <v>1</v>
      </c>
      <c r="S241">
        <v>0</v>
      </c>
      <c r="T241">
        <v>0</v>
      </c>
      <c r="U241" t="s">
        <v>6004</v>
      </c>
      <c r="V241">
        <f>Tabla1[[#This Row],[Aboard]]-Tabla1[[#This Row],[Fatalities]]</f>
        <v>8</v>
      </c>
      <c r="W241" s="50">
        <f>IFERROR(Tabla1[[#This Row],[Fatalities]]/Tabla1[[#This Row],[Aboard]],0)</f>
        <v>0.1111111111111111</v>
      </c>
      <c r="X241" s="51" t="str" cm="1">
        <f t="array" ref="X241">_xlfn.IFS(Tabla1[[#This Row],[Porcentaje de muertes]]&lt;0.35,"LEVE",AND(Tabla1[[#This Row],[Porcentaje de muertes]]&gt;0.35,Tabla1[[#This Row],[Porcentaje de muertes]]&lt;0.65),"MEDIO",Tabla1[[#This Row],[Porcentaje de muertes]]&gt;0.65,"GRAVE")</f>
        <v>LEVE</v>
      </c>
      <c r="AB241" t="s">
        <v>28819</v>
      </c>
      <c r="AC241" t="s">
        <v>28820</v>
      </c>
      <c r="AD241">
        <v>3575800</v>
      </c>
      <c r="AE241">
        <v>4124900</v>
      </c>
      <c r="AF241">
        <v>4817000</v>
      </c>
      <c r="AG241">
        <v>5611900</v>
      </c>
      <c r="AH241">
        <v>6920600</v>
      </c>
      <c r="AI241">
        <v>8605400</v>
      </c>
      <c r="AJ241">
        <v>10386000</v>
      </c>
      <c r="AK241">
        <v>11833300</v>
      </c>
      <c r="AL241">
        <v>13058400</v>
      </c>
      <c r="AM241">
        <v>12941600</v>
      </c>
      <c r="AN241">
        <v>13570500</v>
      </c>
      <c r="AO241">
        <v>13987100</v>
      </c>
      <c r="AP241">
        <v>15082400</v>
      </c>
      <c r="AQ241">
        <v>16939000</v>
      </c>
      <c r="AR241">
        <v>17702900</v>
      </c>
      <c r="AS241">
        <v>17521400</v>
      </c>
      <c r="AT241">
        <v>17574800</v>
      </c>
      <c r="AU241">
        <v>18367600</v>
      </c>
      <c r="AV241">
        <v>19326800</v>
      </c>
      <c r="AW241">
        <v>20258200</v>
      </c>
      <c r="AX241">
        <v>20968500</v>
      </c>
      <c r="AY241">
        <v>18725100</v>
      </c>
      <c r="AZ241">
        <v>19938500</v>
      </c>
      <c r="BA241">
        <v>19026300</v>
      </c>
      <c r="BB241">
        <v>20017600</v>
      </c>
      <c r="BC241">
        <v>20833300</v>
      </c>
      <c r="BD241">
        <v>22956900</v>
      </c>
      <c r="BE241">
        <v>26337800</v>
      </c>
      <c r="BF241">
        <v>25271800</v>
      </c>
      <c r="BG241">
        <v>25105400</v>
      </c>
      <c r="BH241">
        <v>26100792</v>
      </c>
      <c r="BI241">
        <v>34079465</v>
      </c>
      <c r="BJ241">
        <v>26788324</v>
      </c>
      <c r="BK241">
        <v>32800028</v>
      </c>
      <c r="BL241">
        <v>30468644</v>
      </c>
      <c r="BM241">
        <v>31260133</v>
      </c>
      <c r="BN241">
        <v>34256632</v>
      </c>
      <c r="BO241">
        <v>36205520</v>
      </c>
      <c r="BP241">
        <v>35864926</v>
      </c>
      <c r="BQ241">
        <v>38021520</v>
      </c>
      <c r="BR241">
        <v>52770471.770000003</v>
      </c>
      <c r="BS241">
        <v>52290259.43</v>
      </c>
      <c r="BT241">
        <v>50973534.93</v>
      </c>
      <c r="BU241">
        <v>53720922.149999999</v>
      </c>
      <c r="BV241">
        <v>54370978.909999996</v>
      </c>
      <c r="BW241">
        <v>50614910</v>
      </c>
      <c r="BX241">
        <v>55760221</v>
      </c>
      <c r="BY241">
        <v>66657459.789999999</v>
      </c>
      <c r="BZ241">
        <v>67240082.920000002</v>
      </c>
      <c r="CA241">
        <v>65811920.689999998</v>
      </c>
    </row>
    <row r="242" spans="2:79" x14ac:dyDescent="0.3">
      <c r="B242" s="9">
        <v>240</v>
      </c>
      <c r="C242" s="49">
        <v>11280</v>
      </c>
      <c r="D242" s="9">
        <f>YEAR(Tabla1[[#This Row],[Date]])</f>
        <v>1930</v>
      </c>
      <c r="E242" s="9" t="str" cm="1">
        <f t="array" ref="E242">IFERROR(_xlfn.IFS(AND(D242&lt;1980,D242&gt;=1970),"70",AND(D242&lt;1990,D242&gt;=1980),"80",AND(D242&lt;2000,D242&gt;=1990),"90",AND(D242&lt;2010,D242&gt;=2000),"00",AND(D242&lt;=2019,D242&gt;=2010),"10"),"1908-1970")</f>
        <v>1908-1970</v>
      </c>
      <c r="F242" s="3">
        <v>0.83333333333333337</v>
      </c>
      <c r="G242" t="s">
        <v>6005</v>
      </c>
      <c r="H242" t="s">
        <v>5445</v>
      </c>
      <c r="I242" t="s">
        <v>28931</v>
      </c>
      <c r="J242" t="s">
        <v>6006</v>
      </c>
      <c r="K242" t="s">
        <v>5558</v>
      </c>
      <c r="L242" s="7" t="s">
        <v>6007</v>
      </c>
      <c r="M242" t="s">
        <v>28931</v>
      </c>
      <c r="N242">
        <v>3</v>
      </c>
      <c r="O242">
        <v>0</v>
      </c>
      <c r="P242">
        <v>3</v>
      </c>
      <c r="Q242">
        <v>3</v>
      </c>
      <c r="R242">
        <v>0</v>
      </c>
      <c r="S242">
        <v>3</v>
      </c>
      <c r="T242" t="s">
        <v>5038</v>
      </c>
      <c r="U242" t="s">
        <v>6008</v>
      </c>
      <c r="V242">
        <f>Tabla1[[#This Row],[Aboard]]-Tabla1[[#This Row],[Fatalities]]</f>
        <v>0</v>
      </c>
      <c r="W242" s="50">
        <f>IFERROR(Tabla1[[#This Row],[Fatalities]]/Tabla1[[#This Row],[Aboard]],0)</f>
        <v>1</v>
      </c>
      <c r="X242" s="51" t="str" cm="1">
        <f t="array" ref="X242">_xlfn.IFS(Tabla1[[#This Row],[Porcentaje de muertes]]&lt;0.35,"LEVE",AND(Tabla1[[#This Row],[Porcentaje de muertes]]&gt;0.35,Tabla1[[#This Row],[Porcentaje de muertes]]&lt;0.65),"MEDIO",Tabla1[[#This Row],[Porcentaje de muertes]]&gt;0.65,"GRAVE")</f>
        <v>GRAVE</v>
      </c>
      <c r="AB242" t="s">
        <v>28821</v>
      </c>
      <c r="AC242" t="s">
        <v>28822</v>
      </c>
      <c r="AD242" t="s">
        <v>28966</v>
      </c>
      <c r="AE242" t="s">
        <v>28966</v>
      </c>
      <c r="AF242" t="s">
        <v>28966</v>
      </c>
      <c r="AG242" t="s">
        <v>28966</v>
      </c>
      <c r="AH242" t="s">
        <v>28966</v>
      </c>
      <c r="AI242" t="s">
        <v>28966</v>
      </c>
      <c r="AJ242" t="s">
        <v>28966</v>
      </c>
      <c r="AK242" t="s">
        <v>28966</v>
      </c>
      <c r="AL242" t="s">
        <v>28966</v>
      </c>
      <c r="AM242" t="s">
        <v>28966</v>
      </c>
      <c r="AN242" t="s">
        <v>28966</v>
      </c>
      <c r="AO242" t="s">
        <v>28966</v>
      </c>
      <c r="AP242" t="s">
        <v>28966</v>
      </c>
      <c r="AQ242" t="s">
        <v>28966</v>
      </c>
      <c r="AR242">
        <v>7800</v>
      </c>
      <c r="AS242">
        <v>8000</v>
      </c>
      <c r="AT242">
        <v>30200</v>
      </c>
      <c r="AU242">
        <v>37300</v>
      </c>
      <c r="AV242">
        <v>33200</v>
      </c>
      <c r="AW242">
        <v>33900</v>
      </c>
      <c r="AX242">
        <v>34600</v>
      </c>
      <c r="AY242">
        <v>34600</v>
      </c>
      <c r="AZ242">
        <v>35300</v>
      </c>
      <c r="BA242">
        <v>35300</v>
      </c>
      <c r="BB242">
        <v>53300</v>
      </c>
      <c r="BC242">
        <v>53300</v>
      </c>
      <c r="BD242">
        <v>56000</v>
      </c>
      <c r="BE242">
        <v>49000</v>
      </c>
      <c r="BF242">
        <v>48800</v>
      </c>
      <c r="BG242">
        <v>50300</v>
      </c>
      <c r="BH242">
        <v>51615</v>
      </c>
      <c r="BI242">
        <v>56777</v>
      </c>
      <c r="BJ242">
        <v>58480</v>
      </c>
      <c r="BK242">
        <v>60819</v>
      </c>
      <c r="BL242">
        <v>75416</v>
      </c>
      <c r="BM242" t="s">
        <v>28966</v>
      </c>
      <c r="BN242" t="s">
        <v>28966</v>
      </c>
      <c r="BO242" t="s">
        <v>28966</v>
      </c>
      <c r="BP242" t="s">
        <v>28966</v>
      </c>
      <c r="BQ242" t="s">
        <v>28966</v>
      </c>
      <c r="BR242" t="s">
        <v>28966</v>
      </c>
      <c r="BS242" t="s">
        <v>28966</v>
      </c>
      <c r="BT242" t="s">
        <v>28966</v>
      </c>
      <c r="BU242" t="s">
        <v>28966</v>
      </c>
      <c r="BV242" t="s">
        <v>28966</v>
      </c>
      <c r="BW242" t="s">
        <v>28966</v>
      </c>
      <c r="BX242" t="s">
        <v>28966</v>
      </c>
      <c r="BY242" t="s">
        <v>28966</v>
      </c>
      <c r="BZ242" t="s">
        <v>28966</v>
      </c>
      <c r="CA242" t="s">
        <v>28966</v>
      </c>
    </row>
    <row r="243" spans="2:79" x14ac:dyDescent="0.3">
      <c r="B243" s="9">
        <v>241</v>
      </c>
      <c r="C243" s="49">
        <v>11213</v>
      </c>
      <c r="D243" s="9">
        <f>YEAR(Tabla1[[#This Row],[Date]])</f>
        <v>1930</v>
      </c>
      <c r="E243" s="9" t="str" cm="1">
        <f t="array" ref="E243">IFERROR(_xlfn.IFS(AND(D243&lt;1980,D243&gt;=1970),"70",AND(D243&lt;1990,D243&gt;=1980),"80",AND(D243&lt;2000,D243&gt;=1990),"90",AND(D243&lt;2010,D243&gt;=2000),"00",AND(D243&lt;=2019,D243&gt;=2010),"10"),"1908-1970")</f>
        <v>1908-1970</v>
      </c>
      <c r="F243" s="3" t="s">
        <v>28931</v>
      </c>
      <c r="G243" t="s">
        <v>6009</v>
      </c>
      <c r="H243" t="s">
        <v>6010</v>
      </c>
      <c r="I243" t="s">
        <v>28931</v>
      </c>
      <c r="J243" t="s">
        <v>6011</v>
      </c>
      <c r="K243" t="s">
        <v>6012</v>
      </c>
      <c r="L243" s="7" t="s">
        <v>28931</v>
      </c>
      <c r="M243" t="s">
        <v>28931</v>
      </c>
      <c r="N243">
        <v>6</v>
      </c>
      <c r="O243">
        <v>4</v>
      </c>
      <c r="P243">
        <v>2</v>
      </c>
      <c r="Q243">
        <v>4</v>
      </c>
      <c r="R243">
        <v>2</v>
      </c>
      <c r="S243">
        <v>2</v>
      </c>
      <c r="T243">
        <v>0</v>
      </c>
      <c r="U243" t="s">
        <v>6013</v>
      </c>
      <c r="V243">
        <f>Tabla1[[#This Row],[Aboard]]-Tabla1[[#This Row],[Fatalities]]</f>
        <v>2</v>
      </c>
      <c r="W243" s="50">
        <f>IFERROR(Tabla1[[#This Row],[Fatalities]]/Tabla1[[#This Row],[Aboard]],0)</f>
        <v>0.66666666666666663</v>
      </c>
      <c r="X243" s="51" t="str" cm="1">
        <f t="array" ref="X243">_xlfn.IFS(Tabla1[[#This Row],[Porcentaje de muertes]]&lt;0.35,"LEVE",AND(Tabla1[[#This Row],[Porcentaje de muertes]]&gt;0.35,Tabla1[[#This Row],[Porcentaje de muertes]]&lt;0.65),"MEDIO",Tabla1[[#This Row],[Porcentaje de muertes]]&gt;0.65,"GRAVE")</f>
        <v>GRAVE</v>
      </c>
      <c r="AB243" t="s">
        <v>28823</v>
      </c>
      <c r="AC243" t="s">
        <v>28824</v>
      </c>
      <c r="AD243">
        <v>4400200</v>
      </c>
      <c r="AE243">
        <v>4070900</v>
      </c>
      <c r="AF243">
        <v>4363900</v>
      </c>
      <c r="AG243">
        <v>5141900</v>
      </c>
      <c r="AH243">
        <v>4983200</v>
      </c>
      <c r="AI243">
        <v>6225200</v>
      </c>
      <c r="AJ243">
        <v>7422400</v>
      </c>
      <c r="AK243">
        <v>8481700</v>
      </c>
      <c r="AL243">
        <v>9790500</v>
      </c>
      <c r="AM243">
        <v>10583900</v>
      </c>
      <c r="AN243">
        <v>10964100</v>
      </c>
      <c r="AO243">
        <v>12195300</v>
      </c>
      <c r="AP243">
        <v>13529900</v>
      </c>
      <c r="AQ243">
        <v>14473100</v>
      </c>
      <c r="AR243">
        <v>15846600</v>
      </c>
      <c r="AS243">
        <v>17084600</v>
      </c>
      <c r="AT243">
        <v>18061800</v>
      </c>
      <c r="AU243">
        <v>19186000</v>
      </c>
      <c r="AV243">
        <v>20656900</v>
      </c>
      <c r="AW243">
        <v>20406500</v>
      </c>
      <c r="AX243">
        <v>18916100</v>
      </c>
      <c r="AY243">
        <v>18692200</v>
      </c>
      <c r="AZ243">
        <v>19784000</v>
      </c>
      <c r="BA243">
        <v>18013800</v>
      </c>
      <c r="BB243">
        <v>20433000</v>
      </c>
      <c r="BC243">
        <v>23175700</v>
      </c>
      <c r="BD243">
        <v>22444800</v>
      </c>
      <c r="BE243">
        <v>25538500</v>
      </c>
      <c r="BF243">
        <v>25389700</v>
      </c>
      <c r="BG243">
        <v>25506900</v>
      </c>
      <c r="BH243">
        <v>26822530</v>
      </c>
      <c r="BI243">
        <v>26775369</v>
      </c>
      <c r="BJ243">
        <v>25502242</v>
      </c>
      <c r="BK243">
        <v>27975359</v>
      </c>
      <c r="BL243">
        <v>33660738</v>
      </c>
      <c r="BM243">
        <v>38307149</v>
      </c>
      <c r="BN243">
        <v>51488173</v>
      </c>
      <c r="BO243">
        <v>62460543</v>
      </c>
      <c r="BP243">
        <v>60323625</v>
      </c>
      <c r="BQ243">
        <v>64195666</v>
      </c>
      <c r="BR243">
        <v>78888194.890000001</v>
      </c>
      <c r="BS243">
        <v>91031850.069999993</v>
      </c>
      <c r="BT243">
        <v>89645445.180000007</v>
      </c>
      <c r="BU243">
        <v>93893397.489999995</v>
      </c>
      <c r="BV243">
        <v>102251106.59999999</v>
      </c>
      <c r="BW243">
        <v>120221878</v>
      </c>
      <c r="BX243">
        <v>142492664</v>
      </c>
      <c r="BY243">
        <v>162908959.59999999</v>
      </c>
      <c r="BZ243">
        <v>189594450.59999999</v>
      </c>
      <c r="CA243">
        <v>190685363.30000001</v>
      </c>
    </row>
    <row r="244" spans="2:79" x14ac:dyDescent="0.3">
      <c r="B244" s="9">
        <v>242</v>
      </c>
      <c r="C244" s="49">
        <v>11536</v>
      </c>
      <c r="D244" s="9">
        <f>YEAR(Tabla1[[#This Row],[Date]])</f>
        <v>1931</v>
      </c>
      <c r="E244" s="9" t="str" cm="1">
        <f t="array" ref="E244">IFERROR(_xlfn.IFS(AND(D244&lt;1980,D244&gt;=1970),"70",AND(D244&lt;1990,D244&gt;=1980),"80",AND(D244&lt;2000,D244&gt;=1990),"90",AND(D244&lt;2010,D244&gt;=2000),"00",AND(D244&lt;=2019,D244&gt;=2010),"10"),"1908-1970")</f>
        <v>1908-1970</v>
      </c>
      <c r="F244" s="3">
        <v>0.94444444444444453</v>
      </c>
      <c r="G244" t="s">
        <v>6014</v>
      </c>
      <c r="H244" t="s">
        <v>5957</v>
      </c>
      <c r="I244" t="s">
        <v>28931</v>
      </c>
      <c r="J244" t="s">
        <v>6015</v>
      </c>
      <c r="K244" t="s">
        <v>5451</v>
      </c>
      <c r="L244" s="7" t="s">
        <v>6016</v>
      </c>
      <c r="M244">
        <v>1930</v>
      </c>
      <c r="N244">
        <v>2</v>
      </c>
      <c r="O244">
        <v>0</v>
      </c>
      <c r="P244">
        <v>2</v>
      </c>
      <c r="Q244">
        <v>2</v>
      </c>
      <c r="R244">
        <v>0</v>
      </c>
      <c r="S244">
        <v>2</v>
      </c>
      <c r="T244">
        <v>0</v>
      </c>
      <c r="U244" t="s">
        <v>6017</v>
      </c>
      <c r="V244">
        <f>Tabla1[[#This Row],[Aboard]]-Tabla1[[#This Row],[Fatalities]]</f>
        <v>0</v>
      </c>
      <c r="W244" s="50">
        <f>IFERROR(Tabla1[[#This Row],[Fatalities]]/Tabla1[[#This Row],[Aboard]],0)</f>
        <v>1</v>
      </c>
      <c r="X244" s="51" t="str" cm="1">
        <f t="array" ref="X244">_xlfn.IFS(Tabla1[[#This Row],[Porcentaje de muertes]]&lt;0.35,"LEVE",AND(Tabla1[[#This Row],[Porcentaje de muertes]]&gt;0.35,Tabla1[[#This Row],[Porcentaje de muertes]]&lt;0.65),"MEDIO",Tabla1[[#This Row],[Porcentaje de muertes]]&gt;0.65,"GRAVE")</f>
        <v>GRAVE</v>
      </c>
      <c r="AB244" t="s">
        <v>28825</v>
      </c>
      <c r="AC244" t="s">
        <v>28826</v>
      </c>
      <c r="AD244">
        <v>4585300</v>
      </c>
      <c r="AE244">
        <v>5013400</v>
      </c>
      <c r="AF244">
        <v>5360200</v>
      </c>
      <c r="AG244">
        <v>6261300</v>
      </c>
      <c r="AH244">
        <v>6811800</v>
      </c>
      <c r="AI244">
        <v>7320600</v>
      </c>
      <c r="AJ244">
        <v>8580400</v>
      </c>
      <c r="AK244">
        <v>8761000</v>
      </c>
      <c r="AL244">
        <v>9739500</v>
      </c>
      <c r="AM244">
        <v>11291300</v>
      </c>
      <c r="AN244">
        <v>13019500</v>
      </c>
      <c r="AO244">
        <v>14210700</v>
      </c>
      <c r="AP244">
        <v>14279000</v>
      </c>
      <c r="AQ244">
        <v>14397500</v>
      </c>
      <c r="AR244">
        <v>14786200</v>
      </c>
      <c r="AS244">
        <v>15179600</v>
      </c>
      <c r="AT244">
        <v>14090900</v>
      </c>
      <c r="AU244">
        <v>14322400</v>
      </c>
      <c r="AV244">
        <v>14862300</v>
      </c>
      <c r="AW244">
        <v>14713200</v>
      </c>
      <c r="AX244">
        <v>14808400</v>
      </c>
      <c r="AY244">
        <v>14208800</v>
      </c>
      <c r="AZ244">
        <v>13512500</v>
      </c>
      <c r="BA244">
        <v>13923000</v>
      </c>
      <c r="BB244">
        <v>14942600</v>
      </c>
      <c r="BC244">
        <v>15368600</v>
      </c>
      <c r="BD244">
        <v>16034300</v>
      </c>
      <c r="BE244">
        <v>16477400</v>
      </c>
      <c r="BF244">
        <v>16242300</v>
      </c>
      <c r="BG244">
        <v>17122000</v>
      </c>
      <c r="BH244">
        <v>17912857</v>
      </c>
      <c r="BI244">
        <v>17173516</v>
      </c>
      <c r="BJ244">
        <v>16535011</v>
      </c>
      <c r="BK244">
        <v>17883529</v>
      </c>
      <c r="BL244">
        <v>20167567</v>
      </c>
      <c r="BM244">
        <v>23620094</v>
      </c>
      <c r="BN244">
        <v>25775571</v>
      </c>
      <c r="BO244">
        <v>27232504</v>
      </c>
      <c r="BP244">
        <v>28096606</v>
      </c>
      <c r="BQ244">
        <v>27748907</v>
      </c>
      <c r="BR244">
        <v>38191509.140000001</v>
      </c>
      <c r="BS244">
        <v>42648276.399999999</v>
      </c>
      <c r="BT244">
        <v>45408840.799999997</v>
      </c>
      <c r="BU244">
        <v>43790341.82</v>
      </c>
      <c r="BV244">
        <v>44380996.119999997</v>
      </c>
      <c r="BW244">
        <v>47850992</v>
      </c>
      <c r="BX244">
        <v>49683303</v>
      </c>
      <c r="BY244">
        <v>54260831.079999998</v>
      </c>
      <c r="BZ244">
        <v>64951730.359999999</v>
      </c>
      <c r="CA244">
        <v>65681845.020000003</v>
      </c>
    </row>
    <row r="245" spans="2:79" x14ac:dyDescent="0.3">
      <c r="B245" s="9">
        <v>243</v>
      </c>
      <c r="C245" s="49">
        <v>11345</v>
      </c>
      <c r="D245" s="9">
        <f>YEAR(Tabla1[[#This Row],[Date]])</f>
        <v>1931</v>
      </c>
      <c r="E245" s="9" t="str" cm="1">
        <f t="array" ref="E245">IFERROR(_xlfn.IFS(AND(D245&lt;1980,D245&gt;=1970),"70",AND(D245&lt;1990,D245&gt;=1980),"80",AND(D245&lt;2000,D245&gt;=1990),"90",AND(D245&lt;2010,D245&gt;=2000),"00",AND(D245&lt;=2019,D245&gt;=2010),"10"),"1908-1970")</f>
        <v>1908-1970</v>
      </c>
      <c r="F245" s="3" t="s">
        <v>28931</v>
      </c>
      <c r="G245" t="s">
        <v>6018</v>
      </c>
      <c r="H245" t="s">
        <v>5465</v>
      </c>
      <c r="I245" t="s">
        <v>28931</v>
      </c>
      <c r="J245" t="s">
        <v>6019</v>
      </c>
      <c r="K245" t="s">
        <v>5558</v>
      </c>
      <c r="L245" s="7" t="s">
        <v>6020</v>
      </c>
      <c r="M245">
        <v>1422</v>
      </c>
      <c r="N245">
        <v>1</v>
      </c>
      <c r="O245">
        <v>0</v>
      </c>
      <c r="P245">
        <v>1</v>
      </c>
      <c r="Q245">
        <v>1</v>
      </c>
      <c r="R245">
        <v>0</v>
      </c>
      <c r="S245">
        <v>1</v>
      </c>
      <c r="T245">
        <v>0</v>
      </c>
      <c r="U245" t="s">
        <v>6021</v>
      </c>
      <c r="V245">
        <f>Tabla1[[#This Row],[Aboard]]-Tabla1[[#This Row],[Fatalities]]</f>
        <v>0</v>
      </c>
      <c r="W245" s="50">
        <f>IFERROR(Tabla1[[#This Row],[Fatalities]]/Tabla1[[#This Row],[Aboard]],0)</f>
        <v>1</v>
      </c>
      <c r="X245" s="51" t="str" cm="1">
        <f t="array" ref="X245">_xlfn.IFS(Tabla1[[#This Row],[Porcentaje de muertes]]&lt;0.35,"LEVE",AND(Tabla1[[#This Row],[Porcentaje de muertes]]&gt;0.35,Tabla1[[#This Row],[Porcentaje de muertes]]&lt;0.65),"MEDIO",Tabla1[[#This Row],[Porcentaje de muertes]]&gt;0.65,"GRAVE")</f>
        <v>GRAVE</v>
      </c>
      <c r="AB245" t="s">
        <v>28827</v>
      </c>
      <c r="AC245" t="s">
        <v>28828</v>
      </c>
      <c r="AD245">
        <v>361100</v>
      </c>
      <c r="AE245">
        <v>362400</v>
      </c>
      <c r="AF245">
        <v>319900</v>
      </c>
      <c r="AG245">
        <v>324700</v>
      </c>
      <c r="AH245">
        <v>335700</v>
      </c>
      <c r="AI245">
        <v>595000</v>
      </c>
      <c r="AJ245">
        <v>683800</v>
      </c>
      <c r="AK245">
        <v>591100</v>
      </c>
      <c r="AL245">
        <v>428100</v>
      </c>
      <c r="AM245">
        <v>659200</v>
      </c>
      <c r="AN245">
        <v>877200</v>
      </c>
      <c r="AO245">
        <v>1301500</v>
      </c>
      <c r="AP245">
        <v>1380700</v>
      </c>
      <c r="AQ245">
        <v>1344700</v>
      </c>
      <c r="AR245">
        <v>1398000</v>
      </c>
      <c r="AS245">
        <v>1299500</v>
      </c>
      <c r="AT245">
        <v>1342400</v>
      </c>
      <c r="AU245">
        <v>1312300</v>
      </c>
      <c r="AV245">
        <v>1296100</v>
      </c>
      <c r="AW245">
        <v>1310400</v>
      </c>
      <c r="AX245">
        <v>1285400</v>
      </c>
      <c r="AY245">
        <v>1345300</v>
      </c>
      <c r="AZ245">
        <v>1354000</v>
      </c>
      <c r="BA245">
        <v>1389000</v>
      </c>
      <c r="BB245">
        <v>1642100</v>
      </c>
      <c r="BC245">
        <v>1727000</v>
      </c>
      <c r="BD245">
        <v>897200</v>
      </c>
      <c r="BE245">
        <v>807500</v>
      </c>
      <c r="BF245">
        <v>804400</v>
      </c>
      <c r="BG245">
        <v>1111700</v>
      </c>
      <c r="BH245">
        <v>1254425</v>
      </c>
      <c r="BI245">
        <v>1387639</v>
      </c>
      <c r="BJ245">
        <v>1268879</v>
      </c>
      <c r="BK245">
        <v>1084186</v>
      </c>
      <c r="BL245">
        <v>1132392</v>
      </c>
      <c r="BM245">
        <v>1055106</v>
      </c>
      <c r="BN245">
        <v>1024304</v>
      </c>
      <c r="BO245">
        <v>1085650</v>
      </c>
      <c r="BP245">
        <v>1102669</v>
      </c>
      <c r="BQ245">
        <v>1014016</v>
      </c>
      <c r="BR245">
        <v>1842253</v>
      </c>
      <c r="BS245">
        <v>2625055.713</v>
      </c>
      <c r="BT245">
        <v>2625055.713</v>
      </c>
      <c r="BU245">
        <v>2865852</v>
      </c>
      <c r="BV245">
        <v>2732100</v>
      </c>
      <c r="BW245">
        <v>2617843</v>
      </c>
      <c r="BX245">
        <v>2598521</v>
      </c>
      <c r="BY245">
        <v>2582961</v>
      </c>
      <c r="BZ245">
        <v>2458183</v>
      </c>
      <c r="CA245">
        <v>2583595</v>
      </c>
    </row>
    <row r="246" spans="2:79" x14ac:dyDescent="0.3">
      <c r="B246" s="9">
        <v>244</v>
      </c>
      <c r="C246" s="49">
        <v>11537</v>
      </c>
      <c r="D246" s="9">
        <f>YEAR(Tabla1[[#This Row],[Date]])</f>
        <v>1931</v>
      </c>
      <c r="E246" s="9" t="str" cm="1">
        <f t="array" ref="E246">IFERROR(_xlfn.IFS(AND(D246&lt;1980,D246&gt;=1970),"70",AND(D246&lt;1990,D246&gt;=1980),"80",AND(D246&lt;2000,D246&gt;=1990),"90",AND(D246&lt;2010,D246&gt;=2000),"00",AND(D246&lt;=2019,D246&gt;=2010),"10"),"1908-1970")</f>
        <v>1908-1970</v>
      </c>
      <c r="F246" s="3" t="s">
        <v>28931</v>
      </c>
      <c r="G246" t="s">
        <v>6022</v>
      </c>
      <c r="H246" t="s">
        <v>6023</v>
      </c>
      <c r="I246" t="s">
        <v>28931</v>
      </c>
      <c r="J246" t="s">
        <v>6024</v>
      </c>
      <c r="K246" t="s">
        <v>6025</v>
      </c>
      <c r="L246" s="7" t="s">
        <v>6026</v>
      </c>
      <c r="M246" t="s">
        <v>6027</v>
      </c>
      <c r="N246">
        <v>3</v>
      </c>
      <c r="O246">
        <v>2</v>
      </c>
      <c r="P246">
        <v>1</v>
      </c>
      <c r="Q246">
        <v>3</v>
      </c>
      <c r="R246">
        <v>2</v>
      </c>
      <c r="S246">
        <v>1</v>
      </c>
      <c r="T246">
        <v>0</v>
      </c>
      <c r="U246" t="s">
        <v>6028</v>
      </c>
      <c r="V246">
        <f>Tabla1[[#This Row],[Aboard]]-Tabla1[[#This Row],[Fatalities]]</f>
        <v>0</v>
      </c>
      <c r="W246" s="50">
        <f>IFERROR(Tabla1[[#This Row],[Fatalities]]/Tabla1[[#This Row],[Aboard]],0)</f>
        <v>1</v>
      </c>
      <c r="X246" s="51" t="str" cm="1">
        <f t="array" ref="X246">_xlfn.IFS(Tabla1[[#This Row],[Porcentaje de muertes]]&lt;0.35,"LEVE",AND(Tabla1[[#This Row],[Porcentaje de muertes]]&gt;0.35,Tabla1[[#This Row],[Porcentaje de muertes]]&lt;0.65),"MEDIO",Tabla1[[#This Row],[Porcentaje de muertes]]&gt;0.65,"GRAVE")</f>
        <v>GRAVE</v>
      </c>
      <c r="AB246" t="s">
        <v>28829</v>
      </c>
      <c r="AC246" t="s">
        <v>28830</v>
      </c>
      <c r="AD246">
        <v>244800</v>
      </c>
      <c r="AE246">
        <v>308900</v>
      </c>
      <c r="AF246">
        <v>375100</v>
      </c>
      <c r="AG246">
        <v>485600</v>
      </c>
      <c r="AH246">
        <v>629600</v>
      </c>
      <c r="AI246">
        <v>782000</v>
      </c>
      <c r="AJ246">
        <v>809300</v>
      </c>
      <c r="AK246">
        <v>855500</v>
      </c>
      <c r="AL246">
        <v>963000</v>
      </c>
      <c r="AM246">
        <v>1088800</v>
      </c>
      <c r="AN246">
        <v>978200</v>
      </c>
      <c r="AO246">
        <v>1140900</v>
      </c>
      <c r="AP246">
        <v>1209100</v>
      </c>
      <c r="AQ246">
        <v>1258100</v>
      </c>
      <c r="AR246">
        <v>1254900</v>
      </c>
      <c r="AS246">
        <v>1281600</v>
      </c>
      <c r="AT246">
        <v>1054800</v>
      </c>
      <c r="AU246">
        <v>1203300</v>
      </c>
      <c r="AV246">
        <v>1210300</v>
      </c>
      <c r="AW246">
        <v>1315400</v>
      </c>
      <c r="AX246">
        <v>1313000</v>
      </c>
      <c r="AY246">
        <v>1201200</v>
      </c>
      <c r="AZ246">
        <v>1249900</v>
      </c>
      <c r="BA246">
        <v>1351000</v>
      </c>
      <c r="BB246">
        <v>1390800</v>
      </c>
      <c r="BC246">
        <v>1419400</v>
      </c>
      <c r="BD246">
        <v>1371200</v>
      </c>
      <c r="BE246">
        <v>1779300</v>
      </c>
      <c r="BF246">
        <v>1859000</v>
      </c>
      <c r="BG246">
        <v>1922600</v>
      </c>
      <c r="BH246">
        <v>1907876</v>
      </c>
      <c r="BI246">
        <v>1926118</v>
      </c>
      <c r="BJ246">
        <v>1789327</v>
      </c>
      <c r="BK246">
        <v>1719524</v>
      </c>
      <c r="BL246">
        <v>1940037</v>
      </c>
      <c r="BM246">
        <v>1996699</v>
      </c>
      <c r="BN246">
        <v>2054641</v>
      </c>
      <c r="BO246">
        <v>2054679</v>
      </c>
      <c r="BP246">
        <v>2274580</v>
      </c>
      <c r="BQ246">
        <v>2278964</v>
      </c>
      <c r="BR246">
        <v>2739634</v>
      </c>
      <c r="BS246">
        <v>3153388.977</v>
      </c>
      <c r="BT246">
        <v>3580910.219</v>
      </c>
      <c r="BU246">
        <v>4648608</v>
      </c>
      <c r="BV246">
        <v>4628511</v>
      </c>
      <c r="BW246">
        <v>3496190</v>
      </c>
      <c r="BX246">
        <v>3606247</v>
      </c>
      <c r="BY246">
        <v>3963968</v>
      </c>
      <c r="BZ246">
        <v>4274199</v>
      </c>
      <c r="CA246">
        <v>4335325</v>
      </c>
    </row>
    <row r="247" spans="2:79" x14ac:dyDescent="0.3">
      <c r="B247" s="9">
        <v>245</v>
      </c>
      <c r="C247" s="49">
        <v>11374</v>
      </c>
      <c r="D247" s="9">
        <f>YEAR(Tabla1[[#This Row],[Date]])</f>
        <v>1931</v>
      </c>
      <c r="E247" s="9" t="str" cm="1">
        <f t="array" ref="E247">IFERROR(_xlfn.IFS(AND(D247&lt;1980,D247&gt;=1970),"70",AND(D247&lt;1990,D247&gt;=1980),"80",AND(D247&lt;2000,D247&gt;=1990),"90",AND(D247&lt;2010,D247&gt;=2000),"00",AND(D247&lt;=2019,D247&gt;=2010),"10"),"1908-1970")</f>
        <v>1908-1970</v>
      </c>
      <c r="F247" s="3" t="s">
        <v>28931</v>
      </c>
      <c r="G247" t="s">
        <v>6029</v>
      </c>
      <c r="H247" t="s">
        <v>5963</v>
      </c>
      <c r="I247" t="s">
        <v>28931</v>
      </c>
      <c r="J247" t="s">
        <v>6030</v>
      </c>
      <c r="K247" t="s">
        <v>6031</v>
      </c>
      <c r="L247" s="7" t="s">
        <v>28931</v>
      </c>
      <c r="M247" t="s">
        <v>28931</v>
      </c>
      <c r="N247">
        <v>3</v>
      </c>
      <c r="O247">
        <v>2</v>
      </c>
      <c r="P247">
        <v>1</v>
      </c>
      <c r="Q247">
        <v>2</v>
      </c>
      <c r="R247">
        <v>2</v>
      </c>
      <c r="S247">
        <v>0</v>
      </c>
      <c r="T247">
        <v>0</v>
      </c>
      <c r="U247" t="s">
        <v>6032</v>
      </c>
      <c r="V247">
        <f>Tabla1[[#This Row],[Aboard]]-Tabla1[[#This Row],[Fatalities]]</f>
        <v>1</v>
      </c>
      <c r="W247" s="50">
        <f>IFERROR(Tabla1[[#This Row],[Fatalities]]/Tabla1[[#This Row],[Aboard]],0)</f>
        <v>0.66666666666666663</v>
      </c>
      <c r="X247" s="51" t="str" cm="1">
        <f t="array" ref="X247">_xlfn.IFS(Tabla1[[#This Row],[Porcentaje de muertes]]&lt;0.35,"LEVE",AND(Tabla1[[#This Row],[Porcentaje de muertes]]&gt;0.35,Tabla1[[#This Row],[Porcentaje de muertes]]&lt;0.65),"MEDIO",Tabla1[[#This Row],[Porcentaje de muertes]]&gt;0.65,"GRAVE")</f>
        <v>GRAVE</v>
      </c>
      <c r="AB247" t="s">
        <v>28831</v>
      </c>
      <c r="AC247" t="s">
        <v>28832</v>
      </c>
      <c r="AD247">
        <v>1035700</v>
      </c>
      <c r="AE247">
        <v>1476000</v>
      </c>
      <c r="AF247">
        <v>1774500</v>
      </c>
      <c r="AG247">
        <v>2222800</v>
      </c>
      <c r="AH247">
        <v>1795100</v>
      </c>
      <c r="AI247">
        <v>1777800</v>
      </c>
      <c r="AJ247">
        <v>2427300</v>
      </c>
      <c r="AK247">
        <v>2751700</v>
      </c>
      <c r="AL247">
        <v>2221500</v>
      </c>
      <c r="AM247">
        <v>2458400</v>
      </c>
      <c r="AN247">
        <v>1253700</v>
      </c>
      <c r="AO247">
        <v>2071300</v>
      </c>
      <c r="AP247">
        <v>2094600</v>
      </c>
      <c r="AQ247">
        <v>2233600</v>
      </c>
      <c r="AR247">
        <v>2575400</v>
      </c>
      <c r="AS247">
        <v>2508000</v>
      </c>
      <c r="AT247">
        <v>2721900</v>
      </c>
      <c r="AU247">
        <v>3260900</v>
      </c>
      <c r="AV247">
        <v>3497300</v>
      </c>
      <c r="AW247">
        <v>3792300</v>
      </c>
      <c r="AX247">
        <v>4337100</v>
      </c>
      <c r="AY247">
        <v>3160000</v>
      </c>
      <c r="AZ247">
        <v>4958600</v>
      </c>
      <c r="BA247">
        <v>6076800</v>
      </c>
      <c r="BB247">
        <v>6871600</v>
      </c>
      <c r="BC247">
        <v>7749000</v>
      </c>
      <c r="BD247">
        <v>8463900</v>
      </c>
      <c r="BE247">
        <v>9379900</v>
      </c>
      <c r="BF247">
        <v>9949300</v>
      </c>
      <c r="BG247">
        <v>10097300</v>
      </c>
      <c r="BH247">
        <v>12187891</v>
      </c>
      <c r="BI247">
        <v>10603908</v>
      </c>
      <c r="BJ247">
        <v>10686877</v>
      </c>
      <c r="BK247">
        <v>10745444</v>
      </c>
      <c r="BL247">
        <v>14275835</v>
      </c>
      <c r="BM247">
        <v>16943828</v>
      </c>
      <c r="BN247">
        <v>19361415</v>
      </c>
      <c r="BO247">
        <v>22895275</v>
      </c>
      <c r="BP247">
        <v>25505092</v>
      </c>
      <c r="BQ247">
        <v>31339441</v>
      </c>
      <c r="BR247">
        <v>45665249</v>
      </c>
      <c r="BS247">
        <v>53500303</v>
      </c>
      <c r="BT247">
        <v>63350312</v>
      </c>
      <c r="BU247">
        <v>74413804.620000005</v>
      </c>
      <c r="BV247">
        <v>84574844</v>
      </c>
      <c r="BW247">
        <v>96604665</v>
      </c>
      <c r="BX247">
        <v>100366461</v>
      </c>
      <c r="BY247">
        <v>107917326</v>
      </c>
      <c r="BZ247">
        <v>115595495.8</v>
      </c>
      <c r="CA247">
        <v>111028629</v>
      </c>
    </row>
    <row r="248" spans="2:79" x14ac:dyDescent="0.3">
      <c r="B248" s="9">
        <v>246</v>
      </c>
      <c r="C248" s="49">
        <v>11378</v>
      </c>
      <c r="D248" s="9">
        <f>YEAR(Tabla1[[#This Row],[Date]])</f>
        <v>1931</v>
      </c>
      <c r="E248" s="9" t="str" cm="1">
        <f t="array" ref="E248">IFERROR(_xlfn.IFS(AND(D248&lt;1980,D248&gt;=1970),"70",AND(D248&lt;1990,D248&gt;=1980),"80",AND(D248&lt;2000,D248&gt;=1990),"90",AND(D248&lt;2010,D248&gt;=2000),"00",AND(D248&lt;=2019,D248&gt;=2010),"10"),"1908-1970")</f>
        <v>1908-1970</v>
      </c>
      <c r="F248" s="3" t="s">
        <v>28931</v>
      </c>
      <c r="G248" t="s">
        <v>6033</v>
      </c>
      <c r="H248" t="s">
        <v>5182</v>
      </c>
      <c r="I248" t="s">
        <v>28931</v>
      </c>
      <c r="J248" t="s">
        <v>6034</v>
      </c>
      <c r="K248" t="s">
        <v>5649</v>
      </c>
      <c r="L248" s="7" t="s">
        <v>6035</v>
      </c>
      <c r="M248">
        <v>84</v>
      </c>
      <c r="N248">
        <v>3</v>
      </c>
      <c r="O248">
        <v>0</v>
      </c>
      <c r="P248">
        <v>3</v>
      </c>
      <c r="Q248">
        <v>1</v>
      </c>
      <c r="R248">
        <v>0</v>
      </c>
      <c r="S248">
        <v>1</v>
      </c>
      <c r="T248">
        <v>0</v>
      </c>
      <c r="U248" t="s">
        <v>6036</v>
      </c>
      <c r="V248">
        <f>Tabla1[[#This Row],[Aboard]]-Tabla1[[#This Row],[Fatalities]]</f>
        <v>2</v>
      </c>
      <c r="W248" s="50">
        <f>IFERROR(Tabla1[[#This Row],[Fatalities]]/Tabla1[[#This Row],[Aboard]],0)</f>
        <v>0.33333333333333331</v>
      </c>
      <c r="X248" s="51" t="str" cm="1">
        <f t="array" ref="X248">_xlfn.IFS(Tabla1[[#This Row],[Porcentaje de muertes]]&lt;0.35,"LEVE",AND(Tabla1[[#This Row],[Porcentaje de muertes]]&gt;0.35,Tabla1[[#This Row],[Porcentaje de muertes]]&lt;0.65),"MEDIO",Tabla1[[#This Row],[Porcentaje de muertes]]&gt;0.65,"GRAVE")</f>
        <v>LEVE</v>
      </c>
      <c r="AB248" t="s">
        <v>28833</v>
      </c>
      <c r="AC248" t="s">
        <v>28834</v>
      </c>
      <c r="AD248" t="s">
        <v>28966</v>
      </c>
      <c r="AE248" t="s">
        <v>28966</v>
      </c>
      <c r="AF248" t="s">
        <v>28966</v>
      </c>
      <c r="AG248" t="s">
        <v>28966</v>
      </c>
      <c r="AH248" t="s">
        <v>28966</v>
      </c>
      <c r="AI248" t="s">
        <v>28966</v>
      </c>
      <c r="AJ248" t="s">
        <v>28966</v>
      </c>
      <c r="AK248" t="s">
        <v>28966</v>
      </c>
      <c r="AL248" t="s">
        <v>28966</v>
      </c>
      <c r="AM248" t="s">
        <v>28966</v>
      </c>
      <c r="AN248" t="s">
        <v>28966</v>
      </c>
      <c r="AO248" t="s">
        <v>28966</v>
      </c>
      <c r="AP248" t="s">
        <v>28966</v>
      </c>
      <c r="AQ248" t="s">
        <v>28966</v>
      </c>
      <c r="AR248" t="s">
        <v>28966</v>
      </c>
      <c r="AS248" t="s">
        <v>28966</v>
      </c>
      <c r="AT248" t="s">
        <v>28966</v>
      </c>
      <c r="AU248" t="s">
        <v>28966</v>
      </c>
      <c r="AV248" t="s">
        <v>28966</v>
      </c>
      <c r="AW248" t="s">
        <v>28966</v>
      </c>
      <c r="AX248" t="s">
        <v>28966</v>
      </c>
      <c r="AY248" t="s">
        <v>28966</v>
      </c>
      <c r="AZ248" t="s">
        <v>28966</v>
      </c>
      <c r="BA248" t="s">
        <v>28966</v>
      </c>
      <c r="BB248" t="s">
        <v>28966</v>
      </c>
      <c r="BC248" t="s">
        <v>28966</v>
      </c>
      <c r="BD248" t="s">
        <v>28966</v>
      </c>
      <c r="BE248" t="s">
        <v>28966</v>
      </c>
      <c r="BF248" t="s">
        <v>28966</v>
      </c>
      <c r="BG248" t="s">
        <v>28966</v>
      </c>
      <c r="BH248" t="s">
        <v>28966</v>
      </c>
      <c r="BI248" t="s">
        <v>28966</v>
      </c>
      <c r="BJ248" t="s">
        <v>28966</v>
      </c>
      <c r="BK248" t="s">
        <v>28966</v>
      </c>
      <c r="BL248" t="s">
        <v>28966</v>
      </c>
      <c r="BM248" t="s">
        <v>28966</v>
      </c>
      <c r="BN248" t="s">
        <v>28966</v>
      </c>
      <c r="BO248" t="s">
        <v>28966</v>
      </c>
      <c r="BP248" t="s">
        <v>28966</v>
      </c>
      <c r="BQ248" t="s">
        <v>28966</v>
      </c>
      <c r="BR248" t="s">
        <v>28966</v>
      </c>
      <c r="BS248" t="s">
        <v>28966</v>
      </c>
      <c r="BT248" t="s">
        <v>28966</v>
      </c>
      <c r="BU248" t="s">
        <v>28966</v>
      </c>
      <c r="BV248" t="s">
        <v>28966</v>
      </c>
      <c r="BW248" t="s">
        <v>28966</v>
      </c>
      <c r="BX248" t="s">
        <v>28966</v>
      </c>
      <c r="BY248" t="s">
        <v>28966</v>
      </c>
      <c r="BZ248" t="s">
        <v>28966</v>
      </c>
      <c r="CA248" t="s">
        <v>28966</v>
      </c>
    </row>
    <row r="249" spans="2:79" x14ac:dyDescent="0.3">
      <c r="B249" s="9">
        <v>247</v>
      </c>
      <c r="C249" s="49">
        <v>11403</v>
      </c>
      <c r="D249" s="9">
        <f>YEAR(Tabla1[[#This Row],[Date]])</f>
        <v>1931</v>
      </c>
      <c r="E249" s="9" t="str" cm="1">
        <f t="array" ref="E249">IFERROR(_xlfn.IFS(AND(D249&lt;1980,D249&gt;=1970),"70",AND(D249&lt;1990,D249&gt;=1980),"80",AND(D249&lt;2000,D249&gt;=1990),"90",AND(D249&lt;2010,D249&gt;=2000),"00",AND(D249&lt;=2019,D249&gt;=2010),"10"),"1908-1970")</f>
        <v>1908-1970</v>
      </c>
      <c r="F249" s="3">
        <v>0.54166666666666663</v>
      </c>
      <c r="G249" t="s">
        <v>6037</v>
      </c>
      <c r="H249" t="s">
        <v>6038</v>
      </c>
      <c r="I249" t="s">
        <v>28931</v>
      </c>
      <c r="J249" t="s">
        <v>6039</v>
      </c>
      <c r="K249" t="s">
        <v>6040</v>
      </c>
      <c r="L249" s="7" t="s">
        <v>6041</v>
      </c>
      <c r="M249">
        <v>241</v>
      </c>
      <c r="N249">
        <v>8</v>
      </c>
      <c r="O249">
        <v>6</v>
      </c>
      <c r="P249">
        <v>2</v>
      </c>
      <c r="Q249">
        <v>8</v>
      </c>
      <c r="R249">
        <v>6</v>
      </c>
      <c r="S249">
        <v>2</v>
      </c>
      <c r="T249">
        <v>0</v>
      </c>
      <c r="U249" t="s">
        <v>6042</v>
      </c>
      <c r="V249">
        <f>Tabla1[[#This Row],[Aboard]]-Tabla1[[#This Row],[Fatalities]]</f>
        <v>0</v>
      </c>
      <c r="W249" s="50">
        <f>IFERROR(Tabla1[[#This Row],[Fatalities]]/Tabla1[[#This Row],[Aboard]],0)</f>
        <v>1</v>
      </c>
      <c r="X249" s="51" t="str" cm="1">
        <f t="array" ref="X249">_xlfn.IFS(Tabla1[[#This Row],[Porcentaje de muertes]]&lt;0.35,"LEVE",AND(Tabla1[[#This Row],[Porcentaje de muertes]]&gt;0.35,Tabla1[[#This Row],[Porcentaje de muertes]]&lt;0.65),"MEDIO",Tabla1[[#This Row],[Porcentaje de muertes]]&gt;0.65,"GRAVE")</f>
        <v>GRAVE</v>
      </c>
      <c r="AB249" t="s">
        <v>28835</v>
      </c>
      <c r="AC249" t="s">
        <v>28836</v>
      </c>
      <c r="AD249">
        <v>171400</v>
      </c>
      <c r="AE249">
        <v>188000</v>
      </c>
      <c r="AF249">
        <v>196900</v>
      </c>
      <c r="AG249">
        <v>256800</v>
      </c>
      <c r="AH249">
        <v>282900</v>
      </c>
      <c r="AI249">
        <v>271700</v>
      </c>
      <c r="AJ249">
        <v>310300</v>
      </c>
      <c r="AK249">
        <v>85700</v>
      </c>
      <c r="AL249">
        <v>192200</v>
      </c>
      <c r="AM249">
        <v>292300</v>
      </c>
      <c r="AN249">
        <v>387600</v>
      </c>
      <c r="AO249">
        <v>324800</v>
      </c>
      <c r="AP249">
        <v>401700</v>
      </c>
      <c r="AQ249">
        <v>407100</v>
      </c>
      <c r="AR249">
        <v>498500</v>
      </c>
      <c r="AS249">
        <v>450900</v>
      </c>
      <c r="AT249">
        <v>441100</v>
      </c>
      <c r="AU249">
        <v>456100</v>
      </c>
      <c r="AV249">
        <v>410300</v>
      </c>
      <c r="AW249">
        <v>266800</v>
      </c>
      <c r="AX249">
        <v>292100</v>
      </c>
      <c r="AY249">
        <v>289700</v>
      </c>
      <c r="AZ249">
        <v>216400</v>
      </c>
      <c r="BA249">
        <v>188500</v>
      </c>
      <c r="BB249">
        <v>199200</v>
      </c>
      <c r="BC249">
        <v>236400</v>
      </c>
      <c r="BD249">
        <v>224000</v>
      </c>
      <c r="BE249">
        <v>217800</v>
      </c>
      <c r="BF249">
        <v>220200</v>
      </c>
      <c r="BG249">
        <v>190000</v>
      </c>
      <c r="BH249">
        <v>193069</v>
      </c>
      <c r="BI249">
        <v>174559</v>
      </c>
      <c r="BJ249">
        <v>134470</v>
      </c>
      <c r="BK249">
        <v>149540</v>
      </c>
      <c r="BL249">
        <v>243087</v>
      </c>
      <c r="BM249">
        <v>257223</v>
      </c>
      <c r="BN249">
        <v>189844</v>
      </c>
      <c r="BO249">
        <v>250849</v>
      </c>
      <c r="BP249">
        <v>202704</v>
      </c>
      <c r="BQ249">
        <v>683541</v>
      </c>
      <c r="BR249">
        <v>750421</v>
      </c>
      <c r="BS249">
        <v>914932.03760000004</v>
      </c>
      <c r="BT249">
        <v>1030203.575</v>
      </c>
      <c r="BU249">
        <v>1173942.818</v>
      </c>
      <c r="BV249">
        <v>1124913.4539999999</v>
      </c>
      <c r="BW249">
        <v>1312807</v>
      </c>
      <c r="BX249">
        <v>1179664</v>
      </c>
      <c r="BY249">
        <v>1221678</v>
      </c>
      <c r="BZ249">
        <v>1698386</v>
      </c>
      <c r="CA249">
        <v>1498093</v>
      </c>
    </row>
    <row r="250" spans="2:79" x14ac:dyDescent="0.3">
      <c r="B250" s="9">
        <v>248</v>
      </c>
      <c r="C250" s="49">
        <v>11413</v>
      </c>
      <c r="D250" s="9">
        <f>YEAR(Tabla1[[#This Row],[Date]])</f>
        <v>1931</v>
      </c>
      <c r="E250" s="9" t="str" cm="1">
        <f t="array" ref="E250">IFERROR(_xlfn.IFS(AND(D250&lt;1980,D250&gt;=1970),"70",AND(D250&lt;1990,D250&gt;=1980),"80",AND(D250&lt;2000,D250&gt;=1990),"90",AND(D250&lt;2010,D250&gt;=2000),"00",AND(D250&lt;=2019,D250&gt;=2010),"10"),"1908-1970")</f>
        <v>1908-1970</v>
      </c>
      <c r="F250" s="3">
        <v>0.44791666666666669</v>
      </c>
      <c r="G250" t="s">
        <v>6043</v>
      </c>
      <c r="H250" t="s">
        <v>6044</v>
      </c>
      <c r="I250">
        <v>599</v>
      </c>
      <c r="J250" t="s">
        <v>6045</v>
      </c>
      <c r="K250" t="s">
        <v>6046</v>
      </c>
      <c r="L250" s="7" t="s">
        <v>6047</v>
      </c>
      <c r="M250">
        <v>1063</v>
      </c>
      <c r="N250">
        <v>8</v>
      </c>
      <c r="O250">
        <v>6</v>
      </c>
      <c r="P250">
        <v>2</v>
      </c>
      <c r="Q250">
        <v>8</v>
      </c>
      <c r="R250">
        <v>6</v>
      </c>
      <c r="S250">
        <v>2</v>
      </c>
      <c r="T250">
        <v>0</v>
      </c>
      <c r="U250" t="s">
        <v>6048</v>
      </c>
      <c r="V250">
        <f>Tabla1[[#This Row],[Aboard]]-Tabla1[[#This Row],[Fatalities]]</f>
        <v>0</v>
      </c>
      <c r="W250" s="50">
        <f>IFERROR(Tabla1[[#This Row],[Fatalities]]/Tabla1[[#This Row],[Aboard]],0)</f>
        <v>1</v>
      </c>
      <c r="X250" s="51" t="str" cm="1">
        <f t="array" ref="X250">_xlfn.IFS(Tabla1[[#This Row],[Porcentaje de muertes]]&lt;0.35,"LEVE",AND(Tabla1[[#This Row],[Porcentaje de muertes]]&gt;0.35,Tabla1[[#This Row],[Porcentaje de muertes]]&lt;0.65),"MEDIO",Tabla1[[#This Row],[Porcentaje de muertes]]&gt;0.65,"GRAVE")</f>
        <v>GRAVE</v>
      </c>
      <c r="AB250" t="s">
        <v>28837</v>
      </c>
      <c r="AC250" t="s">
        <v>28838</v>
      </c>
      <c r="AD250">
        <v>171500</v>
      </c>
      <c r="AE250">
        <v>188000</v>
      </c>
      <c r="AF250">
        <v>165500</v>
      </c>
      <c r="AG250">
        <v>52400</v>
      </c>
      <c r="AH250">
        <v>62700</v>
      </c>
      <c r="AI250">
        <v>57600</v>
      </c>
      <c r="AJ250">
        <v>73800</v>
      </c>
      <c r="AK250" t="s">
        <v>28966</v>
      </c>
      <c r="AL250" t="s">
        <v>28966</v>
      </c>
      <c r="AM250" t="s">
        <v>28966</v>
      </c>
      <c r="AN250">
        <v>82600</v>
      </c>
      <c r="AO250">
        <v>62600</v>
      </c>
      <c r="AP250">
        <v>62200</v>
      </c>
      <c r="AQ250">
        <v>75100</v>
      </c>
      <c r="AR250">
        <v>49500</v>
      </c>
      <c r="AS250">
        <v>35300</v>
      </c>
      <c r="AT250">
        <v>50000</v>
      </c>
      <c r="AU250">
        <v>46000</v>
      </c>
      <c r="AV250">
        <v>61000</v>
      </c>
      <c r="AW250">
        <v>116000</v>
      </c>
      <c r="AX250">
        <v>116000</v>
      </c>
      <c r="AY250">
        <v>26300</v>
      </c>
      <c r="AZ250">
        <v>31600</v>
      </c>
      <c r="BA250">
        <v>77700</v>
      </c>
      <c r="BB250">
        <v>62500</v>
      </c>
      <c r="BC250">
        <v>94600</v>
      </c>
      <c r="BD250">
        <v>100200</v>
      </c>
      <c r="BE250">
        <v>100200</v>
      </c>
      <c r="BF250">
        <v>99800</v>
      </c>
      <c r="BG250">
        <v>179400</v>
      </c>
      <c r="BH250">
        <v>39379</v>
      </c>
      <c r="BI250">
        <v>40560</v>
      </c>
      <c r="BJ250">
        <v>40560</v>
      </c>
      <c r="BK250">
        <v>39749</v>
      </c>
      <c r="BL250">
        <v>45711</v>
      </c>
      <c r="BM250">
        <v>49368</v>
      </c>
      <c r="BN250">
        <v>55292</v>
      </c>
      <c r="BO250">
        <v>59715</v>
      </c>
      <c r="BP250">
        <v>63160</v>
      </c>
      <c r="BQ250">
        <v>64234</v>
      </c>
      <c r="BR250">
        <v>154909</v>
      </c>
      <c r="BS250">
        <v>141603</v>
      </c>
      <c r="BT250">
        <v>182144.4</v>
      </c>
      <c r="BU250">
        <v>198804</v>
      </c>
      <c r="BV250">
        <v>163824</v>
      </c>
      <c r="BW250">
        <v>41812</v>
      </c>
      <c r="BX250">
        <v>52187</v>
      </c>
      <c r="BY250">
        <v>14958</v>
      </c>
      <c r="BZ250">
        <v>21212</v>
      </c>
      <c r="CA250">
        <v>19822.5</v>
      </c>
    </row>
    <row r="251" spans="2:79" x14ac:dyDescent="0.3">
      <c r="B251" s="9">
        <v>249</v>
      </c>
      <c r="C251" s="49">
        <v>11427</v>
      </c>
      <c r="D251" s="9">
        <f>YEAR(Tabla1[[#This Row],[Date]])</f>
        <v>1931</v>
      </c>
      <c r="E251" s="9" t="str" cm="1">
        <f t="array" ref="E251">IFERROR(_xlfn.IFS(AND(D251&lt;1980,D251&gt;=1970),"70",AND(D251&lt;1990,D251&gt;=1980),"80",AND(D251&lt;2000,D251&gt;=1990),"90",AND(D251&lt;2010,D251&gt;=2000),"00",AND(D251&lt;=2019,D251&gt;=2010),"10"),"1908-1970")</f>
        <v>1908-1970</v>
      </c>
      <c r="F251" s="3" t="s">
        <v>28931</v>
      </c>
      <c r="G251" t="s">
        <v>6049</v>
      </c>
      <c r="H251" t="s">
        <v>5417</v>
      </c>
      <c r="I251" t="s">
        <v>28931</v>
      </c>
      <c r="J251" t="s">
        <v>28931</v>
      </c>
      <c r="K251" t="s">
        <v>6050</v>
      </c>
      <c r="L251" s="7" t="s">
        <v>6051</v>
      </c>
      <c r="M251">
        <v>442</v>
      </c>
      <c r="N251">
        <v>10</v>
      </c>
      <c r="O251">
        <v>7</v>
      </c>
      <c r="P251">
        <v>3</v>
      </c>
      <c r="Q251">
        <v>2</v>
      </c>
      <c r="R251">
        <v>0</v>
      </c>
      <c r="S251">
        <v>2</v>
      </c>
      <c r="T251">
        <v>0</v>
      </c>
      <c r="U251" t="s">
        <v>6052</v>
      </c>
      <c r="V251">
        <f>Tabla1[[#This Row],[Aboard]]-Tabla1[[#This Row],[Fatalities]]</f>
        <v>8</v>
      </c>
      <c r="W251" s="50">
        <f>IFERROR(Tabla1[[#This Row],[Fatalities]]/Tabla1[[#This Row],[Aboard]],0)</f>
        <v>0.2</v>
      </c>
      <c r="X251" s="51" t="str" cm="1">
        <f t="array" ref="X251">_xlfn.IFS(Tabla1[[#This Row],[Porcentaje de muertes]]&lt;0.35,"LEVE",AND(Tabla1[[#This Row],[Porcentaje de muertes]]&gt;0.35,Tabla1[[#This Row],[Porcentaje de muertes]]&lt;0.65),"MEDIO",Tabla1[[#This Row],[Porcentaje de muertes]]&gt;0.65,"GRAVE")</f>
        <v>LEVE</v>
      </c>
      <c r="AB251" t="s">
        <v>28839</v>
      </c>
      <c r="AC251" t="s">
        <v>28840</v>
      </c>
      <c r="AD251" t="s">
        <v>28966</v>
      </c>
      <c r="AE251" t="s">
        <v>28966</v>
      </c>
      <c r="AF251" t="s">
        <v>28966</v>
      </c>
      <c r="AG251" t="s">
        <v>28966</v>
      </c>
      <c r="AH251" t="s">
        <v>28966</v>
      </c>
      <c r="AI251" t="s">
        <v>28966</v>
      </c>
      <c r="AJ251" t="s">
        <v>28966</v>
      </c>
      <c r="AK251" t="s">
        <v>28966</v>
      </c>
      <c r="AL251" t="s">
        <v>28966</v>
      </c>
      <c r="AM251" t="s">
        <v>28966</v>
      </c>
      <c r="AN251" t="s">
        <v>28966</v>
      </c>
      <c r="AO251" t="s">
        <v>28966</v>
      </c>
      <c r="AP251" t="s">
        <v>28966</v>
      </c>
      <c r="AQ251" t="s">
        <v>28966</v>
      </c>
      <c r="AR251" t="s">
        <v>28966</v>
      </c>
      <c r="AS251" t="s">
        <v>28966</v>
      </c>
      <c r="AT251" t="s">
        <v>28966</v>
      </c>
      <c r="AU251" t="s">
        <v>28966</v>
      </c>
      <c r="AV251" t="s">
        <v>28966</v>
      </c>
      <c r="AW251" t="s">
        <v>28966</v>
      </c>
      <c r="AX251" t="s">
        <v>28966</v>
      </c>
      <c r="AY251" t="s">
        <v>28966</v>
      </c>
      <c r="AZ251">
        <v>4906200</v>
      </c>
      <c r="BA251">
        <v>1278000</v>
      </c>
      <c r="BB251">
        <v>604900</v>
      </c>
      <c r="BC251">
        <v>1005300</v>
      </c>
      <c r="BD251">
        <v>1151200</v>
      </c>
      <c r="BE251">
        <v>1189600</v>
      </c>
      <c r="BF251">
        <v>1066400</v>
      </c>
      <c r="BG251">
        <v>910100</v>
      </c>
      <c r="BH251">
        <v>950697</v>
      </c>
      <c r="BI251">
        <v>986022</v>
      </c>
      <c r="BJ251">
        <v>1119889</v>
      </c>
      <c r="BK251">
        <v>1652632</v>
      </c>
      <c r="BL251">
        <v>2200094</v>
      </c>
      <c r="BM251">
        <v>2512910</v>
      </c>
      <c r="BN251">
        <v>2801992</v>
      </c>
      <c r="BO251">
        <v>1736018</v>
      </c>
      <c r="BP251">
        <v>3456288</v>
      </c>
      <c r="BQ251">
        <v>3427818</v>
      </c>
      <c r="BR251">
        <v>3956053</v>
      </c>
      <c r="BS251">
        <v>5477654.9179999996</v>
      </c>
      <c r="BT251">
        <v>5828107.6119999997</v>
      </c>
      <c r="BU251">
        <v>5218814.574</v>
      </c>
      <c r="BV251">
        <v>4503610</v>
      </c>
      <c r="BW251">
        <v>4620530</v>
      </c>
      <c r="BX251">
        <v>5756509</v>
      </c>
      <c r="BY251">
        <v>6794396</v>
      </c>
      <c r="BZ251">
        <v>7854842</v>
      </c>
      <c r="CA251">
        <v>7604522.3320000004</v>
      </c>
    </row>
    <row r="252" spans="2:79" x14ac:dyDescent="0.3">
      <c r="B252" s="9">
        <v>250</v>
      </c>
      <c r="C252" s="49">
        <v>11448</v>
      </c>
      <c r="D252" s="9">
        <f>YEAR(Tabla1[[#This Row],[Date]])</f>
        <v>1931</v>
      </c>
      <c r="E252" s="9" t="str" cm="1">
        <f t="array" ref="E252">IFERROR(_xlfn.IFS(AND(D252&lt;1980,D252&gt;=1970),"70",AND(D252&lt;1990,D252&gt;=1980),"80",AND(D252&lt;2000,D252&gt;=1990),"90",AND(D252&lt;2010,D252&gt;=2000),"00",AND(D252&lt;=2019,D252&gt;=2010),"10"),"1908-1970")</f>
        <v>1908-1970</v>
      </c>
      <c r="F252" s="3">
        <v>0.97916666666666663</v>
      </c>
      <c r="G252" t="s">
        <v>6053</v>
      </c>
      <c r="H252" t="s">
        <v>5445</v>
      </c>
      <c r="I252" t="s">
        <v>28931</v>
      </c>
      <c r="J252" t="s">
        <v>6054</v>
      </c>
      <c r="K252" t="s">
        <v>5558</v>
      </c>
      <c r="L252" s="7" t="s">
        <v>6055</v>
      </c>
      <c r="M252">
        <v>1044</v>
      </c>
      <c r="N252">
        <v>2</v>
      </c>
      <c r="O252">
        <v>0</v>
      </c>
      <c r="P252">
        <v>2</v>
      </c>
      <c r="Q252">
        <v>2</v>
      </c>
      <c r="R252">
        <v>0</v>
      </c>
      <c r="S252">
        <v>2</v>
      </c>
      <c r="T252">
        <v>0</v>
      </c>
      <c r="U252" t="s">
        <v>6056</v>
      </c>
      <c r="V252">
        <f>Tabla1[[#This Row],[Aboard]]-Tabla1[[#This Row],[Fatalities]]</f>
        <v>0</v>
      </c>
      <c r="W252" s="50">
        <f>IFERROR(Tabla1[[#This Row],[Fatalities]]/Tabla1[[#This Row],[Aboard]],0)</f>
        <v>1</v>
      </c>
      <c r="X252" s="51" t="str" cm="1">
        <f t="array" ref="X252">_xlfn.IFS(Tabla1[[#This Row],[Porcentaje de muertes]]&lt;0.35,"LEVE",AND(Tabla1[[#This Row],[Porcentaje de muertes]]&gt;0.35,Tabla1[[#This Row],[Porcentaje de muertes]]&lt;0.65),"MEDIO",Tabla1[[#This Row],[Porcentaje de muertes]]&gt;0.65,"GRAVE")</f>
        <v>GRAVE</v>
      </c>
      <c r="AB252" t="s">
        <v>28841</v>
      </c>
      <c r="AC252" t="s">
        <v>28842</v>
      </c>
      <c r="AD252" t="s">
        <v>28966</v>
      </c>
      <c r="AE252" t="s">
        <v>28966</v>
      </c>
      <c r="AF252" t="s">
        <v>28966</v>
      </c>
      <c r="AG252" t="s">
        <v>28966</v>
      </c>
      <c r="AH252">
        <v>35427900</v>
      </c>
      <c r="AI252">
        <v>39705400</v>
      </c>
      <c r="AJ252">
        <v>44593600</v>
      </c>
      <c r="AK252">
        <v>47474300</v>
      </c>
      <c r="AL252">
        <v>51809400</v>
      </c>
      <c r="AM252">
        <v>60148400</v>
      </c>
      <c r="AN252">
        <v>64506500</v>
      </c>
      <c r="AO252">
        <v>67014200</v>
      </c>
      <c r="AP252">
        <v>68556800</v>
      </c>
      <c r="AQ252">
        <v>69953600</v>
      </c>
      <c r="AR252">
        <v>73320200</v>
      </c>
      <c r="AS252">
        <v>77428600</v>
      </c>
      <c r="AT252">
        <v>83536700</v>
      </c>
      <c r="AU252">
        <v>89822000</v>
      </c>
      <c r="AV252">
        <v>95027500</v>
      </c>
      <c r="AW252">
        <v>94631500</v>
      </c>
      <c r="AX252">
        <v>104592400</v>
      </c>
      <c r="AY252">
        <v>232858100</v>
      </c>
      <c r="AZ252">
        <v>184337300</v>
      </c>
      <c r="BA252">
        <v>165187700</v>
      </c>
      <c r="BB252">
        <v>174700000</v>
      </c>
      <c r="BC252">
        <v>185955700</v>
      </c>
      <c r="BD252">
        <v>191576600</v>
      </c>
      <c r="BE252">
        <v>198501000</v>
      </c>
      <c r="BF252">
        <v>197441600</v>
      </c>
      <c r="BG252">
        <v>208565400</v>
      </c>
      <c r="BH252">
        <v>222855141</v>
      </c>
      <c r="BI252">
        <v>235272686</v>
      </c>
      <c r="BJ252">
        <v>248039092</v>
      </c>
      <c r="BK252">
        <v>252532938</v>
      </c>
      <c r="BL252">
        <v>307302135</v>
      </c>
      <c r="BM252">
        <v>335336484</v>
      </c>
      <c r="BN252">
        <v>366435138</v>
      </c>
      <c r="BO252">
        <v>414284141</v>
      </c>
      <c r="BP252">
        <v>441964196</v>
      </c>
      <c r="BQ252">
        <v>490246593</v>
      </c>
      <c r="BR252">
        <v>614090152.5</v>
      </c>
      <c r="BS252">
        <v>678819783.89999998</v>
      </c>
      <c r="BT252">
        <v>746531605.10000002</v>
      </c>
      <c r="BU252">
        <v>831585242.60000002</v>
      </c>
      <c r="BV252">
        <v>904749523.29999995</v>
      </c>
      <c r="BW252">
        <v>997786079</v>
      </c>
      <c r="BX252">
        <v>1068089044</v>
      </c>
      <c r="BY252">
        <v>1179085134</v>
      </c>
      <c r="BZ252">
        <v>1288616061</v>
      </c>
      <c r="CA252">
        <v>1365924917</v>
      </c>
    </row>
    <row r="253" spans="2:79" x14ac:dyDescent="0.3">
      <c r="B253" s="9">
        <v>251</v>
      </c>
      <c r="C253" s="49">
        <v>11465</v>
      </c>
      <c r="D253" s="9">
        <f>YEAR(Tabla1[[#This Row],[Date]])</f>
        <v>1931</v>
      </c>
      <c r="E253" s="9" t="str" cm="1">
        <f t="array" ref="E253">IFERROR(_xlfn.IFS(AND(D253&lt;1980,D253&gt;=1970),"70",AND(D253&lt;1990,D253&gt;=1980),"80",AND(D253&lt;2000,D253&gt;=1990),"90",AND(D253&lt;2010,D253&gt;=2000),"00",AND(D253&lt;=2019,D253&gt;=2010),"10"),"1908-1970")</f>
        <v>1908-1970</v>
      </c>
      <c r="F253" s="3" t="s">
        <v>28931</v>
      </c>
      <c r="G253" t="s">
        <v>6057</v>
      </c>
      <c r="H253" t="s">
        <v>6058</v>
      </c>
      <c r="I253" t="s">
        <v>28931</v>
      </c>
      <c r="J253" t="s">
        <v>6059</v>
      </c>
      <c r="K253" t="s">
        <v>6060</v>
      </c>
      <c r="L253" s="7" t="s">
        <v>6061</v>
      </c>
      <c r="M253">
        <v>2611</v>
      </c>
      <c r="N253">
        <v>1</v>
      </c>
      <c r="O253">
        <v>0</v>
      </c>
      <c r="P253">
        <v>1</v>
      </c>
      <c r="Q253">
        <v>1</v>
      </c>
      <c r="R253">
        <v>0</v>
      </c>
      <c r="S253">
        <v>1</v>
      </c>
      <c r="T253">
        <v>0</v>
      </c>
      <c r="U253" t="s">
        <v>6062</v>
      </c>
      <c r="V253">
        <f>Tabla1[[#This Row],[Aboard]]-Tabla1[[#This Row],[Fatalities]]</f>
        <v>0</v>
      </c>
      <c r="W253" s="50">
        <f>IFERROR(Tabla1[[#This Row],[Fatalities]]/Tabla1[[#This Row],[Aboard]],0)</f>
        <v>1</v>
      </c>
      <c r="X253" s="51" t="str" cm="1">
        <f t="array" ref="X253">_xlfn.IFS(Tabla1[[#This Row],[Porcentaje de muertes]]&lt;0.35,"LEVE",AND(Tabla1[[#This Row],[Porcentaje de muertes]]&gt;0.35,Tabla1[[#This Row],[Porcentaje de muertes]]&lt;0.65),"MEDIO",Tabla1[[#This Row],[Porcentaje de muertes]]&gt;0.65,"GRAVE")</f>
        <v>GRAVE</v>
      </c>
      <c r="AB253" t="s">
        <v>28843</v>
      </c>
      <c r="AC253" t="s">
        <v>28844</v>
      </c>
      <c r="AD253">
        <v>219300</v>
      </c>
      <c r="AE253">
        <v>221300</v>
      </c>
      <c r="AF253">
        <v>136000</v>
      </c>
      <c r="AG253">
        <v>137700</v>
      </c>
      <c r="AH253">
        <v>346200</v>
      </c>
      <c r="AI253">
        <v>333600</v>
      </c>
      <c r="AJ253">
        <v>326900</v>
      </c>
      <c r="AK253">
        <v>292900</v>
      </c>
      <c r="AL253">
        <v>259700</v>
      </c>
      <c r="AM253">
        <v>456100</v>
      </c>
      <c r="AN253">
        <v>477600</v>
      </c>
      <c r="AO253">
        <v>412600</v>
      </c>
      <c r="AP253">
        <v>356500</v>
      </c>
      <c r="AQ253">
        <v>310400</v>
      </c>
      <c r="AR253">
        <v>338100</v>
      </c>
      <c r="AS253">
        <v>328500</v>
      </c>
      <c r="AT253">
        <v>340800</v>
      </c>
      <c r="AU253">
        <v>351300</v>
      </c>
      <c r="AV253">
        <v>385600</v>
      </c>
      <c r="AW253">
        <v>313100</v>
      </c>
      <c r="AX253">
        <v>318300</v>
      </c>
      <c r="AY253">
        <v>318300</v>
      </c>
      <c r="AZ253">
        <v>430000</v>
      </c>
      <c r="BA253">
        <v>502900</v>
      </c>
      <c r="BB253">
        <v>499300</v>
      </c>
      <c r="BC253">
        <v>476700</v>
      </c>
      <c r="BD253">
        <v>504000</v>
      </c>
      <c r="BE253">
        <v>544000</v>
      </c>
      <c r="BF253">
        <v>556700</v>
      </c>
      <c r="BG253">
        <v>593400</v>
      </c>
      <c r="BH253">
        <v>642027</v>
      </c>
      <c r="BI253">
        <v>558563</v>
      </c>
      <c r="BJ253">
        <v>525049</v>
      </c>
      <c r="BK253">
        <v>463884</v>
      </c>
      <c r="BL253">
        <v>564149</v>
      </c>
      <c r="BM253">
        <v>586458</v>
      </c>
      <c r="BN253">
        <v>568864</v>
      </c>
      <c r="BO253">
        <v>602996</v>
      </c>
      <c r="BP253">
        <v>612644</v>
      </c>
      <c r="BQ253">
        <v>563632</v>
      </c>
      <c r="BR253" t="s">
        <v>28966</v>
      </c>
      <c r="BS253" t="s">
        <v>28966</v>
      </c>
      <c r="BT253" t="s">
        <v>28966</v>
      </c>
      <c r="BU253" t="s">
        <v>28966</v>
      </c>
      <c r="BV253" t="s">
        <v>28966</v>
      </c>
      <c r="BW253" t="s">
        <v>28966</v>
      </c>
      <c r="BX253" t="s">
        <v>28966</v>
      </c>
      <c r="BY253" t="s">
        <v>28966</v>
      </c>
      <c r="BZ253" t="s">
        <v>28966</v>
      </c>
      <c r="CA253" t="s">
        <v>28966</v>
      </c>
    </row>
    <row r="254" spans="2:79" x14ac:dyDescent="0.3">
      <c r="B254" s="9">
        <v>252</v>
      </c>
      <c r="C254" s="49">
        <v>11467</v>
      </c>
      <c r="D254" s="9">
        <f>YEAR(Tabla1[[#This Row],[Date]])</f>
        <v>1931</v>
      </c>
      <c r="E254" s="9" t="str" cm="1">
        <f t="array" ref="E254">IFERROR(_xlfn.IFS(AND(D254&lt;1980,D254&gt;=1970),"70",AND(D254&lt;1990,D254&gt;=1980),"80",AND(D254&lt;2000,D254&gt;=1990),"90",AND(D254&lt;2010,D254&gt;=2000),"00",AND(D254&lt;=2019,D254&gt;=2010),"10"),"1908-1970")</f>
        <v>1908-1970</v>
      </c>
      <c r="F254" s="3">
        <v>0.9375</v>
      </c>
      <c r="G254" t="s">
        <v>6063</v>
      </c>
      <c r="H254" t="s">
        <v>5524</v>
      </c>
      <c r="I254" t="s">
        <v>28931</v>
      </c>
      <c r="J254" t="s">
        <v>28931</v>
      </c>
      <c r="K254" t="s">
        <v>5886</v>
      </c>
      <c r="L254" s="7" t="s">
        <v>6064</v>
      </c>
      <c r="M254">
        <v>1057</v>
      </c>
      <c r="N254">
        <v>1</v>
      </c>
      <c r="O254">
        <v>0</v>
      </c>
      <c r="P254">
        <v>1</v>
      </c>
      <c r="Q254">
        <v>1</v>
      </c>
      <c r="R254">
        <v>0</v>
      </c>
      <c r="S254">
        <v>1</v>
      </c>
      <c r="T254">
        <v>0</v>
      </c>
      <c r="U254" t="s">
        <v>6065</v>
      </c>
      <c r="V254">
        <f>Tabla1[[#This Row],[Aboard]]-Tabla1[[#This Row],[Fatalities]]</f>
        <v>0</v>
      </c>
      <c r="W254" s="50">
        <f>IFERROR(Tabla1[[#This Row],[Fatalities]]/Tabla1[[#This Row],[Aboard]],0)</f>
        <v>1</v>
      </c>
      <c r="X254" s="51" t="str" cm="1">
        <f t="array" ref="X254">_xlfn.IFS(Tabla1[[#This Row],[Porcentaje de muertes]]&lt;0.35,"LEVE",AND(Tabla1[[#This Row],[Porcentaje de muertes]]&gt;0.35,Tabla1[[#This Row],[Porcentaje de muertes]]&lt;0.65),"MEDIO",Tabla1[[#This Row],[Porcentaje de muertes]]&gt;0.65,"GRAVE")</f>
        <v>GRAVE</v>
      </c>
      <c r="AB254" t="s">
        <v>5342</v>
      </c>
      <c r="AC254" t="s">
        <v>28845</v>
      </c>
      <c r="AD254">
        <v>163448992</v>
      </c>
      <c r="AE254">
        <v>174143104</v>
      </c>
      <c r="AF254">
        <v>191325408</v>
      </c>
      <c r="AG254">
        <v>202309200</v>
      </c>
      <c r="AH254">
        <v>207612400</v>
      </c>
      <c r="AI254">
        <v>204900400</v>
      </c>
      <c r="AJ254">
        <v>223017296</v>
      </c>
      <c r="AK254">
        <v>240144992</v>
      </c>
      <c r="AL254">
        <v>273025504</v>
      </c>
      <c r="AM254">
        <v>313624000</v>
      </c>
      <c r="AN254">
        <v>295329088</v>
      </c>
      <c r="AO254">
        <v>281086400</v>
      </c>
      <c r="AP254">
        <v>290992608</v>
      </c>
      <c r="AQ254">
        <v>315600096</v>
      </c>
      <c r="AR254">
        <v>340191488</v>
      </c>
      <c r="AS254">
        <v>372059104</v>
      </c>
      <c r="AT254">
        <v>414554496</v>
      </c>
      <c r="AU254">
        <v>441832704</v>
      </c>
      <c r="AV254">
        <v>454202912</v>
      </c>
      <c r="AW254">
        <v>453161504</v>
      </c>
      <c r="AX254">
        <v>464574016</v>
      </c>
      <c r="AY254">
        <v>452015904</v>
      </c>
      <c r="AZ254">
        <v>466964992</v>
      </c>
      <c r="BA254">
        <v>469926112</v>
      </c>
      <c r="BB254">
        <v>514924000</v>
      </c>
      <c r="BC254">
        <v>533512096</v>
      </c>
      <c r="BD254">
        <v>571072000</v>
      </c>
      <c r="BE254">
        <v>590571392</v>
      </c>
      <c r="BF254">
        <v>588170880</v>
      </c>
      <c r="BG254">
        <v>634364608</v>
      </c>
      <c r="BH254">
        <v>665327414</v>
      </c>
      <c r="BI254">
        <v>622187846</v>
      </c>
      <c r="BJ254">
        <v>598410415</v>
      </c>
      <c r="BK254">
        <v>588997110</v>
      </c>
      <c r="BL254">
        <v>678110608</v>
      </c>
      <c r="BM254">
        <v>720547738</v>
      </c>
      <c r="BN254">
        <v>725530965</v>
      </c>
      <c r="BO254">
        <v>744302310</v>
      </c>
      <c r="BP254">
        <v>701779551</v>
      </c>
      <c r="BQ254">
        <v>679423408</v>
      </c>
      <c r="BR254">
        <v>720497000</v>
      </c>
      <c r="BS254">
        <v>730796000</v>
      </c>
      <c r="BT254">
        <v>736699000</v>
      </c>
      <c r="BU254">
        <v>743171000</v>
      </c>
      <c r="BV254">
        <v>762710000</v>
      </c>
      <c r="BW254">
        <v>798222000</v>
      </c>
      <c r="BX254">
        <v>824039000</v>
      </c>
      <c r="BY254">
        <v>849403000</v>
      </c>
      <c r="BZ254">
        <v>889024000</v>
      </c>
      <c r="CA254">
        <v>926737000</v>
      </c>
    </row>
    <row r="255" spans="2:79" x14ac:dyDescent="0.3">
      <c r="B255" s="9">
        <v>253</v>
      </c>
      <c r="C255" s="49">
        <v>11510</v>
      </c>
      <c r="D255" s="9">
        <f>YEAR(Tabla1[[#This Row],[Date]])</f>
        <v>1931</v>
      </c>
      <c r="E255" s="9" t="str" cm="1">
        <f t="array" ref="E255">IFERROR(_xlfn.IFS(AND(D255&lt;1980,D255&gt;=1970),"70",AND(D255&lt;1990,D255&gt;=1980),"80",AND(D255&lt;2000,D255&gt;=1990),"90",AND(D255&lt;2010,D255&gt;=2000),"00",AND(D255&lt;=2019,D255&gt;=2010),"10"),"1908-1970")</f>
        <v>1908-1970</v>
      </c>
      <c r="F255" s="3">
        <v>0.375</v>
      </c>
      <c r="G255" t="s">
        <v>6066</v>
      </c>
      <c r="H255" t="s">
        <v>5890</v>
      </c>
      <c r="I255" t="s">
        <v>28931</v>
      </c>
      <c r="J255" t="s">
        <v>6067</v>
      </c>
      <c r="K255" t="s">
        <v>6068</v>
      </c>
      <c r="L255" s="7" t="s">
        <v>6069</v>
      </c>
      <c r="M255">
        <v>5096</v>
      </c>
      <c r="N255">
        <v>4</v>
      </c>
      <c r="O255">
        <v>0</v>
      </c>
      <c r="P255">
        <v>4</v>
      </c>
      <c r="Q255">
        <v>4</v>
      </c>
      <c r="R255">
        <v>0</v>
      </c>
      <c r="S255">
        <v>4</v>
      </c>
      <c r="T255">
        <v>0</v>
      </c>
      <c r="U255" t="s">
        <v>6070</v>
      </c>
      <c r="V255">
        <f>Tabla1[[#This Row],[Aboard]]-Tabla1[[#This Row],[Fatalities]]</f>
        <v>0</v>
      </c>
      <c r="W255" s="50">
        <f>IFERROR(Tabla1[[#This Row],[Fatalities]]/Tabla1[[#This Row],[Aboard]],0)</f>
        <v>1</v>
      </c>
      <c r="X255" s="51" t="str" cm="1">
        <f t="array" ref="X255">_xlfn.IFS(Tabla1[[#This Row],[Porcentaje de muertes]]&lt;0.35,"LEVE",AND(Tabla1[[#This Row],[Porcentaje de muertes]]&gt;0.35,Tabla1[[#This Row],[Porcentaje de muertes]]&lt;0.65),"MEDIO",Tabla1[[#This Row],[Porcentaje de muertes]]&gt;0.65,"GRAVE")</f>
        <v>GRAVE</v>
      </c>
      <c r="AB255" t="s">
        <v>28846</v>
      </c>
      <c r="AC255" t="s">
        <v>28847</v>
      </c>
      <c r="AD255" t="s">
        <v>28966</v>
      </c>
      <c r="AE255" t="s">
        <v>28966</v>
      </c>
      <c r="AF255" t="s">
        <v>28966</v>
      </c>
      <c r="AG255" t="s">
        <v>28966</v>
      </c>
      <c r="AH255" t="s">
        <v>28966</v>
      </c>
      <c r="AI255" t="s">
        <v>28966</v>
      </c>
      <c r="AJ255" t="s">
        <v>28966</v>
      </c>
      <c r="AK255" t="s">
        <v>28966</v>
      </c>
      <c r="AL255" t="s">
        <v>28966</v>
      </c>
      <c r="AM255" t="s">
        <v>28966</v>
      </c>
      <c r="AN255" t="s">
        <v>28966</v>
      </c>
      <c r="AO255" t="s">
        <v>28966</v>
      </c>
      <c r="AP255" t="s">
        <v>28966</v>
      </c>
      <c r="AQ255" t="s">
        <v>28966</v>
      </c>
      <c r="AR255" t="s">
        <v>28966</v>
      </c>
      <c r="AS255" t="s">
        <v>28966</v>
      </c>
      <c r="AT255" t="s">
        <v>28966</v>
      </c>
      <c r="AU255" t="s">
        <v>28966</v>
      </c>
      <c r="AV255" t="s">
        <v>28966</v>
      </c>
      <c r="AW255" t="s">
        <v>28966</v>
      </c>
      <c r="AX255" t="s">
        <v>28966</v>
      </c>
      <c r="AY255" t="s">
        <v>28966</v>
      </c>
      <c r="AZ255">
        <v>4032500</v>
      </c>
      <c r="BA255">
        <v>2217300</v>
      </c>
      <c r="BB255">
        <v>2217300</v>
      </c>
      <c r="BC255">
        <v>2217300</v>
      </c>
      <c r="BD255">
        <v>1566200</v>
      </c>
      <c r="BE255">
        <v>1566200</v>
      </c>
      <c r="BF255">
        <v>1560200</v>
      </c>
      <c r="BG255">
        <v>1657600</v>
      </c>
      <c r="BH255">
        <v>1744510</v>
      </c>
      <c r="BI255">
        <v>2256380</v>
      </c>
      <c r="BJ255">
        <v>1451004</v>
      </c>
      <c r="BK255">
        <v>1465798</v>
      </c>
      <c r="BL255">
        <v>1588049</v>
      </c>
      <c r="BM255">
        <v>1639276</v>
      </c>
      <c r="BN255">
        <v>1665190</v>
      </c>
      <c r="BO255">
        <v>1940378</v>
      </c>
      <c r="BP255">
        <v>2033933</v>
      </c>
      <c r="BQ255">
        <v>1850056</v>
      </c>
      <c r="BR255">
        <v>2114050</v>
      </c>
      <c r="BS255">
        <v>2275947</v>
      </c>
      <c r="BT255">
        <v>2593509</v>
      </c>
      <c r="BU255">
        <v>2614085</v>
      </c>
      <c r="BV255">
        <v>2545935</v>
      </c>
      <c r="BW255">
        <v>2486673</v>
      </c>
      <c r="BX255">
        <v>2383631</v>
      </c>
      <c r="BY255">
        <v>2581865</v>
      </c>
      <c r="BZ255">
        <v>3056558</v>
      </c>
      <c r="CA255">
        <v>3685192</v>
      </c>
    </row>
    <row r="256" spans="2:79" x14ac:dyDescent="0.3">
      <c r="B256" s="9">
        <v>254</v>
      </c>
      <c r="C256" s="49">
        <v>11633</v>
      </c>
      <c r="D256" s="9">
        <f>YEAR(Tabla1[[#This Row],[Date]])</f>
        <v>1931</v>
      </c>
      <c r="E256" s="9" t="str" cm="1">
        <f t="array" ref="E256">IFERROR(_xlfn.IFS(AND(D256&lt;1980,D256&gt;=1970),"70",AND(D256&lt;1990,D256&gt;=1980),"80",AND(D256&lt;2000,D256&gt;=1990),"90",AND(D256&lt;2010,D256&gt;=2000),"00",AND(D256&lt;=2019,D256&gt;=2010),"10"),"1908-1970")</f>
        <v>1908-1970</v>
      </c>
      <c r="F256" s="3" t="s">
        <v>28931</v>
      </c>
      <c r="G256" t="s">
        <v>6071</v>
      </c>
      <c r="H256" t="s">
        <v>6072</v>
      </c>
      <c r="I256" t="s">
        <v>28931</v>
      </c>
      <c r="J256" t="s">
        <v>28931</v>
      </c>
      <c r="K256" t="s">
        <v>6073</v>
      </c>
      <c r="L256" s="7" t="s">
        <v>6074</v>
      </c>
      <c r="M256">
        <v>64</v>
      </c>
      <c r="N256">
        <v>3</v>
      </c>
      <c r="O256">
        <v>1</v>
      </c>
      <c r="P256">
        <v>2</v>
      </c>
      <c r="Q256">
        <v>2</v>
      </c>
      <c r="R256">
        <v>0</v>
      </c>
      <c r="S256">
        <v>2</v>
      </c>
      <c r="T256">
        <v>0</v>
      </c>
      <c r="U256" t="s">
        <v>6075</v>
      </c>
      <c r="V256">
        <f>Tabla1[[#This Row],[Aboard]]-Tabla1[[#This Row],[Fatalities]]</f>
        <v>1</v>
      </c>
      <c r="W256" s="50">
        <f>IFERROR(Tabla1[[#This Row],[Fatalities]]/Tabla1[[#This Row],[Aboard]],0)</f>
        <v>0.66666666666666663</v>
      </c>
      <c r="X256" s="51" t="str" cm="1">
        <f t="array" ref="X256">_xlfn.IFS(Tabla1[[#This Row],[Porcentaje de muertes]]&lt;0.35,"LEVE",AND(Tabla1[[#This Row],[Porcentaje de muertes]]&gt;0.35,Tabla1[[#This Row],[Porcentaje de muertes]]&lt;0.65),"MEDIO",Tabla1[[#This Row],[Porcentaje de muertes]]&gt;0.65,"GRAVE")</f>
        <v>GRAVE</v>
      </c>
      <c r="AB256" t="s">
        <v>28848</v>
      </c>
      <c r="AC256" t="s">
        <v>28849</v>
      </c>
      <c r="AD256" t="s">
        <v>28966</v>
      </c>
      <c r="AE256" t="s">
        <v>28966</v>
      </c>
      <c r="AF256" t="s">
        <v>28966</v>
      </c>
      <c r="AG256" t="s">
        <v>28966</v>
      </c>
      <c r="AH256" t="s">
        <v>28966</v>
      </c>
      <c r="AI256" t="s">
        <v>28966</v>
      </c>
      <c r="AJ256" t="s">
        <v>28966</v>
      </c>
      <c r="AK256" t="s">
        <v>28966</v>
      </c>
      <c r="AL256" t="s">
        <v>28966</v>
      </c>
      <c r="AM256" t="s">
        <v>28966</v>
      </c>
      <c r="AN256" t="s">
        <v>28966</v>
      </c>
      <c r="AO256" t="s">
        <v>28966</v>
      </c>
      <c r="AP256" t="s">
        <v>28966</v>
      </c>
      <c r="AQ256" t="s">
        <v>28966</v>
      </c>
      <c r="AR256" t="s">
        <v>28966</v>
      </c>
      <c r="AS256" t="s">
        <v>28966</v>
      </c>
      <c r="AT256" t="s">
        <v>28966</v>
      </c>
      <c r="AU256" t="s">
        <v>28966</v>
      </c>
      <c r="AV256" t="s">
        <v>28966</v>
      </c>
      <c r="AW256" t="s">
        <v>28966</v>
      </c>
      <c r="AX256" t="s">
        <v>28966</v>
      </c>
      <c r="AY256" t="s">
        <v>28966</v>
      </c>
      <c r="AZ256" t="s">
        <v>28966</v>
      </c>
      <c r="BA256" t="s">
        <v>28966</v>
      </c>
      <c r="BB256" t="s">
        <v>28966</v>
      </c>
      <c r="BC256" t="s">
        <v>28966</v>
      </c>
      <c r="BD256" t="s">
        <v>28966</v>
      </c>
      <c r="BE256" t="s">
        <v>28966</v>
      </c>
      <c r="BF256" t="s">
        <v>28966</v>
      </c>
      <c r="BG256" t="s">
        <v>28966</v>
      </c>
      <c r="BH256" t="s">
        <v>28966</v>
      </c>
      <c r="BI256" t="s">
        <v>28966</v>
      </c>
      <c r="BJ256" t="s">
        <v>28966</v>
      </c>
      <c r="BK256" t="s">
        <v>28966</v>
      </c>
      <c r="BL256" t="s">
        <v>28966</v>
      </c>
      <c r="BM256" t="s">
        <v>28966</v>
      </c>
      <c r="BN256" t="s">
        <v>28966</v>
      </c>
      <c r="BO256" t="s">
        <v>28966</v>
      </c>
      <c r="BP256" t="s">
        <v>28966</v>
      </c>
      <c r="BQ256" t="s">
        <v>28966</v>
      </c>
      <c r="BR256" t="s">
        <v>28966</v>
      </c>
      <c r="BS256" t="s">
        <v>28966</v>
      </c>
      <c r="BT256" t="s">
        <v>28966</v>
      </c>
      <c r="BU256" t="s">
        <v>28966</v>
      </c>
      <c r="BV256" t="s">
        <v>28966</v>
      </c>
      <c r="BW256" t="s">
        <v>28966</v>
      </c>
      <c r="BX256" t="s">
        <v>28966</v>
      </c>
      <c r="BY256" t="s">
        <v>28966</v>
      </c>
      <c r="BZ256" t="s">
        <v>28966</v>
      </c>
      <c r="CA256" t="s">
        <v>28966</v>
      </c>
    </row>
    <row r="257" spans="2:79" x14ac:dyDescent="0.3">
      <c r="B257" s="9">
        <v>255</v>
      </c>
      <c r="C257" s="49">
        <v>11487</v>
      </c>
      <c r="D257" s="9">
        <f>YEAR(Tabla1[[#This Row],[Date]])</f>
        <v>1931</v>
      </c>
      <c r="E257" s="9" t="str" cm="1">
        <f t="array" ref="E257">IFERROR(_xlfn.IFS(AND(D257&lt;1980,D257&gt;=1970),"70",AND(D257&lt;1990,D257&gt;=1980),"80",AND(D257&lt;2000,D257&gt;=1990),"90",AND(D257&lt;2010,D257&gt;=2000),"00",AND(D257&lt;=2019,D257&gt;=2010),"10"),"1908-1970")</f>
        <v>1908-1970</v>
      </c>
      <c r="F257" s="3" t="s">
        <v>28931</v>
      </c>
      <c r="G257" t="s">
        <v>6076</v>
      </c>
      <c r="H257" t="s">
        <v>5417</v>
      </c>
      <c r="I257" t="s">
        <v>28931</v>
      </c>
      <c r="J257" t="s">
        <v>6077</v>
      </c>
      <c r="K257" t="s">
        <v>5504</v>
      </c>
      <c r="L257" s="7" t="s">
        <v>6078</v>
      </c>
      <c r="M257">
        <v>177</v>
      </c>
      <c r="N257">
        <v>4</v>
      </c>
      <c r="O257">
        <v>2</v>
      </c>
      <c r="P257">
        <v>2</v>
      </c>
      <c r="Q257">
        <v>4</v>
      </c>
      <c r="R257">
        <v>2</v>
      </c>
      <c r="S257">
        <v>2</v>
      </c>
      <c r="T257">
        <v>0</v>
      </c>
      <c r="U257" t="s">
        <v>6079</v>
      </c>
      <c r="V257">
        <f>Tabla1[[#This Row],[Aboard]]-Tabla1[[#This Row],[Fatalities]]</f>
        <v>0</v>
      </c>
      <c r="W257" s="50">
        <f>IFERROR(Tabla1[[#This Row],[Fatalities]]/Tabla1[[#This Row],[Aboard]],0)</f>
        <v>1</v>
      </c>
      <c r="X257" s="51" t="str" cm="1">
        <f t="array" ref="X257">_xlfn.IFS(Tabla1[[#This Row],[Porcentaje de muertes]]&lt;0.35,"LEVE",AND(Tabla1[[#This Row],[Porcentaje de muertes]]&gt;0.35,Tabla1[[#This Row],[Porcentaje de muertes]]&lt;0.65),"MEDIO",Tabla1[[#This Row],[Porcentaje de muertes]]&gt;0.65,"GRAVE")</f>
        <v>GRAVE</v>
      </c>
      <c r="AB257" t="s">
        <v>28850</v>
      </c>
      <c r="AC257" t="s">
        <v>28851</v>
      </c>
      <c r="AD257">
        <v>1253300</v>
      </c>
      <c r="AE257">
        <v>1301600</v>
      </c>
      <c r="AF257">
        <v>1511000</v>
      </c>
      <c r="AG257">
        <v>1765900</v>
      </c>
      <c r="AH257">
        <v>1981500</v>
      </c>
      <c r="AI257">
        <v>2355200</v>
      </c>
      <c r="AJ257">
        <v>2708400</v>
      </c>
      <c r="AK257">
        <v>3500600</v>
      </c>
      <c r="AL257">
        <v>4042700</v>
      </c>
      <c r="AM257">
        <v>4771700</v>
      </c>
      <c r="AN257">
        <v>5133300</v>
      </c>
      <c r="AO257">
        <v>5147000</v>
      </c>
      <c r="AP257">
        <v>5667200</v>
      </c>
      <c r="AQ257">
        <v>5000200</v>
      </c>
      <c r="AR257">
        <v>4570800</v>
      </c>
      <c r="AS257">
        <v>4966500</v>
      </c>
      <c r="AT257">
        <v>5790900</v>
      </c>
      <c r="AU257">
        <v>6454100</v>
      </c>
      <c r="AV257">
        <v>8383800</v>
      </c>
      <c r="AW257">
        <v>10098800</v>
      </c>
      <c r="AX257">
        <v>6846800</v>
      </c>
      <c r="AY257">
        <v>6795200</v>
      </c>
      <c r="AZ257">
        <v>7149400</v>
      </c>
      <c r="BA257">
        <v>6813900</v>
      </c>
      <c r="BB257">
        <v>5266800</v>
      </c>
      <c r="BC257">
        <v>4445000</v>
      </c>
      <c r="BD257">
        <v>4487400</v>
      </c>
      <c r="BE257">
        <v>4020300</v>
      </c>
      <c r="BF257">
        <v>3736600</v>
      </c>
      <c r="BG257">
        <v>4690000</v>
      </c>
      <c r="BH257">
        <v>4295000</v>
      </c>
      <c r="BI257">
        <v>9452434</v>
      </c>
      <c r="BJ257">
        <v>6369455</v>
      </c>
      <c r="BK257">
        <v>3889929</v>
      </c>
      <c r="BL257">
        <v>4943887</v>
      </c>
      <c r="BM257">
        <v>5043028</v>
      </c>
      <c r="BN257">
        <v>5225573</v>
      </c>
      <c r="BO257">
        <v>5495292</v>
      </c>
      <c r="BP257">
        <v>5766973</v>
      </c>
      <c r="BQ257">
        <v>5121009</v>
      </c>
      <c r="BR257">
        <v>6428163</v>
      </c>
      <c r="BS257">
        <v>7728281.2539999997</v>
      </c>
      <c r="BT257">
        <v>7738509.6449999996</v>
      </c>
      <c r="BU257">
        <v>6866780.5990000004</v>
      </c>
      <c r="BV257">
        <v>7888722.3990000002</v>
      </c>
      <c r="BW257">
        <v>7086072</v>
      </c>
      <c r="BX257">
        <v>6025475</v>
      </c>
      <c r="BY257">
        <v>4209158</v>
      </c>
      <c r="BZ257">
        <v>2217407</v>
      </c>
      <c r="CA257">
        <v>1516839</v>
      </c>
    </row>
    <row r="258" spans="2:79" x14ac:dyDescent="0.3">
      <c r="B258" s="9">
        <v>256</v>
      </c>
      <c r="C258" s="49">
        <v>11664</v>
      </c>
      <c r="D258" s="9">
        <f>YEAR(Tabla1[[#This Row],[Date]])</f>
        <v>1931</v>
      </c>
      <c r="E258" s="9" t="str" cm="1">
        <f t="array" ref="E258">IFERROR(_xlfn.IFS(AND(D258&lt;1980,D258&gt;=1970),"70",AND(D258&lt;1990,D258&gt;=1980),"80",AND(D258&lt;2000,D258&gt;=1990),"90",AND(D258&lt;2010,D258&gt;=2000),"00",AND(D258&lt;=2019,D258&gt;=2010),"10"),"1908-1970")</f>
        <v>1908-1970</v>
      </c>
      <c r="F258" s="3" t="s">
        <v>28931</v>
      </c>
      <c r="G258" t="s">
        <v>5103</v>
      </c>
      <c r="H258" t="s">
        <v>6080</v>
      </c>
      <c r="I258" t="s">
        <v>28931</v>
      </c>
      <c r="J258" t="s">
        <v>6081</v>
      </c>
      <c r="K258" t="s">
        <v>5799</v>
      </c>
      <c r="L258" s="7" t="s">
        <v>6082</v>
      </c>
      <c r="M258">
        <v>154</v>
      </c>
      <c r="N258">
        <v>2</v>
      </c>
      <c r="O258">
        <v>0</v>
      </c>
      <c r="P258">
        <v>2</v>
      </c>
      <c r="Q258">
        <v>2</v>
      </c>
      <c r="R258">
        <v>0</v>
      </c>
      <c r="S258">
        <v>2</v>
      </c>
      <c r="T258">
        <v>0</v>
      </c>
      <c r="U258" t="s">
        <v>6083</v>
      </c>
      <c r="V258">
        <f>Tabla1[[#This Row],[Aboard]]-Tabla1[[#This Row],[Fatalities]]</f>
        <v>0</v>
      </c>
      <c r="W258" s="50">
        <f>IFERROR(Tabla1[[#This Row],[Fatalities]]/Tabla1[[#This Row],[Aboard]],0)</f>
        <v>1</v>
      </c>
      <c r="X258" s="51" t="str" cm="1">
        <f t="array" ref="X258">_xlfn.IFS(Tabla1[[#This Row],[Porcentaje de muertes]]&lt;0.35,"LEVE",AND(Tabla1[[#This Row],[Porcentaje de muertes]]&gt;0.35,Tabla1[[#This Row],[Porcentaje de muertes]]&lt;0.65),"MEDIO",Tabla1[[#This Row],[Porcentaje de muertes]]&gt;0.65,"GRAVE")</f>
        <v>GRAVE</v>
      </c>
      <c r="AB258" t="s">
        <v>28852</v>
      </c>
      <c r="AC258" t="s">
        <v>28853</v>
      </c>
      <c r="AD258" t="s">
        <v>28966</v>
      </c>
      <c r="AE258" t="s">
        <v>28966</v>
      </c>
      <c r="AF258" t="s">
        <v>28966</v>
      </c>
      <c r="AG258" t="s">
        <v>28966</v>
      </c>
      <c r="AH258" t="s">
        <v>28966</v>
      </c>
      <c r="AI258" t="s">
        <v>28966</v>
      </c>
      <c r="AJ258" t="s">
        <v>28966</v>
      </c>
      <c r="AK258" t="s">
        <v>28966</v>
      </c>
      <c r="AL258" t="s">
        <v>28966</v>
      </c>
      <c r="AM258" t="s">
        <v>28966</v>
      </c>
      <c r="AN258" t="s">
        <v>28966</v>
      </c>
      <c r="AO258" t="s">
        <v>28966</v>
      </c>
      <c r="AP258" t="s">
        <v>28966</v>
      </c>
      <c r="AQ258" t="s">
        <v>28966</v>
      </c>
      <c r="AR258" t="s">
        <v>28966</v>
      </c>
      <c r="AS258" t="s">
        <v>28966</v>
      </c>
      <c r="AT258" t="s">
        <v>28966</v>
      </c>
      <c r="AU258" t="s">
        <v>28966</v>
      </c>
      <c r="AV258" t="s">
        <v>28966</v>
      </c>
      <c r="AW258" t="s">
        <v>28966</v>
      </c>
      <c r="AX258" t="s">
        <v>28966</v>
      </c>
      <c r="AY258" t="s">
        <v>28966</v>
      </c>
      <c r="AZ258" t="s">
        <v>28966</v>
      </c>
      <c r="BA258" t="s">
        <v>28966</v>
      </c>
      <c r="BB258" t="s">
        <v>28966</v>
      </c>
      <c r="BC258" t="s">
        <v>28966</v>
      </c>
      <c r="BD258" t="s">
        <v>28966</v>
      </c>
      <c r="BE258" t="s">
        <v>28966</v>
      </c>
      <c r="BF258" t="s">
        <v>28966</v>
      </c>
      <c r="BG258" t="s">
        <v>28966</v>
      </c>
      <c r="BH258" t="s">
        <v>28966</v>
      </c>
      <c r="BI258" t="s">
        <v>28966</v>
      </c>
      <c r="BJ258" t="s">
        <v>28966</v>
      </c>
      <c r="BK258" t="s">
        <v>28966</v>
      </c>
      <c r="BL258" t="s">
        <v>28966</v>
      </c>
      <c r="BM258" t="s">
        <v>28966</v>
      </c>
      <c r="BN258" t="s">
        <v>28966</v>
      </c>
      <c r="BO258" t="s">
        <v>28966</v>
      </c>
      <c r="BP258" t="s">
        <v>28966</v>
      </c>
      <c r="BQ258" t="s">
        <v>28966</v>
      </c>
      <c r="BR258" t="s">
        <v>28966</v>
      </c>
      <c r="BS258" t="s">
        <v>28966</v>
      </c>
      <c r="BT258" t="s">
        <v>28966</v>
      </c>
      <c r="BU258" t="s">
        <v>28966</v>
      </c>
      <c r="BV258" t="s">
        <v>28966</v>
      </c>
      <c r="BW258" t="s">
        <v>28966</v>
      </c>
      <c r="BX258" t="s">
        <v>28966</v>
      </c>
      <c r="BY258" t="s">
        <v>28966</v>
      </c>
      <c r="BZ258" t="s">
        <v>28966</v>
      </c>
      <c r="CA258" t="s">
        <v>28966</v>
      </c>
    </row>
    <row r="259" spans="2:79" x14ac:dyDescent="0.3">
      <c r="B259" s="9">
        <v>257</v>
      </c>
      <c r="C259" s="49">
        <v>11518</v>
      </c>
      <c r="D259" s="9">
        <f>YEAR(Tabla1[[#This Row],[Date]])</f>
        <v>1931</v>
      </c>
      <c r="E259" s="9" t="str" cm="1">
        <f t="array" ref="E259">IFERROR(_xlfn.IFS(AND(D259&lt;1980,D259&gt;=1970),"70",AND(D259&lt;1990,D259&gt;=1980),"80",AND(D259&lt;2000,D259&gt;=1990),"90",AND(D259&lt;2010,D259&gt;=2000),"00",AND(D259&lt;=2019,D259&gt;=2010),"10"),"1908-1970")</f>
        <v>1908-1970</v>
      </c>
      <c r="F259" s="3" t="s">
        <v>28931</v>
      </c>
      <c r="G259" t="s">
        <v>6084</v>
      </c>
      <c r="H259" t="s">
        <v>6085</v>
      </c>
      <c r="I259" t="s">
        <v>28931</v>
      </c>
      <c r="J259" t="s">
        <v>28931</v>
      </c>
      <c r="K259" t="s">
        <v>6086</v>
      </c>
      <c r="L259" s="7" t="s">
        <v>6087</v>
      </c>
      <c r="M259">
        <v>3</v>
      </c>
      <c r="N259">
        <v>2</v>
      </c>
      <c r="O259">
        <v>0</v>
      </c>
      <c r="P259">
        <v>2</v>
      </c>
      <c r="Q259">
        <v>2</v>
      </c>
      <c r="R259">
        <v>0</v>
      </c>
      <c r="S259">
        <v>2</v>
      </c>
      <c r="T259">
        <v>0</v>
      </c>
      <c r="U259" t="s">
        <v>28927</v>
      </c>
      <c r="V259">
        <f>Tabla1[[#This Row],[Aboard]]-Tabla1[[#This Row],[Fatalities]]</f>
        <v>0</v>
      </c>
      <c r="W259" s="50">
        <f>IFERROR(Tabla1[[#This Row],[Fatalities]]/Tabla1[[#This Row],[Aboard]],0)</f>
        <v>1</v>
      </c>
      <c r="X259" s="51" t="str" cm="1">
        <f t="array" ref="X259">_xlfn.IFS(Tabla1[[#This Row],[Porcentaje de muertes]]&lt;0.35,"LEVE",AND(Tabla1[[#This Row],[Porcentaje de muertes]]&gt;0.35,Tabla1[[#This Row],[Porcentaje de muertes]]&lt;0.65),"MEDIO",Tabla1[[#This Row],[Porcentaje de muertes]]&gt;0.65,"GRAVE")</f>
        <v>GRAVE</v>
      </c>
      <c r="AB259" t="s">
        <v>28854</v>
      </c>
      <c r="AC259" t="s">
        <v>28855</v>
      </c>
      <c r="AD259" t="s">
        <v>28966</v>
      </c>
      <c r="AE259" t="s">
        <v>28966</v>
      </c>
      <c r="AF259" t="s">
        <v>28966</v>
      </c>
      <c r="AG259" t="s">
        <v>28966</v>
      </c>
      <c r="AH259" t="s">
        <v>28966</v>
      </c>
      <c r="AI259" t="s">
        <v>28966</v>
      </c>
      <c r="AJ259" t="s">
        <v>28966</v>
      </c>
      <c r="AK259" t="s">
        <v>28966</v>
      </c>
      <c r="AL259" t="s">
        <v>28966</v>
      </c>
      <c r="AM259" t="s">
        <v>28966</v>
      </c>
      <c r="AN259" t="s">
        <v>28966</v>
      </c>
      <c r="AO259" t="s">
        <v>28966</v>
      </c>
      <c r="AP259" t="s">
        <v>28966</v>
      </c>
      <c r="AQ259" t="s">
        <v>28966</v>
      </c>
      <c r="AR259" t="s">
        <v>28966</v>
      </c>
      <c r="AS259" t="s">
        <v>28966</v>
      </c>
      <c r="AT259" t="s">
        <v>28966</v>
      </c>
      <c r="AU259" t="s">
        <v>28966</v>
      </c>
      <c r="AV259" t="s">
        <v>28966</v>
      </c>
      <c r="AW259" t="s">
        <v>28966</v>
      </c>
      <c r="AX259" t="s">
        <v>28966</v>
      </c>
      <c r="AY259" t="s">
        <v>28966</v>
      </c>
      <c r="AZ259" t="s">
        <v>28966</v>
      </c>
      <c r="BA259" t="s">
        <v>28966</v>
      </c>
      <c r="BB259" t="s">
        <v>28966</v>
      </c>
      <c r="BC259" t="s">
        <v>28966</v>
      </c>
      <c r="BD259" t="s">
        <v>28966</v>
      </c>
      <c r="BE259" t="s">
        <v>28966</v>
      </c>
      <c r="BF259" t="s">
        <v>28966</v>
      </c>
      <c r="BG259" t="s">
        <v>28966</v>
      </c>
      <c r="BH259" t="s">
        <v>28966</v>
      </c>
      <c r="BI259" t="s">
        <v>28966</v>
      </c>
      <c r="BJ259" t="s">
        <v>28966</v>
      </c>
      <c r="BK259" t="s">
        <v>28966</v>
      </c>
      <c r="BL259" t="s">
        <v>28966</v>
      </c>
      <c r="BM259" t="s">
        <v>28966</v>
      </c>
      <c r="BN259" t="s">
        <v>28966</v>
      </c>
      <c r="BO259" t="s">
        <v>28966</v>
      </c>
      <c r="BP259" t="s">
        <v>28966</v>
      </c>
      <c r="BQ259" t="s">
        <v>28966</v>
      </c>
      <c r="BR259" t="s">
        <v>28966</v>
      </c>
      <c r="BS259" t="s">
        <v>28966</v>
      </c>
      <c r="BT259" t="s">
        <v>28966</v>
      </c>
      <c r="BU259" t="s">
        <v>28966</v>
      </c>
      <c r="BV259" t="s">
        <v>28966</v>
      </c>
      <c r="BW259" t="s">
        <v>28966</v>
      </c>
      <c r="BX259" t="s">
        <v>28966</v>
      </c>
      <c r="BY259" t="s">
        <v>28966</v>
      </c>
      <c r="BZ259" t="s">
        <v>28966</v>
      </c>
      <c r="CA259" t="s">
        <v>28966</v>
      </c>
    </row>
    <row r="260" spans="2:79" x14ac:dyDescent="0.3">
      <c r="B260" s="9">
        <v>258</v>
      </c>
      <c r="C260" s="49">
        <v>11525</v>
      </c>
      <c r="D260" s="9">
        <f>YEAR(Tabla1[[#This Row],[Date]])</f>
        <v>1931</v>
      </c>
      <c r="E260" s="9" t="str" cm="1">
        <f t="array" ref="E260">IFERROR(_xlfn.IFS(AND(D260&lt;1980,D260&gt;=1970),"70",AND(D260&lt;1990,D260&gt;=1980),"80",AND(D260&lt;2000,D260&gt;=1990),"90",AND(D260&lt;2010,D260&gt;=2000),"00",AND(D260&lt;=2019,D260&gt;=2010),"10"),"1908-1970")</f>
        <v>1908-1970</v>
      </c>
      <c r="F260" s="3" t="s">
        <v>28931</v>
      </c>
      <c r="G260" t="s">
        <v>6088</v>
      </c>
      <c r="H260" t="s">
        <v>6089</v>
      </c>
      <c r="I260" t="s">
        <v>28931</v>
      </c>
      <c r="J260" t="s">
        <v>28931</v>
      </c>
      <c r="K260" t="s">
        <v>5821</v>
      </c>
      <c r="L260" s="7" t="s">
        <v>28931</v>
      </c>
      <c r="M260" t="s">
        <v>28931</v>
      </c>
      <c r="N260">
        <v>1</v>
      </c>
      <c r="O260">
        <v>0</v>
      </c>
      <c r="P260">
        <v>1</v>
      </c>
      <c r="Q260">
        <v>1</v>
      </c>
      <c r="R260">
        <v>0</v>
      </c>
      <c r="S260">
        <v>1</v>
      </c>
      <c r="T260">
        <v>0</v>
      </c>
      <c r="U260" t="s">
        <v>28927</v>
      </c>
      <c r="V260">
        <f>Tabla1[[#This Row],[Aboard]]-Tabla1[[#This Row],[Fatalities]]</f>
        <v>0</v>
      </c>
      <c r="W260" s="50">
        <f>IFERROR(Tabla1[[#This Row],[Fatalities]]/Tabla1[[#This Row],[Aboard]],0)</f>
        <v>1</v>
      </c>
      <c r="X260" s="51" t="str" cm="1">
        <f t="array" ref="X260">_xlfn.IFS(Tabla1[[#This Row],[Porcentaje de muertes]]&lt;0.35,"LEVE",AND(Tabla1[[#This Row],[Porcentaje de muertes]]&gt;0.35,Tabla1[[#This Row],[Porcentaje de muertes]]&lt;0.65),"MEDIO",Tabla1[[#This Row],[Porcentaje de muertes]]&gt;0.65,"GRAVE")</f>
        <v>GRAVE</v>
      </c>
      <c r="AB260" t="s">
        <v>11334</v>
      </c>
      <c r="AC260" t="s">
        <v>28856</v>
      </c>
      <c r="AD260">
        <v>1525600</v>
      </c>
      <c r="AE260">
        <v>1051300</v>
      </c>
      <c r="AF260">
        <v>854400</v>
      </c>
      <c r="AG260">
        <v>664700</v>
      </c>
      <c r="AH260">
        <v>552600</v>
      </c>
      <c r="AI260">
        <v>165000</v>
      </c>
      <c r="AJ260" t="s">
        <v>28966</v>
      </c>
      <c r="AK260" t="s">
        <v>28966</v>
      </c>
      <c r="AL260" t="s">
        <v>28966</v>
      </c>
      <c r="AM260" t="s">
        <v>28966</v>
      </c>
      <c r="AN260">
        <v>6000</v>
      </c>
      <c r="AO260">
        <v>27000</v>
      </c>
      <c r="AP260">
        <v>27000</v>
      </c>
      <c r="AQ260">
        <v>11500</v>
      </c>
      <c r="AR260">
        <v>74000</v>
      </c>
      <c r="AS260">
        <v>84000</v>
      </c>
      <c r="AT260">
        <v>88000</v>
      </c>
      <c r="AU260">
        <v>87000</v>
      </c>
      <c r="AV260">
        <v>87800</v>
      </c>
      <c r="AW260">
        <v>88200</v>
      </c>
      <c r="AX260">
        <v>89000</v>
      </c>
      <c r="AY260">
        <v>198000</v>
      </c>
      <c r="AZ260">
        <v>204200</v>
      </c>
      <c r="BA260">
        <v>1200000</v>
      </c>
      <c r="BB260">
        <v>1670000</v>
      </c>
      <c r="BC260">
        <v>2290000</v>
      </c>
      <c r="BD260">
        <v>2107500</v>
      </c>
      <c r="BE260">
        <v>2527300</v>
      </c>
      <c r="BF260">
        <v>2303500</v>
      </c>
      <c r="BG260">
        <v>2600000</v>
      </c>
      <c r="BH260">
        <v>2877894</v>
      </c>
      <c r="BI260">
        <v>3427176</v>
      </c>
      <c r="BJ260">
        <v>4038133</v>
      </c>
      <c r="BK260">
        <v>3969320</v>
      </c>
      <c r="BL260">
        <v>5049706</v>
      </c>
      <c r="BM260">
        <v>5453683</v>
      </c>
      <c r="BN260">
        <v>5283831</v>
      </c>
      <c r="BO260">
        <v>7194443</v>
      </c>
      <c r="BP260">
        <v>9991145</v>
      </c>
      <c r="BQ260">
        <v>11073604</v>
      </c>
      <c r="BR260">
        <v>14377619</v>
      </c>
      <c r="BS260">
        <v>16544477.83</v>
      </c>
      <c r="BT260">
        <v>16976051.379999999</v>
      </c>
      <c r="BU260">
        <v>20429309.91</v>
      </c>
      <c r="BV260">
        <v>23826013.27</v>
      </c>
      <c r="BW260">
        <v>29944771</v>
      </c>
      <c r="BX260">
        <v>37349272</v>
      </c>
      <c r="BY260">
        <v>42592762</v>
      </c>
      <c r="BZ260">
        <v>47049671</v>
      </c>
      <c r="CA260">
        <v>53227026</v>
      </c>
    </row>
    <row r="261" spans="2:79" x14ac:dyDescent="0.3">
      <c r="B261" s="9">
        <v>259</v>
      </c>
      <c r="C261" s="49">
        <v>11528</v>
      </c>
      <c r="D261" s="9">
        <f>YEAR(Tabla1[[#This Row],[Date]])</f>
        <v>1931</v>
      </c>
      <c r="E261" s="9" t="str" cm="1">
        <f t="array" ref="E261">IFERROR(_xlfn.IFS(AND(D261&lt;1980,D261&gt;=1970),"70",AND(D261&lt;1990,D261&gt;=1980),"80",AND(D261&lt;2000,D261&gt;=1990),"90",AND(D261&lt;2010,D261&gt;=2000),"00",AND(D261&lt;=2019,D261&gt;=2010),"10"),"1908-1970")</f>
        <v>1908-1970</v>
      </c>
      <c r="F261" s="3" t="s">
        <v>28931</v>
      </c>
      <c r="G261" t="s">
        <v>6090</v>
      </c>
      <c r="H261" t="s">
        <v>5377</v>
      </c>
      <c r="I261" t="s">
        <v>28931</v>
      </c>
      <c r="J261" t="s">
        <v>6091</v>
      </c>
      <c r="K261" t="s">
        <v>5451</v>
      </c>
      <c r="L261" s="7" t="s">
        <v>6092</v>
      </c>
      <c r="M261">
        <v>18</v>
      </c>
      <c r="N261">
        <v>7</v>
      </c>
      <c r="O261">
        <v>5</v>
      </c>
      <c r="P261">
        <v>2</v>
      </c>
      <c r="Q261">
        <v>7</v>
      </c>
      <c r="R261">
        <v>5</v>
      </c>
      <c r="S261">
        <v>2</v>
      </c>
      <c r="T261">
        <v>0</v>
      </c>
      <c r="U261" t="s">
        <v>6093</v>
      </c>
      <c r="V261">
        <f>Tabla1[[#This Row],[Aboard]]-Tabla1[[#This Row],[Fatalities]]</f>
        <v>0</v>
      </c>
      <c r="W261" s="50">
        <f>IFERROR(Tabla1[[#This Row],[Fatalities]]/Tabla1[[#This Row],[Aboard]],0)</f>
        <v>1</v>
      </c>
      <c r="X261" s="51" t="str" cm="1">
        <f t="array" ref="X261">_xlfn.IFS(Tabla1[[#This Row],[Porcentaje de muertes]]&lt;0.35,"LEVE",AND(Tabla1[[#This Row],[Porcentaje de muertes]]&gt;0.35,Tabla1[[#This Row],[Porcentaje de muertes]]&lt;0.65),"MEDIO",Tabla1[[#This Row],[Porcentaje de muertes]]&gt;0.65,"GRAVE")</f>
        <v>GRAVE</v>
      </c>
      <c r="AB261" t="s">
        <v>28857</v>
      </c>
      <c r="AC261" t="s">
        <v>28858</v>
      </c>
      <c r="AD261" t="s">
        <v>28966</v>
      </c>
      <c r="AE261" t="s">
        <v>28966</v>
      </c>
      <c r="AF261" t="s">
        <v>28966</v>
      </c>
      <c r="AG261" t="s">
        <v>28966</v>
      </c>
      <c r="AH261" t="s">
        <v>28966</v>
      </c>
      <c r="AI261" t="s">
        <v>28966</v>
      </c>
      <c r="AJ261" t="s">
        <v>28966</v>
      </c>
      <c r="AK261" t="s">
        <v>28966</v>
      </c>
      <c r="AL261" t="s">
        <v>28966</v>
      </c>
      <c r="AM261" t="s">
        <v>28966</v>
      </c>
      <c r="AN261" t="s">
        <v>28966</v>
      </c>
      <c r="AO261" t="s">
        <v>28966</v>
      </c>
      <c r="AP261">
        <v>16800</v>
      </c>
      <c r="AQ261">
        <v>24600</v>
      </c>
      <c r="AR261">
        <v>16700</v>
      </c>
      <c r="AS261">
        <v>14400</v>
      </c>
      <c r="AT261">
        <v>15300</v>
      </c>
      <c r="AU261">
        <v>16600</v>
      </c>
      <c r="AV261">
        <v>18500</v>
      </c>
      <c r="AW261">
        <v>18500</v>
      </c>
      <c r="AX261">
        <v>18500</v>
      </c>
      <c r="AY261">
        <v>53000</v>
      </c>
      <c r="AZ261">
        <v>59200</v>
      </c>
      <c r="BA261">
        <v>66700</v>
      </c>
      <c r="BB261">
        <v>70400</v>
      </c>
      <c r="BC261">
        <v>65600</v>
      </c>
      <c r="BD261">
        <v>72800</v>
      </c>
      <c r="BE261">
        <v>75000</v>
      </c>
      <c r="BF261">
        <v>88700</v>
      </c>
      <c r="BG261">
        <v>86000</v>
      </c>
      <c r="BH261">
        <v>101503</v>
      </c>
      <c r="BI261">
        <v>97471</v>
      </c>
      <c r="BJ261">
        <v>104294</v>
      </c>
      <c r="BK261">
        <v>83151</v>
      </c>
      <c r="BL261">
        <v>103939</v>
      </c>
      <c r="BM261">
        <v>112254</v>
      </c>
      <c r="BN261">
        <v>116744</v>
      </c>
      <c r="BO261">
        <v>122581</v>
      </c>
      <c r="BP261">
        <v>120742</v>
      </c>
      <c r="BQ261">
        <v>112169</v>
      </c>
      <c r="BR261">
        <v>247944</v>
      </c>
      <c r="BS261">
        <v>240396.43770000001</v>
      </c>
      <c r="BT261">
        <v>318747</v>
      </c>
      <c r="BU261">
        <v>327060</v>
      </c>
      <c r="BV261">
        <v>320232</v>
      </c>
      <c r="BW261">
        <v>272332</v>
      </c>
      <c r="BX261">
        <v>299315</v>
      </c>
      <c r="BY261">
        <v>341110</v>
      </c>
      <c r="BZ261">
        <v>374603</v>
      </c>
      <c r="CA261">
        <v>466865.05310000002</v>
      </c>
    </row>
    <row r="262" spans="2:79" x14ac:dyDescent="0.3">
      <c r="B262" s="9">
        <v>260</v>
      </c>
      <c r="C262" s="49">
        <v>11574</v>
      </c>
      <c r="D262" s="9">
        <f>YEAR(Tabla1[[#This Row],[Date]])</f>
        <v>1931</v>
      </c>
      <c r="E262" s="9" t="str" cm="1">
        <f t="array" ref="E262">IFERROR(_xlfn.IFS(AND(D262&lt;1980,D262&gt;=1970),"70",AND(D262&lt;1990,D262&gt;=1980),"80",AND(D262&lt;2000,D262&gt;=1990),"90",AND(D262&lt;2010,D262&gt;=2000),"00",AND(D262&lt;=2019,D262&gt;=2010),"10"),"1908-1970")</f>
        <v>1908-1970</v>
      </c>
      <c r="F262" s="3">
        <v>0.3611111111111111</v>
      </c>
      <c r="G262" t="s">
        <v>6094</v>
      </c>
      <c r="H262" t="s">
        <v>6089</v>
      </c>
      <c r="I262" t="s">
        <v>28931</v>
      </c>
      <c r="J262" t="s">
        <v>6095</v>
      </c>
      <c r="K262" t="s">
        <v>5898</v>
      </c>
      <c r="L262" s="7" t="s">
        <v>6096</v>
      </c>
      <c r="M262" t="s">
        <v>6097</v>
      </c>
      <c r="N262">
        <v>6</v>
      </c>
      <c r="O262">
        <v>4</v>
      </c>
      <c r="P262">
        <v>2</v>
      </c>
      <c r="Q262">
        <v>6</v>
      </c>
      <c r="R262">
        <v>4</v>
      </c>
      <c r="S262">
        <v>2</v>
      </c>
      <c r="T262">
        <v>0</v>
      </c>
      <c r="U262" t="s">
        <v>6098</v>
      </c>
      <c r="V262">
        <f>Tabla1[[#This Row],[Aboard]]-Tabla1[[#This Row],[Fatalities]]</f>
        <v>0</v>
      </c>
      <c r="W262" s="50">
        <f>IFERROR(Tabla1[[#This Row],[Fatalities]]/Tabla1[[#This Row],[Aboard]],0)</f>
        <v>1</v>
      </c>
      <c r="X262" s="51" t="str" cm="1">
        <f t="array" ref="X262">_xlfn.IFS(Tabla1[[#This Row],[Porcentaje de muertes]]&lt;0.35,"LEVE",AND(Tabla1[[#This Row],[Porcentaje de muertes]]&gt;0.35,Tabla1[[#This Row],[Porcentaje de muertes]]&lt;0.65),"MEDIO",Tabla1[[#This Row],[Porcentaje de muertes]]&gt;0.65,"GRAVE")</f>
        <v>GRAVE</v>
      </c>
      <c r="AB262" t="s">
        <v>28859</v>
      </c>
      <c r="AC262" t="s">
        <v>28860</v>
      </c>
      <c r="AD262">
        <v>310441392</v>
      </c>
      <c r="AE262">
        <v>331604904</v>
      </c>
      <c r="AF262" t="s">
        <v>28966</v>
      </c>
      <c r="AG262">
        <v>401571800</v>
      </c>
      <c r="AH262">
        <v>421145200</v>
      </c>
      <c r="AI262">
        <v>432276500</v>
      </c>
      <c r="AJ262">
        <v>471773396</v>
      </c>
      <c r="AK262">
        <v>513269292</v>
      </c>
      <c r="AL262">
        <v>576090004</v>
      </c>
      <c r="AM262">
        <v>648400600</v>
      </c>
      <c r="AN262">
        <v>641872888</v>
      </c>
      <c r="AO262">
        <v>640619400</v>
      </c>
      <c r="AP262">
        <v>654482108</v>
      </c>
      <c r="AQ262">
        <v>685101596</v>
      </c>
      <c r="AR262">
        <v>732410288</v>
      </c>
      <c r="AS262">
        <v>783198104</v>
      </c>
      <c r="AT262">
        <v>842594296</v>
      </c>
      <c r="AU262">
        <v>904838104</v>
      </c>
      <c r="AV262">
        <v>953896012</v>
      </c>
      <c r="AW262">
        <v>983208800</v>
      </c>
      <c r="AX262">
        <v>1024976616</v>
      </c>
      <c r="AY262">
        <v>1133228204</v>
      </c>
      <c r="AZ262">
        <v>1145436692</v>
      </c>
      <c r="BA262">
        <v>1142265216</v>
      </c>
      <c r="BB262">
        <v>1233233404</v>
      </c>
      <c r="BC262">
        <v>1302891640</v>
      </c>
      <c r="BD262">
        <v>1390963704</v>
      </c>
      <c r="BE262">
        <v>1455104192</v>
      </c>
      <c r="BF262">
        <v>1466961780</v>
      </c>
      <c r="BG262">
        <v>1562256300</v>
      </c>
      <c r="BH262">
        <v>1674064712</v>
      </c>
      <c r="BI262">
        <v>1655230214</v>
      </c>
      <c r="BJ262">
        <v>1627404873</v>
      </c>
      <c r="BK262">
        <v>1665309283</v>
      </c>
      <c r="BL262">
        <v>1888695284</v>
      </c>
      <c r="BM262">
        <v>1969590799</v>
      </c>
      <c r="BN262">
        <v>2072413898</v>
      </c>
      <c r="BO262">
        <v>2209136496</v>
      </c>
      <c r="BP262">
        <v>2208218737</v>
      </c>
      <c r="BQ262">
        <v>2249728546</v>
      </c>
      <c r="BR262">
        <v>2628261258</v>
      </c>
      <c r="BS262">
        <v>2786953830</v>
      </c>
      <c r="BT262">
        <v>2894054972</v>
      </c>
      <c r="BU262">
        <v>3048275073</v>
      </c>
      <c r="BV262">
        <v>3227291386</v>
      </c>
      <c r="BW262">
        <v>3466478485</v>
      </c>
      <c r="BX262">
        <v>3705101897</v>
      </c>
      <c r="BY262">
        <v>3973790463</v>
      </c>
      <c r="BZ262">
        <v>4242447521</v>
      </c>
      <c r="CA262">
        <v>4396665797</v>
      </c>
    </row>
    <row r="263" spans="2:79" x14ac:dyDescent="0.3">
      <c r="B263" s="9">
        <v>261</v>
      </c>
      <c r="C263" s="49">
        <v>11580</v>
      </c>
      <c r="D263" s="9">
        <f>YEAR(Tabla1[[#This Row],[Date]])</f>
        <v>1931</v>
      </c>
      <c r="E263" s="9" t="str" cm="1">
        <f t="array" ref="E263">IFERROR(_xlfn.IFS(AND(D263&lt;1980,D263&gt;=1970),"70",AND(D263&lt;1990,D263&gt;=1980),"80",AND(D263&lt;2000,D263&gt;=1990),"90",AND(D263&lt;2010,D263&gt;=2000),"00",AND(D263&lt;=2019,D263&gt;=2010),"10"),"1908-1970")</f>
        <v>1908-1970</v>
      </c>
      <c r="F263" s="3">
        <v>0.83333333333333337</v>
      </c>
      <c r="G263" t="s">
        <v>5103</v>
      </c>
      <c r="H263" t="s">
        <v>6099</v>
      </c>
      <c r="I263" t="s">
        <v>28931</v>
      </c>
      <c r="J263" t="s">
        <v>28931</v>
      </c>
      <c r="K263" t="s">
        <v>5799</v>
      </c>
      <c r="L263" s="7" t="s">
        <v>6100</v>
      </c>
      <c r="M263">
        <v>56</v>
      </c>
      <c r="N263">
        <v>1</v>
      </c>
      <c r="O263">
        <v>0</v>
      </c>
      <c r="P263">
        <v>1</v>
      </c>
      <c r="Q263">
        <v>1</v>
      </c>
      <c r="R263">
        <v>0</v>
      </c>
      <c r="S263">
        <v>1</v>
      </c>
      <c r="T263">
        <v>0</v>
      </c>
      <c r="U263" t="s">
        <v>6101</v>
      </c>
      <c r="V263">
        <f>Tabla1[[#This Row],[Aboard]]-Tabla1[[#This Row],[Fatalities]]</f>
        <v>0</v>
      </c>
      <c r="W263" s="50">
        <f>IFERROR(Tabla1[[#This Row],[Fatalities]]/Tabla1[[#This Row],[Aboard]],0)</f>
        <v>1</v>
      </c>
      <c r="X263" s="51" t="str" cm="1">
        <f t="array" ref="X263">_xlfn.IFS(Tabla1[[#This Row],[Porcentaje de muertes]]&lt;0.35,"LEVE",AND(Tabla1[[#This Row],[Porcentaje de muertes]]&gt;0.35,Tabla1[[#This Row],[Porcentaje de muertes]]&lt;0.65),"MEDIO",Tabla1[[#This Row],[Porcentaje de muertes]]&gt;0.65,"GRAVE")</f>
        <v>GRAVE</v>
      </c>
      <c r="AB263" t="s">
        <v>28861</v>
      </c>
      <c r="AC263" t="s">
        <v>28862</v>
      </c>
      <c r="AD263" t="s">
        <v>28966</v>
      </c>
      <c r="AE263" t="s">
        <v>28966</v>
      </c>
      <c r="AF263" t="s">
        <v>28966</v>
      </c>
      <c r="AG263" t="s">
        <v>28966</v>
      </c>
      <c r="AH263" t="s">
        <v>28966</v>
      </c>
      <c r="AI263" t="s">
        <v>28966</v>
      </c>
      <c r="AJ263" t="s">
        <v>28966</v>
      </c>
      <c r="AK263" t="s">
        <v>28966</v>
      </c>
      <c r="AL263" t="s">
        <v>28966</v>
      </c>
      <c r="AM263" t="s">
        <v>28966</v>
      </c>
      <c r="AN263" t="s">
        <v>28966</v>
      </c>
      <c r="AO263" t="s">
        <v>28966</v>
      </c>
      <c r="AP263" t="s">
        <v>28966</v>
      </c>
      <c r="AQ263" t="s">
        <v>28966</v>
      </c>
      <c r="AR263" t="s">
        <v>28966</v>
      </c>
      <c r="AS263" t="s">
        <v>28966</v>
      </c>
      <c r="AT263" t="s">
        <v>28966</v>
      </c>
      <c r="AU263" t="s">
        <v>28966</v>
      </c>
      <c r="AV263" t="s">
        <v>28966</v>
      </c>
      <c r="AW263" t="s">
        <v>28966</v>
      </c>
      <c r="AX263" t="s">
        <v>28966</v>
      </c>
      <c r="AY263" t="s">
        <v>28966</v>
      </c>
      <c r="AZ263" t="s">
        <v>28966</v>
      </c>
      <c r="BA263" t="s">
        <v>28966</v>
      </c>
      <c r="BB263" t="s">
        <v>28966</v>
      </c>
      <c r="BC263" t="s">
        <v>28966</v>
      </c>
      <c r="BD263">
        <v>270000</v>
      </c>
      <c r="BE263">
        <v>74900</v>
      </c>
      <c r="BF263">
        <v>148800</v>
      </c>
      <c r="BG263">
        <v>155500</v>
      </c>
      <c r="BH263">
        <v>164142</v>
      </c>
      <c r="BI263">
        <v>173479</v>
      </c>
      <c r="BJ263">
        <v>182292</v>
      </c>
      <c r="BK263">
        <v>198115</v>
      </c>
      <c r="BL263">
        <v>246875</v>
      </c>
      <c r="BM263">
        <v>266625</v>
      </c>
      <c r="BN263">
        <v>287596</v>
      </c>
      <c r="BO263">
        <v>294927</v>
      </c>
      <c r="BP263">
        <v>290503</v>
      </c>
      <c r="BQ263">
        <v>270908</v>
      </c>
      <c r="BR263" t="s">
        <v>28966</v>
      </c>
      <c r="BS263" t="s">
        <v>28966</v>
      </c>
      <c r="BT263" t="s">
        <v>28966</v>
      </c>
      <c r="BU263" t="s">
        <v>28966</v>
      </c>
      <c r="BV263">
        <v>76944</v>
      </c>
      <c r="BW263">
        <v>98950</v>
      </c>
      <c r="BX263">
        <v>116167</v>
      </c>
      <c r="BY263">
        <v>81921</v>
      </c>
      <c r="BZ263">
        <v>77811</v>
      </c>
      <c r="CA263">
        <v>74867</v>
      </c>
    </row>
    <row r="264" spans="2:79" x14ac:dyDescent="0.3">
      <c r="B264" s="9">
        <v>262</v>
      </c>
      <c r="C264" s="49">
        <v>11581</v>
      </c>
      <c r="D264" s="9">
        <f>YEAR(Tabla1[[#This Row],[Date]])</f>
        <v>1931</v>
      </c>
      <c r="E264" s="9" t="str" cm="1">
        <f t="array" ref="E264">IFERROR(_xlfn.IFS(AND(D264&lt;1980,D264&gt;=1970),"70",AND(D264&lt;1990,D264&gt;=1980),"80",AND(D264&lt;2000,D264&gt;=1990),"90",AND(D264&lt;2010,D264&gt;=2000),"00",AND(D264&lt;=2019,D264&gt;=2010),"10"),"1908-1970")</f>
        <v>1908-1970</v>
      </c>
      <c r="F264" s="3" t="s">
        <v>28931</v>
      </c>
      <c r="G264" t="s">
        <v>6102</v>
      </c>
      <c r="H264" t="s">
        <v>5377</v>
      </c>
      <c r="I264" t="s">
        <v>28931</v>
      </c>
      <c r="J264" t="s">
        <v>6103</v>
      </c>
      <c r="K264" t="s">
        <v>6104</v>
      </c>
      <c r="L264" s="7" t="s">
        <v>6105</v>
      </c>
      <c r="M264" t="s">
        <v>28931</v>
      </c>
      <c r="N264">
        <v>6</v>
      </c>
      <c r="O264">
        <v>4</v>
      </c>
      <c r="P264">
        <v>2</v>
      </c>
      <c r="Q264">
        <v>6</v>
      </c>
      <c r="R264">
        <v>4</v>
      </c>
      <c r="S264">
        <v>2</v>
      </c>
      <c r="T264">
        <v>0</v>
      </c>
      <c r="U264" t="s">
        <v>6106</v>
      </c>
      <c r="V264">
        <f>Tabla1[[#This Row],[Aboard]]-Tabla1[[#This Row],[Fatalities]]</f>
        <v>0</v>
      </c>
      <c r="W264" s="50">
        <f>IFERROR(Tabla1[[#This Row],[Fatalities]]/Tabla1[[#This Row],[Aboard]],0)</f>
        <v>1</v>
      </c>
      <c r="X264" s="51" t="str" cm="1">
        <f t="array" ref="X264">_xlfn.IFS(Tabla1[[#This Row],[Porcentaje de muertes]]&lt;0.35,"LEVE",AND(Tabla1[[#This Row],[Porcentaje de muertes]]&gt;0.35,Tabla1[[#This Row],[Porcentaje de muertes]]&lt;0.65),"MEDIO",Tabla1[[#This Row],[Porcentaje de muertes]]&gt;0.65,"GRAVE")</f>
        <v>GRAVE</v>
      </c>
      <c r="AB264" t="s">
        <v>28863</v>
      </c>
      <c r="AC264" t="s">
        <v>28864</v>
      </c>
      <c r="AD264" t="s">
        <v>28966</v>
      </c>
      <c r="AE264" t="s">
        <v>28966</v>
      </c>
      <c r="AF264" t="s">
        <v>28966</v>
      </c>
      <c r="AG264" t="s">
        <v>28966</v>
      </c>
      <c r="AH264" t="s">
        <v>28966</v>
      </c>
      <c r="AI264" t="s">
        <v>28966</v>
      </c>
      <c r="AJ264" t="s">
        <v>28966</v>
      </c>
      <c r="AK264" t="s">
        <v>28966</v>
      </c>
      <c r="AL264" t="s">
        <v>28966</v>
      </c>
      <c r="AM264" t="s">
        <v>28966</v>
      </c>
      <c r="AN264" t="s">
        <v>28966</v>
      </c>
      <c r="AO264" t="s">
        <v>28966</v>
      </c>
      <c r="AP264" t="s">
        <v>28966</v>
      </c>
      <c r="AQ264" t="s">
        <v>28966</v>
      </c>
      <c r="AR264" t="s">
        <v>28966</v>
      </c>
      <c r="AS264" t="s">
        <v>28966</v>
      </c>
      <c r="AT264" t="s">
        <v>28966</v>
      </c>
      <c r="AU264" t="s">
        <v>28966</v>
      </c>
      <c r="AV264" t="s">
        <v>28966</v>
      </c>
      <c r="AW264" t="s">
        <v>28966</v>
      </c>
      <c r="AX264" t="s">
        <v>28966</v>
      </c>
      <c r="AY264" t="s">
        <v>28966</v>
      </c>
      <c r="AZ264" t="s">
        <v>28966</v>
      </c>
      <c r="BA264" t="s">
        <v>28966</v>
      </c>
      <c r="BB264" t="s">
        <v>28966</v>
      </c>
      <c r="BC264" t="s">
        <v>28966</v>
      </c>
      <c r="BD264" t="s">
        <v>28966</v>
      </c>
      <c r="BE264" t="s">
        <v>28966</v>
      </c>
      <c r="BF264" t="s">
        <v>28966</v>
      </c>
      <c r="BG264" t="s">
        <v>28966</v>
      </c>
      <c r="BH264" t="s">
        <v>28966</v>
      </c>
      <c r="BI264" t="s">
        <v>28966</v>
      </c>
      <c r="BJ264" t="s">
        <v>28966</v>
      </c>
      <c r="BK264" t="s">
        <v>28966</v>
      </c>
      <c r="BL264" t="s">
        <v>28966</v>
      </c>
      <c r="BM264" t="s">
        <v>28966</v>
      </c>
      <c r="BN264" t="s">
        <v>28966</v>
      </c>
      <c r="BO264" t="s">
        <v>28966</v>
      </c>
      <c r="BP264" t="s">
        <v>28966</v>
      </c>
      <c r="BQ264" t="s">
        <v>28966</v>
      </c>
      <c r="BR264" t="s">
        <v>28966</v>
      </c>
      <c r="BS264" t="s">
        <v>28966</v>
      </c>
      <c r="BT264" t="s">
        <v>28966</v>
      </c>
      <c r="BU264" t="s">
        <v>28966</v>
      </c>
      <c r="BV264" t="s">
        <v>28966</v>
      </c>
      <c r="BW264" t="s">
        <v>28966</v>
      </c>
      <c r="BX264" t="s">
        <v>28966</v>
      </c>
      <c r="BY264" t="s">
        <v>28966</v>
      </c>
      <c r="BZ264" t="s">
        <v>28966</v>
      </c>
      <c r="CA264" t="s">
        <v>28966</v>
      </c>
    </row>
    <row r="265" spans="2:79" x14ac:dyDescent="0.3">
      <c r="B265" s="9">
        <v>263</v>
      </c>
      <c r="C265" s="49">
        <v>11582</v>
      </c>
      <c r="D265" s="9">
        <f>YEAR(Tabla1[[#This Row],[Date]])</f>
        <v>1931</v>
      </c>
      <c r="E265" s="9" t="str" cm="1">
        <f t="array" ref="E265">IFERROR(_xlfn.IFS(AND(D265&lt;1980,D265&gt;=1970),"70",AND(D265&lt;1990,D265&gt;=1980),"80",AND(D265&lt;2000,D265&gt;=1990),"90",AND(D265&lt;2010,D265&gt;=2000),"00",AND(D265&lt;=2019,D265&gt;=2010),"10"),"1908-1970")</f>
        <v>1908-1970</v>
      </c>
      <c r="F265" s="3">
        <v>0.16666666666666666</v>
      </c>
      <c r="G265" t="s">
        <v>6107</v>
      </c>
      <c r="H265" t="s">
        <v>5445</v>
      </c>
      <c r="I265" t="s">
        <v>28931</v>
      </c>
      <c r="J265" t="s">
        <v>6108</v>
      </c>
      <c r="K265" t="s">
        <v>5558</v>
      </c>
      <c r="L265" s="7" t="s">
        <v>6109</v>
      </c>
      <c r="M265">
        <v>1428</v>
      </c>
      <c r="N265">
        <v>4</v>
      </c>
      <c r="O265">
        <v>3</v>
      </c>
      <c r="P265">
        <v>1</v>
      </c>
      <c r="Q265">
        <v>4</v>
      </c>
      <c r="R265">
        <v>3</v>
      </c>
      <c r="S265">
        <v>1</v>
      </c>
      <c r="T265">
        <v>0</v>
      </c>
      <c r="U265" t="s">
        <v>6110</v>
      </c>
      <c r="V265">
        <f>Tabla1[[#This Row],[Aboard]]-Tabla1[[#This Row],[Fatalities]]</f>
        <v>0</v>
      </c>
      <c r="W265" s="50">
        <f>IFERROR(Tabla1[[#This Row],[Fatalities]]/Tabla1[[#This Row],[Aboard]],0)</f>
        <v>1</v>
      </c>
      <c r="X265" s="51" t="str" cm="1">
        <f t="array" ref="X265">_xlfn.IFS(Tabla1[[#This Row],[Porcentaje de muertes]]&lt;0.35,"LEVE",AND(Tabla1[[#This Row],[Porcentaje de muertes]]&gt;0.35,Tabla1[[#This Row],[Porcentaje de muertes]]&lt;0.65),"MEDIO",Tabla1[[#This Row],[Porcentaje de muertes]]&gt;0.65,"GRAVE")</f>
        <v>GRAVE</v>
      </c>
      <c r="AB265" t="s">
        <v>28865</v>
      </c>
      <c r="AC265" t="s">
        <v>28866</v>
      </c>
      <c r="AD265">
        <v>25900</v>
      </c>
      <c r="AE265">
        <v>54500</v>
      </c>
      <c r="AF265">
        <v>57000</v>
      </c>
      <c r="AG265">
        <v>61500</v>
      </c>
      <c r="AH265">
        <v>66500</v>
      </c>
      <c r="AI265">
        <v>70000</v>
      </c>
      <c r="AJ265">
        <v>262800</v>
      </c>
      <c r="AK265">
        <v>275000</v>
      </c>
      <c r="AL265">
        <v>295000</v>
      </c>
      <c r="AM265">
        <v>295000</v>
      </c>
      <c r="AN265">
        <v>310000</v>
      </c>
      <c r="AO265">
        <v>310000</v>
      </c>
      <c r="AP265">
        <v>352100</v>
      </c>
      <c r="AQ265">
        <v>465900</v>
      </c>
      <c r="AR265">
        <v>455800</v>
      </c>
      <c r="AS265">
        <v>426200</v>
      </c>
      <c r="AT265">
        <v>589700</v>
      </c>
      <c r="AU265">
        <v>575500</v>
      </c>
      <c r="AV265">
        <v>635500</v>
      </c>
      <c r="AW265">
        <v>667900</v>
      </c>
      <c r="AX265">
        <v>671100</v>
      </c>
      <c r="AY265">
        <v>540500</v>
      </c>
      <c r="AZ265">
        <v>800400</v>
      </c>
      <c r="BA265">
        <v>847900</v>
      </c>
      <c r="BB265">
        <v>790600</v>
      </c>
      <c r="BC265">
        <v>375000</v>
      </c>
      <c r="BD265">
        <v>587500</v>
      </c>
      <c r="BE265">
        <v>706900</v>
      </c>
      <c r="BF265">
        <v>765000</v>
      </c>
      <c r="BG265">
        <v>731000</v>
      </c>
      <c r="BH265">
        <v>841609</v>
      </c>
      <c r="BI265">
        <v>841366</v>
      </c>
      <c r="BJ265">
        <v>869296</v>
      </c>
      <c r="BK265">
        <v>844284</v>
      </c>
      <c r="BL265">
        <v>1022079</v>
      </c>
      <c r="BM265">
        <v>1083404</v>
      </c>
      <c r="BN265">
        <v>1162316</v>
      </c>
      <c r="BO265">
        <v>1073493</v>
      </c>
      <c r="BP265">
        <v>1064878</v>
      </c>
      <c r="BQ265">
        <v>1050486</v>
      </c>
      <c r="BR265">
        <v>1536556</v>
      </c>
      <c r="BS265">
        <v>1492073.3289999999</v>
      </c>
      <c r="BT265">
        <v>1299707.2390000001</v>
      </c>
      <c r="BU265">
        <v>1664220</v>
      </c>
      <c r="BV265">
        <v>1665552</v>
      </c>
      <c r="BW265">
        <v>443685</v>
      </c>
      <c r="BX265">
        <v>242723</v>
      </c>
      <c r="BY265">
        <v>132571</v>
      </c>
      <c r="BZ265">
        <v>336310</v>
      </c>
      <c r="CA265" t="s">
        <v>28966</v>
      </c>
    </row>
    <row r="266" spans="2:79" x14ac:dyDescent="0.3">
      <c r="B266" s="9">
        <v>264</v>
      </c>
      <c r="C266" s="49">
        <v>11484</v>
      </c>
      <c r="D266" s="9">
        <f>YEAR(Tabla1[[#This Row],[Date]])</f>
        <v>1931</v>
      </c>
      <c r="E266" s="9" t="str" cm="1">
        <f t="array" ref="E266">IFERROR(_xlfn.IFS(AND(D266&lt;1980,D266&gt;=1970),"70",AND(D266&lt;1990,D266&gt;=1980),"80",AND(D266&lt;2000,D266&gt;=1990),"90",AND(D266&lt;2010,D266&gt;=2000),"00",AND(D266&lt;=2019,D266&gt;=2010),"10"),"1908-1970")</f>
        <v>1908-1970</v>
      </c>
      <c r="F266" s="3" t="s">
        <v>28931</v>
      </c>
      <c r="G266" t="s">
        <v>6111</v>
      </c>
      <c r="H266" t="s">
        <v>5417</v>
      </c>
      <c r="I266" t="s">
        <v>28931</v>
      </c>
      <c r="J266" t="s">
        <v>6112</v>
      </c>
      <c r="K266" t="s">
        <v>6113</v>
      </c>
      <c r="L266" s="7" t="s">
        <v>6114</v>
      </c>
      <c r="M266">
        <v>334</v>
      </c>
      <c r="N266">
        <v>3</v>
      </c>
      <c r="O266">
        <v>0</v>
      </c>
      <c r="P266">
        <v>3</v>
      </c>
      <c r="Q266">
        <v>3</v>
      </c>
      <c r="R266">
        <v>0</v>
      </c>
      <c r="S266">
        <v>3</v>
      </c>
      <c r="T266">
        <v>0</v>
      </c>
      <c r="U266" t="s">
        <v>6115</v>
      </c>
      <c r="V266">
        <f>Tabla1[[#This Row],[Aboard]]-Tabla1[[#This Row],[Fatalities]]</f>
        <v>0</v>
      </c>
      <c r="W266" s="50">
        <f>IFERROR(Tabla1[[#This Row],[Fatalities]]/Tabla1[[#This Row],[Aboard]],0)</f>
        <v>1</v>
      </c>
      <c r="X266" s="51" t="str" cm="1">
        <f t="array" ref="X266">_xlfn.IFS(Tabla1[[#This Row],[Porcentaje de muertes]]&lt;0.35,"LEVE",AND(Tabla1[[#This Row],[Porcentaje de muertes]]&gt;0.35,Tabla1[[#This Row],[Porcentaje de muertes]]&lt;0.65),"MEDIO",Tabla1[[#This Row],[Porcentaje de muertes]]&gt;0.65,"GRAVE")</f>
        <v>GRAVE</v>
      </c>
      <c r="AB266" t="s">
        <v>28867</v>
      </c>
      <c r="AC266" t="s">
        <v>28868</v>
      </c>
      <c r="AD266">
        <v>1519000</v>
      </c>
      <c r="AE266">
        <v>1659500</v>
      </c>
      <c r="AF266">
        <v>1868100</v>
      </c>
      <c r="AG266">
        <v>2313800</v>
      </c>
      <c r="AH266">
        <v>2763600</v>
      </c>
      <c r="AI266">
        <v>2936400</v>
      </c>
      <c r="AJ266">
        <v>2998800</v>
      </c>
      <c r="AK266">
        <v>3076800</v>
      </c>
      <c r="AL266">
        <v>3211200</v>
      </c>
      <c r="AM266">
        <v>3783700</v>
      </c>
      <c r="AN266">
        <v>4116000</v>
      </c>
      <c r="AO266">
        <v>4159800</v>
      </c>
      <c r="AP266">
        <v>4091200</v>
      </c>
      <c r="AQ266">
        <v>3951800</v>
      </c>
      <c r="AR266">
        <v>4461400</v>
      </c>
      <c r="AS266">
        <v>4337300</v>
      </c>
      <c r="AT266">
        <v>3825000</v>
      </c>
      <c r="AU266">
        <v>4386900</v>
      </c>
      <c r="AV266">
        <v>5125900</v>
      </c>
      <c r="AW266">
        <v>5641500</v>
      </c>
      <c r="AX266">
        <v>5364900</v>
      </c>
      <c r="AY266">
        <v>4818600</v>
      </c>
      <c r="AZ266">
        <v>4685000</v>
      </c>
      <c r="BA266">
        <v>5581500</v>
      </c>
      <c r="BB266">
        <v>5801600</v>
      </c>
      <c r="BC266">
        <v>6395500</v>
      </c>
      <c r="BD266">
        <v>7183100</v>
      </c>
      <c r="BE266">
        <v>7274200</v>
      </c>
      <c r="BF266">
        <v>6479500</v>
      </c>
      <c r="BG266">
        <v>7403800</v>
      </c>
      <c r="BH266">
        <v>8000757</v>
      </c>
      <c r="BI266">
        <v>7948374</v>
      </c>
      <c r="BJ266">
        <v>8052660</v>
      </c>
      <c r="BK266">
        <v>9159815</v>
      </c>
      <c r="BL266">
        <v>9878598</v>
      </c>
      <c r="BM266">
        <v>11844657</v>
      </c>
      <c r="BN266">
        <v>12932671</v>
      </c>
      <c r="BO266">
        <v>12870324</v>
      </c>
      <c r="BP266">
        <v>13135437</v>
      </c>
      <c r="BQ266">
        <v>12503629</v>
      </c>
      <c r="BR266">
        <v>15781210</v>
      </c>
      <c r="BS266">
        <v>16407784.960000001</v>
      </c>
      <c r="BT266">
        <v>17571565.199999999</v>
      </c>
      <c r="BU266">
        <v>16311250</v>
      </c>
      <c r="BV266">
        <v>17026643.219999999</v>
      </c>
      <c r="BW266">
        <v>18882898</v>
      </c>
      <c r="BX266">
        <v>19744932</v>
      </c>
      <c r="BY266">
        <v>20821044</v>
      </c>
      <c r="BZ266">
        <v>24660386</v>
      </c>
      <c r="CA266">
        <v>25650178</v>
      </c>
    </row>
    <row r="267" spans="2:79" x14ac:dyDescent="0.3">
      <c r="B267" s="9">
        <v>265</v>
      </c>
      <c r="C267" s="49">
        <v>11610</v>
      </c>
      <c r="D267" s="9">
        <f>YEAR(Tabla1[[#This Row],[Date]])</f>
        <v>1931</v>
      </c>
      <c r="E267" s="9" t="str" cm="1">
        <f t="array" ref="E267">IFERROR(_xlfn.IFS(AND(D267&lt;1980,D267&gt;=1970),"70",AND(D267&lt;1990,D267&gt;=1980),"80",AND(D267&lt;2000,D267&gt;=1990),"90",AND(D267&lt;2010,D267&gt;=2000),"00",AND(D267&lt;=2019,D267&gt;=2010),"10"),"1908-1970")</f>
        <v>1908-1970</v>
      </c>
      <c r="F267" s="3" t="s">
        <v>28931</v>
      </c>
      <c r="G267" t="s">
        <v>6116</v>
      </c>
      <c r="H267" t="s">
        <v>5673</v>
      </c>
      <c r="I267" t="s">
        <v>28931</v>
      </c>
      <c r="J267" t="s">
        <v>28931</v>
      </c>
      <c r="K267" t="s">
        <v>5674</v>
      </c>
      <c r="L267" s="7" t="s">
        <v>6117</v>
      </c>
      <c r="M267">
        <v>107</v>
      </c>
      <c r="N267">
        <v>3</v>
      </c>
      <c r="O267">
        <v>0</v>
      </c>
      <c r="P267">
        <v>3</v>
      </c>
      <c r="Q267">
        <v>3</v>
      </c>
      <c r="R267">
        <v>0</v>
      </c>
      <c r="S267">
        <v>3</v>
      </c>
      <c r="T267">
        <v>0</v>
      </c>
      <c r="U267" t="s">
        <v>28927</v>
      </c>
      <c r="V267">
        <f>Tabla1[[#This Row],[Aboard]]-Tabla1[[#This Row],[Fatalities]]</f>
        <v>0</v>
      </c>
      <c r="W267" s="50">
        <f>IFERROR(Tabla1[[#This Row],[Fatalities]]/Tabla1[[#This Row],[Aboard]],0)</f>
        <v>1</v>
      </c>
      <c r="X267" s="51" t="str" cm="1">
        <f t="array" ref="X267">_xlfn.IFS(Tabla1[[#This Row],[Porcentaje de muertes]]&lt;0.35,"LEVE",AND(Tabla1[[#This Row],[Porcentaje de muertes]]&gt;0.35,Tabla1[[#This Row],[Porcentaje de muertes]]&lt;0.65),"MEDIO",Tabla1[[#This Row],[Porcentaje de muertes]]&gt;0.65,"GRAVE")</f>
        <v>GRAVE</v>
      </c>
      <c r="AB267" t="s">
        <v>28869</v>
      </c>
      <c r="AC267" t="s">
        <v>28870</v>
      </c>
      <c r="AD267">
        <v>187800</v>
      </c>
      <c r="AE267">
        <v>214200</v>
      </c>
      <c r="AF267">
        <v>230100</v>
      </c>
      <c r="AG267">
        <v>230600</v>
      </c>
      <c r="AH267">
        <v>240600</v>
      </c>
      <c r="AI267">
        <v>232600</v>
      </c>
      <c r="AJ267">
        <v>256800</v>
      </c>
      <c r="AK267">
        <v>299400</v>
      </c>
      <c r="AL267">
        <v>317100</v>
      </c>
      <c r="AM267">
        <v>295700</v>
      </c>
      <c r="AN267">
        <v>257400</v>
      </c>
      <c r="AO267">
        <v>278300</v>
      </c>
      <c r="AP267">
        <v>253100</v>
      </c>
      <c r="AQ267">
        <v>236700</v>
      </c>
      <c r="AR267">
        <v>245600</v>
      </c>
      <c r="AS267">
        <v>253900</v>
      </c>
      <c r="AT267">
        <v>237700</v>
      </c>
      <c r="AU267">
        <v>257900</v>
      </c>
      <c r="AV267">
        <v>303500</v>
      </c>
      <c r="AW267">
        <v>365300</v>
      </c>
      <c r="AX267">
        <v>407200</v>
      </c>
      <c r="AY267">
        <v>292500</v>
      </c>
      <c r="AZ267">
        <v>246000</v>
      </c>
      <c r="BA267">
        <v>219000</v>
      </c>
      <c r="BB267">
        <v>234700</v>
      </c>
      <c r="BC267" t="s">
        <v>28966</v>
      </c>
      <c r="BD267" t="s">
        <v>28966</v>
      </c>
      <c r="BE267">
        <v>49600</v>
      </c>
      <c r="BF267">
        <v>48800</v>
      </c>
      <c r="BG267">
        <v>77700</v>
      </c>
      <c r="BH267">
        <v>89628</v>
      </c>
      <c r="BI267">
        <v>48517</v>
      </c>
      <c r="BJ267">
        <v>47075</v>
      </c>
      <c r="BK267">
        <v>50977</v>
      </c>
      <c r="BL267">
        <v>49888</v>
      </c>
      <c r="BM267">
        <v>53880</v>
      </c>
      <c r="BN267">
        <v>58679</v>
      </c>
      <c r="BO267">
        <v>61589</v>
      </c>
      <c r="BP267">
        <v>62467</v>
      </c>
      <c r="BQ267" t="s">
        <v>28966</v>
      </c>
      <c r="BR267">
        <v>260502</v>
      </c>
      <c r="BS267">
        <v>306034.3</v>
      </c>
      <c r="BT267">
        <v>127296.65</v>
      </c>
      <c r="BU267">
        <v>10032</v>
      </c>
      <c r="BV267">
        <v>8592</v>
      </c>
      <c r="BW267">
        <v>203617</v>
      </c>
      <c r="BX267">
        <v>144060</v>
      </c>
      <c r="BY267">
        <v>154573</v>
      </c>
      <c r="BZ267">
        <v>16633.138940000001</v>
      </c>
      <c r="CA267">
        <v>17505.689640000001</v>
      </c>
    </row>
    <row r="268" spans="2:79" x14ac:dyDescent="0.3">
      <c r="B268" s="9">
        <v>266</v>
      </c>
      <c r="C268" s="49">
        <v>11454</v>
      </c>
      <c r="D268" s="9">
        <f>YEAR(Tabla1[[#This Row],[Date]])</f>
        <v>1931</v>
      </c>
      <c r="E268" s="9" t="str" cm="1">
        <f t="array" ref="E268">IFERROR(_xlfn.IFS(AND(D268&lt;1980,D268&gt;=1970),"70",AND(D268&lt;1990,D268&gt;=1980),"80",AND(D268&lt;2000,D268&gt;=1990),"90",AND(D268&lt;2010,D268&gt;=2000),"00",AND(D268&lt;=2019,D268&gt;=2010),"10"),"1908-1970")</f>
        <v>1908-1970</v>
      </c>
      <c r="F268" s="3">
        <v>0.28333333333333333</v>
      </c>
      <c r="G268" t="s">
        <v>6118</v>
      </c>
      <c r="H268" t="s">
        <v>6119</v>
      </c>
      <c r="I268" t="s">
        <v>28931</v>
      </c>
      <c r="J268" t="s">
        <v>6120</v>
      </c>
      <c r="K268" t="s">
        <v>6121</v>
      </c>
      <c r="L268" s="7" t="s">
        <v>6122</v>
      </c>
      <c r="M268">
        <v>178</v>
      </c>
      <c r="N268">
        <v>5</v>
      </c>
      <c r="O268">
        <v>4</v>
      </c>
      <c r="P268">
        <v>1</v>
      </c>
      <c r="Q268">
        <v>5</v>
      </c>
      <c r="R268">
        <v>4</v>
      </c>
      <c r="S268">
        <v>1</v>
      </c>
      <c r="T268">
        <v>0</v>
      </c>
      <c r="U268" t="s">
        <v>6123</v>
      </c>
      <c r="V268">
        <f>Tabla1[[#This Row],[Aboard]]-Tabla1[[#This Row],[Fatalities]]</f>
        <v>0</v>
      </c>
      <c r="W268" s="50">
        <f>IFERROR(Tabla1[[#This Row],[Fatalities]]/Tabla1[[#This Row],[Aboard]],0)</f>
        <v>1</v>
      </c>
      <c r="X268" s="51" t="str" cm="1">
        <f t="array" ref="X268">_xlfn.IFS(Tabla1[[#This Row],[Porcentaje de muertes]]&lt;0.35,"LEVE",AND(Tabla1[[#This Row],[Porcentaje de muertes]]&gt;0.35,Tabla1[[#This Row],[Porcentaje de muertes]]&lt;0.65),"MEDIO",Tabla1[[#This Row],[Porcentaje de muertes]]&gt;0.65,"GRAVE")</f>
        <v>GRAVE</v>
      </c>
      <c r="AB268" t="s">
        <v>28871</v>
      </c>
      <c r="AC268" t="s">
        <v>28872</v>
      </c>
      <c r="AD268">
        <v>267400</v>
      </c>
      <c r="AE268">
        <v>291300</v>
      </c>
      <c r="AF268">
        <v>315000</v>
      </c>
      <c r="AG268">
        <v>340000</v>
      </c>
      <c r="AH268" t="s">
        <v>28966</v>
      </c>
      <c r="AI268" t="s">
        <v>28966</v>
      </c>
      <c r="AJ268" t="s">
        <v>28966</v>
      </c>
      <c r="AK268" t="s">
        <v>28966</v>
      </c>
      <c r="AL268" t="s">
        <v>28966</v>
      </c>
      <c r="AM268" t="s">
        <v>28966</v>
      </c>
      <c r="AN268">
        <v>412300</v>
      </c>
      <c r="AO268">
        <v>535200</v>
      </c>
      <c r="AP268">
        <v>448600</v>
      </c>
      <c r="AQ268">
        <v>449200</v>
      </c>
      <c r="AR268">
        <v>440700</v>
      </c>
      <c r="AS268">
        <v>453100</v>
      </c>
      <c r="AT268">
        <v>451500</v>
      </c>
      <c r="AU268">
        <v>459900</v>
      </c>
      <c r="AV268">
        <v>525100</v>
      </c>
      <c r="AW268">
        <v>583400</v>
      </c>
      <c r="AX268">
        <v>601300</v>
      </c>
      <c r="AY268">
        <v>740200</v>
      </c>
      <c r="AZ268">
        <v>677900</v>
      </c>
      <c r="BA268">
        <v>594600</v>
      </c>
      <c r="BB268">
        <v>675300</v>
      </c>
      <c r="BC268">
        <v>625700</v>
      </c>
      <c r="BD268">
        <v>653700</v>
      </c>
      <c r="BE268">
        <v>790100</v>
      </c>
      <c r="BF268">
        <v>788900</v>
      </c>
      <c r="BG268">
        <v>651000</v>
      </c>
      <c r="BH268">
        <v>607976</v>
      </c>
      <c r="BI268">
        <v>308096</v>
      </c>
      <c r="BJ268">
        <v>250532</v>
      </c>
      <c r="BK268">
        <v>200857</v>
      </c>
      <c r="BL268">
        <v>225021</v>
      </c>
      <c r="BM268">
        <v>243022</v>
      </c>
      <c r="BN268">
        <v>239045</v>
      </c>
      <c r="BO268">
        <v>254783</v>
      </c>
      <c r="BP268">
        <v>264404</v>
      </c>
      <c r="BQ268">
        <v>261480</v>
      </c>
      <c r="BR268">
        <v>258828</v>
      </c>
      <c r="BS268">
        <v>279347.61839999998</v>
      </c>
      <c r="BT268">
        <v>320945.99979999999</v>
      </c>
      <c r="BU268">
        <v>351564</v>
      </c>
      <c r="BV268">
        <v>301260</v>
      </c>
      <c r="BW268">
        <v>370165</v>
      </c>
      <c r="BX268">
        <v>378803</v>
      </c>
      <c r="BY268">
        <v>282539</v>
      </c>
      <c r="BZ268">
        <v>282539</v>
      </c>
      <c r="CA268" t="s">
        <v>28966</v>
      </c>
    </row>
    <row r="269" spans="2:79" x14ac:dyDescent="0.3">
      <c r="B269" s="9">
        <v>267</v>
      </c>
      <c r="C269" s="49">
        <v>11640</v>
      </c>
      <c r="D269" s="9">
        <f>YEAR(Tabla1[[#This Row],[Date]])</f>
        <v>1931</v>
      </c>
      <c r="E269" s="9" t="str" cm="1">
        <f t="array" ref="E269">IFERROR(_xlfn.IFS(AND(D269&lt;1980,D269&gt;=1970),"70",AND(D269&lt;1990,D269&gt;=1980),"80",AND(D269&lt;2000,D269&gt;=1990),"90",AND(D269&lt;2010,D269&gt;=2000),"00",AND(D269&lt;=2019,D269&gt;=2010),"10"),"1908-1970")</f>
        <v>1908-1970</v>
      </c>
      <c r="F269" s="3" t="s">
        <v>28931</v>
      </c>
      <c r="G269" t="s">
        <v>6124</v>
      </c>
      <c r="H269" t="s">
        <v>6125</v>
      </c>
      <c r="I269" t="s">
        <v>28931</v>
      </c>
      <c r="J269" t="s">
        <v>6126</v>
      </c>
      <c r="K269" t="s">
        <v>6127</v>
      </c>
      <c r="L269" s="7" t="s">
        <v>6128</v>
      </c>
      <c r="M269">
        <v>2110</v>
      </c>
      <c r="N269">
        <v>3</v>
      </c>
      <c r="O269">
        <v>2</v>
      </c>
      <c r="P269">
        <v>1</v>
      </c>
      <c r="Q269">
        <v>3</v>
      </c>
      <c r="R269">
        <v>2</v>
      </c>
      <c r="S269">
        <v>1</v>
      </c>
      <c r="T269">
        <v>0</v>
      </c>
      <c r="U269" t="s">
        <v>6129</v>
      </c>
      <c r="V269">
        <f>Tabla1[[#This Row],[Aboard]]-Tabla1[[#This Row],[Fatalities]]</f>
        <v>0</v>
      </c>
      <c r="W269" s="50">
        <f>IFERROR(Tabla1[[#This Row],[Fatalities]]/Tabla1[[#This Row],[Aboard]],0)</f>
        <v>1</v>
      </c>
      <c r="X269" s="51" t="str" cm="1">
        <f t="array" ref="X269">_xlfn.IFS(Tabla1[[#This Row],[Porcentaje de muertes]]&lt;0.35,"LEVE",AND(Tabla1[[#This Row],[Porcentaje de muertes]]&gt;0.35,Tabla1[[#This Row],[Porcentaje de muertes]]&lt;0.65),"MEDIO",Tabla1[[#This Row],[Porcentaje de muertes]]&gt;0.65,"GRAVE")</f>
        <v>GRAVE</v>
      </c>
      <c r="AB269" t="s">
        <v>28926</v>
      </c>
      <c r="AD269">
        <f>SUBTOTAL(109,Tabla4[1970])</f>
        <v>1860135152</v>
      </c>
      <c r="AE269">
        <f>SUBTOTAL(109,Tabla4[1971])</f>
        <v>1990396724</v>
      </c>
      <c r="AF269">
        <f>SUBTOTAL(109,Tabla4[1972])</f>
        <v>1828621140</v>
      </c>
      <c r="AG269">
        <f>SUBTOTAL(109,Tabla4[1973])</f>
        <v>2401477400</v>
      </c>
      <c r="AH269">
        <f>SUBTOTAL(109,Tabla4[1974])</f>
        <v>2873660900</v>
      </c>
      <c r="AI269">
        <f>SUBTOTAL(109,Tabla4[1975])</f>
        <v>2988561500</v>
      </c>
      <c r="AJ269">
        <f>SUBTOTAL(109,Tabla4[1976])</f>
        <v>3278948076</v>
      </c>
      <c r="AK269">
        <f>SUBTOTAL(109,Tabla4[1977])</f>
        <v>3568005252</v>
      </c>
      <c r="AL269">
        <f>SUBTOTAL(109,Tabla4[1978])</f>
        <v>3996355024</v>
      </c>
      <c r="AM269">
        <f>SUBTOTAL(109,Tabla4[1979])</f>
        <v>4498165400</v>
      </c>
      <c r="AN269">
        <f>SUBTOTAL(109,Tabla4[1980])</f>
        <v>4503699128</v>
      </c>
      <c r="AO269">
        <f>SUBTOTAL(109,Tabla4[1981])</f>
        <v>4535460800</v>
      </c>
      <c r="AP269">
        <f>SUBTOTAL(109,Tabla4[1982])</f>
        <v>4644175148</v>
      </c>
      <c r="AQ269">
        <f>SUBTOTAL(109,Tabla4[1983])</f>
        <v>4850937676</v>
      </c>
      <c r="AR269">
        <f>SUBTOTAL(109,Tabla4[1984])</f>
        <v>5171468628</v>
      </c>
      <c r="AS269">
        <f>SUBTOTAL(109,Tabla4[1985])</f>
        <v>5508511524</v>
      </c>
      <c r="AT269">
        <f>SUBTOTAL(109,Tabla4[1986])</f>
        <v>5899726276</v>
      </c>
      <c r="AU269">
        <f>SUBTOTAL(109,Tabla4[1987])</f>
        <v>6320989824</v>
      </c>
      <c r="AV269">
        <f>SUBTOTAL(109,Tabla4[1988])</f>
        <v>6672548872</v>
      </c>
      <c r="AW269">
        <f>SUBTOTAL(109,Tabla4[1989])</f>
        <v>6853330400</v>
      </c>
      <c r="AX269">
        <f>SUBTOTAL(109,Tabla4[1990])</f>
        <v>7156040996</v>
      </c>
      <c r="AY269">
        <f>SUBTOTAL(109,Tabla4[1991])</f>
        <v>8401042524</v>
      </c>
      <c r="AZ269">
        <f>SUBTOTAL(109,Tabla4[1992])</f>
        <v>8603198152</v>
      </c>
      <c r="BA269">
        <f>SUBTOTAL(109,Tabla4[1993])</f>
        <v>8482022796</v>
      </c>
      <c r="BB269">
        <f>SUBTOTAL(109,Tabla4[1994])</f>
        <v>9136270624</v>
      </c>
      <c r="BC269">
        <f>SUBTOTAL(109,Tabla4[1995])</f>
        <v>9658817716.8000011</v>
      </c>
      <c r="BD269">
        <f>SUBTOTAL(109,Tabla4[1996])</f>
        <v>10271595124</v>
      </c>
      <c r="BE269">
        <f>SUBTOTAL(109,Tabla4[1997])</f>
        <v>10745572452</v>
      </c>
      <c r="BF269">
        <f>SUBTOTAL(109,Tabla4[1998])</f>
        <v>10821333180</v>
      </c>
      <c r="BG269">
        <f>SUBTOTAL(109,Tabla4[1999])</f>
        <v>11462817100</v>
      </c>
      <c r="BH269">
        <f>SUBTOTAL(109,Tabla4[2000])</f>
        <v>12264230604</v>
      </c>
      <c r="BI269">
        <f>SUBTOTAL(109,Tabla4[2001])</f>
        <v>12275248104</v>
      </c>
      <c r="BJ269">
        <f>SUBTOTAL(109,Tabla4[2002])</f>
        <v>12087880669</v>
      </c>
      <c r="BK269">
        <f>SUBTOTAL(109,Tabla4[2003])</f>
        <v>12448742605</v>
      </c>
      <c r="BL269">
        <f>SUBTOTAL(109,Tabla4[2004])</f>
        <v>14234466150</v>
      </c>
      <c r="BM269">
        <f>SUBTOTAL(109,Tabla4[2005])</f>
        <v>14948161657</v>
      </c>
      <c r="BN269">
        <f>SUBTOTAL(109,Tabla4[2006])</f>
        <v>15873061190</v>
      </c>
      <c r="BO269">
        <f>SUBTOTAL(109,Tabla4[2007])</f>
        <v>17085120274</v>
      </c>
      <c r="BP269">
        <f>SUBTOTAL(109,Tabla4[2008])</f>
        <v>17241977210</v>
      </c>
      <c r="BQ269">
        <f>SUBTOTAL(109,Tabla4[2009])</f>
        <v>17730962299</v>
      </c>
      <c r="BR269">
        <f>SUBTOTAL(109,Tabla4[2010])</f>
        <v>21192863023.300365</v>
      </c>
      <c r="BS269">
        <f>SUBTOTAL(109,Tabla4[2011])</f>
        <v>22728487562.693947</v>
      </c>
      <c r="BT269">
        <f>SUBTOTAL(109,Tabla4[2012])</f>
        <v>23857735774.674377</v>
      </c>
      <c r="BU269">
        <f>SUBTOTAL(109,Tabla4[2013])</f>
        <v>25282843880.944496</v>
      </c>
      <c r="BV269">
        <f>SUBTOTAL(109,Tabla4[2014])</f>
        <v>26881322064.677189</v>
      </c>
      <c r="BW269">
        <f>SUBTOTAL(109,Tabla4[2015])</f>
        <v>29050199394</v>
      </c>
      <c r="BX269">
        <f>SUBTOTAL(109,Tabla4[2016])</f>
        <v>31165729613</v>
      </c>
      <c r="BY269">
        <f>SUBTOTAL(109,Tabla4[2017])</f>
        <v>33629810687.870007</v>
      </c>
      <c r="BZ269">
        <f>SUBTOTAL(109,Tabla4[2018])</f>
        <v>36184641636.858467</v>
      </c>
      <c r="CA269">
        <f>SUBTOTAL(109,Tabla4[2019])</f>
        <v>37556701651.414337</v>
      </c>
    </row>
    <row r="270" spans="2:79" x14ac:dyDescent="0.3">
      <c r="B270" s="9">
        <v>268</v>
      </c>
      <c r="C270" s="49">
        <v>11650</v>
      </c>
      <c r="D270" s="9">
        <f>YEAR(Tabla1[[#This Row],[Date]])</f>
        <v>1931</v>
      </c>
      <c r="E270" s="9" t="str" cm="1">
        <f t="array" ref="E270">IFERROR(_xlfn.IFS(AND(D270&lt;1980,D270&gt;=1970),"70",AND(D270&lt;1990,D270&gt;=1980),"80",AND(D270&lt;2000,D270&gt;=1990),"90",AND(D270&lt;2010,D270&gt;=2000),"00",AND(D270&lt;=2019,D270&gt;=2010),"10"),"1908-1970")</f>
        <v>1908-1970</v>
      </c>
      <c r="F270" s="3" t="s">
        <v>28931</v>
      </c>
      <c r="G270" t="s">
        <v>6130</v>
      </c>
      <c r="H270" t="s">
        <v>5557</v>
      </c>
      <c r="I270" t="s">
        <v>28931</v>
      </c>
      <c r="J270" t="s">
        <v>28931</v>
      </c>
      <c r="K270" t="s">
        <v>5558</v>
      </c>
      <c r="L270" s="7" t="s">
        <v>6131</v>
      </c>
      <c r="M270">
        <v>897</v>
      </c>
      <c r="N270">
        <v>1</v>
      </c>
      <c r="O270">
        <v>0</v>
      </c>
      <c r="P270">
        <v>1</v>
      </c>
      <c r="Q270">
        <v>1</v>
      </c>
      <c r="R270">
        <v>0</v>
      </c>
      <c r="S270">
        <v>1</v>
      </c>
      <c r="T270">
        <v>0</v>
      </c>
      <c r="U270" t="s">
        <v>6132</v>
      </c>
      <c r="V270">
        <f>Tabla1[[#This Row],[Aboard]]-Tabla1[[#This Row],[Fatalities]]</f>
        <v>0</v>
      </c>
      <c r="W270" s="50">
        <f>IFERROR(Tabla1[[#This Row],[Fatalities]]/Tabla1[[#This Row],[Aboard]],0)</f>
        <v>1</v>
      </c>
      <c r="X270" s="51" t="str" cm="1">
        <f t="array" ref="X270">_xlfn.IFS(Tabla1[[#This Row],[Porcentaje de muertes]]&lt;0.35,"LEVE",AND(Tabla1[[#This Row],[Porcentaje de muertes]]&gt;0.35,Tabla1[[#This Row],[Porcentaje de muertes]]&lt;0.65),"MEDIO",Tabla1[[#This Row],[Porcentaje de muertes]]&gt;0.65,"GRAVE")</f>
        <v>GRAVE</v>
      </c>
    </row>
    <row r="271" spans="2:79" x14ac:dyDescent="0.3">
      <c r="B271" s="9">
        <v>269</v>
      </c>
      <c r="C271" s="49">
        <v>11651</v>
      </c>
      <c r="D271" s="9">
        <f>YEAR(Tabla1[[#This Row],[Date]])</f>
        <v>1931</v>
      </c>
      <c r="E271" s="9" t="str" cm="1">
        <f t="array" ref="E271">IFERROR(_xlfn.IFS(AND(D271&lt;1980,D271&gt;=1970),"70",AND(D271&lt;1990,D271&gt;=1980),"80",AND(D271&lt;2000,D271&gt;=1990),"90",AND(D271&lt;2010,D271&gt;=2000),"00",AND(D271&lt;=2019,D271&gt;=2010),"10"),"1908-1970")</f>
        <v>1908-1970</v>
      </c>
      <c r="F271" s="3" t="s">
        <v>28931</v>
      </c>
      <c r="G271" t="s">
        <v>6133</v>
      </c>
      <c r="H271" t="s">
        <v>6010</v>
      </c>
      <c r="I271" t="s">
        <v>28931</v>
      </c>
      <c r="J271" t="s">
        <v>6134</v>
      </c>
      <c r="K271" t="s">
        <v>6135</v>
      </c>
      <c r="L271" s="7" t="s">
        <v>28931</v>
      </c>
      <c r="M271" t="s">
        <v>28931</v>
      </c>
      <c r="N271">
        <v>3</v>
      </c>
      <c r="O271">
        <v>1</v>
      </c>
      <c r="P271">
        <v>2</v>
      </c>
      <c r="Q271">
        <v>3</v>
      </c>
      <c r="R271">
        <v>1</v>
      </c>
      <c r="S271">
        <v>2</v>
      </c>
      <c r="T271">
        <v>0</v>
      </c>
      <c r="U271" t="s">
        <v>6136</v>
      </c>
      <c r="V271">
        <f>Tabla1[[#This Row],[Aboard]]-Tabla1[[#This Row],[Fatalities]]</f>
        <v>0</v>
      </c>
      <c r="W271" s="50">
        <f>IFERROR(Tabla1[[#This Row],[Fatalities]]/Tabla1[[#This Row],[Aboard]],0)</f>
        <v>1</v>
      </c>
      <c r="X271" s="51" t="str" cm="1">
        <f t="array" ref="X271">_xlfn.IFS(Tabla1[[#This Row],[Porcentaje de muertes]]&lt;0.35,"LEVE",AND(Tabla1[[#This Row],[Porcentaje de muertes]]&gt;0.35,Tabla1[[#This Row],[Porcentaje de muertes]]&lt;0.65),"MEDIO",Tabla1[[#This Row],[Porcentaje de muertes]]&gt;0.65,"GRAVE")</f>
        <v>GRAVE</v>
      </c>
    </row>
    <row r="272" spans="2:79" x14ac:dyDescent="0.3">
      <c r="B272" s="9">
        <v>270</v>
      </c>
      <c r="C272" s="49">
        <v>11653</v>
      </c>
      <c r="D272" s="9">
        <f>YEAR(Tabla1[[#This Row],[Date]])</f>
        <v>1931</v>
      </c>
      <c r="E272" s="9" t="str" cm="1">
        <f t="array" ref="E272">IFERROR(_xlfn.IFS(AND(D272&lt;1980,D272&gt;=1970),"70",AND(D272&lt;1990,D272&gt;=1980),"80",AND(D272&lt;2000,D272&gt;=1990),"90",AND(D272&lt;2010,D272&gt;=2000),"00",AND(D272&lt;=2019,D272&gt;=2010),"10"),"1908-1970")</f>
        <v>1908-1970</v>
      </c>
      <c r="F272" s="3">
        <v>0.9375</v>
      </c>
      <c r="G272" t="s">
        <v>6137</v>
      </c>
      <c r="H272" t="s">
        <v>5465</v>
      </c>
      <c r="I272" t="s">
        <v>28931</v>
      </c>
      <c r="J272" t="s">
        <v>6138</v>
      </c>
      <c r="K272" t="s">
        <v>5558</v>
      </c>
      <c r="L272" s="7" t="s">
        <v>6139</v>
      </c>
      <c r="M272">
        <v>1419</v>
      </c>
      <c r="N272">
        <v>1</v>
      </c>
      <c r="O272">
        <v>0</v>
      </c>
      <c r="P272">
        <v>1</v>
      </c>
      <c r="Q272">
        <v>1</v>
      </c>
      <c r="R272">
        <v>0</v>
      </c>
      <c r="S272">
        <v>1</v>
      </c>
      <c r="T272">
        <v>0</v>
      </c>
      <c r="U272" t="s">
        <v>6140</v>
      </c>
      <c r="V272">
        <f>Tabla1[[#This Row],[Aboard]]-Tabla1[[#This Row],[Fatalities]]</f>
        <v>0</v>
      </c>
      <c r="W272" s="50">
        <f>IFERROR(Tabla1[[#This Row],[Fatalities]]/Tabla1[[#This Row],[Aboard]],0)</f>
        <v>1</v>
      </c>
      <c r="X272" s="51" t="str" cm="1">
        <f t="array" ref="X272">_xlfn.IFS(Tabla1[[#This Row],[Porcentaje de muertes]]&lt;0.35,"LEVE",AND(Tabla1[[#This Row],[Porcentaje de muertes]]&gt;0.35,Tabla1[[#This Row],[Porcentaje de muertes]]&lt;0.65),"MEDIO",Tabla1[[#This Row],[Porcentaje de muertes]]&gt;0.65,"GRAVE")</f>
        <v>GRAVE</v>
      </c>
    </row>
    <row r="273" spans="2:24" x14ac:dyDescent="0.3">
      <c r="B273" s="9">
        <v>271</v>
      </c>
      <c r="C273" s="49">
        <v>11455</v>
      </c>
      <c r="D273" s="9">
        <f>YEAR(Tabla1[[#This Row],[Date]])</f>
        <v>1931</v>
      </c>
      <c r="E273" s="9" t="str" cm="1">
        <f t="array" ref="E273">IFERROR(_xlfn.IFS(AND(D273&lt;1980,D273&gt;=1970),"70",AND(D273&lt;1990,D273&gt;=1980),"80",AND(D273&lt;2000,D273&gt;=1990),"90",AND(D273&lt;2010,D273&gt;=2000),"00",AND(D273&lt;=2019,D273&gt;=2010),"10"),"1908-1970")</f>
        <v>1908-1970</v>
      </c>
      <c r="F273" s="3" t="s">
        <v>28931</v>
      </c>
      <c r="G273" t="s">
        <v>6141</v>
      </c>
      <c r="H273" t="s">
        <v>6142</v>
      </c>
      <c r="I273" t="s">
        <v>28931</v>
      </c>
      <c r="J273" t="s">
        <v>6143</v>
      </c>
      <c r="K273" t="s">
        <v>5849</v>
      </c>
      <c r="L273" s="7" t="s">
        <v>6144</v>
      </c>
      <c r="M273">
        <v>49</v>
      </c>
      <c r="N273">
        <v>6</v>
      </c>
      <c r="O273">
        <v>5</v>
      </c>
      <c r="P273">
        <v>1</v>
      </c>
      <c r="Q273">
        <v>2</v>
      </c>
      <c r="R273">
        <v>2</v>
      </c>
      <c r="S273">
        <v>0</v>
      </c>
      <c r="T273">
        <v>0</v>
      </c>
      <c r="U273" t="s">
        <v>6145</v>
      </c>
      <c r="V273">
        <f>Tabla1[[#This Row],[Aboard]]-Tabla1[[#This Row],[Fatalities]]</f>
        <v>4</v>
      </c>
      <c r="W273" s="50">
        <f>IFERROR(Tabla1[[#This Row],[Fatalities]]/Tabla1[[#This Row],[Aboard]],0)</f>
        <v>0.33333333333333331</v>
      </c>
      <c r="X273" s="51" t="str" cm="1">
        <f t="array" ref="X273">_xlfn.IFS(Tabla1[[#This Row],[Porcentaje de muertes]]&lt;0.35,"LEVE",AND(Tabla1[[#This Row],[Porcentaje de muertes]]&gt;0.35,Tabla1[[#This Row],[Porcentaje de muertes]]&lt;0.65),"MEDIO",Tabla1[[#This Row],[Porcentaje de muertes]]&gt;0.65,"GRAVE")</f>
        <v>LEVE</v>
      </c>
    </row>
    <row r="274" spans="2:24" x14ac:dyDescent="0.3">
      <c r="B274" s="9">
        <v>272</v>
      </c>
      <c r="C274" s="49">
        <v>11486</v>
      </c>
      <c r="D274" s="9">
        <f>YEAR(Tabla1[[#This Row],[Date]])</f>
        <v>1931</v>
      </c>
      <c r="E274" s="9" t="str" cm="1">
        <f t="array" ref="E274">IFERROR(_xlfn.IFS(AND(D274&lt;1980,D274&gt;=1970),"70",AND(D274&lt;1990,D274&gt;=1980),"80",AND(D274&lt;2000,D274&gt;=1990),"90",AND(D274&lt;2010,D274&gt;=2000),"00",AND(D274&lt;=2019,D274&gt;=2010),"10"),"1908-1970")</f>
        <v>1908-1970</v>
      </c>
      <c r="F274" s="3">
        <v>0.23958333333333334</v>
      </c>
      <c r="G274" t="s">
        <v>6146</v>
      </c>
      <c r="H274" t="s">
        <v>5332</v>
      </c>
      <c r="I274" t="s">
        <v>28931</v>
      </c>
      <c r="J274" t="s">
        <v>6147</v>
      </c>
      <c r="K274" t="s">
        <v>6148</v>
      </c>
      <c r="L274" s="7" t="s">
        <v>6149</v>
      </c>
      <c r="M274">
        <v>5226</v>
      </c>
      <c r="N274">
        <v>7</v>
      </c>
      <c r="O274">
        <v>3</v>
      </c>
      <c r="P274">
        <v>4</v>
      </c>
      <c r="Q274">
        <v>5</v>
      </c>
      <c r="R274">
        <v>2</v>
      </c>
      <c r="S274">
        <v>3</v>
      </c>
      <c r="T274">
        <v>0</v>
      </c>
      <c r="U274" t="s">
        <v>6150</v>
      </c>
      <c r="V274">
        <f>Tabla1[[#This Row],[Aboard]]-Tabla1[[#This Row],[Fatalities]]</f>
        <v>2</v>
      </c>
      <c r="W274" s="50">
        <f>IFERROR(Tabla1[[#This Row],[Fatalities]]/Tabla1[[#This Row],[Aboard]],0)</f>
        <v>0.7142857142857143</v>
      </c>
      <c r="X274" s="51" t="str" cm="1">
        <f t="array" ref="X274">_xlfn.IFS(Tabla1[[#This Row],[Porcentaje de muertes]]&lt;0.35,"LEVE",AND(Tabla1[[#This Row],[Porcentaje de muertes]]&gt;0.35,Tabla1[[#This Row],[Porcentaje de muertes]]&lt;0.65),"MEDIO",Tabla1[[#This Row],[Porcentaje de muertes]]&gt;0.65,"GRAVE")</f>
        <v>GRAVE</v>
      </c>
    </row>
    <row r="275" spans="2:24" x14ac:dyDescent="0.3">
      <c r="B275" s="9">
        <v>273</v>
      </c>
      <c r="C275" s="49">
        <v>11578</v>
      </c>
      <c r="D275" s="9">
        <f>YEAR(Tabla1[[#This Row],[Date]])</f>
        <v>1931</v>
      </c>
      <c r="E275" s="9" t="str" cm="1">
        <f t="array" ref="E275">IFERROR(_xlfn.IFS(AND(D275&lt;1980,D275&gt;=1970),"70",AND(D275&lt;1990,D275&gt;=1980),"80",AND(D275&lt;2000,D275&gt;=1990),"90",AND(D275&lt;2010,D275&gt;=2000),"00",AND(D275&lt;=2019,D275&gt;=2010),"10"),"1908-1970")</f>
        <v>1908-1970</v>
      </c>
      <c r="F275" s="3" t="s">
        <v>28931</v>
      </c>
      <c r="G275" t="s">
        <v>6151</v>
      </c>
      <c r="H275" t="s">
        <v>5182</v>
      </c>
      <c r="I275" t="s">
        <v>28931</v>
      </c>
      <c r="J275" t="s">
        <v>6152</v>
      </c>
      <c r="K275" t="s">
        <v>6153</v>
      </c>
      <c r="L275" s="7" t="s">
        <v>6154</v>
      </c>
      <c r="M275">
        <v>3</v>
      </c>
      <c r="N275">
        <v>2</v>
      </c>
      <c r="O275">
        <v>0</v>
      </c>
      <c r="P275">
        <v>2</v>
      </c>
      <c r="Q275">
        <v>2</v>
      </c>
      <c r="R275">
        <v>0</v>
      </c>
      <c r="S275">
        <v>2</v>
      </c>
      <c r="T275">
        <v>0</v>
      </c>
      <c r="U275" t="s">
        <v>6155</v>
      </c>
      <c r="V275">
        <f>Tabla1[[#This Row],[Aboard]]-Tabla1[[#This Row],[Fatalities]]</f>
        <v>0</v>
      </c>
      <c r="W275" s="50">
        <f>IFERROR(Tabla1[[#This Row],[Fatalities]]/Tabla1[[#This Row],[Aboard]],0)</f>
        <v>1</v>
      </c>
      <c r="X275" s="51" t="str" cm="1">
        <f t="array" ref="X275">_xlfn.IFS(Tabla1[[#This Row],[Porcentaje de muertes]]&lt;0.35,"LEVE",AND(Tabla1[[#This Row],[Porcentaje de muertes]]&gt;0.35,Tabla1[[#This Row],[Porcentaje de muertes]]&lt;0.65),"MEDIO",Tabla1[[#This Row],[Porcentaje de muertes]]&gt;0.65,"GRAVE")</f>
        <v>GRAVE</v>
      </c>
    </row>
    <row r="276" spans="2:24" x14ac:dyDescent="0.3">
      <c r="B276" s="9">
        <v>274</v>
      </c>
      <c r="C276" s="49">
        <v>11688</v>
      </c>
      <c r="D276" s="9">
        <f>YEAR(Tabla1[[#This Row],[Date]])</f>
        <v>1931</v>
      </c>
      <c r="E276" s="9" t="str" cm="1">
        <f t="array" ref="E276">IFERROR(_xlfn.IFS(AND(D276&lt;1980,D276&gt;=1970),"70",AND(D276&lt;1990,D276&gt;=1980),"80",AND(D276&lt;2000,D276&gt;=1990),"90",AND(D276&lt;2010,D276&gt;=2000),"00",AND(D276&lt;=2019,D276&gt;=2010),"10"),"1908-1970")</f>
        <v>1908-1970</v>
      </c>
      <c r="F276" s="3" t="s">
        <v>28931</v>
      </c>
      <c r="G276" t="s">
        <v>6156</v>
      </c>
      <c r="H276" t="s">
        <v>6089</v>
      </c>
      <c r="I276" t="s">
        <v>28931</v>
      </c>
      <c r="J276" t="s">
        <v>6157</v>
      </c>
      <c r="K276" t="s">
        <v>6158</v>
      </c>
      <c r="L276" s="7" t="s">
        <v>28931</v>
      </c>
      <c r="M276" t="s">
        <v>28931</v>
      </c>
      <c r="N276">
        <v>5</v>
      </c>
      <c r="O276">
        <v>4</v>
      </c>
      <c r="P276">
        <v>1</v>
      </c>
      <c r="Q276">
        <v>4</v>
      </c>
      <c r="R276">
        <v>4</v>
      </c>
      <c r="S276">
        <v>0</v>
      </c>
      <c r="T276">
        <v>0</v>
      </c>
      <c r="U276" t="s">
        <v>6159</v>
      </c>
      <c r="V276">
        <f>Tabla1[[#This Row],[Aboard]]-Tabla1[[#This Row],[Fatalities]]</f>
        <v>1</v>
      </c>
      <c r="W276" s="50">
        <f>IFERROR(Tabla1[[#This Row],[Fatalities]]/Tabla1[[#This Row],[Aboard]],0)</f>
        <v>0.8</v>
      </c>
      <c r="X276" s="51" t="str" cm="1">
        <f t="array" ref="X276">_xlfn.IFS(Tabla1[[#This Row],[Porcentaje de muertes]]&lt;0.35,"LEVE",AND(Tabla1[[#This Row],[Porcentaje de muertes]]&gt;0.35,Tabla1[[#This Row],[Porcentaje de muertes]]&lt;0.65),"MEDIO",Tabla1[[#This Row],[Porcentaje de muertes]]&gt;0.65,"GRAVE")</f>
        <v>GRAVE</v>
      </c>
    </row>
    <row r="277" spans="2:24" x14ac:dyDescent="0.3">
      <c r="B277" s="9">
        <v>275</v>
      </c>
      <c r="C277" s="49">
        <v>11709</v>
      </c>
      <c r="D277" s="9">
        <f>YEAR(Tabla1[[#This Row],[Date]])</f>
        <v>1932</v>
      </c>
      <c r="E277" s="9" t="str" cm="1">
        <f t="array" ref="E277">IFERROR(_xlfn.IFS(AND(D277&lt;1980,D277&gt;=1970),"70",AND(D277&lt;1990,D277&gt;=1980),"80",AND(D277&lt;2000,D277&gt;=1990),"90",AND(D277&lt;2010,D277&gt;=2000),"00",AND(D277&lt;=2019,D277&gt;=2010),"10"),"1908-1970")</f>
        <v>1908-1970</v>
      </c>
      <c r="F277" s="3" t="s">
        <v>28931</v>
      </c>
      <c r="G277" t="s">
        <v>6160</v>
      </c>
      <c r="H277" t="s">
        <v>6161</v>
      </c>
      <c r="I277" t="s">
        <v>28931</v>
      </c>
      <c r="J277" t="s">
        <v>6162</v>
      </c>
      <c r="K277" t="s">
        <v>6163</v>
      </c>
      <c r="L277" s="7" t="s">
        <v>6164</v>
      </c>
      <c r="M277">
        <v>1088</v>
      </c>
      <c r="N277">
        <v>1</v>
      </c>
      <c r="O277">
        <v>0</v>
      </c>
      <c r="P277">
        <v>1</v>
      </c>
      <c r="Q277">
        <v>1</v>
      </c>
      <c r="R277">
        <v>0</v>
      </c>
      <c r="S277">
        <v>1</v>
      </c>
      <c r="T277">
        <v>0</v>
      </c>
      <c r="U277" t="s">
        <v>6165</v>
      </c>
      <c r="V277">
        <f>Tabla1[[#This Row],[Aboard]]-Tabla1[[#This Row],[Fatalities]]</f>
        <v>0</v>
      </c>
      <c r="W277" s="50">
        <f>IFERROR(Tabla1[[#This Row],[Fatalities]]/Tabla1[[#This Row],[Aboard]],0)</f>
        <v>1</v>
      </c>
      <c r="X277" s="51" t="str" cm="1">
        <f t="array" ref="X277">_xlfn.IFS(Tabla1[[#This Row],[Porcentaje de muertes]]&lt;0.35,"LEVE",AND(Tabla1[[#This Row],[Porcentaje de muertes]]&gt;0.35,Tabla1[[#This Row],[Porcentaje de muertes]]&lt;0.65),"MEDIO",Tabla1[[#This Row],[Porcentaje de muertes]]&gt;0.65,"GRAVE")</f>
        <v>GRAVE</v>
      </c>
    </row>
    <row r="278" spans="2:24" x14ac:dyDescent="0.3">
      <c r="B278" s="9">
        <v>276</v>
      </c>
      <c r="C278" s="49">
        <v>11717</v>
      </c>
      <c r="D278" s="9">
        <f>YEAR(Tabla1[[#This Row],[Date]])</f>
        <v>1932</v>
      </c>
      <c r="E278" s="9" t="str" cm="1">
        <f t="array" ref="E278">IFERROR(_xlfn.IFS(AND(D278&lt;1980,D278&gt;=1970),"70",AND(D278&lt;1990,D278&gt;=1980),"80",AND(D278&lt;2000,D278&gt;=1990),"90",AND(D278&lt;2010,D278&gt;=2000),"00",AND(D278&lt;=2019,D278&gt;=2010),"10"),"1908-1970")</f>
        <v>1908-1970</v>
      </c>
      <c r="F278" s="3">
        <v>0.66666666666666663</v>
      </c>
      <c r="G278" t="s">
        <v>6166</v>
      </c>
      <c r="H278" t="s">
        <v>6167</v>
      </c>
      <c r="I278" t="s">
        <v>28931</v>
      </c>
      <c r="J278" t="s">
        <v>6168</v>
      </c>
      <c r="K278" t="s">
        <v>6169</v>
      </c>
      <c r="L278" s="7" t="s">
        <v>6170</v>
      </c>
      <c r="M278">
        <v>5034</v>
      </c>
      <c r="N278">
        <v>8</v>
      </c>
      <c r="O278">
        <v>7</v>
      </c>
      <c r="P278">
        <v>1</v>
      </c>
      <c r="Q278">
        <v>8</v>
      </c>
      <c r="R278">
        <v>7</v>
      </c>
      <c r="S278">
        <v>1</v>
      </c>
      <c r="T278">
        <v>0</v>
      </c>
      <c r="U278" t="s">
        <v>6171</v>
      </c>
      <c r="V278">
        <f>Tabla1[[#This Row],[Aboard]]-Tabla1[[#This Row],[Fatalities]]</f>
        <v>0</v>
      </c>
      <c r="W278" s="50">
        <f>IFERROR(Tabla1[[#This Row],[Fatalities]]/Tabla1[[#This Row],[Aboard]],0)</f>
        <v>1</v>
      </c>
      <c r="X278" s="51" t="str" cm="1">
        <f t="array" ref="X278">_xlfn.IFS(Tabla1[[#This Row],[Porcentaje de muertes]]&lt;0.35,"LEVE",AND(Tabla1[[#This Row],[Porcentaje de muertes]]&gt;0.35,Tabla1[[#This Row],[Porcentaje de muertes]]&lt;0.65),"MEDIO",Tabla1[[#This Row],[Porcentaje de muertes]]&gt;0.65,"GRAVE")</f>
        <v>GRAVE</v>
      </c>
    </row>
    <row r="279" spans="2:24" x14ac:dyDescent="0.3">
      <c r="B279" s="9">
        <v>277</v>
      </c>
      <c r="C279" s="49">
        <v>11690</v>
      </c>
      <c r="D279" s="9">
        <f>YEAR(Tabla1[[#This Row],[Date]])</f>
        <v>1932</v>
      </c>
      <c r="E279" s="9" t="str" cm="1">
        <f t="array" ref="E279">IFERROR(_xlfn.IFS(AND(D279&lt;1980,D279&gt;=1970),"70",AND(D279&lt;1990,D279&gt;=1980),"80",AND(D279&lt;2000,D279&gt;=1990),"90",AND(D279&lt;2010,D279&gt;=2000),"00",AND(D279&lt;=2019,D279&gt;=2010),"10"),"1908-1970")</f>
        <v>1908-1970</v>
      </c>
      <c r="F279" s="3" t="s">
        <v>28931</v>
      </c>
      <c r="G279" t="s">
        <v>6172</v>
      </c>
      <c r="H279" t="s">
        <v>6173</v>
      </c>
      <c r="I279" t="s">
        <v>28931</v>
      </c>
      <c r="J279" t="s">
        <v>5233</v>
      </c>
      <c r="K279" t="s">
        <v>6174</v>
      </c>
      <c r="L279" s="7" t="s">
        <v>28931</v>
      </c>
      <c r="M279" t="s">
        <v>28931</v>
      </c>
      <c r="N279">
        <v>5</v>
      </c>
      <c r="O279">
        <v>4</v>
      </c>
      <c r="P279">
        <v>1</v>
      </c>
      <c r="Q279">
        <v>5</v>
      </c>
      <c r="R279">
        <v>4</v>
      </c>
      <c r="S279">
        <v>1</v>
      </c>
      <c r="T279">
        <v>0</v>
      </c>
      <c r="U279" t="s">
        <v>6175</v>
      </c>
      <c r="V279">
        <f>Tabla1[[#This Row],[Aboard]]-Tabla1[[#This Row],[Fatalities]]</f>
        <v>0</v>
      </c>
      <c r="W279" s="50">
        <f>IFERROR(Tabla1[[#This Row],[Fatalities]]/Tabla1[[#This Row],[Aboard]],0)</f>
        <v>1</v>
      </c>
      <c r="X279" s="51" t="str" cm="1">
        <f t="array" ref="X279">_xlfn.IFS(Tabla1[[#This Row],[Porcentaje de muertes]]&lt;0.35,"LEVE",AND(Tabla1[[#This Row],[Porcentaje de muertes]]&gt;0.35,Tabla1[[#This Row],[Porcentaje de muertes]]&lt;0.65),"MEDIO",Tabla1[[#This Row],[Porcentaje de muertes]]&gt;0.65,"GRAVE")</f>
        <v>GRAVE</v>
      </c>
    </row>
    <row r="280" spans="2:24" x14ac:dyDescent="0.3">
      <c r="B280" s="9">
        <v>278</v>
      </c>
      <c r="C280" s="49">
        <v>11721</v>
      </c>
      <c r="D280" s="9">
        <f>YEAR(Tabla1[[#This Row],[Date]])</f>
        <v>1932</v>
      </c>
      <c r="E280" s="9" t="str" cm="1">
        <f t="array" ref="E280">IFERROR(_xlfn.IFS(AND(D280&lt;1980,D280&gt;=1970),"70",AND(D280&lt;1990,D280&gt;=1980),"80",AND(D280&lt;2000,D280&gt;=1990),"90",AND(D280&lt;2010,D280&gt;=2000),"00",AND(D280&lt;=2019,D280&gt;=2010),"10"),"1908-1970")</f>
        <v>1908-1970</v>
      </c>
      <c r="F280" s="3" t="s">
        <v>28931</v>
      </c>
      <c r="G280" t="s">
        <v>6176</v>
      </c>
      <c r="H280" t="s">
        <v>5557</v>
      </c>
      <c r="I280" t="s">
        <v>28931</v>
      </c>
      <c r="J280" t="s">
        <v>28931</v>
      </c>
      <c r="K280" t="s">
        <v>5558</v>
      </c>
      <c r="L280" s="7" t="s">
        <v>6177</v>
      </c>
      <c r="M280">
        <v>902</v>
      </c>
      <c r="N280">
        <v>2</v>
      </c>
      <c r="O280">
        <v>0</v>
      </c>
      <c r="P280">
        <v>2</v>
      </c>
      <c r="Q280">
        <v>1</v>
      </c>
      <c r="R280">
        <v>0</v>
      </c>
      <c r="S280">
        <v>1</v>
      </c>
      <c r="T280">
        <v>0</v>
      </c>
      <c r="U280" t="s">
        <v>6178</v>
      </c>
      <c r="V280">
        <f>Tabla1[[#This Row],[Aboard]]-Tabla1[[#This Row],[Fatalities]]</f>
        <v>1</v>
      </c>
      <c r="W280" s="50">
        <f>IFERROR(Tabla1[[#This Row],[Fatalities]]/Tabla1[[#This Row],[Aboard]],0)</f>
        <v>0.5</v>
      </c>
      <c r="X280" s="51" t="str" cm="1">
        <f t="array" ref="X280">_xlfn.IFS(Tabla1[[#This Row],[Porcentaje de muertes]]&lt;0.35,"LEVE",AND(Tabla1[[#This Row],[Porcentaje de muertes]]&gt;0.35,Tabla1[[#This Row],[Porcentaje de muertes]]&lt;0.65),"MEDIO",Tabla1[[#This Row],[Porcentaje de muertes]]&gt;0.65,"GRAVE")</f>
        <v>MEDIO</v>
      </c>
    </row>
    <row r="281" spans="2:24" x14ac:dyDescent="0.3">
      <c r="B281" s="9">
        <v>279</v>
      </c>
      <c r="C281" s="49">
        <v>11721</v>
      </c>
      <c r="D281" s="9">
        <f>YEAR(Tabla1[[#This Row],[Date]])</f>
        <v>1932</v>
      </c>
      <c r="E281" s="9" t="str" cm="1">
        <f t="array" ref="E281">IFERROR(_xlfn.IFS(AND(D281&lt;1980,D281&gt;=1970),"70",AND(D281&lt;1990,D281&gt;=1980),"80",AND(D281&lt;2000,D281&gt;=1990),"90",AND(D281&lt;2010,D281&gt;=2000),"00",AND(D281&lt;=2019,D281&gt;=2010),"10"),"1908-1970")</f>
        <v>1908-1970</v>
      </c>
      <c r="F281" s="3" t="s">
        <v>28931</v>
      </c>
      <c r="G281" t="s">
        <v>6179</v>
      </c>
      <c r="H281" t="s">
        <v>6180</v>
      </c>
      <c r="I281" t="s">
        <v>28931</v>
      </c>
      <c r="J281" t="s">
        <v>6181</v>
      </c>
      <c r="K281" t="s">
        <v>6182</v>
      </c>
      <c r="L281" s="7" t="s">
        <v>6183</v>
      </c>
      <c r="M281">
        <v>161</v>
      </c>
      <c r="N281">
        <v>1</v>
      </c>
      <c r="O281">
        <v>0</v>
      </c>
      <c r="P281">
        <v>1</v>
      </c>
      <c r="Q281">
        <v>1</v>
      </c>
      <c r="R281">
        <v>0</v>
      </c>
      <c r="S281">
        <v>1</v>
      </c>
      <c r="T281">
        <v>0</v>
      </c>
      <c r="U281" t="s">
        <v>6184</v>
      </c>
      <c r="V281">
        <f>Tabla1[[#This Row],[Aboard]]-Tabla1[[#This Row],[Fatalities]]</f>
        <v>0</v>
      </c>
      <c r="W281" s="50">
        <f>IFERROR(Tabla1[[#This Row],[Fatalities]]/Tabla1[[#This Row],[Aboard]],0)</f>
        <v>1</v>
      </c>
      <c r="X281" s="51" t="str" cm="1">
        <f t="array" ref="X281">_xlfn.IFS(Tabla1[[#This Row],[Porcentaje de muertes]]&lt;0.35,"LEVE",AND(Tabla1[[#This Row],[Porcentaje de muertes]]&gt;0.35,Tabla1[[#This Row],[Porcentaje de muertes]]&lt;0.65),"MEDIO",Tabla1[[#This Row],[Porcentaje de muertes]]&gt;0.65,"GRAVE")</f>
        <v>GRAVE</v>
      </c>
    </row>
    <row r="282" spans="2:24" x14ac:dyDescent="0.3">
      <c r="B282" s="9">
        <v>280</v>
      </c>
      <c r="C282" s="49">
        <v>11746</v>
      </c>
      <c r="D282" s="9">
        <f>YEAR(Tabla1[[#This Row],[Date]])</f>
        <v>1932</v>
      </c>
      <c r="E282" s="9" t="str" cm="1">
        <f t="array" ref="E282">IFERROR(_xlfn.IFS(AND(D282&lt;1980,D282&gt;=1970),"70",AND(D282&lt;1990,D282&gt;=1980),"80",AND(D282&lt;2000,D282&gt;=1990),"90",AND(D282&lt;2010,D282&gt;=2000),"00",AND(D282&lt;=2019,D282&gt;=2010),"10"),"1908-1970")</f>
        <v>1908-1970</v>
      </c>
      <c r="F282" s="3" t="s">
        <v>28931</v>
      </c>
      <c r="G282" t="s">
        <v>6185</v>
      </c>
      <c r="H282" t="s">
        <v>5182</v>
      </c>
      <c r="I282" t="s">
        <v>28931</v>
      </c>
      <c r="J282" t="s">
        <v>28931</v>
      </c>
      <c r="K282" t="s">
        <v>5926</v>
      </c>
      <c r="L282" s="7" t="s">
        <v>6186</v>
      </c>
      <c r="M282">
        <v>917</v>
      </c>
      <c r="N282">
        <v>3</v>
      </c>
      <c r="O282">
        <v>0</v>
      </c>
      <c r="P282">
        <v>3</v>
      </c>
      <c r="Q282">
        <v>3</v>
      </c>
      <c r="R282">
        <v>0</v>
      </c>
      <c r="S282">
        <v>3</v>
      </c>
      <c r="T282">
        <v>0</v>
      </c>
      <c r="U282" t="s">
        <v>6187</v>
      </c>
      <c r="V282">
        <f>Tabla1[[#This Row],[Aboard]]-Tabla1[[#This Row],[Fatalities]]</f>
        <v>0</v>
      </c>
      <c r="W282" s="50">
        <f>IFERROR(Tabla1[[#This Row],[Fatalities]]/Tabla1[[#This Row],[Aboard]],0)</f>
        <v>1</v>
      </c>
      <c r="X282" s="51" t="str" cm="1">
        <f t="array" ref="X282">_xlfn.IFS(Tabla1[[#This Row],[Porcentaje de muertes]]&lt;0.35,"LEVE",AND(Tabla1[[#This Row],[Porcentaje de muertes]]&gt;0.35,Tabla1[[#This Row],[Porcentaje de muertes]]&lt;0.65),"MEDIO",Tabla1[[#This Row],[Porcentaje de muertes]]&gt;0.65,"GRAVE")</f>
        <v>GRAVE</v>
      </c>
    </row>
    <row r="283" spans="2:24" x14ac:dyDescent="0.3">
      <c r="B283" s="9">
        <v>281</v>
      </c>
      <c r="C283" s="49">
        <v>11904</v>
      </c>
      <c r="D283" s="9">
        <f>YEAR(Tabla1[[#This Row],[Date]])</f>
        <v>1932</v>
      </c>
      <c r="E283" s="9" t="str" cm="1">
        <f t="array" ref="E283">IFERROR(_xlfn.IFS(AND(D283&lt;1980,D283&gt;=1970),"70",AND(D283&lt;1990,D283&gt;=1980),"80",AND(D283&lt;2000,D283&gt;=1990),"90",AND(D283&lt;2010,D283&gt;=2000),"00",AND(D283&lt;=2019,D283&gt;=2010),"10"),"1908-1970")</f>
        <v>1908-1970</v>
      </c>
      <c r="F283" s="3">
        <v>8.3333333333333329E-2</v>
      </c>
      <c r="G283" t="s">
        <v>6188</v>
      </c>
      <c r="H283" t="s">
        <v>6189</v>
      </c>
      <c r="I283" t="s">
        <v>28931</v>
      </c>
      <c r="J283" t="s">
        <v>6190</v>
      </c>
      <c r="K283" t="s">
        <v>6169</v>
      </c>
      <c r="L283" s="7" t="s">
        <v>6191</v>
      </c>
      <c r="M283">
        <v>5016</v>
      </c>
      <c r="N283">
        <v>5</v>
      </c>
      <c r="O283">
        <v>0</v>
      </c>
      <c r="P283">
        <v>5</v>
      </c>
      <c r="Q283">
        <v>3</v>
      </c>
      <c r="R283">
        <v>0</v>
      </c>
      <c r="S283">
        <v>3</v>
      </c>
      <c r="T283">
        <v>0</v>
      </c>
      <c r="U283" t="s">
        <v>6192</v>
      </c>
      <c r="V283">
        <f>Tabla1[[#This Row],[Aboard]]-Tabla1[[#This Row],[Fatalities]]</f>
        <v>2</v>
      </c>
      <c r="W283" s="50">
        <f>IFERROR(Tabla1[[#This Row],[Fatalities]]/Tabla1[[#This Row],[Aboard]],0)</f>
        <v>0.6</v>
      </c>
      <c r="X283" s="51" t="str" cm="1">
        <f t="array" ref="X283">_xlfn.IFS(Tabla1[[#This Row],[Porcentaje de muertes]]&lt;0.35,"LEVE",AND(Tabla1[[#This Row],[Porcentaje de muertes]]&gt;0.35,Tabla1[[#This Row],[Porcentaje de muertes]]&lt;0.65),"MEDIO",Tabla1[[#This Row],[Porcentaje de muertes]]&gt;0.65,"GRAVE")</f>
        <v>MEDIO</v>
      </c>
    </row>
    <row r="284" spans="2:24" x14ac:dyDescent="0.3">
      <c r="B284" s="9">
        <v>282</v>
      </c>
      <c r="C284" s="49">
        <v>11767</v>
      </c>
      <c r="D284" s="9">
        <f>YEAR(Tabla1[[#This Row],[Date]])</f>
        <v>1932</v>
      </c>
      <c r="E284" s="9" t="str" cm="1">
        <f t="array" ref="E284">IFERROR(_xlfn.IFS(AND(D284&lt;1980,D284&gt;=1970),"70",AND(D284&lt;1990,D284&gt;=1980),"80",AND(D284&lt;2000,D284&gt;=1990),"90",AND(D284&lt;2010,D284&gt;=2000),"00",AND(D284&lt;=2019,D284&gt;=2010),"10"),"1908-1970")</f>
        <v>1908-1970</v>
      </c>
      <c r="F284" s="3">
        <v>0.8125</v>
      </c>
      <c r="G284" t="s">
        <v>6193</v>
      </c>
      <c r="H284" t="s">
        <v>6089</v>
      </c>
      <c r="I284" t="s">
        <v>28931</v>
      </c>
      <c r="J284" t="s">
        <v>6194</v>
      </c>
      <c r="K284" t="s">
        <v>6195</v>
      </c>
      <c r="L284" s="7" t="s">
        <v>6196</v>
      </c>
      <c r="M284">
        <v>1027</v>
      </c>
      <c r="N284">
        <v>7</v>
      </c>
      <c r="O284">
        <v>5</v>
      </c>
      <c r="P284">
        <v>2</v>
      </c>
      <c r="Q284">
        <v>7</v>
      </c>
      <c r="R284">
        <v>5</v>
      </c>
      <c r="S284">
        <v>2</v>
      </c>
      <c r="T284">
        <v>0</v>
      </c>
      <c r="U284" t="s">
        <v>6197</v>
      </c>
      <c r="V284">
        <f>Tabla1[[#This Row],[Aboard]]-Tabla1[[#This Row],[Fatalities]]</f>
        <v>0</v>
      </c>
      <c r="W284" s="50">
        <f>IFERROR(Tabla1[[#This Row],[Fatalities]]/Tabla1[[#This Row],[Aboard]],0)</f>
        <v>1</v>
      </c>
      <c r="X284" s="51" t="str" cm="1">
        <f t="array" ref="X284">_xlfn.IFS(Tabla1[[#This Row],[Porcentaje de muertes]]&lt;0.35,"LEVE",AND(Tabla1[[#This Row],[Porcentaje de muertes]]&gt;0.35,Tabla1[[#This Row],[Porcentaje de muertes]]&lt;0.65),"MEDIO",Tabla1[[#This Row],[Porcentaje de muertes]]&gt;0.65,"GRAVE")</f>
        <v>GRAVE</v>
      </c>
    </row>
    <row r="285" spans="2:24" x14ac:dyDescent="0.3">
      <c r="B285" s="9">
        <v>283</v>
      </c>
      <c r="C285" s="49">
        <v>11769</v>
      </c>
      <c r="D285" s="9">
        <f>YEAR(Tabla1[[#This Row],[Date]])</f>
        <v>1932</v>
      </c>
      <c r="E285" s="9" t="str" cm="1">
        <f t="array" ref="E285">IFERROR(_xlfn.IFS(AND(D285&lt;1980,D285&gt;=1970),"70",AND(D285&lt;1990,D285&gt;=1980),"80",AND(D285&lt;2000,D285&gt;=1990),"90",AND(D285&lt;2010,D285&gt;=2000),"00",AND(D285&lt;=2019,D285&gt;=2010),"10"),"1908-1970")</f>
        <v>1908-1970</v>
      </c>
      <c r="F285" s="3" t="s">
        <v>28931</v>
      </c>
      <c r="G285" t="s">
        <v>6198</v>
      </c>
      <c r="H285" t="s">
        <v>6044</v>
      </c>
      <c r="I285" t="s">
        <v>28931</v>
      </c>
      <c r="J285" t="s">
        <v>6199</v>
      </c>
      <c r="K285" t="s">
        <v>6200</v>
      </c>
      <c r="L285" s="7" t="s">
        <v>6201</v>
      </c>
      <c r="M285">
        <v>9</v>
      </c>
      <c r="N285">
        <v>1</v>
      </c>
      <c r="O285">
        <v>0</v>
      </c>
      <c r="P285">
        <v>1</v>
      </c>
      <c r="Q285">
        <v>1</v>
      </c>
      <c r="R285">
        <v>0</v>
      </c>
      <c r="S285">
        <v>1</v>
      </c>
      <c r="T285">
        <v>0</v>
      </c>
      <c r="U285" t="s">
        <v>6202</v>
      </c>
      <c r="V285">
        <f>Tabla1[[#This Row],[Aboard]]-Tabla1[[#This Row],[Fatalities]]</f>
        <v>0</v>
      </c>
      <c r="W285" s="50">
        <f>IFERROR(Tabla1[[#This Row],[Fatalities]]/Tabla1[[#This Row],[Aboard]],0)</f>
        <v>1</v>
      </c>
      <c r="X285" s="51" t="str" cm="1">
        <f t="array" ref="X285">_xlfn.IFS(Tabla1[[#This Row],[Porcentaje de muertes]]&lt;0.35,"LEVE",AND(Tabla1[[#This Row],[Porcentaje de muertes]]&gt;0.35,Tabla1[[#This Row],[Porcentaje de muertes]]&lt;0.65),"MEDIO",Tabla1[[#This Row],[Porcentaje de muertes]]&gt;0.65,"GRAVE")</f>
        <v>GRAVE</v>
      </c>
    </row>
    <row r="286" spans="2:24" x14ac:dyDescent="0.3">
      <c r="B286" s="9">
        <v>284</v>
      </c>
      <c r="C286" s="49">
        <v>11777</v>
      </c>
      <c r="D286" s="9">
        <f>YEAR(Tabla1[[#This Row],[Date]])</f>
        <v>1932</v>
      </c>
      <c r="E286" s="9" t="str" cm="1">
        <f t="array" ref="E286">IFERROR(_xlfn.IFS(AND(D286&lt;1980,D286&gt;=1970),"70",AND(D286&lt;1990,D286&gt;=1980),"80",AND(D286&lt;2000,D286&gt;=1990),"90",AND(D286&lt;2010,D286&gt;=2000),"00",AND(D286&lt;=2019,D286&gt;=2010),"10"),"1908-1970")</f>
        <v>1908-1970</v>
      </c>
      <c r="F286" s="3" t="s">
        <v>28931</v>
      </c>
      <c r="G286" t="s">
        <v>6203</v>
      </c>
      <c r="H286" t="s">
        <v>5890</v>
      </c>
      <c r="I286" t="s">
        <v>28931</v>
      </c>
      <c r="J286" t="s">
        <v>6204</v>
      </c>
      <c r="K286" t="s">
        <v>6205</v>
      </c>
      <c r="L286" s="7" t="s">
        <v>6206</v>
      </c>
      <c r="M286">
        <v>7120</v>
      </c>
      <c r="N286">
        <v>3</v>
      </c>
      <c r="O286">
        <v>1</v>
      </c>
      <c r="P286">
        <v>2</v>
      </c>
      <c r="Q286">
        <v>3</v>
      </c>
      <c r="R286">
        <v>1</v>
      </c>
      <c r="S286">
        <v>2</v>
      </c>
      <c r="T286">
        <v>0</v>
      </c>
      <c r="U286" t="s">
        <v>6207</v>
      </c>
      <c r="V286">
        <f>Tabla1[[#This Row],[Aboard]]-Tabla1[[#This Row],[Fatalities]]</f>
        <v>0</v>
      </c>
      <c r="W286" s="50">
        <f>IFERROR(Tabla1[[#This Row],[Fatalities]]/Tabla1[[#This Row],[Aboard]],0)</f>
        <v>1</v>
      </c>
      <c r="X286" s="51" t="str" cm="1">
        <f t="array" ref="X286">_xlfn.IFS(Tabla1[[#This Row],[Porcentaje de muertes]]&lt;0.35,"LEVE",AND(Tabla1[[#This Row],[Porcentaje de muertes]]&gt;0.35,Tabla1[[#This Row],[Porcentaje de muertes]]&lt;0.65),"MEDIO",Tabla1[[#This Row],[Porcentaje de muertes]]&gt;0.65,"GRAVE")</f>
        <v>GRAVE</v>
      </c>
    </row>
    <row r="287" spans="2:24" x14ac:dyDescent="0.3">
      <c r="B287" s="9">
        <v>285</v>
      </c>
      <c r="C287" s="49">
        <v>11779</v>
      </c>
      <c r="D287" s="9">
        <f>YEAR(Tabla1[[#This Row],[Date]])</f>
        <v>1932</v>
      </c>
      <c r="E287" s="9" t="str" cm="1">
        <f t="array" ref="E287">IFERROR(_xlfn.IFS(AND(D287&lt;1980,D287&gt;=1970),"70",AND(D287&lt;1990,D287&gt;=1980),"80",AND(D287&lt;2000,D287&gt;=1990),"90",AND(D287&lt;2010,D287&gt;=2000),"00",AND(D287&lt;=2019,D287&gt;=2010),"10"),"1908-1970")</f>
        <v>1908-1970</v>
      </c>
      <c r="F287" s="3" t="s">
        <v>28931</v>
      </c>
      <c r="G287" t="s">
        <v>6208</v>
      </c>
      <c r="H287" t="s">
        <v>5524</v>
      </c>
      <c r="I287" t="s">
        <v>28931</v>
      </c>
      <c r="J287" t="s">
        <v>28931</v>
      </c>
      <c r="K287" t="s">
        <v>5886</v>
      </c>
      <c r="L287" s="7" t="s">
        <v>6209</v>
      </c>
      <c r="M287">
        <v>1054</v>
      </c>
      <c r="N287">
        <v>1</v>
      </c>
      <c r="O287">
        <v>0</v>
      </c>
      <c r="P287">
        <v>1</v>
      </c>
      <c r="Q287">
        <v>1</v>
      </c>
      <c r="R287">
        <v>0</v>
      </c>
      <c r="S287">
        <v>1</v>
      </c>
      <c r="T287">
        <v>0</v>
      </c>
      <c r="U287" t="s">
        <v>5061</v>
      </c>
      <c r="V287">
        <f>Tabla1[[#This Row],[Aboard]]-Tabla1[[#This Row],[Fatalities]]</f>
        <v>0</v>
      </c>
      <c r="W287" s="50">
        <f>IFERROR(Tabla1[[#This Row],[Fatalities]]/Tabla1[[#This Row],[Aboard]],0)</f>
        <v>1</v>
      </c>
      <c r="X287" s="51" t="str" cm="1">
        <f t="array" ref="X287">_xlfn.IFS(Tabla1[[#This Row],[Porcentaje de muertes]]&lt;0.35,"LEVE",AND(Tabla1[[#This Row],[Porcentaje de muertes]]&gt;0.35,Tabla1[[#This Row],[Porcentaje de muertes]]&lt;0.65),"MEDIO",Tabla1[[#This Row],[Porcentaje de muertes]]&gt;0.65,"GRAVE")</f>
        <v>GRAVE</v>
      </c>
    </row>
    <row r="288" spans="2:24" x14ac:dyDescent="0.3">
      <c r="B288" s="9">
        <v>286</v>
      </c>
      <c r="C288" s="49">
        <v>11800</v>
      </c>
      <c r="D288" s="9">
        <f>YEAR(Tabla1[[#This Row],[Date]])</f>
        <v>1932</v>
      </c>
      <c r="E288" s="9" t="str" cm="1">
        <f t="array" ref="E288">IFERROR(_xlfn.IFS(AND(D288&lt;1980,D288&gt;=1970),"70",AND(D288&lt;1990,D288&gt;=1980),"80",AND(D288&lt;2000,D288&gt;=1990),"90",AND(D288&lt;2010,D288&gt;=2000),"00",AND(D288&lt;=2019,D288&gt;=2010),"10"),"1908-1970")</f>
        <v>1908-1970</v>
      </c>
      <c r="F288" s="3" t="s">
        <v>28931</v>
      </c>
      <c r="G288" t="s">
        <v>6210</v>
      </c>
      <c r="H288" t="s">
        <v>6211</v>
      </c>
      <c r="I288" t="s">
        <v>28931</v>
      </c>
      <c r="J288" t="s">
        <v>28931</v>
      </c>
      <c r="K288" t="s">
        <v>6182</v>
      </c>
      <c r="L288" s="7" t="s">
        <v>6212</v>
      </c>
      <c r="M288">
        <v>162</v>
      </c>
      <c r="N288">
        <v>1</v>
      </c>
      <c r="O288">
        <v>0</v>
      </c>
      <c r="P288">
        <v>1</v>
      </c>
      <c r="Q288">
        <v>1</v>
      </c>
      <c r="R288">
        <v>0</v>
      </c>
      <c r="S288">
        <v>1</v>
      </c>
      <c r="T288">
        <v>0</v>
      </c>
      <c r="U288" t="s">
        <v>6213</v>
      </c>
      <c r="V288">
        <f>Tabla1[[#This Row],[Aboard]]-Tabla1[[#This Row],[Fatalities]]</f>
        <v>0</v>
      </c>
      <c r="W288" s="50">
        <f>IFERROR(Tabla1[[#This Row],[Fatalities]]/Tabla1[[#This Row],[Aboard]],0)</f>
        <v>1</v>
      </c>
      <c r="X288" s="51" t="str" cm="1">
        <f t="array" ref="X288">_xlfn.IFS(Tabla1[[#This Row],[Porcentaje de muertes]]&lt;0.35,"LEVE",AND(Tabla1[[#This Row],[Porcentaje de muertes]]&gt;0.35,Tabla1[[#This Row],[Porcentaje de muertes]]&lt;0.65),"MEDIO",Tabla1[[#This Row],[Porcentaje de muertes]]&gt;0.65,"GRAVE")</f>
        <v>GRAVE</v>
      </c>
    </row>
    <row r="289" spans="2:24" x14ac:dyDescent="0.3">
      <c r="B289" s="9">
        <v>287</v>
      </c>
      <c r="C289" s="49">
        <v>11825</v>
      </c>
      <c r="D289" s="9">
        <f>YEAR(Tabla1[[#This Row],[Date]])</f>
        <v>1932</v>
      </c>
      <c r="E289" s="9" t="str" cm="1">
        <f t="array" ref="E289">IFERROR(_xlfn.IFS(AND(D289&lt;1980,D289&gt;=1970),"70",AND(D289&lt;1990,D289&gt;=1980),"80",AND(D289&lt;2000,D289&gt;=1990),"90",AND(D289&lt;2010,D289&gt;=2000),"00",AND(D289&lt;=2019,D289&gt;=2010),"10"),"1908-1970")</f>
        <v>1908-1970</v>
      </c>
      <c r="F289" s="3" t="s">
        <v>28931</v>
      </c>
      <c r="G289" t="s">
        <v>6053</v>
      </c>
      <c r="H289" t="s">
        <v>5445</v>
      </c>
      <c r="I289" t="s">
        <v>28931</v>
      </c>
      <c r="J289" t="s">
        <v>6214</v>
      </c>
      <c r="K289" t="s">
        <v>5558</v>
      </c>
      <c r="L289" s="7" t="s">
        <v>6215</v>
      </c>
      <c r="M289">
        <v>1042</v>
      </c>
      <c r="N289">
        <v>3</v>
      </c>
      <c r="O289">
        <v>2</v>
      </c>
      <c r="P289">
        <v>1</v>
      </c>
      <c r="Q289">
        <v>3</v>
      </c>
      <c r="R289">
        <v>2</v>
      </c>
      <c r="S289">
        <v>1</v>
      </c>
      <c r="T289">
        <v>0</v>
      </c>
      <c r="U289" t="s">
        <v>6216</v>
      </c>
      <c r="V289">
        <f>Tabla1[[#This Row],[Aboard]]-Tabla1[[#This Row],[Fatalities]]</f>
        <v>0</v>
      </c>
      <c r="W289" s="50">
        <f>IFERROR(Tabla1[[#This Row],[Fatalities]]/Tabla1[[#This Row],[Aboard]],0)</f>
        <v>1</v>
      </c>
      <c r="X289" s="51" t="str" cm="1">
        <f t="array" ref="X289">_xlfn.IFS(Tabla1[[#This Row],[Porcentaje de muertes]]&lt;0.35,"LEVE",AND(Tabla1[[#This Row],[Porcentaje de muertes]]&gt;0.35,Tabla1[[#This Row],[Porcentaje de muertes]]&lt;0.65),"MEDIO",Tabla1[[#This Row],[Porcentaje de muertes]]&gt;0.65,"GRAVE")</f>
        <v>GRAVE</v>
      </c>
    </row>
    <row r="290" spans="2:24" x14ac:dyDescent="0.3">
      <c r="B290" s="9">
        <v>288</v>
      </c>
      <c r="C290" s="49">
        <v>11839</v>
      </c>
      <c r="D290" s="9">
        <f>YEAR(Tabla1[[#This Row],[Date]])</f>
        <v>1932</v>
      </c>
      <c r="E290" s="9" t="str" cm="1">
        <f t="array" ref="E290">IFERROR(_xlfn.IFS(AND(D290&lt;1980,D290&gt;=1970),"70",AND(D290&lt;1990,D290&gt;=1980),"80",AND(D290&lt;2000,D290&gt;=1990),"90",AND(D290&lt;2010,D290&gt;=2000),"00",AND(D290&lt;=2019,D290&gt;=2010),"10"),"1908-1970")</f>
        <v>1908-1970</v>
      </c>
      <c r="F290" s="3">
        <v>0.5</v>
      </c>
      <c r="G290" t="s">
        <v>6217</v>
      </c>
      <c r="H290" t="s">
        <v>5465</v>
      </c>
      <c r="I290" t="s">
        <v>28931</v>
      </c>
      <c r="J290" t="s">
        <v>28931</v>
      </c>
      <c r="K290" t="s">
        <v>5558</v>
      </c>
      <c r="L290" s="7" t="s">
        <v>6218</v>
      </c>
      <c r="M290">
        <v>1155</v>
      </c>
      <c r="N290">
        <v>2</v>
      </c>
      <c r="O290">
        <v>0</v>
      </c>
      <c r="P290">
        <v>2</v>
      </c>
      <c r="Q290">
        <v>1</v>
      </c>
      <c r="R290">
        <v>0</v>
      </c>
      <c r="S290">
        <v>1</v>
      </c>
      <c r="T290">
        <v>0</v>
      </c>
      <c r="U290" t="s">
        <v>6219</v>
      </c>
      <c r="V290">
        <f>Tabla1[[#This Row],[Aboard]]-Tabla1[[#This Row],[Fatalities]]</f>
        <v>1</v>
      </c>
      <c r="W290" s="50">
        <f>IFERROR(Tabla1[[#This Row],[Fatalities]]/Tabla1[[#This Row],[Aboard]],0)</f>
        <v>0.5</v>
      </c>
      <c r="X290" s="51" t="str" cm="1">
        <f t="array" ref="X290">_xlfn.IFS(Tabla1[[#This Row],[Porcentaje de muertes]]&lt;0.35,"LEVE",AND(Tabla1[[#This Row],[Porcentaje de muertes]]&gt;0.35,Tabla1[[#This Row],[Porcentaje de muertes]]&lt;0.65),"MEDIO",Tabla1[[#This Row],[Porcentaje de muertes]]&gt;0.65,"GRAVE")</f>
        <v>MEDIO</v>
      </c>
    </row>
    <row r="291" spans="2:24" x14ac:dyDescent="0.3">
      <c r="B291" s="9">
        <v>289</v>
      </c>
      <c r="C291" s="49">
        <v>11886</v>
      </c>
      <c r="D291" s="9">
        <f>YEAR(Tabla1[[#This Row],[Date]])</f>
        <v>1932</v>
      </c>
      <c r="E291" s="9" t="str" cm="1">
        <f t="array" ref="E291">IFERROR(_xlfn.IFS(AND(D291&lt;1980,D291&gt;=1970),"70",AND(D291&lt;1990,D291&gt;=1980),"80",AND(D291&lt;2000,D291&gt;=1990),"90",AND(D291&lt;2010,D291&gt;=2000),"00",AND(D291&lt;=2019,D291&gt;=2010),"10"),"1908-1970")</f>
        <v>1908-1970</v>
      </c>
      <c r="F291" s="3">
        <v>0.33333333333333331</v>
      </c>
      <c r="G291" t="s">
        <v>6220</v>
      </c>
      <c r="H291" t="s">
        <v>6221</v>
      </c>
      <c r="I291" t="s">
        <v>28931</v>
      </c>
      <c r="J291" t="s">
        <v>6222</v>
      </c>
      <c r="K291" t="s">
        <v>5898</v>
      </c>
      <c r="L291" s="7" t="s">
        <v>6223</v>
      </c>
      <c r="M291" t="s">
        <v>6224</v>
      </c>
      <c r="N291">
        <v>9</v>
      </c>
      <c r="O291">
        <v>6</v>
      </c>
      <c r="P291">
        <v>3</v>
      </c>
      <c r="Q291">
        <v>9</v>
      </c>
      <c r="R291">
        <v>6</v>
      </c>
      <c r="S291">
        <v>3</v>
      </c>
      <c r="T291">
        <v>0</v>
      </c>
      <c r="U291" t="s">
        <v>6225</v>
      </c>
      <c r="V291">
        <f>Tabla1[[#This Row],[Aboard]]-Tabla1[[#This Row],[Fatalities]]</f>
        <v>0</v>
      </c>
      <c r="W291" s="50">
        <f>IFERROR(Tabla1[[#This Row],[Fatalities]]/Tabla1[[#This Row],[Aboard]],0)</f>
        <v>1</v>
      </c>
      <c r="X291" s="51" t="str" cm="1">
        <f t="array" ref="X291">_xlfn.IFS(Tabla1[[#This Row],[Porcentaje de muertes]]&lt;0.35,"LEVE",AND(Tabla1[[#This Row],[Porcentaje de muertes]]&gt;0.35,Tabla1[[#This Row],[Porcentaje de muertes]]&lt;0.65),"MEDIO",Tabla1[[#This Row],[Porcentaje de muertes]]&gt;0.65,"GRAVE")</f>
        <v>GRAVE</v>
      </c>
    </row>
    <row r="292" spans="2:24" x14ac:dyDescent="0.3">
      <c r="B292" s="9">
        <v>290</v>
      </c>
      <c r="C292" s="49">
        <v>12031</v>
      </c>
      <c r="D292" s="9">
        <f>YEAR(Tabla1[[#This Row],[Date]])</f>
        <v>1932</v>
      </c>
      <c r="E292" s="9" t="str" cm="1">
        <f t="array" ref="E292">IFERROR(_xlfn.IFS(AND(D292&lt;1980,D292&gt;=1970),"70",AND(D292&lt;1990,D292&gt;=1980),"80",AND(D292&lt;2000,D292&gt;=1990),"90",AND(D292&lt;2010,D292&gt;=2000),"00",AND(D292&lt;=2019,D292&gt;=2010),"10"),"1908-1970")</f>
        <v>1908-1970</v>
      </c>
      <c r="F292" s="3" t="s">
        <v>28931</v>
      </c>
      <c r="G292" t="s">
        <v>6226</v>
      </c>
      <c r="H292" t="s">
        <v>5890</v>
      </c>
      <c r="I292" t="s">
        <v>28931</v>
      </c>
      <c r="J292" t="s">
        <v>6227</v>
      </c>
      <c r="K292" t="s">
        <v>6228</v>
      </c>
      <c r="L292" s="7" t="s">
        <v>6229</v>
      </c>
      <c r="M292">
        <v>7</v>
      </c>
      <c r="N292">
        <v>7</v>
      </c>
      <c r="O292">
        <v>3</v>
      </c>
      <c r="P292">
        <v>4</v>
      </c>
      <c r="Q292">
        <v>0</v>
      </c>
      <c r="R292">
        <v>0</v>
      </c>
      <c r="S292">
        <v>0</v>
      </c>
      <c r="T292">
        <v>0</v>
      </c>
      <c r="U292" t="s">
        <v>6230</v>
      </c>
      <c r="V292">
        <f>Tabla1[[#This Row],[Aboard]]-Tabla1[[#This Row],[Fatalities]]</f>
        <v>7</v>
      </c>
      <c r="W292" s="50">
        <f>IFERROR(Tabla1[[#This Row],[Fatalities]]/Tabla1[[#This Row],[Aboard]],0)</f>
        <v>0</v>
      </c>
      <c r="X292" s="51" t="str" cm="1">
        <f t="array" ref="X292">_xlfn.IFS(Tabla1[[#This Row],[Porcentaje de muertes]]&lt;0.35,"LEVE",AND(Tabla1[[#This Row],[Porcentaje de muertes]]&gt;0.35,Tabla1[[#This Row],[Porcentaje de muertes]]&lt;0.65),"MEDIO",Tabla1[[#This Row],[Porcentaje de muertes]]&gt;0.65,"GRAVE")</f>
        <v>LEVE</v>
      </c>
    </row>
    <row r="293" spans="2:24" x14ac:dyDescent="0.3">
      <c r="B293" s="9">
        <v>291</v>
      </c>
      <c r="C293" s="49">
        <v>11932</v>
      </c>
      <c r="D293" s="9">
        <f>YEAR(Tabla1[[#This Row],[Date]])</f>
        <v>1932</v>
      </c>
      <c r="E293" s="9" t="str" cm="1">
        <f t="array" ref="E293">IFERROR(_xlfn.IFS(AND(D293&lt;1980,D293&gt;=1970),"70",AND(D293&lt;1990,D293&gt;=1980),"80",AND(D293&lt;2000,D293&gt;=1990),"90",AND(D293&lt;2010,D293&gt;=2000),"00",AND(D293&lt;=2019,D293&gt;=2010),"10"),"1908-1970")</f>
        <v>1908-1970</v>
      </c>
      <c r="F293" s="3">
        <v>6.9444444444444441E-3</v>
      </c>
      <c r="G293" t="s">
        <v>6231</v>
      </c>
      <c r="H293" t="s">
        <v>6232</v>
      </c>
      <c r="I293" t="s">
        <v>28931</v>
      </c>
      <c r="J293" t="s">
        <v>6233</v>
      </c>
      <c r="K293" t="s">
        <v>6234</v>
      </c>
      <c r="L293" s="7" t="s">
        <v>6235</v>
      </c>
      <c r="M293">
        <v>836</v>
      </c>
      <c r="N293">
        <v>2</v>
      </c>
      <c r="O293">
        <v>0</v>
      </c>
      <c r="P293">
        <v>2</v>
      </c>
      <c r="Q293">
        <v>2</v>
      </c>
      <c r="R293">
        <v>0</v>
      </c>
      <c r="S293">
        <v>2</v>
      </c>
      <c r="T293">
        <v>0</v>
      </c>
      <c r="U293" t="s">
        <v>6236</v>
      </c>
      <c r="V293">
        <f>Tabla1[[#This Row],[Aboard]]-Tabla1[[#This Row],[Fatalities]]</f>
        <v>0</v>
      </c>
      <c r="W293" s="50">
        <f>IFERROR(Tabla1[[#This Row],[Fatalities]]/Tabla1[[#This Row],[Aboard]],0)</f>
        <v>1</v>
      </c>
      <c r="X293" s="51" t="str" cm="1">
        <f t="array" ref="X293">_xlfn.IFS(Tabla1[[#This Row],[Porcentaje de muertes]]&lt;0.35,"LEVE",AND(Tabla1[[#This Row],[Porcentaje de muertes]]&gt;0.35,Tabla1[[#This Row],[Porcentaje de muertes]]&lt;0.65),"MEDIO",Tabla1[[#This Row],[Porcentaje de muertes]]&gt;0.65,"GRAVE")</f>
        <v>GRAVE</v>
      </c>
    </row>
    <row r="294" spans="2:24" x14ac:dyDescent="0.3">
      <c r="B294" s="9">
        <v>292</v>
      </c>
      <c r="C294" s="49">
        <v>11910</v>
      </c>
      <c r="D294" s="9">
        <f>YEAR(Tabla1[[#This Row],[Date]])</f>
        <v>1932</v>
      </c>
      <c r="E294" s="9" t="str" cm="1">
        <f t="array" ref="E294">IFERROR(_xlfn.IFS(AND(D294&lt;1980,D294&gt;=1970),"70",AND(D294&lt;1990,D294&gt;=1980),"80",AND(D294&lt;2000,D294&gt;=1990),"90",AND(D294&lt;2010,D294&gt;=2000),"00",AND(D294&lt;=2019,D294&gt;=2010),"10"),"1908-1970")</f>
        <v>1908-1970</v>
      </c>
      <c r="F294" s="3">
        <v>0.375</v>
      </c>
      <c r="G294" t="s">
        <v>6237</v>
      </c>
      <c r="H294" t="s">
        <v>6089</v>
      </c>
      <c r="I294" t="s">
        <v>28931</v>
      </c>
      <c r="J294" t="s">
        <v>6238</v>
      </c>
      <c r="K294" t="s">
        <v>6239</v>
      </c>
      <c r="L294" s="7" t="s">
        <v>6240</v>
      </c>
      <c r="M294">
        <v>1009</v>
      </c>
      <c r="N294">
        <v>4</v>
      </c>
      <c r="O294">
        <v>2</v>
      </c>
      <c r="P294">
        <v>2</v>
      </c>
      <c r="Q294">
        <v>3</v>
      </c>
      <c r="R294">
        <v>1</v>
      </c>
      <c r="S294">
        <v>2</v>
      </c>
      <c r="T294">
        <v>0</v>
      </c>
      <c r="U294" t="s">
        <v>6241</v>
      </c>
      <c r="V294">
        <f>Tabla1[[#This Row],[Aboard]]-Tabla1[[#This Row],[Fatalities]]</f>
        <v>1</v>
      </c>
      <c r="W294" s="50">
        <f>IFERROR(Tabla1[[#This Row],[Fatalities]]/Tabla1[[#This Row],[Aboard]],0)</f>
        <v>0.75</v>
      </c>
      <c r="X294" s="51" t="str" cm="1">
        <f t="array" ref="X294">_xlfn.IFS(Tabla1[[#This Row],[Porcentaje de muertes]]&lt;0.35,"LEVE",AND(Tabla1[[#This Row],[Porcentaje de muertes]]&gt;0.35,Tabla1[[#This Row],[Porcentaje de muertes]]&lt;0.65),"MEDIO",Tabla1[[#This Row],[Porcentaje de muertes]]&gt;0.65,"GRAVE")</f>
        <v>GRAVE</v>
      </c>
    </row>
    <row r="295" spans="2:24" x14ac:dyDescent="0.3">
      <c r="B295" s="9">
        <v>293</v>
      </c>
      <c r="C295" s="49">
        <v>11949</v>
      </c>
      <c r="D295" s="9">
        <f>YEAR(Tabla1[[#This Row],[Date]])</f>
        <v>1932</v>
      </c>
      <c r="E295" s="9" t="str" cm="1">
        <f t="array" ref="E295">IFERROR(_xlfn.IFS(AND(D295&lt;1980,D295&gt;=1970),"70",AND(D295&lt;1990,D295&gt;=1980),"80",AND(D295&lt;2000,D295&gt;=1990),"90",AND(D295&lt;2010,D295&gt;=2000),"00",AND(D295&lt;=2019,D295&gt;=2010),"10"),"1908-1970")</f>
        <v>1908-1970</v>
      </c>
      <c r="F295" s="3">
        <v>0.25</v>
      </c>
      <c r="G295" t="s">
        <v>6242</v>
      </c>
      <c r="H295" t="s">
        <v>5298</v>
      </c>
      <c r="I295" t="s">
        <v>28931</v>
      </c>
      <c r="J295" t="s">
        <v>28931</v>
      </c>
      <c r="K295" t="s">
        <v>6243</v>
      </c>
      <c r="L295" s="7" t="s">
        <v>6244</v>
      </c>
      <c r="M295">
        <v>2</v>
      </c>
      <c r="N295">
        <v>2</v>
      </c>
      <c r="O295">
        <v>0</v>
      </c>
      <c r="P295">
        <v>2</v>
      </c>
      <c r="Q295">
        <v>1</v>
      </c>
      <c r="R295">
        <v>0</v>
      </c>
      <c r="S295">
        <v>1</v>
      </c>
      <c r="T295">
        <v>0</v>
      </c>
      <c r="U295" t="s">
        <v>6245</v>
      </c>
      <c r="V295">
        <f>Tabla1[[#This Row],[Aboard]]-Tabla1[[#This Row],[Fatalities]]</f>
        <v>1</v>
      </c>
      <c r="W295" s="50">
        <f>IFERROR(Tabla1[[#This Row],[Fatalities]]/Tabla1[[#This Row],[Aboard]],0)</f>
        <v>0.5</v>
      </c>
      <c r="X295" s="51" t="str" cm="1">
        <f t="array" ref="X295">_xlfn.IFS(Tabla1[[#This Row],[Porcentaje de muertes]]&lt;0.35,"LEVE",AND(Tabla1[[#This Row],[Porcentaje de muertes]]&gt;0.35,Tabla1[[#This Row],[Porcentaje de muertes]]&lt;0.65),"MEDIO",Tabla1[[#This Row],[Porcentaje de muertes]]&gt;0.65,"GRAVE")</f>
        <v>MEDIO</v>
      </c>
    </row>
    <row r="296" spans="2:24" x14ac:dyDescent="0.3">
      <c r="B296" s="9">
        <v>294</v>
      </c>
      <c r="C296" s="49">
        <v>11950</v>
      </c>
      <c r="D296" s="9">
        <f>YEAR(Tabla1[[#This Row],[Date]])</f>
        <v>1932</v>
      </c>
      <c r="E296" s="9" t="str" cm="1">
        <f t="array" ref="E296">IFERROR(_xlfn.IFS(AND(D296&lt;1980,D296&gt;=1970),"70",AND(D296&lt;1990,D296&gt;=1980),"80",AND(D296&lt;2000,D296&gt;=1990),"90",AND(D296&lt;2010,D296&gt;=2000),"00",AND(D296&lt;=2019,D296&gt;=2010),"10"),"1908-1970")</f>
        <v>1908-1970</v>
      </c>
      <c r="F296" s="3" t="s">
        <v>28931</v>
      </c>
      <c r="G296" t="s">
        <v>6246</v>
      </c>
      <c r="H296" t="s">
        <v>6247</v>
      </c>
      <c r="I296" t="s">
        <v>28931</v>
      </c>
      <c r="J296" t="s">
        <v>6248</v>
      </c>
      <c r="K296" t="s">
        <v>6249</v>
      </c>
      <c r="L296" s="7" t="s">
        <v>6250</v>
      </c>
      <c r="M296">
        <v>2052</v>
      </c>
      <c r="N296">
        <v>3</v>
      </c>
      <c r="O296">
        <v>2</v>
      </c>
      <c r="P296">
        <v>1</v>
      </c>
      <c r="Q296">
        <v>3</v>
      </c>
      <c r="R296">
        <v>2</v>
      </c>
      <c r="S296">
        <v>1</v>
      </c>
      <c r="T296">
        <v>0</v>
      </c>
      <c r="U296" t="s">
        <v>6251</v>
      </c>
      <c r="V296">
        <f>Tabla1[[#This Row],[Aboard]]-Tabla1[[#This Row],[Fatalities]]</f>
        <v>0</v>
      </c>
      <c r="W296" s="50">
        <f>IFERROR(Tabla1[[#This Row],[Fatalities]]/Tabla1[[#This Row],[Aboard]],0)</f>
        <v>1</v>
      </c>
      <c r="X296" s="51" t="str" cm="1">
        <f t="array" ref="X296">_xlfn.IFS(Tabla1[[#This Row],[Porcentaje de muertes]]&lt;0.35,"LEVE",AND(Tabla1[[#This Row],[Porcentaje de muertes]]&gt;0.35,Tabla1[[#This Row],[Porcentaje de muertes]]&lt;0.65),"MEDIO",Tabla1[[#This Row],[Porcentaje de muertes]]&gt;0.65,"GRAVE")</f>
        <v>GRAVE</v>
      </c>
    </row>
    <row r="297" spans="2:24" x14ac:dyDescent="0.3">
      <c r="B297" s="9">
        <v>295</v>
      </c>
      <c r="C297" s="49">
        <v>12033</v>
      </c>
      <c r="D297" s="9">
        <f>YEAR(Tabla1[[#This Row],[Date]])</f>
        <v>1932</v>
      </c>
      <c r="E297" s="9" t="str" cm="1">
        <f t="array" ref="E297">IFERROR(_xlfn.IFS(AND(D297&lt;1980,D297&gt;=1970),"70",AND(D297&lt;1990,D297&gt;=1980),"80",AND(D297&lt;2000,D297&gt;=1990),"90",AND(D297&lt;2010,D297&gt;=2000),"00",AND(D297&lt;=2019,D297&gt;=2010),"10"),"1908-1970")</f>
        <v>1908-1970</v>
      </c>
      <c r="F297" s="3" t="s">
        <v>28931</v>
      </c>
      <c r="G297" t="s">
        <v>6252</v>
      </c>
      <c r="H297" t="s">
        <v>5182</v>
      </c>
      <c r="I297" t="s">
        <v>28931</v>
      </c>
      <c r="J297" t="s">
        <v>6253</v>
      </c>
      <c r="K297" t="s">
        <v>5926</v>
      </c>
      <c r="L297" s="7" t="s">
        <v>6254</v>
      </c>
      <c r="M297">
        <v>905</v>
      </c>
      <c r="N297">
        <v>1</v>
      </c>
      <c r="O297">
        <v>0</v>
      </c>
      <c r="P297">
        <v>1</v>
      </c>
      <c r="Q297">
        <v>1</v>
      </c>
      <c r="R297">
        <v>0</v>
      </c>
      <c r="S297">
        <v>1</v>
      </c>
      <c r="T297">
        <v>0</v>
      </c>
      <c r="U297" t="s">
        <v>6255</v>
      </c>
      <c r="V297">
        <f>Tabla1[[#This Row],[Aboard]]-Tabla1[[#This Row],[Fatalities]]</f>
        <v>0</v>
      </c>
      <c r="W297" s="50">
        <f>IFERROR(Tabla1[[#This Row],[Fatalities]]/Tabla1[[#This Row],[Aboard]],0)</f>
        <v>1</v>
      </c>
      <c r="X297" s="51" t="str" cm="1">
        <f t="array" ref="X297">_xlfn.IFS(Tabla1[[#This Row],[Porcentaje de muertes]]&lt;0.35,"LEVE",AND(Tabla1[[#This Row],[Porcentaje de muertes]]&gt;0.35,Tabla1[[#This Row],[Porcentaje de muertes]]&lt;0.65),"MEDIO",Tabla1[[#This Row],[Porcentaje de muertes]]&gt;0.65,"GRAVE")</f>
        <v>GRAVE</v>
      </c>
    </row>
    <row r="298" spans="2:24" x14ac:dyDescent="0.3">
      <c r="B298" s="9">
        <v>296</v>
      </c>
      <c r="C298" s="49">
        <v>11988</v>
      </c>
      <c r="D298" s="9">
        <f>YEAR(Tabla1[[#This Row],[Date]])</f>
        <v>1932</v>
      </c>
      <c r="E298" s="9" t="str" cm="1">
        <f t="array" ref="E298">IFERROR(_xlfn.IFS(AND(D298&lt;1980,D298&gt;=1970),"70",AND(D298&lt;1990,D298&gt;=1980),"80",AND(D298&lt;2000,D298&gt;=1990),"90",AND(D298&lt;2010,D298&gt;=2000),"00",AND(D298&lt;=2019,D298&gt;=2010),"10"),"1908-1970")</f>
        <v>1908-1970</v>
      </c>
      <c r="F298" s="3" t="s">
        <v>28931</v>
      </c>
      <c r="G298" t="s">
        <v>6256</v>
      </c>
      <c r="H298" t="s">
        <v>6257</v>
      </c>
      <c r="I298" t="s">
        <v>28931</v>
      </c>
      <c r="J298" t="s">
        <v>28931</v>
      </c>
      <c r="K298" t="s">
        <v>6258</v>
      </c>
      <c r="L298" s="7" t="s">
        <v>28931</v>
      </c>
      <c r="M298" t="s">
        <v>28931</v>
      </c>
      <c r="N298">
        <v>2</v>
      </c>
      <c r="O298">
        <v>0</v>
      </c>
      <c r="P298">
        <v>2</v>
      </c>
      <c r="Q298">
        <v>2</v>
      </c>
      <c r="R298">
        <v>0</v>
      </c>
      <c r="S298">
        <v>2</v>
      </c>
      <c r="T298">
        <v>0</v>
      </c>
      <c r="U298" t="s">
        <v>6259</v>
      </c>
      <c r="V298">
        <f>Tabla1[[#This Row],[Aboard]]-Tabla1[[#This Row],[Fatalities]]</f>
        <v>0</v>
      </c>
      <c r="W298" s="50">
        <f>IFERROR(Tabla1[[#This Row],[Fatalities]]/Tabla1[[#This Row],[Aboard]],0)</f>
        <v>1</v>
      </c>
      <c r="X298" s="51" t="str" cm="1">
        <f t="array" ref="X298">_xlfn.IFS(Tabla1[[#This Row],[Porcentaje de muertes]]&lt;0.35,"LEVE",AND(Tabla1[[#This Row],[Porcentaje de muertes]]&gt;0.35,Tabla1[[#This Row],[Porcentaje de muertes]]&lt;0.65),"MEDIO",Tabla1[[#This Row],[Porcentaje de muertes]]&gt;0.65,"GRAVE")</f>
        <v>GRAVE</v>
      </c>
    </row>
    <row r="299" spans="2:24" x14ac:dyDescent="0.3">
      <c r="B299" s="9">
        <v>297</v>
      </c>
      <c r="C299" s="49">
        <v>11991</v>
      </c>
      <c r="D299" s="9">
        <f>YEAR(Tabla1[[#This Row],[Date]])</f>
        <v>1932</v>
      </c>
      <c r="E299" s="9" t="str" cm="1">
        <f t="array" ref="E299">IFERROR(_xlfn.IFS(AND(D299&lt;1980,D299&gt;=1970),"70",AND(D299&lt;1990,D299&gt;=1980),"80",AND(D299&lt;2000,D299&gt;=1990),"90",AND(D299&lt;2010,D299&gt;=2000),"00",AND(D299&lt;=2019,D299&gt;=2010),"10"),"1908-1970")</f>
        <v>1908-1970</v>
      </c>
      <c r="F299" s="3" t="s">
        <v>28931</v>
      </c>
      <c r="G299" t="s">
        <v>6260</v>
      </c>
      <c r="H299" t="s">
        <v>5417</v>
      </c>
      <c r="I299" t="s">
        <v>28931</v>
      </c>
      <c r="J299" t="s">
        <v>6261</v>
      </c>
      <c r="K299" t="s">
        <v>6262</v>
      </c>
      <c r="L299" s="7" t="s">
        <v>6263</v>
      </c>
      <c r="M299" t="s">
        <v>28931</v>
      </c>
      <c r="N299">
        <v>2</v>
      </c>
      <c r="O299">
        <v>0</v>
      </c>
      <c r="P299">
        <v>2</v>
      </c>
      <c r="Q299">
        <v>2</v>
      </c>
      <c r="R299">
        <v>0</v>
      </c>
      <c r="S299">
        <v>2</v>
      </c>
      <c r="T299">
        <v>0</v>
      </c>
      <c r="U299" t="s">
        <v>6264</v>
      </c>
      <c r="V299">
        <f>Tabla1[[#This Row],[Aboard]]-Tabla1[[#This Row],[Fatalities]]</f>
        <v>0</v>
      </c>
      <c r="W299" s="50">
        <f>IFERROR(Tabla1[[#This Row],[Fatalities]]/Tabla1[[#This Row],[Aboard]],0)</f>
        <v>1</v>
      </c>
      <c r="X299" s="51" t="str" cm="1">
        <f t="array" ref="X299">_xlfn.IFS(Tabla1[[#This Row],[Porcentaje de muertes]]&lt;0.35,"LEVE",AND(Tabla1[[#This Row],[Porcentaje de muertes]]&gt;0.35,Tabla1[[#This Row],[Porcentaje de muertes]]&lt;0.65),"MEDIO",Tabla1[[#This Row],[Porcentaje de muertes]]&gt;0.65,"GRAVE")</f>
        <v>GRAVE</v>
      </c>
    </row>
    <row r="300" spans="2:24" x14ac:dyDescent="0.3">
      <c r="B300" s="9">
        <v>298</v>
      </c>
      <c r="C300" s="49">
        <v>11730</v>
      </c>
      <c r="D300" s="9">
        <f>YEAR(Tabla1[[#This Row],[Date]])</f>
        <v>1932</v>
      </c>
      <c r="E300" s="9" t="str" cm="1">
        <f t="array" ref="E300">IFERROR(_xlfn.IFS(AND(D300&lt;1980,D300&gt;=1970),"70",AND(D300&lt;1990,D300&gt;=1980),"80",AND(D300&lt;2000,D300&gt;=1990),"90",AND(D300&lt;2010,D300&gt;=2000),"00",AND(D300&lt;=2019,D300&gt;=2010),"10"),"1908-1970")</f>
        <v>1908-1970</v>
      </c>
      <c r="F300" s="3" t="s">
        <v>28931</v>
      </c>
      <c r="G300" t="s">
        <v>6265</v>
      </c>
      <c r="H300" t="s">
        <v>5417</v>
      </c>
      <c r="I300" t="s">
        <v>28931</v>
      </c>
      <c r="J300" t="s">
        <v>6266</v>
      </c>
      <c r="K300" t="s">
        <v>5157</v>
      </c>
      <c r="L300" s="7" t="s">
        <v>6267</v>
      </c>
      <c r="M300">
        <v>696</v>
      </c>
      <c r="N300">
        <v>5</v>
      </c>
      <c r="O300">
        <v>3</v>
      </c>
      <c r="P300">
        <v>2</v>
      </c>
      <c r="Q300">
        <v>5</v>
      </c>
      <c r="R300">
        <v>3</v>
      </c>
      <c r="S300">
        <v>2</v>
      </c>
      <c r="T300">
        <v>0</v>
      </c>
      <c r="U300" t="s">
        <v>6268</v>
      </c>
      <c r="V300">
        <f>Tabla1[[#This Row],[Aboard]]-Tabla1[[#This Row],[Fatalities]]</f>
        <v>0</v>
      </c>
      <c r="W300" s="50">
        <f>IFERROR(Tabla1[[#This Row],[Fatalities]]/Tabla1[[#This Row],[Aboard]],0)</f>
        <v>1</v>
      </c>
      <c r="X300" s="51" t="str" cm="1">
        <f t="array" ref="X300">_xlfn.IFS(Tabla1[[#This Row],[Porcentaje de muertes]]&lt;0.35,"LEVE",AND(Tabla1[[#This Row],[Porcentaje de muertes]]&gt;0.35,Tabla1[[#This Row],[Porcentaje de muertes]]&lt;0.65),"MEDIO",Tabla1[[#This Row],[Porcentaje de muertes]]&gt;0.65,"GRAVE")</f>
        <v>GRAVE</v>
      </c>
    </row>
    <row r="301" spans="2:24" x14ac:dyDescent="0.3">
      <c r="B301" s="9">
        <v>299</v>
      </c>
      <c r="C301" s="49">
        <v>12018</v>
      </c>
      <c r="D301" s="9">
        <f>YEAR(Tabla1[[#This Row],[Date]])</f>
        <v>1932</v>
      </c>
      <c r="E301" s="9" t="str" cm="1">
        <f t="array" ref="E301">IFERROR(_xlfn.IFS(AND(D301&lt;1980,D301&gt;=1970),"70",AND(D301&lt;1990,D301&gt;=1980),"80",AND(D301&lt;2000,D301&gt;=1990),"90",AND(D301&lt;2010,D301&gt;=2000),"00",AND(D301&lt;=2019,D301&gt;=2010),"10"),"1908-1970")</f>
        <v>1908-1970</v>
      </c>
      <c r="F301" s="3" t="s">
        <v>28931</v>
      </c>
      <c r="G301" t="s">
        <v>6269</v>
      </c>
      <c r="H301" t="s">
        <v>6270</v>
      </c>
      <c r="I301" t="s">
        <v>28931</v>
      </c>
      <c r="J301" t="s">
        <v>6271</v>
      </c>
      <c r="K301" t="s">
        <v>5817</v>
      </c>
      <c r="L301" s="7" t="s">
        <v>6272</v>
      </c>
      <c r="M301">
        <v>2020</v>
      </c>
      <c r="N301">
        <v>2</v>
      </c>
      <c r="O301">
        <v>1</v>
      </c>
      <c r="P301">
        <v>1</v>
      </c>
      <c r="Q301">
        <v>2</v>
      </c>
      <c r="R301">
        <v>1</v>
      </c>
      <c r="S301">
        <v>1</v>
      </c>
      <c r="T301">
        <v>0</v>
      </c>
      <c r="U301" t="s">
        <v>6273</v>
      </c>
      <c r="V301">
        <f>Tabla1[[#This Row],[Aboard]]-Tabla1[[#This Row],[Fatalities]]</f>
        <v>0</v>
      </c>
      <c r="W301" s="50">
        <f>IFERROR(Tabla1[[#This Row],[Fatalities]]/Tabla1[[#This Row],[Aboard]],0)</f>
        <v>1</v>
      </c>
      <c r="X301" s="51" t="str" cm="1">
        <f t="array" ref="X301">_xlfn.IFS(Tabla1[[#This Row],[Porcentaje de muertes]]&lt;0.35,"LEVE",AND(Tabla1[[#This Row],[Porcentaje de muertes]]&gt;0.35,Tabla1[[#This Row],[Porcentaje de muertes]]&lt;0.65),"MEDIO",Tabla1[[#This Row],[Porcentaje de muertes]]&gt;0.65,"GRAVE")</f>
        <v>GRAVE</v>
      </c>
    </row>
    <row r="302" spans="2:24" x14ac:dyDescent="0.3">
      <c r="B302" s="9">
        <v>300</v>
      </c>
      <c r="C302" s="49">
        <v>12037</v>
      </c>
      <c r="D302" s="9">
        <f>YEAR(Tabla1[[#This Row],[Date]])</f>
        <v>1932</v>
      </c>
      <c r="E302" s="9" t="str" cm="1">
        <f t="array" ref="E302">IFERROR(_xlfn.IFS(AND(D302&lt;1980,D302&gt;=1970),"70",AND(D302&lt;1990,D302&gt;=1980),"80",AND(D302&lt;2000,D302&gt;=1990),"90",AND(D302&lt;2010,D302&gt;=2000),"00",AND(D302&lt;=2019,D302&gt;=2010),"10"),"1908-1970")</f>
        <v>1908-1970</v>
      </c>
      <c r="F302" s="3" t="s">
        <v>28931</v>
      </c>
      <c r="G302" t="s">
        <v>5881</v>
      </c>
      <c r="H302" t="s">
        <v>6044</v>
      </c>
      <c r="I302" t="s">
        <v>28931</v>
      </c>
      <c r="J302" t="s">
        <v>28931</v>
      </c>
      <c r="K302" t="s">
        <v>6274</v>
      </c>
      <c r="L302" s="7" t="s">
        <v>6275</v>
      </c>
      <c r="M302" t="s">
        <v>6276</v>
      </c>
      <c r="N302">
        <v>2</v>
      </c>
      <c r="O302">
        <v>0</v>
      </c>
      <c r="P302">
        <v>2</v>
      </c>
      <c r="Q302">
        <v>2</v>
      </c>
      <c r="R302">
        <v>0</v>
      </c>
      <c r="S302">
        <v>2</v>
      </c>
      <c r="T302">
        <v>0</v>
      </c>
      <c r="U302" t="s">
        <v>6277</v>
      </c>
      <c r="V302">
        <f>Tabla1[[#This Row],[Aboard]]-Tabla1[[#This Row],[Fatalities]]</f>
        <v>0</v>
      </c>
      <c r="W302" s="50">
        <f>IFERROR(Tabla1[[#This Row],[Fatalities]]/Tabla1[[#This Row],[Aboard]],0)</f>
        <v>1</v>
      </c>
      <c r="X302" s="51" t="str" cm="1">
        <f t="array" ref="X302">_xlfn.IFS(Tabla1[[#This Row],[Porcentaje de muertes]]&lt;0.35,"LEVE",AND(Tabla1[[#This Row],[Porcentaje de muertes]]&gt;0.35,Tabla1[[#This Row],[Porcentaje de muertes]]&lt;0.65),"MEDIO",Tabla1[[#This Row],[Porcentaje de muertes]]&gt;0.65,"GRAVE")</f>
        <v>GRAVE</v>
      </c>
    </row>
    <row r="303" spans="2:24" x14ac:dyDescent="0.3">
      <c r="B303" s="9">
        <v>301</v>
      </c>
      <c r="C303" s="49">
        <v>12037</v>
      </c>
      <c r="D303" s="9">
        <f>YEAR(Tabla1[[#This Row],[Date]])</f>
        <v>1932</v>
      </c>
      <c r="E303" s="9" t="str" cm="1">
        <f t="array" ref="E303">IFERROR(_xlfn.IFS(AND(D303&lt;1980,D303&gt;=1970),"70",AND(D303&lt;1990,D303&gt;=1980),"80",AND(D303&lt;2000,D303&gt;=1990),"90",AND(D303&lt;2010,D303&gt;=2000),"00",AND(D303&lt;=2019,D303&gt;=2010),"10"),"1908-1970")</f>
        <v>1908-1970</v>
      </c>
      <c r="F303" s="3" t="s">
        <v>28931</v>
      </c>
      <c r="G303" t="s">
        <v>6278</v>
      </c>
      <c r="H303" t="s">
        <v>5557</v>
      </c>
      <c r="I303" t="s">
        <v>28931</v>
      </c>
      <c r="J303" t="s">
        <v>28931</v>
      </c>
      <c r="K303" t="s">
        <v>5558</v>
      </c>
      <c r="L303" s="7" t="s">
        <v>6279</v>
      </c>
      <c r="M303">
        <v>892</v>
      </c>
      <c r="N303">
        <v>1</v>
      </c>
      <c r="O303">
        <v>0</v>
      </c>
      <c r="P303">
        <v>1</v>
      </c>
      <c r="Q303">
        <v>1</v>
      </c>
      <c r="R303">
        <v>0</v>
      </c>
      <c r="S303">
        <v>1</v>
      </c>
      <c r="T303">
        <v>0</v>
      </c>
      <c r="U303" t="s">
        <v>6280</v>
      </c>
      <c r="V303">
        <f>Tabla1[[#This Row],[Aboard]]-Tabla1[[#This Row],[Fatalities]]</f>
        <v>0</v>
      </c>
      <c r="W303" s="50">
        <f>IFERROR(Tabla1[[#This Row],[Fatalities]]/Tabla1[[#This Row],[Aboard]],0)</f>
        <v>1</v>
      </c>
      <c r="X303" s="51" t="str" cm="1">
        <f t="array" ref="X303">_xlfn.IFS(Tabla1[[#This Row],[Porcentaje de muertes]]&lt;0.35,"LEVE",AND(Tabla1[[#This Row],[Porcentaje de muertes]]&gt;0.35,Tabla1[[#This Row],[Porcentaje de muertes]]&lt;0.65),"MEDIO",Tabla1[[#This Row],[Porcentaje de muertes]]&gt;0.65,"GRAVE")</f>
        <v>GRAVE</v>
      </c>
    </row>
    <row r="304" spans="2:24" x14ac:dyDescent="0.3">
      <c r="B304" s="9">
        <v>302</v>
      </c>
      <c r="C304" s="49">
        <v>12049</v>
      </c>
      <c r="D304" s="9">
        <f>YEAR(Tabla1[[#This Row],[Date]])</f>
        <v>1932</v>
      </c>
      <c r="E304" s="9" t="str" cm="1">
        <f t="array" ref="E304">IFERROR(_xlfn.IFS(AND(D304&lt;1980,D304&gt;=1970),"70",AND(D304&lt;1990,D304&gt;=1980),"80",AND(D304&lt;2000,D304&gt;=1990),"90",AND(D304&lt;2010,D304&gt;=2000),"00",AND(D304&lt;=2019,D304&gt;=2010),"10"),"1908-1970")</f>
        <v>1908-1970</v>
      </c>
      <c r="F304" s="3" t="s">
        <v>28931</v>
      </c>
      <c r="G304" t="s">
        <v>6281</v>
      </c>
      <c r="H304" t="s">
        <v>6282</v>
      </c>
      <c r="I304" t="s">
        <v>28931</v>
      </c>
      <c r="J304" t="s">
        <v>28931</v>
      </c>
      <c r="K304" t="s">
        <v>6283</v>
      </c>
      <c r="L304" s="7" t="s">
        <v>6284</v>
      </c>
      <c r="M304">
        <v>1372</v>
      </c>
      <c r="N304">
        <v>1</v>
      </c>
      <c r="O304">
        <v>0</v>
      </c>
      <c r="P304">
        <v>1</v>
      </c>
      <c r="Q304">
        <v>1</v>
      </c>
      <c r="R304">
        <v>0</v>
      </c>
      <c r="S304">
        <v>1</v>
      </c>
      <c r="T304">
        <v>0</v>
      </c>
      <c r="U304" t="s">
        <v>6285</v>
      </c>
      <c r="V304">
        <f>Tabla1[[#This Row],[Aboard]]-Tabla1[[#This Row],[Fatalities]]</f>
        <v>0</v>
      </c>
      <c r="W304" s="50">
        <f>IFERROR(Tabla1[[#This Row],[Fatalities]]/Tabla1[[#This Row],[Aboard]],0)</f>
        <v>1</v>
      </c>
      <c r="X304" s="51" t="str" cm="1">
        <f t="array" ref="X304">_xlfn.IFS(Tabla1[[#This Row],[Porcentaje de muertes]]&lt;0.35,"LEVE",AND(Tabla1[[#This Row],[Porcentaje de muertes]]&gt;0.35,Tabla1[[#This Row],[Porcentaje de muertes]]&lt;0.65),"MEDIO",Tabla1[[#This Row],[Porcentaje de muertes]]&gt;0.65,"GRAVE")</f>
        <v>GRAVE</v>
      </c>
    </row>
    <row r="305" spans="2:24" x14ac:dyDescent="0.3">
      <c r="B305" s="9">
        <v>303</v>
      </c>
      <c r="C305" s="49">
        <v>12328</v>
      </c>
      <c r="D305" s="9">
        <f>YEAR(Tabla1[[#This Row],[Date]])</f>
        <v>1933</v>
      </c>
      <c r="E305" s="9" t="str" cm="1">
        <f t="array" ref="E305">IFERROR(_xlfn.IFS(AND(D305&lt;1980,D305&gt;=1970),"70",AND(D305&lt;1990,D305&gt;=1980),"80",AND(D305&lt;2000,D305&gt;=1990),"90",AND(D305&lt;2010,D305&gt;=2000),"00",AND(D305&lt;=2019,D305&gt;=2010),"10"),"1908-1970")</f>
        <v>1908-1970</v>
      </c>
      <c r="F305" s="3" t="s">
        <v>28931</v>
      </c>
      <c r="G305" t="s">
        <v>5749</v>
      </c>
      <c r="H305" t="s">
        <v>5182</v>
      </c>
      <c r="I305" t="s">
        <v>28931</v>
      </c>
      <c r="J305" t="s">
        <v>28931</v>
      </c>
      <c r="K305" t="s">
        <v>6228</v>
      </c>
      <c r="L305" s="7" t="s">
        <v>6286</v>
      </c>
      <c r="M305">
        <v>5</v>
      </c>
      <c r="N305">
        <v>3</v>
      </c>
      <c r="O305">
        <v>0</v>
      </c>
      <c r="P305">
        <v>3</v>
      </c>
      <c r="Q305">
        <v>1</v>
      </c>
      <c r="R305">
        <v>0</v>
      </c>
      <c r="S305">
        <v>1</v>
      </c>
      <c r="T305">
        <v>0</v>
      </c>
      <c r="U305" t="s">
        <v>6287</v>
      </c>
      <c r="V305">
        <f>Tabla1[[#This Row],[Aboard]]-Tabla1[[#This Row],[Fatalities]]</f>
        <v>2</v>
      </c>
      <c r="W305" s="50">
        <f>IFERROR(Tabla1[[#This Row],[Fatalities]]/Tabla1[[#This Row],[Aboard]],0)</f>
        <v>0.33333333333333331</v>
      </c>
      <c r="X305" s="51" t="str" cm="1">
        <f t="array" ref="X305">_xlfn.IFS(Tabla1[[#This Row],[Porcentaje de muertes]]&lt;0.35,"LEVE",AND(Tabla1[[#This Row],[Porcentaje de muertes]]&gt;0.35,Tabla1[[#This Row],[Porcentaje de muertes]]&lt;0.65),"MEDIO",Tabla1[[#This Row],[Porcentaje de muertes]]&gt;0.65,"GRAVE")</f>
        <v>LEVE</v>
      </c>
    </row>
    <row r="306" spans="2:24" x14ac:dyDescent="0.3">
      <c r="B306" s="9">
        <v>304</v>
      </c>
      <c r="C306" s="49">
        <v>12068</v>
      </c>
      <c r="D306" s="9">
        <f>YEAR(Tabla1[[#This Row],[Date]])</f>
        <v>1933</v>
      </c>
      <c r="E306" s="9" t="str" cm="1">
        <f t="array" ref="E306">IFERROR(_xlfn.IFS(AND(D306&lt;1980,D306&gt;=1970),"70",AND(D306&lt;1990,D306&gt;=1980),"80",AND(D306&lt;2000,D306&gt;=1990),"90",AND(D306&lt;2010,D306&gt;=2000),"00",AND(D306&lt;=2019,D306&gt;=2010),"10"),"1908-1970")</f>
        <v>1908-1970</v>
      </c>
      <c r="F306" s="3" t="s">
        <v>28931</v>
      </c>
      <c r="G306" t="s">
        <v>5132</v>
      </c>
      <c r="H306" t="s">
        <v>6288</v>
      </c>
      <c r="I306" t="s">
        <v>28931</v>
      </c>
      <c r="J306" t="s">
        <v>5028</v>
      </c>
      <c r="K306" t="s">
        <v>6289</v>
      </c>
      <c r="L306" s="7" t="s">
        <v>6290</v>
      </c>
      <c r="M306">
        <v>1168</v>
      </c>
      <c r="N306">
        <v>2</v>
      </c>
      <c r="O306">
        <v>0</v>
      </c>
      <c r="P306">
        <v>2</v>
      </c>
      <c r="Q306">
        <v>2</v>
      </c>
      <c r="R306">
        <v>0</v>
      </c>
      <c r="S306">
        <v>2</v>
      </c>
      <c r="T306">
        <v>0</v>
      </c>
      <c r="U306" t="s">
        <v>6291</v>
      </c>
      <c r="V306">
        <f>Tabla1[[#This Row],[Aboard]]-Tabla1[[#This Row],[Fatalities]]</f>
        <v>0</v>
      </c>
      <c r="W306" s="50">
        <f>IFERROR(Tabla1[[#This Row],[Fatalities]]/Tabla1[[#This Row],[Aboard]],0)</f>
        <v>1</v>
      </c>
      <c r="X306" s="51" t="str" cm="1">
        <f t="array" ref="X306">_xlfn.IFS(Tabla1[[#This Row],[Porcentaje de muertes]]&lt;0.35,"LEVE",AND(Tabla1[[#This Row],[Porcentaje de muertes]]&gt;0.35,Tabla1[[#This Row],[Porcentaje de muertes]]&lt;0.65),"MEDIO",Tabla1[[#This Row],[Porcentaje de muertes]]&gt;0.65,"GRAVE")</f>
        <v>GRAVE</v>
      </c>
    </row>
    <row r="307" spans="2:24" x14ac:dyDescent="0.3">
      <c r="B307" s="9">
        <v>305</v>
      </c>
      <c r="C307" s="49">
        <v>12074</v>
      </c>
      <c r="D307" s="9">
        <f>YEAR(Tabla1[[#This Row],[Date]])</f>
        <v>1933</v>
      </c>
      <c r="E307" s="9" t="str" cm="1">
        <f t="array" ref="E307">IFERROR(_xlfn.IFS(AND(D307&lt;1980,D307&gt;=1970),"70",AND(D307&lt;1990,D307&gt;=1980),"80",AND(D307&lt;2000,D307&gt;=1990),"90",AND(D307&lt;2010,D307&gt;=2000),"00",AND(D307&lt;=2019,D307&gt;=2010),"10"),"1908-1970")</f>
        <v>1908-1970</v>
      </c>
      <c r="F307" s="3" t="s">
        <v>28931</v>
      </c>
      <c r="G307" t="s">
        <v>6292</v>
      </c>
      <c r="H307" t="s">
        <v>6089</v>
      </c>
      <c r="I307" t="s">
        <v>28931</v>
      </c>
      <c r="J307" t="s">
        <v>28931</v>
      </c>
      <c r="K307" t="s">
        <v>6293</v>
      </c>
      <c r="L307" s="7" t="s">
        <v>6294</v>
      </c>
      <c r="M307">
        <v>4039</v>
      </c>
      <c r="N307">
        <v>1</v>
      </c>
      <c r="O307">
        <v>0</v>
      </c>
      <c r="P307">
        <v>1</v>
      </c>
      <c r="Q307">
        <v>1</v>
      </c>
      <c r="R307">
        <v>0</v>
      </c>
      <c r="S307">
        <v>1</v>
      </c>
      <c r="T307">
        <v>0</v>
      </c>
      <c r="U307" t="s">
        <v>6295</v>
      </c>
      <c r="V307">
        <f>Tabla1[[#This Row],[Aboard]]-Tabla1[[#This Row],[Fatalities]]</f>
        <v>0</v>
      </c>
      <c r="W307" s="50">
        <f>IFERROR(Tabla1[[#This Row],[Fatalities]]/Tabla1[[#This Row],[Aboard]],0)</f>
        <v>1</v>
      </c>
      <c r="X307" s="51" t="str" cm="1">
        <f t="array" ref="X307">_xlfn.IFS(Tabla1[[#This Row],[Porcentaje de muertes]]&lt;0.35,"LEVE",AND(Tabla1[[#This Row],[Porcentaje de muertes]]&gt;0.35,Tabla1[[#This Row],[Porcentaje de muertes]]&lt;0.65),"MEDIO",Tabla1[[#This Row],[Porcentaje de muertes]]&gt;0.65,"GRAVE")</f>
        <v>GRAVE</v>
      </c>
    </row>
    <row r="308" spans="2:24" x14ac:dyDescent="0.3">
      <c r="B308" s="9">
        <v>306</v>
      </c>
      <c r="C308" s="49">
        <v>12074</v>
      </c>
      <c r="D308" s="9">
        <f>YEAR(Tabla1[[#This Row],[Date]])</f>
        <v>1933</v>
      </c>
      <c r="E308" s="9" t="str" cm="1">
        <f t="array" ref="E308">IFERROR(_xlfn.IFS(AND(D308&lt;1980,D308&gt;=1970),"70",AND(D308&lt;1990,D308&gt;=1980),"80",AND(D308&lt;2000,D308&gt;=1990),"90",AND(D308&lt;2010,D308&gt;=2000),"00",AND(D308&lt;=2019,D308&gt;=2010),"10"),"1908-1970")</f>
        <v>1908-1970</v>
      </c>
      <c r="F308" s="3">
        <v>8.819444444444445E-2</v>
      </c>
      <c r="G308" t="s">
        <v>6296</v>
      </c>
      <c r="H308" t="s">
        <v>6089</v>
      </c>
      <c r="I308" t="s">
        <v>28931</v>
      </c>
      <c r="J308" t="s">
        <v>6297</v>
      </c>
      <c r="K308" t="s">
        <v>6293</v>
      </c>
      <c r="L308" s="7" t="s">
        <v>6298</v>
      </c>
      <c r="M308">
        <v>4039</v>
      </c>
      <c r="N308">
        <v>1</v>
      </c>
      <c r="O308">
        <v>0</v>
      </c>
      <c r="P308">
        <v>1</v>
      </c>
      <c r="Q308">
        <v>1</v>
      </c>
      <c r="R308">
        <v>0</v>
      </c>
      <c r="S308">
        <v>1</v>
      </c>
      <c r="T308">
        <v>0</v>
      </c>
      <c r="U308" t="s">
        <v>6299</v>
      </c>
      <c r="V308">
        <f>Tabla1[[#This Row],[Aboard]]-Tabla1[[#This Row],[Fatalities]]</f>
        <v>0</v>
      </c>
      <c r="W308" s="50">
        <f>IFERROR(Tabla1[[#This Row],[Fatalities]]/Tabla1[[#This Row],[Aboard]],0)</f>
        <v>1</v>
      </c>
      <c r="X308" s="51" t="str" cm="1">
        <f t="array" ref="X308">_xlfn.IFS(Tabla1[[#This Row],[Porcentaje de muertes]]&lt;0.35,"LEVE",AND(Tabla1[[#This Row],[Porcentaje de muertes]]&gt;0.35,Tabla1[[#This Row],[Porcentaje de muertes]]&lt;0.65),"MEDIO",Tabla1[[#This Row],[Porcentaje de muertes]]&gt;0.65,"GRAVE")</f>
        <v>GRAVE</v>
      </c>
    </row>
    <row r="309" spans="2:24" x14ac:dyDescent="0.3">
      <c r="B309" s="9">
        <v>307</v>
      </c>
      <c r="C309" s="49">
        <v>12078</v>
      </c>
      <c r="D309" s="9">
        <f>YEAR(Tabla1[[#This Row],[Date]])</f>
        <v>1933</v>
      </c>
      <c r="E309" s="9" t="str" cm="1">
        <f t="array" ref="E309">IFERROR(_xlfn.IFS(AND(D309&lt;1980,D309&gt;=1970),"70",AND(D309&lt;1990,D309&gt;=1980),"80",AND(D309&lt;2000,D309&gt;=1990),"90",AND(D309&lt;2010,D309&gt;=2000),"00",AND(D309&lt;=2019,D309&gt;=2010),"10"),"1908-1970")</f>
        <v>1908-1970</v>
      </c>
      <c r="F309" s="3" t="s">
        <v>28931</v>
      </c>
      <c r="G309" t="s">
        <v>6300</v>
      </c>
      <c r="H309" t="s">
        <v>5445</v>
      </c>
      <c r="I309" t="s">
        <v>28931</v>
      </c>
      <c r="J309" t="s">
        <v>28931</v>
      </c>
      <c r="K309" t="s">
        <v>6301</v>
      </c>
      <c r="L309" s="7" t="s">
        <v>6302</v>
      </c>
      <c r="M309" t="s">
        <v>6303</v>
      </c>
      <c r="N309">
        <v>3</v>
      </c>
      <c r="O309">
        <v>1</v>
      </c>
      <c r="P309">
        <v>2</v>
      </c>
      <c r="Q309">
        <v>2</v>
      </c>
      <c r="R309">
        <v>0</v>
      </c>
      <c r="S309">
        <v>2</v>
      </c>
      <c r="T309">
        <v>0</v>
      </c>
      <c r="U309" t="s">
        <v>6304</v>
      </c>
      <c r="V309">
        <f>Tabla1[[#This Row],[Aboard]]-Tabla1[[#This Row],[Fatalities]]</f>
        <v>1</v>
      </c>
      <c r="W309" s="50">
        <f>IFERROR(Tabla1[[#This Row],[Fatalities]]/Tabla1[[#This Row],[Aboard]],0)</f>
        <v>0.66666666666666663</v>
      </c>
      <c r="X309" s="51" t="str" cm="1">
        <f t="array" ref="X309">_xlfn.IFS(Tabla1[[#This Row],[Porcentaje de muertes]]&lt;0.35,"LEVE",AND(Tabla1[[#This Row],[Porcentaje de muertes]]&gt;0.35,Tabla1[[#This Row],[Porcentaje de muertes]]&lt;0.65),"MEDIO",Tabla1[[#This Row],[Porcentaje de muertes]]&gt;0.65,"GRAVE")</f>
        <v>GRAVE</v>
      </c>
    </row>
    <row r="310" spans="2:24" x14ac:dyDescent="0.3">
      <c r="B310" s="9">
        <v>308</v>
      </c>
      <c r="C310" s="49">
        <v>12361</v>
      </c>
      <c r="D310" s="9">
        <f>YEAR(Tabla1[[#This Row],[Date]])</f>
        <v>1933</v>
      </c>
      <c r="E310" s="9" t="str" cm="1">
        <f t="array" ref="E310">IFERROR(_xlfn.IFS(AND(D310&lt;1980,D310&gt;=1970),"70",AND(D310&lt;1990,D310&gt;=1980),"80",AND(D310&lt;2000,D310&gt;=1990),"90",AND(D310&lt;2010,D310&gt;=2000),"00",AND(D310&lt;=2019,D310&gt;=2010),"10"),"1908-1970")</f>
        <v>1908-1970</v>
      </c>
      <c r="F310" s="3" t="s">
        <v>28931</v>
      </c>
      <c r="G310" t="s">
        <v>6305</v>
      </c>
      <c r="H310" t="s">
        <v>6306</v>
      </c>
      <c r="I310" t="s">
        <v>28931</v>
      </c>
      <c r="J310" t="s">
        <v>6307</v>
      </c>
      <c r="K310" t="s">
        <v>6308</v>
      </c>
      <c r="L310" s="7" t="s">
        <v>6309</v>
      </c>
      <c r="M310" t="s">
        <v>28931</v>
      </c>
      <c r="N310">
        <v>2</v>
      </c>
      <c r="O310">
        <v>0</v>
      </c>
      <c r="P310">
        <v>2</v>
      </c>
      <c r="Q310">
        <v>2</v>
      </c>
      <c r="R310">
        <v>0</v>
      </c>
      <c r="S310">
        <v>2</v>
      </c>
      <c r="T310">
        <v>0</v>
      </c>
      <c r="U310" t="s">
        <v>6310</v>
      </c>
      <c r="V310">
        <f>Tabla1[[#This Row],[Aboard]]-Tabla1[[#This Row],[Fatalities]]</f>
        <v>0</v>
      </c>
      <c r="W310" s="50">
        <f>IFERROR(Tabla1[[#This Row],[Fatalities]]/Tabla1[[#This Row],[Aboard]],0)</f>
        <v>1</v>
      </c>
      <c r="X310" s="51" t="str" cm="1">
        <f t="array" ref="X310">_xlfn.IFS(Tabla1[[#This Row],[Porcentaje de muertes]]&lt;0.35,"LEVE",AND(Tabla1[[#This Row],[Porcentaje de muertes]]&gt;0.35,Tabla1[[#This Row],[Porcentaje de muertes]]&lt;0.65),"MEDIO",Tabla1[[#This Row],[Porcentaje de muertes]]&gt;0.65,"GRAVE")</f>
        <v>GRAVE</v>
      </c>
    </row>
    <row r="311" spans="2:24" x14ac:dyDescent="0.3">
      <c r="B311" s="9">
        <v>309</v>
      </c>
      <c r="C311" s="49">
        <v>12138</v>
      </c>
      <c r="D311" s="9">
        <f>YEAR(Tabla1[[#This Row],[Date]])</f>
        <v>1933</v>
      </c>
      <c r="E311" s="9" t="str" cm="1">
        <f t="array" ref="E311">IFERROR(_xlfn.IFS(AND(D311&lt;1980,D311&gt;=1970),"70",AND(D311&lt;1990,D311&gt;=1980),"80",AND(D311&lt;2000,D311&gt;=1990),"90",AND(D311&lt;2010,D311&gt;=2000),"00",AND(D311&lt;=2019,D311&gt;=2010),"10"),"1908-1970")</f>
        <v>1908-1970</v>
      </c>
      <c r="F311" s="3">
        <v>0.83819444444444446</v>
      </c>
      <c r="G311" t="s">
        <v>6311</v>
      </c>
      <c r="H311" t="s">
        <v>6312</v>
      </c>
      <c r="I311" t="s">
        <v>28931</v>
      </c>
      <c r="J311" t="s">
        <v>6313</v>
      </c>
      <c r="K311" t="s">
        <v>6121</v>
      </c>
      <c r="L311" s="7" t="s">
        <v>6314</v>
      </c>
      <c r="M311">
        <v>184</v>
      </c>
      <c r="N311">
        <v>3</v>
      </c>
      <c r="O311">
        <v>2</v>
      </c>
      <c r="P311">
        <v>1</v>
      </c>
      <c r="Q311">
        <v>3</v>
      </c>
      <c r="R311">
        <v>2</v>
      </c>
      <c r="S311">
        <v>1</v>
      </c>
      <c r="T311">
        <v>11</v>
      </c>
      <c r="U311" t="s">
        <v>6315</v>
      </c>
      <c r="V311">
        <f>Tabla1[[#This Row],[Aboard]]-Tabla1[[#This Row],[Fatalities]]</f>
        <v>0</v>
      </c>
      <c r="W311" s="50">
        <f>IFERROR(Tabla1[[#This Row],[Fatalities]]/Tabla1[[#This Row],[Aboard]],0)</f>
        <v>1</v>
      </c>
      <c r="X311" s="51" t="str" cm="1">
        <f t="array" ref="X311">_xlfn.IFS(Tabla1[[#This Row],[Porcentaje de muertes]]&lt;0.35,"LEVE",AND(Tabla1[[#This Row],[Porcentaje de muertes]]&gt;0.35,Tabla1[[#This Row],[Porcentaje de muertes]]&lt;0.65),"MEDIO",Tabla1[[#This Row],[Porcentaje de muertes]]&gt;0.65,"GRAVE")</f>
        <v>GRAVE</v>
      </c>
    </row>
    <row r="312" spans="2:24" x14ac:dyDescent="0.3">
      <c r="B312" s="9">
        <v>310</v>
      </c>
      <c r="C312" s="49">
        <v>12141</v>
      </c>
      <c r="D312" s="9">
        <f>YEAR(Tabla1[[#This Row],[Date]])</f>
        <v>1933</v>
      </c>
      <c r="E312" s="9" t="str" cm="1">
        <f t="array" ref="E312">IFERROR(_xlfn.IFS(AND(D312&lt;1980,D312&gt;=1970),"70",AND(D312&lt;1990,D312&gt;=1980),"80",AND(D312&lt;2000,D312&gt;=1990),"90",AND(D312&lt;2010,D312&gt;=2000),"00",AND(D312&lt;=2019,D312&gt;=2010),"10"),"1908-1970")</f>
        <v>1908-1970</v>
      </c>
      <c r="F312" s="3">
        <v>0.60416666666666663</v>
      </c>
      <c r="G312" t="s">
        <v>6316</v>
      </c>
      <c r="H312" t="s">
        <v>5350</v>
      </c>
      <c r="I312" t="s">
        <v>28931</v>
      </c>
      <c r="J312" t="s">
        <v>6317</v>
      </c>
      <c r="K312" t="s">
        <v>6318</v>
      </c>
      <c r="L312" s="7" t="s">
        <v>6319</v>
      </c>
      <c r="M312" t="s">
        <v>6320</v>
      </c>
      <c r="N312">
        <v>15</v>
      </c>
      <c r="O312">
        <v>12</v>
      </c>
      <c r="P312">
        <v>3</v>
      </c>
      <c r="Q312">
        <v>15</v>
      </c>
      <c r="R312">
        <v>12</v>
      </c>
      <c r="S312">
        <v>3</v>
      </c>
      <c r="T312">
        <v>0</v>
      </c>
      <c r="U312" t="s">
        <v>6321</v>
      </c>
      <c r="V312">
        <f>Tabla1[[#This Row],[Aboard]]-Tabla1[[#This Row],[Fatalities]]</f>
        <v>0</v>
      </c>
      <c r="W312" s="50">
        <f>IFERROR(Tabla1[[#This Row],[Fatalities]]/Tabla1[[#This Row],[Aboard]],0)</f>
        <v>1</v>
      </c>
      <c r="X312" s="51" t="str" cm="1">
        <f t="array" ref="X312">_xlfn.IFS(Tabla1[[#This Row],[Porcentaje de muertes]]&lt;0.35,"LEVE",AND(Tabla1[[#This Row],[Porcentaje de muertes]]&gt;0.35,Tabla1[[#This Row],[Porcentaje de muertes]]&lt;0.65),"MEDIO",Tabla1[[#This Row],[Porcentaje de muertes]]&gt;0.65,"GRAVE")</f>
        <v>GRAVE</v>
      </c>
    </row>
    <row r="313" spans="2:24" x14ac:dyDescent="0.3">
      <c r="B313" s="9">
        <v>311</v>
      </c>
      <c r="C313" s="49">
        <v>12117</v>
      </c>
      <c r="D313" s="9">
        <f>YEAR(Tabla1[[#This Row],[Date]])</f>
        <v>1933</v>
      </c>
      <c r="E313" s="9" t="str" cm="1">
        <f t="array" ref="E313">IFERROR(_xlfn.IFS(AND(D313&lt;1980,D313&gt;=1970),"70",AND(D313&lt;1990,D313&gt;=1980),"80",AND(D313&lt;2000,D313&gt;=1990),"90",AND(D313&lt;2010,D313&gt;=2000),"00",AND(D313&lt;=2019,D313&gt;=2010),"10"),"1908-1970")</f>
        <v>1908-1970</v>
      </c>
      <c r="F313" s="3" t="s">
        <v>28931</v>
      </c>
      <c r="G313" t="s">
        <v>6322</v>
      </c>
      <c r="H313" t="s">
        <v>5417</v>
      </c>
      <c r="I313" t="s">
        <v>28931</v>
      </c>
      <c r="J313" t="s">
        <v>28931</v>
      </c>
      <c r="K313" t="s">
        <v>5157</v>
      </c>
      <c r="L313" s="7" t="s">
        <v>6323</v>
      </c>
      <c r="M313" t="s">
        <v>28931</v>
      </c>
      <c r="N313">
        <v>2</v>
      </c>
      <c r="O313">
        <v>1</v>
      </c>
      <c r="P313">
        <v>1</v>
      </c>
      <c r="Q313">
        <v>1</v>
      </c>
      <c r="R313">
        <v>1</v>
      </c>
      <c r="S313">
        <v>0</v>
      </c>
      <c r="T313">
        <v>0</v>
      </c>
      <c r="U313" t="s">
        <v>5274</v>
      </c>
      <c r="V313">
        <f>Tabla1[[#This Row],[Aboard]]-Tabla1[[#This Row],[Fatalities]]</f>
        <v>1</v>
      </c>
      <c r="W313" s="50">
        <f>IFERROR(Tabla1[[#This Row],[Fatalities]]/Tabla1[[#This Row],[Aboard]],0)</f>
        <v>0.5</v>
      </c>
      <c r="X313" s="51" t="str" cm="1">
        <f t="array" ref="X313">_xlfn.IFS(Tabla1[[#This Row],[Porcentaje de muertes]]&lt;0.35,"LEVE",AND(Tabla1[[#This Row],[Porcentaje de muertes]]&gt;0.35,Tabla1[[#This Row],[Porcentaje de muertes]]&lt;0.65),"MEDIO",Tabla1[[#This Row],[Porcentaje de muertes]]&gt;0.65,"GRAVE")</f>
        <v>MEDIO</v>
      </c>
    </row>
    <row r="314" spans="2:24" x14ac:dyDescent="0.3">
      <c r="B314" s="9">
        <v>312</v>
      </c>
      <c r="C314" s="49">
        <v>12148</v>
      </c>
      <c r="D314" s="9">
        <f>YEAR(Tabla1[[#This Row],[Date]])</f>
        <v>1933</v>
      </c>
      <c r="E314" s="9" t="str" cm="1">
        <f t="array" ref="E314">IFERROR(_xlfn.IFS(AND(D314&lt;1980,D314&gt;=1970),"70",AND(D314&lt;1990,D314&gt;=1980),"80",AND(D314&lt;2000,D314&gt;=1990),"90",AND(D314&lt;2010,D314&gt;=2000),"00",AND(D314&lt;=2019,D314&gt;=2010),"10"),"1908-1970")</f>
        <v>1908-1970</v>
      </c>
      <c r="F314" s="3">
        <v>0.52083333333333337</v>
      </c>
      <c r="G314" t="s">
        <v>6324</v>
      </c>
      <c r="H314" t="s">
        <v>5027</v>
      </c>
      <c r="I314" t="s">
        <v>28931</v>
      </c>
      <c r="J314" t="s">
        <v>28931</v>
      </c>
      <c r="K314" t="s">
        <v>6325</v>
      </c>
      <c r="L314" s="7" t="s">
        <v>6326</v>
      </c>
      <c r="M314" t="s">
        <v>28931</v>
      </c>
      <c r="N314">
        <v>76</v>
      </c>
      <c r="O314" t="s">
        <v>5038</v>
      </c>
      <c r="P314" t="s">
        <v>5038</v>
      </c>
      <c r="Q314">
        <v>73</v>
      </c>
      <c r="R314" t="s">
        <v>5038</v>
      </c>
      <c r="S314" t="s">
        <v>5038</v>
      </c>
      <c r="T314">
        <v>0</v>
      </c>
      <c r="U314" t="s">
        <v>6327</v>
      </c>
      <c r="V314">
        <f>Tabla1[[#This Row],[Aboard]]-Tabla1[[#This Row],[Fatalities]]</f>
        <v>3</v>
      </c>
      <c r="W314" s="50">
        <f>IFERROR(Tabla1[[#This Row],[Fatalities]]/Tabla1[[#This Row],[Aboard]],0)</f>
        <v>0.96052631578947367</v>
      </c>
      <c r="X314" s="51" t="str" cm="1">
        <f t="array" ref="X314">_xlfn.IFS(Tabla1[[#This Row],[Porcentaje de muertes]]&lt;0.35,"LEVE",AND(Tabla1[[#This Row],[Porcentaje de muertes]]&gt;0.35,Tabla1[[#This Row],[Porcentaje de muertes]]&lt;0.65),"MEDIO",Tabla1[[#This Row],[Porcentaje de muertes]]&gt;0.65,"GRAVE")</f>
        <v>GRAVE</v>
      </c>
    </row>
    <row r="315" spans="2:24" x14ac:dyDescent="0.3">
      <c r="B315" s="9">
        <v>313</v>
      </c>
      <c r="C315" s="49">
        <v>12167</v>
      </c>
      <c r="D315" s="9">
        <f>YEAR(Tabla1[[#This Row],[Date]])</f>
        <v>1933</v>
      </c>
      <c r="E315" s="9" t="str" cm="1">
        <f t="array" ref="E315">IFERROR(_xlfn.IFS(AND(D315&lt;1980,D315&gt;=1970),"70",AND(D315&lt;1990,D315&gt;=1980),"80",AND(D315&lt;2000,D315&gt;=1990),"90",AND(D315&lt;2010,D315&gt;=2000),"00",AND(D315&lt;=2019,D315&gt;=2010),"10"),"1908-1970")</f>
        <v>1908-1970</v>
      </c>
      <c r="F315" s="3">
        <v>0.31944444444444448</v>
      </c>
      <c r="G315" t="s">
        <v>6328</v>
      </c>
      <c r="H315" t="s">
        <v>5890</v>
      </c>
      <c r="I315" t="s">
        <v>28931</v>
      </c>
      <c r="J315" t="s">
        <v>6329</v>
      </c>
      <c r="K315" t="s">
        <v>6330</v>
      </c>
      <c r="L315" s="7" t="s">
        <v>6331</v>
      </c>
      <c r="M315">
        <v>29</v>
      </c>
      <c r="N315">
        <v>8</v>
      </c>
      <c r="O315">
        <v>5</v>
      </c>
      <c r="P315">
        <v>3</v>
      </c>
      <c r="Q315">
        <v>5</v>
      </c>
      <c r="R315">
        <v>2</v>
      </c>
      <c r="S315">
        <v>3</v>
      </c>
      <c r="T315">
        <v>0</v>
      </c>
      <c r="U315" t="s">
        <v>6332</v>
      </c>
      <c r="V315">
        <f>Tabla1[[#This Row],[Aboard]]-Tabla1[[#This Row],[Fatalities]]</f>
        <v>3</v>
      </c>
      <c r="W315" s="50">
        <f>IFERROR(Tabla1[[#This Row],[Fatalities]]/Tabla1[[#This Row],[Aboard]],0)</f>
        <v>0.625</v>
      </c>
      <c r="X315" s="51" t="str" cm="1">
        <f t="array" ref="X315">_xlfn.IFS(Tabla1[[#This Row],[Porcentaje de muertes]]&lt;0.35,"LEVE",AND(Tabla1[[#This Row],[Porcentaje de muertes]]&gt;0.35,Tabla1[[#This Row],[Porcentaje de muertes]]&lt;0.65),"MEDIO",Tabla1[[#This Row],[Porcentaje de muertes]]&gt;0.65,"GRAVE")</f>
        <v>MEDIO</v>
      </c>
    </row>
    <row r="316" spans="2:24" x14ac:dyDescent="0.3">
      <c r="B316" s="9">
        <v>314</v>
      </c>
      <c r="C316" s="49">
        <v>12173</v>
      </c>
      <c r="D316" s="9">
        <f>YEAR(Tabla1[[#This Row],[Date]])</f>
        <v>1933</v>
      </c>
      <c r="E316" s="9" t="str" cm="1">
        <f t="array" ref="E316">IFERROR(_xlfn.IFS(AND(D316&lt;1980,D316&gt;=1970),"70",AND(D316&lt;1990,D316&gt;=1980),"80",AND(D316&lt;2000,D316&gt;=1990),"90",AND(D316&lt;2010,D316&gt;=2000),"00",AND(D316&lt;=2019,D316&gt;=2010),"10"),"1908-1970")</f>
        <v>1908-1970</v>
      </c>
      <c r="F316" s="3" t="s">
        <v>28931</v>
      </c>
      <c r="G316" t="s">
        <v>6333</v>
      </c>
      <c r="H316" t="s">
        <v>6334</v>
      </c>
      <c r="I316" t="s">
        <v>28931</v>
      </c>
      <c r="J316" t="s">
        <v>28931</v>
      </c>
      <c r="K316" t="s">
        <v>6060</v>
      </c>
      <c r="L316" s="7" t="s">
        <v>6335</v>
      </c>
      <c r="M316">
        <v>2737</v>
      </c>
      <c r="N316">
        <v>4</v>
      </c>
      <c r="O316">
        <v>2</v>
      </c>
      <c r="P316">
        <v>2</v>
      </c>
      <c r="Q316">
        <v>4</v>
      </c>
      <c r="R316">
        <v>2</v>
      </c>
      <c r="S316">
        <v>2</v>
      </c>
      <c r="T316">
        <v>0</v>
      </c>
      <c r="U316" t="s">
        <v>6336</v>
      </c>
      <c r="V316">
        <f>Tabla1[[#This Row],[Aboard]]-Tabla1[[#This Row],[Fatalities]]</f>
        <v>0</v>
      </c>
      <c r="W316" s="50">
        <f>IFERROR(Tabla1[[#This Row],[Fatalities]]/Tabla1[[#This Row],[Aboard]],0)</f>
        <v>1</v>
      </c>
      <c r="X316" s="51" t="str" cm="1">
        <f t="array" ref="X316">_xlfn.IFS(Tabla1[[#This Row],[Porcentaje de muertes]]&lt;0.35,"LEVE",AND(Tabla1[[#This Row],[Porcentaje de muertes]]&gt;0.35,Tabla1[[#This Row],[Porcentaje de muertes]]&lt;0.65),"MEDIO",Tabla1[[#This Row],[Porcentaje de muertes]]&gt;0.65,"GRAVE")</f>
        <v>GRAVE</v>
      </c>
    </row>
    <row r="317" spans="2:24" x14ac:dyDescent="0.3">
      <c r="B317" s="9">
        <v>315</v>
      </c>
      <c r="C317" s="49">
        <v>12302</v>
      </c>
      <c r="D317" s="9">
        <f>YEAR(Tabla1[[#This Row],[Date]])</f>
        <v>1933</v>
      </c>
      <c r="E317" s="9" t="str" cm="1">
        <f t="array" ref="E317">IFERROR(_xlfn.IFS(AND(D317&lt;1980,D317&gt;=1970),"70",AND(D317&lt;1990,D317&gt;=1980),"80",AND(D317&lt;2000,D317&gt;=1990),"90",AND(D317&lt;2010,D317&gt;=2000),"00",AND(D317&lt;=2019,D317&gt;=2010),"10"),"1908-1970")</f>
        <v>1908-1970</v>
      </c>
      <c r="F317" s="3">
        <v>0.625</v>
      </c>
      <c r="G317" t="s">
        <v>6337</v>
      </c>
      <c r="H317" t="s">
        <v>6338</v>
      </c>
      <c r="I317" t="s">
        <v>28931</v>
      </c>
      <c r="J317" t="s">
        <v>6339</v>
      </c>
      <c r="K317" t="s">
        <v>6340</v>
      </c>
      <c r="L317" s="7" t="s">
        <v>6341</v>
      </c>
      <c r="M317">
        <v>1701</v>
      </c>
      <c r="N317">
        <v>6</v>
      </c>
      <c r="O317">
        <v>3</v>
      </c>
      <c r="P317">
        <v>3</v>
      </c>
      <c r="Q317">
        <v>6</v>
      </c>
      <c r="R317">
        <v>3</v>
      </c>
      <c r="S317">
        <v>3</v>
      </c>
      <c r="T317">
        <v>0</v>
      </c>
      <c r="U317" t="s">
        <v>6342</v>
      </c>
      <c r="V317">
        <f>Tabla1[[#This Row],[Aboard]]-Tabla1[[#This Row],[Fatalities]]</f>
        <v>0</v>
      </c>
      <c r="W317" s="50">
        <f>IFERROR(Tabla1[[#This Row],[Fatalities]]/Tabla1[[#This Row],[Aboard]],0)</f>
        <v>1</v>
      </c>
      <c r="X317" s="51" t="str" cm="1">
        <f t="array" ref="X317">_xlfn.IFS(Tabla1[[#This Row],[Porcentaje de muertes]]&lt;0.35,"LEVE",AND(Tabla1[[#This Row],[Porcentaje de muertes]]&gt;0.35,Tabla1[[#This Row],[Porcentaje de muertes]]&lt;0.65),"MEDIO",Tabla1[[#This Row],[Porcentaje de muertes]]&gt;0.65,"GRAVE")</f>
        <v>GRAVE</v>
      </c>
    </row>
    <row r="318" spans="2:24" x14ac:dyDescent="0.3">
      <c r="B318" s="9">
        <v>316</v>
      </c>
      <c r="C318" s="49">
        <v>12150</v>
      </c>
      <c r="D318" s="9">
        <f>YEAR(Tabla1[[#This Row],[Date]])</f>
        <v>1933</v>
      </c>
      <c r="E318" s="9" t="str" cm="1">
        <f t="array" ref="E318">IFERROR(_xlfn.IFS(AND(D318&lt;1980,D318&gt;=1970),"70",AND(D318&lt;1990,D318&gt;=1980),"80",AND(D318&lt;2000,D318&gt;=1990),"90",AND(D318&lt;2010,D318&gt;=2000),"00",AND(D318&lt;=2019,D318&gt;=2010),"10"),"1908-1970")</f>
        <v>1908-1970</v>
      </c>
      <c r="F318" s="3">
        <v>0.13541666666666666</v>
      </c>
      <c r="G318" t="s">
        <v>6343</v>
      </c>
      <c r="H318" t="s">
        <v>6288</v>
      </c>
      <c r="I318" t="s">
        <v>28931</v>
      </c>
      <c r="J318" t="s">
        <v>28931</v>
      </c>
      <c r="K318" t="s">
        <v>6344</v>
      </c>
      <c r="L318" s="7" t="s">
        <v>28931</v>
      </c>
      <c r="M318" t="s">
        <v>28931</v>
      </c>
      <c r="N318">
        <v>1</v>
      </c>
      <c r="O318">
        <v>0</v>
      </c>
      <c r="P318">
        <v>1</v>
      </c>
      <c r="Q318">
        <v>1</v>
      </c>
      <c r="R318">
        <v>0</v>
      </c>
      <c r="S318">
        <v>1</v>
      </c>
      <c r="T318">
        <v>0</v>
      </c>
      <c r="U318" t="s">
        <v>6345</v>
      </c>
      <c r="V318">
        <f>Tabla1[[#This Row],[Aboard]]-Tabla1[[#This Row],[Fatalities]]</f>
        <v>0</v>
      </c>
      <c r="W318" s="50">
        <f>IFERROR(Tabla1[[#This Row],[Fatalities]]/Tabla1[[#This Row],[Aboard]],0)</f>
        <v>1</v>
      </c>
      <c r="X318" s="51" t="str" cm="1">
        <f t="array" ref="X318">_xlfn.IFS(Tabla1[[#This Row],[Porcentaje de muertes]]&lt;0.35,"LEVE",AND(Tabla1[[#This Row],[Porcentaje de muertes]]&gt;0.35,Tabla1[[#This Row],[Porcentaje de muertes]]&lt;0.65),"MEDIO",Tabla1[[#This Row],[Porcentaje de muertes]]&gt;0.65,"GRAVE")</f>
        <v>GRAVE</v>
      </c>
    </row>
    <row r="319" spans="2:24" x14ac:dyDescent="0.3">
      <c r="B319" s="9">
        <v>317</v>
      </c>
      <c r="C319" s="49">
        <v>12364</v>
      </c>
      <c r="D319" s="9">
        <f>YEAR(Tabla1[[#This Row],[Date]])</f>
        <v>1933</v>
      </c>
      <c r="E319" s="9" t="str" cm="1">
        <f t="array" ref="E319">IFERROR(_xlfn.IFS(AND(D319&lt;1980,D319&gt;=1970),"70",AND(D319&lt;1990,D319&gt;=1980),"80",AND(D319&lt;2000,D319&gt;=1990),"90",AND(D319&lt;2010,D319&gt;=2000),"00",AND(D319&lt;=2019,D319&gt;=2010),"10"),"1908-1970")</f>
        <v>1908-1970</v>
      </c>
      <c r="F319" s="3">
        <v>0.70833333333333337</v>
      </c>
      <c r="G319" t="s">
        <v>6346</v>
      </c>
      <c r="H319" t="s">
        <v>6347</v>
      </c>
      <c r="I319" t="s">
        <v>28931</v>
      </c>
      <c r="J319" t="s">
        <v>5494</v>
      </c>
      <c r="K319" t="s">
        <v>6348</v>
      </c>
      <c r="L319" s="7" t="s">
        <v>6349</v>
      </c>
      <c r="M319" t="s">
        <v>28931</v>
      </c>
      <c r="N319">
        <v>9</v>
      </c>
      <c r="O319">
        <v>7</v>
      </c>
      <c r="P319">
        <v>2</v>
      </c>
      <c r="Q319">
        <v>9</v>
      </c>
      <c r="R319">
        <v>7</v>
      </c>
      <c r="S319">
        <v>2</v>
      </c>
      <c r="T319">
        <v>0</v>
      </c>
      <c r="U319" t="s">
        <v>6350</v>
      </c>
      <c r="V319">
        <f>Tabla1[[#This Row],[Aboard]]-Tabla1[[#This Row],[Fatalities]]</f>
        <v>0</v>
      </c>
      <c r="W319" s="50">
        <f>IFERROR(Tabla1[[#This Row],[Fatalities]]/Tabla1[[#This Row],[Aboard]],0)</f>
        <v>1</v>
      </c>
      <c r="X319" s="51" t="str" cm="1">
        <f t="array" ref="X319">_xlfn.IFS(Tabla1[[#This Row],[Porcentaje de muertes]]&lt;0.35,"LEVE",AND(Tabla1[[#This Row],[Porcentaje de muertes]]&gt;0.35,Tabla1[[#This Row],[Porcentaje de muertes]]&lt;0.65),"MEDIO",Tabla1[[#This Row],[Porcentaje de muertes]]&gt;0.65,"GRAVE")</f>
        <v>GRAVE</v>
      </c>
    </row>
    <row r="320" spans="2:24" x14ac:dyDescent="0.3">
      <c r="B320" s="9">
        <v>318</v>
      </c>
      <c r="C320" s="49">
        <v>12253</v>
      </c>
      <c r="D320" s="9">
        <f>YEAR(Tabla1[[#This Row],[Date]])</f>
        <v>1933</v>
      </c>
      <c r="E320" s="9" t="str" cm="1">
        <f t="array" ref="E320">IFERROR(_xlfn.IFS(AND(D320&lt;1980,D320&gt;=1970),"70",AND(D320&lt;1990,D320&gt;=1980),"80",AND(D320&lt;2000,D320&gt;=1990),"90",AND(D320&lt;2010,D320&gt;=2000),"00",AND(D320&lt;=2019,D320&gt;=2010),"10"),"1908-1970")</f>
        <v>1908-1970</v>
      </c>
      <c r="F320" s="3">
        <v>0.65277777777777779</v>
      </c>
      <c r="G320" t="s">
        <v>6351</v>
      </c>
      <c r="H320" t="s">
        <v>6352</v>
      </c>
      <c r="I320" t="s">
        <v>28931</v>
      </c>
      <c r="J320" t="s">
        <v>6353</v>
      </c>
      <c r="K320" t="s">
        <v>6354</v>
      </c>
      <c r="L320" s="7" t="s">
        <v>6355</v>
      </c>
      <c r="M320">
        <v>127</v>
      </c>
      <c r="N320">
        <v>6</v>
      </c>
      <c r="O320">
        <v>2</v>
      </c>
      <c r="P320">
        <v>4</v>
      </c>
      <c r="Q320">
        <v>6</v>
      </c>
      <c r="R320">
        <v>2</v>
      </c>
      <c r="S320">
        <v>4</v>
      </c>
      <c r="T320">
        <v>0</v>
      </c>
      <c r="U320" t="s">
        <v>6356</v>
      </c>
      <c r="V320">
        <f>Tabla1[[#This Row],[Aboard]]-Tabla1[[#This Row],[Fatalities]]</f>
        <v>0</v>
      </c>
      <c r="W320" s="50">
        <f>IFERROR(Tabla1[[#This Row],[Fatalities]]/Tabla1[[#This Row],[Aboard]],0)</f>
        <v>1</v>
      </c>
      <c r="X320" s="51" t="str" cm="1">
        <f t="array" ref="X320">_xlfn.IFS(Tabla1[[#This Row],[Porcentaje de muertes]]&lt;0.35,"LEVE",AND(Tabla1[[#This Row],[Porcentaje de muertes]]&gt;0.35,Tabla1[[#This Row],[Porcentaje de muertes]]&lt;0.65),"MEDIO",Tabla1[[#This Row],[Porcentaje de muertes]]&gt;0.65,"GRAVE")</f>
        <v>GRAVE</v>
      </c>
    </row>
    <row r="321" spans="2:24" x14ac:dyDescent="0.3">
      <c r="B321" s="9">
        <v>319</v>
      </c>
      <c r="C321" s="49">
        <v>12295</v>
      </c>
      <c r="D321" s="9">
        <f>YEAR(Tabla1[[#This Row],[Date]])</f>
        <v>1933</v>
      </c>
      <c r="E321" s="9" t="str" cm="1">
        <f t="array" ref="E321">IFERROR(_xlfn.IFS(AND(D321&lt;1980,D321&gt;=1970),"70",AND(D321&lt;1990,D321&gt;=1980),"80",AND(D321&lt;2000,D321&gt;=1990),"90",AND(D321&lt;2010,D321&gt;=2000),"00",AND(D321&lt;=2019,D321&gt;=2010),"10"),"1908-1970")</f>
        <v>1908-1970</v>
      </c>
      <c r="F321" s="3">
        <v>4.1666666666666664E-2</v>
      </c>
      <c r="G321" t="s">
        <v>6357</v>
      </c>
      <c r="H321" t="s">
        <v>6044</v>
      </c>
      <c r="I321" t="s">
        <v>28931</v>
      </c>
      <c r="J321" t="s">
        <v>6358</v>
      </c>
      <c r="K321" t="s">
        <v>5722</v>
      </c>
      <c r="L321" s="7" t="s">
        <v>6359</v>
      </c>
      <c r="M321" t="s">
        <v>6360</v>
      </c>
      <c r="N321">
        <v>5</v>
      </c>
      <c r="O321">
        <v>3</v>
      </c>
      <c r="P321">
        <v>2</v>
      </c>
      <c r="Q321">
        <v>5</v>
      </c>
      <c r="R321">
        <v>3</v>
      </c>
      <c r="S321">
        <v>2</v>
      </c>
      <c r="T321">
        <v>0</v>
      </c>
      <c r="U321" t="s">
        <v>6361</v>
      </c>
      <c r="V321">
        <f>Tabla1[[#This Row],[Aboard]]-Tabla1[[#This Row],[Fatalities]]</f>
        <v>0</v>
      </c>
      <c r="W321" s="50">
        <f>IFERROR(Tabla1[[#This Row],[Fatalities]]/Tabla1[[#This Row],[Aboard]],0)</f>
        <v>1</v>
      </c>
      <c r="X321" s="51" t="str" cm="1">
        <f t="array" ref="X321">_xlfn.IFS(Tabla1[[#This Row],[Porcentaje de muertes]]&lt;0.35,"LEVE",AND(Tabla1[[#This Row],[Porcentaje de muertes]]&gt;0.35,Tabla1[[#This Row],[Porcentaje de muertes]]&lt;0.65),"MEDIO",Tabla1[[#This Row],[Porcentaje de muertes]]&gt;0.65,"GRAVE")</f>
        <v>GRAVE</v>
      </c>
    </row>
    <row r="322" spans="2:24" x14ac:dyDescent="0.3">
      <c r="B322" s="9">
        <v>320</v>
      </c>
      <c r="C322" s="49">
        <v>12397</v>
      </c>
      <c r="D322" s="9">
        <f>YEAR(Tabla1[[#This Row],[Date]])</f>
        <v>1933</v>
      </c>
      <c r="E322" s="9" t="str" cm="1">
        <f t="array" ref="E322">IFERROR(_xlfn.IFS(AND(D322&lt;1980,D322&gt;=1970),"70",AND(D322&lt;1990,D322&gt;=1980),"80",AND(D322&lt;2000,D322&gt;=1990),"90",AND(D322&lt;2010,D322&gt;=2000),"00",AND(D322&lt;=2019,D322&gt;=2010),"10"),"1908-1970")</f>
        <v>1908-1970</v>
      </c>
      <c r="F322" s="3" t="s">
        <v>28931</v>
      </c>
      <c r="G322" t="s">
        <v>6362</v>
      </c>
      <c r="H322" t="s">
        <v>6363</v>
      </c>
      <c r="I322" t="s">
        <v>28931</v>
      </c>
      <c r="J322" t="s">
        <v>6364</v>
      </c>
      <c r="K322" t="s">
        <v>6365</v>
      </c>
      <c r="L322" s="7" t="s">
        <v>6366</v>
      </c>
      <c r="M322" t="s">
        <v>28931</v>
      </c>
      <c r="N322">
        <v>8</v>
      </c>
      <c r="O322">
        <v>6</v>
      </c>
      <c r="P322">
        <v>2</v>
      </c>
      <c r="Q322">
        <v>8</v>
      </c>
      <c r="R322">
        <v>6</v>
      </c>
      <c r="S322">
        <v>2</v>
      </c>
      <c r="T322">
        <v>0</v>
      </c>
      <c r="U322" t="s">
        <v>6367</v>
      </c>
      <c r="V322">
        <f>Tabla1[[#This Row],[Aboard]]-Tabla1[[#This Row],[Fatalities]]</f>
        <v>0</v>
      </c>
      <c r="W322" s="50">
        <f>IFERROR(Tabla1[[#This Row],[Fatalities]]/Tabla1[[#This Row],[Aboard]],0)</f>
        <v>1</v>
      </c>
      <c r="X322" s="51" t="str" cm="1">
        <f t="array" ref="X322">_xlfn.IFS(Tabla1[[#This Row],[Porcentaje de muertes]]&lt;0.35,"LEVE",AND(Tabla1[[#This Row],[Porcentaje de muertes]]&gt;0.35,Tabla1[[#This Row],[Porcentaje de muertes]]&lt;0.65),"MEDIO",Tabla1[[#This Row],[Porcentaje de muertes]]&gt;0.65,"GRAVE")</f>
        <v>GRAVE</v>
      </c>
    </row>
    <row r="323" spans="2:24" x14ac:dyDescent="0.3">
      <c r="B323" s="9">
        <v>321</v>
      </c>
      <c r="C323" s="49">
        <v>12337</v>
      </c>
      <c r="D323" s="9">
        <f>YEAR(Tabla1[[#This Row],[Date]])</f>
        <v>1933</v>
      </c>
      <c r="E323" s="9" t="str" cm="1">
        <f t="array" ref="E323">IFERROR(_xlfn.IFS(AND(D323&lt;1980,D323&gt;=1970),"70",AND(D323&lt;1990,D323&gt;=1980),"80",AND(D323&lt;2000,D323&gt;=1990),"90",AND(D323&lt;2010,D323&gt;=2000),"00",AND(D323&lt;=2019,D323&gt;=2010),"10"),"1908-1970")</f>
        <v>1908-1970</v>
      </c>
      <c r="F323" s="3">
        <v>0.875</v>
      </c>
      <c r="G323" t="s">
        <v>6368</v>
      </c>
      <c r="H323" t="s">
        <v>6369</v>
      </c>
      <c r="I323" t="s">
        <v>28931</v>
      </c>
      <c r="J323" t="s">
        <v>6370</v>
      </c>
      <c r="K323" t="s">
        <v>6371</v>
      </c>
      <c r="L323" s="7" t="s">
        <v>6372</v>
      </c>
      <c r="M323">
        <v>1685</v>
      </c>
      <c r="N323">
        <v>10</v>
      </c>
      <c r="O323">
        <v>7</v>
      </c>
      <c r="P323">
        <v>3</v>
      </c>
      <c r="Q323">
        <v>10</v>
      </c>
      <c r="R323">
        <v>7</v>
      </c>
      <c r="S323">
        <v>3</v>
      </c>
      <c r="T323">
        <v>0</v>
      </c>
      <c r="U323" t="s">
        <v>6373</v>
      </c>
      <c r="V323">
        <f>Tabla1[[#This Row],[Aboard]]-Tabla1[[#This Row],[Fatalities]]</f>
        <v>0</v>
      </c>
      <c r="W323" s="50">
        <f>IFERROR(Tabla1[[#This Row],[Fatalities]]/Tabla1[[#This Row],[Aboard]],0)</f>
        <v>1</v>
      </c>
      <c r="X323" s="51" t="str" cm="1">
        <f t="array" ref="X323">_xlfn.IFS(Tabla1[[#This Row],[Porcentaje de muertes]]&lt;0.35,"LEVE",AND(Tabla1[[#This Row],[Porcentaje de muertes]]&gt;0.35,Tabla1[[#This Row],[Porcentaje de muertes]]&lt;0.65),"MEDIO",Tabla1[[#This Row],[Porcentaje de muertes]]&gt;0.65,"GRAVE")</f>
        <v>GRAVE</v>
      </c>
    </row>
    <row r="324" spans="2:24" x14ac:dyDescent="0.3">
      <c r="B324" s="9">
        <v>322</v>
      </c>
      <c r="C324" s="49">
        <v>12358</v>
      </c>
      <c r="D324" s="9">
        <f>YEAR(Tabla1[[#This Row],[Date]])</f>
        <v>1933</v>
      </c>
      <c r="E324" s="9" t="str" cm="1">
        <f t="array" ref="E324">IFERROR(_xlfn.IFS(AND(D324&lt;1980,D324&gt;=1970),"70",AND(D324&lt;1990,D324&gt;=1980),"80",AND(D324&lt;2000,D324&gt;=1990),"90",AND(D324&lt;2010,D324&gt;=2000),"00",AND(D324&lt;=2019,D324&gt;=2010),"10"),"1908-1970")</f>
        <v>1908-1970</v>
      </c>
      <c r="F324" s="3">
        <v>0.47222222222222227</v>
      </c>
      <c r="G324" t="s">
        <v>6374</v>
      </c>
      <c r="H324" t="s">
        <v>6375</v>
      </c>
      <c r="I324" t="s">
        <v>28931</v>
      </c>
      <c r="J324" t="s">
        <v>6376</v>
      </c>
      <c r="K324" t="s">
        <v>6377</v>
      </c>
      <c r="L324" s="7" t="s">
        <v>6378</v>
      </c>
      <c r="M324">
        <v>4</v>
      </c>
      <c r="N324">
        <v>5</v>
      </c>
      <c r="O324">
        <v>2</v>
      </c>
      <c r="P324">
        <v>3</v>
      </c>
      <c r="Q324">
        <v>2</v>
      </c>
      <c r="R324">
        <v>1</v>
      </c>
      <c r="S324">
        <v>1</v>
      </c>
      <c r="T324">
        <v>0</v>
      </c>
      <c r="U324" t="s">
        <v>28927</v>
      </c>
      <c r="V324">
        <f>Tabla1[[#This Row],[Aboard]]-Tabla1[[#This Row],[Fatalities]]</f>
        <v>3</v>
      </c>
      <c r="W324" s="50">
        <f>IFERROR(Tabla1[[#This Row],[Fatalities]]/Tabla1[[#This Row],[Aboard]],0)</f>
        <v>0.4</v>
      </c>
      <c r="X324" s="51" t="str" cm="1">
        <f t="array" ref="X324">_xlfn.IFS(Tabla1[[#This Row],[Porcentaje de muertes]]&lt;0.35,"LEVE",AND(Tabla1[[#This Row],[Porcentaje de muertes]]&gt;0.35,Tabla1[[#This Row],[Porcentaje de muertes]]&lt;0.65),"MEDIO",Tabla1[[#This Row],[Porcentaje de muertes]]&gt;0.65,"GRAVE")</f>
        <v>MEDIO</v>
      </c>
    </row>
    <row r="325" spans="2:24" x14ac:dyDescent="0.3">
      <c r="B325" s="9">
        <v>323</v>
      </c>
      <c r="C325" s="49">
        <v>12308</v>
      </c>
      <c r="D325" s="9">
        <f>YEAR(Tabla1[[#This Row],[Date]])</f>
        <v>1933</v>
      </c>
      <c r="E325" s="9" t="str" cm="1">
        <f t="array" ref="E325">IFERROR(_xlfn.IFS(AND(D325&lt;1980,D325&gt;=1970),"70",AND(D325&lt;1990,D325&gt;=1980),"80",AND(D325&lt;2000,D325&gt;=1990),"90",AND(D325&lt;2010,D325&gt;=2000),"00",AND(D325&lt;=2019,D325&gt;=2010),"10"),"1908-1970")</f>
        <v>1908-1970</v>
      </c>
      <c r="F325" s="3">
        <v>0.94097222222222221</v>
      </c>
      <c r="G325" t="s">
        <v>6217</v>
      </c>
      <c r="H325" t="s">
        <v>6369</v>
      </c>
      <c r="I325" t="s">
        <v>28931</v>
      </c>
      <c r="J325" t="s">
        <v>6379</v>
      </c>
      <c r="K325" t="s">
        <v>6371</v>
      </c>
      <c r="L325" s="7" t="s">
        <v>6380</v>
      </c>
      <c r="M325">
        <v>1772</v>
      </c>
      <c r="N325">
        <v>10</v>
      </c>
      <c r="O325">
        <v>7</v>
      </c>
      <c r="P325">
        <v>3</v>
      </c>
      <c r="Q325">
        <v>4</v>
      </c>
      <c r="R325">
        <v>3</v>
      </c>
      <c r="S325">
        <v>1</v>
      </c>
      <c r="T325" t="s">
        <v>5038</v>
      </c>
      <c r="U325" t="s">
        <v>6381</v>
      </c>
      <c r="V325">
        <f>Tabla1[[#This Row],[Aboard]]-Tabla1[[#This Row],[Fatalities]]</f>
        <v>6</v>
      </c>
      <c r="W325" s="50">
        <f>IFERROR(Tabla1[[#This Row],[Fatalities]]/Tabla1[[#This Row],[Aboard]],0)</f>
        <v>0.4</v>
      </c>
      <c r="X325" s="51" t="str" cm="1">
        <f t="array" ref="X325">_xlfn.IFS(Tabla1[[#This Row],[Porcentaje de muertes]]&lt;0.35,"LEVE",AND(Tabla1[[#This Row],[Porcentaje de muertes]]&gt;0.35,Tabla1[[#This Row],[Porcentaje de muertes]]&lt;0.65),"MEDIO",Tabla1[[#This Row],[Porcentaje de muertes]]&gt;0.65,"GRAVE")</f>
        <v>MEDIO</v>
      </c>
    </row>
    <row r="326" spans="2:24" x14ac:dyDescent="0.3">
      <c r="B326" s="9">
        <v>324</v>
      </c>
      <c r="C326" s="49">
        <v>12338</v>
      </c>
      <c r="D326" s="9">
        <f>YEAR(Tabla1[[#This Row],[Date]])</f>
        <v>1933</v>
      </c>
      <c r="E326" s="9" t="str" cm="1">
        <f t="array" ref="E326">IFERROR(_xlfn.IFS(AND(D326&lt;1980,D326&gt;=1970),"70",AND(D326&lt;1990,D326&gt;=1980),"80",AND(D326&lt;2000,D326&gt;=1990),"90",AND(D326&lt;2010,D326&gt;=2000),"00",AND(D326&lt;=2019,D326&gt;=2010),"10"),"1908-1970")</f>
        <v>1908-1970</v>
      </c>
      <c r="F326" s="3" t="s">
        <v>28931</v>
      </c>
      <c r="G326" t="s">
        <v>6382</v>
      </c>
      <c r="H326" t="s">
        <v>6044</v>
      </c>
      <c r="I326" t="s">
        <v>28931</v>
      </c>
      <c r="J326" t="s">
        <v>28931</v>
      </c>
      <c r="K326" t="s">
        <v>6383</v>
      </c>
      <c r="L326" s="7" t="s">
        <v>6384</v>
      </c>
      <c r="M326">
        <v>3</v>
      </c>
      <c r="N326">
        <v>1</v>
      </c>
      <c r="O326">
        <v>0</v>
      </c>
      <c r="P326">
        <v>1</v>
      </c>
      <c r="Q326">
        <v>0</v>
      </c>
      <c r="R326">
        <v>0</v>
      </c>
      <c r="S326">
        <v>0</v>
      </c>
      <c r="T326">
        <v>0</v>
      </c>
      <c r="U326" t="s">
        <v>6385</v>
      </c>
      <c r="V326">
        <f>Tabla1[[#This Row],[Aboard]]-Tabla1[[#This Row],[Fatalities]]</f>
        <v>1</v>
      </c>
      <c r="W326" s="50">
        <f>IFERROR(Tabla1[[#This Row],[Fatalities]]/Tabla1[[#This Row],[Aboard]],0)</f>
        <v>0</v>
      </c>
      <c r="X326" s="51" t="str" cm="1">
        <f t="array" ref="X326">_xlfn.IFS(Tabla1[[#This Row],[Porcentaje de muertes]]&lt;0.35,"LEVE",AND(Tabla1[[#This Row],[Porcentaje de muertes]]&gt;0.35,Tabla1[[#This Row],[Porcentaje de muertes]]&lt;0.65),"MEDIO",Tabla1[[#This Row],[Porcentaje de muertes]]&gt;0.65,"GRAVE")</f>
        <v>LEVE</v>
      </c>
    </row>
    <row r="327" spans="2:24" x14ac:dyDescent="0.3">
      <c r="B327" s="9">
        <v>325</v>
      </c>
      <c r="C327" s="49">
        <v>12378</v>
      </c>
      <c r="D327" s="9">
        <f>YEAR(Tabla1[[#This Row],[Date]])</f>
        <v>1933</v>
      </c>
      <c r="E327" s="9" t="str" cm="1">
        <f t="array" ref="E327">IFERROR(_xlfn.IFS(AND(D327&lt;1980,D327&gt;=1970),"70",AND(D327&lt;1990,D327&gt;=1980),"80",AND(D327&lt;2000,D327&gt;=1990),"90",AND(D327&lt;2010,D327&gt;=2000),"00",AND(D327&lt;=2019,D327&gt;=2010),"10"),"1908-1970")</f>
        <v>1908-1970</v>
      </c>
      <c r="F327" s="3" t="s">
        <v>28931</v>
      </c>
      <c r="G327" t="s">
        <v>6133</v>
      </c>
      <c r="H327" t="s">
        <v>6010</v>
      </c>
      <c r="I327" t="s">
        <v>28931</v>
      </c>
      <c r="J327" t="s">
        <v>6386</v>
      </c>
      <c r="K327" t="s">
        <v>6135</v>
      </c>
      <c r="L327" s="7" t="s">
        <v>28931</v>
      </c>
      <c r="M327" t="s">
        <v>28931</v>
      </c>
      <c r="N327">
        <v>8</v>
      </c>
      <c r="O327">
        <v>7</v>
      </c>
      <c r="P327">
        <v>1</v>
      </c>
      <c r="Q327">
        <v>8</v>
      </c>
      <c r="R327">
        <v>7</v>
      </c>
      <c r="S327">
        <v>1</v>
      </c>
      <c r="T327" t="s">
        <v>5038</v>
      </c>
      <c r="U327" t="s">
        <v>6387</v>
      </c>
      <c r="V327">
        <f>Tabla1[[#This Row],[Aboard]]-Tabla1[[#This Row],[Fatalities]]</f>
        <v>0</v>
      </c>
      <c r="W327" s="50">
        <f>IFERROR(Tabla1[[#This Row],[Fatalities]]/Tabla1[[#This Row],[Aboard]],0)</f>
        <v>1</v>
      </c>
      <c r="X327" s="51" t="str" cm="1">
        <f t="array" ref="X327">_xlfn.IFS(Tabla1[[#This Row],[Porcentaje de muertes]]&lt;0.35,"LEVE",AND(Tabla1[[#This Row],[Porcentaje de muertes]]&gt;0.35,Tabla1[[#This Row],[Porcentaje de muertes]]&lt;0.65),"MEDIO",Tabla1[[#This Row],[Porcentaje de muertes]]&gt;0.65,"GRAVE")</f>
        <v>GRAVE</v>
      </c>
    </row>
    <row r="328" spans="2:24" x14ac:dyDescent="0.3">
      <c r="B328" s="9">
        <v>326</v>
      </c>
      <c r="C328" s="49">
        <v>12379</v>
      </c>
      <c r="D328" s="9">
        <f>YEAR(Tabla1[[#This Row],[Date]])</f>
        <v>1933</v>
      </c>
      <c r="E328" s="9" t="str" cm="1">
        <f t="array" ref="E328">IFERROR(_xlfn.IFS(AND(D328&lt;1980,D328&gt;=1970),"70",AND(D328&lt;1990,D328&gt;=1980),"80",AND(D328&lt;2000,D328&gt;=1990),"90",AND(D328&lt;2010,D328&gt;=2000),"00",AND(D328&lt;=2019,D328&gt;=2010),"10"),"1908-1970")</f>
        <v>1908-1970</v>
      </c>
      <c r="F328" s="3">
        <v>0.625</v>
      </c>
      <c r="G328" t="s">
        <v>6388</v>
      </c>
      <c r="H328" t="s">
        <v>6389</v>
      </c>
      <c r="I328" t="s">
        <v>28931</v>
      </c>
      <c r="J328" t="s">
        <v>5028</v>
      </c>
      <c r="K328" t="s">
        <v>6390</v>
      </c>
      <c r="L328" s="7" t="s">
        <v>28931</v>
      </c>
      <c r="M328" t="s">
        <v>28931</v>
      </c>
      <c r="N328">
        <v>20</v>
      </c>
      <c r="O328">
        <v>0</v>
      </c>
      <c r="P328">
        <v>20</v>
      </c>
      <c r="Q328">
        <v>14</v>
      </c>
      <c r="R328">
        <v>0</v>
      </c>
      <c r="S328">
        <v>14</v>
      </c>
      <c r="T328">
        <v>0</v>
      </c>
      <c r="U328" t="s">
        <v>6391</v>
      </c>
      <c r="V328">
        <f>Tabla1[[#This Row],[Aboard]]-Tabla1[[#This Row],[Fatalities]]</f>
        <v>6</v>
      </c>
      <c r="W328" s="50">
        <f>IFERROR(Tabla1[[#This Row],[Fatalities]]/Tabla1[[#This Row],[Aboard]],0)</f>
        <v>0.7</v>
      </c>
      <c r="X328" s="51" t="str" cm="1">
        <f t="array" ref="X328">_xlfn.IFS(Tabla1[[#This Row],[Porcentaje de muertes]]&lt;0.35,"LEVE",AND(Tabla1[[#This Row],[Porcentaje de muertes]]&gt;0.35,Tabla1[[#This Row],[Porcentaje de muertes]]&lt;0.65),"MEDIO",Tabla1[[#This Row],[Porcentaje de muertes]]&gt;0.65,"GRAVE")</f>
        <v>GRAVE</v>
      </c>
    </row>
    <row r="329" spans="2:24" x14ac:dyDescent="0.3">
      <c r="B329" s="9">
        <v>327</v>
      </c>
      <c r="C329" s="49">
        <v>12382</v>
      </c>
      <c r="D329" s="9">
        <f>YEAR(Tabla1[[#This Row],[Date]])</f>
        <v>1933</v>
      </c>
      <c r="E329" s="9" t="str" cm="1">
        <f t="array" ref="E329">IFERROR(_xlfn.IFS(AND(D329&lt;1980,D329&gt;=1970),"70",AND(D329&lt;1990,D329&gt;=1980),"80",AND(D329&lt;2000,D329&gt;=1990),"90",AND(D329&lt;2010,D329&gt;=2000),"00",AND(D329&lt;=2019,D329&gt;=2010),"10"),"1908-1970")</f>
        <v>1908-1970</v>
      </c>
      <c r="F329" s="3" t="s">
        <v>28931</v>
      </c>
      <c r="G329" t="s">
        <v>6392</v>
      </c>
      <c r="H329" t="s">
        <v>5524</v>
      </c>
      <c r="I329" t="s">
        <v>28931</v>
      </c>
      <c r="J329" t="s">
        <v>28931</v>
      </c>
      <c r="K329" t="s">
        <v>6371</v>
      </c>
      <c r="L329" s="7" t="s">
        <v>6393</v>
      </c>
      <c r="M329">
        <v>1705</v>
      </c>
      <c r="N329">
        <v>2</v>
      </c>
      <c r="O329">
        <v>0</v>
      </c>
      <c r="P329">
        <v>2</v>
      </c>
      <c r="Q329">
        <v>2</v>
      </c>
      <c r="R329">
        <v>0</v>
      </c>
      <c r="S329">
        <v>2</v>
      </c>
      <c r="T329">
        <v>0</v>
      </c>
      <c r="U329" t="s">
        <v>5274</v>
      </c>
      <c r="V329">
        <f>Tabla1[[#This Row],[Aboard]]-Tabla1[[#This Row],[Fatalities]]</f>
        <v>0</v>
      </c>
      <c r="W329" s="50">
        <f>IFERROR(Tabla1[[#This Row],[Fatalities]]/Tabla1[[#This Row],[Aboard]],0)</f>
        <v>1</v>
      </c>
      <c r="X329" s="51" t="str" cm="1">
        <f t="array" ref="X329">_xlfn.IFS(Tabla1[[#This Row],[Porcentaje de muertes]]&lt;0.35,"LEVE",AND(Tabla1[[#This Row],[Porcentaje de muertes]]&gt;0.35,Tabla1[[#This Row],[Porcentaje de muertes]]&lt;0.65),"MEDIO",Tabla1[[#This Row],[Porcentaje de muertes]]&gt;0.65,"GRAVE")</f>
        <v>GRAVE</v>
      </c>
    </row>
    <row r="330" spans="2:24" x14ac:dyDescent="0.3">
      <c r="B330" s="9">
        <v>328</v>
      </c>
      <c r="C330" s="49">
        <v>12370</v>
      </c>
      <c r="D330" s="9">
        <f>YEAR(Tabla1[[#This Row],[Date]])</f>
        <v>1933</v>
      </c>
      <c r="E330" s="9" t="str" cm="1">
        <f t="array" ref="E330">IFERROR(_xlfn.IFS(AND(D330&lt;1980,D330&gt;=1970),"70",AND(D330&lt;1990,D330&gt;=1980),"80",AND(D330&lt;2000,D330&gt;=1990),"90",AND(D330&lt;2010,D330&gt;=2000),"00",AND(D330&lt;=2019,D330&gt;=2010),"10"),"1908-1970")</f>
        <v>1908-1970</v>
      </c>
      <c r="F330" s="3">
        <v>0.66666666666666663</v>
      </c>
      <c r="G330" t="s">
        <v>6394</v>
      </c>
      <c r="H330" t="s">
        <v>5417</v>
      </c>
      <c r="I330" t="s">
        <v>28931</v>
      </c>
      <c r="J330" t="s">
        <v>6395</v>
      </c>
      <c r="K330" t="s">
        <v>6396</v>
      </c>
      <c r="L330" s="7" t="s">
        <v>6397</v>
      </c>
      <c r="M330">
        <v>47</v>
      </c>
      <c r="N330">
        <v>10</v>
      </c>
      <c r="O330">
        <v>8</v>
      </c>
      <c r="P330">
        <v>2</v>
      </c>
      <c r="Q330">
        <v>6</v>
      </c>
      <c r="R330">
        <v>4</v>
      </c>
      <c r="S330">
        <v>2</v>
      </c>
      <c r="T330">
        <v>0</v>
      </c>
      <c r="U330" t="s">
        <v>6398</v>
      </c>
      <c r="V330">
        <f>Tabla1[[#This Row],[Aboard]]-Tabla1[[#This Row],[Fatalities]]</f>
        <v>4</v>
      </c>
      <c r="W330" s="50">
        <f>IFERROR(Tabla1[[#This Row],[Fatalities]]/Tabla1[[#This Row],[Aboard]],0)</f>
        <v>0.6</v>
      </c>
      <c r="X330" s="51" t="str" cm="1">
        <f t="array" ref="X330">_xlfn.IFS(Tabla1[[#This Row],[Porcentaje de muertes]]&lt;0.35,"LEVE",AND(Tabla1[[#This Row],[Porcentaje de muertes]]&gt;0.35,Tabla1[[#This Row],[Porcentaje de muertes]]&lt;0.65),"MEDIO",Tabla1[[#This Row],[Porcentaje de muertes]]&gt;0.65,"GRAVE")</f>
        <v>MEDIO</v>
      </c>
    </row>
    <row r="331" spans="2:24" x14ac:dyDescent="0.3">
      <c r="B331" s="9">
        <v>329</v>
      </c>
      <c r="C331" s="49">
        <v>12402</v>
      </c>
      <c r="D331" s="9">
        <f>YEAR(Tabla1[[#This Row],[Date]])</f>
        <v>1933</v>
      </c>
      <c r="E331" s="9" t="str" cm="1">
        <f t="array" ref="E331">IFERROR(_xlfn.IFS(AND(D331&lt;1980,D331&gt;=1970),"70",AND(D331&lt;1990,D331&gt;=1980),"80",AND(D331&lt;2000,D331&gt;=1990),"90",AND(D331&lt;2010,D331&gt;=2000),"00",AND(D331&lt;=2019,D331&gt;=2010),"10"),"1908-1970")</f>
        <v>1908-1970</v>
      </c>
      <c r="F331" s="3" t="s">
        <v>28931</v>
      </c>
      <c r="G331" t="s">
        <v>6399</v>
      </c>
      <c r="H331" t="s">
        <v>6125</v>
      </c>
      <c r="I331" t="s">
        <v>28931</v>
      </c>
      <c r="J331" t="s">
        <v>28931</v>
      </c>
      <c r="K331" t="s">
        <v>6060</v>
      </c>
      <c r="L331" s="7" t="s">
        <v>6400</v>
      </c>
      <c r="M331">
        <v>2735</v>
      </c>
      <c r="N331">
        <v>6</v>
      </c>
      <c r="O331">
        <v>4</v>
      </c>
      <c r="P331">
        <v>2</v>
      </c>
      <c r="Q331">
        <v>5</v>
      </c>
      <c r="R331">
        <v>3</v>
      </c>
      <c r="S331">
        <v>2</v>
      </c>
      <c r="T331">
        <v>0</v>
      </c>
      <c r="U331" t="s">
        <v>6401</v>
      </c>
      <c r="V331">
        <f>Tabla1[[#This Row],[Aboard]]-Tabla1[[#This Row],[Fatalities]]</f>
        <v>1</v>
      </c>
      <c r="W331" s="50">
        <f>IFERROR(Tabla1[[#This Row],[Fatalities]]/Tabla1[[#This Row],[Aboard]],0)</f>
        <v>0.83333333333333337</v>
      </c>
      <c r="X331" s="51" t="str" cm="1">
        <f t="array" ref="X331">_xlfn.IFS(Tabla1[[#This Row],[Porcentaje de muertes]]&lt;0.35,"LEVE",AND(Tabla1[[#This Row],[Porcentaje de muertes]]&gt;0.35,Tabla1[[#This Row],[Porcentaje de muertes]]&lt;0.65),"MEDIO",Tabla1[[#This Row],[Porcentaje de muertes]]&gt;0.65,"GRAVE")</f>
        <v>GRAVE</v>
      </c>
    </row>
    <row r="332" spans="2:24" x14ac:dyDescent="0.3">
      <c r="B332" s="9">
        <v>330</v>
      </c>
      <c r="C332" s="49">
        <v>12418</v>
      </c>
      <c r="D332" s="9">
        <f>YEAR(Tabla1[[#This Row],[Date]])</f>
        <v>1933</v>
      </c>
      <c r="E332" s="9" t="str" cm="1">
        <f t="array" ref="E332">IFERROR(_xlfn.IFS(AND(D332&lt;1980,D332&gt;=1970),"70",AND(D332&lt;1990,D332&gt;=1980),"80",AND(D332&lt;2000,D332&gt;=1990),"90",AND(D332&lt;2010,D332&gt;=2000),"00",AND(D332&lt;=2019,D332&gt;=2010),"10"),"1908-1970")</f>
        <v>1908-1970</v>
      </c>
      <c r="F332" s="3">
        <v>0.54166666666666663</v>
      </c>
      <c r="G332" t="s">
        <v>6402</v>
      </c>
      <c r="H332" t="s">
        <v>5350</v>
      </c>
      <c r="I332" t="s">
        <v>28931</v>
      </c>
      <c r="J332" t="s">
        <v>6403</v>
      </c>
      <c r="K332" t="s">
        <v>6040</v>
      </c>
      <c r="L332" s="7" t="s">
        <v>6404</v>
      </c>
      <c r="M332">
        <v>528</v>
      </c>
      <c r="N332">
        <v>10</v>
      </c>
      <c r="O332">
        <v>8</v>
      </c>
      <c r="P332">
        <v>2</v>
      </c>
      <c r="Q332">
        <v>10</v>
      </c>
      <c r="R332">
        <v>8</v>
      </c>
      <c r="S332">
        <v>2</v>
      </c>
      <c r="T332">
        <v>0</v>
      </c>
      <c r="U332" t="s">
        <v>6405</v>
      </c>
      <c r="V332">
        <f>Tabla1[[#This Row],[Aboard]]-Tabla1[[#This Row],[Fatalities]]</f>
        <v>0</v>
      </c>
      <c r="W332" s="50">
        <f>IFERROR(Tabla1[[#This Row],[Fatalities]]/Tabla1[[#This Row],[Aboard]],0)</f>
        <v>1</v>
      </c>
      <c r="X332" s="51" t="str" cm="1">
        <f t="array" ref="X332">_xlfn.IFS(Tabla1[[#This Row],[Porcentaje de muertes]]&lt;0.35,"LEVE",AND(Tabla1[[#This Row],[Porcentaje de muertes]]&gt;0.35,Tabla1[[#This Row],[Porcentaje de muertes]]&lt;0.65),"MEDIO",Tabla1[[#This Row],[Porcentaje de muertes]]&gt;0.65,"GRAVE")</f>
        <v>GRAVE</v>
      </c>
    </row>
    <row r="333" spans="2:24" x14ac:dyDescent="0.3">
      <c r="B333" s="9">
        <v>331</v>
      </c>
      <c r="C333" s="49">
        <v>12434</v>
      </c>
      <c r="D333" s="9">
        <f>YEAR(Tabla1[[#This Row],[Date]])</f>
        <v>1934</v>
      </c>
      <c r="E333" s="9" t="str" cm="1">
        <f t="array" ref="E333">IFERROR(_xlfn.IFS(AND(D333&lt;1980,D333&gt;=1970),"70",AND(D333&lt;1990,D333&gt;=1980),"80",AND(D333&lt;2000,D333&gt;=1990),"90",AND(D333&lt;2010,D333&gt;=2000),"00",AND(D333&lt;=2019,D333&gt;=2010),"10"),"1908-1970")</f>
        <v>1908-1970</v>
      </c>
      <c r="F333" s="3">
        <v>0.76041666666666663</v>
      </c>
      <c r="G333" t="s">
        <v>6406</v>
      </c>
      <c r="H333" t="s">
        <v>6375</v>
      </c>
      <c r="I333" t="s">
        <v>28931</v>
      </c>
      <c r="J333" t="s">
        <v>6407</v>
      </c>
      <c r="K333" t="s">
        <v>6408</v>
      </c>
      <c r="L333" s="7" t="s">
        <v>6409</v>
      </c>
      <c r="M333">
        <v>1</v>
      </c>
      <c r="N333">
        <v>14</v>
      </c>
      <c r="O333">
        <v>10</v>
      </c>
      <c r="P333">
        <v>4</v>
      </c>
      <c r="Q333">
        <v>14</v>
      </c>
      <c r="R333">
        <v>10</v>
      </c>
      <c r="S333">
        <v>4</v>
      </c>
      <c r="T333">
        <v>0</v>
      </c>
      <c r="U333" t="s">
        <v>6410</v>
      </c>
      <c r="V333">
        <f>Tabla1[[#This Row],[Aboard]]-Tabla1[[#This Row],[Fatalities]]</f>
        <v>0</v>
      </c>
      <c r="W333" s="50">
        <f>IFERROR(Tabla1[[#This Row],[Fatalities]]/Tabla1[[#This Row],[Aboard]],0)</f>
        <v>1</v>
      </c>
      <c r="X333" s="51" t="str" cm="1">
        <f t="array" ref="X333">_xlfn.IFS(Tabla1[[#This Row],[Porcentaje de muertes]]&lt;0.35,"LEVE",AND(Tabla1[[#This Row],[Porcentaje de muertes]]&gt;0.35,Tabla1[[#This Row],[Porcentaje de muertes]]&lt;0.65),"MEDIO",Tabla1[[#This Row],[Porcentaje de muertes]]&gt;0.65,"GRAVE")</f>
        <v>GRAVE</v>
      </c>
    </row>
    <row r="334" spans="2:24" x14ac:dyDescent="0.3">
      <c r="B334" s="9">
        <v>332</v>
      </c>
      <c r="C334" s="49">
        <v>12439</v>
      </c>
      <c r="D334" s="9">
        <f>YEAR(Tabla1[[#This Row],[Date]])</f>
        <v>1934</v>
      </c>
      <c r="E334" s="9" t="str" cm="1">
        <f t="array" ref="E334">IFERROR(_xlfn.IFS(AND(D334&lt;1980,D334&gt;=1970),"70",AND(D334&lt;1990,D334&gt;=1980),"80",AND(D334&lt;2000,D334&gt;=1990),"90",AND(D334&lt;2010,D334&gt;=2000),"00",AND(D334&lt;=2019,D334&gt;=2010),"10"),"1908-1970")</f>
        <v>1908-1970</v>
      </c>
      <c r="F334" s="3" t="s">
        <v>28931</v>
      </c>
      <c r="G334" t="s">
        <v>6411</v>
      </c>
      <c r="H334" t="s">
        <v>6375</v>
      </c>
      <c r="I334" t="s">
        <v>28931</v>
      </c>
      <c r="J334" t="s">
        <v>28931</v>
      </c>
      <c r="K334" t="s">
        <v>6412</v>
      </c>
      <c r="L334" s="7" t="s">
        <v>6413</v>
      </c>
      <c r="M334" t="s">
        <v>28931</v>
      </c>
      <c r="N334">
        <v>2</v>
      </c>
      <c r="O334" t="s">
        <v>5038</v>
      </c>
      <c r="P334" t="s">
        <v>5038</v>
      </c>
      <c r="Q334">
        <v>2</v>
      </c>
      <c r="R334" t="s">
        <v>5038</v>
      </c>
      <c r="S334" t="s">
        <v>5038</v>
      </c>
      <c r="T334">
        <v>0</v>
      </c>
      <c r="U334" t="s">
        <v>28927</v>
      </c>
      <c r="V334">
        <f>Tabla1[[#This Row],[Aboard]]-Tabla1[[#This Row],[Fatalities]]</f>
        <v>0</v>
      </c>
      <c r="W334" s="50">
        <f>IFERROR(Tabla1[[#This Row],[Fatalities]]/Tabla1[[#This Row],[Aboard]],0)</f>
        <v>1</v>
      </c>
      <c r="X334" s="51" t="str" cm="1">
        <f t="array" ref="X334">_xlfn.IFS(Tabla1[[#This Row],[Porcentaje de muertes]]&lt;0.35,"LEVE",AND(Tabla1[[#This Row],[Porcentaje de muertes]]&gt;0.35,Tabla1[[#This Row],[Porcentaje de muertes]]&lt;0.65),"MEDIO",Tabla1[[#This Row],[Porcentaje de muertes]]&gt;0.65,"GRAVE")</f>
        <v>GRAVE</v>
      </c>
    </row>
    <row r="335" spans="2:24" x14ac:dyDescent="0.3">
      <c r="B335" s="9">
        <v>333</v>
      </c>
      <c r="C335" s="49">
        <v>12473</v>
      </c>
      <c r="D335" s="9">
        <f>YEAR(Tabla1[[#This Row],[Date]])</f>
        <v>1934</v>
      </c>
      <c r="E335" s="9" t="str" cm="1">
        <f t="array" ref="E335">IFERROR(_xlfn.IFS(AND(D335&lt;1980,D335&gt;=1970),"70",AND(D335&lt;1990,D335&gt;=1980),"80",AND(D335&lt;2000,D335&gt;=1990),"90",AND(D335&lt;2010,D335&gt;=2000),"00",AND(D335&lt;=2019,D335&gt;=2010),"10"),"1908-1970")</f>
        <v>1908-1970</v>
      </c>
      <c r="F335" s="3">
        <v>0.59375</v>
      </c>
      <c r="G335" t="s">
        <v>6414</v>
      </c>
      <c r="H335" t="s">
        <v>6415</v>
      </c>
      <c r="I335" t="s">
        <v>28931</v>
      </c>
      <c r="J335" t="s">
        <v>6416</v>
      </c>
      <c r="K335" t="s">
        <v>6371</v>
      </c>
      <c r="L335" s="7" t="s">
        <v>6417</v>
      </c>
      <c r="M335">
        <v>1739</v>
      </c>
      <c r="N335">
        <v>8</v>
      </c>
      <c r="O335">
        <v>5</v>
      </c>
      <c r="P335">
        <v>3</v>
      </c>
      <c r="Q335">
        <v>8</v>
      </c>
      <c r="R335">
        <v>5</v>
      </c>
      <c r="S335">
        <v>3</v>
      </c>
      <c r="T335">
        <v>0</v>
      </c>
      <c r="U335" t="s">
        <v>6418</v>
      </c>
      <c r="V335">
        <f>Tabla1[[#This Row],[Aboard]]-Tabla1[[#This Row],[Fatalities]]</f>
        <v>0</v>
      </c>
      <c r="W335" s="50">
        <f>IFERROR(Tabla1[[#This Row],[Fatalities]]/Tabla1[[#This Row],[Aboard]],0)</f>
        <v>1</v>
      </c>
      <c r="X335" s="51" t="str" cm="1">
        <f t="array" ref="X335">_xlfn.IFS(Tabla1[[#This Row],[Porcentaje de muertes]]&lt;0.35,"LEVE",AND(Tabla1[[#This Row],[Porcentaje de muertes]]&gt;0.35,Tabla1[[#This Row],[Porcentaje de muertes]]&lt;0.65),"MEDIO",Tabla1[[#This Row],[Porcentaje de muertes]]&gt;0.65,"GRAVE")</f>
        <v>GRAVE</v>
      </c>
    </row>
    <row r="336" spans="2:24" x14ac:dyDescent="0.3">
      <c r="B336" s="9">
        <v>334</v>
      </c>
      <c r="C336" s="49">
        <v>12476</v>
      </c>
      <c r="D336" s="9">
        <f>YEAR(Tabla1[[#This Row],[Date]])</f>
        <v>1934</v>
      </c>
      <c r="E336" s="9" t="str" cm="1">
        <f t="array" ref="E336">IFERROR(_xlfn.IFS(AND(D336&lt;1980,D336&gt;=1970),"70",AND(D336&lt;1990,D336&gt;=1980),"80",AND(D336&lt;2000,D336&gt;=1990),"90",AND(D336&lt;2010,D336&gt;=2000),"00",AND(D336&lt;=2019,D336&gt;=2010),"10"),"1908-1970")</f>
        <v>1908-1970</v>
      </c>
      <c r="F336" s="3" t="s">
        <v>28931</v>
      </c>
      <c r="G336" t="s">
        <v>6419</v>
      </c>
      <c r="H336" t="s">
        <v>6375</v>
      </c>
      <c r="I336" t="s">
        <v>28931</v>
      </c>
      <c r="J336" t="s">
        <v>28931</v>
      </c>
      <c r="K336" t="s">
        <v>6420</v>
      </c>
      <c r="L336" s="7" t="s">
        <v>6421</v>
      </c>
      <c r="M336">
        <v>925</v>
      </c>
      <c r="N336">
        <v>6</v>
      </c>
      <c r="O336" t="s">
        <v>5038</v>
      </c>
      <c r="P336" t="s">
        <v>5038</v>
      </c>
      <c r="Q336">
        <v>1</v>
      </c>
      <c r="R336" t="s">
        <v>5038</v>
      </c>
      <c r="S336" t="s">
        <v>5038</v>
      </c>
      <c r="T336">
        <v>0</v>
      </c>
      <c r="U336" t="s">
        <v>28927</v>
      </c>
      <c r="V336">
        <f>Tabla1[[#This Row],[Aboard]]-Tabla1[[#This Row],[Fatalities]]</f>
        <v>5</v>
      </c>
      <c r="W336" s="50">
        <f>IFERROR(Tabla1[[#This Row],[Fatalities]]/Tabla1[[#This Row],[Aboard]],0)</f>
        <v>0.16666666666666666</v>
      </c>
      <c r="X336" s="51" t="str" cm="1">
        <f t="array" ref="X336">_xlfn.IFS(Tabla1[[#This Row],[Porcentaje de muertes]]&lt;0.35,"LEVE",AND(Tabla1[[#This Row],[Porcentaje de muertes]]&gt;0.35,Tabla1[[#This Row],[Porcentaje de muertes]]&lt;0.65),"MEDIO",Tabla1[[#This Row],[Porcentaje de muertes]]&gt;0.65,"GRAVE")</f>
        <v>LEVE</v>
      </c>
    </row>
    <row r="337" spans="2:24" x14ac:dyDescent="0.3">
      <c r="B337" s="9">
        <v>335</v>
      </c>
      <c r="C337" s="49">
        <v>12573</v>
      </c>
      <c r="D337" s="9">
        <f>YEAR(Tabla1[[#This Row],[Date]])</f>
        <v>1934</v>
      </c>
      <c r="E337" s="9" t="str" cm="1">
        <f t="array" ref="E337">IFERROR(_xlfn.IFS(AND(D337&lt;1980,D337&gt;=1970),"70",AND(D337&lt;1990,D337&gt;=1980),"80",AND(D337&lt;2000,D337&gt;=1990),"90",AND(D337&lt;2010,D337&gt;=2000),"00",AND(D337&lt;=2019,D337&gt;=2010),"10"),"1908-1970")</f>
        <v>1908-1970</v>
      </c>
      <c r="F337" s="3" t="s">
        <v>28931</v>
      </c>
      <c r="G337" t="s">
        <v>6422</v>
      </c>
      <c r="H337" t="s">
        <v>6089</v>
      </c>
      <c r="I337" t="s">
        <v>28931</v>
      </c>
      <c r="J337" t="s">
        <v>6423</v>
      </c>
      <c r="K337" t="s">
        <v>6158</v>
      </c>
      <c r="L337" s="7" t="s">
        <v>6424</v>
      </c>
      <c r="M337">
        <v>6606</v>
      </c>
      <c r="N337">
        <v>4</v>
      </c>
      <c r="O337">
        <v>3</v>
      </c>
      <c r="P337">
        <v>1</v>
      </c>
      <c r="Q337">
        <v>4</v>
      </c>
      <c r="R337">
        <v>3</v>
      </c>
      <c r="S337" t="s">
        <v>5038</v>
      </c>
      <c r="T337">
        <v>0</v>
      </c>
      <c r="U337" t="s">
        <v>6425</v>
      </c>
      <c r="V337">
        <f>Tabla1[[#This Row],[Aboard]]-Tabla1[[#This Row],[Fatalities]]</f>
        <v>0</v>
      </c>
      <c r="W337" s="50">
        <f>IFERROR(Tabla1[[#This Row],[Fatalities]]/Tabla1[[#This Row],[Aboard]],0)</f>
        <v>1</v>
      </c>
      <c r="X337" s="51" t="str" cm="1">
        <f t="array" ref="X337">_xlfn.IFS(Tabla1[[#This Row],[Porcentaje de muertes]]&lt;0.35,"LEVE",AND(Tabla1[[#This Row],[Porcentaje de muertes]]&gt;0.35,Tabla1[[#This Row],[Porcentaje de muertes]]&lt;0.65),"MEDIO",Tabla1[[#This Row],[Porcentaje de muertes]]&gt;0.65,"GRAVE")</f>
        <v>GRAVE</v>
      </c>
    </row>
    <row r="338" spans="2:24" x14ac:dyDescent="0.3">
      <c r="B338" s="9">
        <v>336</v>
      </c>
      <c r="C338" s="49">
        <v>12695</v>
      </c>
      <c r="D338" s="9">
        <f>YEAR(Tabla1[[#This Row],[Date]])</f>
        <v>1934</v>
      </c>
      <c r="E338" s="9" t="str" cm="1">
        <f t="array" ref="E338">IFERROR(_xlfn.IFS(AND(D338&lt;1980,D338&gt;=1970),"70",AND(D338&lt;1990,D338&gt;=1980),"80",AND(D338&lt;2000,D338&gt;=1990),"90",AND(D338&lt;2010,D338&gt;=2000),"00",AND(D338&lt;=2019,D338&gt;=2010),"10"),"1908-1970")</f>
        <v>1908-1970</v>
      </c>
      <c r="F338" s="3" t="s">
        <v>28931</v>
      </c>
      <c r="G338" t="s">
        <v>6426</v>
      </c>
      <c r="H338" t="s">
        <v>6427</v>
      </c>
      <c r="I338" t="s">
        <v>28931</v>
      </c>
      <c r="J338" t="s">
        <v>6428</v>
      </c>
      <c r="K338" t="s">
        <v>6429</v>
      </c>
      <c r="L338" s="7" t="s">
        <v>6430</v>
      </c>
      <c r="M338" t="s">
        <v>28931</v>
      </c>
      <c r="N338">
        <v>6</v>
      </c>
      <c r="O338">
        <v>4</v>
      </c>
      <c r="P338">
        <v>2</v>
      </c>
      <c r="Q338">
        <v>5</v>
      </c>
      <c r="R338">
        <v>3</v>
      </c>
      <c r="S338">
        <v>2</v>
      </c>
      <c r="T338">
        <v>0</v>
      </c>
      <c r="U338" t="s">
        <v>6431</v>
      </c>
      <c r="V338">
        <f>Tabla1[[#This Row],[Aboard]]-Tabla1[[#This Row],[Fatalities]]</f>
        <v>1</v>
      </c>
      <c r="W338" s="50">
        <f>IFERROR(Tabla1[[#This Row],[Fatalities]]/Tabla1[[#This Row],[Aboard]],0)</f>
        <v>0.83333333333333337</v>
      </c>
      <c r="X338" s="51" t="str" cm="1">
        <f t="array" ref="X338">_xlfn.IFS(Tabla1[[#This Row],[Porcentaje de muertes]]&lt;0.35,"LEVE",AND(Tabla1[[#This Row],[Porcentaje de muertes]]&gt;0.35,Tabla1[[#This Row],[Porcentaje de muertes]]&lt;0.65),"MEDIO",Tabla1[[#This Row],[Porcentaje de muertes]]&gt;0.65,"GRAVE")</f>
        <v>GRAVE</v>
      </c>
    </row>
    <row r="339" spans="2:24" x14ac:dyDescent="0.3">
      <c r="B339" s="9">
        <v>337</v>
      </c>
      <c r="C339" s="49">
        <v>12500</v>
      </c>
      <c r="D339" s="9">
        <f>YEAR(Tabla1[[#This Row],[Date]])</f>
        <v>1934</v>
      </c>
      <c r="E339" s="9" t="str" cm="1">
        <f t="array" ref="E339">IFERROR(_xlfn.IFS(AND(D339&lt;1980,D339&gt;=1970),"70",AND(D339&lt;1990,D339&gt;=1980),"80",AND(D339&lt;2000,D339&gt;=1990),"90",AND(D339&lt;2010,D339&gt;=2000),"00",AND(D339&lt;=2019,D339&gt;=2010),"10"),"1908-1970")</f>
        <v>1908-1970</v>
      </c>
      <c r="F339" s="3" t="s">
        <v>28931</v>
      </c>
      <c r="G339" t="s">
        <v>6432</v>
      </c>
      <c r="H339" t="s">
        <v>6433</v>
      </c>
      <c r="I339" t="s">
        <v>28931</v>
      </c>
      <c r="J339" t="s">
        <v>28931</v>
      </c>
      <c r="K339" t="s">
        <v>6434</v>
      </c>
      <c r="L339" s="7" t="s">
        <v>6435</v>
      </c>
      <c r="M339" t="s">
        <v>6436</v>
      </c>
      <c r="N339">
        <v>15</v>
      </c>
      <c r="O339">
        <v>12</v>
      </c>
      <c r="P339">
        <v>3</v>
      </c>
      <c r="Q339">
        <v>3</v>
      </c>
      <c r="R339">
        <v>0</v>
      </c>
      <c r="S339">
        <v>3</v>
      </c>
      <c r="T339">
        <v>0</v>
      </c>
      <c r="U339" t="s">
        <v>6437</v>
      </c>
      <c r="V339">
        <f>Tabla1[[#This Row],[Aboard]]-Tabla1[[#This Row],[Fatalities]]</f>
        <v>12</v>
      </c>
      <c r="W339" s="50">
        <f>IFERROR(Tabla1[[#This Row],[Fatalities]]/Tabla1[[#This Row],[Aboard]],0)</f>
        <v>0.2</v>
      </c>
      <c r="X339" s="51" t="str" cm="1">
        <f t="array" ref="X339">_xlfn.IFS(Tabla1[[#This Row],[Porcentaje de muertes]]&lt;0.35,"LEVE",AND(Tabla1[[#This Row],[Porcentaje de muertes]]&gt;0.35,Tabla1[[#This Row],[Porcentaje de muertes]]&lt;0.65),"MEDIO",Tabla1[[#This Row],[Porcentaje de muertes]]&gt;0.65,"GRAVE")</f>
        <v>LEVE</v>
      </c>
    </row>
    <row r="340" spans="2:24" x14ac:dyDescent="0.3">
      <c r="B340" s="9">
        <v>338</v>
      </c>
      <c r="C340" s="49">
        <v>12696</v>
      </c>
      <c r="D340" s="9">
        <f>YEAR(Tabla1[[#This Row],[Date]])</f>
        <v>1934</v>
      </c>
      <c r="E340" s="9" t="str" cm="1">
        <f t="array" ref="E340">IFERROR(_xlfn.IFS(AND(D340&lt;1980,D340&gt;=1970),"70",AND(D340&lt;1990,D340&gt;=1980),"80",AND(D340&lt;2000,D340&gt;=1990),"90",AND(D340&lt;2010,D340&gt;=2000),"00",AND(D340&lt;=2019,D340&gt;=2010),"10"),"1908-1970")</f>
        <v>1908-1970</v>
      </c>
      <c r="F340" s="3" t="s">
        <v>28931</v>
      </c>
      <c r="G340" t="s">
        <v>6438</v>
      </c>
      <c r="H340" t="s">
        <v>6010</v>
      </c>
      <c r="I340" t="s">
        <v>28931</v>
      </c>
      <c r="J340" t="s">
        <v>28931</v>
      </c>
      <c r="K340" t="s">
        <v>6439</v>
      </c>
      <c r="L340" s="7" t="s">
        <v>6440</v>
      </c>
      <c r="M340" t="s">
        <v>28931</v>
      </c>
      <c r="N340">
        <v>3</v>
      </c>
      <c r="O340">
        <v>1</v>
      </c>
      <c r="P340">
        <v>2</v>
      </c>
      <c r="Q340">
        <v>3</v>
      </c>
      <c r="R340">
        <v>1</v>
      </c>
      <c r="S340">
        <v>2</v>
      </c>
      <c r="T340">
        <v>0</v>
      </c>
      <c r="U340" t="s">
        <v>28927</v>
      </c>
      <c r="V340">
        <f>Tabla1[[#This Row],[Aboard]]-Tabla1[[#This Row],[Fatalities]]</f>
        <v>0</v>
      </c>
      <c r="W340" s="50">
        <f>IFERROR(Tabla1[[#This Row],[Fatalities]]/Tabla1[[#This Row],[Aboard]],0)</f>
        <v>1</v>
      </c>
      <c r="X340" s="51" t="str" cm="1">
        <f t="array" ref="X340">_xlfn.IFS(Tabla1[[#This Row],[Porcentaje de muertes]]&lt;0.35,"LEVE",AND(Tabla1[[#This Row],[Porcentaje de muertes]]&gt;0.35,Tabla1[[#This Row],[Porcentaje de muertes]]&lt;0.65),"MEDIO",Tabla1[[#This Row],[Porcentaje de muertes]]&gt;0.65,"GRAVE")</f>
        <v>GRAVE</v>
      </c>
    </row>
    <row r="341" spans="2:24" x14ac:dyDescent="0.3">
      <c r="B341" s="9">
        <v>339</v>
      </c>
      <c r="C341" s="49">
        <v>12667</v>
      </c>
      <c r="D341" s="9">
        <f>YEAR(Tabla1[[#This Row],[Date]])</f>
        <v>1934</v>
      </c>
      <c r="E341" s="9" t="str" cm="1">
        <f t="array" ref="E341">IFERROR(_xlfn.IFS(AND(D341&lt;1980,D341&gt;=1970),"70",AND(D341&lt;1990,D341&gt;=1980),"80",AND(D341&lt;2000,D341&gt;=1990),"90",AND(D341&lt;2010,D341&gt;=2000),"00",AND(D341&lt;=2019,D341&gt;=2010),"10"),"1908-1970")</f>
        <v>1908-1970</v>
      </c>
      <c r="F341" s="3" t="s">
        <v>28931</v>
      </c>
      <c r="G341" t="s">
        <v>5401</v>
      </c>
      <c r="H341" t="s">
        <v>6375</v>
      </c>
      <c r="I341" t="s">
        <v>28931</v>
      </c>
      <c r="J341" t="s">
        <v>6441</v>
      </c>
      <c r="K341" t="s">
        <v>6442</v>
      </c>
      <c r="L341" s="7" t="s">
        <v>6443</v>
      </c>
      <c r="M341">
        <v>8</v>
      </c>
      <c r="N341">
        <v>6</v>
      </c>
      <c r="O341">
        <v>3</v>
      </c>
      <c r="P341">
        <v>3</v>
      </c>
      <c r="Q341">
        <v>6</v>
      </c>
      <c r="R341">
        <v>3</v>
      </c>
      <c r="S341">
        <v>3</v>
      </c>
      <c r="T341">
        <v>0</v>
      </c>
      <c r="U341" t="s">
        <v>6444</v>
      </c>
      <c r="V341">
        <f>Tabla1[[#This Row],[Aboard]]-Tabla1[[#This Row],[Fatalities]]</f>
        <v>0</v>
      </c>
      <c r="W341" s="50">
        <f>IFERROR(Tabla1[[#This Row],[Fatalities]]/Tabla1[[#This Row],[Aboard]],0)</f>
        <v>1</v>
      </c>
      <c r="X341" s="51" t="str" cm="1">
        <f t="array" ref="X341">_xlfn.IFS(Tabla1[[#This Row],[Porcentaje de muertes]]&lt;0.35,"LEVE",AND(Tabla1[[#This Row],[Porcentaje de muertes]]&gt;0.35,Tabla1[[#This Row],[Porcentaje de muertes]]&lt;0.65),"MEDIO",Tabla1[[#This Row],[Porcentaje de muertes]]&gt;0.65,"GRAVE")</f>
        <v>GRAVE</v>
      </c>
    </row>
    <row r="342" spans="2:24" x14ac:dyDescent="0.3">
      <c r="B342" s="9">
        <v>340</v>
      </c>
      <c r="C342" s="49">
        <v>12570</v>
      </c>
      <c r="D342" s="9">
        <f>YEAR(Tabla1[[#This Row],[Date]])</f>
        <v>1934</v>
      </c>
      <c r="E342" s="9" t="str" cm="1">
        <f t="array" ref="E342">IFERROR(_xlfn.IFS(AND(D342&lt;1980,D342&gt;=1970),"70",AND(D342&lt;1990,D342&gt;=1980),"80",AND(D342&lt;2000,D342&gt;=1990),"90",AND(D342&lt;2010,D342&gt;=2000),"00",AND(D342&lt;=2019,D342&gt;=2010),"10"),"1908-1970")</f>
        <v>1908-1970</v>
      </c>
      <c r="F342" s="3">
        <v>0.20833333333333334</v>
      </c>
      <c r="G342" t="s">
        <v>5956</v>
      </c>
      <c r="H342" t="s">
        <v>6375</v>
      </c>
      <c r="I342" t="s">
        <v>28931</v>
      </c>
      <c r="J342" t="s">
        <v>6445</v>
      </c>
      <c r="K342" t="s">
        <v>6243</v>
      </c>
      <c r="L342" s="7" t="s">
        <v>6446</v>
      </c>
      <c r="M342" t="s">
        <v>28931</v>
      </c>
      <c r="N342">
        <v>2</v>
      </c>
      <c r="O342">
        <v>0</v>
      </c>
      <c r="P342">
        <v>2</v>
      </c>
      <c r="Q342">
        <v>2</v>
      </c>
      <c r="R342">
        <v>0</v>
      </c>
      <c r="S342">
        <v>2</v>
      </c>
      <c r="T342">
        <v>0</v>
      </c>
      <c r="U342" t="s">
        <v>6447</v>
      </c>
      <c r="V342">
        <f>Tabla1[[#This Row],[Aboard]]-Tabla1[[#This Row],[Fatalities]]</f>
        <v>0</v>
      </c>
      <c r="W342" s="50">
        <f>IFERROR(Tabla1[[#This Row],[Fatalities]]/Tabla1[[#This Row],[Aboard]],0)</f>
        <v>1</v>
      </c>
      <c r="X342" s="51" t="str" cm="1">
        <f t="array" ref="X342">_xlfn.IFS(Tabla1[[#This Row],[Porcentaje de muertes]]&lt;0.35,"LEVE",AND(Tabla1[[#This Row],[Porcentaje de muertes]]&gt;0.35,Tabla1[[#This Row],[Porcentaje de muertes]]&lt;0.65),"MEDIO",Tabla1[[#This Row],[Porcentaje de muertes]]&gt;0.65,"GRAVE")</f>
        <v>GRAVE</v>
      </c>
    </row>
    <row r="343" spans="2:24" x14ac:dyDescent="0.3">
      <c r="B343" s="9">
        <v>341</v>
      </c>
      <c r="C343" s="49">
        <v>12668</v>
      </c>
      <c r="D343" s="9">
        <f>YEAR(Tabla1[[#This Row],[Date]])</f>
        <v>1934</v>
      </c>
      <c r="E343" s="9" t="str" cm="1">
        <f t="array" ref="E343">IFERROR(_xlfn.IFS(AND(D343&lt;1980,D343&gt;=1970),"70",AND(D343&lt;1990,D343&gt;=1980),"80",AND(D343&lt;2000,D343&gt;=1990),"90",AND(D343&lt;2010,D343&gt;=2000),"00",AND(D343&lt;=2019,D343&gt;=2010),"10"),"1908-1970")</f>
        <v>1908-1970</v>
      </c>
      <c r="F343" s="3">
        <v>0.70833333333333337</v>
      </c>
      <c r="G343" t="s">
        <v>6448</v>
      </c>
      <c r="H343" t="s">
        <v>6089</v>
      </c>
      <c r="I343" t="s">
        <v>28931</v>
      </c>
      <c r="J343" t="s">
        <v>6449</v>
      </c>
      <c r="K343" t="s">
        <v>6450</v>
      </c>
      <c r="L343" s="7" t="s">
        <v>6451</v>
      </c>
      <c r="M343">
        <v>22</v>
      </c>
      <c r="N343">
        <v>7</v>
      </c>
      <c r="O343">
        <v>4</v>
      </c>
      <c r="P343">
        <v>3</v>
      </c>
      <c r="Q343">
        <v>7</v>
      </c>
      <c r="R343">
        <v>4</v>
      </c>
      <c r="S343">
        <v>3</v>
      </c>
      <c r="T343">
        <v>0</v>
      </c>
      <c r="U343" t="s">
        <v>6452</v>
      </c>
      <c r="V343">
        <f>Tabla1[[#This Row],[Aboard]]-Tabla1[[#This Row],[Fatalities]]</f>
        <v>0</v>
      </c>
      <c r="W343" s="50">
        <f>IFERROR(Tabla1[[#This Row],[Fatalities]]/Tabla1[[#This Row],[Aboard]],0)</f>
        <v>1</v>
      </c>
      <c r="X343" s="51" t="str" cm="1">
        <f t="array" ref="X343">_xlfn.IFS(Tabla1[[#This Row],[Porcentaje de muertes]]&lt;0.35,"LEVE",AND(Tabla1[[#This Row],[Porcentaje de muertes]]&gt;0.35,Tabla1[[#This Row],[Porcentaje de muertes]]&lt;0.65),"MEDIO",Tabla1[[#This Row],[Porcentaje de muertes]]&gt;0.65,"GRAVE")</f>
        <v>GRAVE</v>
      </c>
    </row>
    <row r="344" spans="2:24" x14ac:dyDescent="0.3">
      <c r="B344" s="9">
        <v>342</v>
      </c>
      <c r="C344" s="49">
        <v>12729</v>
      </c>
      <c r="D344" s="9">
        <f>YEAR(Tabla1[[#This Row],[Date]])</f>
        <v>1934</v>
      </c>
      <c r="E344" s="9" t="str" cm="1">
        <f t="array" ref="E344">IFERROR(_xlfn.IFS(AND(D344&lt;1980,D344&gt;=1970),"70",AND(D344&lt;1990,D344&gt;=1980),"80",AND(D344&lt;2000,D344&gt;=1990),"90",AND(D344&lt;2010,D344&gt;=2000),"00",AND(D344&lt;=2019,D344&gt;=2010),"10"),"1908-1970")</f>
        <v>1908-1970</v>
      </c>
      <c r="F344" s="3">
        <v>0.45833333333333331</v>
      </c>
      <c r="G344" t="s">
        <v>6453</v>
      </c>
      <c r="H344" t="s">
        <v>6221</v>
      </c>
      <c r="I344" t="s">
        <v>28931</v>
      </c>
      <c r="J344" t="s">
        <v>6454</v>
      </c>
      <c r="K344" t="s">
        <v>6434</v>
      </c>
      <c r="L344" s="7" t="s">
        <v>6455</v>
      </c>
      <c r="M344" t="s">
        <v>6456</v>
      </c>
      <c r="N344">
        <v>10</v>
      </c>
      <c r="O344">
        <v>7</v>
      </c>
      <c r="P344">
        <v>3</v>
      </c>
      <c r="Q344">
        <v>6</v>
      </c>
      <c r="R344">
        <v>3</v>
      </c>
      <c r="S344">
        <v>3</v>
      </c>
      <c r="T344">
        <v>0</v>
      </c>
      <c r="U344" t="s">
        <v>6457</v>
      </c>
      <c r="V344">
        <f>Tabla1[[#This Row],[Aboard]]-Tabla1[[#This Row],[Fatalities]]</f>
        <v>4</v>
      </c>
      <c r="W344" s="50">
        <f>IFERROR(Tabla1[[#This Row],[Fatalities]]/Tabla1[[#This Row],[Aboard]],0)</f>
        <v>0.6</v>
      </c>
      <c r="X344" s="51" t="str" cm="1">
        <f t="array" ref="X344">_xlfn.IFS(Tabla1[[#This Row],[Porcentaje de muertes]]&lt;0.35,"LEVE",AND(Tabla1[[#This Row],[Porcentaje de muertes]]&gt;0.35,Tabla1[[#This Row],[Porcentaje de muertes]]&lt;0.65),"MEDIO",Tabla1[[#This Row],[Porcentaje de muertes]]&gt;0.65,"GRAVE")</f>
        <v>MEDIO</v>
      </c>
    </row>
    <row r="345" spans="2:24" x14ac:dyDescent="0.3">
      <c r="B345" s="9">
        <v>343</v>
      </c>
      <c r="C345" s="49">
        <v>12592</v>
      </c>
      <c r="D345" s="9">
        <f>YEAR(Tabla1[[#This Row],[Date]])</f>
        <v>1934</v>
      </c>
      <c r="E345" s="9" t="str" cm="1">
        <f t="array" ref="E345">IFERROR(_xlfn.IFS(AND(D345&lt;1980,D345&gt;=1970),"70",AND(D345&lt;1990,D345&gt;=1980),"80",AND(D345&lt;2000,D345&gt;=1990),"90",AND(D345&lt;2010,D345&gt;=2000),"00",AND(D345&lt;=2019,D345&gt;=2010),"10"),"1908-1970")</f>
        <v>1908-1970</v>
      </c>
      <c r="F345" s="3" t="s">
        <v>28931</v>
      </c>
      <c r="G345" t="s">
        <v>6458</v>
      </c>
      <c r="H345" t="s">
        <v>5417</v>
      </c>
      <c r="I345" t="s">
        <v>28931</v>
      </c>
      <c r="J345" t="s">
        <v>28931</v>
      </c>
      <c r="K345" t="s">
        <v>5504</v>
      </c>
      <c r="L345" s="7" t="s">
        <v>6459</v>
      </c>
      <c r="M345">
        <v>176</v>
      </c>
      <c r="N345">
        <v>7</v>
      </c>
      <c r="O345">
        <v>5</v>
      </c>
      <c r="P345">
        <v>2</v>
      </c>
      <c r="Q345">
        <v>1</v>
      </c>
      <c r="R345">
        <v>0</v>
      </c>
      <c r="S345">
        <v>1</v>
      </c>
      <c r="T345">
        <v>0</v>
      </c>
      <c r="U345" t="s">
        <v>5435</v>
      </c>
      <c r="V345">
        <f>Tabla1[[#This Row],[Aboard]]-Tabla1[[#This Row],[Fatalities]]</f>
        <v>6</v>
      </c>
      <c r="W345" s="50">
        <f>IFERROR(Tabla1[[#This Row],[Fatalities]]/Tabla1[[#This Row],[Aboard]],0)</f>
        <v>0.14285714285714285</v>
      </c>
      <c r="X345" s="51" t="str" cm="1">
        <f t="array" ref="X345">_xlfn.IFS(Tabla1[[#This Row],[Porcentaje de muertes]]&lt;0.35,"LEVE",AND(Tabla1[[#This Row],[Porcentaje de muertes]]&gt;0.35,Tabla1[[#This Row],[Porcentaje de muertes]]&lt;0.65),"MEDIO",Tabla1[[#This Row],[Porcentaje de muertes]]&gt;0.65,"GRAVE")</f>
        <v>LEVE</v>
      </c>
    </row>
    <row r="346" spans="2:24" x14ac:dyDescent="0.3">
      <c r="B346" s="9">
        <v>344</v>
      </c>
      <c r="C346" s="49">
        <v>12593</v>
      </c>
      <c r="D346" s="9">
        <f>YEAR(Tabla1[[#This Row],[Date]])</f>
        <v>1934</v>
      </c>
      <c r="E346" s="9" t="str" cm="1">
        <f t="array" ref="E346">IFERROR(_xlfn.IFS(AND(D346&lt;1980,D346&gt;=1970),"70",AND(D346&lt;1990,D346&gt;=1980),"80",AND(D346&lt;2000,D346&gt;=1990),"90",AND(D346&lt;2010,D346&gt;=2000),"00",AND(D346&lt;=2019,D346&gt;=2010),"10"),"1908-1970")</f>
        <v>1908-1970</v>
      </c>
      <c r="F346" s="3">
        <v>0.25</v>
      </c>
      <c r="G346" t="s">
        <v>6053</v>
      </c>
      <c r="H346" t="s">
        <v>6460</v>
      </c>
      <c r="I346" t="s">
        <v>28931</v>
      </c>
      <c r="J346" t="s">
        <v>6461</v>
      </c>
      <c r="K346" t="s">
        <v>6462</v>
      </c>
      <c r="L346" s="7" t="s">
        <v>6463</v>
      </c>
      <c r="M346" t="s">
        <v>28931</v>
      </c>
      <c r="N346">
        <v>1</v>
      </c>
      <c r="O346">
        <v>0</v>
      </c>
      <c r="P346">
        <v>1</v>
      </c>
      <c r="Q346">
        <v>1</v>
      </c>
      <c r="R346">
        <v>0</v>
      </c>
      <c r="S346">
        <v>1</v>
      </c>
      <c r="T346">
        <v>0</v>
      </c>
      <c r="U346" t="s">
        <v>6464</v>
      </c>
      <c r="V346">
        <f>Tabla1[[#This Row],[Aboard]]-Tabla1[[#This Row],[Fatalities]]</f>
        <v>0</v>
      </c>
      <c r="W346" s="50">
        <f>IFERROR(Tabla1[[#This Row],[Fatalities]]/Tabla1[[#This Row],[Aboard]],0)</f>
        <v>1</v>
      </c>
      <c r="X346" s="51" t="str" cm="1">
        <f t="array" ref="X346">_xlfn.IFS(Tabla1[[#This Row],[Porcentaje de muertes]]&lt;0.35,"LEVE",AND(Tabla1[[#This Row],[Porcentaje de muertes]]&gt;0.35,Tabla1[[#This Row],[Porcentaje de muertes]]&lt;0.65),"MEDIO",Tabla1[[#This Row],[Porcentaje de muertes]]&gt;0.65,"GRAVE")</f>
        <v>GRAVE</v>
      </c>
    </row>
    <row r="347" spans="2:24" x14ac:dyDescent="0.3">
      <c r="B347" s="9">
        <v>345</v>
      </c>
      <c r="C347" s="49">
        <v>12669</v>
      </c>
      <c r="D347" s="9">
        <f>YEAR(Tabla1[[#This Row],[Date]])</f>
        <v>1934</v>
      </c>
      <c r="E347" s="9" t="str" cm="1">
        <f t="array" ref="E347">IFERROR(_xlfn.IFS(AND(D347&lt;1980,D347&gt;=1970),"70",AND(D347&lt;1990,D347&gt;=1980),"80",AND(D347&lt;2000,D347&gt;=1990),"90",AND(D347&lt;2010,D347&gt;=2000),"00",AND(D347&lt;=2019,D347&gt;=2010),"10"),"1908-1970")</f>
        <v>1908-1970</v>
      </c>
      <c r="F347" s="3" t="s">
        <v>28931</v>
      </c>
      <c r="G347" t="s">
        <v>6465</v>
      </c>
      <c r="H347" t="s">
        <v>6466</v>
      </c>
      <c r="I347" t="s">
        <v>28931</v>
      </c>
      <c r="J347" t="s">
        <v>6467</v>
      </c>
      <c r="K347" t="s">
        <v>5799</v>
      </c>
      <c r="L347" s="7" t="s">
        <v>6468</v>
      </c>
      <c r="M347">
        <v>33</v>
      </c>
      <c r="N347">
        <v>4</v>
      </c>
      <c r="O347">
        <v>3</v>
      </c>
      <c r="P347">
        <v>1</v>
      </c>
      <c r="Q347">
        <v>3</v>
      </c>
      <c r="R347">
        <v>2</v>
      </c>
      <c r="S347">
        <v>1</v>
      </c>
      <c r="T347">
        <v>0</v>
      </c>
      <c r="U347" t="s">
        <v>6469</v>
      </c>
      <c r="V347">
        <f>Tabla1[[#This Row],[Aboard]]-Tabla1[[#This Row],[Fatalities]]</f>
        <v>1</v>
      </c>
      <c r="W347" s="50">
        <f>IFERROR(Tabla1[[#This Row],[Fatalities]]/Tabla1[[#This Row],[Aboard]],0)</f>
        <v>0.75</v>
      </c>
      <c r="X347" s="51" t="str" cm="1">
        <f t="array" ref="X347">_xlfn.IFS(Tabla1[[#This Row],[Porcentaje de muertes]]&lt;0.35,"LEVE",AND(Tabla1[[#This Row],[Porcentaje de muertes]]&gt;0.35,Tabla1[[#This Row],[Porcentaje de muertes]]&lt;0.65),"MEDIO",Tabla1[[#This Row],[Porcentaje de muertes]]&gt;0.65,"GRAVE")</f>
        <v>GRAVE</v>
      </c>
    </row>
    <row r="348" spans="2:24" x14ac:dyDescent="0.3">
      <c r="B348" s="9">
        <v>346</v>
      </c>
      <c r="C348" s="49">
        <v>12627</v>
      </c>
      <c r="D348" s="9">
        <f>YEAR(Tabla1[[#This Row],[Date]])</f>
        <v>1934</v>
      </c>
      <c r="E348" s="9" t="str" cm="1">
        <f t="array" ref="E348">IFERROR(_xlfn.IFS(AND(D348&lt;1980,D348&gt;=1970),"70",AND(D348&lt;1990,D348&gt;=1980),"80",AND(D348&lt;2000,D348&gt;=1990),"90",AND(D348&lt;2010,D348&gt;=2000),"00",AND(D348&lt;=2019,D348&gt;=2010),"10"),"1908-1970")</f>
        <v>1908-1970</v>
      </c>
      <c r="F348" s="3">
        <v>0.40972222222222227</v>
      </c>
      <c r="G348" t="s">
        <v>6470</v>
      </c>
      <c r="H348" t="s">
        <v>6471</v>
      </c>
      <c r="I348" t="s">
        <v>28931</v>
      </c>
      <c r="J348" t="s">
        <v>6472</v>
      </c>
      <c r="K348" t="s">
        <v>6473</v>
      </c>
      <c r="L348" s="7" t="s">
        <v>6474</v>
      </c>
      <c r="M348">
        <v>53</v>
      </c>
      <c r="N348">
        <v>12</v>
      </c>
      <c r="O348">
        <v>9</v>
      </c>
      <c r="P348">
        <v>3</v>
      </c>
      <c r="Q348">
        <v>12</v>
      </c>
      <c r="R348">
        <v>9</v>
      </c>
      <c r="S348">
        <v>3</v>
      </c>
      <c r="T348">
        <v>0</v>
      </c>
      <c r="U348" t="s">
        <v>6475</v>
      </c>
      <c r="V348">
        <f>Tabla1[[#This Row],[Aboard]]-Tabla1[[#This Row],[Fatalities]]</f>
        <v>0</v>
      </c>
      <c r="W348" s="50">
        <f>IFERROR(Tabla1[[#This Row],[Fatalities]]/Tabla1[[#This Row],[Aboard]],0)</f>
        <v>1</v>
      </c>
      <c r="X348" s="51" t="str" cm="1">
        <f t="array" ref="X348">_xlfn.IFS(Tabla1[[#This Row],[Porcentaje de muertes]]&lt;0.35,"LEVE",AND(Tabla1[[#This Row],[Porcentaje de muertes]]&gt;0.35,Tabla1[[#This Row],[Porcentaje de muertes]]&lt;0.65),"MEDIO",Tabla1[[#This Row],[Porcentaje de muertes]]&gt;0.65,"GRAVE")</f>
        <v>GRAVE</v>
      </c>
    </row>
    <row r="349" spans="2:24" x14ac:dyDescent="0.3">
      <c r="B349" s="9">
        <v>347</v>
      </c>
      <c r="C349" s="49">
        <v>12547</v>
      </c>
      <c r="D349" s="9">
        <f>YEAR(Tabla1[[#This Row],[Date]])</f>
        <v>1934</v>
      </c>
      <c r="E349" s="9" t="str" cm="1">
        <f t="array" ref="E349">IFERROR(_xlfn.IFS(AND(D349&lt;1980,D349&gt;=1970),"70",AND(D349&lt;1990,D349&gt;=1980),"80",AND(D349&lt;2000,D349&gt;=1990),"90",AND(D349&lt;2010,D349&gt;=2000),"00",AND(D349&lt;=2019,D349&gt;=2010),"10"),"1908-1970")</f>
        <v>1908-1970</v>
      </c>
      <c r="F349" s="3" t="s">
        <v>28931</v>
      </c>
      <c r="G349" t="s">
        <v>6476</v>
      </c>
      <c r="H349" t="s">
        <v>6375</v>
      </c>
      <c r="I349" t="s">
        <v>28931</v>
      </c>
      <c r="J349" t="s">
        <v>28931</v>
      </c>
      <c r="K349" t="s">
        <v>5576</v>
      </c>
      <c r="L349" s="7" t="s">
        <v>6477</v>
      </c>
      <c r="M349">
        <v>662</v>
      </c>
      <c r="N349">
        <v>2</v>
      </c>
      <c r="O349">
        <v>0</v>
      </c>
      <c r="P349">
        <v>2</v>
      </c>
      <c r="Q349">
        <v>2</v>
      </c>
      <c r="R349">
        <v>0</v>
      </c>
      <c r="S349">
        <v>2</v>
      </c>
      <c r="T349">
        <v>0</v>
      </c>
      <c r="U349" t="s">
        <v>6478</v>
      </c>
      <c r="V349">
        <f>Tabla1[[#This Row],[Aboard]]-Tabla1[[#This Row],[Fatalities]]</f>
        <v>0</v>
      </c>
      <c r="W349" s="50">
        <f>IFERROR(Tabla1[[#This Row],[Fatalities]]/Tabla1[[#This Row],[Aboard]],0)</f>
        <v>1</v>
      </c>
      <c r="X349" s="51" t="str" cm="1">
        <f t="array" ref="X349">_xlfn.IFS(Tabla1[[#This Row],[Porcentaje de muertes]]&lt;0.35,"LEVE",AND(Tabla1[[#This Row],[Porcentaje de muertes]]&gt;0.35,Tabla1[[#This Row],[Porcentaje de muertes]]&lt;0.65),"MEDIO",Tabla1[[#This Row],[Porcentaje de muertes]]&gt;0.65,"GRAVE")</f>
        <v>GRAVE</v>
      </c>
    </row>
    <row r="350" spans="2:24" x14ac:dyDescent="0.3">
      <c r="B350" s="9">
        <v>348</v>
      </c>
      <c r="C350" s="49">
        <v>12700</v>
      </c>
      <c r="D350" s="9">
        <f>YEAR(Tabla1[[#This Row],[Date]])</f>
        <v>1934</v>
      </c>
      <c r="E350" s="9" t="str" cm="1">
        <f t="array" ref="E350">IFERROR(_xlfn.IFS(AND(D350&lt;1980,D350&gt;=1970),"70",AND(D350&lt;1990,D350&gt;=1980),"80",AND(D350&lt;2000,D350&gt;=1990),"90",AND(D350&lt;2010,D350&gt;=2000),"00",AND(D350&lt;=2019,D350&gt;=2010),"10"),"1908-1970")</f>
        <v>1908-1970</v>
      </c>
      <c r="F350" s="3" t="s">
        <v>28931</v>
      </c>
      <c r="G350" t="s">
        <v>6479</v>
      </c>
      <c r="H350" t="s">
        <v>6010</v>
      </c>
      <c r="I350" t="s">
        <v>28931</v>
      </c>
      <c r="J350" t="s">
        <v>28931</v>
      </c>
      <c r="K350" t="s">
        <v>6480</v>
      </c>
      <c r="L350" s="7" t="s">
        <v>28931</v>
      </c>
      <c r="M350" t="s">
        <v>28931</v>
      </c>
      <c r="N350" t="s">
        <v>5038</v>
      </c>
      <c r="O350" t="s">
        <v>5038</v>
      </c>
      <c r="P350" t="s">
        <v>5038</v>
      </c>
      <c r="Q350" t="s">
        <v>5038</v>
      </c>
      <c r="R350" t="s">
        <v>5038</v>
      </c>
      <c r="S350" t="s">
        <v>5038</v>
      </c>
      <c r="T350" t="s">
        <v>5038</v>
      </c>
      <c r="U350" t="s">
        <v>28927</v>
      </c>
      <c r="V350" t="s">
        <v>5038</v>
      </c>
      <c r="W350" s="50">
        <f>IFERROR(Tabla1[[#This Row],[Fatalities]]/Tabla1[[#This Row],[Aboard]],0)</f>
        <v>0</v>
      </c>
      <c r="X350" s="51" t="str" cm="1">
        <f t="array" ref="X350">_xlfn.IFS(Tabla1[[#This Row],[Porcentaje de muertes]]&lt;0.35,"LEVE",AND(Tabla1[[#This Row],[Porcentaje de muertes]]&gt;0.35,Tabla1[[#This Row],[Porcentaje de muertes]]&lt;0.65),"MEDIO",Tabla1[[#This Row],[Porcentaje de muertes]]&gt;0.65,"GRAVE")</f>
        <v>LEVE</v>
      </c>
    </row>
    <row r="351" spans="2:24" x14ac:dyDescent="0.3">
      <c r="B351" s="9">
        <v>349</v>
      </c>
      <c r="C351" s="49">
        <v>12662</v>
      </c>
      <c r="D351" s="9">
        <f>YEAR(Tabla1[[#This Row],[Date]])</f>
        <v>1934</v>
      </c>
      <c r="E351" s="9" t="str" cm="1">
        <f t="array" ref="E351">IFERROR(_xlfn.IFS(AND(D351&lt;1980,D351&gt;=1970),"70",AND(D351&lt;1990,D351&gt;=1980),"80",AND(D351&lt;2000,D351&gt;=1990),"90",AND(D351&lt;2010,D351&gt;=2000),"00",AND(D351&lt;=2019,D351&gt;=2010),"10"),"1908-1970")</f>
        <v>1908-1970</v>
      </c>
      <c r="F351" s="3">
        <v>0.94791666666666663</v>
      </c>
      <c r="G351" t="s">
        <v>6481</v>
      </c>
      <c r="H351" t="s">
        <v>6482</v>
      </c>
      <c r="I351">
        <v>6</v>
      </c>
      <c r="J351" t="s">
        <v>6483</v>
      </c>
      <c r="K351" t="s">
        <v>6169</v>
      </c>
      <c r="L351" s="7" t="s">
        <v>6484</v>
      </c>
      <c r="M351">
        <v>5004</v>
      </c>
      <c r="N351">
        <v>5</v>
      </c>
      <c r="O351">
        <v>4</v>
      </c>
      <c r="P351">
        <v>1</v>
      </c>
      <c r="Q351">
        <v>5</v>
      </c>
      <c r="R351">
        <v>4</v>
      </c>
      <c r="S351">
        <v>1</v>
      </c>
      <c r="T351">
        <v>0</v>
      </c>
      <c r="U351" t="s">
        <v>6485</v>
      </c>
      <c r="V351">
        <f>Tabla1[[#This Row],[Aboard]]-Tabla1[[#This Row],[Fatalities]]</f>
        <v>0</v>
      </c>
      <c r="W351" s="50">
        <f>IFERROR(Tabla1[[#This Row],[Fatalities]]/Tabla1[[#This Row],[Aboard]],0)</f>
        <v>1</v>
      </c>
      <c r="X351" s="51" t="str" cm="1">
        <f t="array" ref="X351">_xlfn.IFS(Tabla1[[#This Row],[Porcentaje de muertes]]&lt;0.35,"LEVE",AND(Tabla1[[#This Row],[Porcentaje de muertes]]&gt;0.35,Tabla1[[#This Row],[Porcentaje de muertes]]&lt;0.65),"MEDIO",Tabla1[[#This Row],[Porcentaje de muertes]]&gt;0.65,"GRAVE")</f>
        <v>GRAVE</v>
      </c>
    </row>
    <row r="352" spans="2:24" x14ac:dyDescent="0.3">
      <c r="B352" s="9">
        <v>350</v>
      </c>
      <c r="C352" s="49">
        <v>12460</v>
      </c>
      <c r="D352" s="9">
        <f>YEAR(Tabla1[[#This Row],[Date]])</f>
        <v>1934</v>
      </c>
      <c r="E352" s="9" t="str" cm="1">
        <f t="array" ref="E352">IFERROR(_xlfn.IFS(AND(D352&lt;1980,D352&gt;=1970),"70",AND(D352&lt;1990,D352&gt;=1980),"80",AND(D352&lt;2000,D352&gt;=1990),"90",AND(D352&lt;2010,D352&gt;=2000),"00",AND(D352&lt;=2019,D352&gt;=2010),"10"),"1908-1970")</f>
        <v>1908-1970</v>
      </c>
      <c r="F352" s="3">
        <v>0.4513888888888889</v>
      </c>
      <c r="G352" t="s">
        <v>5401</v>
      </c>
      <c r="H352" t="s">
        <v>6486</v>
      </c>
      <c r="I352" t="s">
        <v>28931</v>
      </c>
      <c r="J352" t="s">
        <v>5247</v>
      </c>
      <c r="K352" t="s">
        <v>6487</v>
      </c>
      <c r="L352" s="7" t="s">
        <v>6488</v>
      </c>
      <c r="M352" t="s">
        <v>28931</v>
      </c>
      <c r="N352">
        <v>7</v>
      </c>
      <c r="O352">
        <v>6</v>
      </c>
      <c r="P352">
        <v>1</v>
      </c>
      <c r="Q352">
        <v>7</v>
      </c>
      <c r="R352">
        <v>6</v>
      </c>
      <c r="S352">
        <v>1</v>
      </c>
      <c r="T352">
        <v>0</v>
      </c>
      <c r="U352" t="s">
        <v>6489</v>
      </c>
      <c r="V352">
        <f>Tabla1[[#This Row],[Aboard]]-Tabla1[[#This Row],[Fatalities]]</f>
        <v>0</v>
      </c>
      <c r="W352" s="50">
        <f>IFERROR(Tabla1[[#This Row],[Fatalities]]/Tabla1[[#This Row],[Aboard]],0)</f>
        <v>1</v>
      </c>
      <c r="X352" s="51" t="str" cm="1">
        <f t="array" ref="X352">_xlfn.IFS(Tabla1[[#This Row],[Porcentaje de muertes]]&lt;0.35,"LEVE",AND(Tabla1[[#This Row],[Porcentaje de muertes]]&gt;0.35,Tabla1[[#This Row],[Porcentaje de muertes]]&lt;0.65),"MEDIO",Tabla1[[#This Row],[Porcentaje de muertes]]&gt;0.65,"GRAVE")</f>
        <v>GRAVE</v>
      </c>
    </row>
    <row r="353" spans="2:24" x14ac:dyDescent="0.3">
      <c r="B353" s="9">
        <v>351</v>
      </c>
      <c r="C353" s="49">
        <v>12488</v>
      </c>
      <c r="D353" s="9">
        <f>YEAR(Tabla1[[#This Row],[Date]])</f>
        <v>1934</v>
      </c>
      <c r="E353" s="9" t="str" cm="1">
        <f t="array" ref="E353">IFERROR(_xlfn.IFS(AND(D353&lt;1980,D353&gt;=1970),"70",AND(D353&lt;1990,D353&gt;=1980),"80",AND(D353&lt;2000,D353&gt;=1990),"90",AND(D353&lt;2010,D353&gt;=2000),"00",AND(D353&lt;=2019,D353&gt;=2010),"10"),"1908-1970")</f>
        <v>1908-1970</v>
      </c>
      <c r="F353" s="3" t="s">
        <v>28931</v>
      </c>
      <c r="G353" t="s">
        <v>6490</v>
      </c>
      <c r="H353" t="s">
        <v>5459</v>
      </c>
      <c r="I353" t="s">
        <v>28931</v>
      </c>
      <c r="J353" t="s">
        <v>28931</v>
      </c>
      <c r="K353" t="s">
        <v>6491</v>
      </c>
      <c r="L353" s="7" t="s">
        <v>6492</v>
      </c>
      <c r="M353">
        <v>4</v>
      </c>
      <c r="N353">
        <v>3</v>
      </c>
      <c r="O353">
        <v>2</v>
      </c>
      <c r="P353">
        <v>1</v>
      </c>
      <c r="Q353">
        <v>3</v>
      </c>
      <c r="R353">
        <v>2</v>
      </c>
      <c r="S353">
        <v>1</v>
      </c>
      <c r="T353">
        <v>0</v>
      </c>
      <c r="U353" t="s">
        <v>6493</v>
      </c>
      <c r="V353">
        <f>Tabla1[[#This Row],[Aboard]]-Tabla1[[#This Row],[Fatalities]]</f>
        <v>0</v>
      </c>
      <c r="W353" s="50">
        <f>IFERROR(Tabla1[[#This Row],[Fatalities]]/Tabla1[[#This Row],[Aboard]],0)</f>
        <v>1</v>
      </c>
      <c r="X353" s="51" t="str" cm="1">
        <f t="array" ref="X353">_xlfn.IFS(Tabla1[[#This Row],[Porcentaje de muertes]]&lt;0.35,"LEVE",AND(Tabla1[[#This Row],[Porcentaje de muertes]]&gt;0.35,Tabla1[[#This Row],[Porcentaje de muertes]]&lt;0.65),"MEDIO",Tabla1[[#This Row],[Porcentaje de muertes]]&gt;0.65,"GRAVE")</f>
        <v>GRAVE</v>
      </c>
    </row>
    <row r="354" spans="2:24" x14ac:dyDescent="0.3">
      <c r="B354" s="9">
        <v>352</v>
      </c>
      <c r="C354" s="49">
        <v>12711</v>
      </c>
      <c r="D354" s="9">
        <f>YEAR(Tabla1[[#This Row],[Date]])</f>
        <v>1934</v>
      </c>
      <c r="E354" s="9" t="str" cm="1">
        <f t="array" ref="E354">IFERROR(_xlfn.IFS(AND(D354&lt;1980,D354&gt;=1970),"70",AND(D354&lt;1990,D354&gt;=1980),"80",AND(D354&lt;2000,D354&gt;=1990),"90",AND(D354&lt;2010,D354&gt;=2000),"00",AND(D354&lt;=2019,D354&gt;=2010),"10"),"1908-1970")</f>
        <v>1908-1970</v>
      </c>
      <c r="F354" s="3" t="s">
        <v>28931</v>
      </c>
      <c r="G354" t="s">
        <v>6494</v>
      </c>
      <c r="H354" t="s">
        <v>6495</v>
      </c>
      <c r="I354" t="s">
        <v>28931</v>
      </c>
      <c r="J354" t="s">
        <v>6496</v>
      </c>
      <c r="K354" t="s">
        <v>6497</v>
      </c>
      <c r="L354" s="7" t="s">
        <v>6498</v>
      </c>
      <c r="M354">
        <v>2301</v>
      </c>
      <c r="N354">
        <v>11</v>
      </c>
      <c r="O354">
        <v>10</v>
      </c>
      <c r="P354">
        <v>1</v>
      </c>
      <c r="Q354">
        <v>11</v>
      </c>
      <c r="R354">
        <v>10</v>
      </c>
      <c r="S354">
        <v>1</v>
      </c>
      <c r="T354">
        <v>0</v>
      </c>
      <c r="U354" t="s">
        <v>6499</v>
      </c>
      <c r="V354">
        <f>Tabla1[[#This Row],[Aboard]]-Tabla1[[#This Row],[Fatalities]]</f>
        <v>0</v>
      </c>
      <c r="W354" s="50">
        <f>IFERROR(Tabla1[[#This Row],[Fatalities]]/Tabla1[[#This Row],[Aboard]],0)</f>
        <v>1</v>
      </c>
      <c r="X354" s="51" t="str" cm="1">
        <f t="array" ref="X354">_xlfn.IFS(Tabla1[[#This Row],[Porcentaje de muertes]]&lt;0.35,"LEVE",AND(Tabla1[[#This Row],[Porcentaje de muertes]]&gt;0.35,Tabla1[[#This Row],[Porcentaje de muertes]]&lt;0.65),"MEDIO",Tabla1[[#This Row],[Porcentaje de muertes]]&gt;0.65,"GRAVE")</f>
        <v>GRAVE</v>
      </c>
    </row>
    <row r="355" spans="2:24" x14ac:dyDescent="0.3">
      <c r="B355" s="9">
        <v>353</v>
      </c>
      <c r="C355" s="49">
        <v>12461</v>
      </c>
      <c r="D355" s="9">
        <f>YEAR(Tabla1[[#This Row],[Date]])</f>
        <v>1934</v>
      </c>
      <c r="E355" s="9" t="str" cm="1">
        <f t="array" ref="E355">IFERROR(_xlfn.IFS(AND(D355&lt;1980,D355&gt;=1970),"70",AND(D355&lt;1990,D355&gt;=1980),"80",AND(D355&lt;2000,D355&gt;=1990),"90",AND(D355&lt;2010,D355&gt;=2000),"00",AND(D355&lt;=2019,D355&gt;=2010),"10"),"1908-1970")</f>
        <v>1908-1970</v>
      </c>
      <c r="F355" s="3" t="s">
        <v>28931</v>
      </c>
      <c r="G355" t="s">
        <v>6500</v>
      </c>
      <c r="H355" t="s">
        <v>6501</v>
      </c>
      <c r="I355" t="s">
        <v>28931</v>
      </c>
      <c r="J355" t="s">
        <v>6502</v>
      </c>
      <c r="K355" t="s">
        <v>6503</v>
      </c>
      <c r="L355" s="7" t="s">
        <v>6504</v>
      </c>
      <c r="M355">
        <v>330</v>
      </c>
      <c r="N355">
        <v>4</v>
      </c>
      <c r="O355">
        <v>2</v>
      </c>
      <c r="P355">
        <v>2</v>
      </c>
      <c r="Q355">
        <v>2</v>
      </c>
      <c r="R355">
        <v>2</v>
      </c>
      <c r="S355">
        <v>0</v>
      </c>
      <c r="T355">
        <v>0</v>
      </c>
      <c r="U355" t="s">
        <v>6505</v>
      </c>
      <c r="V355">
        <f>Tabla1[[#This Row],[Aboard]]-Tabla1[[#This Row],[Fatalities]]</f>
        <v>2</v>
      </c>
      <c r="W355" s="50">
        <f>IFERROR(Tabla1[[#This Row],[Fatalities]]/Tabla1[[#This Row],[Aboard]],0)</f>
        <v>0.5</v>
      </c>
      <c r="X355" s="51" t="str" cm="1">
        <f t="array" ref="X355">_xlfn.IFS(Tabla1[[#This Row],[Porcentaje de muertes]]&lt;0.35,"LEVE",AND(Tabla1[[#This Row],[Porcentaje de muertes]]&gt;0.35,Tabla1[[#This Row],[Porcentaje de muertes]]&lt;0.65),"MEDIO",Tabla1[[#This Row],[Porcentaje de muertes]]&gt;0.65,"GRAVE")</f>
        <v>MEDIO</v>
      </c>
    </row>
    <row r="356" spans="2:24" x14ac:dyDescent="0.3">
      <c r="B356" s="9">
        <v>354</v>
      </c>
      <c r="C356" s="49">
        <v>12738</v>
      </c>
      <c r="D356" s="9">
        <f>YEAR(Tabla1[[#This Row],[Date]])</f>
        <v>1934</v>
      </c>
      <c r="E356" s="9" t="str" cm="1">
        <f t="array" ref="E356">IFERROR(_xlfn.IFS(AND(D356&lt;1980,D356&gt;=1970),"70",AND(D356&lt;1990,D356&gt;=1980),"80",AND(D356&lt;2000,D356&gt;=1990),"90",AND(D356&lt;2010,D356&gt;=2000),"00",AND(D356&lt;=2019,D356&gt;=2010),"10"),"1908-1970")</f>
        <v>1908-1970</v>
      </c>
      <c r="F356" s="3" t="s">
        <v>28931</v>
      </c>
      <c r="G356" t="s">
        <v>6506</v>
      </c>
      <c r="H356" t="s">
        <v>5459</v>
      </c>
      <c r="I356" t="s">
        <v>28931</v>
      </c>
      <c r="J356" t="s">
        <v>6507</v>
      </c>
      <c r="K356" t="s">
        <v>6497</v>
      </c>
      <c r="L356" s="7" t="s">
        <v>6508</v>
      </c>
      <c r="M356">
        <v>2311</v>
      </c>
      <c r="N356">
        <v>4</v>
      </c>
      <c r="O356">
        <v>3</v>
      </c>
      <c r="P356">
        <v>1</v>
      </c>
      <c r="Q356">
        <v>4</v>
      </c>
      <c r="R356">
        <v>3</v>
      </c>
      <c r="S356">
        <v>1</v>
      </c>
      <c r="T356">
        <v>0</v>
      </c>
      <c r="U356" t="s">
        <v>6509</v>
      </c>
      <c r="V356">
        <f>Tabla1[[#This Row],[Aboard]]-Tabla1[[#This Row],[Fatalities]]</f>
        <v>0</v>
      </c>
      <c r="W356" s="50">
        <f>IFERROR(Tabla1[[#This Row],[Fatalities]]/Tabla1[[#This Row],[Aboard]],0)</f>
        <v>1</v>
      </c>
      <c r="X356" s="51" t="str" cm="1">
        <f t="array" ref="X356">_xlfn.IFS(Tabla1[[#This Row],[Porcentaje de muertes]]&lt;0.35,"LEVE",AND(Tabla1[[#This Row],[Porcentaje de muertes]]&gt;0.35,Tabla1[[#This Row],[Porcentaje de muertes]]&lt;0.65),"MEDIO",Tabla1[[#This Row],[Porcentaje de muertes]]&gt;0.65,"GRAVE")</f>
        <v>GRAVE</v>
      </c>
    </row>
    <row r="357" spans="2:24" x14ac:dyDescent="0.3">
      <c r="B357" s="9">
        <v>355</v>
      </c>
      <c r="C357" s="49">
        <v>12738</v>
      </c>
      <c r="D357" s="9">
        <f>YEAR(Tabla1[[#This Row],[Date]])</f>
        <v>1934</v>
      </c>
      <c r="E357" s="9" t="str" cm="1">
        <f t="array" ref="E357">IFERROR(_xlfn.IFS(AND(D357&lt;1980,D357&gt;=1970),"70",AND(D357&lt;1990,D357&gt;=1980),"80",AND(D357&lt;2000,D357&gt;=1990),"90",AND(D357&lt;2010,D357&gt;=2000),"00",AND(D357&lt;=2019,D357&gt;=2010),"10"),"1908-1970")</f>
        <v>1908-1970</v>
      </c>
      <c r="F357" s="3">
        <v>0.98749999999999993</v>
      </c>
      <c r="G357" t="s">
        <v>6510</v>
      </c>
      <c r="H357" t="s">
        <v>6482</v>
      </c>
      <c r="I357" t="s">
        <v>28931</v>
      </c>
      <c r="J357" t="s">
        <v>6511</v>
      </c>
      <c r="K357" t="s">
        <v>6512</v>
      </c>
      <c r="L357" s="7" t="s">
        <v>6513</v>
      </c>
      <c r="M357">
        <v>5031</v>
      </c>
      <c r="N357">
        <v>2</v>
      </c>
      <c r="O357">
        <v>0</v>
      </c>
      <c r="P357">
        <v>2</v>
      </c>
      <c r="Q357">
        <v>2</v>
      </c>
      <c r="R357">
        <v>0</v>
      </c>
      <c r="S357">
        <v>2</v>
      </c>
      <c r="T357">
        <v>0</v>
      </c>
      <c r="U357" t="s">
        <v>6514</v>
      </c>
      <c r="V357">
        <f>Tabla1[[#This Row],[Aboard]]-Tabla1[[#This Row],[Fatalities]]</f>
        <v>0</v>
      </c>
      <c r="W357" s="50">
        <f>IFERROR(Tabla1[[#This Row],[Fatalities]]/Tabla1[[#This Row],[Aboard]],0)</f>
        <v>1</v>
      </c>
      <c r="X357" s="51" t="str" cm="1">
        <f t="array" ref="X357">_xlfn.IFS(Tabla1[[#This Row],[Porcentaje de muertes]]&lt;0.35,"LEVE",AND(Tabla1[[#This Row],[Porcentaje de muertes]]&gt;0.35,Tabla1[[#This Row],[Porcentaje de muertes]]&lt;0.65),"MEDIO",Tabla1[[#This Row],[Porcentaje de muertes]]&gt;0.65,"GRAVE")</f>
        <v>GRAVE</v>
      </c>
    </row>
    <row r="358" spans="2:24" x14ac:dyDescent="0.3">
      <c r="B358" s="9">
        <v>356</v>
      </c>
      <c r="C358" s="49">
        <v>12612</v>
      </c>
      <c r="D358" s="9">
        <f>YEAR(Tabla1[[#This Row],[Date]])</f>
        <v>1934</v>
      </c>
      <c r="E358" s="9" t="str" cm="1">
        <f t="array" ref="E358">IFERROR(_xlfn.IFS(AND(D358&lt;1980,D358&gt;=1970),"70",AND(D358&lt;1990,D358&gt;=1980),"80",AND(D358&lt;2000,D358&gt;=1990),"90",AND(D358&lt;2010,D358&gt;=2000),"00",AND(D358&lt;=2019,D358&gt;=2010),"10"),"1908-1970")</f>
        <v>1908-1970</v>
      </c>
      <c r="F358" s="3" t="s">
        <v>28931</v>
      </c>
      <c r="G358" t="s">
        <v>6515</v>
      </c>
      <c r="H358" t="s">
        <v>5417</v>
      </c>
      <c r="I358" t="s">
        <v>28931</v>
      </c>
      <c r="J358" t="s">
        <v>6516</v>
      </c>
      <c r="K358" t="s">
        <v>5157</v>
      </c>
      <c r="L358" s="7" t="s">
        <v>6517</v>
      </c>
      <c r="M358">
        <v>2008</v>
      </c>
      <c r="N358">
        <v>3</v>
      </c>
      <c r="O358">
        <v>0</v>
      </c>
      <c r="P358">
        <v>3</v>
      </c>
      <c r="Q358">
        <v>3</v>
      </c>
      <c r="R358">
        <v>0</v>
      </c>
      <c r="S358">
        <v>3</v>
      </c>
      <c r="T358">
        <v>0</v>
      </c>
      <c r="U358" t="s">
        <v>5599</v>
      </c>
      <c r="V358">
        <f>Tabla1[[#This Row],[Aboard]]-Tabla1[[#This Row],[Fatalities]]</f>
        <v>0</v>
      </c>
      <c r="W358" s="50">
        <f>IFERROR(Tabla1[[#This Row],[Fatalities]]/Tabla1[[#This Row],[Aboard]],0)</f>
        <v>1</v>
      </c>
      <c r="X358" s="51" t="str" cm="1">
        <f t="array" ref="X358">_xlfn.IFS(Tabla1[[#This Row],[Porcentaje de muertes]]&lt;0.35,"LEVE",AND(Tabla1[[#This Row],[Porcentaje de muertes]]&gt;0.35,Tabla1[[#This Row],[Porcentaje de muertes]]&lt;0.65),"MEDIO",Tabla1[[#This Row],[Porcentaje de muertes]]&gt;0.65,"GRAVE")</f>
        <v>GRAVE</v>
      </c>
    </row>
    <row r="359" spans="2:24" x14ac:dyDescent="0.3">
      <c r="B359" s="9">
        <v>357</v>
      </c>
      <c r="C359" s="49">
        <v>12643</v>
      </c>
      <c r="D359" s="9">
        <f>YEAR(Tabla1[[#This Row],[Date]])</f>
        <v>1934</v>
      </c>
      <c r="E359" s="9" t="str" cm="1">
        <f t="array" ref="E359">IFERROR(_xlfn.IFS(AND(D359&lt;1980,D359&gt;=1970),"70",AND(D359&lt;1990,D359&gt;=1980),"80",AND(D359&lt;2000,D359&gt;=1990),"90",AND(D359&lt;2010,D359&gt;=2000),"00",AND(D359&lt;=2019,D359&gt;=2010),"10"),"1908-1970")</f>
        <v>1908-1970</v>
      </c>
      <c r="F359" s="3">
        <v>0.22916666666666666</v>
      </c>
      <c r="G359" t="s">
        <v>6518</v>
      </c>
      <c r="H359" t="s">
        <v>6080</v>
      </c>
      <c r="I359" t="s">
        <v>28931</v>
      </c>
      <c r="J359" t="s">
        <v>6519</v>
      </c>
      <c r="K359" t="s">
        <v>6520</v>
      </c>
      <c r="L359" s="7" t="s">
        <v>6521</v>
      </c>
      <c r="M359">
        <v>123</v>
      </c>
      <c r="N359">
        <v>1</v>
      </c>
      <c r="O359">
        <v>0</v>
      </c>
      <c r="P359">
        <v>1</v>
      </c>
      <c r="Q359">
        <v>1</v>
      </c>
      <c r="R359">
        <v>0</v>
      </c>
      <c r="S359">
        <v>1</v>
      </c>
      <c r="T359">
        <v>0</v>
      </c>
      <c r="U359" t="s">
        <v>6522</v>
      </c>
      <c r="V359">
        <f>Tabla1[[#This Row],[Aboard]]-Tabla1[[#This Row],[Fatalities]]</f>
        <v>0</v>
      </c>
      <c r="W359" s="50">
        <f>IFERROR(Tabla1[[#This Row],[Fatalities]]/Tabla1[[#This Row],[Aboard]],0)</f>
        <v>1</v>
      </c>
      <c r="X359" s="51" t="str" cm="1">
        <f t="array" ref="X359">_xlfn.IFS(Tabla1[[#This Row],[Porcentaje de muertes]]&lt;0.35,"LEVE",AND(Tabla1[[#This Row],[Porcentaje de muertes]]&gt;0.35,Tabla1[[#This Row],[Porcentaje de muertes]]&lt;0.65),"MEDIO",Tabla1[[#This Row],[Porcentaje de muertes]]&gt;0.65,"GRAVE")</f>
        <v>GRAVE</v>
      </c>
    </row>
    <row r="360" spans="2:24" x14ac:dyDescent="0.3">
      <c r="B360" s="9">
        <v>358</v>
      </c>
      <c r="C360" s="49">
        <v>12704</v>
      </c>
      <c r="D360" s="9">
        <f>YEAR(Tabla1[[#This Row],[Date]])</f>
        <v>1934</v>
      </c>
      <c r="E360" s="9" t="str" cm="1">
        <f t="array" ref="E360">IFERROR(_xlfn.IFS(AND(D360&lt;1980,D360&gt;=1970),"70",AND(D360&lt;1990,D360&gt;=1980),"80",AND(D360&lt;2000,D360&gt;=1990),"90",AND(D360&lt;2010,D360&gt;=2000),"00",AND(D360&lt;=2019,D360&gt;=2010),"10"),"1908-1970")</f>
        <v>1908-1970</v>
      </c>
      <c r="F360" s="3">
        <v>0.3125</v>
      </c>
      <c r="G360" t="s">
        <v>6523</v>
      </c>
      <c r="H360" t="s">
        <v>6524</v>
      </c>
      <c r="I360" t="s">
        <v>28931</v>
      </c>
      <c r="J360" t="s">
        <v>6525</v>
      </c>
      <c r="K360" t="s">
        <v>6526</v>
      </c>
      <c r="L360" s="7" t="s">
        <v>6527</v>
      </c>
      <c r="M360" t="s">
        <v>6528</v>
      </c>
      <c r="N360">
        <v>8</v>
      </c>
      <c r="O360">
        <v>5</v>
      </c>
      <c r="P360">
        <v>3</v>
      </c>
      <c r="Q360">
        <v>4</v>
      </c>
      <c r="R360">
        <v>2</v>
      </c>
      <c r="S360">
        <v>2</v>
      </c>
      <c r="T360">
        <v>0</v>
      </c>
      <c r="U360" t="s">
        <v>6529</v>
      </c>
      <c r="V360">
        <f>Tabla1[[#This Row],[Aboard]]-Tabla1[[#This Row],[Fatalities]]</f>
        <v>4</v>
      </c>
      <c r="W360" s="50">
        <f>IFERROR(Tabla1[[#This Row],[Fatalities]]/Tabla1[[#This Row],[Aboard]],0)</f>
        <v>0.5</v>
      </c>
      <c r="X360" s="51" t="str" cm="1">
        <f t="array" ref="X360">_xlfn.IFS(Tabla1[[#This Row],[Porcentaje de muertes]]&lt;0.35,"LEVE",AND(Tabla1[[#This Row],[Porcentaje de muertes]]&gt;0.35,Tabla1[[#This Row],[Porcentaje de muertes]]&lt;0.65),"MEDIO",Tabla1[[#This Row],[Porcentaje de muertes]]&gt;0.65,"GRAVE")</f>
        <v>MEDIO</v>
      </c>
    </row>
    <row r="361" spans="2:24" x14ac:dyDescent="0.3">
      <c r="B361" s="9">
        <v>359</v>
      </c>
      <c r="C361" s="49">
        <v>12773</v>
      </c>
      <c r="D361" s="9">
        <f>YEAR(Tabla1[[#This Row],[Date]])</f>
        <v>1934</v>
      </c>
      <c r="E361" s="9" t="str" cm="1">
        <f t="array" ref="E361">IFERROR(_xlfn.IFS(AND(D361&lt;1980,D361&gt;=1970),"70",AND(D361&lt;1990,D361&gt;=1980),"80",AND(D361&lt;2000,D361&gt;=1990),"90",AND(D361&lt;2010,D361&gt;=2000),"00",AND(D361&lt;=2019,D361&gt;=2010),"10"),"1908-1970")</f>
        <v>1908-1970</v>
      </c>
      <c r="F361" s="3">
        <v>0.14791666666666667</v>
      </c>
      <c r="G361" t="s">
        <v>6530</v>
      </c>
      <c r="H361" t="s">
        <v>5332</v>
      </c>
      <c r="I361" t="s">
        <v>28931</v>
      </c>
      <c r="J361" t="s">
        <v>6531</v>
      </c>
      <c r="K361" t="s">
        <v>6532</v>
      </c>
      <c r="L361" s="7" t="s">
        <v>6533</v>
      </c>
      <c r="M361">
        <v>1317</v>
      </c>
      <c r="N361">
        <v>7</v>
      </c>
      <c r="O361">
        <v>3</v>
      </c>
      <c r="P361">
        <v>4</v>
      </c>
      <c r="Q361">
        <v>7</v>
      </c>
      <c r="R361">
        <v>3</v>
      </c>
      <c r="S361">
        <v>4</v>
      </c>
      <c r="T361">
        <v>0</v>
      </c>
      <c r="U361" t="s">
        <v>6534</v>
      </c>
      <c r="V361">
        <f>Tabla1[[#This Row],[Aboard]]-Tabla1[[#This Row],[Fatalities]]</f>
        <v>0</v>
      </c>
      <c r="W361" s="50">
        <f>IFERROR(Tabla1[[#This Row],[Fatalities]]/Tabla1[[#This Row],[Aboard]],0)</f>
        <v>1</v>
      </c>
      <c r="X361" s="51" t="str" cm="1">
        <f t="array" ref="X361">_xlfn.IFS(Tabla1[[#This Row],[Porcentaje de muertes]]&lt;0.35,"LEVE",AND(Tabla1[[#This Row],[Porcentaje de muertes]]&gt;0.35,Tabla1[[#This Row],[Porcentaje de muertes]]&lt;0.65),"MEDIO",Tabla1[[#This Row],[Porcentaje de muertes]]&gt;0.65,"GRAVE")</f>
        <v>GRAVE</v>
      </c>
    </row>
    <row r="362" spans="2:24" x14ac:dyDescent="0.3">
      <c r="B362" s="9">
        <v>360</v>
      </c>
      <c r="C362" s="49">
        <v>12775</v>
      </c>
      <c r="D362" s="9">
        <f>YEAR(Tabla1[[#This Row],[Date]])</f>
        <v>1934</v>
      </c>
      <c r="E362" s="9" t="str" cm="1">
        <f t="array" ref="E362">IFERROR(_xlfn.IFS(AND(D362&lt;1980,D362&gt;=1970),"70",AND(D362&lt;1990,D362&gt;=1980),"80",AND(D362&lt;2000,D362&gt;=1990),"90",AND(D362&lt;2010,D362&gt;=2000),"00",AND(D362&lt;=2019,D362&gt;=2010),"10"),"1908-1970")</f>
        <v>1908-1970</v>
      </c>
      <c r="F362" s="3">
        <v>0.11944444444444445</v>
      </c>
      <c r="G362" t="s">
        <v>6535</v>
      </c>
      <c r="H362" t="s">
        <v>6536</v>
      </c>
      <c r="I362" t="s">
        <v>28931</v>
      </c>
      <c r="J362" t="s">
        <v>6537</v>
      </c>
      <c r="K362" t="s">
        <v>6538</v>
      </c>
      <c r="L362" s="7" t="s">
        <v>6539</v>
      </c>
      <c r="M362">
        <v>198</v>
      </c>
      <c r="N362">
        <v>1</v>
      </c>
      <c r="O362">
        <v>0</v>
      </c>
      <c r="P362">
        <v>1</v>
      </c>
      <c r="Q362">
        <v>1</v>
      </c>
      <c r="R362">
        <v>0</v>
      </c>
      <c r="S362">
        <v>1</v>
      </c>
      <c r="T362">
        <v>0</v>
      </c>
      <c r="U362" t="s">
        <v>6540</v>
      </c>
      <c r="V362">
        <f>Tabla1[[#This Row],[Aboard]]-Tabla1[[#This Row],[Fatalities]]</f>
        <v>0</v>
      </c>
      <c r="W362" s="50">
        <f>IFERROR(Tabla1[[#This Row],[Fatalities]]/Tabla1[[#This Row],[Aboard]],0)</f>
        <v>1</v>
      </c>
      <c r="X362" s="51" t="str" cm="1">
        <f t="array" ref="X362">_xlfn.IFS(Tabla1[[#This Row],[Porcentaje de muertes]]&lt;0.35,"LEVE",AND(Tabla1[[#This Row],[Porcentaje de muertes]]&gt;0.35,Tabla1[[#This Row],[Porcentaje de muertes]]&lt;0.65),"MEDIO",Tabla1[[#This Row],[Porcentaje de muertes]]&gt;0.65,"GRAVE")</f>
        <v>GRAVE</v>
      </c>
    </row>
    <row r="363" spans="2:24" x14ac:dyDescent="0.3">
      <c r="B363" s="9">
        <v>361</v>
      </c>
      <c r="C363" s="49">
        <v>12784</v>
      </c>
      <c r="D363" s="9">
        <f>YEAR(Tabla1[[#This Row],[Date]])</f>
        <v>1934</v>
      </c>
      <c r="E363" s="9" t="str" cm="1">
        <f t="array" ref="E363">IFERROR(_xlfn.IFS(AND(D363&lt;1980,D363&gt;=1970),"70",AND(D363&lt;1990,D363&gt;=1980),"80",AND(D363&lt;2000,D363&gt;=1990),"90",AND(D363&lt;2010,D363&gt;=2000),"00",AND(D363&lt;=2019,D363&gt;=2010),"10"),"1908-1970")</f>
        <v>1908-1970</v>
      </c>
      <c r="F363" s="3" t="s">
        <v>28931</v>
      </c>
      <c r="H363" t="s">
        <v>6541</v>
      </c>
      <c r="I363" t="s">
        <v>28931</v>
      </c>
      <c r="J363" t="s">
        <v>28931</v>
      </c>
      <c r="K363" t="s">
        <v>6542</v>
      </c>
      <c r="L363" s="7" t="s">
        <v>28931</v>
      </c>
      <c r="M363" t="s">
        <v>28931</v>
      </c>
      <c r="N363">
        <v>10</v>
      </c>
      <c r="O363">
        <v>8</v>
      </c>
      <c r="P363">
        <v>2</v>
      </c>
      <c r="Q363">
        <v>10</v>
      </c>
      <c r="R363">
        <v>8</v>
      </c>
      <c r="S363">
        <v>2</v>
      </c>
      <c r="T363">
        <v>0</v>
      </c>
      <c r="U363" t="s">
        <v>5274</v>
      </c>
      <c r="V363">
        <f>Tabla1[[#This Row],[Aboard]]-Tabla1[[#This Row],[Fatalities]]</f>
        <v>0</v>
      </c>
      <c r="W363" s="50">
        <f>IFERROR(Tabla1[[#This Row],[Fatalities]]/Tabla1[[#This Row],[Aboard]],0)</f>
        <v>1</v>
      </c>
      <c r="X363" s="51" t="str" cm="1">
        <f t="array" ref="X363">_xlfn.IFS(Tabla1[[#This Row],[Porcentaje de muertes]]&lt;0.35,"LEVE",AND(Tabla1[[#This Row],[Porcentaje de muertes]]&gt;0.35,Tabla1[[#This Row],[Porcentaje de muertes]]&lt;0.65),"MEDIO",Tabla1[[#This Row],[Porcentaje de muertes]]&gt;0.65,"GRAVE")</f>
        <v>GRAVE</v>
      </c>
    </row>
    <row r="364" spans="2:24" x14ac:dyDescent="0.3">
      <c r="B364" s="9">
        <v>362</v>
      </c>
      <c r="C364" s="49">
        <v>12997</v>
      </c>
      <c r="D364" s="9">
        <f>YEAR(Tabla1[[#This Row],[Date]])</f>
        <v>1935</v>
      </c>
      <c r="E364" s="9" t="str" cm="1">
        <f t="array" ref="E364">IFERROR(_xlfn.IFS(AND(D364&lt;1980,D364&gt;=1970),"70",AND(D364&lt;1990,D364&gt;=1980),"80",AND(D364&lt;2000,D364&gt;=1990),"90",AND(D364&lt;2010,D364&gt;=2000),"00",AND(D364&lt;=2019,D364&gt;=2010),"10"),"1908-1970")</f>
        <v>1908-1970</v>
      </c>
      <c r="F364" s="3" t="s">
        <v>28931</v>
      </c>
      <c r="G364" t="s">
        <v>6543</v>
      </c>
      <c r="H364" t="s">
        <v>6544</v>
      </c>
      <c r="I364" t="s">
        <v>28931</v>
      </c>
      <c r="J364" t="s">
        <v>6190</v>
      </c>
      <c r="K364" t="s">
        <v>6545</v>
      </c>
      <c r="L364" s="7" t="s">
        <v>28931</v>
      </c>
      <c r="M364" t="s">
        <v>28931</v>
      </c>
      <c r="N364">
        <v>2</v>
      </c>
      <c r="O364">
        <v>0</v>
      </c>
      <c r="P364">
        <v>2</v>
      </c>
      <c r="Q364">
        <v>0</v>
      </c>
      <c r="R364">
        <v>0</v>
      </c>
      <c r="S364">
        <v>2</v>
      </c>
      <c r="T364">
        <v>15</v>
      </c>
      <c r="U364" t="s">
        <v>6546</v>
      </c>
      <c r="V364">
        <f>Tabla1[[#This Row],[Aboard]]-Tabla1[[#This Row],[Fatalities]]</f>
        <v>2</v>
      </c>
      <c r="W364" s="50">
        <f>IFERROR(Tabla1[[#This Row],[Fatalities]]/Tabla1[[#This Row],[Aboard]],0)</f>
        <v>0</v>
      </c>
      <c r="X364" s="51" t="str" cm="1">
        <f t="array" ref="X364">_xlfn.IFS(Tabla1[[#This Row],[Porcentaje de muertes]]&lt;0.35,"LEVE",AND(Tabla1[[#This Row],[Porcentaje de muertes]]&gt;0.35,Tabla1[[#This Row],[Porcentaje de muertes]]&lt;0.65),"MEDIO",Tabla1[[#This Row],[Porcentaje de muertes]]&gt;0.65,"GRAVE")</f>
        <v>LEVE</v>
      </c>
    </row>
    <row r="365" spans="2:24" x14ac:dyDescent="0.3">
      <c r="B365" s="9">
        <v>363</v>
      </c>
      <c r="C365" s="49">
        <v>12810</v>
      </c>
      <c r="D365" s="9">
        <f>YEAR(Tabla1[[#This Row],[Date]])</f>
        <v>1935</v>
      </c>
      <c r="E365" s="9" t="str" cm="1">
        <f t="array" ref="E365">IFERROR(_xlfn.IFS(AND(D365&lt;1980,D365&gt;=1970),"70",AND(D365&lt;1990,D365&gt;=1980),"80",AND(D365&lt;2000,D365&gt;=1990),"90",AND(D365&lt;2010,D365&gt;=2000),"00",AND(D365&lt;=2019,D365&gt;=2010),"10"),"1908-1970")</f>
        <v>1908-1970</v>
      </c>
      <c r="F365" s="3" t="s">
        <v>28931</v>
      </c>
      <c r="G365" t="s">
        <v>6547</v>
      </c>
      <c r="H365" t="s">
        <v>6044</v>
      </c>
      <c r="I365" t="s">
        <v>28931</v>
      </c>
      <c r="J365" t="s">
        <v>6548</v>
      </c>
      <c r="K365" t="s">
        <v>6549</v>
      </c>
      <c r="L365" s="7" t="s">
        <v>6550</v>
      </c>
      <c r="M365" t="s">
        <v>28931</v>
      </c>
      <c r="N365">
        <v>1</v>
      </c>
      <c r="O365">
        <v>0</v>
      </c>
      <c r="P365">
        <v>1</v>
      </c>
      <c r="Q365">
        <v>1</v>
      </c>
      <c r="R365">
        <v>0</v>
      </c>
      <c r="S365">
        <v>1</v>
      </c>
      <c r="T365">
        <v>0</v>
      </c>
      <c r="U365" t="s">
        <v>6551</v>
      </c>
      <c r="V365">
        <f>Tabla1[[#This Row],[Aboard]]-Tabla1[[#This Row],[Fatalities]]</f>
        <v>0</v>
      </c>
      <c r="W365" s="50">
        <f>IFERROR(Tabla1[[#This Row],[Fatalities]]/Tabla1[[#This Row],[Aboard]],0)</f>
        <v>1</v>
      </c>
      <c r="X365" s="51" t="str" cm="1">
        <f t="array" ref="X365">_xlfn.IFS(Tabla1[[#This Row],[Porcentaje de muertes]]&lt;0.35,"LEVE",AND(Tabla1[[#This Row],[Porcentaje de muertes]]&gt;0.35,Tabla1[[#This Row],[Porcentaje de muertes]]&lt;0.65),"MEDIO",Tabla1[[#This Row],[Porcentaje de muertes]]&gt;0.65,"GRAVE")</f>
        <v>GRAVE</v>
      </c>
    </row>
    <row r="366" spans="2:24" x14ac:dyDescent="0.3">
      <c r="B366" s="9">
        <v>364</v>
      </c>
      <c r="C366" s="49">
        <v>12815</v>
      </c>
      <c r="D366" s="9">
        <f>YEAR(Tabla1[[#This Row],[Date]])</f>
        <v>1935</v>
      </c>
      <c r="E366" s="9" t="str" cm="1">
        <f t="array" ref="E366">IFERROR(_xlfn.IFS(AND(D366&lt;1980,D366&gt;=1970),"70",AND(D366&lt;1990,D366&gt;=1980),"80",AND(D366&lt;2000,D366&gt;=1990),"90",AND(D366&lt;2010,D366&gt;=2000),"00",AND(D366&lt;=2019,D366&gt;=2010),"10"),"1908-1970")</f>
        <v>1908-1970</v>
      </c>
      <c r="F366" s="3">
        <v>0.79166666666666663</v>
      </c>
      <c r="G366" t="s">
        <v>6552</v>
      </c>
      <c r="H366" t="s">
        <v>6553</v>
      </c>
      <c r="I366" t="s">
        <v>28931</v>
      </c>
      <c r="J366" t="s">
        <v>6554</v>
      </c>
      <c r="K366" t="s">
        <v>6555</v>
      </c>
      <c r="L366" s="7" t="s">
        <v>6556</v>
      </c>
      <c r="M366">
        <v>4051</v>
      </c>
      <c r="N366">
        <v>11</v>
      </c>
      <c r="O366">
        <v>8</v>
      </c>
      <c r="P366">
        <v>3</v>
      </c>
      <c r="Q366">
        <v>11</v>
      </c>
      <c r="R366">
        <v>8</v>
      </c>
      <c r="S366">
        <v>3</v>
      </c>
      <c r="T366">
        <v>0</v>
      </c>
      <c r="U366" t="s">
        <v>6557</v>
      </c>
      <c r="V366">
        <f>Tabla1[[#This Row],[Aboard]]-Tabla1[[#This Row],[Fatalities]]</f>
        <v>0</v>
      </c>
      <c r="W366" s="50">
        <f>IFERROR(Tabla1[[#This Row],[Fatalities]]/Tabla1[[#This Row],[Aboard]],0)</f>
        <v>1</v>
      </c>
      <c r="X366" s="51" t="str" cm="1">
        <f t="array" ref="X366">_xlfn.IFS(Tabla1[[#This Row],[Porcentaje de muertes]]&lt;0.35,"LEVE",AND(Tabla1[[#This Row],[Porcentaje de muertes]]&gt;0.35,Tabla1[[#This Row],[Porcentaje de muertes]]&lt;0.65),"MEDIO",Tabla1[[#This Row],[Porcentaje de muertes]]&gt;0.65,"GRAVE")</f>
        <v>GRAVE</v>
      </c>
    </row>
    <row r="367" spans="2:24" x14ac:dyDescent="0.3">
      <c r="B367" s="9">
        <v>365</v>
      </c>
      <c r="C367" s="49">
        <v>12968</v>
      </c>
      <c r="D367" s="9">
        <f>YEAR(Tabla1[[#This Row],[Date]])</f>
        <v>1935</v>
      </c>
      <c r="E367" s="9" t="str" cm="1">
        <f t="array" ref="E367">IFERROR(_xlfn.IFS(AND(D367&lt;1980,D367&gt;=1970),"70",AND(D367&lt;1990,D367&gt;=1980),"80",AND(D367&lt;2000,D367&gt;=1990),"90",AND(D367&lt;2010,D367&gt;=2000),"00",AND(D367&lt;=2019,D367&gt;=2010),"10"),"1908-1970")</f>
        <v>1908-1970</v>
      </c>
      <c r="F367" s="3" t="s">
        <v>28931</v>
      </c>
      <c r="G367" t="s">
        <v>6558</v>
      </c>
      <c r="H367" t="s">
        <v>6553</v>
      </c>
      <c r="I367" t="s">
        <v>28931</v>
      </c>
      <c r="J367" t="s">
        <v>28931</v>
      </c>
      <c r="K367" t="s">
        <v>6559</v>
      </c>
      <c r="L367" s="7" t="s">
        <v>6560</v>
      </c>
      <c r="M367">
        <v>45</v>
      </c>
      <c r="N367">
        <v>3</v>
      </c>
      <c r="O367">
        <v>0</v>
      </c>
      <c r="P367">
        <v>3</v>
      </c>
      <c r="Q367">
        <v>0</v>
      </c>
      <c r="R367">
        <v>0</v>
      </c>
      <c r="S367">
        <v>0</v>
      </c>
      <c r="T367">
        <v>0</v>
      </c>
      <c r="U367" t="s">
        <v>6561</v>
      </c>
      <c r="V367">
        <f>Tabla1[[#This Row],[Aboard]]-Tabla1[[#This Row],[Fatalities]]</f>
        <v>3</v>
      </c>
      <c r="W367" s="50">
        <f>IFERROR(Tabla1[[#This Row],[Fatalities]]/Tabla1[[#This Row],[Aboard]],0)</f>
        <v>0</v>
      </c>
      <c r="X367" s="51" t="str" cm="1">
        <f t="array" ref="X367">_xlfn.IFS(Tabla1[[#This Row],[Porcentaje de muertes]]&lt;0.35,"LEVE",AND(Tabla1[[#This Row],[Porcentaje de muertes]]&gt;0.35,Tabla1[[#This Row],[Porcentaje de muertes]]&lt;0.65),"MEDIO",Tabla1[[#This Row],[Porcentaje de muertes]]&gt;0.65,"GRAVE")</f>
        <v>LEVE</v>
      </c>
    </row>
    <row r="368" spans="2:24" x14ac:dyDescent="0.3">
      <c r="B368" s="9">
        <v>366</v>
      </c>
      <c r="C368" s="49">
        <v>12858</v>
      </c>
      <c r="D368" s="9">
        <f>YEAR(Tabla1[[#This Row],[Date]])</f>
        <v>1935</v>
      </c>
      <c r="E368" s="9" t="str" cm="1">
        <f t="array" ref="E368">IFERROR(_xlfn.IFS(AND(D368&lt;1980,D368&gt;=1970),"70",AND(D368&lt;1990,D368&gt;=1980),"80",AND(D368&lt;2000,D368&gt;=1990),"90",AND(D368&lt;2010,D368&gt;=2000),"00",AND(D368&lt;=2019,D368&gt;=2010),"10"),"1908-1970")</f>
        <v>1908-1970</v>
      </c>
      <c r="F368" s="3" t="s">
        <v>28931</v>
      </c>
      <c r="G368" t="s">
        <v>6562</v>
      </c>
      <c r="H368" t="s">
        <v>6563</v>
      </c>
      <c r="I368" t="s">
        <v>28931</v>
      </c>
      <c r="J368" t="s">
        <v>6564</v>
      </c>
      <c r="K368" t="s">
        <v>6565</v>
      </c>
      <c r="L368" s="7" t="s">
        <v>6566</v>
      </c>
      <c r="M368">
        <v>6031</v>
      </c>
      <c r="N368">
        <v>6</v>
      </c>
      <c r="O368">
        <v>5</v>
      </c>
      <c r="P368">
        <v>1</v>
      </c>
      <c r="Q368">
        <v>3</v>
      </c>
      <c r="R368">
        <v>2</v>
      </c>
      <c r="S368">
        <v>1</v>
      </c>
      <c r="T368">
        <v>0</v>
      </c>
      <c r="U368" t="s">
        <v>6567</v>
      </c>
      <c r="V368">
        <f>Tabla1[[#This Row],[Aboard]]-Tabla1[[#This Row],[Fatalities]]</f>
        <v>3</v>
      </c>
      <c r="W368" s="50">
        <f>IFERROR(Tabla1[[#This Row],[Fatalities]]/Tabla1[[#This Row],[Aboard]],0)</f>
        <v>0.5</v>
      </c>
      <c r="X368" s="51" t="str" cm="1">
        <f t="array" ref="X368">_xlfn.IFS(Tabla1[[#This Row],[Porcentaje de muertes]]&lt;0.35,"LEVE",AND(Tabla1[[#This Row],[Porcentaje de muertes]]&gt;0.35,Tabla1[[#This Row],[Porcentaje de muertes]]&lt;0.65),"MEDIO",Tabla1[[#This Row],[Porcentaje de muertes]]&gt;0.65,"GRAVE")</f>
        <v>MEDIO</v>
      </c>
    </row>
    <row r="369" spans="2:24" x14ac:dyDescent="0.3">
      <c r="B369" s="9">
        <v>367</v>
      </c>
      <c r="C369" s="49">
        <v>12872</v>
      </c>
      <c r="D369" s="9">
        <f>YEAR(Tabla1[[#This Row],[Date]])</f>
        <v>1935</v>
      </c>
      <c r="E369" s="9" t="str" cm="1">
        <f t="array" ref="E369">IFERROR(_xlfn.IFS(AND(D369&lt;1980,D369&gt;=1970),"70",AND(D369&lt;1990,D369&gt;=1980),"80",AND(D369&lt;2000,D369&gt;=1990),"90",AND(D369&lt;2010,D369&gt;=2000),"00",AND(D369&lt;=2019,D369&gt;=2010),"10"),"1908-1970")</f>
        <v>1908-1970</v>
      </c>
      <c r="F369" s="3" t="s">
        <v>28931</v>
      </c>
      <c r="G369" t="s">
        <v>6568</v>
      </c>
      <c r="H369" t="s">
        <v>5417</v>
      </c>
      <c r="I369" t="s">
        <v>28931</v>
      </c>
      <c r="J369" t="s">
        <v>6190</v>
      </c>
      <c r="K369" t="s">
        <v>5157</v>
      </c>
      <c r="L369" s="7" t="s">
        <v>6569</v>
      </c>
      <c r="M369" t="s">
        <v>28931</v>
      </c>
      <c r="N369">
        <v>5</v>
      </c>
      <c r="O369">
        <v>0</v>
      </c>
      <c r="P369">
        <v>5</v>
      </c>
      <c r="Q369">
        <v>5</v>
      </c>
      <c r="R369">
        <v>0</v>
      </c>
      <c r="S369">
        <v>5</v>
      </c>
      <c r="T369">
        <v>0</v>
      </c>
      <c r="U369" t="s">
        <v>6570</v>
      </c>
      <c r="V369">
        <f>Tabla1[[#This Row],[Aboard]]-Tabla1[[#This Row],[Fatalities]]</f>
        <v>0</v>
      </c>
      <c r="W369" s="50">
        <f>IFERROR(Tabla1[[#This Row],[Fatalities]]/Tabla1[[#This Row],[Aboard]],0)</f>
        <v>1</v>
      </c>
      <c r="X369" s="51" t="str" cm="1">
        <f t="array" ref="X369">_xlfn.IFS(Tabla1[[#This Row],[Porcentaje de muertes]]&lt;0.35,"LEVE",AND(Tabla1[[#This Row],[Porcentaje de muertes]]&gt;0.35,Tabla1[[#This Row],[Porcentaje de muertes]]&lt;0.65),"MEDIO",Tabla1[[#This Row],[Porcentaje de muertes]]&gt;0.65,"GRAVE")</f>
        <v>GRAVE</v>
      </c>
    </row>
    <row r="370" spans="2:24" x14ac:dyDescent="0.3">
      <c r="B370" s="9">
        <v>368</v>
      </c>
      <c r="C370" s="49">
        <v>12788</v>
      </c>
      <c r="D370" s="9">
        <f>YEAR(Tabla1[[#This Row],[Date]])</f>
        <v>1935</v>
      </c>
      <c r="E370" s="9" t="str" cm="1">
        <f t="array" ref="E370">IFERROR(_xlfn.IFS(AND(D370&lt;1980,D370&gt;=1970),"70",AND(D370&lt;1990,D370&gt;=1980),"80",AND(D370&lt;2000,D370&gt;=1990),"90",AND(D370&lt;2010,D370&gt;=2000),"00",AND(D370&lt;=2019,D370&gt;=2010),"10"),"1908-1970")</f>
        <v>1908-1970</v>
      </c>
      <c r="F370" s="3">
        <v>3.125E-2</v>
      </c>
      <c r="G370" t="s">
        <v>6571</v>
      </c>
      <c r="H370" t="s">
        <v>6375</v>
      </c>
      <c r="I370" t="s">
        <v>28931</v>
      </c>
      <c r="J370" t="s">
        <v>28931</v>
      </c>
      <c r="K370" t="s">
        <v>6572</v>
      </c>
      <c r="L370" s="7" t="s">
        <v>6573</v>
      </c>
      <c r="M370" t="s">
        <v>6574</v>
      </c>
      <c r="N370">
        <v>3</v>
      </c>
      <c r="O370">
        <v>0</v>
      </c>
      <c r="P370">
        <v>3</v>
      </c>
      <c r="Q370">
        <v>1</v>
      </c>
      <c r="R370">
        <v>0</v>
      </c>
      <c r="S370">
        <v>1</v>
      </c>
      <c r="T370">
        <v>0</v>
      </c>
      <c r="U370" t="s">
        <v>6575</v>
      </c>
      <c r="V370">
        <f>Tabla1[[#This Row],[Aboard]]-Tabla1[[#This Row],[Fatalities]]</f>
        <v>2</v>
      </c>
      <c r="W370" s="50">
        <f>IFERROR(Tabla1[[#This Row],[Fatalities]]/Tabla1[[#This Row],[Aboard]],0)</f>
        <v>0.33333333333333331</v>
      </c>
      <c r="X370" s="51" t="str" cm="1">
        <f t="array" ref="X370">_xlfn.IFS(Tabla1[[#This Row],[Porcentaje de muertes]]&lt;0.35,"LEVE",AND(Tabla1[[#This Row],[Porcentaje de muertes]]&gt;0.35,Tabla1[[#This Row],[Porcentaje de muertes]]&lt;0.65),"MEDIO",Tabla1[[#This Row],[Porcentaje de muertes]]&gt;0.65,"GRAVE")</f>
        <v>LEVE</v>
      </c>
    </row>
    <row r="371" spans="2:24" x14ac:dyDescent="0.3">
      <c r="B371" s="9">
        <v>369</v>
      </c>
      <c r="C371" s="49">
        <v>12939</v>
      </c>
      <c r="D371" s="9">
        <f>YEAR(Tabla1[[#This Row],[Date]])</f>
        <v>1935</v>
      </c>
      <c r="E371" s="9" t="str" cm="1">
        <f t="array" ref="E371">IFERROR(_xlfn.IFS(AND(D371&lt;1980,D371&gt;=1970),"70",AND(D371&lt;1990,D371&gt;=1980),"80",AND(D371&lt;2000,D371&gt;=1990),"90",AND(D371&lt;2010,D371&gt;=2000),"00",AND(D371&lt;=2019,D371&gt;=2010),"10"),"1908-1970")</f>
        <v>1908-1970</v>
      </c>
      <c r="F371" s="3">
        <v>0.63888888888888895</v>
      </c>
      <c r="G371" t="s">
        <v>6576</v>
      </c>
      <c r="H371" t="s">
        <v>5332</v>
      </c>
      <c r="I371" t="s">
        <v>28931</v>
      </c>
      <c r="J371" t="s">
        <v>6577</v>
      </c>
      <c r="K371" t="s">
        <v>6578</v>
      </c>
      <c r="L371" s="7" t="s">
        <v>6579</v>
      </c>
      <c r="M371">
        <v>5242</v>
      </c>
      <c r="N371">
        <v>7</v>
      </c>
      <c r="O371">
        <v>3</v>
      </c>
      <c r="P371">
        <v>4</v>
      </c>
      <c r="Q371">
        <v>7</v>
      </c>
      <c r="R371">
        <v>3</v>
      </c>
      <c r="S371">
        <v>4</v>
      </c>
      <c r="T371">
        <v>0</v>
      </c>
      <c r="U371" t="s">
        <v>6580</v>
      </c>
      <c r="V371">
        <f>Tabla1[[#This Row],[Aboard]]-Tabla1[[#This Row],[Fatalities]]</f>
        <v>0</v>
      </c>
      <c r="W371" s="50">
        <f>IFERROR(Tabla1[[#This Row],[Fatalities]]/Tabla1[[#This Row],[Aboard]],0)</f>
        <v>1</v>
      </c>
      <c r="X371" s="51" t="str" cm="1">
        <f t="array" ref="X371">_xlfn.IFS(Tabla1[[#This Row],[Porcentaje de muertes]]&lt;0.35,"LEVE",AND(Tabla1[[#This Row],[Porcentaje de muertes]]&gt;0.35,Tabla1[[#This Row],[Porcentaje de muertes]]&lt;0.65),"MEDIO",Tabla1[[#This Row],[Porcentaje de muertes]]&gt;0.65,"GRAVE")</f>
        <v>GRAVE</v>
      </c>
    </row>
    <row r="372" spans="2:24" x14ac:dyDescent="0.3">
      <c r="B372" s="9">
        <v>370</v>
      </c>
      <c r="C372" s="49">
        <v>12789</v>
      </c>
      <c r="D372" s="9">
        <f>YEAR(Tabla1[[#This Row],[Date]])</f>
        <v>1935</v>
      </c>
      <c r="E372" s="9" t="str" cm="1">
        <f t="array" ref="E372">IFERROR(_xlfn.IFS(AND(D372&lt;1980,D372&gt;=1970),"70",AND(D372&lt;1990,D372&gt;=1980),"80",AND(D372&lt;2000,D372&gt;=1990),"90",AND(D372&lt;2010,D372&gt;=2000),"00",AND(D372&lt;=2019,D372&gt;=2010),"10"),"1908-1970")</f>
        <v>1908-1970</v>
      </c>
      <c r="F372" s="3">
        <v>0.44791666666666669</v>
      </c>
      <c r="G372" t="s">
        <v>6581</v>
      </c>
      <c r="H372" t="s">
        <v>5465</v>
      </c>
      <c r="I372" t="s">
        <v>28931</v>
      </c>
      <c r="J372" t="s">
        <v>6582</v>
      </c>
      <c r="K372" t="s">
        <v>5799</v>
      </c>
      <c r="L372" s="7" t="s">
        <v>6583</v>
      </c>
      <c r="M372">
        <v>73</v>
      </c>
      <c r="N372">
        <v>1</v>
      </c>
      <c r="O372">
        <v>0</v>
      </c>
      <c r="P372">
        <v>1</v>
      </c>
      <c r="Q372">
        <v>1</v>
      </c>
      <c r="R372">
        <v>0</v>
      </c>
      <c r="S372">
        <v>1</v>
      </c>
      <c r="T372">
        <v>0</v>
      </c>
      <c r="U372" t="s">
        <v>6584</v>
      </c>
      <c r="V372">
        <f>Tabla1[[#This Row],[Aboard]]-Tabla1[[#This Row],[Fatalities]]</f>
        <v>0</v>
      </c>
      <c r="W372" s="50">
        <f>IFERROR(Tabla1[[#This Row],[Fatalities]]/Tabla1[[#This Row],[Aboard]],0)</f>
        <v>1</v>
      </c>
      <c r="X372" s="51" t="str" cm="1">
        <f t="array" ref="X372">_xlfn.IFS(Tabla1[[#This Row],[Porcentaje de muertes]]&lt;0.35,"LEVE",AND(Tabla1[[#This Row],[Porcentaje de muertes]]&gt;0.35,Tabla1[[#This Row],[Porcentaje de muertes]]&lt;0.65),"MEDIO",Tabla1[[#This Row],[Porcentaje de muertes]]&gt;0.65,"GRAVE")</f>
        <v>GRAVE</v>
      </c>
    </row>
    <row r="373" spans="2:24" x14ac:dyDescent="0.3">
      <c r="B373" s="9">
        <v>371</v>
      </c>
      <c r="C373" s="49">
        <v>12940</v>
      </c>
      <c r="D373" s="9">
        <f>YEAR(Tabla1[[#This Row],[Date]])</f>
        <v>1935</v>
      </c>
      <c r="E373" s="9" t="str" cm="1">
        <f t="array" ref="E373">IFERROR(_xlfn.IFS(AND(D373&lt;1980,D373&gt;=1970),"70",AND(D373&lt;1990,D373&gt;=1980),"80",AND(D373&lt;2000,D373&gt;=1990),"90",AND(D373&lt;2010,D373&gt;=2000),"00",AND(D373&lt;=2019,D373&gt;=2010),"10"),"1908-1970")</f>
        <v>1908-1970</v>
      </c>
      <c r="F373" s="3">
        <v>0.14583333333333334</v>
      </c>
      <c r="G373" t="s">
        <v>6585</v>
      </c>
      <c r="H373" t="s">
        <v>6044</v>
      </c>
      <c r="I373">
        <v>6</v>
      </c>
      <c r="J373" t="s">
        <v>6586</v>
      </c>
      <c r="K373" t="s">
        <v>6587</v>
      </c>
      <c r="L373" s="7" t="s">
        <v>6588</v>
      </c>
      <c r="M373">
        <v>1295</v>
      </c>
      <c r="N373">
        <v>14</v>
      </c>
      <c r="O373">
        <v>12</v>
      </c>
      <c r="P373">
        <v>2</v>
      </c>
      <c r="Q373">
        <v>5</v>
      </c>
      <c r="R373">
        <v>3</v>
      </c>
      <c r="S373">
        <v>2</v>
      </c>
      <c r="T373">
        <v>0</v>
      </c>
      <c r="U373" t="s">
        <v>6589</v>
      </c>
      <c r="V373">
        <f>Tabla1[[#This Row],[Aboard]]-Tabla1[[#This Row],[Fatalities]]</f>
        <v>9</v>
      </c>
      <c r="W373" s="50">
        <f>IFERROR(Tabla1[[#This Row],[Fatalities]]/Tabla1[[#This Row],[Aboard]],0)</f>
        <v>0.35714285714285715</v>
      </c>
      <c r="X373" s="51" t="str" cm="1">
        <f t="array" ref="X373">_xlfn.IFS(Tabla1[[#This Row],[Porcentaje de muertes]]&lt;0.35,"LEVE",AND(Tabla1[[#This Row],[Porcentaje de muertes]]&gt;0.35,Tabla1[[#This Row],[Porcentaje de muertes]]&lt;0.65),"MEDIO",Tabla1[[#This Row],[Porcentaje de muertes]]&gt;0.65,"GRAVE")</f>
        <v>MEDIO</v>
      </c>
    </row>
    <row r="374" spans="2:24" x14ac:dyDescent="0.3">
      <c r="B374" s="9">
        <v>372</v>
      </c>
      <c r="C374" s="49">
        <v>12922</v>
      </c>
      <c r="D374" s="9">
        <f>YEAR(Tabla1[[#This Row],[Date]])</f>
        <v>1935</v>
      </c>
      <c r="E374" s="9" t="str" cm="1">
        <f t="array" ref="E374">IFERROR(_xlfn.IFS(AND(D374&lt;1980,D374&gt;=1970),"70",AND(D374&lt;1990,D374&gt;=1980),"80",AND(D374&lt;2000,D374&gt;=1990),"90",AND(D374&lt;2010,D374&gt;=2000),"00",AND(D374&lt;=2019,D374&gt;=2010),"10"),"1908-1970")</f>
        <v>1908-1970</v>
      </c>
      <c r="F374" s="3">
        <v>3.125E-2</v>
      </c>
      <c r="G374" t="s">
        <v>6590</v>
      </c>
      <c r="H374" t="s">
        <v>6591</v>
      </c>
      <c r="I374" t="s">
        <v>28931</v>
      </c>
      <c r="J374" t="s">
        <v>5018</v>
      </c>
      <c r="K374" t="s">
        <v>6592</v>
      </c>
      <c r="L374" s="7" t="s">
        <v>6593</v>
      </c>
      <c r="M374" t="s">
        <v>28931</v>
      </c>
      <c r="N374">
        <v>50</v>
      </c>
      <c r="O374">
        <v>37</v>
      </c>
      <c r="P374">
        <v>13</v>
      </c>
      <c r="Q374">
        <v>50</v>
      </c>
      <c r="R374">
        <v>37</v>
      </c>
      <c r="S374">
        <v>13</v>
      </c>
      <c r="T374">
        <v>2</v>
      </c>
      <c r="U374" t="s">
        <v>6594</v>
      </c>
      <c r="V374">
        <f>Tabla1[[#This Row],[Aboard]]-Tabla1[[#This Row],[Fatalities]]</f>
        <v>0</v>
      </c>
      <c r="W374" s="50">
        <f>IFERROR(Tabla1[[#This Row],[Fatalities]]/Tabla1[[#This Row],[Aboard]],0)</f>
        <v>1</v>
      </c>
      <c r="X374" s="51" t="str" cm="1">
        <f t="array" ref="X374">_xlfn.IFS(Tabla1[[#This Row],[Porcentaje de muertes]]&lt;0.35,"LEVE",AND(Tabla1[[#This Row],[Porcentaje de muertes]]&gt;0.35,Tabla1[[#This Row],[Porcentaje de muertes]]&lt;0.65),"MEDIO",Tabla1[[#This Row],[Porcentaje de muertes]]&gt;0.65,"GRAVE")</f>
        <v>GRAVE</v>
      </c>
    </row>
    <row r="375" spans="2:24" x14ac:dyDescent="0.3">
      <c r="B375" s="9">
        <v>373</v>
      </c>
      <c r="C375" s="49">
        <v>12922</v>
      </c>
      <c r="D375" s="9">
        <f>YEAR(Tabla1[[#This Row],[Date]])</f>
        <v>1935</v>
      </c>
      <c r="E375" s="9" t="str" cm="1">
        <f t="array" ref="E375">IFERROR(_xlfn.IFS(AND(D375&lt;1980,D375&gt;=1970),"70",AND(D375&lt;1990,D375&gt;=1980),"80",AND(D375&lt;2000,D375&gt;=1990),"90",AND(D375&lt;2010,D375&gt;=2000),"00",AND(D375&lt;=2019,D375&gt;=2010),"10"),"1908-1970")</f>
        <v>1908-1970</v>
      </c>
      <c r="F375" s="3">
        <v>0.77430555555555547</v>
      </c>
      <c r="G375" t="s">
        <v>6595</v>
      </c>
      <c r="H375" t="s">
        <v>6596</v>
      </c>
      <c r="I375" t="s">
        <v>28931</v>
      </c>
      <c r="J375" t="s">
        <v>5494</v>
      </c>
      <c r="K375" t="s">
        <v>6597</v>
      </c>
      <c r="L375" s="7" t="s">
        <v>6598</v>
      </c>
      <c r="M375" t="s">
        <v>6599</v>
      </c>
      <c r="N375">
        <v>12</v>
      </c>
      <c r="O375">
        <v>11</v>
      </c>
      <c r="P375">
        <v>1</v>
      </c>
      <c r="Q375">
        <v>3</v>
      </c>
      <c r="R375">
        <v>2</v>
      </c>
      <c r="S375">
        <v>1</v>
      </c>
      <c r="T375">
        <v>0</v>
      </c>
      <c r="U375" t="s">
        <v>6600</v>
      </c>
      <c r="V375">
        <f>Tabla1[[#This Row],[Aboard]]-Tabla1[[#This Row],[Fatalities]]</f>
        <v>9</v>
      </c>
      <c r="W375" s="50">
        <f>IFERROR(Tabla1[[#This Row],[Fatalities]]/Tabla1[[#This Row],[Aboard]],0)</f>
        <v>0.25</v>
      </c>
      <c r="X375" s="51" t="str" cm="1">
        <f t="array" ref="X375">_xlfn.IFS(Tabla1[[#This Row],[Porcentaje de muertes]]&lt;0.35,"LEVE",AND(Tabla1[[#This Row],[Porcentaje de muertes]]&gt;0.35,Tabla1[[#This Row],[Porcentaje de muertes]]&lt;0.65),"MEDIO",Tabla1[[#This Row],[Porcentaje de muertes]]&gt;0.65,"GRAVE")</f>
        <v>LEVE</v>
      </c>
    </row>
    <row r="376" spans="2:24" x14ac:dyDescent="0.3">
      <c r="B376" s="9">
        <v>374</v>
      </c>
      <c r="C376" s="49">
        <v>12931</v>
      </c>
      <c r="D376" s="9">
        <f>YEAR(Tabla1[[#This Row],[Date]])</f>
        <v>1935</v>
      </c>
      <c r="E376" s="9" t="str" cm="1">
        <f t="array" ref="E376">IFERROR(_xlfn.IFS(AND(D376&lt;1980,D376&gt;=1970),"70",AND(D376&lt;1990,D376&gt;=1980),"80",AND(D376&lt;2000,D376&gt;=1990),"90",AND(D376&lt;2010,D376&gt;=2000),"00",AND(D376&lt;=2019,D376&gt;=2010),"10"),"1908-1970")</f>
        <v>1908-1970</v>
      </c>
      <c r="F376" s="3">
        <v>0.66666666666666663</v>
      </c>
      <c r="G376" t="s">
        <v>6601</v>
      </c>
      <c r="H376" t="s">
        <v>6602</v>
      </c>
      <c r="I376" t="s">
        <v>28931</v>
      </c>
      <c r="J376" t="s">
        <v>6603</v>
      </c>
      <c r="K376" t="s">
        <v>6604</v>
      </c>
      <c r="L376" s="7" t="s">
        <v>6605</v>
      </c>
      <c r="M376">
        <v>1153</v>
      </c>
      <c r="N376">
        <v>1</v>
      </c>
      <c r="O376">
        <v>0</v>
      </c>
      <c r="P376">
        <v>1</v>
      </c>
      <c r="Q376">
        <v>1</v>
      </c>
      <c r="R376">
        <v>0</v>
      </c>
      <c r="S376">
        <v>1</v>
      </c>
      <c r="T376">
        <v>0</v>
      </c>
      <c r="U376" t="s">
        <v>6606</v>
      </c>
      <c r="V376">
        <f>Tabla1[[#This Row],[Aboard]]-Tabla1[[#This Row],[Fatalities]]</f>
        <v>0</v>
      </c>
      <c r="W376" s="50">
        <f>IFERROR(Tabla1[[#This Row],[Fatalities]]/Tabla1[[#This Row],[Aboard]],0)</f>
        <v>1</v>
      </c>
      <c r="X376" s="51" t="str" cm="1">
        <f t="array" ref="X376">_xlfn.IFS(Tabla1[[#This Row],[Porcentaje de muertes]]&lt;0.35,"LEVE",AND(Tabla1[[#This Row],[Porcentaje de muertes]]&gt;0.35,Tabla1[[#This Row],[Porcentaje de muertes]]&lt;0.65),"MEDIO",Tabla1[[#This Row],[Porcentaje de muertes]]&gt;0.65,"GRAVE")</f>
        <v>GRAVE</v>
      </c>
    </row>
    <row r="377" spans="2:24" x14ac:dyDescent="0.3">
      <c r="B377" s="9">
        <v>375</v>
      </c>
      <c r="C377" s="49">
        <v>12932</v>
      </c>
      <c r="D377" s="9">
        <f>YEAR(Tabla1[[#This Row],[Date]])</f>
        <v>1935</v>
      </c>
      <c r="E377" s="9" t="str" cm="1">
        <f t="array" ref="E377">IFERROR(_xlfn.IFS(AND(D377&lt;1980,D377&gt;=1970),"70",AND(D377&lt;1990,D377&gt;=1980),"80",AND(D377&lt;2000,D377&gt;=1990),"90",AND(D377&lt;2010,D377&gt;=2000),"00",AND(D377&lt;=2019,D377&gt;=2010),"10"),"1908-1970")</f>
        <v>1908-1970</v>
      </c>
      <c r="F377" s="3">
        <v>0.93402777777777779</v>
      </c>
      <c r="G377" t="s">
        <v>6607</v>
      </c>
      <c r="H377" t="s">
        <v>6608</v>
      </c>
      <c r="I377" t="s">
        <v>28931</v>
      </c>
      <c r="J377" t="s">
        <v>6609</v>
      </c>
      <c r="K377" t="s">
        <v>6610</v>
      </c>
      <c r="L377" s="7" t="s">
        <v>6611</v>
      </c>
      <c r="M377">
        <v>5050</v>
      </c>
      <c r="N377">
        <v>2</v>
      </c>
      <c r="O377">
        <v>1</v>
      </c>
      <c r="P377">
        <v>1</v>
      </c>
      <c r="Q377">
        <v>2</v>
      </c>
      <c r="R377">
        <v>1</v>
      </c>
      <c r="S377">
        <v>1</v>
      </c>
      <c r="T377">
        <v>0</v>
      </c>
      <c r="U377" t="s">
        <v>6612</v>
      </c>
      <c r="V377">
        <f>Tabla1[[#This Row],[Aboard]]-Tabla1[[#This Row],[Fatalities]]</f>
        <v>0</v>
      </c>
      <c r="W377" s="50">
        <f>IFERROR(Tabla1[[#This Row],[Fatalities]]/Tabla1[[#This Row],[Aboard]],0)</f>
        <v>1</v>
      </c>
      <c r="X377" s="51" t="str" cm="1">
        <f t="array" ref="X377">_xlfn.IFS(Tabla1[[#This Row],[Porcentaje de muertes]]&lt;0.35,"LEVE",AND(Tabla1[[#This Row],[Porcentaje de muertes]]&gt;0.35,Tabla1[[#This Row],[Porcentaje de muertes]]&lt;0.65),"MEDIO",Tabla1[[#This Row],[Porcentaje de muertes]]&gt;0.65,"GRAVE")</f>
        <v>GRAVE</v>
      </c>
    </row>
    <row r="378" spans="2:24" x14ac:dyDescent="0.3">
      <c r="B378" s="9">
        <v>376</v>
      </c>
      <c r="C378" s="49">
        <v>12933</v>
      </c>
      <c r="D378" s="9">
        <f>YEAR(Tabla1[[#This Row],[Date]])</f>
        <v>1935</v>
      </c>
      <c r="E378" s="9" t="str" cm="1">
        <f t="array" ref="E378">IFERROR(_xlfn.IFS(AND(D378&lt;1980,D378&gt;=1970),"70",AND(D378&lt;1990,D378&gt;=1980),"80",AND(D378&lt;2000,D378&gt;=1990),"90",AND(D378&lt;2010,D378&gt;=2000),"00",AND(D378&lt;=2019,D378&gt;=2010),"10"),"1908-1970")</f>
        <v>1908-1970</v>
      </c>
      <c r="F378" s="3" t="s">
        <v>28931</v>
      </c>
      <c r="G378" t="s">
        <v>6613</v>
      </c>
      <c r="H378" t="s">
        <v>28931</v>
      </c>
      <c r="I378" t="s">
        <v>28931</v>
      </c>
      <c r="J378" t="s">
        <v>28931</v>
      </c>
      <c r="K378" t="s">
        <v>5038</v>
      </c>
      <c r="L378" s="7" t="s">
        <v>28931</v>
      </c>
      <c r="M378" t="s">
        <v>28931</v>
      </c>
      <c r="N378">
        <v>9</v>
      </c>
      <c r="O378" t="s">
        <v>5038</v>
      </c>
      <c r="P378" t="s">
        <v>5038</v>
      </c>
      <c r="Q378">
        <v>6</v>
      </c>
      <c r="R378" t="s">
        <v>5038</v>
      </c>
      <c r="S378" t="s">
        <v>5038</v>
      </c>
      <c r="T378">
        <v>0</v>
      </c>
      <c r="U378" t="s">
        <v>6614</v>
      </c>
      <c r="V378">
        <f>Tabla1[[#This Row],[Aboard]]-Tabla1[[#This Row],[Fatalities]]</f>
        <v>3</v>
      </c>
      <c r="W378" s="50">
        <f>IFERROR(Tabla1[[#This Row],[Fatalities]]/Tabla1[[#This Row],[Aboard]],0)</f>
        <v>0.66666666666666663</v>
      </c>
      <c r="X378" s="51" t="str" cm="1">
        <f t="array" ref="X378">_xlfn.IFS(Tabla1[[#This Row],[Porcentaje de muertes]]&lt;0.35,"LEVE",AND(Tabla1[[#This Row],[Porcentaje de muertes]]&gt;0.35,Tabla1[[#This Row],[Porcentaje de muertes]]&lt;0.65),"MEDIO",Tabla1[[#This Row],[Porcentaje de muertes]]&gt;0.65,"GRAVE")</f>
        <v>GRAVE</v>
      </c>
    </row>
    <row r="379" spans="2:24" x14ac:dyDescent="0.3">
      <c r="B379" s="9">
        <v>377</v>
      </c>
      <c r="C379" s="49">
        <v>12959</v>
      </c>
      <c r="D379" s="9">
        <f>YEAR(Tabla1[[#This Row],[Date]])</f>
        <v>1935</v>
      </c>
      <c r="E379" s="9" t="str" cm="1">
        <f t="array" ref="E379">IFERROR(_xlfn.IFS(AND(D379&lt;1980,D379&gt;=1970),"70",AND(D379&lt;1990,D379&gt;=1980),"80",AND(D379&lt;2000,D379&gt;=1990),"90",AND(D379&lt;2010,D379&gt;=2000),"00",AND(D379&lt;=2019,D379&gt;=2010),"10"),"1908-1970")</f>
        <v>1908-1970</v>
      </c>
      <c r="F379" s="3">
        <v>0.60833333333333328</v>
      </c>
      <c r="G379" t="s">
        <v>6615</v>
      </c>
      <c r="H379" t="s">
        <v>6616</v>
      </c>
      <c r="I379" t="s">
        <v>28931</v>
      </c>
      <c r="J379" t="s">
        <v>6617</v>
      </c>
      <c r="K379" t="s">
        <v>6618</v>
      </c>
      <c r="L379" s="7" t="s">
        <v>6619</v>
      </c>
      <c r="M379" t="s">
        <v>6620</v>
      </c>
      <c r="N379">
        <v>20</v>
      </c>
      <c r="O379">
        <v>18</v>
      </c>
      <c r="P379">
        <v>2</v>
      </c>
      <c r="Q379">
        <v>17</v>
      </c>
      <c r="R379">
        <v>15</v>
      </c>
      <c r="S379">
        <v>2</v>
      </c>
      <c r="T379">
        <v>0</v>
      </c>
      <c r="U379" t="s">
        <v>6621</v>
      </c>
      <c r="V379">
        <f>Tabla1[[#This Row],[Aboard]]-Tabla1[[#This Row],[Fatalities]]</f>
        <v>3</v>
      </c>
      <c r="W379" s="50">
        <f>IFERROR(Tabla1[[#This Row],[Fatalities]]/Tabla1[[#This Row],[Aboard]],0)</f>
        <v>0.85</v>
      </c>
      <c r="X379" s="51" t="str" cm="1">
        <f t="array" ref="X379">_xlfn.IFS(Tabla1[[#This Row],[Porcentaje de muertes]]&lt;0.35,"LEVE",AND(Tabla1[[#This Row],[Porcentaje de muertes]]&gt;0.35,Tabla1[[#This Row],[Porcentaje de muertes]]&lt;0.65),"MEDIO",Tabla1[[#This Row],[Porcentaje de muertes]]&gt;0.65,"GRAVE")</f>
        <v>GRAVE</v>
      </c>
    </row>
    <row r="380" spans="2:24" x14ac:dyDescent="0.3">
      <c r="B380" s="9">
        <v>378</v>
      </c>
      <c r="C380" s="49">
        <v>12979</v>
      </c>
      <c r="D380" s="9">
        <f>YEAR(Tabla1[[#This Row],[Date]])</f>
        <v>1935</v>
      </c>
      <c r="E380" s="9" t="str" cm="1">
        <f t="array" ref="E380">IFERROR(_xlfn.IFS(AND(D380&lt;1980,D380&gt;=1970),"70",AND(D380&lt;1990,D380&gt;=1980),"80",AND(D380&lt;2000,D380&gt;=1990),"90",AND(D380&lt;2010,D380&gt;=2000),"00",AND(D380&lt;=2019,D380&gt;=2010),"10"),"1908-1970")</f>
        <v>1908-1970</v>
      </c>
      <c r="F380" s="3">
        <v>0.40277777777777773</v>
      </c>
      <c r="G380" t="s">
        <v>6622</v>
      </c>
      <c r="H380" t="s">
        <v>5332</v>
      </c>
      <c r="I380" t="s">
        <v>28931</v>
      </c>
      <c r="J380" t="s">
        <v>6623</v>
      </c>
      <c r="K380" t="s">
        <v>6624</v>
      </c>
      <c r="L380" s="7" t="s">
        <v>6625</v>
      </c>
      <c r="M380">
        <v>5358</v>
      </c>
      <c r="N380">
        <v>20</v>
      </c>
      <c r="O380">
        <v>15</v>
      </c>
      <c r="P380">
        <v>5</v>
      </c>
      <c r="Q380">
        <v>6</v>
      </c>
      <c r="R380">
        <v>2</v>
      </c>
      <c r="S380">
        <v>4</v>
      </c>
      <c r="T380">
        <v>0</v>
      </c>
      <c r="U380" t="s">
        <v>6626</v>
      </c>
      <c r="V380">
        <f>Tabla1[[#This Row],[Aboard]]-Tabla1[[#This Row],[Fatalities]]</f>
        <v>14</v>
      </c>
      <c r="W380" s="50">
        <f>IFERROR(Tabla1[[#This Row],[Fatalities]]/Tabla1[[#This Row],[Aboard]],0)</f>
        <v>0.3</v>
      </c>
      <c r="X380" s="51" t="str" cm="1">
        <f t="array" ref="X380">_xlfn.IFS(Tabla1[[#This Row],[Porcentaje de muertes]]&lt;0.35,"LEVE",AND(Tabla1[[#This Row],[Porcentaje de muertes]]&gt;0.35,Tabla1[[#This Row],[Porcentaje de muertes]]&lt;0.65),"MEDIO",Tabla1[[#This Row],[Porcentaje de muertes]]&gt;0.65,"GRAVE")</f>
        <v>LEVE</v>
      </c>
    </row>
    <row r="381" spans="2:24" x14ac:dyDescent="0.3">
      <c r="B381" s="9">
        <v>379</v>
      </c>
      <c r="C381" s="49">
        <v>12984</v>
      </c>
      <c r="D381" s="9">
        <f>YEAR(Tabla1[[#This Row],[Date]])</f>
        <v>1935</v>
      </c>
      <c r="E381" s="9" t="str" cm="1">
        <f t="array" ref="E381">IFERROR(_xlfn.IFS(AND(D381&lt;1980,D381&gt;=1970),"70",AND(D381&lt;1990,D381&gt;=1980),"80",AND(D381&lt;2000,D381&gt;=1990),"90",AND(D381&lt;2010,D381&gt;=2000),"00",AND(D381&lt;=2019,D381&gt;=2010),"10"),"1908-1970")</f>
        <v>1908-1970</v>
      </c>
      <c r="F381" s="3">
        <v>0.59722222222222221</v>
      </c>
      <c r="G381" t="s">
        <v>6627</v>
      </c>
      <c r="H381" t="s">
        <v>6628</v>
      </c>
      <c r="I381" t="s">
        <v>28931</v>
      </c>
      <c r="J381" t="s">
        <v>6629</v>
      </c>
      <c r="K381" t="s">
        <v>6630</v>
      </c>
      <c r="L381" s="7" t="s">
        <v>6631</v>
      </c>
      <c r="M381" t="s">
        <v>28931</v>
      </c>
      <c r="N381">
        <v>2</v>
      </c>
      <c r="O381">
        <v>1</v>
      </c>
      <c r="P381">
        <v>1</v>
      </c>
      <c r="Q381">
        <v>2</v>
      </c>
      <c r="R381">
        <v>1</v>
      </c>
      <c r="S381">
        <v>1</v>
      </c>
      <c r="T381">
        <v>0</v>
      </c>
      <c r="U381" t="s">
        <v>6632</v>
      </c>
      <c r="V381">
        <f>Tabla1[[#This Row],[Aboard]]-Tabla1[[#This Row],[Fatalities]]</f>
        <v>0</v>
      </c>
      <c r="W381" s="50">
        <f>IFERROR(Tabla1[[#This Row],[Fatalities]]/Tabla1[[#This Row],[Aboard]],0)</f>
        <v>1</v>
      </c>
      <c r="X381" s="51" t="str" cm="1">
        <f t="array" ref="X381">_xlfn.IFS(Tabla1[[#This Row],[Porcentaje de muertes]]&lt;0.35,"LEVE",AND(Tabla1[[#This Row],[Porcentaje de muertes]]&gt;0.35,Tabla1[[#This Row],[Porcentaje de muertes]]&lt;0.65),"MEDIO",Tabla1[[#This Row],[Porcentaje de muertes]]&gt;0.65,"GRAVE")</f>
        <v>GRAVE</v>
      </c>
    </row>
    <row r="382" spans="2:24" x14ac:dyDescent="0.3">
      <c r="B382" s="9">
        <v>380</v>
      </c>
      <c r="C382" s="49">
        <v>12985</v>
      </c>
      <c r="D382" s="9">
        <f>YEAR(Tabla1[[#This Row],[Date]])</f>
        <v>1935</v>
      </c>
      <c r="E382" s="9" t="str" cm="1">
        <f t="array" ref="E382">IFERROR(_xlfn.IFS(AND(D382&lt;1980,D382&gt;=1970),"70",AND(D382&lt;1990,D382&gt;=1980),"80",AND(D382&lt;2000,D382&gt;=1990),"90",AND(D382&lt;2010,D382&gt;=2000),"00",AND(D382&lt;=2019,D382&gt;=2010),"10"),"1908-1970")</f>
        <v>1908-1970</v>
      </c>
      <c r="F382" s="3">
        <v>0.52083333333333337</v>
      </c>
      <c r="G382" t="s">
        <v>6633</v>
      </c>
      <c r="H382" t="s">
        <v>5332</v>
      </c>
      <c r="I382" t="s">
        <v>28931</v>
      </c>
      <c r="J382" t="s">
        <v>6634</v>
      </c>
      <c r="K382" t="s">
        <v>6635</v>
      </c>
      <c r="L382" s="7" t="s">
        <v>6636</v>
      </c>
      <c r="M382">
        <v>1335</v>
      </c>
      <c r="N382">
        <v>13</v>
      </c>
      <c r="O382">
        <v>9</v>
      </c>
      <c r="P382">
        <v>4</v>
      </c>
      <c r="Q382">
        <v>13</v>
      </c>
      <c r="R382">
        <v>9</v>
      </c>
      <c r="S382">
        <v>4</v>
      </c>
      <c r="T382">
        <v>0</v>
      </c>
      <c r="U382" t="s">
        <v>6637</v>
      </c>
      <c r="V382">
        <f>Tabla1[[#This Row],[Aboard]]-Tabla1[[#This Row],[Fatalities]]</f>
        <v>0</v>
      </c>
      <c r="W382" s="50">
        <f>IFERROR(Tabla1[[#This Row],[Fatalities]]/Tabla1[[#This Row],[Aboard]],0)</f>
        <v>1</v>
      </c>
      <c r="X382" s="51" t="str" cm="1">
        <f t="array" ref="X382">_xlfn.IFS(Tabla1[[#This Row],[Porcentaje de muertes]]&lt;0.35,"LEVE",AND(Tabla1[[#This Row],[Porcentaje de muertes]]&gt;0.35,Tabla1[[#This Row],[Porcentaje de muertes]]&lt;0.65),"MEDIO",Tabla1[[#This Row],[Porcentaje de muertes]]&gt;0.65,"GRAVE")</f>
        <v>GRAVE</v>
      </c>
    </row>
    <row r="383" spans="2:24" x14ac:dyDescent="0.3">
      <c r="B383" s="9">
        <v>381</v>
      </c>
      <c r="C383" s="49">
        <v>12988</v>
      </c>
      <c r="D383" s="9">
        <f>YEAR(Tabla1[[#This Row],[Date]])</f>
        <v>1935</v>
      </c>
      <c r="E383" s="9" t="str" cm="1">
        <f t="array" ref="E383">IFERROR(_xlfn.IFS(AND(D383&lt;1980,D383&gt;=1970),"70",AND(D383&lt;1990,D383&gt;=1980),"80",AND(D383&lt;2000,D383&gt;=1990),"90",AND(D383&lt;2010,D383&gt;=2000),"00",AND(D383&lt;=2019,D383&gt;=2010),"10"),"1908-1970")</f>
        <v>1908-1970</v>
      </c>
      <c r="F383" s="3" t="s">
        <v>28931</v>
      </c>
      <c r="G383" t="s">
        <v>6638</v>
      </c>
      <c r="H383" t="s">
        <v>6639</v>
      </c>
      <c r="I383" t="s">
        <v>28931</v>
      </c>
      <c r="J383" t="s">
        <v>6640</v>
      </c>
      <c r="K383" t="s">
        <v>6641</v>
      </c>
      <c r="L383" s="7" t="s">
        <v>6642</v>
      </c>
      <c r="M383">
        <v>6063</v>
      </c>
      <c r="N383">
        <v>8</v>
      </c>
      <c r="O383">
        <v>7</v>
      </c>
      <c r="P383">
        <v>1</v>
      </c>
      <c r="Q383">
        <v>1</v>
      </c>
      <c r="R383">
        <v>3</v>
      </c>
      <c r="S383">
        <v>0</v>
      </c>
      <c r="T383">
        <v>0</v>
      </c>
      <c r="U383" t="s">
        <v>6643</v>
      </c>
      <c r="V383">
        <f>Tabla1[[#This Row],[Aboard]]-Tabla1[[#This Row],[Fatalities]]</f>
        <v>7</v>
      </c>
      <c r="W383" s="50">
        <f>IFERROR(Tabla1[[#This Row],[Fatalities]]/Tabla1[[#This Row],[Aboard]],0)</f>
        <v>0.125</v>
      </c>
      <c r="X383" s="51" t="str" cm="1">
        <f t="array" ref="X383">_xlfn.IFS(Tabla1[[#This Row],[Porcentaje de muertes]]&lt;0.35,"LEVE",AND(Tabla1[[#This Row],[Porcentaje de muertes]]&gt;0.35,Tabla1[[#This Row],[Porcentaje de muertes]]&lt;0.65),"MEDIO",Tabla1[[#This Row],[Porcentaje de muertes]]&gt;0.65,"GRAVE")</f>
        <v>LEVE</v>
      </c>
    </row>
    <row r="384" spans="2:24" x14ac:dyDescent="0.3">
      <c r="B384" s="9">
        <v>382</v>
      </c>
      <c r="C384" s="49">
        <v>12993</v>
      </c>
      <c r="D384" s="9">
        <f>YEAR(Tabla1[[#This Row],[Date]])</f>
        <v>1935</v>
      </c>
      <c r="E384" s="9" t="str" cm="1">
        <f t="array" ref="E384">IFERROR(_xlfn.IFS(AND(D384&lt;1980,D384&gt;=1970),"70",AND(D384&lt;1990,D384&gt;=1980),"80",AND(D384&lt;2000,D384&gt;=1990),"90",AND(D384&lt;2010,D384&gt;=2000),"00",AND(D384&lt;=2019,D384&gt;=2010),"10"),"1908-1970")</f>
        <v>1908-1970</v>
      </c>
      <c r="F384" s="3" t="s">
        <v>28931</v>
      </c>
      <c r="G384" t="s">
        <v>6644</v>
      </c>
      <c r="H384" t="s">
        <v>6645</v>
      </c>
      <c r="I384" t="s">
        <v>28931</v>
      </c>
      <c r="J384" t="s">
        <v>6646</v>
      </c>
      <c r="K384" t="s">
        <v>6060</v>
      </c>
      <c r="L384" s="7">
        <v>406</v>
      </c>
      <c r="M384">
        <v>2779</v>
      </c>
      <c r="N384">
        <v>5</v>
      </c>
      <c r="O384">
        <v>3</v>
      </c>
      <c r="P384">
        <v>2</v>
      </c>
      <c r="Q384">
        <v>5</v>
      </c>
      <c r="R384">
        <v>3</v>
      </c>
      <c r="S384">
        <v>2</v>
      </c>
      <c r="T384">
        <v>0</v>
      </c>
      <c r="U384" t="s">
        <v>6647</v>
      </c>
      <c r="V384">
        <f>Tabla1[[#This Row],[Aboard]]-Tabla1[[#This Row],[Fatalities]]</f>
        <v>0</v>
      </c>
      <c r="W384" s="50">
        <f>IFERROR(Tabla1[[#This Row],[Fatalities]]/Tabla1[[#This Row],[Aboard]],0)</f>
        <v>1</v>
      </c>
      <c r="X384" s="51" t="str" cm="1">
        <f t="array" ref="X384">_xlfn.IFS(Tabla1[[#This Row],[Porcentaje de muertes]]&lt;0.35,"LEVE",AND(Tabla1[[#This Row],[Porcentaje de muertes]]&gt;0.35,Tabla1[[#This Row],[Porcentaje de muertes]]&lt;0.65),"MEDIO",Tabla1[[#This Row],[Porcentaje de muertes]]&gt;0.65,"GRAVE")</f>
        <v>GRAVE</v>
      </c>
    </row>
    <row r="385" spans="2:24" x14ac:dyDescent="0.3">
      <c r="B385" s="9">
        <v>383</v>
      </c>
      <c r="C385" s="49">
        <v>12973</v>
      </c>
      <c r="D385" s="9">
        <f>YEAR(Tabla1[[#This Row],[Date]])</f>
        <v>1935</v>
      </c>
      <c r="E385" s="9" t="str" cm="1">
        <f t="array" ref="E385">IFERROR(_xlfn.IFS(AND(D385&lt;1980,D385&gt;=1970),"70",AND(D385&lt;1990,D385&gt;=1980),"80",AND(D385&lt;2000,D385&gt;=1990),"90",AND(D385&lt;2010,D385&gt;=2000),"00",AND(D385&lt;=2019,D385&gt;=2010),"10"),"1908-1970")</f>
        <v>1908-1970</v>
      </c>
      <c r="F385" s="3">
        <v>0.33333333333333331</v>
      </c>
      <c r="G385" t="s">
        <v>6648</v>
      </c>
      <c r="H385" t="s">
        <v>6649</v>
      </c>
      <c r="I385" t="s">
        <v>28931</v>
      </c>
      <c r="J385" t="s">
        <v>6650</v>
      </c>
      <c r="K385" t="s">
        <v>6651</v>
      </c>
      <c r="L385" s="7" t="s">
        <v>6652</v>
      </c>
      <c r="M385">
        <v>15004</v>
      </c>
      <c r="N385">
        <v>7</v>
      </c>
      <c r="O385">
        <v>3</v>
      </c>
      <c r="P385">
        <v>4</v>
      </c>
      <c r="Q385">
        <v>7</v>
      </c>
      <c r="R385">
        <v>3</v>
      </c>
      <c r="S385">
        <v>4</v>
      </c>
      <c r="T385">
        <v>0</v>
      </c>
      <c r="U385" t="s">
        <v>6653</v>
      </c>
      <c r="V385">
        <f>Tabla1[[#This Row],[Aboard]]-Tabla1[[#This Row],[Fatalities]]</f>
        <v>0</v>
      </c>
      <c r="W385" s="50">
        <f>IFERROR(Tabla1[[#This Row],[Fatalities]]/Tabla1[[#This Row],[Aboard]],0)</f>
        <v>1</v>
      </c>
      <c r="X385" s="51" t="str" cm="1">
        <f t="array" ref="X385">_xlfn.IFS(Tabla1[[#This Row],[Porcentaje de muertes]]&lt;0.35,"LEVE",AND(Tabla1[[#This Row],[Porcentaje de muertes]]&gt;0.35,Tabla1[[#This Row],[Porcentaje de muertes]]&lt;0.65),"MEDIO",Tabla1[[#This Row],[Porcentaje de muertes]]&gt;0.65,"GRAVE")</f>
        <v>GRAVE</v>
      </c>
    </row>
    <row r="386" spans="2:24" x14ac:dyDescent="0.3">
      <c r="B386" s="9">
        <v>384</v>
      </c>
      <c r="C386" s="49">
        <v>13009</v>
      </c>
      <c r="D386" s="9">
        <f>YEAR(Tabla1[[#This Row],[Date]])</f>
        <v>1935</v>
      </c>
      <c r="E386" s="9" t="str" cm="1">
        <f t="array" ref="E386">IFERROR(_xlfn.IFS(AND(D386&lt;1980,D386&gt;=1970),"70",AND(D386&lt;1990,D386&gt;=1980),"80",AND(D386&lt;2000,D386&gt;=1990),"90",AND(D386&lt;2010,D386&gt;=2000),"00",AND(D386&lt;=2019,D386&gt;=2010),"10"),"1908-1970")</f>
        <v>1908-1970</v>
      </c>
      <c r="F386" s="3" t="s">
        <v>28931</v>
      </c>
      <c r="G386" t="s">
        <v>6654</v>
      </c>
      <c r="H386" t="s">
        <v>6010</v>
      </c>
      <c r="I386" t="s">
        <v>28931</v>
      </c>
      <c r="J386" t="s">
        <v>28931</v>
      </c>
      <c r="K386" t="s">
        <v>6480</v>
      </c>
      <c r="L386" s="7" t="s">
        <v>6655</v>
      </c>
      <c r="M386" t="s">
        <v>28931</v>
      </c>
      <c r="N386" t="s">
        <v>5038</v>
      </c>
      <c r="O386" t="s">
        <v>5038</v>
      </c>
      <c r="P386" t="s">
        <v>5038</v>
      </c>
      <c r="Q386" t="s">
        <v>5038</v>
      </c>
      <c r="R386" t="s">
        <v>5038</v>
      </c>
      <c r="S386" t="s">
        <v>5038</v>
      </c>
      <c r="T386" t="s">
        <v>5038</v>
      </c>
      <c r="U386" t="s">
        <v>6656</v>
      </c>
      <c r="V386" t="s">
        <v>5038</v>
      </c>
      <c r="W386" s="50">
        <f>IFERROR(Tabla1[[#This Row],[Fatalities]]/Tabla1[[#This Row],[Aboard]],0)</f>
        <v>0</v>
      </c>
      <c r="X386" s="51" t="str" cm="1">
        <f t="array" ref="X386">_xlfn.IFS(Tabla1[[#This Row],[Porcentaje de muertes]]&lt;0.35,"LEVE",AND(Tabla1[[#This Row],[Porcentaje de muertes]]&gt;0.35,Tabla1[[#This Row],[Porcentaje de muertes]]&lt;0.65),"MEDIO",Tabla1[[#This Row],[Porcentaje de muertes]]&gt;0.65,"GRAVE")</f>
        <v>LEVE</v>
      </c>
    </row>
    <row r="387" spans="2:24" x14ac:dyDescent="0.3">
      <c r="B387" s="9">
        <v>385</v>
      </c>
      <c r="C387" s="49">
        <v>13010</v>
      </c>
      <c r="D387" s="9">
        <f>YEAR(Tabla1[[#This Row],[Date]])</f>
        <v>1935</v>
      </c>
      <c r="E387" s="9" t="str" cm="1">
        <f t="array" ref="E387">IFERROR(_xlfn.IFS(AND(D387&lt;1980,D387&gt;=1970),"70",AND(D387&lt;1990,D387&gt;=1980),"80",AND(D387&lt;2000,D387&gt;=1990),"90",AND(D387&lt;2010,D387&gt;=2000),"00",AND(D387&lt;=2019,D387&gt;=2010),"10"),"1908-1970")</f>
        <v>1908-1970</v>
      </c>
      <c r="F387" s="3">
        <v>0.98958333333333337</v>
      </c>
      <c r="G387" t="s">
        <v>6657</v>
      </c>
      <c r="H387" t="s">
        <v>6658</v>
      </c>
      <c r="I387">
        <v>4</v>
      </c>
      <c r="J387" t="s">
        <v>6659</v>
      </c>
      <c r="K387" t="s">
        <v>6660</v>
      </c>
      <c r="L387" s="7" t="s">
        <v>6661</v>
      </c>
      <c r="M387">
        <v>9103</v>
      </c>
      <c r="N387">
        <v>4</v>
      </c>
      <c r="O387">
        <v>3</v>
      </c>
      <c r="P387">
        <v>1</v>
      </c>
      <c r="Q387">
        <v>4</v>
      </c>
      <c r="R387">
        <v>3</v>
      </c>
      <c r="S387">
        <v>1</v>
      </c>
      <c r="T387">
        <v>0</v>
      </c>
      <c r="U387" t="s">
        <v>6662</v>
      </c>
      <c r="V387">
        <f>Tabla1[[#This Row],[Aboard]]-Tabla1[[#This Row],[Fatalities]]</f>
        <v>0</v>
      </c>
      <c r="W387" s="50">
        <f>IFERROR(Tabla1[[#This Row],[Fatalities]]/Tabla1[[#This Row],[Aboard]],0)</f>
        <v>1</v>
      </c>
      <c r="X387" s="51" t="str" cm="1">
        <f t="array" ref="X387">_xlfn.IFS(Tabla1[[#This Row],[Porcentaje de muertes]]&lt;0.35,"LEVE",AND(Tabla1[[#This Row],[Porcentaje de muertes]]&gt;0.35,Tabla1[[#This Row],[Porcentaje de muertes]]&lt;0.65),"MEDIO",Tabla1[[#This Row],[Porcentaje de muertes]]&gt;0.65,"GRAVE")</f>
        <v>GRAVE</v>
      </c>
    </row>
    <row r="388" spans="2:24" x14ac:dyDescent="0.3">
      <c r="B388" s="9">
        <v>386</v>
      </c>
      <c r="C388" s="49">
        <v>13011</v>
      </c>
      <c r="D388" s="9">
        <f>YEAR(Tabla1[[#This Row],[Date]])</f>
        <v>1935</v>
      </c>
      <c r="E388" s="9" t="str" cm="1">
        <f t="array" ref="E388">IFERROR(_xlfn.IFS(AND(D388&lt;1980,D388&gt;=1970),"70",AND(D388&lt;1990,D388&gt;=1980),"80",AND(D388&lt;2000,D388&gt;=1990),"90",AND(D388&lt;2010,D388&gt;=2000),"00",AND(D388&lt;=2019,D388&gt;=2010),"10"),"1908-1970")</f>
        <v>1908-1970</v>
      </c>
      <c r="F388" s="3">
        <v>0.84583333333333333</v>
      </c>
      <c r="G388" t="s">
        <v>6663</v>
      </c>
      <c r="H388" t="s">
        <v>5032</v>
      </c>
      <c r="I388" t="s">
        <v>28931</v>
      </c>
      <c r="J388" t="s">
        <v>28931</v>
      </c>
      <c r="K388" t="s">
        <v>6664</v>
      </c>
      <c r="L388" s="7" t="s">
        <v>6665</v>
      </c>
      <c r="M388">
        <v>195</v>
      </c>
      <c r="N388">
        <v>2</v>
      </c>
      <c r="O388">
        <v>1</v>
      </c>
      <c r="P388">
        <v>1</v>
      </c>
      <c r="Q388">
        <v>2</v>
      </c>
      <c r="R388">
        <v>1</v>
      </c>
      <c r="S388">
        <v>1</v>
      </c>
      <c r="T388">
        <v>0</v>
      </c>
      <c r="U388" t="s">
        <v>6666</v>
      </c>
      <c r="V388">
        <f>Tabla1[[#This Row],[Aboard]]-Tabla1[[#This Row],[Fatalities]]</f>
        <v>0</v>
      </c>
      <c r="W388" s="50">
        <f>IFERROR(Tabla1[[#This Row],[Fatalities]]/Tabla1[[#This Row],[Aboard]],0)</f>
        <v>1</v>
      </c>
      <c r="X388" s="51" t="str" cm="1">
        <f t="array" ref="X388">_xlfn.IFS(Tabla1[[#This Row],[Porcentaje de muertes]]&lt;0.35,"LEVE",AND(Tabla1[[#This Row],[Porcentaje de muertes]]&gt;0.35,Tabla1[[#This Row],[Porcentaje de muertes]]&lt;0.65),"MEDIO",Tabla1[[#This Row],[Porcentaje de muertes]]&gt;0.65,"GRAVE")</f>
        <v>GRAVE</v>
      </c>
    </row>
    <row r="389" spans="2:24" x14ac:dyDescent="0.3">
      <c r="B389" s="9">
        <v>387</v>
      </c>
      <c r="C389" s="49">
        <v>13011</v>
      </c>
      <c r="D389" s="9">
        <f>YEAR(Tabla1[[#This Row],[Date]])</f>
        <v>1935</v>
      </c>
      <c r="E389" s="9" t="str" cm="1">
        <f t="array" ref="E389">IFERROR(_xlfn.IFS(AND(D389&lt;1980,D389&gt;=1970),"70",AND(D389&lt;1990,D389&gt;=1980),"80",AND(D389&lt;2000,D389&gt;=1990),"90",AND(D389&lt;2010,D389&gt;=2000),"00",AND(D389&lt;=2019,D389&gt;=2010),"10"),"1908-1970")</f>
        <v>1908-1970</v>
      </c>
      <c r="F389" s="3">
        <v>0.83888888888888891</v>
      </c>
      <c r="G389" t="s">
        <v>6667</v>
      </c>
      <c r="H389" t="s">
        <v>6668</v>
      </c>
      <c r="I389" t="s">
        <v>28931</v>
      </c>
      <c r="J389" t="s">
        <v>6669</v>
      </c>
      <c r="K389" t="s">
        <v>6670</v>
      </c>
      <c r="L389" s="7" t="s">
        <v>6671</v>
      </c>
      <c r="M389">
        <v>4202</v>
      </c>
      <c r="N389">
        <v>3</v>
      </c>
      <c r="O389">
        <v>2</v>
      </c>
      <c r="P389">
        <v>1</v>
      </c>
      <c r="Q389">
        <v>3</v>
      </c>
      <c r="R389">
        <v>2</v>
      </c>
      <c r="S389">
        <v>1</v>
      </c>
      <c r="T389">
        <v>0</v>
      </c>
      <c r="U389" t="s">
        <v>6672</v>
      </c>
      <c r="V389">
        <f>Tabla1[[#This Row],[Aboard]]-Tabla1[[#This Row],[Fatalities]]</f>
        <v>0</v>
      </c>
      <c r="W389" s="50">
        <f>IFERROR(Tabla1[[#This Row],[Fatalities]]/Tabla1[[#This Row],[Aboard]],0)</f>
        <v>1</v>
      </c>
      <c r="X389" s="51" t="str" cm="1">
        <f t="array" ref="X389">_xlfn.IFS(Tabla1[[#This Row],[Porcentaje de muertes]]&lt;0.35,"LEVE",AND(Tabla1[[#This Row],[Porcentaje de muertes]]&gt;0.35,Tabla1[[#This Row],[Porcentaje de muertes]]&lt;0.65),"MEDIO",Tabla1[[#This Row],[Porcentaje de muertes]]&gt;0.65,"GRAVE")</f>
        <v>GRAVE</v>
      </c>
    </row>
    <row r="390" spans="2:24" x14ac:dyDescent="0.3">
      <c r="B390" s="9">
        <v>388</v>
      </c>
      <c r="C390" s="49">
        <v>12793</v>
      </c>
      <c r="D390" s="9">
        <f>YEAR(Tabla1[[#This Row],[Date]])</f>
        <v>1935</v>
      </c>
      <c r="E390" s="9" t="str" cm="1">
        <f t="array" ref="E390">IFERROR(_xlfn.IFS(AND(D390&lt;1980,D390&gt;=1970),"70",AND(D390&lt;1990,D390&gt;=1980),"80",AND(D390&lt;2000,D390&gt;=1990),"90",AND(D390&lt;2010,D390&gt;=2000),"00",AND(D390&lt;=2019,D390&gt;=2010),"10"),"1908-1970")</f>
        <v>1908-1970</v>
      </c>
      <c r="F390" s="3">
        <v>0.95833333333333337</v>
      </c>
      <c r="G390" t="s">
        <v>6053</v>
      </c>
      <c r="H390" t="s">
        <v>6673</v>
      </c>
      <c r="I390" t="s">
        <v>28931</v>
      </c>
      <c r="J390" t="s">
        <v>6674</v>
      </c>
      <c r="K390" t="s">
        <v>6371</v>
      </c>
      <c r="L390" s="7" t="s">
        <v>6675</v>
      </c>
      <c r="M390">
        <v>1695</v>
      </c>
      <c r="N390">
        <v>3</v>
      </c>
      <c r="O390">
        <v>0</v>
      </c>
      <c r="P390">
        <v>3</v>
      </c>
      <c r="Q390">
        <v>3</v>
      </c>
      <c r="R390">
        <v>0</v>
      </c>
      <c r="S390">
        <v>3</v>
      </c>
      <c r="T390">
        <v>0</v>
      </c>
      <c r="U390" t="s">
        <v>6676</v>
      </c>
      <c r="V390">
        <f>Tabla1[[#This Row],[Aboard]]-Tabla1[[#This Row],[Fatalities]]</f>
        <v>0</v>
      </c>
      <c r="W390" s="50">
        <f>IFERROR(Tabla1[[#This Row],[Fatalities]]/Tabla1[[#This Row],[Aboard]],0)</f>
        <v>1</v>
      </c>
      <c r="X390" s="51" t="str" cm="1">
        <f t="array" ref="X390">_xlfn.IFS(Tabla1[[#This Row],[Porcentaje de muertes]]&lt;0.35,"LEVE",AND(Tabla1[[#This Row],[Porcentaje de muertes]]&gt;0.35,Tabla1[[#This Row],[Porcentaje de muertes]]&lt;0.65),"MEDIO",Tabla1[[#This Row],[Porcentaje de muertes]]&gt;0.65,"GRAVE")</f>
        <v>GRAVE</v>
      </c>
    </row>
    <row r="391" spans="2:24" x14ac:dyDescent="0.3">
      <c r="B391" s="9">
        <v>389</v>
      </c>
      <c r="C391" s="49">
        <v>13040</v>
      </c>
      <c r="D391" s="9">
        <f>YEAR(Tabla1[[#This Row],[Date]])</f>
        <v>1935</v>
      </c>
      <c r="E391" s="9" t="str" cm="1">
        <f t="array" ref="E391">IFERROR(_xlfn.IFS(AND(D391&lt;1980,D391&gt;=1970),"70",AND(D391&lt;1990,D391&gt;=1980),"80",AND(D391&lt;2000,D391&gt;=1990),"90",AND(D391&lt;2010,D391&gt;=2000),"00",AND(D391&lt;=2019,D391&gt;=2010),"10"),"1908-1970")</f>
        <v>1908-1970</v>
      </c>
      <c r="F391" s="3">
        <v>0.375</v>
      </c>
      <c r="G391" t="s">
        <v>6677</v>
      </c>
      <c r="H391" t="s">
        <v>6678</v>
      </c>
      <c r="I391" t="s">
        <v>28931</v>
      </c>
      <c r="J391" t="s">
        <v>6679</v>
      </c>
      <c r="K391" t="s">
        <v>6680</v>
      </c>
      <c r="L391" s="7" t="s">
        <v>28931</v>
      </c>
      <c r="M391" t="s">
        <v>28931</v>
      </c>
      <c r="N391">
        <v>8</v>
      </c>
      <c r="O391">
        <v>7</v>
      </c>
      <c r="P391">
        <v>1</v>
      </c>
      <c r="Q391">
        <v>8</v>
      </c>
      <c r="R391">
        <v>7</v>
      </c>
      <c r="S391">
        <v>1</v>
      </c>
      <c r="T391">
        <v>0</v>
      </c>
      <c r="U391" t="s">
        <v>6681</v>
      </c>
      <c r="V391">
        <f>Tabla1[[#This Row],[Aboard]]-Tabla1[[#This Row],[Fatalities]]</f>
        <v>0</v>
      </c>
      <c r="W391" s="50">
        <f>IFERROR(Tabla1[[#This Row],[Fatalities]]/Tabla1[[#This Row],[Aboard]],0)</f>
        <v>1</v>
      </c>
      <c r="X391" s="51" t="str" cm="1">
        <f t="array" ref="X391">_xlfn.IFS(Tabla1[[#This Row],[Porcentaje de muertes]]&lt;0.35,"LEVE",AND(Tabla1[[#This Row],[Porcentaje de muertes]]&gt;0.35,Tabla1[[#This Row],[Porcentaje de muertes]]&lt;0.65),"MEDIO",Tabla1[[#This Row],[Porcentaje de muertes]]&gt;0.65,"GRAVE")</f>
        <v>GRAVE</v>
      </c>
    </row>
    <row r="392" spans="2:24" x14ac:dyDescent="0.3">
      <c r="B392" s="9">
        <v>390</v>
      </c>
      <c r="C392" s="49">
        <v>12825</v>
      </c>
      <c r="D392" s="9">
        <f>YEAR(Tabla1[[#This Row],[Date]])</f>
        <v>1935</v>
      </c>
      <c r="E392" s="9" t="str" cm="1">
        <f t="array" ref="E392">IFERROR(_xlfn.IFS(AND(D392&lt;1980,D392&gt;=1970),"70",AND(D392&lt;1990,D392&gt;=1980),"80",AND(D392&lt;2000,D392&gt;=1990),"90",AND(D392&lt;2010,D392&gt;=2000),"00",AND(D392&lt;=2019,D392&gt;=2010),"10"),"1908-1970")</f>
        <v>1908-1970</v>
      </c>
      <c r="F392" s="3">
        <v>0.41319444444444442</v>
      </c>
      <c r="G392" t="s">
        <v>6682</v>
      </c>
      <c r="H392" t="s">
        <v>6683</v>
      </c>
      <c r="I392" t="s">
        <v>28931</v>
      </c>
      <c r="J392" t="s">
        <v>6684</v>
      </c>
      <c r="K392" t="s">
        <v>6497</v>
      </c>
      <c r="L392" s="7" t="s">
        <v>6685</v>
      </c>
      <c r="M392">
        <v>2312</v>
      </c>
      <c r="N392">
        <v>5</v>
      </c>
      <c r="O392">
        <v>3</v>
      </c>
      <c r="P392">
        <v>2</v>
      </c>
      <c r="Q392">
        <v>5</v>
      </c>
      <c r="R392">
        <v>3</v>
      </c>
      <c r="S392">
        <v>2</v>
      </c>
      <c r="T392">
        <v>0</v>
      </c>
      <c r="U392" t="s">
        <v>6686</v>
      </c>
      <c r="V392">
        <f>Tabla1[[#This Row],[Aboard]]-Tabla1[[#This Row],[Fatalities]]</f>
        <v>0</v>
      </c>
      <c r="W392" s="50">
        <f>IFERROR(Tabla1[[#This Row],[Fatalities]]/Tabla1[[#This Row],[Aboard]],0)</f>
        <v>1</v>
      </c>
      <c r="X392" s="51" t="str" cm="1">
        <f t="array" ref="X392">_xlfn.IFS(Tabla1[[#This Row],[Porcentaje de muertes]]&lt;0.35,"LEVE",AND(Tabla1[[#This Row],[Porcentaje de muertes]]&gt;0.35,Tabla1[[#This Row],[Porcentaje de muertes]]&lt;0.65),"MEDIO",Tabla1[[#This Row],[Porcentaje de muertes]]&gt;0.65,"GRAVE")</f>
        <v>GRAVE</v>
      </c>
    </row>
    <row r="393" spans="2:24" x14ac:dyDescent="0.3">
      <c r="B393" s="9">
        <v>391</v>
      </c>
      <c r="C393" s="49">
        <v>12975</v>
      </c>
      <c r="D393" s="9">
        <f>YEAR(Tabla1[[#This Row],[Date]])</f>
        <v>1935</v>
      </c>
      <c r="E393" s="9" t="str" cm="1">
        <f t="array" ref="E393">IFERROR(_xlfn.IFS(AND(D393&lt;1980,D393&gt;=1970),"70",AND(D393&lt;1990,D393&gt;=1980),"80",AND(D393&lt;2000,D393&gt;=1990),"90",AND(D393&lt;2010,D393&gt;=2000),"00",AND(D393&lt;=2019,D393&gt;=2010),"10"),"1908-1970")</f>
        <v>1908-1970</v>
      </c>
      <c r="F393" s="3">
        <v>9.6527777777777768E-2</v>
      </c>
      <c r="G393" t="s">
        <v>6687</v>
      </c>
      <c r="H393" t="s">
        <v>6369</v>
      </c>
      <c r="I393">
        <v>4</v>
      </c>
      <c r="J393" t="s">
        <v>6416</v>
      </c>
      <c r="K393" t="s">
        <v>6688</v>
      </c>
      <c r="L393" s="7" t="s">
        <v>6689</v>
      </c>
      <c r="M393">
        <v>1698</v>
      </c>
      <c r="N393">
        <v>12</v>
      </c>
      <c r="O393">
        <v>9</v>
      </c>
      <c r="P393">
        <v>3</v>
      </c>
      <c r="Q393">
        <v>12</v>
      </c>
      <c r="R393">
        <v>9</v>
      </c>
      <c r="S393">
        <v>3</v>
      </c>
      <c r="T393">
        <v>0</v>
      </c>
      <c r="U393" t="s">
        <v>6690</v>
      </c>
      <c r="V393">
        <f>Tabla1[[#This Row],[Aboard]]-Tabla1[[#This Row],[Fatalities]]</f>
        <v>0</v>
      </c>
      <c r="W393" s="50">
        <f>IFERROR(Tabla1[[#This Row],[Fatalities]]/Tabla1[[#This Row],[Aboard]],0)</f>
        <v>1</v>
      </c>
      <c r="X393" s="51" t="str" cm="1">
        <f t="array" ref="X393">_xlfn.IFS(Tabla1[[#This Row],[Porcentaje de muertes]]&lt;0.35,"LEVE",AND(Tabla1[[#This Row],[Porcentaje de muertes]]&gt;0.35,Tabla1[[#This Row],[Porcentaje de muertes]]&lt;0.65),"MEDIO",Tabla1[[#This Row],[Porcentaje de muertes]]&gt;0.65,"GRAVE")</f>
        <v>GRAVE</v>
      </c>
    </row>
    <row r="394" spans="2:24" x14ac:dyDescent="0.3">
      <c r="B394" s="9">
        <v>392</v>
      </c>
      <c r="C394" s="49">
        <v>13037</v>
      </c>
      <c r="D394" s="9">
        <f>YEAR(Tabla1[[#This Row],[Date]])</f>
        <v>1935</v>
      </c>
      <c r="E394" s="9" t="str" cm="1">
        <f t="array" ref="E394">IFERROR(_xlfn.IFS(AND(D394&lt;1980,D394&gt;=1970),"70",AND(D394&lt;1990,D394&gt;=1980),"80",AND(D394&lt;2000,D394&gt;=1990),"90",AND(D394&lt;2010,D394&gt;=2000),"00",AND(D394&lt;=2019,D394&gt;=2010),"10"),"1908-1970")</f>
        <v>1908-1970</v>
      </c>
      <c r="F394" s="3" t="s">
        <v>28931</v>
      </c>
      <c r="G394" t="s">
        <v>6691</v>
      </c>
      <c r="H394" t="s">
        <v>5519</v>
      </c>
      <c r="I394" t="s">
        <v>28931</v>
      </c>
      <c r="J394" t="s">
        <v>5520</v>
      </c>
      <c r="K394" t="s">
        <v>5157</v>
      </c>
      <c r="L394" s="7" t="s">
        <v>6692</v>
      </c>
      <c r="M394">
        <v>2033</v>
      </c>
      <c r="N394">
        <v>6</v>
      </c>
      <c r="O394">
        <v>4</v>
      </c>
      <c r="P394">
        <v>2</v>
      </c>
      <c r="Q394">
        <v>6</v>
      </c>
      <c r="R394">
        <v>4</v>
      </c>
      <c r="S394">
        <v>2</v>
      </c>
      <c r="T394">
        <v>0</v>
      </c>
      <c r="U394" t="s">
        <v>6693</v>
      </c>
      <c r="V394">
        <f>Tabla1[[#This Row],[Aboard]]-Tabla1[[#This Row],[Fatalities]]</f>
        <v>0</v>
      </c>
      <c r="W394" s="50">
        <f>IFERROR(Tabla1[[#This Row],[Fatalities]]/Tabla1[[#This Row],[Aboard]],0)</f>
        <v>1</v>
      </c>
      <c r="X394" s="51" t="str" cm="1">
        <f t="array" ref="X394">_xlfn.IFS(Tabla1[[#This Row],[Porcentaje de muertes]]&lt;0.35,"LEVE",AND(Tabla1[[#This Row],[Porcentaje de muertes]]&gt;0.35,Tabla1[[#This Row],[Porcentaje de muertes]]&lt;0.65),"MEDIO",Tabla1[[#This Row],[Porcentaje de muertes]]&gt;0.65,"GRAVE")</f>
        <v>GRAVE</v>
      </c>
    </row>
    <row r="395" spans="2:24" x14ac:dyDescent="0.3">
      <c r="B395" s="9">
        <v>393</v>
      </c>
      <c r="C395" s="49">
        <v>13078</v>
      </c>
      <c r="D395" s="9">
        <f>YEAR(Tabla1[[#This Row],[Date]])</f>
        <v>1935</v>
      </c>
      <c r="E395" s="9" t="str" cm="1">
        <f t="array" ref="E395">IFERROR(_xlfn.IFS(AND(D395&lt;1980,D395&gt;=1970),"70",AND(D395&lt;1990,D395&gt;=1980),"80",AND(D395&lt;2000,D395&gt;=1990),"90",AND(D395&lt;2010,D395&gt;=2000),"00",AND(D395&lt;=2019,D395&gt;=2010),"10"),"1908-1970")</f>
        <v>1908-1970</v>
      </c>
      <c r="F395" s="3">
        <v>0.45833333333333331</v>
      </c>
      <c r="G395" t="s">
        <v>6694</v>
      </c>
      <c r="H395" t="s">
        <v>6695</v>
      </c>
      <c r="I395" t="s">
        <v>28931</v>
      </c>
      <c r="J395" t="s">
        <v>6696</v>
      </c>
      <c r="K395" t="s">
        <v>6473</v>
      </c>
      <c r="L395" s="7" t="s">
        <v>6697</v>
      </c>
      <c r="M395" t="s">
        <v>6698</v>
      </c>
      <c r="N395">
        <v>6</v>
      </c>
      <c r="O395">
        <v>4</v>
      </c>
      <c r="P395">
        <v>2</v>
      </c>
      <c r="Q395">
        <v>1</v>
      </c>
      <c r="R395">
        <v>0</v>
      </c>
      <c r="S395">
        <v>1</v>
      </c>
      <c r="T395">
        <v>0</v>
      </c>
      <c r="U395" t="s">
        <v>6699</v>
      </c>
      <c r="V395">
        <f>Tabla1[[#This Row],[Aboard]]-Tabla1[[#This Row],[Fatalities]]</f>
        <v>5</v>
      </c>
      <c r="W395" s="50">
        <f>IFERROR(Tabla1[[#This Row],[Fatalities]]/Tabla1[[#This Row],[Aboard]],0)</f>
        <v>0.16666666666666666</v>
      </c>
      <c r="X395" s="51" t="str" cm="1">
        <f t="array" ref="X395">_xlfn.IFS(Tabla1[[#This Row],[Porcentaje de muertes]]&lt;0.35,"LEVE",AND(Tabla1[[#This Row],[Porcentaje de muertes]]&gt;0.35,Tabla1[[#This Row],[Porcentaje de muertes]]&lt;0.65),"MEDIO",Tabla1[[#This Row],[Porcentaje de muertes]]&gt;0.65,"GRAVE")</f>
        <v>LEVE</v>
      </c>
    </row>
    <row r="396" spans="2:24" x14ac:dyDescent="0.3">
      <c r="B396" s="9">
        <v>394</v>
      </c>
      <c r="C396" s="49">
        <v>13087</v>
      </c>
      <c r="D396" s="9">
        <f>YEAR(Tabla1[[#This Row],[Date]])</f>
        <v>1935</v>
      </c>
      <c r="E396" s="9" t="str" cm="1">
        <f t="array" ref="E396">IFERROR(_xlfn.IFS(AND(D396&lt;1980,D396&gt;=1970),"70",AND(D396&lt;1990,D396&gt;=1980),"80",AND(D396&lt;2000,D396&gt;=1990),"90",AND(D396&lt;2010,D396&gt;=2000),"00",AND(D396&lt;=2019,D396&gt;=2010),"10"),"1908-1970")</f>
        <v>1908-1970</v>
      </c>
      <c r="F396" s="3">
        <v>0.81944444444444453</v>
      </c>
      <c r="G396" t="s">
        <v>5287</v>
      </c>
      <c r="H396" t="s">
        <v>6369</v>
      </c>
      <c r="I396" t="s">
        <v>28931</v>
      </c>
      <c r="J396" t="s">
        <v>5028</v>
      </c>
      <c r="K396" t="s">
        <v>6700</v>
      </c>
      <c r="L396" s="7" t="s">
        <v>6701</v>
      </c>
      <c r="M396">
        <v>1704</v>
      </c>
      <c r="N396">
        <v>4</v>
      </c>
      <c r="O396">
        <v>0</v>
      </c>
      <c r="P396">
        <v>4</v>
      </c>
      <c r="Q396">
        <v>4</v>
      </c>
      <c r="R396">
        <v>0</v>
      </c>
      <c r="S396">
        <v>4</v>
      </c>
      <c r="T396">
        <v>0</v>
      </c>
      <c r="U396" t="s">
        <v>6702</v>
      </c>
      <c r="V396">
        <f>Tabla1[[#This Row],[Aboard]]-Tabla1[[#This Row],[Fatalities]]</f>
        <v>0</v>
      </c>
      <c r="W396" s="50">
        <f>IFERROR(Tabla1[[#This Row],[Fatalities]]/Tabla1[[#This Row],[Aboard]],0)</f>
        <v>1</v>
      </c>
      <c r="X396" s="51" t="str" cm="1">
        <f t="array" ref="X396">_xlfn.IFS(Tabla1[[#This Row],[Porcentaje de muertes]]&lt;0.35,"LEVE",AND(Tabla1[[#This Row],[Porcentaje de muertes]]&gt;0.35,Tabla1[[#This Row],[Porcentaje de muertes]]&lt;0.65),"MEDIO",Tabla1[[#This Row],[Porcentaje de muertes]]&gt;0.65,"GRAVE")</f>
        <v>GRAVE</v>
      </c>
    </row>
    <row r="397" spans="2:24" x14ac:dyDescent="0.3">
      <c r="B397" s="9">
        <v>395</v>
      </c>
      <c r="C397" s="49">
        <v>12826</v>
      </c>
      <c r="D397" s="9">
        <f>YEAR(Tabla1[[#This Row],[Date]])</f>
        <v>1935</v>
      </c>
      <c r="E397" s="9" t="str" cm="1">
        <f t="array" ref="E397">IFERROR(_xlfn.IFS(AND(D397&lt;1980,D397&gt;=1970),"70",AND(D397&lt;1990,D397&gt;=1980),"80",AND(D397&lt;2000,D397&gt;=1990),"90",AND(D397&lt;2010,D397&gt;=2000),"00",AND(D397&lt;=2019,D397&gt;=2010),"10"),"1908-1970")</f>
        <v>1908-1970</v>
      </c>
      <c r="F397" s="3" t="s">
        <v>28931</v>
      </c>
      <c r="G397" t="s">
        <v>6703</v>
      </c>
      <c r="H397" t="s">
        <v>6375</v>
      </c>
      <c r="I397" t="s">
        <v>28931</v>
      </c>
      <c r="J397" t="s">
        <v>6704</v>
      </c>
      <c r="K397" t="s">
        <v>6705</v>
      </c>
      <c r="L397" s="7" t="s">
        <v>6706</v>
      </c>
      <c r="M397">
        <v>906</v>
      </c>
      <c r="N397">
        <v>4</v>
      </c>
      <c r="O397">
        <v>0</v>
      </c>
      <c r="P397">
        <v>4</v>
      </c>
      <c r="Q397">
        <v>4</v>
      </c>
      <c r="R397">
        <v>0</v>
      </c>
      <c r="S397">
        <v>4</v>
      </c>
      <c r="T397">
        <v>0</v>
      </c>
      <c r="U397" t="s">
        <v>6707</v>
      </c>
      <c r="V397">
        <f>Tabla1[[#This Row],[Aboard]]-Tabla1[[#This Row],[Fatalities]]</f>
        <v>0</v>
      </c>
      <c r="W397" s="50">
        <f>IFERROR(Tabla1[[#This Row],[Fatalities]]/Tabla1[[#This Row],[Aboard]],0)</f>
        <v>1</v>
      </c>
      <c r="X397" s="51" t="str" cm="1">
        <f t="array" ref="X397">_xlfn.IFS(Tabla1[[#This Row],[Porcentaje de muertes]]&lt;0.35,"LEVE",AND(Tabla1[[#This Row],[Porcentaje de muertes]]&gt;0.35,Tabla1[[#This Row],[Porcentaje de muertes]]&lt;0.65),"MEDIO",Tabla1[[#This Row],[Porcentaje de muertes]]&gt;0.65,"GRAVE")</f>
        <v>GRAVE</v>
      </c>
    </row>
    <row r="398" spans="2:24" x14ac:dyDescent="0.3">
      <c r="B398" s="9">
        <v>396</v>
      </c>
      <c r="C398" s="49">
        <v>13038</v>
      </c>
      <c r="D398" s="9">
        <f>YEAR(Tabla1[[#This Row],[Date]])</f>
        <v>1935</v>
      </c>
      <c r="E398" s="9" t="str" cm="1">
        <f t="array" ref="E398">IFERROR(_xlfn.IFS(AND(D398&lt;1980,D398&gt;=1970),"70",AND(D398&lt;1990,D398&gt;=1980),"80",AND(D398&lt;2000,D398&gt;=1990),"90",AND(D398&lt;2010,D398&gt;=2000),"00",AND(D398&lt;=2019,D398&gt;=2010),"10"),"1908-1970")</f>
        <v>1908-1970</v>
      </c>
      <c r="F398" s="3">
        <v>0.19444444444444445</v>
      </c>
      <c r="G398" t="s">
        <v>6708</v>
      </c>
      <c r="H398" t="s">
        <v>6080</v>
      </c>
      <c r="I398" t="s">
        <v>28931</v>
      </c>
      <c r="J398" t="s">
        <v>6709</v>
      </c>
      <c r="K398" t="s">
        <v>5799</v>
      </c>
      <c r="L398" s="7" t="s">
        <v>6710</v>
      </c>
      <c r="M398">
        <v>191</v>
      </c>
      <c r="N398">
        <v>1</v>
      </c>
      <c r="O398">
        <v>0</v>
      </c>
      <c r="P398">
        <v>1</v>
      </c>
      <c r="Q398">
        <v>1</v>
      </c>
      <c r="R398">
        <v>0</v>
      </c>
      <c r="S398">
        <v>1</v>
      </c>
      <c r="T398">
        <v>0</v>
      </c>
      <c r="U398" t="s">
        <v>6711</v>
      </c>
      <c r="V398">
        <f>Tabla1[[#This Row],[Aboard]]-Tabla1[[#This Row],[Fatalities]]</f>
        <v>0</v>
      </c>
      <c r="W398" s="50">
        <f>IFERROR(Tabla1[[#This Row],[Fatalities]]/Tabla1[[#This Row],[Aboard]],0)</f>
        <v>1</v>
      </c>
      <c r="X398" s="51" t="str" cm="1">
        <f t="array" ref="X398">_xlfn.IFS(Tabla1[[#This Row],[Porcentaje de muertes]]&lt;0.35,"LEVE",AND(Tabla1[[#This Row],[Porcentaje de muertes]]&gt;0.35,Tabla1[[#This Row],[Porcentaje de muertes]]&lt;0.65),"MEDIO",Tabla1[[#This Row],[Porcentaje de muertes]]&gt;0.65,"GRAVE")</f>
        <v>GRAVE</v>
      </c>
    </row>
    <row r="399" spans="2:24" x14ac:dyDescent="0.3">
      <c r="B399" s="9">
        <v>397</v>
      </c>
      <c r="C399" s="49">
        <v>13038</v>
      </c>
      <c r="D399" s="9">
        <f>YEAR(Tabla1[[#This Row],[Date]])</f>
        <v>1935</v>
      </c>
      <c r="E399" s="9" t="str" cm="1">
        <f t="array" ref="E399">IFERROR(_xlfn.IFS(AND(D399&lt;1980,D399&gt;=1970),"70",AND(D399&lt;1990,D399&gt;=1980),"80",AND(D399&lt;2000,D399&gt;=1990),"90",AND(D399&lt;2010,D399&gt;=2000),"00",AND(D399&lt;=2019,D399&gt;=2010),"10"),"1908-1970")</f>
        <v>1908-1970</v>
      </c>
      <c r="F399" s="3" t="s">
        <v>28931</v>
      </c>
      <c r="G399" t="s">
        <v>6712</v>
      </c>
      <c r="H399" t="s">
        <v>5350</v>
      </c>
      <c r="I399" t="s">
        <v>28931</v>
      </c>
      <c r="J399" t="s">
        <v>6713</v>
      </c>
      <c r="K399" t="s">
        <v>6714</v>
      </c>
      <c r="L399" s="7" t="s">
        <v>6715</v>
      </c>
      <c r="M399" t="s">
        <v>6716</v>
      </c>
      <c r="N399">
        <v>13</v>
      </c>
      <c r="O399">
        <v>10</v>
      </c>
      <c r="P399">
        <v>3</v>
      </c>
      <c r="Q399">
        <v>12</v>
      </c>
      <c r="R399">
        <v>9</v>
      </c>
      <c r="S399">
        <v>3</v>
      </c>
      <c r="T399">
        <v>0</v>
      </c>
      <c r="U399" t="s">
        <v>6717</v>
      </c>
      <c r="V399">
        <f>Tabla1[[#This Row],[Aboard]]-Tabla1[[#This Row],[Fatalities]]</f>
        <v>1</v>
      </c>
      <c r="W399" s="50">
        <f>IFERROR(Tabla1[[#This Row],[Fatalities]]/Tabla1[[#This Row],[Aboard]],0)</f>
        <v>0.92307692307692313</v>
      </c>
      <c r="X399" s="51" t="str" cm="1">
        <f t="array" ref="X399">_xlfn.IFS(Tabla1[[#This Row],[Porcentaje de muertes]]&lt;0.35,"LEVE",AND(Tabla1[[#This Row],[Porcentaje de muertes]]&gt;0.35,Tabla1[[#This Row],[Porcentaje de muertes]]&lt;0.65),"MEDIO",Tabla1[[#This Row],[Porcentaje de muertes]]&gt;0.65,"GRAVE")</f>
        <v>GRAVE</v>
      </c>
    </row>
    <row r="400" spans="2:24" x14ac:dyDescent="0.3">
      <c r="B400" s="9">
        <v>398</v>
      </c>
      <c r="C400" s="49">
        <v>13099</v>
      </c>
      <c r="D400" s="9">
        <f>YEAR(Tabla1[[#This Row],[Date]])</f>
        <v>1935</v>
      </c>
      <c r="E400" s="9" t="str" cm="1">
        <f t="array" ref="E400">IFERROR(_xlfn.IFS(AND(D400&lt;1980,D400&gt;=1970),"70",AND(D400&lt;1990,D400&gt;=1980),"80",AND(D400&lt;2000,D400&gt;=1990),"90",AND(D400&lt;2010,D400&gt;=2000),"00",AND(D400&lt;=2019,D400&gt;=2010),"10"),"1908-1970")</f>
        <v>1908-1970</v>
      </c>
      <c r="F400" s="3" t="s">
        <v>28931</v>
      </c>
      <c r="G400" t="s">
        <v>6718</v>
      </c>
      <c r="H400" t="s">
        <v>6375</v>
      </c>
      <c r="I400" t="s">
        <v>28931</v>
      </c>
      <c r="J400" t="s">
        <v>28931</v>
      </c>
      <c r="K400" t="s">
        <v>5926</v>
      </c>
      <c r="L400" s="7" t="s">
        <v>6719</v>
      </c>
      <c r="M400" t="s">
        <v>6720</v>
      </c>
      <c r="N400">
        <v>3</v>
      </c>
      <c r="O400">
        <v>0</v>
      </c>
      <c r="P400">
        <v>3</v>
      </c>
      <c r="Q400">
        <v>3</v>
      </c>
      <c r="R400">
        <v>0</v>
      </c>
      <c r="S400">
        <v>3</v>
      </c>
      <c r="T400">
        <v>0</v>
      </c>
      <c r="U400" t="s">
        <v>6721</v>
      </c>
      <c r="V400">
        <f>Tabla1[[#This Row],[Aboard]]-Tabla1[[#This Row],[Fatalities]]</f>
        <v>0</v>
      </c>
      <c r="W400" s="50">
        <f>IFERROR(Tabla1[[#This Row],[Fatalities]]/Tabla1[[#This Row],[Aboard]],0)</f>
        <v>1</v>
      </c>
      <c r="X400" s="51" t="str" cm="1">
        <f t="array" ref="X400">_xlfn.IFS(Tabla1[[#This Row],[Porcentaje de muertes]]&lt;0.35,"LEVE",AND(Tabla1[[#This Row],[Porcentaje de muertes]]&gt;0.35,Tabla1[[#This Row],[Porcentaje de muertes]]&lt;0.65),"MEDIO",Tabla1[[#This Row],[Porcentaje de muertes]]&gt;0.65,"GRAVE")</f>
        <v>GRAVE</v>
      </c>
    </row>
    <row r="401" spans="2:24" x14ac:dyDescent="0.3">
      <c r="B401" s="9">
        <v>399</v>
      </c>
      <c r="C401" s="49">
        <v>12886</v>
      </c>
      <c r="D401" s="9">
        <f>YEAR(Tabla1[[#This Row],[Date]])</f>
        <v>1935</v>
      </c>
      <c r="E401" s="9" t="str" cm="1">
        <f t="array" ref="E401">IFERROR(_xlfn.IFS(AND(D401&lt;1980,D401&gt;=1970),"70",AND(D401&lt;1990,D401&gt;=1980),"80",AND(D401&lt;2000,D401&gt;=1990),"90",AND(D401&lt;2010,D401&gt;=2000),"00",AND(D401&lt;=2019,D401&gt;=2010),"10"),"1908-1970")</f>
        <v>1908-1970</v>
      </c>
      <c r="F401" s="3" t="s">
        <v>28931</v>
      </c>
      <c r="G401" t="s">
        <v>6722</v>
      </c>
      <c r="H401" t="s">
        <v>6723</v>
      </c>
      <c r="I401" t="s">
        <v>28931</v>
      </c>
      <c r="J401" t="s">
        <v>6724</v>
      </c>
      <c r="K401" t="s">
        <v>6725</v>
      </c>
      <c r="L401" s="7" t="s">
        <v>6726</v>
      </c>
      <c r="M401">
        <v>7013</v>
      </c>
      <c r="N401">
        <v>2</v>
      </c>
      <c r="O401">
        <v>0</v>
      </c>
      <c r="P401">
        <v>2</v>
      </c>
      <c r="Q401">
        <v>1</v>
      </c>
      <c r="R401">
        <v>0</v>
      </c>
      <c r="S401">
        <v>1</v>
      </c>
      <c r="T401">
        <v>0</v>
      </c>
      <c r="U401" t="s">
        <v>6727</v>
      </c>
      <c r="V401">
        <f>Tabla1[[#This Row],[Aboard]]-Tabla1[[#This Row],[Fatalities]]</f>
        <v>1</v>
      </c>
      <c r="W401" s="50">
        <f>IFERROR(Tabla1[[#This Row],[Fatalities]]/Tabla1[[#This Row],[Aboard]],0)</f>
        <v>0.5</v>
      </c>
      <c r="X401" s="51" t="str" cm="1">
        <f t="array" ref="X401">_xlfn.IFS(Tabla1[[#This Row],[Porcentaje de muertes]]&lt;0.35,"LEVE",AND(Tabla1[[#This Row],[Porcentaje de muertes]]&gt;0.35,Tabla1[[#This Row],[Porcentaje de muertes]]&lt;0.65),"MEDIO",Tabla1[[#This Row],[Porcentaje de muertes]]&gt;0.65,"GRAVE")</f>
        <v>MEDIO</v>
      </c>
    </row>
    <row r="402" spans="2:24" x14ac:dyDescent="0.3">
      <c r="B402" s="9">
        <v>400</v>
      </c>
      <c r="C402" s="49">
        <v>13069</v>
      </c>
      <c r="D402" s="9">
        <f>YEAR(Tabla1[[#This Row],[Date]])</f>
        <v>1935</v>
      </c>
      <c r="E402" s="9" t="str" cm="1">
        <f t="array" ref="E402">IFERROR(_xlfn.IFS(AND(D402&lt;1980,D402&gt;=1970),"70",AND(D402&lt;1990,D402&gt;=1980),"80",AND(D402&lt;2000,D402&gt;=1990),"90",AND(D402&lt;2010,D402&gt;=2000),"00",AND(D402&lt;=2019,D402&gt;=2010),"10"),"1908-1970")</f>
        <v>1908-1970</v>
      </c>
      <c r="F402" s="3">
        <v>0.69791666666666663</v>
      </c>
      <c r="G402" t="s">
        <v>5956</v>
      </c>
      <c r="H402" t="s">
        <v>5957</v>
      </c>
      <c r="I402" t="s">
        <v>28931</v>
      </c>
      <c r="J402" t="s">
        <v>6403</v>
      </c>
      <c r="K402" t="s">
        <v>6728</v>
      </c>
      <c r="L402" s="7" t="s">
        <v>6729</v>
      </c>
      <c r="M402">
        <v>30002</v>
      </c>
      <c r="N402">
        <v>11</v>
      </c>
      <c r="O402">
        <v>7</v>
      </c>
      <c r="P402">
        <v>4</v>
      </c>
      <c r="Q402">
        <v>11</v>
      </c>
      <c r="R402">
        <v>7</v>
      </c>
      <c r="S402">
        <v>4</v>
      </c>
      <c r="T402">
        <v>0</v>
      </c>
      <c r="U402" t="s">
        <v>6730</v>
      </c>
      <c r="V402">
        <f>Tabla1[[#This Row],[Aboard]]-Tabla1[[#This Row],[Fatalities]]</f>
        <v>0</v>
      </c>
      <c r="W402" s="50">
        <f>IFERROR(Tabla1[[#This Row],[Fatalities]]/Tabla1[[#This Row],[Aboard]],0)</f>
        <v>1</v>
      </c>
      <c r="X402" s="51" t="str" cm="1">
        <f t="array" ref="X402">_xlfn.IFS(Tabla1[[#This Row],[Porcentaje de muertes]]&lt;0.35,"LEVE",AND(Tabla1[[#This Row],[Porcentaje de muertes]]&gt;0.35,Tabla1[[#This Row],[Porcentaje de muertes]]&lt;0.65),"MEDIO",Tabla1[[#This Row],[Porcentaje de muertes]]&gt;0.65,"GRAVE")</f>
        <v>GRAVE</v>
      </c>
    </row>
    <row r="403" spans="2:24" x14ac:dyDescent="0.3">
      <c r="B403" s="9">
        <v>401</v>
      </c>
      <c r="C403" s="49">
        <v>13142</v>
      </c>
      <c r="D403" s="9">
        <f>YEAR(Tabla1[[#This Row],[Date]])</f>
        <v>1935</v>
      </c>
      <c r="E403" s="9" t="str" cm="1">
        <f t="array" ref="E403">IFERROR(_xlfn.IFS(AND(D403&lt;1980,D403&gt;=1970),"70",AND(D403&lt;1990,D403&gt;=1980),"80",AND(D403&lt;2000,D403&gt;=1990),"90",AND(D403&lt;2010,D403&gt;=2000),"00",AND(D403&lt;=2019,D403&gt;=2010),"10"),"1908-1970")</f>
        <v>1908-1970</v>
      </c>
      <c r="F403" s="3" t="s">
        <v>28931</v>
      </c>
      <c r="G403" t="s">
        <v>6731</v>
      </c>
      <c r="H403" t="s">
        <v>5417</v>
      </c>
      <c r="I403" t="s">
        <v>28931</v>
      </c>
      <c r="J403" t="s">
        <v>28931</v>
      </c>
      <c r="K403" t="s">
        <v>6732</v>
      </c>
      <c r="L403" s="7" t="s">
        <v>6733</v>
      </c>
      <c r="M403">
        <v>915</v>
      </c>
      <c r="N403">
        <v>3</v>
      </c>
      <c r="O403">
        <v>2</v>
      </c>
      <c r="P403">
        <v>1</v>
      </c>
      <c r="Q403">
        <v>3</v>
      </c>
      <c r="R403">
        <v>2</v>
      </c>
      <c r="S403">
        <v>1</v>
      </c>
      <c r="T403">
        <v>0</v>
      </c>
      <c r="U403" t="s">
        <v>5599</v>
      </c>
      <c r="V403">
        <f>Tabla1[[#This Row],[Aboard]]-Tabla1[[#This Row],[Fatalities]]</f>
        <v>0</v>
      </c>
      <c r="W403" s="50">
        <f>IFERROR(Tabla1[[#This Row],[Fatalities]]/Tabla1[[#This Row],[Aboard]],0)</f>
        <v>1</v>
      </c>
      <c r="X403" s="51" t="str" cm="1">
        <f t="array" ref="X403">_xlfn.IFS(Tabla1[[#This Row],[Porcentaje de muertes]]&lt;0.35,"LEVE",AND(Tabla1[[#This Row],[Porcentaje de muertes]]&gt;0.35,Tabla1[[#This Row],[Porcentaje de muertes]]&lt;0.65),"MEDIO",Tabla1[[#This Row],[Porcentaje de muertes]]&gt;0.65,"GRAVE")</f>
        <v>GRAVE</v>
      </c>
    </row>
    <row r="404" spans="2:24" x14ac:dyDescent="0.3">
      <c r="B404" s="9">
        <v>402</v>
      </c>
      <c r="C404" s="49">
        <v>13149</v>
      </c>
      <c r="D404" s="9">
        <f>YEAR(Tabla1[[#This Row],[Date]])</f>
        <v>1935</v>
      </c>
      <c r="E404" s="9" t="str" cm="1">
        <f t="array" ref="E404">IFERROR(_xlfn.IFS(AND(D404&lt;1980,D404&gt;=1970),"70",AND(D404&lt;1990,D404&gt;=1980),"80",AND(D404&lt;2000,D404&gt;=1990),"90",AND(D404&lt;2010,D404&gt;=2000),"00",AND(D404&lt;=2019,D404&gt;=2010),"10"),"1908-1970")</f>
        <v>1908-1970</v>
      </c>
      <c r="F404" s="3">
        <v>0.80208333333333337</v>
      </c>
      <c r="G404" t="s">
        <v>6734</v>
      </c>
      <c r="H404" t="s">
        <v>5350</v>
      </c>
      <c r="I404" t="s">
        <v>28931</v>
      </c>
      <c r="J404" t="s">
        <v>6735</v>
      </c>
      <c r="K404" t="s">
        <v>6736</v>
      </c>
      <c r="L404" s="7" t="s">
        <v>6737</v>
      </c>
      <c r="M404" t="s">
        <v>6738</v>
      </c>
      <c r="N404">
        <v>13</v>
      </c>
      <c r="O404">
        <v>9</v>
      </c>
      <c r="P404">
        <v>4</v>
      </c>
      <c r="Q404">
        <v>12</v>
      </c>
      <c r="R404">
        <v>9</v>
      </c>
      <c r="S404">
        <v>1</v>
      </c>
      <c r="T404">
        <v>0</v>
      </c>
      <c r="U404" t="s">
        <v>6739</v>
      </c>
      <c r="V404">
        <f>Tabla1[[#This Row],[Aboard]]-Tabla1[[#This Row],[Fatalities]]</f>
        <v>1</v>
      </c>
      <c r="W404" s="50">
        <f>IFERROR(Tabla1[[#This Row],[Fatalities]]/Tabla1[[#This Row],[Aboard]],0)</f>
        <v>0.92307692307692313</v>
      </c>
      <c r="X404" s="51" t="str" cm="1">
        <f t="array" ref="X404">_xlfn.IFS(Tabla1[[#This Row],[Porcentaje de muertes]]&lt;0.35,"LEVE",AND(Tabla1[[#This Row],[Porcentaje de muertes]]&gt;0.35,Tabla1[[#This Row],[Porcentaje de muertes]]&lt;0.65),"MEDIO",Tabla1[[#This Row],[Porcentaje de muertes]]&gt;0.65,"GRAVE")</f>
        <v>GRAVE</v>
      </c>
    </row>
    <row r="405" spans="2:24" x14ac:dyDescent="0.3">
      <c r="B405" s="9">
        <v>403</v>
      </c>
      <c r="C405" s="49">
        <v>13163</v>
      </c>
      <c r="D405" s="9">
        <f>YEAR(Tabla1[[#This Row],[Date]])</f>
        <v>1936</v>
      </c>
      <c r="E405" s="9" t="str" cm="1">
        <f t="array" ref="E405">IFERROR(_xlfn.IFS(AND(D405&lt;1980,D405&gt;=1970),"70",AND(D405&lt;1990,D405&gt;=1980),"80",AND(D405&lt;2000,D405&gt;=1990),"90",AND(D405&lt;2010,D405&gt;=2000),"00",AND(D405&lt;=2019,D405&gt;=2010),"10"),"1908-1970")</f>
        <v>1908-1970</v>
      </c>
      <c r="F405" s="3" t="s">
        <v>28931</v>
      </c>
      <c r="G405" t="s">
        <v>6740</v>
      </c>
      <c r="H405" t="s">
        <v>6741</v>
      </c>
      <c r="I405" t="s">
        <v>28931</v>
      </c>
      <c r="J405" t="s">
        <v>28931</v>
      </c>
      <c r="K405" t="s">
        <v>6742</v>
      </c>
      <c r="L405" s="7">
        <v>624</v>
      </c>
      <c r="M405" t="s">
        <v>28931</v>
      </c>
      <c r="N405">
        <v>16</v>
      </c>
      <c r="O405">
        <v>13</v>
      </c>
      <c r="P405">
        <v>3</v>
      </c>
      <c r="Q405">
        <v>13</v>
      </c>
      <c r="R405">
        <v>10</v>
      </c>
      <c r="S405">
        <v>3</v>
      </c>
      <c r="T405">
        <v>0</v>
      </c>
      <c r="U405" t="s">
        <v>6743</v>
      </c>
      <c r="V405">
        <f>Tabla1[[#This Row],[Aboard]]-Tabla1[[#This Row],[Fatalities]]</f>
        <v>3</v>
      </c>
      <c r="W405" s="50">
        <f>IFERROR(Tabla1[[#This Row],[Fatalities]]/Tabla1[[#This Row],[Aboard]],0)</f>
        <v>0.8125</v>
      </c>
      <c r="X405" s="51" t="str" cm="1">
        <f t="array" ref="X405">_xlfn.IFS(Tabla1[[#This Row],[Porcentaje de muertes]]&lt;0.35,"LEVE",AND(Tabla1[[#This Row],[Porcentaje de muertes]]&gt;0.35,Tabla1[[#This Row],[Porcentaje de muertes]]&lt;0.65),"MEDIO",Tabla1[[#This Row],[Porcentaje de muertes]]&gt;0.65,"GRAVE")</f>
        <v>GRAVE</v>
      </c>
    </row>
    <row r="406" spans="2:24" x14ac:dyDescent="0.3">
      <c r="B406" s="9">
        <v>404</v>
      </c>
      <c r="C406" s="49">
        <v>13163</v>
      </c>
      <c r="D406" s="9">
        <f>YEAR(Tabla1[[#This Row],[Date]])</f>
        <v>1936</v>
      </c>
      <c r="E406" s="9" t="str" cm="1">
        <f t="array" ref="E406">IFERROR(_xlfn.IFS(AND(D406&lt;1980,D406&gt;=1970),"70",AND(D406&lt;1990,D406&gt;=1980),"80",AND(D406&lt;2000,D406&gt;=1990),"90",AND(D406&lt;2010,D406&gt;=2000),"00",AND(D406&lt;=2019,D406&gt;=2010),"10"),"1908-1970")</f>
        <v>1908-1970</v>
      </c>
      <c r="F406" s="3">
        <v>0.81388888888888899</v>
      </c>
      <c r="G406" t="s">
        <v>6744</v>
      </c>
      <c r="H406" t="s">
        <v>6536</v>
      </c>
      <c r="I406">
        <v>1</v>
      </c>
      <c r="J406" t="s">
        <v>6745</v>
      </c>
      <c r="K406" t="s">
        <v>6746</v>
      </c>
      <c r="L406" s="7" t="s">
        <v>6747</v>
      </c>
      <c r="M406">
        <v>1307</v>
      </c>
      <c r="N406">
        <v>17</v>
      </c>
      <c r="O406">
        <v>14</v>
      </c>
      <c r="P406">
        <v>3</v>
      </c>
      <c r="Q406">
        <v>17</v>
      </c>
      <c r="R406">
        <v>14</v>
      </c>
      <c r="S406">
        <v>3</v>
      </c>
      <c r="T406">
        <v>0</v>
      </c>
      <c r="U406" t="s">
        <v>6748</v>
      </c>
      <c r="V406">
        <f>Tabla1[[#This Row],[Aboard]]-Tabla1[[#This Row],[Fatalities]]</f>
        <v>0</v>
      </c>
      <c r="W406" s="50">
        <f>IFERROR(Tabla1[[#This Row],[Fatalities]]/Tabla1[[#This Row],[Aboard]],0)</f>
        <v>1</v>
      </c>
      <c r="X406" s="51" t="str" cm="1">
        <f t="array" ref="X406">_xlfn.IFS(Tabla1[[#This Row],[Porcentaje de muertes]]&lt;0.35,"LEVE",AND(Tabla1[[#This Row],[Porcentaje de muertes]]&gt;0.35,Tabla1[[#This Row],[Porcentaje de muertes]]&lt;0.65),"MEDIO",Tabla1[[#This Row],[Porcentaje de muertes]]&gt;0.65,"GRAVE")</f>
        <v>GRAVE</v>
      </c>
    </row>
    <row r="407" spans="2:24" x14ac:dyDescent="0.3">
      <c r="B407" s="9">
        <v>405</v>
      </c>
      <c r="C407" s="49">
        <v>13166</v>
      </c>
      <c r="D407" s="9">
        <f>YEAR(Tabla1[[#This Row],[Date]])</f>
        <v>1936</v>
      </c>
      <c r="E407" s="9" t="str" cm="1">
        <f t="array" ref="E407">IFERROR(_xlfn.IFS(AND(D407&lt;1980,D407&gt;=1970),"70",AND(D407&lt;1990,D407&gt;=1980),"80",AND(D407&lt;2000,D407&gt;=1990),"90",AND(D407&lt;2010,D407&gt;=2000),"00",AND(D407&lt;=2019,D407&gt;=2010),"10"),"1908-1970")</f>
        <v>1908-1970</v>
      </c>
      <c r="F407" s="3" t="s">
        <v>28931</v>
      </c>
      <c r="G407" t="s">
        <v>6749</v>
      </c>
      <c r="H407" t="s">
        <v>6750</v>
      </c>
      <c r="I407" t="s">
        <v>28931</v>
      </c>
      <c r="J407" t="s">
        <v>6751</v>
      </c>
      <c r="K407" t="s">
        <v>6742</v>
      </c>
      <c r="L407" s="7" t="s">
        <v>28931</v>
      </c>
      <c r="M407">
        <v>4018</v>
      </c>
      <c r="N407">
        <v>13</v>
      </c>
      <c r="O407">
        <v>10</v>
      </c>
      <c r="P407">
        <v>3</v>
      </c>
      <c r="Q407">
        <v>13</v>
      </c>
      <c r="R407">
        <v>10</v>
      </c>
      <c r="S407">
        <v>3</v>
      </c>
      <c r="T407">
        <v>0</v>
      </c>
      <c r="U407" t="s">
        <v>6752</v>
      </c>
      <c r="V407">
        <f>Tabla1[[#This Row],[Aboard]]-Tabla1[[#This Row],[Fatalities]]</f>
        <v>0</v>
      </c>
      <c r="W407" s="50">
        <f>IFERROR(Tabla1[[#This Row],[Fatalities]]/Tabla1[[#This Row],[Aboard]],0)</f>
        <v>1</v>
      </c>
      <c r="X407" s="51" t="str" cm="1">
        <f t="array" ref="X407">_xlfn.IFS(Tabla1[[#This Row],[Porcentaje de muertes]]&lt;0.35,"LEVE",AND(Tabla1[[#This Row],[Porcentaje de muertes]]&gt;0.35,Tabla1[[#This Row],[Porcentaje de muertes]]&lt;0.65),"MEDIO",Tabla1[[#This Row],[Porcentaje de muertes]]&gt;0.65,"GRAVE")</f>
        <v>GRAVE</v>
      </c>
    </row>
    <row r="408" spans="2:24" x14ac:dyDescent="0.3">
      <c r="B408" s="9">
        <v>406</v>
      </c>
      <c r="C408" s="49">
        <v>13170</v>
      </c>
      <c r="D408" s="9">
        <f>YEAR(Tabla1[[#This Row],[Date]])</f>
        <v>1936</v>
      </c>
      <c r="E408" s="9" t="str" cm="1">
        <f t="array" ref="E408">IFERROR(_xlfn.IFS(AND(D408&lt;1980,D408&gt;=1970),"70",AND(D408&lt;1990,D408&gt;=1980),"80",AND(D408&lt;2000,D408&gt;=1990),"90",AND(D408&lt;2010,D408&gt;=2000),"00",AND(D408&lt;=2019,D408&gt;=2010),"10"),"1908-1970")</f>
        <v>1908-1970</v>
      </c>
      <c r="F408" s="3">
        <v>0.41666666666666669</v>
      </c>
      <c r="G408" t="s">
        <v>6753</v>
      </c>
      <c r="H408" t="s">
        <v>6375</v>
      </c>
      <c r="I408" t="s">
        <v>28931</v>
      </c>
      <c r="J408" t="s">
        <v>6754</v>
      </c>
      <c r="K408" t="s">
        <v>6228</v>
      </c>
      <c r="L408" s="7" t="s">
        <v>6755</v>
      </c>
      <c r="M408">
        <v>19</v>
      </c>
      <c r="N408">
        <v>6</v>
      </c>
      <c r="O408">
        <v>3</v>
      </c>
      <c r="P408">
        <v>3</v>
      </c>
      <c r="Q408">
        <v>6</v>
      </c>
      <c r="R408">
        <v>3</v>
      </c>
      <c r="S408">
        <v>3</v>
      </c>
      <c r="T408">
        <v>0</v>
      </c>
      <c r="U408" t="s">
        <v>6756</v>
      </c>
      <c r="V408">
        <f>Tabla1[[#This Row],[Aboard]]-Tabla1[[#This Row],[Fatalities]]</f>
        <v>0</v>
      </c>
      <c r="W408" s="50">
        <f>IFERROR(Tabla1[[#This Row],[Fatalities]]/Tabla1[[#This Row],[Aboard]],0)</f>
        <v>1</v>
      </c>
      <c r="X408" s="51" t="str" cm="1">
        <f t="array" ref="X408">_xlfn.IFS(Tabla1[[#This Row],[Porcentaje de muertes]]&lt;0.35,"LEVE",AND(Tabla1[[#This Row],[Porcentaje de muertes]]&gt;0.35,Tabla1[[#This Row],[Porcentaje de muertes]]&lt;0.65),"MEDIO",Tabla1[[#This Row],[Porcentaje de muertes]]&gt;0.65,"GRAVE")</f>
        <v>GRAVE</v>
      </c>
    </row>
    <row r="409" spans="2:24" x14ac:dyDescent="0.3">
      <c r="B409" s="9">
        <v>407</v>
      </c>
      <c r="C409" s="49">
        <v>13178</v>
      </c>
      <c r="D409" s="9">
        <f>YEAR(Tabla1[[#This Row],[Date]])</f>
        <v>1936</v>
      </c>
      <c r="E409" s="9" t="str" cm="1">
        <f t="array" ref="E409">IFERROR(_xlfn.IFS(AND(D409&lt;1980,D409&gt;=1970),"70",AND(D409&lt;1990,D409&gt;=1980),"80",AND(D409&lt;2000,D409&gt;=1990),"90",AND(D409&lt;2010,D409&gt;=2000),"00",AND(D409&lt;=2019,D409&gt;=2010),"10"),"1908-1970")</f>
        <v>1908-1970</v>
      </c>
      <c r="F409" s="3" t="s">
        <v>28931</v>
      </c>
      <c r="G409" t="s">
        <v>6757</v>
      </c>
      <c r="H409" t="s">
        <v>6536</v>
      </c>
      <c r="I409" t="s">
        <v>28931</v>
      </c>
      <c r="J409" t="s">
        <v>6758</v>
      </c>
      <c r="K409" t="s">
        <v>6759</v>
      </c>
      <c r="L409" s="7" t="s">
        <v>6760</v>
      </c>
      <c r="M409">
        <v>5</v>
      </c>
      <c r="N409">
        <v>6</v>
      </c>
      <c r="O409">
        <v>5</v>
      </c>
      <c r="P409">
        <v>1</v>
      </c>
      <c r="Q409">
        <v>1</v>
      </c>
      <c r="R409">
        <v>0</v>
      </c>
      <c r="S409">
        <v>1</v>
      </c>
      <c r="T409">
        <v>0</v>
      </c>
      <c r="U409" t="s">
        <v>6761</v>
      </c>
      <c r="V409">
        <f>Tabla1[[#This Row],[Aboard]]-Tabla1[[#This Row],[Fatalities]]</f>
        <v>5</v>
      </c>
      <c r="W409" s="50">
        <f>IFERROR(Tabla1[[#This Row],[Fatalities]]/Tabla1[[#This Row],[Aboard]],0)</f>
        <v>0.16666666666666666</v>
      </c>
      <c r="X409" s="51" t="str" cm="1">
        <f t="array" ref="X409">_xlfn.IFS(Tabla1[[#This Row],[Porcentaje de muertes]]&lt;0.35,"LEVE",AND(Tabla1[[#This Row],[Porcentaje de muertes]]&gt;0.35,Tabla1[[#This Row],[Porcentaje de muertes]]&lt;0.65),"MEDIO",Tabla1[[#This Row],[Porcentaje de muertes]]&gt;0.65,"GRAVE")</f>
        <v>LEVE</v>
      </c>
    </row>
    <row r="410" spans="2:24" x14ac:dyDescent="0.3">
      <c r="B410" s="9">
        <v>408</v>
      </c>
      <c r="C410" s="49">
        <v>13425</v>
      </c>
      <c r="D410" s="9">
        <f>YEAR(Tabla1[[#This Row],[Date]])</f>
        <v>1936</v>
      </c>
      <c r="E410" s="9" t="str" cm="1">
        <f t="array" ref="E410">IFERROR(_xlfn.IFS(AND(D410&lt;1980,D410&gt;=1970),"70",AND(D410&lt;1990,D410&gt;=1980),"80",AND(D410&lt;2000,D410&gt;=1990),"90",AND(D410&lt;2010,D410&gt;=2000),"00",AND(D410&lt;=2019,D410&gt;=2010),"10"),"1908-1970")</f>
        <v>1908-1970</v>
      </c>
      <c r="F410" s="3" t="s">
        <v>28931</v>
      </c>
      <c r="G410" t="s">
        <v>5497</v>
      </c>
      <c r="H410" t="s">
        <v>6375</v>
      </c>
      <c r="I410" t="s">
        <v>28931</v>
      </c>
      <c r="J410" t="s">
        <v>6762</v>
      </c>
      <c r="K410" t="s">
        <v>6763</v>
      </c>
      <c r="L410" s="7" t="s">
        <v>6764</v>
      </c>
      <c r="M410">
        <v>1016</v>
      </c>
      <c r="N410">
        <v>6</v>
      </c>
      <c r="O410">
        <v>1</v>
      </c>
      <c r="P410">
        <v>5</v>
      </c>
      <c r="Q410">
        <v>6</v>
      </c>
      <c r="R410">
        <v>1</v>
      </c>
      <c r="S410">
        <v>5</v>
      </c>
      <c r="T410">
        <v>0</v>
      </c>
      <c r="U410" t="s">
        <v>6765</v>
      </c>
      <c r="V410">
        <f>Tabla1[[#This Row],[Aboard]]-Tabla1[[#This Row],[Fatalities]]</f>
        <v>0</v>
      </c>
      <c r="W410" s="50">
        <f>IFERROR(Tabla1[[#This Row],[Fatalities]]/Tabla1[[#This Row],[Aboard]],0)</f>
        <v>1</v>
      </c>
      <c r="X410" s="51" t="str" cm="1">
        <f t="array" ref="X410">_xlfn.IFS(Tabla1[[#This Row],[Porcentaje de muertes]]&lt;0.35,"LEVE",AND(Tabla1[[#This Row],[Porcentaje de muertes]]&gt;0.35,Tabla1[[#This Row],[Porcentaje de muertes]]&lt;0.65),"MEDIO",Tabla1[[#This Row],[Porcentaje de muertes]]&gt;0.65,"GRAVE")</f>
        <v>GRAVE</v>
      </c>
    </row>
    <row r="411" spans="2:24" x14ac:dyDescent="0.3">
      <c r="B411" s="9">
        <v>409</v>
      </c>
      <c r="C411" s="49">
        <v>13195</v>
      </c>
      <c r="D411" s="9">
        <f>YEAR(Tabla1[[#This Row],[Date]])</f>
        <v>1936</v>
      </c>
      <c r="E411" s="9" t="str" cm="1">
        <f t="array" ref="E411">IFERROR(_xlfn.IFS(AND(D411&lt;1980,D411&gt;=1970),"70",AND(D411&lt;1990,D411&gt;=1980),"80",AND(D411&lt;2000,D411&gt;=1990),"90",AND(D411&lt;2010,D411&gt;=2000),"00",AND(D411&lt;=2019,D411&gt;=2010),"10"),"1908-1970")</f>
        <v>1908-1970</v>
      </c>
      <c r="F411" s="3">
        <v>0.16111111111111112</v>
      </c>
      <c r="G411" t="s">
        <v>6766</v>
      </c>
      <c r="H411" t="s">
        <v>5417</v>
      </c>
      <c r="I411" t="s">
        <v>28931</v>
      </c>
      <c r="J411" t="s">
        <v>6767</v>
      </c>
      <c r="K411" t="s">
        <v>6768</v>
      </c>
      <c r="L411" s="7" t="s">
        <v>6769</v>
      </c>
      <c r="M411">
        <v>229</v>
      </c>
      <c r="N411">
        <v>4</v>
      </c>
      <c r="O411">
        <v>0</v>
      </c>
      <c r="P411">
        <v>4</v>
      </c>
      <c r="Q411">
        <v>4</v>
      </c>
      <c r="R411">
        <v>0</v>
      </c>
      <c r="S411">
        <v>4</v>
      </c>
      <c r="T411">
        <v>0</v>
      </c>
      <c r="U411" t="s">
        <v>6770</v>
      </c>
      <c r="V411">
        <f>Tabla1[[#This Row],[Aboard]]-Tabla1[[#This Row],[Fatalities]]</f>
        <v>0</v>
      </c>
      <c r="W411" s="50">
        <f>IFERROR(Tabla1[[#This Row],[Fatalities]]/Tabla1[[#This Row],[Aboard]],0)</f>
        <v>1</v>
      </c>
      <c r="X411" s="51" t="str" cm="1">
        <f t="array" ref="X411">_xlfn.IFS(Tabla1[[#This Row],[Porcentaje de muertes]]&lt;0.35,"LEVE",AND(Tabla1[[#This Row],[Porcentaje de muertes]]&gt;0.35,Tabla1[[#This Row],[Porcentaje de muertes]]&lt;0.65),"MEDIO",Tabla1[[#This Row],[Porcentaje de muertes]]&gt;0.65,"GRAVE")</f>
        <v>GRAVE</v>
      </c>
    </row>
    <row r="412" spans="2:24" x14ac:dyDescent="0.3">
      <c r="B412" s="9">
        <v>410</v>
      </c>
      <c r="C412" s="49">
        <v>13273</v>
      </c>
      <c r="D412" s="9">
        <f>YEAR(Tabla1[[#This Row],[Date]])</f>
        <v>1936</v>
      </c>
      <c r="E412" s="9" t="str" cm="1">
        <f t="array" ref="E412">IFERROR(_xlfn.IFS(AND(D412&lt;1980,D412&gt;=1970),"70",AND(D412&lt;1990,D412&gt;=1980),"80",AND(D412&lt;2000,D412&gt;=1990),"90",AND(D412&lt;2010,D412&gt;=2000),"00",AND(D412&lt;=2019,D412&gt;=2010),"10"),"1908-1970")</f>
        <v>1908-1970</v>
      </c>
      <c r="F412" s="3" t="s">
        <v>28931</v>
      </c>
      <c r="G412" t="s">
        <v>6771</v>
      </c>
      <c r="H412" t="s">
        <v>6010</v>
      </c>
      <c r="I412" t="s">
        <v>28931</v>
      </c>
      <c r="J412" t="s">
        <v>28931</v>
      </c>
      <c r="K412" t="s">
        <v>6772</v>
      </c>
      <c r="L412" s="7" t="s">
        <v>28931</v>
      </c>
      <c r="M412" t="s">
        <v>28931</v>
      </c>
      <c r="N412">
        <v>6</v>
      </c>
      <c r="O412">
        <v>3</v>
      </c>
      <c r="P412">
        <v>3</v>
      </c>
      <c r="Q412">
        <v>0</v>
      </c>
      <c r="R412">
        <v>0</v>
      </c>
      <c r="S412">
        <v>0</v>
      </c>
      <c r="T412">
        <v>0</v>
      </c>
      <c r="U412" t="s">
        <v>6773</v>
      </c>
      <c r="V412">
        <f>Tabla1[[#This Row],[Aboard]]-Tabla1[[#This Row],[Fatalities]]</f>
        <v>6</v>
      </c>
      <c r="W412" s="50">
        <f>IFERROR(Tabla1[[#This Row],[Fatalities]]/Tabla1[[#This Row],[Aboard]],0)</f>
        <v>0</v>
      </c>
      <c r="X412" s="51" t="str" cm="1">
        <f t="array" ref="X412">_xlfn.IFS(Tabla1[[#This Row],[Porcentaje de muertes]]&lt;0.35,"LEVE",AND(Tabla1[[#This Row],[Porcentaje de muertes]]&gt;0.35,Tabla1[[#This Row],[Porcentaje de muertes]]&lt;0.65),"MEDIO",Tabla1[[#This Row],[Porcentaje de muertes]]&gt;0.65,"GRAVE")</f>
        <v>LEVE</v>
      </c>
    </row>
    <row r="413" spans="2:24" x14ac:dyDescent="0.3">
      <c r="B413" s="9">
        <v>411</v>
      </c>
      <c r="C413" s="49">
        <v>13223</v>
      </c>
      <c r="D413" s="9">
        <f>YEAR(Tabla1[[#This Row],[Date]])</f>
        <v>1936</v>
      </c>
      <c r="E413" s="9" t="str" cm="1">
        <f t="array" ref="E413">IFERROR(_xlfn.IFS(AND(D413&lt;1980,D413&gt;=1970),"70",AND(D413&lt;1990,D413&gt;=1980),"80",AND(D413&lt;2000,D413&gt;=1990),"90",AND(D413&lt;2010,D413&gt;=2000),"00",AND(D413&lt;=2019,D413&gt;=2010),"10"),"1908-1970")</f>
        <v>1908-1970</v>
      </c>
      <c r="F413" s="3" t="s">
        <v>28931</v>
      </c>
      <c r="G413" t="s">
        <v>6774</v>
      </c>
      <c r="H413" t="s">
        <v>6775</v>
      </c>
      <c r="I413" t="s">
        <v>28931</v>
      </c>
      <c r="J413" t="s">
        <v>28931</v>
      </c>
      <c r="K413" t="s">
        <v>5512</v>
      </c>
      <c r="L413" s="7">
        <v>19</v>
      </c>
      <c r="M413" t="s">
        <v>28931</v>
      </c>
      <c r="N413">
        <v>5</v>
      </c>
      <c r="O413">
        <v>4</v>
      </c>
      <c r="P413">
        <v>1</v>
      </c>
      <c r="Q413">
        <v>5</v>
      </c>
      <c r="R413">
        <v>4</v>
      </c>
      <c r="S413">
        <v>1</v>
      </c>
      <c r="T413">
        <v>0</v>
      </c>
      <c r="U413" t="s">
        <v>6776</v>
      </c>
      <c r="V413">
        <f>Tabla1[[#This Row],[Aboard]]-Tabla1[[#This Row],[Fatalities]]</f>
        <v>0</v>
      </c>
      <c r="W413" s="50">
        <f>IFERROR(Tabla1[[#This Row],[Fatalities]]/Tabla1[[#This Row],[Aboard]],0)</f>
        <v>1</v>
      </c>
      <c r="X413" s="51" t="str" cm="1">
        <f t="array" ref="X413">_xlfn.IFS(Tabla1[[#This Row],[Porcentaje de muertes]]&lt;0.35,"LEVE",AND(Tabla1[[#This Row],[Porcentaje de muertes]]&gt;0.35,Tabla1[[#This Row],[Porcentaje de muertes]]&lt;0.65),"MEDIO",Tabla1[[#This Row],[Porcentaje de muertes]]&gt;0.65,"GRAVE")</f>
        <v>GRAVE</v>
      </c>
    </row>
    <row r="414" spans="2:24" x14ac:dyDescent="0.3">
      <c r="B414" s="9">
        <v>412</v>
      </c>
      <c r="C414" s="49">
        <v>13235</v>
      </c>
      <c r="D414" s="9">
        <f>YEAR(Tabla1[[#This Row],[Date]])</f>
        <v>1936</v>
      </c>
      <c r="E414" s="9" t="str" cm="1">
        <f t="array" ref="E414">IFERROR(_xlfn.IFS(AND(D414&lt;1980,D414&gt;=1970),"70",AND(D414&lt;1990,D414&gt;=1980),"80",AND(D414&lt;2000,D414&gt;=1990),"90",AND(D414&lt;2010,D414&gt;=2000),"00",AND(D414&lt;=2019,D414&gt;=2010),"10"),"1908-1970")</f>
        <v>1908-1970</v>
      </c>
      <c r="F414" s="3">
        <v>0.45833333333333331</v>
      </c>
      <c r="G414" t="s">
        <v>6777</v>
      </c>
      <c r="H414" t="s">
        <v>5740</v>
      </c>
      <c r="I414" t="s">
        <v>28931</v>
      </c>
      <c r="J414" t="s">
        <v>6778</v>
      </c>
      <c r="K414" t="s">
        <v>5722</v>
      </c>
      <c r="L414" s="7" t="s">
        <v>6779</v>
      </c>
      <c r="M414" t="s">
        <v>6780</v>
      </c>
      <c r="N414">
        <v>14</v>
      </c>
      <c r="O414">
        <v>10</v>
      </c>
      <c r="P414">
        <v>4</v>
      </c>
      <c r="Q414">
        <v>14</v>
      </c>
      <c r="R414">
        <v>10</v>
      </c>
      <c r="S414">
        <v>4</v>
      </c>
      <c r="T414">
        <v>0</v>
      </c>
      <c r="U414" t="s">
        <v>6781</v>
      </c>
      <c r="V414">
        <f>Tabla1[[#This Row],[Aboard]]-Tabla1[[#This Row],[Fatalities]]</f>
        <v>0</v>
      </c>
      <c r="W414" s="50">
        <f>IFERROR(Tabla1[[#This Row],[Fatalities]]/Tabla1[[#This Row],[Aboard]],0)</f>
        <v>1</v>
      </c>
      <c r="X414" s="51" t="str" cm="1">
        <f t="array" ref="X414">_xlfn.IFS(Tabla1[[#This Row],[Porcentaje de muertes]]&lt;0.35,"LEVE",AND(Tabla1[[#This Row],[Porcentaje de muertes]]&gt;0.35,Tabla1[[#This Row],[Porcentaje de muertes]]&lt;0.65),"MEDIO",Tabla1[[#This Row],[Porcentaje de muertes]]&gt;0.65,"GRAVE")</f>
        <v>GRAVE</v>
      </c>
    </row>
    <row r="415" spans="2:24" x14ac:dyDescent="0.3">
      <c r="B415" s="9">
        <v>413</v>
      </c>
      <c r="C415" s="49">
        <v>13153</v>
      </c>
      <c r="D415" s="9">
        <f>YEAR(Tabla1[[#This Row],[Date]])</f>
        <v>1936</v>
      </c>
      <c r="E415" s="9" t="str" cm="1">
        <f t="array" ref="E415">IFERROR(_xlfn.IFS(AND(D415&lt;1980,D415&gt;=1970),"70",AND(D415&lt;1990,D415&gt;=1980),"80",AND(D415&lt;2000,D415&gt;=1990),"90",AND(D415&lt;2010,D415&gt;=2000),"00",AND(D415&lt;=2019,D415&gt;=2010),"10"),"1908-1970")</f>
        <v>1908-1970</v>
      </c>
      <c r="F415" s="3">
        <v>0.79861111111111116</v>
      </c>
      <c r="G415" t="s">
        <v>6782</v>
      </c>
      <c r="H415" t="s">
        <v>6536</v>
      </c>
      <c r="I415" t="s">
        <v>28931</v>
      </c>
      <c r="J415" t="s">
        <v>6783</v>
      </c>
      <c r="K415" t="s">
        <v>6660</v>
      </c>
      <c r="L415" s="7" t="s">
        <v>6784</v>
      </c>
      <c r="M415">
        <v>9112</v>
      </c>
      <c r="N415">
        <v>2</v>
      </c>
      <c r="O415">
        <v>0</v>
      </c>
      <c r="P415">
        <v>2</v>
      </c>
      <c r="Q415">
        <v>2</v>
      </c>
      <c r="R415">
        <v>0</v>
      </c>
      <c r="S415">
        <v>2</v>
      </c>
      <c r="T415">
        <v>0</v>
      </c>
      <c r="U415" t="s">
        <v>6785</v>
      </c>
      <c r="V415">
        <f>Tabla1[[#This Row],[Aboard]]-Tabla1[[#This Row],[Fatalities]]</f>
        <v>0</v>
      </c>
      <c r="W415" s="50">
        <f>IFERROR(Tabla1[[#This Row],[Fatalities]]/Tabla1[[#This Row],[Aboard]],0)</f>
        <v>1</v>
      </c>
      <c r="X415" s="51" t="str" cm="1">
        <f t="array" ref="X415">_xlfn.IFS(Tabla1[[#This Row],[Porcentaje de muertes]]&lt;0.35,"LEVE",AND(Tabla1[[#This Row],[Porcentaje de muertes]]&gt;0.35,Tabla1[[#This Row],[Porcentaje de muertes]]&lt;0.65),"MEDIO",Tabla1[[#This Row],[Porcentaje de muertes]]&gt;0.65,"GRAVE")</f>
        <v>GRAVE</v>
      </c>
    </row>
    <row r="416" spans="2:24" x14ac:dyDescent="0.3">
      <c r="B416" s="9">
        <v>414</v>
      </c>
      <c r="C416" s="49">
        <v>13335</v>
      </c>
      <c r="D416" s="9">
        <f>YEAR(Tabla1[[#This Row],[Date]])</f>
        <v>1936</v>
      </c>
      <c r="E416" s="9" t="str" cm="1">
        <f t="array" ref="E416">IFERROR(_xlfn.IFS(AND(D416&lt;1980,D416&gt;=1970),"70",AND(D416&lt;1990,D416&gt;=1980),"80",AND(D416&lt;2000,D416&gt;=1990),"90",AND(D416&lt;2010,D416&gt;=2000),"00",AND(D416&lt;=2019,D416&gt;=2010),"10"),"1908-1970")</f>
        <v>1908-1970</v>
      </c>
      <c r="F416" s="3">
        <v>0.43055555555555558</v>
      </c>
      <c r="G416" t="s">
        <v>6786</v>
      </c>
      <c r="H416" t="s">
        <v>6044</v>
      </c>
      <c r="I416">
        <v>1</v>
      </c>
      <c r="J416" t="s">
        <v>6787</v>
      </c>
      <c r="K416" t="s">
        <v>6587</v>
      </c>
      <c r="L416" s="7" t="s">
        <v>6788</v>
      </c>
      <c r="M416">
        <v>1247</v>
      </c>
      <c r="N416">
        <v>14</v>
      </c>
      <c r="O416">
        <v>11</v>
      </c>
      <c r="P416">
        <v>3</v>
      </c>
      <c r="Q416">
        <v>12</v>
      </c>
      <c r="R416">
        <v>10</v>
      </c>
      <c r="S416">
        <v>2</v>
      </c>
      <c r="T416">
        <v>0</v>
      </c>
      <c r="U416" t="s">
        <v>6789</v>
      </c>
      <c r="V416">
        <f>Tabla1[[#This Row],[Aboard]]-Tabla1[[#This Row],[Fatalities]]</f>
        <v>2</v>
      </c>
      <c r="W416" s="50">
        <f>IFERROR(Tabla1[[#This Row],[Fatalities]]/Tabla1[[#This Row],[Aboard]],0)</f>
        <v>0.8571428571428571</v>
      </c>
      <c r="X416" s="51" t="str" cm="1">
        <f t="array" ref="X416">_xlfn.IFS(Tabla1[[#This Row],[Porcentaje de muertes]]&lt;0.35,"LEVE",AND(Tabla1[[#This Row],[Porcentaje de muertes]]&gt;0.35,Tabla1[[#This Row],[Porcentaje de muertes]]&lt;0.65),"MEDIO",Tabla1[[#This Row],[Porcentaje de muertes]]&gt;0.65,"GRAVE")</f>
        <v>GRAVE</v>
      </c>
    </row>
    <row r="417" spans="2:24" x14ac:dyDescent="0.3">
      <c r="B417" s="9">
        <v>415</v>
      </c>
      <c r="C417" s="49">
        <v>13458</v>
      </c>
      <c r="D417" s="9">
        <f>YEAR(Tabla1[[#This Row],[Date]])</f>
        <v>1936</v>
      </c>
      <c r="E417" s="9" t="str" cm="1">
        <f t="array" ref="E417">IFERROR(_xlfn.IFS(AND(D417&lt;1980,D417&gt;=1970),"70",AND(D417&lt;1990,D417&gt;=1980),"80",AND(D417&lt;2000,D417&gt;=1990),"90",AND(D417&lt;2010,D417&gt;=2000),"00",AND(D417&lt;=2019,D417&gt;=2010),"10"),"1908-1970")</f>
        <v>1908-1970</v>
      </c>
      <c r="F417" s="3">
        <v>0.22222222222222221</v>
      </c>
      <c r="G417" t="s">
        <v>6790</v>
      </c>
      <c r="H417" t="s">
        <v>5755</v>
      </c>
      <c r="I417" t="s">
        <v>28931</v>
      </c>
      <c r="J417" t="s">
        <v>6791</v>
      </c>
      <c r="K417" t="s">
        <v>6792</v>
      </c>
      <c r="L417" s="7" t="s">
        <v>6793</v>
      </c>
      <c r="M417">
        <v>4204</v>
      </c>
      <c r="N417">
        <v>25</v>
      </c>
      <c r="O417">
        <v>18</v>
      </c>
      <c r="P417">
        <v>7</v>
      </c>
      <c r="Q417">
        <v>3</v>
      </c>
      <c r="R417">
        <v>2</v>
      </c>
      <c r="S417">
        <v>1</v>
      </c>
      <c r="T417">
        <v>0</v>
      </c>
      <c r="U417" t="s">
        <v>6794</v>
      </c>
      <c r="V417">
        <f>Tabla1[[#This Row],[Aboard]]-Tabla1[[#This Row],[Fatalities]]</f>
        <v>22</v>
      </c>
      <c r="W417" s="50">
        <f>IFERROR(Tabla1[[#This Row],[Fatalities]]/Tabla1[[#This Row],[Aboard]],0)</f>
        <v>0.12</v>
      </c>
      <c r="X417" s="51" t="str" cm="1">
        <f t="array" ref="X417">_xlfn.IFS(Tabla1[[#This Row],[Porcentaje de muertes]]&lt;0.35,"LEVE",AND(Tabla1[[#This Row],[Porcentaje de muertes]]&gt;0.35,Tabla1[[#This Row],[Porcentaje de muertes]]&lt;0.65),"MEDIO",Tabla1[[#This Row],[Porcentaje de muertes]]&gt;0.65,"GRAVE")</f>
        <v>LEVE</v>
      </c>
    </row>
    <row r="418" spans="2:24" x14ac:dyDescent="0.3">
      <c r="B418" s="9">
        <v>416</v>
      </c>
      <c r="C418" s="49">
        <v>13255</v>
      </c>
      <c r="D418" s="9">
        <f>YEAR(Tabla1[[#This Row],[Date]])</f>
        <v>1936</v>
      </c>
      <c r="E418" s="9" t="str" cm="1">
        <f t="array" ref="E418">IFERROR(_xlfn.IFS(AND(D418&lt;1980,D418&gt;=1970),"70",AND(D418&lt;1990,D418&gt;=1980),"80",AND(D418&lt;2000,D418&gt;=1990),"90",AND(D418&lt;2010,D418&gt;=2000),"00",AND(D418&lt;=2019,D418&gt;=2010),"10"),"1908-1970")</f>
        <v>1908-1970</v>
      </c>
      <c r="F418" s="3" t="s">
        <v>28931</v>
      </c>
      <c r="G418" t="s">
        <v>6795</v>
      </c>
      <c r="H418" t="s">
        <v>6796</v>
      </c>
      <c r="I418" t="s">
        <v>28931</v>
      </c>
      <c r="J418" t="s">
        <v>6797</v>
      </c>
      <c r="K418" t="s">
        <v>6798</v>
      </c>
      <c r="L418" s="7" t="s">
        <v>6799</v>
      </c>
      <c r="M418">
        <v>359</v>
      </c>
      <c r="N418">
        <v>7</v>
      </c>
      <c r="O418">
        <v>5</v>
      </c>
      <c r="P418">
        <v>2</v>
      </c>
      <c r="Q418">
        <v>7</v>
      </c>
      <c r="R418">
        <v>5</v>
      </c>
      <c r="S418">
        <v>2</v>
      </c>
      <c r="T418">
        <v>0</v>
      </c>
      <c r="U418" t="s">
        <v>6800</v>
      </c>
      <c r="V418">
        <f>Tabla1[[#This Row],[Aboard]]-Tabla1[[#This Row],[Fatalities]]</f>
        <v>0</v>
      </c>
      <c r="W418" s="50">
        <f>IFERROR(Tabla1[[#This Row],[Fatalities]]/Tabla1[[#This Row],[Aboard]],0)</f>
        <v>1</v>
      </c>
      <c r="X418" s="51" t="str" cm="1">
        <f t="array" ref="X418">_xlfn.IFS(Tabla1[[#This Row],[Porcentaje de muertes]]&lt;0.35,"LEVE",AND(Tabla1[[#This Row],[Porcentaje de muertes]]&gt;0.35,Tabla1[[#This Row],[Porcentaje de muertes]]&lt;0.65),"MEDIO",Tabla1[[#This Row],[Porcentaje de muertes]]&gt;0.65,"GRAVE")</f>
        <v>GRAVE</v>
      </c>
    </row>
    <row r="419" spans="2:24" x14ac:dyDescent="0.3">
      <c r="B419" s="9">
        <v>417</v>
      </c>
      <c r="C419" s="49">
        <v>13257</v>
      </c>
      <c r="D419" s="9">
        <f>YEAR(Tabla1[[#This Row],[Date]])</f>
        <v>1936</v>
      </c>
      <c r="E419" s="9" t="str" cm="1">
        <f t="array" ref="E419">IFERROR(_xlfn.IFS(AND(D419&lt;1980,D419&gt;=1970),"70",AND(D419&lt;1990,D419&gt;=1980),"80",AND(D419&lt;2000,D419&gt;=1990),"90",AND(D419&lt;2010,D419&gt;=2000),"00",AND(D419&lt;=2019,D419&gt;=2010),"10"),"1908-1970")</f>
        <v>1908-1970</v>
      </c>
      <c r="F419" s="3" t="s">
        <v>28931</v>
      </c>
      <c r="G419" t="s">
        <v>6801</v>
      </c>
      <c r="H419" t="s">
        <v>5417</v>
      </c>
      <c r="I419" t="s">
        <v>28931</v>
      </c>
      <c r="J419" t="s">
        <v>5028</v>
      </c>
      <c r="K419" t="s">
        <v>6742</v>
      </c>
      <c r="L419" s="7" t="s">
        <v>6802</v>
      </c>
      <c r="M419">
        <v>5044</v>
      </c>
      <c r="N419">
        <v>5</v>
      </c>
      <c r="O419">
        <v>0</v>
      </c>
      <c r="P419">
        <v>5</v>
      </c>
      <c r="Q419">
        <v>3</v>
      </c>
      <c r="R419">
        <v>0</v>
      </c>
      <c r="S419">
        <v>3</v>
      </c>
      <c r="T419">
        <v>0</v>
      </c>
      <c r="U419" t="s">
        <v>6803</v>
      </c>
      <c r="V419">
        <f>Tabla1[[#This Row],[Aboard]]-Tabla1[[#This Row],[Fatalities]]</f>
        <v>2</v>
      </c>
      <c r="W419" s="50">
        <f>IFERROR(Tabla1[[#This Row],[Fatalities]]/Tabla1[[#This Row],[Aboard]],0)</f>
        <v>0.6</v>
      </c>
      <c r="X419" s="51" t="str" cm="1">
        <f t="array" ref="X419">_xlfn.IFS(Tabla1[[#This Row],[Porcentaje de muertes]]&lt;0.35,"LEVE",AND(Tabla1[[#This Row],[Porcentaje de muertes]]&gt;0.35,Tabla1[[#This Row],[Porcentaje de muertes]]&lt;0.65),"MEDIO",Tabla1[[#This Row],[Porcentaje de muertes]]&gt;0.65,"GRAVE")</f>
        <v>MEDIO</v>
      </c>
    </row>
    <row r="420" spans="2:24" x14ac:dyDescent="0.3">
      <c r="B420" s="9">
        <v>418</v>
      </c>
      <c r="C420" s="49">
        <v>13261</v>
      </c>
      <c r="D420" s="9">
        <f>YEAR(Tabla1[[#This Row],[Date]])</f>
        <v>1936</v>
      </c>
      <c r="E420" s="9" t="str" cm="1">
        <f t="array" ref="E420">IFERROR(_xlfn.IFS(AND(D420&lt;1980,D420&gt;=1970),"70",AND(D420&lt;1990,D420&gt;=1980),"80",AND(D420&lt;2000,D420&gt;=1990),"90",AND(D420&lt;2010,D420&gt;=2000),"00",AND(D420&lt;=2019,D420&gt;=2010),"10"),"1908-1970")</f>
        <v>1908-1970</v>
      </c>
      <c r="F420" s="3" t="s">
        <v>28931</v>
      </c>
      <c r="G420" t="s">
        <v>6804</v>
      </c>
      <c r="H420" t="s">
        <v>5957</v>
      </c>
      <c r="I420" t="s">
        <v>28931</v>
      </c>
      <c r="J420" t="s">
        <v>6805</v>
      </c>
      <c r="K420" t="s">
        <v>5451</v>
      </c>
      <c r="L420" s="7" t="s">
        <v>6806</v>
      </c>
      <c r="M420" t="s">
        <v>28931</v>
      </c>
      <c r="N420">
        <v>2</v>
      </c>
      <c r="O420">
        <v>0</v>
      </c>
      <c r="P420">
        <v>2</v>
      </c>
      <c r="Q420">
        <v>2</v>
      </c>
      <c r="R420">
        <v>0</v>
      </c>
      <c r="S420">
        <v>2</v>
      </c>
      <c r="T420">
        <v>0</v>
      </c>
      <c r="U420" t="s">
        <v>6807</v>
      </c>
      <c r="V420">
        <f>Tabla1[[#This Row],[Aboard]]-Tabla1[[#This Row],[Fatalities]]</f>
        <v>0</v>
      </c>
      <c r="W420" s="50">
        <f>IFERROR(Tabla1[[#This Row],[Fatalities]]/Tabla1[[#This Row],[Aboard]],0)</f>
        <v>1</v>
      </c>
      <c r="X420" s="51" t="str" cm="1">
        <f t="array" ref="X420">_xlfn.IFS(Tabla1[[#This Row],[Porcentaje de muertes]]&lt;0.35,"LEVE",AND(Tabla1[[#This Row],[Porcentaje de muertes]]&gt;0.35,Tabla1[[#This Row],[Porcentaje de muertes]]&lt;0.65),"MEDIO",Tabla1[[#This Row],[Porcentaje de muertes]]&gt;0.65,"GRAVE")</f>
        <v>GRAVE</v>
      </c>
    </row>
    <row r="421" spans="2:24" x14ac:dyDescent="0.3">
      <c r="B421" s="9">
        <v>419</v>
      </c>
      <c r="C421" s="49">
        <v>13270</v>
      </c>
      <c r="D421" s="9">
        <f>YEAR(Tabla1[[#This Row],[Date]])</f>
        <v>1936</v>
      </c>
      <c r="E421" s="9" t="str" cm="1">
        <f t="array" ref="E421">IFERROR(_xlfn.IFS(AND(D421&lt;1980,D421&gt;=1970),"70",AND(D421&lt;1990,D421&gt;=1980),"80",AND(D421&lt;2000,D421&gt;=1990),"90",AND(D421&lt;2010,D421&gt;=2000),"00",AND(D421&lt;=2019,D421&gt;=2010),"10"),"1908-1970")</f>
        <v>1908-1970</v>
      </c>
      <c r="F421" s="3" t="s">
        <v>28931</v>
      </c>
      <c r="G421" t="s">
        <v>6808</v>
      </c>
      <c r="H421" t="s">
        <v>6471</v>
      </c>
      <c r="I421" t="s">
        <v>28931</v>
      </c>
      <c r="J421" t="s">
        <v>28931</v>
      </c>
      <c r="K421" t="s">
        <v>6809</v>
      </c>
      <c r="L421" s="7" t="s">
        <v>6810</v>
      </c>
      <c r="M421">
        <v>2204</v>
      </c>
      <c r="N421">
        <v>2</v>
      </c>
      <c r="O421">
        <v>0</v>
      </c>
      <c r="P421">
        <v>2</v>
      </c>
      <c r="Q421">
        <v>2</v>
      </c>
      <c r="R421">
        <v>0</v>
      </c>
      <c r="S421">
        <v>2</v>
      </c>
      <c r="T421">
        <v>0</v>
      </c>
      <c r="U421" t="s">
        <v>6811</v>
      </c>
      <c r="V421">
        <f>Tabla1[[#This Row],[Aboard]]-Tabla1[[#This Row],[Fatalities]]</f>
        <v>0</v>
      </c>
      <c r="W421" s="50">
        <f>IFERROR(Tabla1[[#This Row],[Fatalities]]/Tabla1[[#This Row],[Aboard]],0)</f>
        <v>1</v>
      </c>
      <c r="X421" s="51" t="str" cm="1">
        <f t="array" ref="X421">_xlfn.IFS(Tabla1[[#This Row],[Porcentaje de muertes]]&lt;0.35,"LEVE",AND(Tabla1[[#This Row],[Porcentaje de muertes]]&gt;0.35,Tabla1[[#This Row],[Porcentaje de muertes]]&lt;0.65),"MEDIO",Tabla1[[#This Row],[Porcentaje de muertes]]&gt;0.65,"GRAVE")</f>
        <v>GRAVE</v>
      </c>
    </row>
    <row r="422" spans="2:24" x14ac:dyDescent="0.3">
      <c r="B422" s="9">
        <v>420</v>
      </c>
      <c r="C422" s="49">
        <v>13286</v>
      </c>
      <c r="D422" s="9">
        <f>YEAR(Tabla1[[#This Row],[Date]])</f>
        <v>1936</v>
      </c>
      <c r="E422" s="9" t="str" cm="1">
        <f t="array" ref="E422">IFERROR(_xlfn.IFS(AND(D422&lt;1980,D422&gt;=1970),"70",AND(D422&lt;1990,D422&gt;=1980),"80",AND(D422&lt;2000,D422&gt;=1990),"90",AND(D422&lt;2010,D422&gt;=2000),"00",AND(D422&lt;=2019,D422&gt;=2010),"10"),"1908-1970")</f>
        <v>1908-1970</v>
      </c>
      <c r="F422" s="3" t="s">
        <v>28931</v>
      </c>
      <c r="G422" t="s">
        <v>6812</v>
      </c>
      <c r="H422" t="s">
        <v>6495</v>
      </c>
      <c r="I422" t="s">
        <v>28931</v>
      </c>
      <c r="J422" t="s">
        <v>6190</v>
      </c>
      <c r="K422" t="s">
        <v>6813</v>
      </c>
      <c r="L422" s="7" t="s">
        <v>6814</v>
      </c>
      <c r="M422">
        <v>895</v>
      </c>
      <c r="N422">
        <v>2</v>
      </c>
      <c r="O422">
        <v>0</v>
      </c>
      <c r="P422">
        <v>2</v>
      </c>
      <c r="Q422">
        <v>2</v>
      </c>
      <c r="R422">
        <v>0</v>
      </c>
      <c r="S422">
        <v>2</v>
      </c>
      <c r="T422">
        <v>0</v>
      </c>
      <c r="U422" t="s">
        <v>6815</v>
      </c>
      <c r="V422">
        <f>Tabla1[[#This Row],[Aboard]]-Tabla1[[#This Row],[Fatalities]]</f>
        <v>0</v>
      </c>
      <c r="W422" s="50">
        <f>IFERROR(Tabla1[[#This Row],[Fatalities]]/Tabla1[[#This Row],[Aboard]],0)</f>
        <v>1</v>
      </c>
      <c r="X422" s="51" t="str" cm="1">
        <f t="array" ref="X422">_xlfn.IFS(Tabla1[[#This Row],[Porcentaje de muertes]]&lt;0.35,"LEVE",AND(Tabla1[[#This Row],[Porcentaje de muertes]]&gt;0.35,Tabla1[[#This Row],[Porcentaje de muertes]]&lt;0.65),"MEDIO",Tabla1[[#This Row],[Porcentaje de muertes]]&gt;0.65,"GRAVE")</f>
        <v>GRAVE</v>
      </c>
    </row>
    <row r="423" spans="2:24" x14ac:dyDescent="0.3">
      <c r="B423" s="9">
        <v>421</v>
      </c>
      <c r="C423" s="49">
        <v>13399</v>
      </c>
      <c r="D423" s="9">
        <f>YEAR(Tabla1[[#This Row],[Date]])</f>
        <v>1936</v>
      </c>
      <c r="E423" s="9" t="str" cm="1">
        <f t="array" ref="E423">IFERROR(_xlfn.IFS(AND(D423&lt;1980,D423&gt;=1970),"70",AND(D423&lt;1990,D423&gt;=1980),"80",AND(D423&lt;2000,D423&gt;=1990),"90",AND(D423&lt;2010,D423&gt;=2000),"00",AND(D423&lt;=2019,D423&gt;=2010),"10"),"1908-1970")</f>
        <v>1908-1970</v>
      </c>
      <c r="F423" s="3" t="s">
        <v>28931</v>
      </c>
      <c r="G423" t="s">
        <v>6816</v>
      </c>
      <c r="H423" t="s">
        <v>6232</v>
      </c>
      <c r="I423" t="s">
        <v>28931</v>
      </c>
      <c r="J423" t="s">
        <v>6817</v>
      </c>
      <c r="K423" t="s">
        <v>6624</v>
      </c>
      <c r="L423" s="7" t="s">
        <v>6818</v>
      </c>
      <c r="M423">
        <v>5359</v>
      </c>
      <c r="N423">
        <v>15</v>
      </c>
      <c r="O423">
        <v>11</v>
      </c>
      <c r="P423">
        <v>4</v>
      </c>
      <c r="Q423">
        <v>1</v>
      </c>
      <c r="R423">
        <v>1</v>
      </c>
      <c r="S423">
        <v>0</v>
      </c>
      <c r="T423">
        <v>0</v>
      </c>
      <c r="U423" t="s">
        <v>6819</v>
      </c>
      <c r="V423">
        <f>Tabla1[[#This Row],[Aboard]]-Tabla1[[#This Row],[Fatalities]]</f>
        <v>14</v>
      </c>
      <c r="W423" s="50">
        <f>IFERROR(Tabla1[[#This Row],[Fatalities]]/Tabla1[[#This Row],[Aboard]],0)</f>
        <v>6.6666666666666666E-2</v>
      </c>
      <c r="X423" s="51" t="str" cm="1">
        <f t="array" ref="X423">_xlfn.IFS(Tabla1[[#This Row],[Porcentaje de muertes]]&lt;0.35,"LEVE",AND(Tabla1[[#This Row],[Porcentaje de muertes]]&gt;0.35,Tabla1[[#This Row],[Porcentaje de muertes]]&lt;0.65),"MEDIO",Tabla1[[#This Row],[Porcentaje de muertes]]&gt;0.65,"GRAVE")</f>
        <v>LEVE</v>
      </c>
    </row>
    <row r="424" spans="2:24" x14ac:dyDescent="0.3">
      <c r="B424" s="9">
        <v>422</v>
      </c>
      <c r="C424" s="49">
        <v>13314</v>
      </c>
      <c r="D424" s="9">
        <f>YEAR(Tabla1[[#This Row],[Date]])</f>
        <v>1936</v>
      </c>
      <c r="E424" s="9" t="str" cm="1">
        <f t="array" ref="E424">IFERROR(_xlfn.IFS(AND(D424&lt;1980,D424&gt;=1970),"70",AND(D424&lt;1990,D424&gt;=1980),"80",AND(D424&lt;2000,D424&gt;=1990),"90",AND(D424&lt;2010,D424&gt;=2000),"00",AND(D424&lt;=2019,D424&gt;=2010),"10"),"1908-1970")</f>
        <v>1908-1970</v>
      </c>
      <c r="F424" s="3" t="s">
        <v>28931</v>
      </c>
      <c r="G424" t="s">
        <v>6820</v>
      </c>
      <c r="H424" t="s">
        <v>5417</v>
      </c>
      <c r="I424" t="s">
        <v>28931</v>
      </c>
      <c r="J424" t="s">
        <v>28931</v>
      </c>
      <c r="K424" t="s">
        <v>6821</v>
      </c>
      <c r="L424" s="7" t="s">
        <v>6822</v>
      </c>
      <c r="M424">
        <v>4211</v>
      </c>
      <c r="N424">
        <v>6</v>
      </c>
      <c r="O424">
        <v>4</v>
      </c>
      <c r="P424">
        <v>2</v>
      </c>
      <c r="Q424">
        <v>1</v>
      </c>
      <c r="R424">
        <v>1</v>
      </c>
      <c r="S424">
        <v>0</v>
      </c>
      <c r="T424">
        <v>0</v>
      </c>
      <c r="U424" t="s">
        <v>6823</v>
      </c>
      <c r="V424">
        <f>Tabla1[[#This Row],[Aboard]]-Tabla1[[#This Row],[Fatalities]]</f>
        <v>5</v>
      </c>
      <c r="W424" s="50">
        <f>IFERROR(Tabla1[[#This Row],[Fatalities]]/Tabla1[[#This Row],[Aboard]],0)</f>
        <v>0.16666666666666666</v>
      </c>
      <c r="X424" s="51" t="str" cm="1">
        <f t="array" ref="X424">_xlfn.IFS(Tabla1[[#This Row],[Porcentaje de muertes]]&lt;0.35,"LEVE",AND(Tabla1[[#This Row],[Porcentaje de muertes]]&gt;0.35,Tabla1[[#This Row],[Porcentaje de muertes]]&lt;0.65),"MEDIO",Tabla1[[#This Row],[Porcentaje de muertes]]&gt;0.65,"GRAVE")</f>
        <v>LEVE</v>
      </c>
    </row>
    <row r="425" spans="2:24" x14ac:dyDescent="0.3">
      <c r="B425" s="9">
        <v>423</v>
      </c>
      <c r="C425" s="49">
        <v>13317</v>
      </c>
      <c r="D425" s="9">
        <f>YEAR(Tabla1[[#This Row],[Date]])</f>
        <v>1936</v>
      </c>
      <c r="E425" s="9" t="str" cm="1">
        <f t="array" ref="E425">IFERROR(_xlfn.IFS(AND(D425&lt;1980,D425&gt;=1970),"70",AND(D425&lt;1990,D425&gt;=1980),"80",AND(D425&lt;2000,D425&gt;=1990),"90",AND(D425&lt;2010,D425&gt;=2000),"00",AND(D425&lt;=2019,D425&gt;=2010),"10"),"1908-1970")</f>
        <v>1908-1970</v>
      </c>
      <c r="F425" s="3">
        <v>0.29166666666666669</v>
      </c>
      <c r="G425" t="s">
        <v>6824</v>
      </c>
      <c r="H425" t="s">
        <v>6825</v>
      </c>
      <c r="I425" t="s">
        <v>28931</v>
      </c>
      <c r="J425" t="s">
        <v>6826</v>
      </c>
      <c r="K425" t="s">
        <v>6555</v>
      </c>
      <c r="L425" s="7" t="s">
        <v>6827</v>
      </c>
      <c r="M425">
        <v>4077</v>
      </c>
      <c r="N425">
        <v>7</v>
      </c>
      <c r="O425">
        <v>3</v>
      </c>
      <c r="P425">
        <v>4</v>
      </c>
      <c r="Q425">
        <v>7</v>
      </c>
      <c r="R425">
        <v>3</v>
      </c>
      <c r="S425">
        <v>4</v>
      </c>
      <c r="T425">
        <v>0</v>
      </c>
      <c r="U425" t="s">
        <v>6828</v>
      </c>
      <c r="V425">
        <f>Tabla1[[#This Row],[Aboard]]-Tabla1[[#This Row],[Fatalities]]</f>
        <v>0</v>
      </c>
      <c r="W425" s="50">
        <f>IFERROR(Tabla1[[#This Row],[Fatalities]]/Tabla1[[#This Row],[Aboard]],0)</f>
        <v>1</v>
      </c>
      <c r="X425" s="51" t="str" cm="1">
        <f t="array" ref="X425">_xlfn.IFS(Tabla1[[#This Row],[Porcentaje de muertes]]&lt;0.35,"LEVE",AND(Tabla1[[#This Row],[Porcentaje de muertes]]&gt;0.35,Tabla1[[#This Row],[Porcentaje de muertes]]&lt;0.65),"MEDIO",Tabla1[[#This Row],[Porcentaje de muertes]]&gt;0.65,"GRAVE")</f>
        <v>GRAVE</v>
      </c>
    </row>
    <row r="426" spans="2:24" x14ac:dyDescent="0.3">
      <c r="B426" s="9">
        <v>424</v>
      </c>
      <c r="C426" s="49">
        <v>13346</v>
      </c>
      <c r="D426" s="9">
        <f>YEAR(Tabla1[[#This Row],[Date]])</f>
        <v>1936</v>
      </c>
      <c r="E426" s="9" t="str" cm="1">
        <f t="array" ref="E426">IFERROR(_xlfn.IFS(AND(D426&lt;1980,D426&gt;=1970),"70",AND(D426&lt;1990,D426&gt;=1980),"80",AND(D426&lt;2000,D426&gt;=1990),"90",AND(D426&lt;2010,D426&gt;=2000),"00",AND(D426&lt;=2019,D426&gt;=2010),"10"),"1908-1970")</f>
        <v>1908-1970</v>
      </c>
      <c r="F426" s="3" t="s">
        <v>28931</v>
      </c>
      <c r="G426" t="s">
        <v>6829</v>
      </c>
      <c r="H426" t="s">
        <v>6363</v>
      </c>
      <c r="I426" t="s">
        <v>28931</v>
      </c>
      <c r="J426" t="s">
        <v>6830</v>
      </c>
      <c r="K426" t="s">
        <v>6831</v>
      </c>
      <c r="L426" s="7" t="s">
        <v>6832</v>
      </c>
      <c r="M426">
        <v>1</v>
      </c>
      <c r="N426">
        <v>7</v>
      </c>
      <c r="O426">
        <v>5</v>
      </c>
      <c r="P426">
        <v>2</v>
      </c>
      <c r="Q426">
        <v>7</v>
      </c>
      <c r="R426">
        <v>5</v>
      </c>
      <c r="S426">
        <v>2</v>
      </c>
      <c r="T426">
        <v>0</v>
      </c>
      <c r="U426" t="s">
        <v>6833</v>
      </c>
      <c r="V426">
        <f>Tabla1[[#This Row],[Aboard]]-Tabla1[[#This Row],[Fatalities]]</f>
        <v>0</v>
      </c>
      <c r="W426" s="50">
        <f>IFERROR(Tabla1[[#This Row],[Fatalities]]/Tabla1[[#This Row],[Aboard]],0)</f>
        <v>1</v>
      </c>
      <c r="X426" s="51" t="str" cm="1">
        <f t="array" ref="X426">_xlfn.IFS(Tabla1[[#This Row],[Porcentaje de muertes]]&lt;0.35,"LEVE",AND(Tabla1[[#This Row],[Porcentaje de muertes]]&gt;0.35,Tabla1[[#This Row],[Porcentaje de muertes]]&lt;0.65),"MEDIO",Tabla1[[#This Row],[Porcentaje de muertes]]&gt;0.65,"GRAVE")</f>
        <v>GRAVE</v>
      </c>
    </row>
    <row r="427" spans="2:24" x14ac:dyDescent="0.3">
      <c r="B427" s="9">
        <v>425</v>
      </c>
      <c r="C427" s="49">
        <v>13359</v>
      </c>
      <c r="D427" s="9">
        <f>YEAR(Tabla1[[#This Row],[Date]])</f>
        <v>1936</v>
      </c>
      <c r="E427" s="9" t="str" cm="1">
        <f t="array" ref="E427">IFERROR(_xlfn.IFS(AND(D427&lt;1980,D427&gt;=1970),"70",AND(D427&lt;1990,D427&gt;=1980),"80",AND(D427&lt;2000,D427&gt;=1990),"90",AND(D427&lt;2010,D427&gt;=2000),"00",AND(D427&lt;=2019,D427&gt;=2010),"10"),"1908-1970")</f>
        <v>1908-1970</v>
      </c>
      <c r="F427" s="3" t="s">
        <v>28931</v>
      </c>
      <c r="G427" t="s">
        <v>6834</v>
      </c>
      <c r="H427" t="s">
        <v>6541</v>
      </c>
      <c r="I427" t="s">
        <v>28931</v>
      </c>
      <c r="J427" t="s">
        <v>28931</v>
      </c>
      <c r="K427" t="s">
        <v>6542</v>
      </c>
      <c r="L427" s="7" t="s">
        <v>28931</v>
      </c>
      <c r="M427" t="s">
        <v>28931</v>
      </c>
      <c r="N427">
        <v>6</v>
      </c>
      <c r="O427">
        <v>4</v>
      </c>
      <c r="P427">
        <v>2</v>
      </c>
      <c r="Q427">
        <v>6</v>
      </c>
      <c r="R427">
        <v>4</v>
      </c>
      <c r="S427">
        <v>2</v>
      </c>
      <c r="T427">
        <v>0</v>
      </c>
      <c r="U427" t="s">
        <v>6835</v>
      </c>
      <c r="V427">
        <f>Tabla1[[#This Row],[Aboard]]-Tabla1[[#This Row],[Fatalities]]</f>
        <v>0</v>
      </c>
      <c r="W427" s="50">
        <f>IFERROR(Tabla1[[#This Row],[Fatalities]]/Tabla1[[#This Row],[Aboard]],0)</f>
        <v>1</v>
      </c>
      <c r="X427" s="51" t="str" cm="1">
        <f t="array" ref="X427">_xlfn.IFS(Tabla1[[#This Row],[Porcentaje de muertes]]&lt;0.35,"LEVE",AND(Tabla1[[#This Row],[Porcentaje de muertes]]&gt;0.35,Tabla1[[#This Row],[Porcentaje de muertes]]&lt;0.65),"MEDIO",Tabla1[[#This Row],[Porcentaje de muertes]]&gt;0.65,"GRAVE")</f>
        <v>GRAVE</v>
      </c>
    </row>
    <row r="428" spans="2:24" x14ac:dyDescent="0.3">
      <c r="B428" s="9">
        <v>426</v>
      </c>
      <c r="C428" s="49">
        <v>13362</v>
      </c>
      <c r="D428" s="9">
        <f>YEAR(Tabla1[[#This Row],[Date]])</f>
        <v>1936</v>
      </c>
      <c r="E428" s="9" t="str" cm="1">
        <f t="array" ref="E428">IFERROR(_xlfn.IFS(AND(D428&lt;1980,D428&gt;=1970),"70",AND(D428&lt;1990,D428&gt;=1980),"80",AND(D428&lt;2000,D428&gt;=1990),"90",AND(D428&lt;2010,D428&gt;=2000),"00",AND(D428&lt;=2019,D428&gt;=2010),"10"),"1908-1970")</f>
        <v>1908-1970</v>
      </c>
      <c r="F428" s="3">
        <v>0.8125</v>
      </c>
      <c r="G428" t="s">
        <v>6836</v>
      </c>
      <c r="H428" t="s">
        <v>6837</v>
      </c>
      <c r="I428" t="s">
        <v>28931</v>
      </c>
      <c r="J428" t="s">
        <v>6838</v>
      </c>
      <c r="K428" t="s">
        <v>6839</v>
      </c>
      <c r="L428" s="7" t="s">
        <v>6840</v>
      </c>
      <c r="M428" t="s">
        <v>6841</v>
      </c>
      <c r="N428">
        <v>10</v>
      </c>
      <c r="O428">
        <v>8</v>
      </c>
      <c r="P428">
        <v>2</v>
      </c>
      <c r="Q428">
        <v>10</v>
      </c>
      <c r="R428">
        <v>8</v>
      </c>
      <c r="S428">
        <v>2</v>
      </c>
      <c r="T428">
        <v>0</v>
      </c>
      <c r="U428" t="s">
        <v>6842</v>
      </c>
      <c r="V428">
        <f>Tabla1[[#This Row],[Aboard]]-Tabla1[[#This Row],[Fatalities]]</f>
        <v>0</v>
      </c>
      <c r="W428" s="50">
        <f>IFERROR(Tabla1[[#This Row],[Fatalities]]/Tabla1[[#This Row],[Aboard]],0)</f>
        <v>1</v>
      </c>
      <c r="X428" s="51" t="str" cm="1">
        <f t="array" ref="X428">_xlfn.IFS(Tabla1[[#This Row],[Porcentaje de muertes]]&lt;0.35,"LEVE",AND(Tabla1[[#This Row],[Porcentaje de muertes]]&gt;0.35,Tabla1[[#This Row],[Porcentaje de muertes]]&lt;0.65),"MEDIO",Tabla1[[#This Row],[Porcentaje de muertes]]&gt;0.65,"GRAVE")</f>
        <v>GRAVE</v>
      </c>
    </row>
    <row r="429" spans="2:24" x14ac:dyDescent="0.3">
      <c r="B429" s="9">
        <v>427</v>
      </c>
      <c r="C429" s="49">
        <v>13188</v>
      </c>
      <c r="D429" s="9">
        <f>YEAR(Tabla1[[#This Row],[Date]])</f>
        <v>1936</v>
      </c>
      <c r="E429" s="9" t="str" cm="1">
        <f t="array" ref="E429">IFERROR(_xlfn.IFS(AND(D429&lt;1980,D429&gt;=1970),"70",AND(D429&lt;1990,D429&gt;=1980),"80",AND(D429&lt;2000,D429&gt;=1990),"90",AND(D429&lt;2010,D429&gt;=2000),"00",AND(D429&lt;=2019,D429&gt;=2010),"10"),"1908-1970")</f>
        <v>1908-1970</v>
      </c>
      <c r="F429" s="3">
        <v>0.25</v>
      </c>
      <c r="G429" t="s">
        <v>6843</v>
      </c>
      <c r="H429" t="s">
        <v>6375</v>
      </c>
      <c r="I429" t="s">
        <v>28931</v>
      </c>
      <c r="J429" t="s">
        <v>6844</v>
      </c>
      <c r="K429" t="s">
        <v>6845</v>
      </c>
      <c r="L429" s="7" t="s">
        <v>6846</v>
      </c>
      <c r="M429">
        <v>15</v>
      </c>
      <c r="N429">
        <v>3</v>
      </c>
      <c r="O429">
        <v>0</v>
      </c>
      <c r="P429">
        <v>3</v>
      </c>
      <c r="Q429">
        <v>3</v>
      </c>
      <c r="R429">
        <v>0</v>
      </c>
      <c r="S429">
        <v>3</v>
      </c>
      <c r="T429">
        <v>0</v>
      </c>
      <c r="U429" t="s">
        <v>6847</v>
      </c>
      <c r="V429">
        <f>Tabla1[[#This Row],[Aboard]]-Tabla1[[#This Row],[Fatalities]]</f>
        <v>0</v>
      </c>
      <c r="W429" s="50">
        <f>IFERROR(Tabla1[[#This Row],[Fatalities]]/Tabla1[[#This Row],[Aboard]],0)</f>
        <v>1</v>
      </c>
      <c r="X429" s="51" t="str" cm="1">
        <f t="array" ref="X429">_xlfn.IFS(Tabla1[[#This Row],[Porcentaje de muertes]]&lt;0.35,"LEVE",AND(Tabla1[[#This Row],[Porcentaje de muertes]]&gt;0.35,Tabla1[[#This Row],[Porcentaje de muertes]]&lt;0.65),"MEDIO",Tabla1[[#This Row],[Porcentaje de muertes]]&gt;0.65,"GRAVE")</f>
        <v>GRAVE</v>
      </c>
    </row>
    <row r="430" spans="2:24" x14ac:dyDescent="0.3">
      <c r="B430" s="9">
        <v>428</v>
      </c>
      <c r="C430" s="49">
        <v>13217</v>
      </c>
      <c r="D430" s="9">
        <f>YEAR(Tabla1[[#This Row],[Date]])</f>
        <v>1936</v>
      </c>
      <c r="E430" s="9" t="str" cm="1">
        <f t="array" ref="E430">IFERROR(_xlfn.IFS(AND(D430&lt;1980,D430&gt;=1970),"70",AND(D430&lt;1990,D430&gt;=1980),"80",AND(D430&lt;2000,D430&gt;=1990),"90",AND(D430&lt;2010,D430&gt;=2000),"00",AND(D430&lt;=2019,D430&gt;=2010),"10"),"1908-1970")</f>
        <v>1908-1970</v>
      </c>
      <c r="F430" s="3" t="s">
        <v>28931</v>
      </c>
      <c r="G430" t="s">
        <v>6848</v>
      </c>
      <c r="H430" t="s">
        <v>5740</v>
      </c>
      <c r="I430" t="s">
        <v>28931</v>
      </c>
      <c r="J430" t="s">
        <v>28931</v>
      </c>
      <c r="K430" t="s">
        <v>6849</v>
      </c>
      <c r="L430" s="7" t="s">
        <v>6850</v>
      </c>
      <c r="M430">
        <v>169</v>
      </c>
      <c r="N430">
        <v>1</v>
      </c>
      <c r="O430">
        <v>0</v>
      </c>
      <c r="P430">
        <v>1</v>
      </c>
      <c r="Q430">
        <v>1</v>
      </c>
      <c r="R430">
        <v>0</v>
      </c>
      <c r="S430">
        <v>1</v>
      </c>
      <c r="T430">
        <v>0</v>
      </c>
      <c r="U430" t="s">
        <v>6851</v>
      </c>
      <c r="V430">
        <f>Tabla1[[#This Row],[Aboard]]-Tabla1[[#This Row],[Fatalities]]</f>
        <v>0</v>
      </c>
      <c r="W430" s="50">
        <f>IFERROR(Tabla1[[#This Row],[Fatalities]]/Tabla1[[#This Row],[Aboard]],0)</f>
        <v>1</v>
      </c>
      <c r="X430" s="51" t="str" cm="1">
        <f t="array" ref="X430">_xlfn.IFS(Tabla1[[#This Row],[Porcentaje de muertes]]&lt;0.35,"LEVE",AND(Tabla1[[#This Row],[Porcentaje de muertes]]&gt;0.35,Tabla1[[#This Row],[Porcentaje de muertes]]&lt;0.65),"MEDIO",Tabla1[[#This Row],[Porcentaje de muertes]]&gt;0.65,"GRAVE")</f>
        <v>GRAVE</v>
      </c>
    </row>
    <row r="431" spans="2:24" x14ac:dyDescent="0.3">
      <c r="B431" s="9">
        <v>429</v>
      </c>
      <c r="C431" s="49">
        <v>13278</v>
      </c>
      <c r="D431" s="9">
        <f>YEAR(Tabla1[[#This Row],[Date]])</f>
        <v>1936</v>
      </c>
      <c r="E431" s="9" t="str" cm="1">
        <f t="array" ref="E431">IFERROR(_xlfn.IFS(AND(D431&lt;1980,D431&gt;=1970),"70",AND(D431&lt;1990,D431&gt;=1980),"80",AND(D431&lt;2000,D431&gt;=1990),"90",AND(D431&lt;2010,D431&gt;=2000),"00",AND(D431&lt;=2019,D431&gt;=2010),"10"),"1908-1970")</f>
        <v>1908-1970</v>
      </c>
      <c r="F431" s="3">
        <v>0.91666666666666663</v>
      </c>
      <c r="G431" t="s">
        <v>6852</v>
      </c>
      <c r="H431" t="s">
        <v>6853</v>
      </c>
      <c r="I431">
        <v>4</v>
      </c>
      <c r="J431" t="s">
        <v>6854</v>
      </c>
      <c r="K431" t="s">
        <v>6855</v>
      </c>
      <c r="L431" s="7" t="s">
        <v>6856</v>
      </c>
      <c r="M431">
        <v>1057</v>
      </c>
      <c r="N431">
        <v>8</v>
      </c>
      <c r="O431">
        <v>6</v>
      </c>
      <c r="P431">
        <v>2</v>
      </c>
      <c r="Q431">
        <v>8</v>
      </c>
      <c r="R431">
        <v>6</v>
      </c>
      <c r="S431">
        <v>2</v>
      </c>
      <c r="T431">
        <v>0</v>
      </c>
      <c r="U431" t="s">
        <v>6857</v>
      </c>
      <c r="V431">
        <f>Tabla1[[#This Row],[Aboard]]-Tabla1[[#This Row],[Fatalities]]</f>
        <v>0</v>
      </c>
      <c r="W431" s="50">
        <f>IFERROR(Tabla1[[#This Row],[Fatalities]]/Tabla1[[#This Row],[Aboard]],0)</f>
        <v>1</v>
      </c>
      <c r="X431" s="51" t="str" cm="1">
        <f t="array" ref="X431">_xlfn.IFS(Tabla1[[#This Row],[Porcentaje de muertes]]&lt;0.35,"LEVE",AND(Tabla1[[#This Row],[Porcentaje de muertes]]&gt;0.35,Tabla1[[#This Row],[Porcentaje de muertes]]&lt;0.65),"MEDIO",Tabla1[[#This Row],[Porcentaje de muertes]]&gt;0.65,"GRAVE")</f>
        <v>GRAVE</v>
      </c>
    </row>
    <row r="432" spans="2:24" x14ac:dyDescent="0.3">
      <c r="B432" s="9">
        <v>430</v>
      </c>
      <c r="C432" s="49">
        <v>13309</v>
      </c>
      <c r="D432" s="9">
        <f>YEAR(Tabla1[[#This Row],[Date]])</f>
        <v>1936</v>
      </c>
      <c r="E432" s="9" t="str" cm="1">
        <f t="array" ref="E432">IFERROR(_xlfn.IFS(AND(D432&lt;1980,D432&gt;=1970),"70",AND(D432&lt;1990,D432&gt;=1980),"80",AND(D432&lt;2000,D432&gt;=1990),"90",AND(D432&lt;2010,D432&gt;=2000),"00",AND(D432&lt;=2019,D432&gt;=2010),"10"),"1908-1970")</f>
        <v>1908-1970</v>
      </c>
      <c r="F432" s="3" t="s">
        <v>28931</v>
      </c>
      <c r="G432" t="s">
        <v>6858</v>
      </c>
      <c r="H432" t="s">
        <v>5338</v>
      </c>
      <c r="I432" t="s">
        <v>28931</v>
      </c>
      <c r="J432" t="s">
        <v>28931</v>
      </c>
      <c r="K432" t="s">
        <v>5157</v>
      </c>
      <c r="L432" s="7" t="s">
        <v>6859</v>
      </c>
      <c r="M432" t="s">
        <v>28931</v>
      </c>
      <c r="N432">
        <v>3</v>
      </c>
      <c r="O432">
        <v>1</v>
      </c>
      <c r="P432">
        <v>2</v>
      </c>
      <c r="Q432">
        <v>2</v>
      </c>
      <c r="R432">
        <v>1</v>
      </c>
      <c r="S432">
        <v>1</v>
      </c>
      <c r="T432">
        <v>0</v>
      </c>
      <c r="U432" t="s">
        <v>6860</v>
      </c>
      <c r="V432">
        <f>Tabla1[[#This Row],[Aboard]]-Tabla1[[#This Row],[Fatalities]]</f>
        <v>1</v>
      </c>
      <c r="W432" s="50">
        <f>IFERROR(Tabla1[[#This Row],[Fatalities]]/Tabla1[[#This Row],[Aboard]],0)</f>
        <v>0.66666666666666663</v>
      </c>
      <c r="X432" s="51" t="str" cm="1">
        <f t="array" ref="X432">_xlfn.IFS(Tabla1[[#This Row],[Porcentaje de muertes]]&lt;0.35,"LEVE",AND(Tabla1[[#This Row],[Porcentaje de muertes]]&gt;0.35,Tabla1[[#This Row],[Porcentaje de muertes]]&lt;0.65),"MEDIO",Tabla1[[#This Row],[Porcentaje de muertes]]&gt;0.65,"GRAVE")</f>
        <v>GRAVE</v>
      </c>
    </row>
    <row r="433" spans="2:24" x14ac:dyDescent="0.3">
      <c r="B433" s="9">
        <v>431</v>
      </c>
      <c r="C433" s="49">
        <v>13492</v>
      </c>
      <c r="D433" s="9">
        <f>YEAR(Tabla1[[#This Row],[Date]])</f>
        <v>1936</v>
      </c>
      <c r="E433" s="9" t="str" cm="1">
        <f t="array" ref="E433">IFERROR(_xlfn.IFS(AND(D433&lt;1980,D433&gt;=1970),"70",AND(D433&lt;1990,D433&gt;=1980),"80",AND(D433&lt;2000,D433&gt;=1990),"90",AND(D433&lt;2010,D433&gt;=2000),"00",AND(D433&lt;=2019,D433&gt;=2010),"10"),"1908-1970")</f>
        <v>1908-1970</v>
      </c>
      <c r="F433" s="3">
        <v>0.125</v>
      </c>
      <c r="G433" t="s">
        <v>6861</v>
      </c>
      <c r="H433" t="s">
        <v>6862</v>
      </c>
      <c r="I433" t="s">
        <v>28931</v>
      </c>
      <c r="J433" t="s">
        <v>6863</v>
      </c>
      <c r="K433" t="s">
        <v>6864</v>
      </c>
      <c r="L433" s="7" t="s">
        <v>6865</v>
      </c>
      <c r="M433">
        <v>2324</v>
      </c>
      <c r="N433">
        <v>2</v>
      </c>
      <c r="O433">
        <v>0</v>
      </c>
      <c r="P433">
        <v>2</v>
      </c>
      <c r="Q433">
        <v>2</v>
      </c>
      <c r="R433">
        <v>0</v>
      </c>
      <c r="S433">
        <v>2</v>
      </c>
      <c r="T433">
        <v>0</v>
      </c>
      <c r="U433" t="s">
        <v>6866</v>
      </c>
      <c r="V433">
        <f>Tabla1[[#This Row],[Aboard]]-Tabla1[[#This Row],[Fatalities]]</f>
        <v>0</v>
      </c>
      <c r="W433" s="50">
        <f>IFERROR(Tabla1[[#This Row],[Fatalities]]/Tabla1[[#This Row],[Aboard]],0)</f>
        <v>1</v>
      </c>
      <c r="X433" s="51" t="str" cm="1">
        <f t="array" ref="X433">_xlfn.IFS(Tabla1[[#This Row],[Porcentaje de muertes]]&lt;0.35,"LEVE",AND(Tabla1[[#This Row],[Porcentaje de muertes]]&gt;0.35,Tabla1[[#This Row],[Porcentaje de muertes]]&lt;0.65),"MEDIO",Tabla1[[#This Row],[Porcentaje de muertes]]&gt;0.65,"GRAVE")</f>
        <v>GRAVE</v>
      </c>
    </row>
    <row r="434" spans="2:24" x14ac:dyDescent="0.3">
      <c r="B434" s="9">
        <v>432</v>
      </c>
      <c r="C434" s="49">
        <v>13384</v>
      </c>
      <c r="D434" s="9">
        <f>YEAR(Tabla1[[#This Row],[Date]])</f>
        <v>1936</v>
      </c>
      <c r="E434" s="9" t="str" cm="1">
        <f t="array" ref="E434">IFERROR(_xlfn.IFS(AND(D434&lt;1980,D434&gt;=1970),"70",AND(D434&lt;1990,D434&gt;=1980),"80",AND(D434&lt;2000,D434&gt;=1990),"90",AND(D434&lt;2010,D434&gt;=2000),"00",AND(D434&lt;=2019,D434&gt;=2010),"10"),"1908-1970")</f>
        <v>1908-1970</v>
      </c>
      <c r="F434" s="3" t="s">
        <v>28931</v>
      </c>
      <c r="G434" t="s">
        <v>6867</v>
      </c>
      <c r="H434" t="s">
        <v>5350</v>
      </c>
      <c r="I434" t="s">
        <v>28931</v>
      </c>
      <c r="J434" t="s">
        <v>6868</v>
      </c>
      <c r="K434" t="s">
        <v>6714</v>
      </c>
      <c r="L434" s="7" t="s">
        <v>6869</v>
      </c>
      <c r="M434" t="s">
        <v>6870</v>
      </c>
      <c r="N434">
        <v>11</v>
      </c>
      <c r="O434">
        <v>8</v>
      </c>
      <c r="P434">
        <v>3</v>
      </c>
      <c r="Q434">
        <v>2</v>
      </c>
      <c r="R434">
        <v>2</v>
      </c>
      <c r="S434">
        <v>0</v>
      </c>
      <c r="T434">
        <v>0</v>
      </c>
      <c r="U434" t="s">
        <v>6871</v>
      </c>
      <c r="V434">
        <f>Tabla1[[#This Row],[Aboard]]-Tabla1[[#This Row],[Fatalities]]</f>
        <v>9</v>
      </c>
      <c r="W434" s="50">
        <f>IFERROR(Tabla1[[#This Row],[Fatalities]]/Tabla1[[#This Row],[Aboard]],0)</f>
        <v>0.18181818181818182</v>
      </c>
      <c r="X434" s="51" t="str" cm="1">
        <f t="array" ref="X434">_xlfn.IFS(Tabla1[[#This Row],[Porcentaje de muertes]]&lt;0.35,"LEVE",AND(Tabla1[[#This Row],[Porcentaje de muertes]]&gt;0.35,Tabla1[[#This Row],[Porcentaje de muertes]]&lt;0.65),"MEDIO",Tabla1[[#This Row],[Porcentaje de muertes]]&gt;0.65,"GRAVE")</f>
        <v>LEVE</v>
      </c>
    </row>
    <row r="435" spans="2:24" x14ac:dyDescent="0.3">
      <c r="B435" s="9">
        <v>433</v>
      </c>
      <c r="C435" s="49">
        <v>13279</v>
      </c>
      <c r="D435" s="9">
        <f>YEAR(Tabla1[[#This Row],[Date]])</f>
        <v>1936</v>
      </c>
      <c r="E435" s="9" t="str" cm="1">
        <f t="array" ref="E435">IFERROR(_xlfn.IFS(AND(D435&lt;1980,D435&gt;=1970),"70",AND(D435&lt;1990,D435&gt;=1980),"80",AND(D435&lt;2000,D435&gt;=1990),"90",AND(D435&lt;2010,D435&gt;=2000),"00",AND(D435&lt;=2019,D435&gt;=2010),"10"),"1908-1970")</f>
        <v>1908-1970</v>
      </c>
      <c r="F435" s="3">
        <v>0.91666666666666663</v>
      </c>
      <c r="G435" t="s">
        <v>6872</v>
      </c>
      <c r="H435" t="s">
        <v>6873</v>
      </c>
      <c r="I435" t="s">
        <v>28931</v>
      </c>
      <c r="J435" t="s">
        <v>5494</v>
      </c>
      <c r="K435" t="s">
        <v>6874</v>
      </c>
      <c r="L435" s="7" t="s">
        <v>6875</v>
      </c>
      <c r="M435">
        <v>5025</v>
      </c>
      <c r="N435">
        <v>11</v>
      </c>
      <c r="O435">
        <v>10</v>
      </c>
      <c r="P435">
        <v>1</v>
      </c>
      <c r="Q435">
        <v>10</v>
      </c>
      <c r="R435">
        <v>9</v>
      </c>
      <c r="S435">
        <v>1</v>
      </c>
      <c r="T435">
        <v>0</v>
      </c>
      <c r="U435" t="s">
        <v>6876</v>
      </c>
      <c r="V435">
        <f>Tabla1[[#This Row],[Aboard]]-Tabla1[[#This Row],[Fatalities]]</f>
        <v>1</v>
      </c>
      <c r="W435" s="50">
        <f>IFERROR(Tabla1[[#This Row],[Fatalities]]/Tabla1[[#This Row],[Aboard]],0)</f>
        <v>0.90909090909090906</v>
      </c>
      <c r="X435" s="51" t="str" cm="1">
        <f t="array" ref="X435">_xlfn.IFS(Tabla1[[#This Row],[Porcentaje de muertes]]&lt;0.35,"LEVE",AND(Tabla1[[#This Row],[Porcentaje de muertes]]&gt;0.35,Tabla1[[#This Row],[Porcentaje de muertes]]&lt;0.65),"MEDIO",Tabla1[[#This Row],[Porcentaje de muertes]]&gt;0.65,"GRAVE")</f>
        <v>GRAVE</v>
      </c>
    </row>
    <row r="436" spans="2:24" x14ac:dyDescent="0.3">
      <c r="B436" s="9">
        <v>434</v>
      </c>
      <c r="C436" s="49">
        <v>13418</v>
      </c>
      <c r="D436" s="9">
        <f>YEAR(Tabla1[[#This Row],[Date]])</f>
        <v>1936</v>
      </c>
      <c r="E436" s="9" t="str" cm="1">
        <f t="array" ref="E436">IFERROR(_xlfn.IFS(AND(D436&lt;1980,D436&gt;=1970),"70",AND(D436&lt;1990,D436&gt;=1980),"80",AND(D436&lt;2000,D436&gt;=1990),"90",AND(D436&lt;2010,D436&gt;=2000),"00",AND(D436&lt;=2019,D436&gt;=2010),"10"),"1908-1970")</f>
        <v>1908-1970</v>
      </c>
      <c r="F436" s="3" t="s">
        <v>28931</v>
      </c>
      <c r="G436" t="s">
        <v>5401</v>
      </c>
      <c r="H436" t="s">
        <v>5350</v>
      </c>
      <c r="I436" t="s">
        <v>28931</v>
      </c>
      <c r="J436" t="s">
        <v>5247</v>
      </c>
      <c r="K436" t="s">
        <v>6877</v>
      </c>
      <c r="L436" s="7" t="s">
        <v>6878</v>
      </c>
      <c r="M436" t="s">
        <v>6879</v>
      </c>
      <c r="N436">
        <v>2</v>
      </c>
      <c r="O436">
        <v>0</v>
      </c>
      <c r="P436">
        <v>2</v>
      </c>
      <c r="Q436">
        <v>2</v>
      </c>
      <c r="R436">
        <v>0</v>
      </c>
      <c r="S436">
        <v>2</v>
      </c>
      <c r="T436">
        <v>0</v>
      </c>
      <c r="U436" t="s">
        <v>6880</v>
      </c>
      <c r="V436">
        <f>Tabla1[[#This Row],[Aboard]]-Tabla1[[#This Row],[Fatalities]]</f>
        <v>0</v>
      </c>
      <c r="W436" s="50">
        <f>IFERROR(Tabla1[[#This Row],[Fatalities]]/Tabla1[[#This Row],[Aboard]],0)</f>
        <v>1</v>
      </c>
      <c r="X436" s="51" t="str" cm="1">
        <f t="array" ref="X436">_xlfn.IFS(Tabla1[[#This Row],[Porcentaje de muertes]]&lt;0.35,"LEVE",AND(Tabla1[[#This Row],[Porcentaje de muertes]]&gt;0.35,Tabla1[[#This Row],[Porcentaje de muertes]]&lt;0.65),"MEDIO",Tabla1[[#This Row],[Porcentaje de muertes]]&gt;0.65,"GRAVE")</f>
        <v>GRAVE</v>
      </c>
    </row>
    <row r="437" spans="2:24" x14ac:dyDescent="0.3">
      <c r="B437" s="9">
        <v>435</v>
      </c>
      <c r="C437" s="49">
        <v>13421</v>
      </c>
      <c r="D437" s="9">
        <f>YEAR(Tabla1[[#This Row],[Date]])</f>
        <v>1936</v>
      </c>
      <c r="E437" s="9" t="str" cm="1">
        <f t="array" ref="E437">IFERROR(_xlfn.IFS(AND(D437&lt;1980,D437&gt;=1970),"70",AND(D437&lt;1990,D437&gt;=1980),"80",AND(D437&lt;2000,D437&gt;=1990),"90",AND(D437&lt;2010,D437&gt;=2000),"00",AND(D437&lt;=2019,D437&gt;=2010),"10"),"1908-1970")</f>
        <v>1908-1970</v>
      </c>
      <c r="F437" s="3" t="s">
        <v>28931</v>
      </c>
      <c r="G437" t="s">
        <v>6881</v>
      </c>
      <c r="H437" t="s">
        <v>5465</v>
      </c>
      <c r="I437" t="s">
        <v>28931</v>
      </c>
      <c r="J437" t="s">
        <v>6882</v>
      </c>
      <c r="K437" t="s">
        <v>5785</v>
      </c>
      <c r="L437" s="7" t="s">
        <v>6883</v>
      </c>
      <c r="M437">
        <v>129</v>
      </c>
      <c r="N437">
        <v>3</v>
      </c>
      <c r="O437">
        <v>1</v>
      </c>
      <c r="P437">
        <v>2</v>
      </c>
      <c r="Q437">
        <v>3</v>
      </c>
      <c r="R437">
        <v>1</v>
      </c>
      <c r="S437">
        <v>2</v>
      </c>
      <c r="T437">
        <v>0</v>
      </c>
      <c r="U437" t="s">
        <v>6884</v>
      </c>
      <c r="V437">
        <f>Tabla1[[#This Row],[Aboard]]-Tabla1[[#This Row],[Fatalities]]</f>
        <v>0</v>
      </c>
      <c r="W437" s="50">
        <f>IFERROR(Tabla1[[#This Row],[Fatalities]]/Tabla1[[#This Row],[Aboard]],0)</f>
        <v>1</v>
      </c>
      <c r="X437" s="51" t="str" cm="1">
        <f t="array" ref="X437">_xlfn.IFS(Tabla1[[#This Row],[Porcentaje de muertes]]&lt;0.35,"LEVE",AND(Tabla1[[#This Row],[Porcentaje de muertes]]&gt;0.35,Tabla1[[#This Row],[Porcentaje de muertes]]&lt;0.65),"MEDIO",Tabla1[[#This Row],[Porcentaje de muertes]]&gt;0.65,"GRAVE")</f>
        <v>GRAVE</v>
      </c>
    </row>
    <row r="438" spans="2:24" x14ac:dyDescent="0.3">
      <c r="B438" s="9">
        <v>436</v>
      </c>
      <c r="C438" s="49">
        <v>13421</v>
      </c>
      <c r="D438" s="9">
        <f>YEAR(Tabla1[[#This Row],[Date]])</f>
        <v>1936</v>
      </c>
      <c r="E438" s="9" t="str" cm="1">
        <f t="array" ref="E438">IFERROR(_xlfn.IFS(AND(D438&lt;1980,D438&gt;=1970),"70",AND(D438&lt;1990,D438&gt;=1980),"80",AND(D438&lt;2000,D438&gt;=1990),"90",AND(D438&lt;2010,D438&gt;=2000),"00",AND(D438&lt;=2019,D438&gt;=2010),"10"),"1908-1970")</f>
        <v>1908-1970</v>
      </c>
      <c r="F438" s="3" t="s">
        <v>28931</v>
      </c>
      <c r="G438" t="s">
        <v>6885</v>
      </c>
      <c r="H438" t="s">
        <v>6886</v>
      </c>
      <c r="I438" t="s">
        <v>28931</v>
      </c>
      <c r="J438" t="s">
        <v>6887</v>
      </c>
      <c r="K438" t="s">
        <v>6888</v>
      </c>
      <c r="L438" s="7" t="s">
        <v>6889</v>
      </c>
      <c r="M438">
        <v>301</v>
      </c>
      <c r="N438">
        <v>10</v>
      </c>
      <c r="O438">
        <v>7</v>
      </c>
      <c r="P438">
        <v>3</v>
      </c>
      <c r="Q438">
        <v>9</v>
      </c>
      <c r="R438">
        <v>7</v>
      </c>
      <c r="S438">
        <v>2</v>
      </c>
      <c r="T438">
        <v>0</v>
      </c>
      <c r="U438" t="s">
        <v>6890</v>
      </c>
      <c r="V438">
        <f>Tabla1[[#This Row],[Aboard]]-Tabla1[[#This Row],[Fatalities]]</f>
        <v>1</v>
      </c>
      <c r="W438" s="50">
        <f>IFERROR(Tabla1[[#This Row],[Fatalities]]/Tabla1[[#This Row],[Aboard]],0)</f>
        <v>0.9</v>
      </c>
      <c r="X438" s="51" t="str" cm="1">
        <f t="array" ref="X438">_xlfn.IFS(Tabla1[[#This Row],[Porcentaje de muertes]]&lt;0.35,"LEVE",AND(Tabla1[[#This Row],[Porcentaje de muertes]]&gt;0.35,Tabla1[[#This Row],[Porcentaje de muertes]]&lt;0.65),"MEDIO",Tabla1[[#This Row],[Porcentaje de muertes]]&gt;0.65,"GRAVE")</f>
        <v>GRAVE</v>
      </c>
    </row>
    <row r="439" spans="2:24" x14ac:dyDescent="0.3">
      <c r="B439" s="9">
        <v>437</v>
      </c>
      <c r="C439" s="49">
        <v>13422</v>
      </c>
      <c r="D439" s="9">
        <f>YEAR(Tabla1[[#This Row],[Date]])</f>
        <v>1936</v>
      </c>
      <c r="E439" s="9" t="str" cm="1">
        <f t="array" ref="E439">IFERROR(_xlfn.IFS(AND(D439&lt;1980,D439&gt;=1970),"70",AND(D439&lt;1990,D439&gt;=1980),"80",AND(D439&lt;2000,D439&gt;=1990),"90",AND(D439&lt;2010,D439&gt;=2000),"00",AND(D439&lt;=2019,D439&gt;=2010),"10"),"1908-1970")</f>
        <v>1908-1970</v>
      </c>
      <c r="F439" s="3" t="s">
        <v>28931</v>
      </c>
      <c r="G439" t="s">
        <v>6891</v>
      </c>
      <c r="H439" t="s">
        <v>6892</v>
      </c>
      <c r="I439" t="s">
        <v>28931</v>
      </c>
      <c r="J439" t="s">
        <v>28931</v>
      </c>
      <c r="K439" t="s">
        <v>6520</v>
      </c>
      <c r="L439" s="7" t="s">
        <v>6893</v>
      </c>
      <c r="M439">
        <v>170</v>
      </c>
      <c r="N439">
        <v>4</v>
      </c>
      <c r="O439">
        <v>3</v>
      </c>
      <c r="P439">
        <v>1</v>
      </c>
      <c r="Q439">
        <v>4</v>
      </c>
      <c r="R439">
        <v>3</v>
      </c>
      <c r="S439">
        <v>1</v>
      </c>
      <c r="T439">
        <v>0</v>
      </c>
      <c r="U439" t="s">
        <v>6894</v>
      </c>
      <c r="V439">
        <f>Tabla1[[#This Row],[Aboard]]-Tabla1[[#This Row],[Fatalities]]</f>
        <v>0</v>
      </c>
      <c r="W439" s="50">
        <f>IFERROR(Tabla1[[#This Row],[Fatalities]]/Tabla1[[#This Row],[Aboard]],0)</f>
        <v>1</v>
      </c>
      <c r="X439" s="51" t="str" cm="1">
        <f t="array" ref="X439">_xlfn.IFS(Tabla1[[#This Row],[Porcentaje de muertes]]&lt;0.35,"LEVE",AND(Tabla1[[#This Row],[Porcentaje de muertes]]&gt;0.35,Tabla1[[#This Row],[Porcentaje de muertes]]&lt;0.65),"MEDIO",Tabla1[[#This Row],[Porcentaje de muertes]]&gt;0.65,"GRAVE")</f>
        <v>GRAVE</v>
      </c>
    </row>
    <row r="440" spans="2:24" x14ac:dyDescent="0.3">
      <c r="B440" s="9">
        <v>438</v>
      </c>
      <c r="C440" s="49">
        <v>13311</v>
      </c>
      <c r="D440" s="9">
        <f>YEAR(Tabla1[[#This Row],[Date]])</f>
        <v>1936</v>
      </c>
      <c r="E440" s="9" t="str" cm="1">
        <f t="array" ref="E440">IFERROR(_xlfn.IFS(AND(D440&lt;1980,D440&gt;=1970),"70",AND(D440&lt;1990,D440&gt;=1980),"80",AND(D440&lt;2000,D440&gt;=1990),"90",AND(D440&lt;2010,D440&gt;=2000),"00",AND(D440&lt;=2019,D440&gt;=2010),"10"),"1908-1970")</f>
        <v>1908-1970</v>
      </c>
      <c r="F440" s="3" t="s">
        <v>28931</v>
      </c>
      <c r="G440" t="s">
        <v>6895</v>
      </c>
      <c r="H440" t="s">
        <v>5740</v>
      </c>
      <c r="I440" t="s">
        <v>28931</v>
      </c>
      <c r="J440" t="s">
        <v>28931</v>
      </c>
      <c r="K440" t="s">
        <v>6462</v>
      </c>
      <c r="L440" s="7" t="s">
        <v>6896</v>
      </c>
      <c r="M440">
        <v>174</v>
      </c>
      <c r="N440">
        <v>1</v>
      </c>
      <c r="O440">
        <v>0</v>
      </c>
      <c r="P440">
        <v>1</v>
      </c>
      <c r="Q440">
        <v>1</v>
      </c>
      <c r="R440">
        <v>0</v>
      </c>
      <c r="S440">
        <v>1</v>
      </c>
      <c r="T440">
        <v>0</v>
      </c>
      <c r="U440" t="s">
        <v>6897</v>
      </c>
      <c r="V440">
        <f>Tabla1[[#This Row],[Aboard]]-Tabla1[[#This Row],[Fatalities]]</f>
        <v>0</v>
      </c>
      <c r="W440" s="50">
        <f>IFERROR(Tabla1[[#This Row],[Fatalities]]/Tabla1[[#This Row],[Aboard]],0)</f>
        <v>1</v>
      </c>
      <c r="X440" s="51" t="str" cm="1">
        <f t="array" ref="X440">_xlfn.IFS(Tabla1[[#This Row],[Porcentaje de muertes]]&lt;0.35,"LEVE",AND(Tabla1[[#This Row],[Porcentaje de muertes]]&gt;0.35,Tabla1[[#This Row],[Porcentaje de muertes]]&lt;0.65),"MEDIO",Tabla1[[#This Row],[Porcentaje de muertes]]&gt;0.65,"GRAVE")</f>
        <v>GRAVE</v>
      </c>
    </row>
    <row r="441" spans="2:24" x14ac:dyDescent="0.3">
      <c r="B441" s="9">
        <v>439</v>
      </c>
      <c r="C441" s="49">
        <v>13403</v>
      </c>
      <c r="D441" s="9">
        <f>YEAR(Tabla1[[#This Row],[Date]])</f>
        <v>1936</v>
      </c>
      <c r="E441" s="9" t="str" cm="1">
        <f t="array" ref="E441">IFERROR(_xlfn.IFS(AND(D441&lt;1980,D441&gt;=1970),"70",AND(D441&lt;1990,D441&gt;=1980),"80",AND(D441&lt;2000,D441&gt;=1990),"90",AND(D441&lt;2010,D441&gt;=2000),"00",AND(D441&lt;=2019,D441&gt;=2010),"10"),"1908-1970")</f>
        <v>1908-1970</v>
      </c>
      <c r="F441" s="3" t="s">
        <v>28931</v>
      </c>
      <c r="G441" t="s">
        <v>6898</v>
      </c>
      <c r="H441" t="s">
        <v>6899</v>
      </c>
      <c r="I441" t="s">
        <v>28931</v>
      </c>
      <c r="J441" t="s">
        <v>28931</v>
      </c>
      <c r="K441" t="s">
        <v>6900</v>
      </c>
      <c r="L441" s="7" t="s">
        <v>6901</v>
      </c>
      <c r="M441" t="s">
        <v>6902</v>
      </c>
      <c r="N441">
        <v>1</v>
      </c>
      <c r="O441">
        <v>0</v>
      </c>
      <c r="P441">
        <v>1</v>
      </c>
      <c r="Q441">
        <v>1</v>
      </c>
      <c r="R441">
        <v>0</v>
      </c>
      <c r="S441">
        <v>1</v>
      </c>
      <c r="T441">
        <v>0</v>
      </c>
      <c r="U441" t="s">
        <v>5102</v>
      </c>
      <c r="V441">
        <f>Tabla1[[#This Row],[Aboard]]-Tabla1[[#This Row],[Fatalities]]</f>
        <v>0</v>
      </c>
      <c r="W441" s="50">
        <f>IFERROR(Tabla1[[#This Row],[Fatalities]]/Tabla1[[#This Row],[Aboard]],0)</f>
        <v>1</v>
      </c>
      <c r="X441" s="51" t="str" cm="1">
        <f t="array" ref="X441">_xlfn.IFS(Tabla1[[#This Row],[Porcentaje de muertes]]&lt;0.35,"LEVE",AND(Tabla1[[#This Row],[Porcentaje de muertes]]&gt;0.35,Tabla1[[#This Row],[Porcentaje de muertes]]&lt;0.65),"MEDIO",Tabla1[[#This Row],[Porcentaje de muertes]]&gt;0.65,"GRAVE")</f>
        <v>GRAVE</v>
      </c>
    </row>
    <row r="442" spans="2:24" x14ac:dyDescent="0.3">
      <c r="B442" s="9">
        <v>440</v>
      </c>
      <c r="C442" s="49">
        <v>13160</v>
      </c>
      <c r="D442" s="9">
        <f>YEAR(Tabla1[[#This Row],[Date]])</f>
        <v>1936</v>
      </c>
      <c r="E442" s="9" t="str" cm="1">
        <f t="array" ref="E442">IFERROR(_xlfn.IFS(AND(D442&lt;1980,D442&gt;=1970),"70",AND(D442&lt;1990,D442&gt;=1980),"80",AND(D442&lt;2000,D442&gt;=1990),"90",AND(D442&lt;2010,D442&gt;=2000),"00",AND(D442&lt;=2019,D442&gt;=2010),"10"),"1908-1970")</f>
        <v>1908-1970</v>
      </c>
      <c r="F442" s="3">
        <v>0.625</v>
      </c>
      <c r="G442" t="s">
        <v>6903</v>
      </c>
      <c r="H442" t="s">
        <v>5417</v>
      </c>
      <c r="I442" t="s">
        <v>28931</v>
      </c>
      <c r="J442" t="s">
        <v>6904</v>
      </c>
      <c r="K442" t="s">
        <v>6742</v>
      </c>
      <c r="L442" s="7" t="s">
        <v>6905</v>
      </c>
      <c r="M442">
        <v>5506</v>
      </c>
      <c r="N442">
        <v>15</v>
      </c>
      <c r="O442">
        <v>12</v>
      </c>
      <c r="P442">
        <v>3</v>
      </c>
      <c r="Q442">
        <v>11</v>
      </c>
      <c r="R442">
        <v>8</v>
      </c>
      <c r="S442">
        <v>3</v>
      </c>
      <c r="T442">
        <v>0</v>
      </c>
      <c r="U442" t="s">
        <v>6906</v>
      </c>
      <c r="V442">
        <f>Tabla1[[#This Row],[Aboard]]-Tabla1[[#This Row],[Fatalities]]</f>
        <v>4</v>
      </c>
      <c r="W442" s="50">
        <f>IFERROR(Tabla1[[#This Row],[Fatalities]]/Tabla1[[#This Row],[Aboard]],0)</f>
        <v>0.73333333333333328</v>
      </c>
      <c r="X442" s="51" t="str" cm="1">
        <f t="array" ref="X442">_xlfn.IFS(Tabla1[[#This Row],[Porcentaje de muertes]]&lt;0.35,"LEVE",AND(Tabla1[[#This Row],[Porcentaje de muertes]]&gt;0.35,Tabla1[[#This Row],[Porcentaje de muertes]]&lt;0.65),"MEDIO",Tabla1[[#This Row],[Porcentaje de muertes]]&gt;0.65,"GRAVE")</f>
        <v>GRAVE</v>
      </c>
    </row>
    <row r="443" spans="2:24" x14ac:dyDescent="0.3">
      <c r="B443" s="9">
        <v>441</v>
      </c>
      <c r="C443" s="49">
        <v>13471</v>
      </c>
      <c r="D443" s="9">
        <f>YEAR(Tabla1[[#This Row],[Date]])</f>
        <v>1936</v>
      </c>
      <c r="E443" s="9" t="str" cm="1">
        <f t="array" ref="E443">IFERROR(_xlfn.IFS(AND(D443&lt;1980,D443&gt;=1970),"70",AND(D443&lt;1990,D443&gt;=1980),"80",AND(D443&lt;2000,D443&gt;=1990),"90",AND(D443&lt;2010,D443&gt;=2000),"00",AND(D443&lt;=2019,D443&gt;=2010),"10"),"1908-1970")</f>
        <v>1908-1970</v>
      </c>
      <c r="F443" s="3">
        <v>0.58333333333333337</v>
      </c>
      <c r="G443" t="s">
        <v>6907</v>
      </c>
      <c r="H443" t="s">
        <v>5417</v>
      </c>
      <c r="I443" t="s">
        <v>28931</v>
      </c>
      <c r="J443" t="s">
        <v>6908</v>
      </c>
      <c r="K443" t="s">
        <v>6555</v>
      </c>
      <c r="L443" s="7" t="s">
        <v>6909</v>
      </c>
      <c r="M443">
        <v>5498</v>
      </c>
      <c r="N443">
        <v>16</v>
      </c>
      <c r="O443">
        <v>13</v>
      </c>
      <c r="P443">
        <v>3</v>
      </c>
      <c r="Q443">
        <v>4</v>
      </c>
      <c r="R443">
        <v>3</v>
      </c>
      <c r="S443">
        <v>1</v>
      </c>
      <c r="T443">
        <v>0</v>
      </c>
      <c r="U443" t="s">
        <v>6910</v>
      </c>
      <c r="V443">
        <f>Tabla1[[#This Row],[Aboard]]-Tabla1[[#This Row],[Fatalities]]</f>
        <v>12</v>
      </c>
      <c r="W443" s="50">
        <f>IFERROR(Tabla1[[#This Row],[Fatalities]]/Tabla1[[#This Row],[Aboard]],0)</f>
        <v>0.25</v>
      </c>
      <c r="X443" s="51" t="str" cm="1">
        <f t="array" ref="X443">_xlfn.IFS(Tabla1[[#This Row],[Porcentaje de muertes]]&lt;0.35,"LEVE",AND(Tabla1[[#This Row],[Porcentaje de muertes]]&gt;0.35,Tabla1[[#This Row],[Porcentaje de muertes]]&lt;0.65),"MEDIO",Tabla1[[#This Row],[Porcentaje de muertes]]&gt;0.65,"GRAVE")</f>
        <v>LEVE</v>
      </c>
    </row>
    <row r="444" spans="2:24" x14ac:dyDescent="0.3">
      <c r="B444" s="9">
        <v>442</v>
      </c>
      <c r="C444" s="49">
        <v>13473</v>
      </c>
      <c r="D444" s="9">
        <f>YEAR(Tabla1[[#This Row],[Date]])</f>
        <v>1936</v>
      </c>
      <c r="E444" s="9" t="str" cm="1">
        <f t="array" ref="E444">IFERROR(_xlfn.IFS(AND(D444&lt;1980,D444&gt;=1970),"70",AND(D444&lt;1990,D444&gt;=1980),"80",AND(D444&lt;2000,D444&gt;=1990),"90",AND(D444&lt;2010,D444&gt;=2000),"00",AND(D444&lt;=2019,D444&gt;=2010),"10"),"1908-1970")</f>
        <v>1908-1970</v>
      </c>
      <c r="F444" s="3">
        <v>0.15138888888888888</v>
      </c>
      <c r="G444" t="s">
        <v>5174</v>
      </c>
      <c r="H444" t="s">
        <v>6862</v>
      </c>
      <c r="I444" t="s">
        <v>28931</v>
      </c>
      <c r="J444" t="s">
        <v>6911</v>
      </c>
      <c r="K444" t="s">
        <v>6912</v>
      </c>
      <c r="L444" s="7" t="s">
        <v>6913</v>
      </c>
      <c r="M444">
        <v>5300</v>
      </c>
      <c r="N444">
        <v>4</v>
      </c>
      <c r="O444">
        <v>0</v>
      </c>
      <c r="P444">
        <v>4</v>
      </c>
      <c r="Q444">
        <v>2</v>
      </c>
      <c r="R444">
        <v>0</v>
      </c>
      <c r="S444">
        <v>2</v>
      </c>
      <c r="T444">
        <v>0</v>
      </c>
      <c r="U444" t="s">
        <v>6914</v>
      </c>
      <c r="V444">
        <f>Tabla1[[#This Row],[Aboard]]-Tabla1[[#This Row],[Fatalities]]</f>
        <v>2</v>
      </c>
      <c r="W444" s="50">
        <f>IFERROR(Tabla1[[#This Row],[Fatalities]]/Tabla1[[#This Row],[Aboard]],0)</f>
        <v>0.5</v>
      </c>
      <c r="X444" s="51" t="str" cm="1">
        <f t="array" ref="X444">_xlfn.IFS(Tabla1[[#This Row],[Porcentaje de muertes]]&lt;0.35,"LEVE",AND(Tabla1[[#This Row],[Porcentaje de muertes]]&gt;0.35,Tabla1[[#This Row],[Porcentaje de muertes]]&lt;0.65),"MEDIO",Tabla1[[#This Row],[Porcentaje de muertes]]&gt;0.65,"GRAVE")</f>
        <v>MEDIO</v>
      </c>
    </row>
    <row r="445" spans="2:24" x14ac:dyDescent="0.3">
      <c r="B445" s="9">
        <v>443</v>
      </c>
      <c r="C445" s="49">
        <v>13252</v>
      </c>
      <c r="D445" s="9">
        <f>YEAR(Tabla1[[#This Row],[Date]])</f>
        <v>1936</v>
      </c>
      <c r="E445" s="9" t="str" cm="1">
        <f t="array" ref="E445">IFERROR(_xlfn.IFS(AND(D445&lt;1980,D445&gt;=1970),"70",AND(D445&lt;1990,D445&gt;=1980),"80",AND(D445&lt;2000,D445&gt;=1990),"90",AND(D445&lt;2010,D445&gt;=2000),"00",AND(D445&lt;=2019,D445&gt;=2010),"10"),"1908-1970")</f>
        <v>1908-1970</v>
      </c>
      <c r="F445" s="3">
        <v>0.5</v>
      </c>
      <c r="G445" t="s">
        <v>6915</v>
      </c>
      <c r="H445" t="s">
        <v>5417</v>
      </c>
      <c r="I445" t="s">
        <v>28931</v>
      </c>
      <c r="J445" t="s">
        <v>6916</v>
      </c>
      <c r="K445" t="s">
        <v>6555</v>
      </c>
      <c r="L445" s="7" t="s">
        <v>6917</v>
      </c>
      <c r="M445">
        <v>5078</v>
      </c>
      <c r="N445">
        <v>6</v>
      </c>
      <c r="O445">
        <v>3</v>
      </c>
      <c r="P445">
        <v>3</v>
      </c>
      <c r="Q445">
        <v>6</v>
      </c>
      <c r="R445">
        <v>3</v>
      </c>
      <c r="S445">
        <v>3</v>
      </c>
      <c r="T445">
        <v>0</v>
      </c>
      <c r="U445" t="s">
        <v>6918</v>
      </c>
      <c r="V445">
        <f>Tabla1[[#This Row],[Aboard]]-Tabla1[[#This Row],[Fatalities]]</f>
        <v>0</v>
      </c>
      <c r="W445" s="50">
        <f>IFERROR(Tabla1[[#This Row],[Fatalities]]/Tabla1[[#This Row],[Aboard]],0)</f>
        <v>1</v>
      </c>
      <c r="X445" s="51" t="str" cm="1">
        <f t="array" ref="X445">_xlfn.IFS(Tabla1[[#This Row],[Porcentaje de muertes]]&lt;0.35,"LEVE",AND(Tabla1[[#This Row],[Porcentaje de muertes]]&gt;0.35,Tabla1[[#This Row],[Porcentaje de muertes]]&lt;0.65),"MEDIO",Tabla1[[#This Row],[Porcentaje de muertes]]&gt;0.65,"GRAVE")</f>
        <v>GRAVE</v>
      </c>
    </row>
    <row r="446" spans="2:24" x14ac:dyDescent="0.3">
      <c r="B446" s="9">
        <v>444</v>
      </c>
      <c r="C446" s="49">
        <v>13313</v>
      </c>
      <c r="D446" s="9">
        <f>YEAR(Tabla1[[#This Row],[Date]])</f>
        <v>1936</v>
      </c>
      <c r="E446" s="9" t="str" cm="1">
        <f t="array" ref="E446">IFERROR(_xlfn.IFS(AND(D446&lt;1980,D446&gt;=1970),"70",AND(D446&lt;1990,D446&gt;=1980),"80",AND(D446&lt;2000,D446&gt;=1990),"90",AND(D446&lt;2010,D446&gt;=2000),"00",AND(D446&lt;=2019,D446&gt;=2010),"10"),"1908-1970")</f>
        <v>1908-1970</v>
      </c>
      <c r="F446" s="3" t="s">
        <v>28931</v>
      </c>
      <c r="G446" t="s">
        <v>6590</v>
      </c>
      <c r="H446" t="s">
        <v>6553</v>
      </c>
      <c r="I446" t="s">
        <v>28931</v>
      </c>
      <c r="J446" t="s">
        <v>6919</v>
      </c>
      <c r="K446" t="s">
        <v>6920</v>
      </c>
      <c r="L446" s="7" t="s">
        <v>6921</v>
      </c>
      <c r="M446">
        <v>160</v>
      </c>
      <c r="N446">
        <v>14</v>
      </c>
      <c r="O446">
        <v>11</v>
      </c>
      <c r="P446">
        <v>3</v>
      </c>
      <c r="Q446">
        <v>9</v>
      </c>
      <c r="R446">
        <v>7</v>
      </c>
      <c r="S446">
        <v>2</v>
      </c>
      <c r="T446">
        <v>0</v>
      </c>
      <c r="U446" t="s">
        <v>6922</v>
      </c>
      <c r="V446">
        <f>Tabla1[[#This Row],[Aboard]]-Tabla1[[#This Row],[Fatalities]]</f>
        <v>5</v>
      </c>
      <c r="W446" s="50">
        <f>IFERROR(Tabla1[[#This Row],[Fatalities]]/Tabla1[[#This Row],[Aboard]],0)</f>
        <v>0.6428571428571429</v>
      </c>
      <c r="X446" s="51" t="str" cm="1">
        <f t="array" ref="X446">_xlfn.IFS(Tabla1[[#This Row],[Porcentaje de muertes]]&lt;0.35,"LEVE",AND(Tabla1[[#This Row],[Porcentaje de muertes]]&gt;0.35,Tabla1[[#This Row],[Porcentaje de muertes]]&lt;0.65),"MEDIO",Tabla1[[#This Row],[Porcentaje de muertes]]&gt;0.65,"GRAVE")</f>
        <v>MEDIO</v>
      </c>
    </row>
    <row r="447" spans="2:24" x14ac:dyDescent="0.3">
      <c r="B447" s="9">
        <v>445</v>
      </c>
      <c r="C447" s="49">
        <v>13343</v>
      </c>
      <c r="D447" s="9">
        <f>YEAR(Tabla1[[#This Row],[Date]])</f>
        <v>1936</v>
      </c>
      <c r="E447" s="9" t="str" cm="1">
        <f t="array" ref="E447">IFERROR(_xlfn.IFS(AND(D447&lt;1980,D447&gt;=1970),"70",AND(D447&lt;1990,D447&gt;=1980),"80",AND(D447&lt;2000,D447&gt;=1990),"90",AND(D447&lt;2010,D447&gt;=2000),"00",AND(D447&lt;=2019,D447&gt;=2010),"10"),"1908-1970")</f>
        <v>1908-1970</v>
      </c>
      <c r="F447" s="3">
        <v>0.44930555555555557</v>
      </c>
      <c r="G447" t="s">
        <v>6923</v>
      </c>
      <c r="H447" t="s">
        <v>6375</v>
      </c>
      <c r="I447" t="s">
        <v>28931</v>
      </c>
      <c r="J447" t="s">
        <v>6924</v>
      </c>
      <c r="K447" t="s">
        <v>6925</v>
      </c>
      <c r="L447" s="7" t="s">
        <v>6926</v>
      </c>
      <c r="M447">
        <v>1</v>
      </c>
      <c r="N447">
        <v>5</v>
      </c>
      <c r="O447">
        <v>1</v>
      </c>
      <c r="P447">
        <v>4</v>
      </c>
      <c r="Q447">
        <v>5</v>
      </c>
      <c r="R447">
        <v>1</v>
      </c>
      <c r="S447">
        <v>4</v>
      </c>
      <c r="T447">
        <v>0</v>
      </c>
      <c r="U447" t="s">
        <v>6927</v>
      </c>
      <c r="V447">
        <f>Tabla1[[#This Row],[Aboard]]-Tabla1[[#This Row],[Fatalities]]</f>
        <v>0</v>
      </c>
      <c r="W447" s="50">
        <f>IFERROR(Tabla1[[#This Row],[Fatalities]]/Tabla1[[#This Row],[Aboard]],0)</f>
        <v>1</v>
      </c>
      <c r="X447" s="51" t="str" cm="1">
        <f t="array" ref="X447">_xlfn.IFS(Tabla1[[#This Row],[Porcentaje de muertes]]&lt;0.35,"LEVE",AND(Tabla1[[#This Row],[Porcentaje de muertes]]&gt;0.35,Tabla1[[#This Row],[Porcentaje de muertes]]&lt;0.65),"MEDIO",Tabla1[[#This Row],[Porcentaje de muertes]]&gt;0.65,"GRAVE")</f>
        <v>GRAVE</v>
      </c>
    </row>
    <row r="448" spans="2:24" x14ac:dyDescent="0.3">
      <c r="B448" s="9">
        <v>446</v>
      </c>
      <c r="C448" s="49">
        <v>13405</v>
      </c>
      <c r="D448" s="9">
        <f>YEAR(Tabla1[[#This Row],[Date]])</f>
        <v>1936</v>
      </c>
      <c r="E448" s="9" t="str" cm="1">
        <f t="array" ref="E448">IFERROR(_xlfn.IFS(AND(D448&lt;1980,D448&gt;=1970),"70",AND(D448&lt;1990,D448&gt;=1980),"80",AND(D448&lt;2000,D448&gt;=1990),"90",AND(D448&lt;2010,D448&gt;=2000),"00",AND(D448&lt;=2019,D448&gt;=2010),"10"),"1908-1970")</f>
        <v>1908-1970</v>
      </c>
      <c r="F448" s="3">
        <v>0.4375</v>
      </c>
      <c r="G448" t="s">
        <v>5956</v>
      </c>
      <c r="H448" t="s">
        <v>5332</v>
      </c>
      <c r="I448" t="s">
        <v>28931</v>
      </c>
      <c r="J448" t="s">
        <v>6928</v>
      </c>
      <c r="K448" t="s">
        <v>6929</v>
      </c>
      <c r="L448" s="7" t="s">
        <v>6930</v>
      </c>
      <c r="M448">
        <v>1358</v>
      </c>
      <c r="N448">
        <v>17</v>
      </c>
      <c r="O448">
        <v>13</v>
      </c>
      <c r="P448">
        <v>4</v>
      </c>
      <c r="Q448">
        <v>15</v>
      </c>
      <c r="R448">
        <v>12</v>
      </c>
      <c r="S448">
        <v>3</v>
      </c>
      <c r="T448">
        <v>0</v>
      </c>
      <c r="U448" t="s">
        <v>6931</v>
      </c>
      <c r="V448">
        <f>Tabla1[[#This Row],[Aboard]]-Tabla1[[#This Row],[Fatalities]]</f>
        <v>2</v>
      </c>
      <c r="W448" s="50">
        <f>IFERROR(Tabla1[[#This Row],[Fatalities]]/Tabla1[[#This Row],[Aboard]],0)</f>
        <v>0.88235294117647056</v>
      </c>
      <c r="X448" s="51" t="str" cm="1">
        <f t="array" ref="X448">_xlfn.IFS(Tabla1[[#This Row],[Porcentaje de muertes]]&lt;0.35,"LEVE",AND(Tabla1[[#This Row],[Porcentaje de muertes]]&gt;0.35,Tabla1[[#This Row],[Porcentaje de muertes]]&lt;0.65),"MEDIO",Tabla1[[#This Row],[Porcentaje de muertes]]&gt;0.65,"GRAVE")</f>
        <v>GRAVE</v>
      </c>
    </row>
    <row r="449" spans="2:24" x14ac:dyDescent="0.3">
      <c r="B449" s="9">
        <v>447</v>
      </c>
      <c r="C449" s="49">
        <v>13499</v>
      </c>
      <c r="D449" s="9">
        <f>YEAR(Tabla1[[#This Row],[Date]])</f>
        <v>1936</v>
      </c>
      <c r="E449" s="9" t="str" cm="1">
        <f t="array" ref="E449">IFERROR(_xlfn.IFS(AND(D449&lt;1980,D449&gt;=1970),"70",AND(D449&lt;1990,D449&gt;=1980),"80",AND(D449&lt;2000,D449&gt;=1990),"90",AND(D449&lt;2010,D449&gt;=2000),"00",AND(D449&lt;=2019,D449&gt;=2010),"10"),"1908-1970")</f>
        <v>1908-1970</v>
      </c>
      <c r="F449" s="3">
        <v>0.13472222222222222</v>
      </c>
      <c r="G449" t="s">
        <v>6414</v>
      </c>
      <c r="H449" t="s">
        <v>6673</v>
      </c>
      <c r="I449">
        <v>6</v>
      </c>
      <c r="J449" t="s">
        <v>6932</v>
      </c>
      <c r="K449" t="s">
        <v>6688</v>
      </c>
      <c r="L449" s="7" t="s">
        <v>6933</v>
      </c>
      <c r="M449">
        <v>1957</v>
      </c>
      <c r="N449">
        <v>7</v>
      </c>
      <c r="O449">
        <v>4</v>
      </c>
      <c r="P449">
        <v>3</v>
      </c>
      <c r="Q449">
        <v>7</v>
      </c>
      <c r="R449">
        <v>4</v>
      </c>
      <c r="S449">
        <v>3</v>
      </c>
      <c r="T449">
        <v>0</v>
      </c>
      <c r="U449" t="s">
        <v>6934</v>
      </c>
      <c r="V449">
        <f>Tabla1[[#This Row],[Aboard]]-Tabla1[[#This Row],[Fatalities]]</f>
        <v>0</v>
      </c>
      <c r="W449" s="50">
        <f>IFERROR(Tabla1[[#This Row],[Fatalities]]/Tabla1[[#This Row],[Aboard]],0)</f>
        <v>1</v>
      </c>
      <c r="X449" s="51" t="str" cm="1">
        <f t="array" ref="X449">_xlfn.IFS(Tabla1[[#This Row],[Porcentaje de muertes]]&lt;0.35,"LEVE",AND(Tabla1[[#This Row],[Porcentaje de muertes]]&gt;0.35,Tabla1[[#This Row],[Porcentaje de muertes]]&lt;0.65),"MEDIO",Tabla1[[#This Row],[Porcentaje de muertes]]&gt;0.65,"GRAVE")</f>
        <v>GRAVE</v>
      </c>
    </row>
    <row r="450" spans="2:24" x14ac:dyDescent="0.3">
      <c r="B450" s="9">
        <v>448</v>
      </c>
      <c r="C450" s="49">
        <v>13502</v>
      </c>
      <c r="D450" s="9">
        <f>YEAR(Tabla1[[#This Row],[Date]])</f>
        <v>1936</v>
      </c>
      <c r="E450" s="9" t="str" cm="1">
        <f t="array" ref="E450">IFERROR(_xlfn.IFS(AND(D450&lt;1980,D450&gt;=1970),"70",AND(D450&lt;1990,D450&gt;=1980),"80",AND(D450&lt;2000,D450&gt;=1990),"90",AND(D450&lt;2010,D450&gt;=2000),"00",AND(D450&lt;=2019,D450&gt;=2010),"10"),"1908-1970")</f>
        <v>1908-1970</v>
      </c>
      <c r="F450" s="3">
        <v>0.14097222222222222</v>
      </c>
      <c r="G450" t="s">
        <v>6935</v>
      </c>
      <c r="H450" t="s">
        <v>5769</v>
      </c>
      <c r="I450" t="s">
        <v>28931</v>
      </c>
      <c r="J450" t="s">
        <v>6936</v>
      </c>
      <c r="K450" t="s">
        <v>6937</v>
      </c>
      <c r="L450" s="7" t="s">
        <v>6938</v>
      </c>
      <c r="M450">
        <v>1024</v>
      </c>
      <c r="N450">
        <v>2</v>
      </c>
      <c r="O450">
        <v>0</v>
      </c>
      <c r="P450">
        <v>2</v>
      </c>
      <c r="Q450">
        <v>2</v>
      </c>
      <c r="R450">
        <v>0</v>
      </c>
      <c r="S450">
        <v>2</v>
      </c>
      <c r="T450">
        <v>0</v>
      </c>
      <c r="U450" t="s">
        <v>6939</v>
      </c>
      <c r="V450">
        <f>Tabla1[[#This Row],[Aboard]]-Tabla1[[#This Row],[Fatalities]]</f>
        <v>0</v>
      </c>
      <c r="W450" s="50">
        <f>IFERROR(Tabla1[[#This Row],[Fatalities]]/Tabla1[[#This Row],[Aboard]],0)</f>
        <v>1</v>
      </c>
      <c r="X450" s="51" t="str" cm="1">
        <f t="array" ref="X450">_xlfn.IFS(Tabla1[[#This Row],[Porcentaje de muertes]]&lt;0.35,"LEVE",AND(Tabla1[[#This Row],[Porcentaje de muertes]]&gt;0.35,Tabla1[[#This Row],[Porcentaje de muertes]]&lt;0.65),"MEDIO",Tabla1[[#This Row],[Porcentaje de muertes]]&gt;0.65,"GRAVE")</f>
        <v>GRAVE</v>
      </c>
    </row>
    <row r="451" spans="2:24" x14ac:dyDescent="0.3">
      <c r="B451" s="9">
        <v>449</v>
      </c>
      <c r="C451" s="49">
        <v>13503</v>
      </c>
      <c r="D451" s="9">
        <f>YEAR(Tabla1[[#This Row],[Date]])</f>
        <v>1936</v>
      </c>
      <c r="E451" s="9" t="str" cm="1">
        <f t="array" ref="E451">IFERROR(_xlfn.IFS(AND(D451&lt;1980,D451&gt;=1970),"70",AND(D451&lt;1990,D451&gt;=1980),"80",AND(D451&lt;2000,D451&gt;=1990),"90",AND(D451&lt;2010,D451&gt;=2000),"00",AND(D451&lt;=2019,D451&gt;=2010),"10"),"1908-1970")</f>
        <v>1908-1970</v>
      </c>
      <c r="F451" s="3">
        <v>0.86597222222222225</v>
      </c>
      <c r="G451" t="s">
        <v>6940</v>
      </c>
      <c r="H451" t="s">
        <v>6941</v>
      </c>
      <c r="I451">
        <v>14</v>
      </c>
      <c r="J451" t="s">
        <v>6942</v>
      </c>
      <c r="K451" t="s">
        <v>6587</v>
      </c>
      <c r="L451" s="7" t="s">
        <v>6943</v>
      </c>
      <c r="M451">
        <v>1258</v>
      </c>
      <c r="N451">
        <v>11</v>
      </c>
      <c r="O451">
        <v>8</v>
      </c>
      <c r="P451">
        <v>3</v>
      </c>
      <c r="Q451">
        <v>0</v>
      </c>
      <c r="R451">
        <v>0</v>
      </c>
      <c r="S451">
        <v>0</v>
      </c>
      <c r="T451">
        <v>0</v>
      </c>
      <c r="U451" t="s">
        <v>6944</v>
      </c>
      <c r="V451">
        <f>Tabla1[[#This Row],[Aboard]]-Tabla1[[#This Row],[Fatalities]]</f>
        <v>11</v>
      </c>
      <c r="W451" s="50">
        <f>IFERROR(Tabla1[[#This Row],[Fatalities]]/Tabla1[[#This Row],[Aboard]],0)</f>
        <v>0</v>
      </c>
      <c r="X451" s="51" t="str" cm="1">
        <f t="array" ref="X451">_xlfn.IFS(Tabla1[[#This Row],[Porcentaje de muertes]]&lt;0.35,"LEVE",AND(Tabla1[[#This Row],[Porcentaje de muertes]]&gt;0.35,Tabla1[[#This Row],[Porcentaje de muertes]]&lt;0.65),"MEDIO",Tabla1[[#This Row],[Porcentaje de muertes]]&gt;0.65,"GRAVE")</f>
        <v>LEVE</v>
      </c>
    </row>
    <row r="452" spans="2:24" x14ac:dyDescent="0.3">
      <c r="B452" s="9">
        <v>450</v>
      </c>
      <c r="C452" s="49">
        <v>13507</v>
      </c>
      <c r="D452" s="9">
        <f>YEAR(Tabla1[[#This Row],[Date]])</f>
        <v>1936</v>
      </c>
      <c r="E452" s="9" t="str" cm="1">
        <f t="array" ref="E452">IFERROR(_xlfn.IFS(AND(D452&lt;1980,D452&gt;=1970),"70",AND(D452&lt;1990,D452&gt;=1980),"80",AND(D452&lt;2000,D452&gt;=1990),"90",AND(D452&lt;2010,D452&gt;=2000),"00",AND(D452&lt;=2019,D452&gt;=2010),"10"),"1908-1970")</f>
        <v>1908-1970</v>
      </c>
      <c r="F452" s="3" t="s">
        <v>28931</v>
      </c>
      <c r="G452" t="s">
        <v>6945</v>
      </c>
      <c r="H452" t="s">
        <v>6142</v>
      </c>
      <c r="I452" t="s">
        <v>28931</v>
      </c>
      <c r="J452" t="s">
        <v>5028</v>
      </c>
      <c r="K452" t="s">
        <v>6937</v>
      </c>
      <c r="L452" s="7" t="s">
        <v>6946</v>
      </c>
      <c r="M452">
        <v>1018</v>
      </c>
      <c r="N452">
        <v>6</v>
      </c>
      <c r="O452">
        <v>4</v>
      </c>
      <c r="P452">
        <v>2</v>
      </c>
      <c r="Q452">
        <v>6</v>
      </c>
      <c r="R452">
        <v>4</v>
      </c>
      <c r="S452">
        <v>2</v>
      </c>
      <c r="T452">
        <v>0</v>
      </c>
      <c r="U452" t="s">
        <v>6947</v>
      </c>
      <c r="V452">
        <f>Tabla1[[#This Row],[Aboard]]-Tabla1[[#This Row],[Fatalities]]</f>
        <v>0</v>
      </c>
      <c r="W452" s="50">
        <f>IFERROR(Tabla1[[#This Row],[Fatalities]]/Tabla1[[#This Row],[Aboard]],0)</f>
        <v>1</v>
      </c>
      <c r="X452" s="51" t="str" cm="1">
        <f t="array" ref="X452">_xlfn.IFS(Tabla1[[#This Row],[Porcentaje de muertes]]&lt;0.35,"LEVE",AND(Tabla1[[#This Row],[Porcentaje de muertes]]&gt;0.35,Tabla1[[#This Row],[Porcentaje de muertes]]&lt;0.65),"MEDIO",Tabla1[[#This Row],[Porcentaje de muertes]]&gt;0.65,"GRAVE")</f>
        <v>GRAVE</v>
      </c>
    </row>
    <row r="453" spans="2:24" x14ac:dyDescent="0.3">
      <c r="B453" s="9">
        <v>451</v>
      </c>
      <c r="C453" s="49">
        <v>13510</v>
      </c>
      <c r="D453" s="9">
        <f>YEAR(Tabla1[[#This Row],[Date]])</f>
        <v>1936</v>
      </c>
      <c r="E453" s="9" t="str" cm="1">
        <f t="array" ref="E453">IFERROR(_xlfn.IFS(AND(D453&lt;1980,D453&gt;=1970),"70",AND(D453&lt;1990,D453&gt;=1980),"80",AND(D453&lt;2000,D453&gt;=1990),"90",AND(D453&lt;2010,D453&gt;=2000),"00",AND(D453&lt;=2019,D453&gt;=2010),"10"),"1908-1970")</f>
        <v>1908-1970</v>
      </c>
      <c r="F453" s="3" t="s">
        <v>28931</v>
      </c>
      <c r="G453" t="s">
        <v>6948</v>
      </c>
      <c r="H453" t="s">
        <v>6010</v>
      </c>
      <c r="I453" t="s">
        <v>28931</v>
      </c>
      <c r="J453" t="s">
        <v>28931</v>
      </c>
      <c r="K453" t="s">
        <v>6635</v>
      </c>
      <c r="L453" s="7" t="s">
        <v>6949</v>
      </c>
      <c r="M453" t="s">
        <v>28931</v>
      </c>
      <c r="N453" t="s">
        <v>5038</v>
      </c>
      <c r="O453" t="s">
        <v>5038</v>
      </c>
      <c r="P453" t="s">
        <v>5038</v>
      </c>
      <c r="Q453" t="s">
        <v>5038</v>
      </c>
      <c r="R453" t="s">
        <v>5038</v>
      </c>
      <c r="S453" t="s">
        <v>5038</v>
      </c>
      <c r="T453" t="s">
        <v>5038</v>
      </c>
      <c r="U453" t="s">
        <v>28927</v>
      </c>
      <c r="V453" t="s">
        <v>5038</v>
      </c>
      <c r="W453" s="50">
        <f>IFERROR(Tabla1[[#This Row],[Fatalities]]/Tabla1[[#This Row],[Aboard]],0)</f>
        <v>0</v>
      </c>
      <c r="X453" s="51" t="str" cm="1">
        <f t="array" ref="X453">_xlfn.IFS(Tabla1[[#This Row],[Porcentaje de muertes]]&lt;0.35,"LEVE",AND(Tabla1[[#This Row],[Porcentaje de muertes]]&gt;0.35,Tabla1[[#This Row],[Porcentaje de muertes]]&lt;0.65),"MEDIO",Tabla1[[#This Row],[Porcentaje de muertes]]&gt;0.65,"GRAVE")</f>
        <v>LEVE</v>
      </c>
    </row>
    <row r="454" spans="2:24" x14ac:dyDescent="0.3">
      <c r="B454" s="9">
        <v>452</v>
      </c>
      <c r="C454" s="49">
        <v>13511</v>
      </c>
      <c r="D454" s="9">
        <f>YEAR(Tabla1[[#This Row],[Date]])</f>
        <v>1936</v>
      </c>
      <c r="E454" s="9" t="str" cm="1">
        <f t="array" ref="E454">IFERROR(_xlfn.IFS(AND(D454&lt;1980,D454&gt;=1970),"70",AND(D454&lt;1990,D454&gt;=1980),"80",AND(D454&lt;2000,D454&gt;=1990),"90",AND(D454&lt;2010,D454&gt;=2000),"00",AND(D454&lt;=2019,D454&gt;=2010),"10"),"1908-1970")</f>
        <v>1908-1970</v>
      </c>
      <c r="F454" s="3">
        <v>0.81805555555555554</v>
      </c>
      <c r="G454" t="s">
        <v>6950</v>
      </c>
      <c r="H454" t="s">
        <v>6369</v>
      </c>
      <c r="I454">
        <v>34</v>
      </c>
      <c r="J454" t="s">
        <v>6951</v>
      </c>
      <c r="K454" t="s">
        <v>6688</v>
      </c>
      <c r="L454" s="7" t="s">
        <v>6952</v>
      </c>
      <c r="M454">
        <v>1737</v>
      </c>
      <c r="N454">
        <v>12</v>
      </c>
      <c r="O454">
        <v>10</v>
      </c>
      <c r="P454">
        <v>2</v>
      </c>
      <c r="Q454">
        <v>12</v>
      </c>
      <c r="R454">
        <v>10</v>
      </c>
      <c r="S454">
        <v>2</v>
      </c>
      <c r="T454">
        <v>0</v>
      </c>
      <c r="U454" t="s">
        <v>6953</v>
      </c>
      <c r="V454">
        <f>Tabla1[[#This Row],[Aboard]]-Tabla1[[#This Row],[Fatalities]]</f>
        <v>0</v>
      </c>
      <c r="W454" s="50">
        <f>IFERROR(Tabla1[[#This Row],[Fatalities]]/Tabla1[[#This Row],[Aboard]],0)</f>
        <v>1</v>
      </c>
      <c r="X454" s="51" t="str" cm="1">
        <f t="array" ref="X454">_xlfn.IFS(Tabla1[[#This Row],[Porcentaje de muertes]]&lt;0.35,"LEVE",AND(Tabla1[[#This Row],[Porcentaje de muertes]]&gt;0.35,Tabla1[[#This Row],[Porcentaje de muertes]]&lt;0.65),"MEDIO",Tabla1[[#This Row],[Porcentaje de muertes]]&gt;0.65,"GRAVE")</f>
        <v>GRAVE</v>
      </c>
    </row>
    <row r="455" spans="2:24" x14ac:dyDescent="0.3">
      <c r="B455" s="9">
        <v>453</v>
      </c>
      <c r="C455" s="49">
        <v>13820</v>
      </c>
      <c r="D455" s="9">
        <f>YEAR(Tabla1[[#This Row],[Date]])</f>
        <v>1937</v>
      </c>
      <c r="E455" s="9" t="str" cm="1">
        <f t="array" ref="E455">IFERROR(_xlfn.IFS(AND(D455&lt;1980,D455&gt;=1970),"70",AND(D455&lt;1990,D455&gt;=1980),"80",AND(D455&lt;2000,D455&gt;=1990),"90",AND(D455&lt;2010,D455&gt;=2000),"00",AND(D455&lt;=2019,D455&gt;=2010),"10"),"1908-1970")</f>
        <v>1908-1970</v>
      </c>
      <c r="F455" s="3">
        <v>0.4375</v>
      </c>
      <c r="G455" t="s">
        <v>6954</v>
      </c>
      <c r="H455" t="s">
        <v>5740</v>
      </c>
      <c r="I455" t="s">
        <v>28931</v>
      </c>
      <c r="J455" t="s">
        <v>6955</v>
      </c>
      <c r="K455" t="s">
        <v>6956</v>
      </c>
      <c r="L455" s="7" t="s">
        <v>6957</v>
      </c>
      <c r="M455">
        <v>1007</v>
      </c>
      <c r="N455">
        <v>9</v>
      </c>
      <c r="O455">
        <v>6</v>
      </c>
      <c r="P455">
        <v>3</v>
      </c>
      <c r="Q455">
        <v>9</v>
      </c>
      <c r="R455">
        <v>6</v>
      </c>
      <c r="S455">
        <v>3</v>
      </c>
      <c r="T455">
        <v>0</v>
      </c>
      <c r="U455" t="s">
        <v>6958</v>
      </c>
      <c r="V455">
        <f>Tabla1[[#This Row],[Aboard]]-Tabla1[[#This Row],[Fatalities]]</f>
        <v>0</v>
      </c>
      <c r="W455" s="50">
        <f>IFERROR(Tabla1[[#This Row],[Fatalities]]/Tabla1[[#This Row],[Aboard]],0)</f>
        <v>1</v>
      </c>
      <c r="X455" s="51" t="str" cm="1">
        <f t="array" ref="X455">_xlfn.IFS(Tabla1[[#This Row],[Porcentaje de muertes]]&lt;0.35,"LEVE",AND(Tabla1[[#This Row],[Porcentaje de muertes]]&gt;0.35,Tabla1[[#This Row],[Porcentaje de muertes]]&lt;0.65),"MEDIO",Tabla1[[#This Row],[Porcentaje de muertes]]&gt;0.65,"GRAVE")</f>
        <v>GRAVE</v>
      </c>
    </row>
    <row r="456" spans="2:24" x14ac:dyDescent="0.3">
      <c r="B456" s="9">
        <v>454</v>
      </c>
      <c r="C456" s="49">
        <v>13850</v>
      </c>
      <c r="D456" s="9">
        <f>YEAR(Tabla1[[#This Row],[Date]])</f>
        <v>1937</v>
      </c>
      <c r="E456" s="9" t="str" cm="1">
        <f t="array" ref="E456">IFERROR(_xlfn.IFS(AND(D456&lt;1980,D456&gt;=1970),"70",AND(D456&lt;1990,D456&gt;=1980),"80",AND(D456&lt;2000,D456&gt;=1990),"90",AND(D456&lt;2010,D456&gt;=2000),"00",AND(D456&lt;=2019,D456&gt;=2010),"10"),"1908-1970")</f>
        <v>1908-1970</v>
      </c>
      <c r="F456" s="3">
        <v>0.46319444444444446</v>
      </c>
      <c r="G456" t="s">
        <v>6959</v>
      </c>
      <c r="H456" t="s">
        <v>6673</v>
      </c>
      <c r="I456">
        <v>7</v>
      </c>
      <c r="J456" t="s">
        <v>6960</v>
      </c>
      <c r="K456" t="s">
        <v>6688</v>
      </c>
      <c r="L456" s="7" t="s">
        <v>6961</v>
      </c>
      <c r="M456">
        <v>1696</v>
      </c>
      <c r="N456">
        <v>13</v>
      </c>
      <c r="O456">
        <v>11</v>
      </c>
      <c r="P456">
        <v>2</v>
      </c>
      <c r="Q456">
        <v>5</v>
      </c>
      <c r="R456">
        <v>4</v>
      </c>
      <c r="S456">
        <v>1</v>
      </c>
      <c r="T456">
        <v>0</v>
      </c>
      <c r="U456" t="s">
        <v>6962</v>
      </c>
      <c r="V456">
        <f>Tabla1[[#This Row],[Aboard]]-Tabla1[[#This Row],[Fatalities]]</f>
        <v>8</v>
      </c>
      <c r="W456" s="50">
        <f>IFERROR(Tabla1[[#This Row],[Fatalities]]/Tabla1[[#This Row],[Aboard]],0)</f>
        <v>0.38461538461538464</v>
      </c>
      <c r="X456" s="51" t="str" cm="1">
        <f t="array" ref="X456">_xlfn.IFS(Tabla1[[#This Row],[Porcentaje de muertes]]&lt;0.35,"LEVE",AND(Tabla1[[#This Row],[Porcentaje de muertes]]&gt;0.35,Tabla1[[#This Row],[Porcentaje de muertes]]&lt;0.65),"MEDIO",Tabla1[[#This Row],[Porcentaje de muertes]]&gt;0.65,"GRAVE")</f>
        <v>MEDIO</v>
      </c>
    </row>
    <row r="457" spans="2:24" x14ac:dyDescent="0.3">
      <c r="B457" s="9">
        <v>455</v>
      </c>
      <c r="C457" s="49">
        <v>13541</v>
      </c>
      <c r="D457" s="9">
        <f>YEAR(Tabla1[[#This Row],[Date]])</f>
        <v>1937</v>
      </c>
      <c r="E457" s="9" t="str" cm="1">
        <f t="array" ref="E457">IFERROR(_xlfn.IFS(AND(D457&lt;1980,D457&gt;=1970),"70",AND(D457&lt;1990,D457&gt;=1980),"80",AND(D457&lt;2000,D457&gt;=1990),"90",AND(D457&lt;2010,D457&gt;=2000),"00",AND(D457&lt;=2019,D457&gt;=2010),"10"),"1908-1970")</f>
        <v>1908-1970</v>
      </c>
      <c r="F457" s="3">
        <v>0.72916666666666663</v>
      </c>
      <c r="G457" t="s">
        <v>6963</v>
      </c>
      <c r="H457" t="s">
        <v>5957</v>
      </c>
      <c r="I457" t="s">
        <v>28931</v>
      </c>
      <c r="J457" t="s">
        <v>6964</v>
      </c>
      <c r="K457" t="s">
        <v>6965</v>
      </c>
      <c r="L457" s="7" t="s">
        <v>6966</v>
      </c>
      <c r="M457">
        <v>2</v>
      </c>
      <c r="N457">
        <v>12</v>
      </c>
      <c r="O457">
        <v>8</v>
      </c>
      <c r="P457">
        <v>4</v>
      </c>
      <c r="Q457">
        <v>12</v>
      </c>
      <c r="R457">
        <v>8</v>
      </c>
      <c r="S457">
        <v>4</v>
      </c>
      <c r="T457">
        <v>0</v>
      </c>
      <c r="U457" t="s">
        <v>6967</v>
      </c>
      <c r="V457">
        <f>Tabla1[[#This Row],[Aboard]]-Tabla1[[#This Row],[Fatalities]]</f>
        <v>0</v>
      </c>
      <c r="W457" s="50">
        <f>IFERROR(Tabla1[[#This Row],[Fatalities]]/Tabla1[[#This Row],[Aboard]],0)</f>
        <v>1</v>
      </c>
      <c r="X457" s="51" t="str" cm="1">
        <f t="array" ref="X457">_xlfn.IFS(Tabla1[[#This Row],[Porcentaje de muertes]]&lt;0.35,"LEVE",AND(Tabla1[[#This Row],[Porcentaje de muertes]]&gt;0.35,Tabla1[[#This Row],[Porcentaje de muertes]]&lt;0.65),"MEDIO",Tabla1[[#This Row],[Porcentaje de muertes]]&gt;0.65,"GRAVE")</f>
        <v>GRAVE</v>
      </c>
    </row>
    <row r="458" spans="2:24" x14ac:dyDescent="0.3">
      <c r="B458" s="9">
        <v>456</v>
      </c>
      <c r="C458" s="49">
        <v>13760</v>
      </c>
      <c r="D458" s="9">
        <f>YEAR(Tabla1[[#This Row],[Date]])</f>
        <v>1937</v>
      </c>
      <c r="E458" s="9" t="str" cm="1">
        <f t="array" ref="E458">IFERROR(_xlfn.IFS(AND(D458&lt;1980,D458&gt;=1970),"70",AND(D458&lt;1990,D458&gt;=1980),"80",AND(D458&lt;2000,D458&gt;=1990),"90",AND(D458&lt;2010,D458&gt;=2000),"00",AND(D458&lt;=2019,D458&gt;=2010),"10"),"1908-1970")</f>
        <v>1908-1970</v>
      </c>
      <c r="F458" s="3">
        <v>0.86805555555555547</v>
      </c>
      <c r="G458" t="s">
        <v>6968</v>
      </c>
      <c r="H458" t="s">
        <v>6369</v>
      </c>
      <c r="I458">
        <v>23</v>
      </c>
      <c r="J458" t="s">
        <v>6969</v>
      </c>
      <c r="K458" t="s">
        <v>6970</v>
      </c>
      <c r="L458" s="7" t="s">
        <v>6971</v>
      </c>
      <c r="M458">
        <v>1913</v>
      </c>
      <c r="N458">
        <v>11</v>
      </c>
      <c r="O458">
        <v>9</v>
      </c>
      <c r="P458">
        <v>2</v>
      </c>
      <c r="Q458">
        <v>11</v>
      </c>
      <c r="R458">
        <v>9</v>
      </c>
      <c r="S458">
        <v>2</v>
      </c>
      <c r="T458">
        <v>0</v>
      </c>
      <c r="U458" t="s">
        <v>6972</v>
      </c>
      <c r="V458">
        <f>Tabla1[[#This Row],[Aboard]]-Tabla1[[#This Row],[Fatalities]]</f>
        <v>0</v>
      </c>
      <c r="W458" s="50">
        <f>IFERROR(Tabla1[[#This Row],[Fatalities]]/Tabla1[[#This Row],[Aboard]],0)</f>
        <v>1</v>
      </c>
      <c r="X458" s="51" t="str" cm="1">
        <f t="array" ref="X458">_xlfn.IFS(Tabla1[[#This Row],[Porcentaje de muertes]]&lt;0.35,"LEVE",AND(Tabla1[[#This Row],[Porcentaje de muertes]]&gt;0.35,Tabla1[[#This Row],[Porcentaje de muertes]]&lt;0.65),"MEDIO",Tabla1[[#This Row],[Porcentaje de muertes]]&gt;0.65,"GRAVE")</f>
        <v>GRAVE</v>
      </c>
    </row>
    <row r="459" spans="2:24" x14ac:dyDescent="0.3">
      <c r="B459" s="9">
        <v>457</v>
      </c>
      <c r="C459" s="49">
        <v>13565</v>
      </c>
      <c r="D459" s="9">
        <f>YEAR(Tabla1[[#This Row],[Date]])</f>
        <v>1937</v>
      </c>
      <c r="E459" s="9" t="str" cm="1">
        <f t="array" ref="E459">IFERROR(_xlfn.IFS(AND(D459&lt;1980,D459&gt;=1970),"70",AND(D459&lt;1990,D459&gt;=1980),"80",AND(D459&lt;2000,D459&gt;=1990),"90",AND(D459&lt;2010,D459&gt;=2000),"00",AND(D459&lt;=2019,D459&gt;=2010),"10"),"1908-1970")</f>
        <v>1908-1970</v>
      </c>
      <c r="F459" s="3">
        <v>0.56944444444444442</v>
      </c>
      <c r="G459" t="s">
        <v>6973</v>
      </c>
      <c r="H459" t="s">
        <v>6974</v>
      </c>
      <c r="I459" t="s">
        <v>28931</v>
      </c>
      <c r="J459" t="s">
        <v>6975</v>
      </c>
      <c r="K459" t="s">
        <v>6660</v>
      </c>
      <c r="L459" s="7" t="s">
        <v>6976</v>
      </c>
      <c r="M459">
        <v>1926</v>
      </c>
      <c r="N459">
        <v>7</v>
      </c>
      <c r="O459">
        <v>5</v>
      </c>
      <c r="P459">
        <v>2</v>
      </c>
      <c r="Q459">
        <v>5</v>
      </c>
      <c r="R459">
        <v>3</v>
      </c>
      <c r="S459">
        <v>2</v>
      </c>
      <c r="T459">
        <v>0</v>
      </c>
      <c r="U459" t="s">
        <v>6977</v>
      </c>
      <c r="V459">
        <f>Tabla1[[#This Row],[Aboard]]-Tabla1[[#This Row],[Fatalities]]</f>
        <v>2</v>
      </c>
      <c r="W459" s="50">
        <f>IFERROR(Tabla1[[#This Row],[Fatalities]]/Tabla1[[#This Row],[Aboard]],0)</f>
        <v>0.7142857142857143</v>
      </c>
      <c r="X459" s="51" t="str" cm="1">
        <f t="array" ref="X459">_xlfn.IFS(Tabla1[[#This Row],[Porcentaje de muertes]]&lt;0.35,"LEVE",AND(Tabla1[[#This Row],[Porcentaje de muertes]]&gt;0.35,Tabla1[[#This Row],[Porcentaje de muertes]]&lt;0.65),"MEDIO",Tabla1[[#This Row],[Porcentaje de muertes]]&gt;0.65,"GRAVE")</f>
        <v>GRAVE</v>
      </c>
    </row>
    <row r="460" spans="2:24" x14ac:dyDescent="0.3">
      <c r="B460" s="9">
        <v>458</v>
      </c>
      <c r="C460" s="49">
        <v>13852</v>
      </c>
      <c r="D460" s="9">
        <f>YEAR(Tabla1[[#This Row],[Date]])</f>
        <v>1937</v>
      </c>
      <c r="E460" s="9" t="str" cm="1">
        <f t="array" ref="E460">IFERROR(_xlfn.IFS(AND(D460&lt;1980,D460&gt;=1970),"70",AND(D460&lt;1990,D460&gt;=1980),"80",AND(D460&lt;2000,D460&gt;=1990),"90",AND(D460&lt;2010,D460&gt;=2000),"00",AND(D460&lt;=2019,D460&gt;=2010),"10"),"1908-1970")</f>
        <v>1908-1970</v>
      </c>
      <c r="F460" s="3" t="s">
        <v>28931</v>
      </c>
      <c r="G460" t="s">
        <v>6978</v>
      </c>
      <c r="H460" t="s">
        <v>5417</v>
      </c>
      <c r="I460" t="s">
        <v>28931</v>
      </c>
      <c r="J460" t="s">
        <v>6979</v>
      </c>
      <c r="K460" t="s">
        <v>6980</v>
      </c>
      <c r="L460" s="7" t="s">
        <v>6981</v>
      </c>
      <c r="M460">
        <v>715</v>
      </c>
      <c r="N460">
        <v>4</v>
      </c>
      <c r="O460">
        <v>0</v>
      </c>
      <c r="P460">
        <v>4</v>
      </c>
      <c r="Q460">
        <v>4</v>
      </c>
      <c r="R460">
        <v>0</v>
      </c>
      <c r="S460">
        <v>4</v>
      </c>
      <c r="T460">
        <v>0</v>
      </c>
      <c r="U460" t="s">
        <v>6982</v>
      </c>
      <c r="V460">
        <f>Tabla1[[#This Row],[Aboard]]-Tabla1[[#This Row],[Fatalities]]</f>
        <v>0</v>
      </c>
      <c r="W460" s="50">
        <f>IFERROR(Tabla1[[#This Row],[Fatalities]]/Tabla1[[#This Row],[Aboard]],0)</f>
        <v>1</v>
      </c>
      <c r="X460" s="51" t="str" cm="1">
        <f t="array" ref="X460">_xlfn.IFS(Tabla1[[#This Row],[Porcentaje de muertes]]&lt;0.35,"LEVE",AND(Tabla1[[#This Row],[Porcentaje de muertes]]&gt;0.35,Tabla1[[#This Row],[Porcentaje de muertes]]&lt;0.65),"MEDIO",Tabla1[[#This Row],[Porcentaje de muertes]]&gt;0.65,"GRAVE")</f>
        <v>GRAVE</v>
      </c>
    </row>
    <row r="461" spans="2:24" x14ac:dyDescent="0.3">
      <c r="B461" s="9">
        <v>459</v>
      </c>
      <c r="C461" s="49">
        <v>13598</v>
      </c>
      <c r="D461" s="9">
        <f>YEAR(Tabla1[[#This Row],[Date]])</f>
        <v>1937</v>
      </c>
      <c r="E461" s="9" t="str" cm="1">
        <f t="array" ref="E461">IFERROR(_xlfn.IFS(AND(D461&lt;1980,D461&gt;=1970),"70",AND(D461&lt;1990,D461&gt;=1980),"80",AND(D461&lt;2000,D461&gt;=1990),"90",AND(D461&lt;2010,D461&gt;=2000),"00",AND(D461&lt;=2019,D461&gt;=2010),"10"),"1908-1970")</f>
        <v>1908-1970</v>
      </c>
      <c r="F461" s="3">
        <v>0.58333333333333337</v>
      </c>
      <c r="G461" t="s">
        <v>6983</v>
      </c>
      <c r="H461" t="s">
        <v>5350</v>
      </c>
      <c r="I461" t="s">
        <v>28931</v>
      </c>
      <c r="J461" t="s">
        <v>6984</v>
      </c>
      <c r="K461" t="s">
        <v>7092</v>
      </c>
      <c r="L461" s="7" t="s">
        <v>6985</v>
      </c>
      <c r="M461" t="s">
        <v>6986</v>
      </c>
      <c r="N461">
        <v>6</v>
      </c>
      <c r="O461">
        <v>1</v>
      </c>
      <c r="P461">
        <v>5</v>
      </c>
      <c r="Q461">
        <v>5</v>
      </c>
      <c r="R461">
        <v>1</v>
      </c>
      <c r="S461">
        <v>4</v>
      </c>
      <c r="T461">
        <v>0</v>
      </c>
      <c r="U461" t="s">
        <v>6987</v>
      </c>
      <c r="V461">
        <f>Tabla1[[#This Row],[Aboard]]-Tabla1[[#This Row],[Fatalities]]</f>
        <v>1</v>
      </c>
      <c r="W461" s="50">
        <f>IFERROR(Tabla1[[#This Row],[Fatalities]]/Tabla1[[#This Row],[Aboard]],0)</f>
        <v>0.83333333333333337</v>
      </c>
      <c r="X461" s="51" t="str" cm="1">
        <f t="array" ref="X461">_xlfn.IFS(Tabla1[[#This Row],[Porcentaje de muertes]]&lt;0.35,"LEVE",AND(Tabla1[[#This Row],[Porcentaje de muertes]]&gt;0.35,Tabla1[[#This Row],[Porcentaje de muertes]]&lt;0.65),"MEDIO",Tabla1[[#This Row],[Porcentaje de muertes]]&gt;0.65,"GRAVE")</f>
        <v>GRAVE</v>
      </c>
    </row>
    <row r="462" spans="2:24" x14ac:dyDescent="0.3">
      <c r="B462" s="9">
        <v>460</v>
      </c>
      <c r="C462" s="49">
        <v>13599</v>
      </c>
      <c r="D462" s="9">
        <f>YEAR(Tabla1[[#This Row],[Date]])</f>
        <v>1937</v>
      </c>
      <c r="E462" s="9" t="str" cm="1">
        <f t="array" ref="E462">IFERROR(_xlfn.IFS(AND(D462&lt;1980,D462&gt;=1970),"70",AND(D462&lt;1990,D462&gt;=1980),"80",AND(D462&lt;2000,D462&gt;=1990),"90",AND(D462&lt;2010,D462&gt;=2000),"00",AND(D462&lt;=2019,D462&gt;=2010),"10"),"1908-1970")</f>
        <v>1908-1970</v>
      </c>
      <c r="F462" s="3">
        <v>0.77777777777777779</v>
      </c>
      <c r="G462" t="s">
        <v>6988</v>
      </c>
      <c r="H462" t="s">
        <v>6044</v>
      </c>
      <c r="I462" t="s">
        <v>6989</v>
      </c>
      <c r="J462" t="s">
        <v>6990</v>
      </c>
      <c r="K462" t="s">
        <v>6587</v>
      </c>
      <c r="L462" s="7" t="s">
        <v>6991</v>
      </c>
      <c r="M462">
        <v>1256</v>
      </c>
      <c r="N462">
        <v>13</v>
      </c>
      <c r="O462">
        <v>10</v>
      </c>
      <c r="P462">
        <v>3</v>
      </c>
      <c r="Q462">
        <v>13</v>
      </c>
      <c r="R462">
        <v>10</v>
      </c>
      <c r="S462">
        <v>3</v>
      </c>
      <c r="T462">
        <v>0</v>
      </c>
      <c r="U462" t="s">
        <v>6992</v>
      </c>
      <c r="V462">
        <f>Tabla1[[#This Row],[Aboard]]-Tabla1[[#This Row],[Fatalities]]</f>
        <v>0</v>
      </c>
      <c r="W462" s="50">
        <f>IFERROR(Tabla1[[#This Row],[Fatalities]]/Tabla1[[#This Row],[Aboard]],0)</f>
        <v>1</v>
      </c>
      <c r="X462" s="51" t="str" cm="1">
        <f t="array" ref="X462">_xlfn.IFS(Tabla1[[#This Row],[Porcentaje de muertes]]&lt;0.35,"LEVE",AND(Tabla1[[#This Row],[Porcentaje de muertes]]&gt;0.35,Tabla1[[#This Row],[Porcentaje de muertes]]&lt;0.65),"MEDIO",Tabla1[[#This Row],[Porcentaje de muertes]]&gt;0.65,"GRAVE")</f>
        <v>GRAVE</v>
      </c>
    </row>
    <row r="463" spans="2:24" x14ac:dyDescent="0.3">
      <c r="B463" s="9">
        <v>461</v>
      </c>
      <c r="C463" s="49">
        <v>13600</v>
      </c>
      <c r="D463" s="9">
        <f>YEAR(Tabla1[[#This Row],[Date]])</f>
        <v>1937</v>
      </c>
      <c r="E463" s="9" t="str" cm="1">
        <f t="array" ref="E463">IFERROR(_xlfn.IFS(AND(D463&lt;1980,D463&gt;=1970),"70",AND(D463&lt;1990,D463&gt;=1980),"80",AND(D463&lt;2000,D463&gt;=1990),"90",AND(D463&lt;2010,D463&gt;=2000),"00",AND(D463&lt;=2019,D463&gt;=2010),"10"),"1908-1970")</f>
        <v>1908-1970</v>
      </c>
      <c r="F463" s="3" t="s">
        <v>28931</v>
      </c>
      <c r="G463" t="s">
        <v>6993</v>
      </c>
      <c r="H463" t="s">
        <v>5417</v>
      </c>
      <c r="I463" t="s">
        <v>28931</v>
      </c>
      <c r="J463" t="s">
        <v>28931</v>
      </c>
      <c r="K463" t="s">
        <v>6555</v>
      </c>
      <c r="L463" s="7" t="s">
        <v>6994</v>
      </c>
      <c r="M463">
        <v>4207</v>
      </c>
      <c r="N463">
        <v>6</v>
      </c>
      <c r="O463">
        <v>4</v>
      </c>
      <c r="P463">
        <v>2</v>
      </c>
      <c r="Q463">
        <v>0</v>
      </c>
      <c r="R463">
        <v>0</v>
      </c>
      <c r="S463">
        <v>0</v>
      </c>
      <c r="T463">
        <v>0</v>
      </c>
      <c r="U463" t="s">
        <v>6995</v>
      </c>
      <c r="V463">
        <f>Tabla1[[#This Row],[Aboard]]-Tabla1[[#This Row],[Fatalities]]</f>
        <v>6</v>
      </c>
      <c r="W463" s="50">
        <f>IFERROR(Tabla1[[#This Row],[Fatalities]]/Tabla1[[#This Row],[Aboard]],0)</f>
        <v>0</v>
      </c>
      <c r="X463" s="51" t="str" cm="1">
        <f t="array" ref="X463">_xlfn.IFS(Tabla1[[#This Row],[Porcentaje de muertes]]&lt;0.35,"LEVE",AND(Tabla1[[#This Row],[Porcentaje de muertes]]&gt;0.35,Tabla1[[#This Row],[Porcentaje de muertes]]&lt;0.65),"MEDIO",Tabla1[[#This Row],[Porcentaje de muertes]]&gt;0.65,"GRAVE")</f>
        <v>LEVE</v>
      </c>
    </row>
    <row r="464" spans="2:24" x14ac:dyDescent="0.3">
      <c r="B464" s="9">
        <v>462</v>
      </c>
      <c r="C464" s="49">
        <v>13671</v>
      </c>
      <c r="D464" s="9">
        <f>YEAR(Tabla1[[#This Row],[Date]])</f>
        <v>1937</v>
      </c>
      <c r="E464" s="9" t="str" cm="1">
        <f t="array" ref="E464">IFERROR(_xlfn.IFS(AND(D464&lt;1980,D464&gt;=1970),"70",AND(D464&lt;1990,D464&gt;=1980),"80",AND(D464&lt;2000,D464&gt;=1990),"90",AND(D464&lt;2010,D464&gt;=2000),"00",AND(D464&lt;=2019,D464&gt;=2010),"10"),"1908-1970")</f>
        <v>1908-1970</v>
      </c>
      <c r="F464" s="3">
        <v>0.80902777777777779</v>
      </c>
      <c r="G464" t="s">
        <v>6996</v>
      </c>
      <c r="H464" t="s">
        <v>6997</v>
      </c>
      <c r="I464" t="s">
        <v>6998</v>
      </c>
      <c r="J464" t="s">
        <v>6999</v>
      </c>
      <c r="K464" t="s">
        <v>7000</v>
      </c>
      <c r="L464" s="7" t="s">
        <v>7001</v>
      </c>
      <c r="M464" t="s">
        <v>7002</v>
      </c>
      <c r="N464">
        <v>97</v>
      </c>
      <c r="O464">
        <v>36</v>
      </c>
      <c r="P464">
        <v>61</v>
      </c>
      <c r="Q464">
        <v>35</v>
      </c>
      <c r="R464">
        <v>13</v>
      </c>
      <c r="S464">
        <v>22</v>
      </c>
      <c r="T464">
        <v>1</v>
      </c>
      <c r="U464" t="s">
        <v>7003</v>
      </c>
      <c r="V464">
        <f>Tabla1[[#This Row],[Aboard]]-Tabla1[[#This Row],[Fatalities]]</f>
        <v>62</v>
      </c>
      <c r="W464" s="50">
        <f>IFERROR(Tabla1[[#This Row],[Fatalities]]/Tabla1[[#This Row],[Aboard]],0)</f>
        <v>0.36082474226804123</v>
      </c>
      <c r="X464" s="51" t="str" cm="1">
        <f t="array" ref="X464">_xlfn.IFS(Tabla1[[#This Row],[Porcentaje de muertes]]&lt;0.35,"LEVE",AND(Tabla1[[#This Row],[Porcentaje de muertes]]&gt;0.35,Tabla1[[#This Row],[Porcentaje de muertes]]&lt;0.65),"MEDIO",Tabla1[[#This Row],[Porcentaje de muertes]]&gt;0.65,"GRAVE")</f>
        <v>MEDIO</v>
      </c>
    </row>
    <row r="465" spans="2:24" x14ac:dyDescent="0.3">
      <c r="B465" s="9">
        <v>463</v>
      </c>
      <c r="C465" s="49">
        <v>13655</v>
      </c>
      <c r="D465" s="9">
        <f>YEAR(Tabla1[[#This Row],[Date]])</f>
        <v>1937</v>
      </c>
      <c r="E465" s="9" t="str" cm="1">
        <f t="array" ref="E465">IFERROR(_xlfn.IFS(AND(D465&lt;1980,D465&gt;=1970),"70",AND(D465&lt;1990,D465&gt;=1980),"80",AND(D465&lt;2000,D465&gt;=1990),"90",AND(D465&lt;2010,D465&gt;=2000),"00",AND(D465&lt;=2019,D465&gt;=2010),"10"),"1908-1970")</f>
        <v>1908-1970</v>
      </c>
      <c r="F465" s="3" t="s">
        <v>28931</v>
      </c>
      <c r="G465" t="s">
        <v>7004</v>
      </c>
      <c r="H465" t="s">
        <v>5417</v>
      </c>
      <c r="I465" t="s">
        <v>28931</v>
      </c>
      <c r="J465" t="s">
        <v>28931</v>
      </c>
      <c r="K465" t="s">
        <v>6732</v>
      </c>
      <c r="L465" s="7" t="s">
        <v>7005</v>
      </c>
      <c r="M465">
        <v>916</v>
      </c>
      <c r="N465">
        <v>4</v>
      </c>
      <c r="O465">
        <v>2</v>
      </c>
      <c r="P465">
        <v>2</v>
      </c>
      <c r="Q465">
        <v>4</v>
      </c>
      <c r="R465">
        <v>2</v>
      </c>
      <c r="S465">
        <v>2</v>
      </c>
      <c r="T465">
        <v>0</v>
      </c>
      <c r="U465" t="s">
        <v>7006</v>
      </c>
      <c r="V465">
        <f>Tabla1[[#This Row],[Aboard]]-Tabla1[[#This Row],[Fatalities]]</f>
        <v>0</v>
      </c>
      <c r="W465" s="50">
        <f>IFERROR(Tabla1[[#This Row],[Fatalities]]/Tabla1[[#This Row],[Aboard]],0)</f>
        <v>1</v>
      </c>
      <c r="X465" s="51" t="str" cm="1">
        <f t="array" ref="X465">_xlfn.IFS(Tabla1[[#This Row],[Porcentaje de muertes]]&lt;0.35,"LEVE",AND(Tabla1[[#This Row],[Porcentaje de muertes]]&gt;0.35,Tabla1[[#This Row],[Porcentaje de muertes]]&lt;0.65),"MEDIO",Tabla1[[#This Row],[Porcentaje de muertes]]&gt;0.65,"GRAVE")</f>
        <v>GRAVE</v>
      </c>
    </row>
    <row r="466" spans="2:24" x14ac:dyDescent="0.3">
      <c r="B466" s="9">
        <v>464</v>
      </c>
      <c r="C466" s="49">
        <v>13552</v>
      </c>
      <c r="D466" s="9">
        <f>YEAR(Tabla1[[#This Row],[Date]])</f>
        <v>1937</v>
      </c>
      <c r="E466" s="9" t="str" cm="1">
        <f t="array" ref="E466">IFERROR(_xlfn.IFS(AND(D466&lt;1980,D466&gt;=1970),"70",AND(D466&lt;1990,D466&gt;=1980),"80",AND(D466&lt;2000,D466&gt;=1990),"90",AND(D466&lt;2010,D466&gt;=2000),"00",AND(D466&lt;=2019,D466&gt;=2010),"10"),"1908-1970")</f>
        <v>1908-1970</v>
      </c>
      <c r="F466" s="3">
        <v>0.22916666666666666</v>
      </c>
      <c r="G466" t="s">
        <v>7007</v>
      </c>
      <c r="H466" t="s">
        <v>7008</v>
      </c>
      <c r="I466" t="s">
        <v>28931</v>
      </c>
      <c r="J466" t="s">
        <v>7009</v>
      </c>
      <c r="K466" t="s">
        <v>7010</v>
      </c>
      <c r="L466" s="7" t="s">
        <v>7011</v>
      </c>
      <c r="M466">
        <v>30014</v>
      </c>
      <c r="N466">
        <v>8</v>
      </c>
      <c r="O466">
        <v>4</v>
      </c>
      <c r="P466">
        <v>4</v>
      </c>
      <c r="Q466">
        <v>8</v>
      </c>
      <c r="R466">
        <v>4</v>
      </c>
      <c r="S466">
        <v>4</v>
      </c>
      <c r="T466">
        <v>0</v>
      </c>
      <c r="U466" t="s">
        <v>7012</v>
      </c>
      <c r="V466">
        <f>Tabla1[[#This Row],[Aboard]]-Tabla1[[#This Row],[Fatalities]]</f>
        <v>0</v>
      </c>
      <c r="W466" s="50">
        <f>IFERROR(Tabla1[[#This Row],[Fatalities]]/Tabla1[[#This Row],[Aboard]],0)</f>
        <v>1</v>
      </c>
      <c r="X466" s="51" t="str" cm="1">
        <f t="array" ref="X466">_xlfn.IFS(Tabla1[[#This Row],[Porcentaje de muertes]]&lt;0.35,"LEVE",AND(Tabla1[[#This Row],[Porcentaje de muertes]]&gt;0.35,Tabla1[[#This Row],[Porcentaje de muertes]]&lt;0.65),"MEDIO",Tabla1[[#This Row],[Porcentaje de muertes]]&gt;0.65,"GRAVE")</f>
        <v>GRAVE</v>
      </c>
    </row>
    <row r="467" spans="2:24" x14ac:dyDescent="0.3">
      <c r="B467" s="9">
        <v>465</v>
      </c>
      <c r="C467" s="49">
        <v>13553</v>
      </c>
      <c r="D467" s="9">
        <f>YEAR(Tabla1[[#This Row],[Date]])</f>
        <v>1937</v>
      </c>
      <c r="E467" s="9" t="str" cm="1">
        <f t="array" ref="E467">IFERROR(_xlfn.IFS(AND(D467&lt;1980,D467&gt;=1970),"70",AND(D467&lt;1990,D467&gt;=1980),"80",AND(D467&lt;2000,D467&gt;=1990),"90",AND(D467&lt;2010,D467&gt;=2000),"00",AND(D467&lt;=2019,D467&gt;=2010),"10"),"1908-1970")</f>
        <v>1908-1970</v>
      </c>
      <c r="F467" s="3" t="s">
        <v>28931</v>
      </c>
      <c r="G467" t="s">
        <v>7013</v>
      </c>
      <c r="H467" t="s">
        <v>7014</v>
      </c>
      <c r="I467" t="s">
        <v>28931</v>
      </c>
      <c r="J467" t="s">
        <v>7015</v>
      </c>
      <c r="K467" t="s">
        <v>6956</v>
      </c>
      <c r="L467" s="7" t="s">
        <v>7016</v>
      </c>
      <c r="M467">
        <v>1055</v>
      </c>
      <c r="N467">
        <v>2</v>
      </c>
      <c r="O467">
        <v>0</v>
      </c>
      <c r="P467">
        <v>2</v>
      </c>
      <c r="Q467">
        <v>2</v>
      </c>
      <c r="R467">
        <v>0</v>
      </c>
      <c r="S467">
        <v>2</v>
      </c>
      <c r="T467">
        <v>0</v>
      </c>
      <c r="U467" t="s">
        <v>7017</v>
      </c>
      <c r="V467">
        <f>Tabla1[[#This Row],[Aboard]]-Tabla1[[#This Row],[Fatalities]]</f>
        <v>0</v>
      </c>
      <c r="W467" s="50">
        <f>IFERROR(Tabla1[[#This Row],[Fatalities]]/Tabla1[[#This Row],[Aboard]],0)</f>
        <v>1</v>
      </c>
      <c r="X467" s="51" t="str" cm="1">
        <f t="array" ref="X467">_xlfn.IFS(Tabla1[[#This Row],[Porcentaje de muertes]]&lt;0.35,"LEVE",AND(Tabla1[[#This Row],[Porcentaje de muertes]]&gt;0.35,Tabla1[[#This Row],[Porcentaje de muertes]]&lt;0.65),"MEDIO",Tabla1[[#This Row],[Porcentaje de muertes]]&gt;0.65,"GRAVE")</f>
        <v>GRAVE</v>
      </c>
    </row>
    <row r="468" spans="2:24" x14ac:dyDescent="0.3">
      <c r="B468" s="9">
        <v>466</v>
      </c>
      <c r="C468" s="49">
        <v>13724</v>
      </c>
      <c r="D468" s="9">
        <f>YEAR(Tabla1[[#This Row],[Date]])</f>
        <v>1937</v>
      </c>
      <c r="E468" s="9" t="str" cm="1">
        <f t="array" ref="E468">IFERROR(_xlfn.IFS(AND(D468&lt;1980,D468&gt;=1970),"70",AND(D468&lt;1990,D468&gt;=1980),"80",AND(D468&lt;2000,D468&gt;=1990),"90",AND(D468&lt;2010,D468&gt;=2000),"00",AND(D468&lt;=2019,D468&gt;=2010),"10"),"1908-1970")</f>
        <v>1908-1970</v>
      </c>
      <c r="F468" s="3">
        <v>0.44444444444444442</v>
      </c>
      <c r="G468" t="s">
        <v>7018</v>
      </c>
      <c r="H468" t="s">
        <v>5332</v>
      </c>
      <c r="I468" t="s">
        <v>28931</v>
      </c>
      <c r="J468" t="s">
        <v>5364</v>
      </c>
      <c r="K468" t="s">
        <v>7019</v>
      </c>
      <c r="L468" s="7" t="s">
        <v>7020</v>
      </c>
      <c r="M468">
        <v>1585</v>
      </c>
      <c r="N468">
        <v>15</v>
      </c>
      <c r="O468">
        <v>10</v>
      </c>
      <c r="P468">
        <v>5</v>
      </c>
      <c r="Q468">
        <v>15</v>
      </c>
      <c r="R468">
        <v>10</v>
      </c>
      <c r="S468">
        <v>5</v>
      </c>
      <c r="T468">
        <v>0</v>
      </c>
      <c r="U468" t="s">
        <v>7021</v>
      </c>
      <c r="V468">
        <f>Tabla1[[#This Row],[Aboard]]-Tabla1[[#This Row],[Fatalities]]</f>
        <v>0</v>
      </c>
      <c r="W468" s="50">
        <f>IFERROR(Tabla1[[#This Row],[Fatalities]]/Tabla1[[#This Row],[Aboard]],0)</f>
        <v>1</v>
      </c>
      <c r="X468" s="51" t="str" cm="1">
        <f t="array" ref="X468">_xlfn.IFS(Tabla1[[#This Row],[Porcentaje de muertes]]&lt;0.35,"LEVE",AND(Tabla1[[#This Row],[Porcentaje de muertes]]&gt;0.35,Tabla1[[#This Row],[Porcentaje de muertes]]&lt;0.65),"MEDIO",Tabla1[[#This Row],[Porcentaje de muertes]]&gt;0.65,"GRAVE")</f>
        <v>GRAVE</v>
      </c>
    </row>
    <row r="469" spans="2:24" x14ac:dyDescent="0.3">
      <c r="B469" s="9">
        <v>467</v>
      </c>
      <c r="C469" s="49">
        <v>13554</v>
      </c>
      <c r="D469" s="9">
        <f>YEAR(Tabla1[[#This Row],[Date]])</f>
        <v>1937</v>
      </c>
      <c r="E469" s="9" t="str" cm="1">
        <f t="array" ref="E469">IFERROR(_xlfn.IFS(AND(D469&lt;1980,D469&gt;=1970),"70",AND(D469&lt;1990,D469&gt;=1980),"80",AND(D469&lt;2000,D469&gt;=1990),"90",AND(D469&lt;2010,D469&gt;=2000),"00",AND(D469&lt;=2019,D469&gt;=2010),"10"),"1908-1970")</f>
        <v>1908-1970</v>
      </c>
      <c r="F469" s="3" t="s">
        <v>28931</v>
      </c>
      <c r="G469" t="s">
        <v>7022</v>
      </c>
      <c r="H469" t="s">
        <v>6649</v>
      </c>
      <c r="I469" t="s">
        <v>28931</v>
      </c>
      <c r="J469" t="s">
        <v>7023</v>
      </c>
      <c r="K469" t="s">
        <v>6728</v>
      </c>
      <c r="L469" s="7" t="s">
        <v>7011</v>
      </c>
      <c r="M469">
        <v>30014</v>
      </c>
      <c r="N469">
        <v>9</v>
      </c>
      <c r="O469">
        <v>5</v>
      </c>
      <c r="P469">
        <v>4</v>
      </c>
      <c r="Q469">
        <v>9</v>
      </c>
      <c r="R469">
        <v>5</v>
      </c>
      <c r="S469">
        <v>4</v>
      </c>
      <c r="T469">
        <v>0</v>
      </c>
      <c r="U469" t="s">
        <v>7024</v>
      </c>
      <c r="V469">
        <f>Tabla1[[#This Row],[Aboard]]-Tabla1[[#This Row],[Fatalities]]</f>
        <v>0</v>
      </c>
      <c r="W469" s="50">
        <f>IFERROR(Tabla1[[#This Row],[Fatalities]]/Tabla1[[#This Row],[Aboard]],0)</f>
        <v>1</v>
      </c>
      <c r="X469" s="51" t="str" cm="1">
        <f t="array" ref="X469">_xlfn.IFS(Tabla1[[#This Row],[Porcentaje de muertes]]&lt;0.35,"LEVE",AND(Tabla1[[#This Row],[Porcentaje de muertes]]&gt;0.35,Tabla1[[#This Row],[Porcentaje de muertes]]&lt;0.65),"MEDIO",Tabla1[[#This Row],[Porcentaje de muertes]]&gt;0.65,"GRAVE")</f>
        <v>GRAVE</v>
      </c>
    </row>
    <row r="470" spans="2:24" x14ac:dyDescent="0.3">
      <c r="B470" s="9">
        <v>468</v>
      </c>
      <c r="C470" s="49">
        <v>13582</v>
      </c>
      <c r="D470" s="9">
        <f>YEAR(Tabla1[[#This Row],[Date]])</f>
        <v>1937</v>
      </c>
      <c r="E470" s="9" t="str" cm="1">
        <f t="array" ref="E470">IFERROR(_xlfn.IFS(AND(D470&lt;1980,D470&gt;=1970),"70",AND(D470&lt;1990,D470&gt;=1980),"80",AND(D470&lt;2000,D470&gt;=1990),"90",AND(D470&lt;2010,D470&gt;=2000),"00",AND(D470&lt;=2019,D470&gt;=2010),"10"),"1908-1970")</f>
        <v>1908-1970</v>
      </c>
      <c r="F470" s="3">
        <v>0.81805555555555554</v>
      </c>
      <c r="G470" t="s">
        <v>7025</v>
      </c>
      <c r="H470" t="s">
        <v>6306</v>
      </c>
      <c r="I470" t="s">
        <v>28931</v>
      </c>
      <c r="J470" t="s">
        <v>7026</v>
      </c>
      <c r="K470" t="s">
        <v>7027</v>
      </c>
      <c r="L470" s="7" t="s">
        <v>7028</v>
      </c>
      <c r="M470">
        <v>4305</v>
      </c>
      <c r="N470">
        <v>14</v>
      </c>
      <c r="O470">
        <v>11</v>
      </c>
      <c r="P470">
        <v>3</v>
      </c>
      <c r="Q470">
        <v>14</v>
      </c>
      <c r="R470">
        <v>11</v>
      </c>
      <c r="S470">
        <v>3</v>
      </c>
      <c r="T470">
        <v>0</v>
      </c>
      <c r="U470" t="s">
        <v>7029</v>
      </c>
      <c r="V470">
        <f>Tabla1[[#This Row],[Aboard]]-Tabla1[[#This Row],[Fatalities]]</f>
        <v>0</v>
      </c>
      <c r="W470" s="50">
        <f>IFERROR(Tabla1[[#This Row],[Fatalities]]/Tabla1[[#This Row],[Aboard]],0)</f>
        <v>1</v>
      </c>
      <c r="X470" s="51" t="str" cm="1">
        <f t="array" ref="X470">_xlfn.IFS(Tabla1[[#This Row],[Porcentaje de muertes]]&lt;0.35,"LEVE",AND(Tabla1[[#This Row],[Porcentaje de muertes]]&gt;0.35,Tabla1[[#This Row],[Porcentaje de muertes]]&lt;0.65),"MEDIO",Tabla1[[#This Row],[Porcentaje de muertes]]&gt;0.65,"GRAVE")</f>
        <v>GRAVE</v>
      </c>
    </row>
    <row r="471" spans="2:24" x14ac:dyDescent="0.3">
      <c r="B471" s="9">
        <v>469</v>
      </c>
      <c r="C471" s="49">
        <v>13674</v>
      </c>
      <c r="D471" s="9">
        <f>YEAR(Tabla1[[#This Row],[Date]])</f>
        <v>1937</v>
      </c>
      <c r="E471" s="9" t="str" cm="1">
        <f t="array" ref="E471">IFERROR(_xlfn.IFS(AND(D471&lt;1980,D471&gt;=1970),"70",AND(D471&lt;1990,D471&gt;=1980),"80",AND(D471&lt;2000,D471&gt;=1990),"90",AND(D471&lt;2010,D471&gt;=2000),"00",AND(D471&lt;=2019,D471&gt;=2010),"10"),"1908-1970")</f>
        <v>1908-1970</v>
      </c>
      <c r="F471" s="3" t="s">
        <v>28931</v>
      </c>
      <c r="G471" t="s">
        <v>7030</v>
      </c>
      <c r="H471" t="s">
        <v>6541</v>
      </c>
      <c r="I471" t="s">
        <v>28931</v>
      </c>
      <c r="J471" t="s">
        <v>28931</v>
      </c>
      <c r="K471" t="s">
        <v>6635</v>
      </c>
      <c r="L471" s="7" t="s">
        <v>7031</v>
      </c>
      <c r="M471">
        <v>1413</v>
      </c>
      <c r="N471">
        <v>5</v>
      </c>
      <c r="O471">
        <v>2</v>
      </c>
      <c r="P471">
        <v>3</v>
      </c>
      <c r="Q471">
        <v>5</v>
      </c>
      <c r="R471">
        <v>2</v>
      </c>
      <c r="S471">
        <v>3</v>
      </c>
      <c r="T471">
        <v>0</v>
      </c>
      <c r="U471" t="s">
        <v>7032</v>
      </c>
      <c r="V471">
        <f>Tabla1[[#This Row],[Aboard]]-Tabla1[[#This Row],[Fatalities]]</f>
        <v>0</v>
      </c>
      <c r="W471" s="50">
        <f>IFERROR(Tabla1[[#This Row],[Fatalities]]/Tabla1[[#This Row],[Aboard]],0)</f>
        <v>1</v>
      </c>
      <c r="X471" s="51" t="str" cm="1">
        <f t="array" ref="X471">_xlfn.IFS(Tabla1[[#This Row],[Porcentaje de muertes]]&lt;0.35,"LEVE",AND(Tabla1[[#This Row],[Porcentaje de muertes]]&gt;0.35,Tabla1[[#This Row],[Porcentaje de muertes]]&lt;0.65),"MEDIO",Tabla1[[#This Row],[Porcentaje de muertes]]&gt;0.65,"GRAVE")</f>
        <v>GRAVE</v>
      </c>
    </row>
    <row r="472" spans="2:24" x14ac:dyDescent="0.3">
      <c r="B472" s="9">
        <v>470</v>
      </c>
      <c r="C472" s="49">
        <v>13735</v>
      </c>
      <c r="D472" s="9">
        <f>YEAR(Tabla1[[#This Row],[Date]])</f>
        <v>1937</v>
      </c>
      <c r="E472" s="9" t="str" cm="1">
        <f t="array" ref="E472">IFERROR(_xlfn.IFS(AND(D472&lt;1980,D472&gt;=1970),"70",AND(D472&lt;1990,D472&gt;=1980),"80",AND(D472&lt;2000,D472&gt;=1990),"90",AND(D472&lt;2010,D472&gt;=2000),"00",AND(D472&lt;=2019,D472&gt;=2010),"10"),"1908-1970")</f>
        <v>1908-1970</v>
      </c>
      <c r="F472" s="3">
        <v>0.4513888888888889</v>
      </c>
      <c r="G472" t="s">
        <v>7033</v>
      </c>
      <c r="H472" t="s">
        <v>6010</v>
      </c>
      <c r="I472" t="s">
        <v>28931</v>
      </c>
      <c r="J472" t="s">
        <v>7034</v>
      </c>
      <c r="K472" t="s">
        <v>7027</v>
      </c>
      <c r="L472" s="7" t="s">
        <v>7035</v>
      </c>
      <c r="M472" t="s">
        <v>28931</v>
      </c>
      <c r="N472">
        <v>11</v>
      </c>
      <c r="O472">
        <v>8</v>
      </c>
      <c r="P472">
        <v>3</v>
      </c>
      <c r="Q472">
        <v>3</v>
      </c>
      <c r="R472">
        <v>0</v>
      </c>
      <c r="S472">
        <v>3</v>
      </c>
      <c r="T472">
        <v>0</v>
      </c>
      <c r="U472" t="s">
        <v>7036</v>
      </c>
      <c r="V472">
        <f>Tabla1[[#This Row],[Aboard]]-Tabla1[[#This Row],[Fatalities]]</f>
        <v>8</v>
      </c>
      <c r="W472" s="50">
        <f>IFERROR(Tabla1[[#This Row],[Fatalities]]/Tabla1[[#This Row],[Aboard]],0)</f>
        <v>0.27272727272727271</v>
      </c>
      <c r="X472" s="51" t="str" cm="1">
        <f t="array" ref="X472">_xlfn.IFS(Tabla1[[#This Row],[Porcentaje de muertes]]&lt;0.35,"LEVE",AND(Tabla1[[#This Row],[Porcentaje de muertes]]&gt;0.35,Tabla1[[#This Row],[Porcentaje de muertes]]&lt;0.65),"MEDIO",Tabla1[[#This Row],[Porcentaje de muertes]]&gt;0.65,"GRAVE")</f>
        <v>LEVE</v>
      </c>
    </row>
    <row r="473" spans="2:24" x14ac:dyDescent="0.3">
      <c r="B473" s="9">
        <v>471</v>
      </c>
      <c r="C473" s="49">
        <v>13796</v>
      </c>
      <c r="D473" s="9">
        <f>YEAR(Tabla1[[#This Row],[Date]])</f>
        <v>1937</v>
      </c>
      <c r="E473" s="9" t="str" cm="1">
        <f t="array" ref="E473">IFERROR(_xlfn.IFS(AND(D473&lt;1980,D473&gt;=1970),"70",AND(D473&lt;1990,D473&gt;=1980),"80",AND(D473&lt;2000,D473&gt;=1990),"90",AND(D473&lt;2010,D473&gt;=2000),"00",AND(D473&lt;=2019,D473&gt;=2010),"10"),"1908-1970")</f>
        <v>1908-1970</v>
      </c>
      <c r="F473" s="3">
        <v>0.19444444444444445</v>
      </c>
      <c r="G473" t="s">
        <v>7037</v>
      </c>
      <c r="H473" t="s">
        <v>6941</v>
      </c>
      <c r="I473">
        <v>7</v>
      </c>
      <c r="J473" t="s">
        <v>7038</v>
      </c>
      <c r="K473" t="s">
        <v>6635</v>
      </c>
      <c r="L473" s="7" t="s">
        <v>7039</v>
      </c>
      <c r="M473">
        <v>1289</v>
      </c>
      <c r="N473">
        <v>9</v>
      </c>
      <c r="O473">
        <v>7</v>
      </c>
      <c r="P473">
        <v>2</v>
      </c>
      <c r="Q473">
        <v>4</v>
      </c>
      <c r="R473">
        <v>2</v>
      </c>
      <c r="S473">
        <v>2</v>
      </c>
      <c r="T473">
        <v>0</v>
      </c>
      <c r="U473" t="s">
        <v>7040</v>
      </c>
      <c r="V473">
        <f>Tabla1[[#This Row],[Aboard]]-Tabla1[[#This Row],[Fatalities]]</f>
        <v>5</v>
      </c>
      <c r="W473" s="50">
        <f>IFERROR(Tabla1[[#This Row],[Fatalities]]/Tabla1[[#This Row],[Aboard]],0)</f>
        <v>0.44444444444444442</v>
      </c>
      <c r="X473" s="51" t="str" cm="1">
        <f t="array" ref="X473">_xlfn.IFS(Tabla1[[#This Row],[Porcentaje de muertes]]&lt;0.35,"LEVE",AND(Tabla1[[#This Row],[Porcentaje de muertes]]&gt;0.35,Tabla1[[#This Row],[Porcentaje de muertes]]&lt;0.65),"MEDIO",Tabla1[[#This Row],[Porcentaje de muertes]]&gt;0.65,"GRAVE")</f>
        <v>MEDIO</v>
      </c>
    </row>
    <row r="474" spans="2:24" x14ac:dyDescent="0.3">
      <c r="B474" s="9">
        <v>472</v>
      </c>
      <c r="C474" s="49">
        <v>13750</v>
      </c>
      <c r="D474" s="9">
        <f>YEAR(Tabla1[[#This Row],[Date]])</f>
        <v>1937</v>
      </c>
      <c r="E474" s="9" t="str" cm="1">
        <f t="array" ref="E474">IFERROR(_xlfn.IFS(AND(D474&lt;1980,D474&gt;=1970),"70",AND(D474&lt;1990,D474&gt;=1980),"80",AND(D474&lt;2000,D474&gt;=1990),"90",AND(D474&lt;2010,D474&gt;=2000),"00",AND(D474&lt;=2019,D474&gt;=2010),"10"),"1908-1970")</f>
        <v>1908-1970</v>
      </c>
      <c r="F474" s="3" t="s">
        <v>28931</v>
      </c>
      <c r="G474" t="s">
        <v>7041</v>
      </c>
      <c r="H474" t="s">
        <v>6306</v>
      </c>
      <c r="I474" t="s">
        <v>28931</v>
      </c>
      <c r="J474" t="s">
        <v>7042</v>
      </c>
      <c r="K474" t="s">
        <v>6635</v>
      </c>
      <c r="L474" s="7" t="s">
        <v>7043</v>
      </c>
      <c r="M474">
        <v>1370</v>
      </c>
      <c r="N474">
        <v>3</v>
      </c>
      <c r="O474">
        <v>0</v>
      </c>
      <c r="P474">
        <v>3</v>
      </c>
      <c r="Q474">
        <v>3</v>
      </c>
      <c r="R474">
        <v>0</v>
      </c>
      <c r="S474">
        <v>3</v>
      </c>
      <c r="T474">
        <v>0</v>
      </c>
      <c r="U474" t="s">
        <v>7044</v>
      </c>
      <c r="V474">
        <f>Tabla1[[#This Row],[Aboard]]-Tabla1[[#This Row],[Fatalities]]</f>
        <v>0</v>
      </c>
      <c r="W474" s="50">
        <f>IFERROR(Tabla1[[#This Row],[Fatalities]]/Tabla1[[#This Row],[Aboard]],0)</f>
        <v>1</v>
      </c>
      <c r="X474" s="51" t="str" cm="1">
        <f t="array" ref="X474">_xlfn.IFS(Tabla1[[#This Row],[Porcentaje de muertes]]&lt;0.35,"LEVE",AND(Tabla1[[#This Row],[Porcentaje de muertes]]&gt;0.35,Tabla1[[#This Row],[Porcentaje de muertes]]&lt;0.65),"MEDIO",Tabla1[[#This Row],[Porcentaje de muertes]]&gt;0.65,"GRAVE")</f>
        <v>GRAVE</v>
      </c>
    </row>
    <row r="475" spans="2:24" x14ac:dyDescent="0.3">
      <c r="B475" s="9">
        <v>473</v>
      </c>
      <c r="C475" s="49">
        <v>13754</v>
      </c>
      <c r="D475" s="9">
        <f>YEAR(Tabla1[[#This Row],[Date]])</f>
        <v>1937</v>
      </c>
      <c r="E475" s="9" t="str" cm="1">
        <f t="array" ref="E475">IFERROR(_xlfn.IFS(AND(D475&lt;1980,D475&gt;=1970),"70",AND(D475&lt;1990,D475&gt;=1980),"80",AND(D475&lt;2000,D475&gt;=1990),"90",AND(D475&lt;2010,D475&gt;=2000),"00",AND(D475&lt;=2019,D475&gt;=2010),"10"),"1908-1970")</f>
        <v>1908-1970</v>
      </c>
      <c r="F475" s="3" t="s">
        <v>28931</v>
      </c>
      <c r="G475" t="s">
        <v>7045</v>
      </c>
      <c r="H475" t="s">
        <v>6282</v>
      </c>
      <c r="I475" t="s">
        <v>28931</v>
      </c>
      <c r="J475" t="s">
        <v>28931</v>
      </c>
      <c r="K475" t="s">
        <v>7046</v>
      </c>
      <c r="L475" s="7" t="s">
        <v>7047</v>
      </c>
      <c r="M475">
        <v>9669</v>
      </c>
      <c r="N475">
        <v>1</v>
      </c>
      <c r="O475">
        <v>0</v>
      </c>
      <c r="P475">
        <v>1</v>
      </c>
      <c r="Q475">
        <v>1</v>
      </c>
      <c r="R475">
        <v>0</v>
      </c>
      <c r="S475">
        <v>1</v>
      </c>
      <c r="T475">
        <v>1</v>
      </c>
      <c r="U475" t="s">
        <v>7048</v>
      </c>
      <c r="V475">
        <f>Tabla1[[#This Row],[Aboard]]-Tabla1[[#This Row],[Fatalities]]</f>
        <v>0</v>
      </c>
      <c r="W475" s="50">
        <f>IFERROR(Tabla1[[#This Row],[Fatalities]]/Tabla1[[#This Row],[Aboard]],0)</f>
        <v>1</v>
      </c>
      <c r="X475" s="51" t="str" cm="1">
        <f t="array" ref="X475">_xlfn.IFS(Tabla1[[#This Row],[Porcentaje de muertes]]&lt;0.35,"LEVE",AND(Tabla1[[#This Row],[Porcentaje de muertes]]&gt;0.35,Tabla1[[#This Row],[Porcentaje de muertes]]&lt;0.65),"MEDIO",Tabla1[[#This Row],[Porcentaje de muertes]]&gt;0.65,"GRAVE")</f>
        <v>GRAVE</v>
      </c>
    </row>
    <row r="476" spans="2:24" x14ac:dyDescent="0.3">
      <c r="B476" s="9">
        <v>474</v>
      </c>
      <c r="C476" s="49">
        <v>13525</v>
      </c>
      <c r="D476" s="9">
        <f>YEAR(Tabla1[[#This Row],[Date]])</f>
        <v>1937</v>
      </c>
      <c r="E476" s="9" t="str" cm="1">
        <f t="array" ref="E476">IFERROR(_xlfn.IFS(AND(D476&lt;1980,D476&gt;=1970),"70",AND(D476&lt;1990,D476&gt;=1980),"80",AND(D476&lt;2000,D476&gt;=1990),"90",AND(D476&lt;2010,D476&gt;=2000),"00",AND(D476&lt;=2019,D476&gt;=2010),"10"),"1908-1970")</f>
        <v>1908-1970</v>
      </c>
      <c r="F476" s="3" t="s">
        <v>28931</v>
      </c>
      <c r="G476" t="s">
        <v>7049</v>
      </c>
      <c r="H476" t="s">
        <v>5350</v>
      </c>
      <c r="I476" t="s">
        <v>28931</v>
      </c>
      <c r="J476" t="s">
        <v>7050</v>
      </c>
      <c r="K476" t="s">
        <v>7051</v>
      </c>
      <c r="L476" s="7" t="s">
        <v>7052</v>
      </c>
      <c r="M476" t="s">
        <v>7053</v>
      </c>
      <c r="N476">
        <v>14</v>
      </c>
      <c r="O476">
        <v>9</v>
      </c>
      <c r="P476">
        <v>5</v>
      </c>
      <c r="Q476">
        <v>2</v>
      </c>
      <c r="R476">
        <v>2</v>
      </c>
      <c r="S476">
        <v>0</v>
      </c>
      <c r="T476">
        <v>0</v>
      </c>
      <c r="U476" t="s">
        <v>7054</v>
      </c>
      <c r="V476">
        <f>Tabla1[[#This Row],[Aboard]]-Tabla1[[#This Row],[Fatalities]]</f>
        <v>12</v>
      </c>
      <c r="W476" s="50">
        <f>IFERROR(Tabla1[[#This Row],[Fatalities]]/Tabla1[[#This Row],[Aboard]],0)</f>
        <v>0.14285714285714285</v>
      </c>
      <c r="X476" s="51" t="str" cm="1">
        <f t="array" ref="X476">_xlfn.IFS(Tabla1[[#This Row],[Porcentaje de muertes]]&lt;0.35,"LEVE",AND(Tabla1[[#This Row],[Porcentaje de muertes]]&gt;0.35,Tabla1[[#This Row],[Porcentaje de muertes]]&lt;0.65),"MEDIO",Tabla1[[#This Row],[Porcentaje de muertes]]&gt;0.65,"GRAVE")</f>
        <v>LEVE</v>
      </c>
    </row>
    <row r="477" spans="2:24" x14ac:dyDescent="0.3">
      <c r="B477" s="9">
        <v>475</v>
      </c>
      <c r="C477" s="49">
        <v>13676</v>
      </c>
      <c r="D477" s="9">
        <f>YEAR(Tabla1[[#This Row],[Date]])</f>
        <v>1937</v>
      </c>
      <c r="E477" s="9" t="str" cm="1">
        <f t="array" ref="E477">IFERROR(_xlfn.IFS(AND(D477&lt;1980,D477&gt;=1970),"70",AND(D477&lt;1990,D477&gt;=1980),"80",AND(D477&lt;2000,D477&gt;=1990),"90",AND(D477&lt;2010,D477&gt;=2000),"00",AND(D477&lt;=2019,D477&gt;=2010),"10"),"1908-1970")</f>
        <v>1908-1970</v>
      </c>
      <c r="F477" s="3">
        <v>0.51736111111111105</v>
      </c>
      <c r="G477" t="s">
        <v>7055</v>
      </c>
      <c r="H477" t="s">
        <v>5332</v>
      </c>
      <c r="I477" t="s">
        <v>28931</v>
      </c>
      <c r="J477" t="s">
        <v>7056</v>
      </c>
      <c r="K477" t="s">
        <v>7057</v>
      </c>
      <c r="L477" s="7" t="s">
        <v>7058</v>
      </c>
      <c r="M477">
        <v>1940</v>
      </c>
      <c r="N477">
        <v>11</v>
      </c>
      <c r="O477">
        <v>7</v>
      </c>
      <c r="P477">
        <v>4</v>
      </c>
      <c r="Q477">
        <v>4</v>
      </c>
      <c r="R477">
        <v>1</v>
      </c>
      <c r="S477">
        <v>3</v>
      </c>
      <c r="T477">
        <v>0</v>
      </c>
      <c r="U477" t="s">
        <v>7059</v>
      </c>
      <c r="V477">
        <f>Tabla1[[#This Row],[Aboard]]-Tabla1[[#This Row],[Fatalities]]</f>
        <v>7</v>
      </c>
      <c r="W477" s="50">
        <f>IFERROR(Tabla1[[#This Row],[Fatalities]]/Tabla1[[#This Row],[Aboard]],0)</f>
        <v>0.36363636363636365</v>
      </c>
      <c r="X477" s="51" t="str" cm="1">
        <f t="array" ref="X477">_xlfn.IFS(Tabla1[[#This Row],[Porcentaje de muertes]]&lt;0.35,"LEVE",AND(Tabla1[[#This Row],[Porcentaje de muertes]]&gt;0.35,Tabla1[[#This Row],[Porcentaje de muertes]]&lt;0.65),"MEDIO",Tabla1[[#This Row],[Porcentaje de muertes]]&gt;0.65,"GRAVE")</f>
        <v>MEDIO</v>
      </c>
    </row>
    <row r="478" spans="2:24" x14ac:dyDescent="0.3">
      <c r="B478" s="9">
        <v>476</v>
      </c>
      <c r="C478" s="49">
        <v>13805</v>
      </c>
      <c r="D478" s="9">
        <f>YEAR(Tabla1[[#This Row],[Date]])</f>
        <v>1937</v>
      </c>
      <c r="E478" s="9" t="str" cm="1">
        <f t="array" ref="E478">IFERROR(_xlfn.IFS(AND(D478&lt;1980,D478&gt;=1970),"70",AND(D478&lt;1990,D478&gt;=1980),"80",AND(D478&lt;2000,D478&gt;=1990),"90",AND(D478&lt;2010,D478&gt;=2000),"00",AND(D478&lt;=2019,D478&gt;=2010),"10"),"1908-1970")</f>
        <v>1908-1970</v>
      </c>
      <c r="F478" s="3">
        <v>0.875</v>
      </c>
      <c r="G478" t="s">
        <v>7060</v>
      </c>
      <c r="H478" t="s">
        <v>6369</v>
      </c>
      <c r="I478">
        <v>1</v>
      </c>
      <c r="J478" t="s">
        <v>7061</v>
      </c>
      <c r="K478" t="s">
        <v>7057</v>
      </c>
      <c r="L478" s="7" t="s">
        <v>7062</v>
      </c>
      <c r="M478">
        <v>1914</v>
      </c>
      <c r="N478">
        <v>19</v>
      </c>
      <c r="O478">
        <v>16</v>
      </c>
      <c r="P478">
        <v>3</v>
      </c>
      <c r="Q478">
        <v>19</v>
      </c>
      <c r="R478">
        <v>16</v>
      </c>
      <c r="S478">
        <v>3</v>
      </c>
      <c r="T478">
        <v>0</v>
      </c>
      <c r="U478" t="s">
        <v>7063</v>
      </c>
      <c r="V478">
        <f>Tabla1[[#This Row],[Aboard]]-Tabla1[[#This Row],[Fatalities]]</f>
        <v>0</v>
      </c>
      <c r="W478" s="50">
        <f>IFERROR(Tabla1[[#This Row],[Fatalities]]/Tabla1[[#This Row],[Aboard]],0)</f>
        <v>1</v>
      </c>
      <c r="X478" s="51" t="str" cm="1">
        <f t="array" ref="X478">_xlfn.IFS(Tabla1[[#This Row],[Porcentaje de muertes]]&lt;0.35,"LEVE",AND(Tabla1[[#This Row],[Porcentaje de muertes]]&gt;0.35,Tabla1[[#This Row],[Porcentaje de muertes]]&lt;0.65),"MEDIO",Tabla1[[#This Row],[Porcentaje de muertes]]&gt;0.65,"GRAVE")</f>
        <v>GRAVE</v>
      </c>
    </row>
    <row r="479" spans="2:24" x14ac:dyDescent="0.3">
      <c r="B479" s="9">
        <v>477</v>
      </c>
      <c r="C479" s="49">
        <v>13814</v>
      </c>
      <c r="D479" s="9">
        <f>YEAR(Tabla1[[#This Row],[Date]])</f>
        <v>1937</v>
      </c>
      <c r="E479" s="9" t="str" cm="1">
        <f t="array" ref="E479">IFERROR(_xlfn.IFS(AND(D479&lt;1980,D479&gt;=1970),"70",AND(D479&lt;1990,D479&gt;=1980),"80",AND(D479&lt;2000,D479&gt;=1990),"90",AND(D479&lt;2010,D479&gt;=2000),"00",AND(D479&lt;=2019,D479&gt;=2010),"10"),"1908-1970")</f>
        <v>1908-1970</v>
      </c>
      <c r="F479" s="3">
        <v>0.18263888888888891</v>
      </c>
      <c r="G479" t="s">
        <v>7064</v>
      </c>
      <c r="H479" t="s">
        <v>6375</v>
      </c>
      <c r="I479" t="s">
        <v>28931</v>
      </c>
      <c r="J479" t="s">
        <v>7065</v>
      </c>
      <c r="K479" t="s">
        <v>7066</v>
      </c>
      <c r="L479" s="7" t="s">
        <v>7067</v>
      </c>
      <c r="M479">
        <v>1</v>
      </c>
      <c r="N479">
        <v>7</v>
      </c>
      <c r="O479">
        <v>2</v>
      </c>
      <c r="P479">
        <v>5</v>
      </c>
      <c r="Q479">
        <v>7</v>
      </c>
      <c r="R479">
        <v>2</v>
      </c>
      <c r="S479">
        <v>5</v>
      </c>
      <c r="T479">
        <v>0</v>
      </c>
      <c r="U479" t="s">
        <v>7068</v>
      </c>
      <c r="V479">
        <f>Tabla1[[#This Row],[Aboard]]-Tabla1[[#This Row],[Fatalities]]</f>
        <v>0</v>
      </c>
      <c r="W479" s="50">
        <f>IFERROR(Tabla1[[#This Row],[Fatalities]]/Tabla1[[#This Row],[Aboard]],0)</f>
        <v>1</v>
      </c>
      <c r="X479" s="51" t="str" cm="1">
        <f t="array" ref="X479">_xlfn.IFS(Tabla1[[#This Row],[Porcentaje de muertes]]&lt;0.35,"LEVE",AND(Tabla1[[#This Row],[Porcentaje de muertes]]&gt;0.35,Tabla1[[#This Row],[Porcentaje de muertes]]&lt;0.65),"MEDIO",Tabla1[[#This Row],[Porcentaje de muertes]]&gt;0.65,"GRAVE")</f>
        <v>GRAVE</v>
      </c>
    </row>
    <row r="480" spans="2:24" x14ac:dyDescent="0.3">
      <c r="B480" s="9">
        <v>478</v>
      </c>
      <c r="C480" s="49">
        <v>13860</v>
      </c>
      <c r="D480" s="9">
        <f>YEAR(Tabla1[[#This Row],[Date]])</f>
        <v>1937</v>
      </c>
      <c r="E480" s="9" t="str" cm="1">
        <f t="array" ref="E480">IFERROR(_xlfn.IFS(AND(D480&lt;1980,D480&gt;=1970),"70",AND(D480&lt;1990,D480&gt;=1980),"80",AND(D480&lt;2000,D480&gt;=1990),"90",AND(D480&lt;2010,D480&gt;=2000),"00",AND(D480&lt;=2019,D480&gt;=2010),"10"),"1908-1970")</f>
        <v>1908-1970</v>
      </c>
      <c r="F480" s="3" t="s">
        <v>28931</v>
      </c>
      <c r="G480" t="s">
        <v>7069</v>
      </c>
      <c r="H480" t="s">
        <v>7070</v>
      </c>
      <c r="I480" t="s">
        <v>28931</v>
      </c>
      <c r="J480" t="s">
        <v>7071</v>
      </c>
      <c r="K480" t="s">
        <v>7072</v>
      </c>
      <c r="L480" s="7" t="s">
        <v>7073</v>
      </c>
      <c r="M480">
        <v>1048</v>
      </c>
      <c r="N480">
        <v>11</v>
      </c>
      <c r="O480">
        <v>9</v>
      </c>
      <c r="P480">
        <v>2</v>
      </c>
      <c r="Q480">
        <v>4</v>
      </c>
      <c r="R480">
        <v>2</v>
      </c>
      <c r="S480">
        <v>2</v>
      </c>
      <c r="T480" t="s">
        <v>5038</v>
      </c>
      <c r="U480" t="s">
        <v>7074</v>
      </c>
      <c r="V480">
        <f>Tabla1[[#This Row],[Aboard]]-Tabla1[[#This Row],[Fatalities]]</f>
        <v>7</v>
      </c>
      <c r="W480" s="50">
        <f>IFERROR(Tabla1[[#This Row],[Fatalities]]/Tabla1[[#This Row],[Aboard]],0)</f>
        <v>0.36363636363636365</v>
      </c>
      <c r="X480" s="51" t="str" cm="1">
        <f t="array" ref="X480">_xlfn.IFS(Tabla1[[#This Row],[Porcentaje de muertes]]&lt;0.35,"LEVE",AND(Tabla1[[#This Row],[Porcentaje de muertes]]&gt;0.35,Tabla1[[#This Row],[Porcentaje de muertes]]&lt;0.65),"MEDIO",Tabla1[[#This Row],[Porcentaje de muertes]]&gt;0.65,"GRAVE")</f>
        <v>MEDIO</v>
      </c>
    </row>
    <row r="481" spans="2:24" x14ac:dyDescent="0.3">
      <c r="B481" s="9">
        <v>479</v>
      </c>
      <c r="C481" s="49">
        <v>13860</v>
      </c>
      <c r="D481" s="9">
        <f>YEAR(Tabla1[[#This Row],[Date]])</f>
        <v>1937</v>
      </c>
      <c r="E481" s="9" t="str" cm="1">
        <f t="array" ref="E481">IFERROR(_xlfn.IFS(AND(D481&lt;1980,D481&gt;=1970),"70",AND(D481&lt;1990,D481&gt;=1980),"80",AND(D481&lt;2000,D481&gt;=1990),"90",AND(D481&lt;2010,D481&gt;=2000),"00",AND(D481&lt;=2019,D481&gt;=2010),"10"),"1908-1970")</f>
        <v>1908-1970</v>
      </c>
      <c r="F481" s="3">
        <v>0.70138888888888884</v>
      </c>
      <c r="G481" t="s">
        <v>7075</v>
      </c>
      <c r="H481" t="s">
        <v>5417</v>
      </c>
      <c r="I481" t="s">
        <v>28931</v>
      </c>
      <c r="J481" t="s">
        <v>7076</v>
      </c>
      <c r="K481" t="s">
        <v>7077</v>
      </c>
      <c r="L481" s="7" t="s">
        <v>7078</v>
      </c>
      <c r="M481">
        <v>1830</v>
      </c>
      <c r="N481">
        <v>12</v>
      </c>
      <c r="O481">
        <v>9</v>
      </c>
      <c r="P481">
        <v>3</v>
      </c>
      <c r="Q481">
        <v>10</v>
      </c>
      <c r="R481">
        <v>7</v>
      </c>
      <c r="S481">
        <v>3</v>
      </c>
      <c r="T481">
        <v>0</v>
      </c>
      <c r="U481" t="s">
        <v>7079</v>
      </c>
      <c r="V481">
        <f>Tabla1[[#This Row],[Aboard]]-Tabla1[[#This Row],[Fatalities]]</f>
        <v>2</v>
      </c>
      <c r="W481" s="50">
        <f>IFERROR(Tabla1[[#This Row],[Fatalities]]/Tabla1[[#This Row],[Aboard]],0)</f>
        <v>0.83333333333333337</v>
      </c>
      <c r="X481" s="51" t="str" cm="1">
        <f t="array" ref="X481">_xlfn.IFS(Tabla1[[#This Row],[Porcentaje de muertes]]&lt;0.35,"LEVE",AND(Tabla1[[#This Row],[Porcentaje de muertes]]&gt;0.35,Tabla1[[#This Row],[Porcentaje de muertes]]&lt;0.65),"MEDIO",Tabla1[[#This Row],[Porcentaje de muertes]]&gt;0.65,"GRAVE")</f>
        <v>GRAVE</v>
      </c>
    </row>
    <row r="482" spans="2:24" x14ac:dyDescent="0.3">
      <c r="B482" s="9">
        <v>480</v>
      </c>
      <c r="C482" s="49">
        <v>13835</v>
      </c>
      <c r="D482" s="9">
        <f>YEAR(Tabla1[[#This Row],[Date]])</f>
        <v>1937</v>
      </c>
      <c r="E482" s="9" t="str" cm="1">
        <f t="array" ref="E482">IFERROR(_xlfn.IFS(AND(D482&lt;1980,D482&gt;=1970),"70",AND(D482&lt;1990,D482&gt;=1980),"80",AND(D482&lt;2000,D482&gt;=1990),"90",AND(D482&lt;2010,D482&gt;=2000),"00",AND(D482&lt;=2019,D482&gt;=2010),"10"),"1908-1970")</f>
        <v>1908-1970</v>
      </c>
      <c r="F482" s="3">
        <v>0.64583333333333337</v>
      </c>
      <c r="G482" t="s">
        <v>7080</v>
      </c>
      <c r="H482" t="s">
        <v>5957</v>
      </c>
      <c r="I482" t="s">
        <v>28931</v>
      </c>
      <c r="J482" t="s">
        <v>7081</v>
      </c>
      <c r="K482" t="s">
        <v>6555</v>
      </c>
      <c r="L482" s="7" t="s">
        <v>7082</v>
      </c>
      <c r="M482">
        <v>5827</v>
      </c>
      <c r="N482">
        <v>11</v>
      </c>
      <c r="O482">
        <v>8</v>
      </c>
      <c r="P482">
        <v>3</v>
      </c>
      <c r="Q482">
        <v>11</v>
      </c>
      <c r="R482">
        <v>8</v>
      </c>
      <c r="S482">
        <v>3</v>
      </c>
      <c r="T482">
        <v>0</v>
      </c>
      <c r="U482" t="s">
        <v>7083</v>
      </c>
      <c r="V482">
        <f>Tabla1[[#This Row],[Aboard]]-Tabla1[[#This Row],[Fatalities]]</f>
        <v>0</v>
      </c>
      <c r="W482" s="50">
        <f>IFERROR(Tabla1[[#This Row],[Fatalities]]/Tabla1[[#This Row],[Aboard]],0)</f>
        <v>1</v>
      </c>
      <c r="X482" s="51" t="str" cm="1">
        <f t="array" ref="X482">_xlfn.IFS(Tabla1[[#This Row],[Porcentaje de muertes]]&lt;0.35,"LEVE",AND(Tabla1[[#This Row],[Porcentaje de muertes]]&gt;0.35,Tabla1[[#This Row],[Porcentaje de muertes]]&lt;0.65),"MEDIO",Tabla1[[#This Row],[Porcentaje de muertes]]&gt;0.65,"GRAVE")</f>
        <v>GRAVE</v>
      </c>
    </row>
    <row r="483" spans="2:24" x14ac:dyDescent="0.3">
      <c r="B483" s="9">
        <v>481</v>
      </c>
      <c r="C483" s="49">
        <v>13845</v>
      </c>
      <c r="D483" s="9">
        <f>YEAR(Tabla1[[#This Row],[Date]])</f>
        <v>1937</v>
      </c>
      <c r="E483" s="9" t="str" cm="1">
        <f t="array" ref="E483">IFERROR(_xlfn.IFS(AND(D483&lt;1980,D483&gt;=1970),"70",AND(D483&lt;1990,D483&gt;=1980),"80",AND(D483&lt;2000,D483&gt;=1990),"90",AND(D483&lt;2010,D483&gt;=2000),"00",AND(D483&lt;=2019,D483&gt;=2010),"10"),"1908-1970")</f>
        <v>1908-1970</v>
      </c>
      <c r="F483" s="3" t="s">
        <v>28931</v>
      </c>
      <c r="G483" t="s">
        <v>7084</v>
      </c>
      <c r="H483" t="s">
        <v>5417</v>
      </c>
      <c r="I483" t="s">
        <v>28931</v>
      </c>
      <c r="J483" t="s">
        <v>28931</v>
      </c>
      <c r="K483" t="s">
        <v>6742</v>
      </c>
      <c r="L483" s="7" t="s">
        <v>7085</v>
      </c>
      <c r="M483">
        <v>4023</v>
      </c>
      <c r="N483">
        <v>3</v>
      </c>
      <c r="O483">
        <v>0</v>
      </c>
      <c r="P483">
        <v>3</v>
      </c>
      <c r="Q483">
        <v>3</v>
      </c>
      <c r="R483">
        <v>0</v>
      </c>
      <c r="S483">
        <v>3</v>
      </c>
      <c r="T483">
        <v>0</v>
      </c>
      <c r="U483" t="s">
        <v>7086</v>
      </c>
      <c r="V483">
        <f>Tabla1[[#This Row],[Aboard]]-Tabla1[[#This Row],[Fatalities]]</f>
        <v>0</v>
      </c>
      <c r="W483" s="50">
        <f>IFERROR(Tabla1[[#This Row],[Fatalities]]/Tabla1[[#This Row],[Aboard]],0)</f>
        <v>1</v>
      </c>
      <c r="X483" s="51" t="str" cm="1">
        <f t="array" ref="X483">_xlfn.IFS(Tabla1[[#This Row],[Porcentaje de muertes]]&lt;0.35,"LEVE",AND(Tabla1[[#This Row],[Porcentaje de muertes]]&gt;0.35,Tabla1[[#This Row],[Porcentaje de muertes]]&lt;0.65),"MEDIO",Tabla1[[#This Row],[Porcentaje de muertes]]&gt;0.65,"GRAVE")</f>
        <v>GRAVE</v>
      </c>
    </row>
    <row r="484" spans="2:24" x14ac:dyDescent="0.3">
      <c r="B484" s="9">
        <v>482</v>
      </c>
      <c r="C484" s="49">
        <v>13617</v>
      </c>
      <c r="D484" s="9">
        <f>YEAR(Tabla1[[#This Row],[Date]])</f>
        <v>1937</v>
      </c>
      <c r="E484" s="9" t="str" cm="1">
        <f t="array" ref="E484">IFERROR(_xlfn.IFS(AND(D484&lt;1980,D484&gt;=1970),"70",AND(D484&lt;1990,D484&gt;=1980),"80",AND(D484&lt;2000,D484&gt;=1990),"90",AND(D484&lt;2010,D484&gt;=2000),"00",AND(D484&lt;=2019,D484&gt;=2010),"10"),"1908-1970")</f>
        <v>1908-1970</v>
      </c>
      <c r="F484" s="3" t="s">
        <v>28931</v>
      </c>
      <c r="G484" t="s">
        <v>7087</v>
      </c>
      <c r="H484" t="s">
        <v>6649</v>
      </c>
      <c r="I484" t="s">
        <v>28931</v>
      </c>
      <c r="J484" t="s">
        <v>7088</v>
      </c>
      <c r="K484" t="s">
        <v>6742</v>
      </c>
      <c r="L484" s="7" t="s">
        <v>7089</v>
      </c>
      <c r="M484">
        <v>4063</v>
      </c>
      <c r="N484">
        <v>17</v>
      </c>
      <c r="O484">
        <v>14</v>
      </c>
      <c r="P484">
        <v>3</v>
      </c>
      <c r="Q484">
        <v>4</v>
      </c>
      <c r="R484">
        <v>4</v>
      </c>
      <c r="S484">
        <v>0</v>
      </c>
      <c r="T484">
        <v>0</v>
      </c>
      <c r="U484" t="s">
        <v>7090</v>
      </c>
      <c r="V484">
        <f>Tabla1[[#This Row],[Aboard]]-Tabla1[[#This Row],[Fatalities]]</f>
        <v>13</v>
      </c>
      <c r="W484" s="50">
        <f>IFERROR(Tabla1[[#This Row],[Fatalities]]/Tabla1[[#This Row],[Aboard]],0)</f>
        <v>0.23529411764705882</v>
      </c>
      <c r="X484" s="51" t="str" cm="1">
        <f t="array" ref="X484">_xlfn.IFS(Tabla1[[#This Row],[Porcentaje de muertes]]&lt;0.35,"LEVE",AND(Tabla1[[#This Row],[Porcentaje de muertes]]&gt;0.35,Tabla1[[#This Row],[Porcentaje de muertes]]&lt;0.65),"MEDIO",Tabla1[[#This Row],[Porcentaje de muertes]]&gt;0.65,"GRAVE")</f>
        <v>LEVE</v>
      </c>
    </row>
    <row r="485" spans="2:24" x14ac:dyDescent="0.3">
      <c r="B485" s="9">
        <v>483</v>
      </c>
      <c r="C485" s="49">
        <v>13647</v>
      </c>
      <c r="D485" s="9">
        <f>YEAR(Tabla1[[#This Row],[Date]])</f>
        <v>1937</v>
      </c>
      <c r="E485" s="9" t="str" cm="1">
        <f t="array" ref="E485">IFERROR(_xlfn.IFS(AND(D485&lt;1980,D485&gt;=1970),"70",AND(D485&lt;1990,D485&gt;=1980),"80",AND(D485&lt;2000,D485&gt;=1990),"90",AND(D485&lt;2010,D485&gt;=2000),"00",AND(D485&lt;=2019,D485&gt;=2010),"10"),"1908-1970")</f>
        <v>1908-1970</v>
      </c>
      <c r="F485" s="3" t="s">
        <v>28931</v>
      </c>
      <c r="G485" t="s">
        <v>7091</v>
      </c>
      <c r="H485" t="s">
        <v>5350</v>
      </c>
      <c r="I485" t="s">
        <v>28931</v>
      </c>
      <c r="J485" t="s">
        <v>28931</v>
      </c>
      <c r="K485" t="s">
        <v>7092</v>
      </c>
      <c r="L485" s="7" t="s">
        <v>7093</v>
      </c>
      <c r="M485" t="s">
        <v>7094</v>
      </c>
      <c r="N485">
        <v>8</v>
      </c>
      <c r="O485">
        <v>4</v>
      </c>
      <c r="P485">
        <v>4</v>
      </c>
      <c r="Q485">
        <v>2</v>
      </c>
      <c r="R485">
        <v>1</v>
      </c>
      <c r="S485">
        <v>1</v>
      </c>
      <c r="T485">
        <v>0</v>
      </c>
      <c r="U485" t="s">
        <v>7095</v>
      </c>
      <c r="V485">
        <f>Tabla1[[#This Row],[Aboard]]-Tabla1[[#This Row],[Fatalities]]</f>
        <v>6</v>
      </c>
      <c r="W485" s="50">
        <f>IFERROR(Tabla1[[#This Row],[Fatalities]]/Tabla1[[#This Row],[Aboard]],0)</f>
        <v>0.25</v>
      </c>
      <c r="X485" s="51" t="str" cm="1">
        <f t="array" ref="X485">_xlfn.IFS(Tabla1[[#This Row],[Porcentaje de muertes]]&lt;0.35,"LEVE",AND(Tabla1[[#This Row],[Porcentaje de muertes]]&gt;0.35,Tabla1[[#This Row],[Porcentaje de muertes]]&lt;0.65),"MEDIO",Tabla1[[#This Row],[Porcentaje de muertes]]&gt;0.65,"GRAVE")</f>
        <v>LEVE</v>
      </c>
    </row>
    <row r="486" spans="2:24" x14ac:dyDescent="0.3">
      <c r="B486" s="9">
        <v>484</v>
      </c>
      <c r="C486" s="49">
        <v>13647</v>
      </c>
      <c r="D486" s="9">
        <f>YEAR(Tabla1[[#This Row],[Date]])</f>
        <v>1937</v>
      </c>
      <c r="E486" s="9" t="str" cm="1">
        <f t="array" ref="E486">IFERROR(_xlfn.IFS(AND(D486&lt;1980,D486&gt;=1970),"70",AND(D486&lt;1990,D486&gt;=1980),"80",AND(D486&lt;2000,D486&gt;=1990),"90",AND(D486&lt;2010,D486&gt;=2000),"00",AND(D486&lt;=2019,D486&gt;=2010),"10"),"1908-1970")</f>
        <v>1908-1970</v>
      </c>
      <c r="F486" s="3">
        <v>0.375</v>
      </c>
      <c r="G486" t="s">
        <v>7096</v>
      </c>
      <c r="H486" t="s">
        <v>5350</v>
      </c>
      <c r="I486" t="s">
        <v>28931</v>
      </c>
      <c r="J486" t="s">
        <v>7097</v>
      </c>
      <c r="K486" t="s">
        <v>7098</v>
      </c>
      <c r="L486" s="7" t="s">
        <v>7093</v>
      </c>
      <c r="M486" t="s">
        <v>28931</v>
      </c>
      <c r="N486">
        <v>19</v>
      </c>
      <c r="O486">
        <v>13</v>
      </c>
      <c r="P486">
        <v>6</v>
      </c>
      <c r="Q486">
        <v>2</v>
      </c>
      <c r="R486">
        <v>1</v>
      </c>
      <c r="S486">
        <v>1</v>
      </c>
      <c r="T486">
        <v>0</v>
      </c>
      <c r="U486" t="s">
        <v>7099</v>
      </c>
      <c r="V486">
        <f>Tabla1[[#This Row],[Aboard]]-Tabla1[[#This Row],[Fatalities]]</f>
        <v>17</v>
      </c>
      <c r="W486" s="50">
        <f>IFERROR(Tabla1[[#This Row],[Fatalities]]/Tabla1[[#This Row],[Aboard]],0)</f>
        <v>0.10526315789473684</v>
      </c>
      <c r="X486" s="51" t="str" cm="1">
        <f t="array" ref="X486">_xlfn.IFS(Tabla1[[#This Row],[Porcentaje de muertes]]&lt;0.35,"LEVE",AND(Tabla1[[#This Row],[Porcentaje de muertes]]&gt;0.35,Tabla1[[#This Row],[Porcentaje de muertes]]&lt;0.65),"MEDIO",Tabla1[[#This Row],[Porcentaje de muertes]]&gt;0.65,"GRAVE")</f>
        <v>LEVE</v>
      </c>
    </row>
    <row r="487" spans="2:24" x14ac:dyDescent="0.3">
      <c r="B487" s="9">
        <v>485</v>
      </c>
      <c r="C487" s="49">
        <v>13739</v>
      </c>
      <c r="D487" s="9">
        <f>YEAR(Tabla1[[#This Row],[Date]])</f>
        <v>1937</v>
      </c>
      <c r="E487" s="9" t="str" cm="1">
        <f t="array" ref="E487">IFERROR(_xlfn.IFS(AND(D487&lt;1980,D487&gt;=1970),"70",AND(D487&lt;1990,D487&gt;=1980),"80",AND(D487&lt;2000,D487&gt;=1990),"90",AND(D487&lt;2010,D487&gt;=2000),"00",AND(D487&lt;=2019,D487&gt;=2010),"10"),"1908-1970")</f>
        <v>1908-1970</v>
      </c>
      <c r="F487" s="3" t="s">
        <v>28931</v>
      </c>
      <c r="G487" t="s">
        <v>7100</v>
      </c>
      <c r="H487" t="s">
        <v>6375</v>
      </c>
      <c r="I487" t="s">
        <v>28931</v>
      </c>
      <c r="J487" t="s">
        <v>7101</v>
      </c>
      <c r="K487" t="s">
        <v>7102</v>
      </c>
      <c r="L487" s="7" t="s">
        <v>7103</v>
      </c>
      <c r="M487">
        <v>4213</v>
      </c>
      <c r="N487">
        <v>7</v>
      </c>
      <c r="O487">
        <v>6</v>
      </c>
      <c r="P487">
        <v>1</v>
      </c>
      <c r="Q487">
        <v>2</v>
      </c>
      <c r="R487">
        <v>1</v>
      </c>
      <c r="S487">
        <v>1</v>
      </c>
      <c r="T487">
        <v>0</v>
      </c>
      <c r="U487" t="s">
        <v>7104</v>
      </c>
      <c r="V487">
        <f>Tabla1[[#This Row],[Aboard]]-Tabla1[[#This Row],[Fatalities]]</f>
        <v>5</v>
      </c>
      <c r="W487" s="50">
        <f>IFERROR(Tabla1[[#This Row],[Fatalities]]/Tabla1[[#This Row],[Aboard]],0)</f>
        <v>0.2857142857142857</v>
      </c>
      <c r="X487" s="51" t="str" cm="1">
        <f t="array" ref="X487">_xlfn.IFS(Tabla1[[#This Row],[Porcentaje de muertes]]&lt;0.35,"LEVE",AND(Tabla1[[#This Row],[Porcentaje de muertes]]&gt;0.35,Tabla1[[#This Row],[Porcentaje de muertes]]&lt;0.65),"MEDIO",Tabla1[[#This Row],[Porcentaje de muertes]]&gt;0.65,"GRAVE")</f>
        <v>LEVE</v>
      </c>
    </row>
    <row r="488" spans="2:24" x14ac:dyDescent="0.3">
      <c r="B488" s="9">
        <v>486</v>
      </c>
      <c r="C488" s="49">
        <v>13873</v>
      </c>
      <c r="D488" s="9">
        <f>YEAR(Tabla1[[#This Row],[Date]])</f>
        <v>1937</v>
      </c>
      <c r="E488" s="9" t="str" cm="1">
        <f t="array" ref="E488">IFERROR(_xlfn.IFS(AND(D488&lt;1980,D488&gt;=1970),"70",AND(D488&lt;1990,D488&gt;=1980),"80",AND(D488&lt;2000,D488&gt;=1990),"90",AND(D488&lt;2010,D488&gt;=2000),"00",AND(D488&lt;=2019,D488&gt;=2010),"10"),"1908-1970")</f>
        <v>1908-1970</v>
      </c>
      <c r="F488" s="3">
        <v>0.72916666666666663</v>
      </c>
      <c r="G488" t="s">
        <v>7105</v>
      </c>
      <c r="H488" t="s">
        <v>6375</v>
      </c>
      <c r="I488" t="s">
        <v>28931</v>
      </c>
      <c r="J488" t="s">
        <v>7106</v>
      </c>
      <c r="K488" t="s">
        <v>7107</v>
      </c>
      <c r="L488" s="7" t="s">
        <v>7108</v>
      </c>
      <c r="M488">
        <v>11</v>
      </c>
      <c r="N488">
        <v>3</v>
      </c>
      <c r="O488">
        <v>1</v>
      </c>
      <c r="P488">
        <v>2</v>
      </c>
      <c r="Q488">
        <v>3</v>
      </c>
      <c r="R488">
        <v>1</v>
      </c>
      <c r="S488">
        <v>2</v>
      </c>
      <c r="T488">
        <v>0</v>
      </c>
      <c r="U488" t="s">
        <v>7109</v>
      </c>
      <c r="V488">
        <f>Tabla1[[#This Row],[Aboard]]-Tabla1[[#This Row],[Fatalities]]</f>
        <v>0</v>
      </c>
      <c r="W488" s="50">
        <f>IFERROR(Tabla1[[#This Row],[Fatalities]]/Tabla1[[#This Row],[Aboard]],0)</f>
        <v>1</v>
      </c>
      <c r="X488" s="51" t="str" cm="1">
        <f t="array" ref="X488">_xlfn.IFS(Tabla1[[#This Row],[Porcentaje de muertes]]&lt;0.35,"LEVE",AND(Tabla1[[#This Row],[Porcentaje de muertes]]&gt;0.35,Tabla1[[#This Row],[Porcentaje de muertes]]&lt;0.65),"MEDIO",Tabla1[[#This Row],[Porcentaje de muertes]]&gt;0.65,"GRAVE")</f>
        <v>GRAVE</v>
      </c>
    </row>
    <row r="489" spans="2:24" x14ac:dyDescent="0.3">
      <c r="B489" s="9">
        <v>487</v>
      </c>
      <c r="C489" s="49">
        <v>13971</v>
      </c>
      <c r="D489" s="9">
        <f>YEAR(Tabla1[[#This Row],[Date]])</f>
        <v>1938</v>
      </c>
      <c r="E489" s="9" t="str" cm="1">
        <f t="array" ref="E489">IFERROR(_xlfn.IFS(AND(D489&lt;1980,D489&gt;=1970),"70",AND(D489&lt;1990,D489&gt;=1980),"80",AND(D489&lt;2000,D489&gt;=1990),"90",AND(D489&lt;2010,D489&gt;=2000),"00",AND(D489&lt;=2019,D489&gt;=2010),"10"),"1908-1970")</f>
        <v>1908-1970</v>
      </c>
      <c r="F489" s="3" t="s">
        <v>28931</v>
      </c>
      <c r="G489" t="s">
        <v>5590</v>
      </c>
      <c r="H489" t="s">
        <v>7110</v>
      </c>
      <c r="I489" t="s">
        <v>28931</v>
      </c>
      <c r="J489" t="s">
        <v>7111</v>
      </c>
      <c r="K489" t="s">
        <v>7112</v>
      </c>
      <c r="L489" s="7" t="s">
        <v>7113</v>
      </c>
      <c r="M489">
        <v>5777</v>
      </c>
      <c r="N489">
        <v>6</v>
      </c>
      <c r="O489">
        <v>3</v>
      </c>
      <c r="P489">
        <v>3</v>
      </c>
      <c r="Q489">
        <v>6</v>
      </c>
      <c r="R489">
        <v>3</v>
      </c>
      <c r="S489">
        <v>3</v>
      </c>
      <c r="T489">
        <v>0</v>
      </c>
      <c r="U489" t="s">
        <v>7114</v>
      </c>
      <c r="V489">
        <f>Tabla1[[#This Row],[Aboard]]-Tabla1[[#This Row],[Fatalities]]</f>
        <v>0</v>
      </c>
      <c r="W489" s="50">
        <f>IFERROR(Tabla1[[#This Row],[Fatalities]]/Tabla1[[#This Row],[Aboard]],0)</f>
        <v>1</v>
      </c>
      <c r="X489" s="51" t="str" cm="1">
        <f t="array" ref="X489">_xlfn.IFS(Tabla1[[#This Row],[Porcentaje de muertes]]&lt;0.35,"LEVE",AND(Tabla1[[#This Row],[Porcentaje de muertes]]&gt;0.35,Tabla1[[#This Row],[Porcentaje de muertes]]&lt;0.65),"MEDIO",Tabla1[[#This Row],[Porcentaje de muertes]]&gt;0.65,"GRAVE")</f>
        <v>GRAVE</v>
      </c>
    </row>
    <row r="490" spans="2:24" x14ac:dyDescent="0.3">
      <c r="B490" s="9">
        <v>488</v>
      </c>
      <c r="C490" s="49">
        <v>14154</v>
      </c>
      <c r="D490" s="9">
        <f>YEAR(Tabla1[[#This Row],[Date]])</f>
        <v>1938</v>
      </c>
      <c r="E490" s="9" t="str" cm="1">
        <f t="array" ref="E490">IFERROR(_xlfn.IFS(AND(D490&lt;1980,D490&gt;=1970),"70",AND(D490&lt;1990,D490&gt;=1980),"80",AND(D490&lt;2000,D490&gt;=1990),"90",AND(D490&lt;2010,D490&gt;=2000),"00",AND(D490&lt;=2019,D490&gt;=2010),"10"),"1908-1970")</f>
        <v>1908-1970</v>
      </c>
      <c r="F490" s="3">
        <v>0.62986111111111109</v>
      </c>
      <c r="G490" t="s">
        <v>7115</v>
      </c>
      <c r="H490" t="s">
        <v>5769</v>
      </c>
      <c r="I490">
        <v>2</v>
      </c>
      <c r="J490" t="s">
        <v>7116</v>
      </c>
      <c r="K490" t="s">
        <v>7117</v>
      </c>
      <c r="L490" s="7" t="s">
        <v>7118</v>
      </c>
      <c r="M490">
        <v>1407</v>
      </c>
      <c r="N490">
        <v>10</v>
      </c>
      <c r="O490">
        <v>8</v>
      </c>
      <c r="P490">
        <v>2</v>
      </c>
      <c r="Q490">
        <v>10</v>
      </c>
      <c r="R490">
        <v>8</v>
      </c>
      <c r="S490">
        <v>2</v>
      </c>
      <c r="T490">
        <v>0</v>
      </c>
      <c r="U490" t="s">
        <v>7119</v>
      </c>
      <c r="V490">
        <f>Tabla1[[#This Row],[Aboard]]-Tabla1[[#This Row],[Fatalities]]</f>
        <v>0</v>
      </c>
      <c r="W490" s="50">
        <f>IFERROR(Tabla1[[#This Row],[Fatalities]]/Tabla1[[#This Row],[Aboard]],0)</f>
        <v>1</v>
      </c>
      <c r="X490" s="51" t="str" cm="1">
        <f t="array" ref="X490">_xlfn.IFS(Tabla1[[#This Row],[Porcentaje de muertes]]&lt;0.35,"LEVE",AND(Tabla1[[#This Row],[Porcentaje de muertes]]&gt;0.35,Tabla1[[#This Row],[Porcentaje de muertes]]&lt;0.65),"MEDIO",Tabla1[[#This Row],[Porcentaje de muertes]]&gt;0.65,"GRAVE")</f>
        <v>GRAVE</v>
      </c>
    </row>
    <row r="491" spans="2:24" x14ac:dyDescent="0.3">
      <c r="B491" s="9">
        <v>489</v>
      </c>
      <c r="C491" s="49">
        <v>14185</v>
      </c>
      <c r="D491" s="9">
        <f>YEAR(Tabla1[[#This Row],[Date]])</f>
        <v>1938</v>
      </c>
      <c r="E491" s="9" t="str" cm="1">
        <f t="array" ref="E491">IFERROR(_xlfn.IFS(AND(D491&lt;1980,D491&gt;=1970),"70",AND(D491&lt;1990,D491&gt;=1980),"80",AND(D491&lt;2000,D491&gt;=1990),"90",AND(D491&lt;2010,D491&gt;=2000),"00",AND(D491&lt;=2019,D491&gt;=2010),"10"),"1908-1970")</f>
        <v>1908-1970</v>
      </c>
      <c r="F491" s="3">
        <v>0.3354166666666667</v>
      </c>
      <c r="G491" t="s">
        <v>7120</v>
      </c>
      <c r="H491" t="s">
        <v>7121</v>
      </c>
      <c r="I491">
        <v>1</v>
      </c>
      <c r="J491" t="s">
        <v>7122</v>
      </c>
      <c r="K491" t="s">
        <v>7123</v>
      </c>
      <c r="L491" s="7" t="s">
        <v>7124</v>
      </c>
      <c r="M491">
        <v>4207</v>
      </c>
      <c r="N491">
        <v>7</v>
      </c>
      <c r="O491">
        <v>0</v>
      </c>
      <c r="P491">
        <v>7</v>
      </c>
      <c r="Q491">
        <v>7</v>
      </c>
      <c r="R491">
        <v>0</v>
      </c>
      <c r="S491">
        <v>7</v>
      </c>
      <c r="T491">
        <v>0</v>
      </c>
      <c r="U491" t="s">
        <v>7125</v>
      </c>
      <c r="V491">
        <f>Tabla1[[#This Row],[Aboard]]-Tabla1[[#This Row],[Fatalities]]</f>
        <v>0</v>
      </c>
      <c r="W491" s="50">
        <f>IFERROR(Tabla1[[#This Row],[Fatalities]]/Tabla1[[#This Row],[Aboard]],0)</f>
        <v>1</v>
      </c>
      <c r="X491" s="51" t="str" cm="1">
        <f t="array" ref="X491">_xlfn.IFS(Tabla1[[#This Row],[Porcentaje de muertes]]&lt;0.35,"LEVE",AND(Tabla1[[#This Row],[Porcentaje de muertes]]&gt;0.35,Tabla1[[#This Row],[Porcentaje de muertes]]&lt;0.65),"MEDIO",Tabla1[[#This Row],[Porcentaje de muertes]]&gt;0.65,"GRAVE")</f>
        <v>GRAVE</v>
      </c>
    </row>
    <row r="492" spans="2:24" x14ac:dyDescent="0.3">
      <c r="B492" s="9">
        <v>490</v>
      </c>
      <c r="C492" s="49">
        <v>14215</v>
      </c>
      <c r="D492" s="9">
        <f>YEAR(Tabla1[[#This Row],[Date]])</f>
        <v>1938</v>
      </c>
      <c r="E492" s="9" t="str" cm="1">
        <f t="array" ref="E492">IFERROR(_xlfn.IFS(AND(D492&lt;1980,D492&gt;=1970),"70",AND(D492&lt;1990,D492&gt;=1980),"80",AND(D492&lt;2000,D492&gt;=1990),"90",AND(D492&lt;2010,D492&gt;=2000),"00",AND(D492&lt;=2019,D492&gt;=2010),"10"),"1908-1970")</f>
        <v>1908-1970</v>
      </c>
      <c r="F492" s="3" t="s">
        <v>28931</v>
      </c>
      <c r="G492" t="s">
        <v>7126</v>
      </c>
      <c r="H492" t="s">
        <v>7127</v>
      </c>
      <c r="I492" t="s">
        <v>28931</v>
      </c>
      <c r="J492" t="s">
        <v>7128</v>
      </c>
      <c r="K492" t="s">
        <v>7129</v>
      </c>
      <c r="L492" s="7" t="s">
        <v>7130</v>
      </c>
      <c r="M492" t="s">
        <v>7131</v>
      </c>
      <c r="N492">
        <v>1</v>
      </c>
      <c r="O492">
        <v>0</v>
      </c>
      <c r="P492">
        <v>1</v>
      </c>
      <c r="Q492">
        <v>1</v>
      </c>
      <c r="R492">
        <v>0</v>
      </c>
      <c r="S492">
        <v>1</v>
      </c>
      <c r="T492">
        <v>0</v>
      </c>
      <c r="U492" t="s">
        <v>7132</v>
      </c>
      <c r="V492">
        <f>Tabla1[[#This Row],[Aboard]]-Tabla1[[#This Row],[Fatalities]]</f>
        <v>0</v>
      </c>
      <c r="W492" s="50">
        <f>IFERROR(Tabla1[[#This Row],[Fatalities]]/Tabla1[[#This Row],[Aboard]],0)</f>
        <v>1</v>
      </c>
      <c r="X492" s="51" t="str" cm="1">
        <f t="array" ref="X492">_xlfn.IFS(Tabla1[[#This Row],[Porcentaje de muertes]]&lt;0.35,"LEVE",AND(Tabla1[[#This Row],[Porcentaje de muertes]]&gt;0.35,Tabla1[[#This Row],[Porcentaje de muertes]]&lt;0.65),"MEDIO",Tabla1[[#This Row],[Porcentaje de muertes]]&gt;0.65,"GRAVE")</f>
        <v>GRAVE</v>
      </c>
    </row>
    <row r="493" spans="2:24" x14ac:dyDescent="0.3">
      <c r="B493" s="9">
        <v>491</v>
      </c>
      <c r="C493" s="49">
        <v>13913</v>
      </c>
      <c r="D493" s="9">
        <f>YEAR(Tabla1[[#This Row],[Date]])</f>
        <v>1938</v>
      </c>
      <c r="E493" s="9" t="str" cm="1">
        <f t="array" ref="E493">IFERROR(_xlfn.IFS(AND(D493&lt;1980,D493&gt;=1970),"70",AND(D493&lt;1990,D493&gt;=1980),"80",AND(D493&lt;2000,D493&gt;=1990),"90",AND(D493&lt;2010,D493&gt;=2000),"00",AND(D493&lt;=2019,D493&gt;=2010),"10"),"1908-1970")</f>
        <v>1908-1970</v>
      </c>
      <c r="F493" s="3">
        <v>0.86111111111111116</v>
      </c>
      <c r="G493" t="s">
        <v>7133</v>
      </c>
      <c r="H493" t="s">
        <v>7134</v>
      </c>
      <c r="I493" t="s">
        <v>28931</v>
      </c>
      <c r="J493" t="s">
        <v>6190</v>
      </c>
      <c r="K493" t="s">
        <v>7135</v>
      </c>
      <c r="L493" s="7" t="s">
        <v>7136</v>
      </c>
      <c r="M493" t="s">
        <v>28931</v>
      </c>
      <c r="N493">
        <v>14</v>
      </c>
      <c r="O493">
        <v>0</v>
      </c>
      <c r="P493">
        <v>14</v>
      </c>
      <c r="Q493">
        <v>11</v>
      </c>
      <c r="R493">
        <v>0</v>
      </c>
      <c r="S493">
        <v>11</v>
      </c>
      <c r="T493">
        <v>0</v>
      </c>
      <c r="U493" t="s">
        <v>7137</v>
      </c>
      <c r="V493">
        <f>Tabla1[[#This Row],[Aboard]]-Tabla1[[#This Row],[Fatalities]]</f>
        <v>3</v>
      </c>
      <c r="W493" s="50">
        <f>IFERROR(Tabla1[[#This Row],[Fatalities]]/Tabla1[[#This Row],[Aboard]],0)</f>
        <v>0.7857142857142857</v>
      </c>
      <c r="X493" s="51" t="str" cm="1">
        <f t="array" ref="X493">_xlfn.IFS(Tabla1[[#This Row],[Porcentaje de muertes]]&lt;0.35,"LEVE",AND(Tabla1[[#This Row],[Porcentaje de muertes]]&gt;0.35,Tabla1[[#This Row],[Porcentaje de muertes]]&lt;0.65),"MEDIO",Tabla1[[#This Row],[Porcentaje de muertes]]&gt;0.65,"GRAVE")</f>
        <v>GRAVE</v>
      </c>
    </row>
    <row r="494" spans="2:24" x14ac:dyDescent="0.3">
      <c r="B494" s="9">
        <v>492</v>
      </c>
      <c r="C494" s="49">
        <v>14002</v>
      </c>
      <c r="D494" s="9">
        <f>YEAR(Tabla1[[#This Row],[Date]])</f>
        <v>1938</v>
      </c>
      <c r="E494" s="9" t="str" cm="1">
        <f t="array" ref="E494">IFERROR(_xlfn.IFS(AND(D494&lt;1980,D494&gt;=1970),"70",AND(D494&lt;1990,D494&gt;=1980),"80",AND(D494&lt;2000,D494&gt;=1990),"90",AND(D494&lt;2010,D494&gt;=2000),"00",AND(D494&lt;=2019,D494&gt;=2010),"10"),"1908-1970")</f>
        <v>1908-1970</v>
      </c>
      <c r="F494" s="3" t="s">
        <v>28931</v>
      </c>
      <c r="G494" t="s">
        <v>7138</v>
      </c>
      <c r="H494" t="s">
        <v>7139</v>
      </c>
      <c r="I494" t="s">
        <v>28931</v>
      </c>
      <c r="J494" t="s">
        <v>7140</v>
      </c>
      <c r="K494" t="s">
        <v>7141</v>
      </c>
      <c r="L494" s="7" t="s">
        <v>7142</v>
      </c>
      <c r="M494" t="s">
        <v>28931</v>
      </c>
      <c r="N494">
        <v>19</v>
      </c>
      <c r="O494">
        <v>0</v>
      </c>
      <c r="P494">
        <v>19</v>
      </c>
      <c r="Q494">
        <v>13</v>
      </c>
      <c r="R494">
        <v>0</v>
      </c>
      <c r="S494">
        <v>13</v>
      </c>
      <c r="T494">
        <v>0</v>
      </c>
      <c r="U494" t="s">
        <v>7143</v>
      </c>
      <c r="V494">
        <f>Tabla1[[#This Row],[Aboard]]-Tabla1[[#This Row],[Fatalities]]</f>
        <v>6</v>
      </c>
      <c r="W494" s="50">
        <f>IFERROR(Tabla1[[#This Row],[Fatalities]]/Tabla1[[#This Row],[Aboard]],0)</f>
        <v>0.68421052631578949</v>
      </c>
      <c r="X494" s="51" t="str" cm="1">
        <f t="array" ref="X494">_xlfn.IFS(Tabla1[[#This Row],[Porcentaje de muertes]]&lt;0.35,"LEVE",AND(Tabla1[[#This Row],[Porcentaje de muertes]]&gt;0.35,Tabla1[[#This Row],[Porcentaje de muertes]]&lt;0.65),"MEDIO",Tabla1[[#This Row],[Porcentaje de muertes]]&gt;0.65,"GRAVE")</f>
        <v>GRAVE</v>
      </c>
    </row>
    <row r="495" spans="2:24" x14ac:dyDescent="0.3">
      <c r="B495" s="9">
        <v>493</v>
      </c>
      <c r="C495" s="49">
        <v>14125</v>
      </c>
      <c r="D495" s="9">
        <f>YEAR(Tabla1[[#This Row],[Date]])</f>
        <v>1938</v>
      </c>
      <c r="E495" s="9" t="str" cm="1">
        <f t="array" ref="E495">IFERROR(_xlfn.IFS(AND(D495&lt;1980,D495&gt;=1970),"70",AND(D495&lt;1990,D495&gt;=1980),"80",AND(D495&lt;2000,D495&gt;=1990),"90",AND(D495&lt;2010,D495&gt;=2000),"00",AND(D495&lt;=2019,D495&gt;=2010),"10"),"1908-1970")</f>
        <v>1908-1970</v>
      </c>
      <c r="F495" s="3" t="s">
        <v>28931</v>
      </c>
      <c r="G495" t="s">
        <v>7144</v>
      </c>
      <c r="H495" t="s">
        <v>5740</v>
      </c>
      <c r="I495" t="s">
        <v>28931</v>
      </c>
      <c r="J495" t="s">
        <v>5028</v>
      </c>
      <c r="K495" t="s">
        <v>6937</v>
      </c>
      <c r="L495" s="7" t="s">
        <v>7145</v>
      </c>
      <c r="M495" t="s">
        <v>28931</v>
      </c>
      <c r="N495">
        <v>2</v>
      </c>
      <c r="O495">
        <v>0</v>
      </c>
      <c r="P495">
        <v>0</v>
      </c>
      <c r="Q495">
        <v>2</v>
      </c>
      <c r="R495">
        <v>0</v>
      </c>
      <c r="S495">
        <v>0</v>
      </c>
      <c r="T495">
        <v>0</v>
      </c>
      <c r="U495" t="s">
        <v>7146</v>
      </c>
      <c r="V495">
        <f>Tabla1[[#This Row],[Aboard]]-Tabla1[[#This Row],[Fatalities]]</f>
        <v>0</v>
      </c>
      <c r="W495" s="50">
        <f>IFERROR(Tabla1[[#This Row],[Fatalities]]/Tabla1[[#This Row],[Aboard]],0)</f>
        <v>1</v>
      </c>
      <c r="X495" s="51" t="str" cm="1">
        <f t="array" ref="X495">_xlfn.IFS(Tabla1[[#This Row],[Porcentaje de muertes]]&lt;0.35,"LEVE",AND(Tabla1[[#This Row],[Porcentaje de muertes]]&gt;0.35,Tabla1[[#This Row],[Porcentaje de muertes]]&lt;0.65),"MEDIO",Tabla1[[#This Row],[Porcentaje de muertes]]&gt;0.65,"GRAVE")</f>
        <v>GRAVE</v>
      </c>
    </row>
    <row r="496" spans="2:24" x14ac:dyDescent="0.3">
      <c r="B496" s="9">
        <v>494</v>
      </c>
      <c r="C496" s="49">
        <v>14125</v>
      </c>
      <c r="D496" s="9">
        <f>YEAR(Tabla1[[#This Row],[Date]])</f>
        <v>1938</v>
      </c>
      <c r="E496" s="9" t="str" cm="1">
        <f t="array" ref="E496">IFERROR(_xlfn.IFS(AND(D496&lt;1980,D496&gt;=1970),"70",AND(D496&lt;1990,D496&gt;=1980),"80",AND(D496&lt;2000,D496&gt;=1990),"90",AND(D496&lt;2010,D496&gt;=2000),"00",AND(D496&lt;=2019,D496&gt;=2010),"10"),"1908-1970")</f>
        <v>1908-1970</v>
      </c>
      <c r="F496" s="3">
        <v>0.3125</v>
      </c>
      <c r="G496" t="s">
        <v>7147</v>
      </c>
      <c r="H496" t="s">
        <v>6375</v>
      </c>
      <c r="I496" t="s">
        <v>28931</v>
      </c>
      <c r="J496" t="s">
        <v>7148</v>
      </c>
      <c r="K496" t="s">
        <v>7149</v>
      </c>
      <c r="L496" s="7" t="s">
        <v>7150</v>
      </c>
      <c r="M496">
        <v>5</v>
      </c>
      <c r="N496">
        <v>12</v>
      </c>
      <c r="O496">
        <v>7</v>
      </c>
      <c r="P496">
        <v>5</v>
      </c>
      <c r="Q496">
        <v>8</v>
      </c>
      <c r="R496">
        <v>5</v>
      </c>
      <c r="S496">
        <v>3</v>
      </c>
      <c r="T496">
        <v>0</v>
      </c>
      <c r="U496" t="s">
        <v>7151</v>
      </c>
      <c r="V496">
        <f>Tabla1[[#This Row],[Aboard]]-Tabla1[[#This Row],[Fatalities]]</f>
        <v>4</v>
      </c>
      <c r="W496" s="50">
        <f>IFERROR(Tabla1[[#This Row],[Fatalities]]/Tabla1[[#This Row],[Aboard]],0)</f>
        <v>0.66666666666666663</v>
      </c>
      <c r="X496" s="51" t="str" cm="1">
        <f t="array" ref="X496">_xlfn.IFS(Tabla1[[#This Row],[Porcentaje de muertes]]&lt;0.35,"LEVE",AND(Tabla1[[#This Row],[Porcentaje de muertes]]&gt;0.35,Tabla1[[#This Row],[Porcentaje de muertes]]&lt;0.65),"MEDIO",Tabla1[[#This Row],[Porcentaje de muertes]]&gt;0.65,"GRAVE")</f>
        <v>GRAVE</v>
      </c>
    </row>
    <row r="497" spans="2:24" x14ac:dyDescent="0.3">
      <c r="B497" s="9">
        <v>495</v>
      </c>
      <c r="C497" s="49">
        <v>13924</v>
      </c>
      <c r="D497" s="9">
        <f>YEAR(Tabla1[[#This Row],[Date]])</f>
        <v>1938</v>
      </c>
      <c r="E497" s="9" t="str" cm="1">
        <f t="array" ref="E497">IFERROR(_xlfn.IFS(AND(D497&lt;1980,D497&gt;=1970),"70",AND(D497&lt;1990,D497&gt;=1980),"80",AND(D497&lt;2000,D497&gt;=1990),"90",AND(D497&lt;2010,D497&gt;=2000),"00",AND(D497&lt;=2019,D497&gt;=2010),"10"),"1908-1970")</f>
        <v>1908-1970</v>
      </c>
      <c r="F497" s="3">
        <v>0.60416666666666663</v>
      </c>
      <c r="G497" t="s">
        <v>7152</v>
      </c>
      <c r="H497" t="s">
        <v>6886</v>
      </c>
      <c r="I497" t="s">
        <v>28931</v>
      </c>
      <c r="J497" t="s">
        <v>7153</v>
      </c>
      <c r="K497" t="s">
        <v>7154</v>
      </c>
      <c r="L497" s="7" t="s">
        <v>7155</v>
      </c>
      <c r="M497">
        <v>297</v>
      </c>
      <c r="N497">
        <v>14</v>
      </c>
      <c r="O497">
        <v>10</v>
      </c>
      <c r="P497">
        <v>4</v>
      </c>
      <c r="Q497">
        <v>14</v>
      </c>
      <c r="R497">
        <v>10</v>
      </c>
      <c r="S497">
        <v>4</v>
      </c>
      <c r="T497">
        <v>0</v>
      </c>
      <c r="U497" t="s">
        <v>7156</v>
      </c>
      <c r="V497">
        <f>Tabla1[[#This Row],[Aboard]]-Tabla1[[#This Row],[Fatalities]]</f>
        <v>0</v>
      </c>
      <c r="W497" s="50">
        <f>IFERROR(Tabla1[[#This Row],[Fatalities]]/Tabla1[[#This Row],[Aboard]],0)</f>
        <v>1</v>
      </c>
      <c r="X497" s="51" t="str" cm="1">
        <f t="array" ref="X497">_xlfn.IFS(Tabla1[[#This Row],[Porcentaje de muertes]]&lt;0.35,"LEVE",AND(Tabla1[[#This Row],[Porcentaje de muertes]]&gt;0.35,Tabla1[[#This Row],[Porcentaje de muertes]]&lt;0.65),"MEDIO",Tabla1[[#This Row],[Porcentaje de muertes]]&gt;0.65,"GRAVE")</f>
        <v>GRAVE</v>
      </c>
    </row>
    <row r="498" spans="2:24" x14ac:dyDescent="0.3">
      <c r="B498" s="9">
        <v>496</v>
      </c>
      <c r="C498" s="49">
        <v>13933</v>
      </c>
      <c r="D498" s="9">
        <f>YEAR(Tabla1[[#This Row],[Date]])</f>
        <v>1938</v>
      </c>
      <c r="E498" s="9" t="str" cm="1">
        <f t="array" ref="E498">IFERROR(_xlfn.IFS(AND(D498&lt;1980,D498&gt;=1970),"70",AND(D498&lt;1990,D498&gt;=1980),"80",AND(D498&lt;2000,D498&gt;=1990),"90",AND(D498&lt;2010,D498&gt;=2000),"00",AND(D498&lt;=2019,D498&gt;=2010),"10"),"1908-1970")</f>
        <v>1908-1970</v>
      </c>
      <c r="F498" s="3">
        <v>0.19791666666666666</v>
      </c>
      <c r="G498" t="s">
        <v>7157</v>
      </c>
      <c r="H498" t="s">
        <v>5417</v>
      </c>
      <c r="I498" t="s">
        <v>28931</v>
      </c>
      <c r="J498" t="s">
        <v>7158</v>
      </c>
      <c r="K498" t="s">
        <v>7159</v>
      </c>
      <c r="L498" s="7" t="s">
        <v>7160</v>
      </c>
      <c r="M498">
        <v>4040</v>
      </c>
      <c r="N498">
        <v>3</v>
      </c>
      <c r="O498">
        <v>0</v>
      </c>
      <c r="P498">
        <v>0</v>
      </c>
      <c r="Q498">
        <v>3</v>
      </c>
      <c r="R498">
        <v>0</v>
      </c>
      <c r="S498">
        <v>0</v>
      </c>
      <c r="T498">
        <v>0</v>
      </c>
      <c r="U498" t="s">
        <v>7161</v>
      </c>
      <c r="V498">
        <f>Tabla1[[#This Row],[Aboard]]-Tabla1[[#This Row],[Fatalities]]</f>
        <v>0</v>
      </c>
      <c r="W498" s="50">
        <f>IFERROR(Tabla1[[#This Row],[Fatalities]]/Tabla1[[#This Row],[Aboard]],0)</f>
        <v>1</v>
      </c>
      <c r="X498" s="51" t="str" cm="1">
        <f t="array" ref="X498">_xlfn.IFS(Tabla1[[#This Row],[Porcentaje de muertes]]&lt;0.35,"LEVE",AND(Tabla1[[#This Row],[Porcentaje de muertes]]&gt;0.35,Tabla1[[#This Row],[Porcentaje de muertes]]&lt;0.65),"MEDIO",Tabla1[[#This Row],[Porcentaje de muertes]]&gt;0.65,"GRAVE")</f>
        <v>GRAVE</v>
      </c>
    </row>
    <row r="499" spans="2:24" x14ac:dyDescent="0.3">
      <c r="B499" s="9">
        <v>497</v>
      </c>
      <c r="C499" s="49">
        <v>13883</v>
      </c>
      <c r="D499" s="9">
        <f>YEAR(Tabla1[[#This Row],[Date]])</f>
        <v>1938</v>
      </c>
      <c r="E499" s="9" t="str" cm="1">
        <f t="array" ref="E499">IFERROR(_xlfn.IFS(AND(D499&lt;1980,D499&gt;=1970),"70",AND(D499&lt;1990,D499&gt;=1980),"80",AND(D499&lt;2000,D499&gt;=1990),"90",AND(D499&lt;2010,D499&gt;=2000),"00",AND(D499&lt;=2019,D499&gt;=2010),"10"),"1908-1970")</f>
        <v>1908-1970</v>
      </c>
      <c r="F499" s="3">
        <v>0.89583333333333337</v>
      </c>
      <c r="G499" t="s">
        <v>7162</v>
      </c>
      <c r="H499" t="s">
        <v>6044</v>
      </c>
      <c r="I499">
        <v>8</v>
      </c>
      <c r="J499" t="s">
        <v>7163</v>
      </c>
      <c r="K499" t="s">
        <v>6587</v>
      </c>
      <c r="L499" s="7" t="s">
        <v>7164</v>
      </c>
      <c r="M499">
        <v>1299</v>
      </c>
      <c r="N499">
        <v>9</v>
      </c>
      <c r="O499">
        <v>6</v>
      </c>
      <c r="P499">
        <v>3</v>
      </c>
      <c r="Q499">
        <v>9</v>
      </c>
      <c r="R499">
        <v>6</v>
      </c>
      <c r="S499">
        <v>3</v>
      </c>
      <c r="T499">
        <v>0</v>
      </c>
      <c r="U499" t="s">
        <v>7165</v>
      </c>
      <c r="V499">
        <f>Tabla1[[#This Row],[Aboard]]-Tabla1[[#This Row],[Fatalities]]</f>
        <v>0</v>
      </c>
      <c r="W499" s="50">
        <f>IFERROR(Tabla1[[#This Row],[Fatalities]]/Tabla1[[#This Row],[Aboard]],0)</f>
        <v>1</v>
      </c>
      <c r="X499" s="51" t="str" cm="1">
        <f t="array" ref="X499">_xlfn.IFS(Tabla1[[#This Row],[Porcentaje de muertes]]&lt;0.35,"LEVE",AND(Tabla1[[#This Row],[Porcentaje de muertes]]&gt;0.35,Tabla1[[#This Row],[Porcentaje de muertes]]&lt;0.65),"MEDIO",Tabla1[[#This Row],[Porcentaje de muertes]]&gt;0.65,"GRAVE")</f>
        <v>GRAVE</v>
      </c>
    </row>
    <row r="500" spans="2:24" x14ac:dyDescent="0.3">
      <c r="B500" s="9">
        <v>498</v>
      </c>
      <c r="C500" s="49">
        <v>14064</v>
      </c>
      <c r="D500" s="9">
        <f>YEAR(Tabla1[[#This Row],[Date]])</f>
        <v>1938</v>
      </c>
      <c r="E500" s="9" t="str" cm="1">
        <f t="array" ref="E500">IFERROR(_xlfn.IFS(AND(D500&lt;1980,D500&gt;=1970),"70",AND(D500&lt;1990,D500&gt;=1980),"80",AND(D500&lt;2000,D500&gt;=1990),"90",AND(D500&lt;2010,D500&gt;=2000),"00",AND(D500&lt;=2019,D500&gt;=2010),"10"),"1908-1970")</f>
        <v>1908-1970</v>
      </c>
      <c r="F500" s="3" t="s">
        <v>28931</v>
      </c>
      <c r="G500" t="s">
        <v>7166</v>
      </c>
      <c r="H500" t="s">
        <v>6375</v>
      </c>
      <c r="I500" t="s">
        <v>28931</v>
      </c>
      <c r="J500" t="s">
        <v>7167</v>
      </c>
      <c r="K500" t="s">
        <v>7102</v>
      </c>
      <c r="L500" s="7" t="s">
        <v>7168</v>
      </c>
      <c r="M500" t="s">
        <v>7169</v>
      </c>
      <c r="N500">
        <v>7</v>
      </c>
      <c r="O500">
        <v>3</v>
      </c>
      <c r="P500">
        <v>4</v>
      </c>
      <c r="Q500">
        <v>7</v>
      </c>
      <c r="R500">
        <v>3</v>
      </c>
      <c r="S500">
        <v>4</v>
      </c>
      <c r="T500">
        <v>0</v>
      </c>
      <c r="U500" t="s">
        <v>7170</v>
      </c>
      <c r="V500">
        <f>Tabla1[[#This Row],[Aboard]]-Tabla1[[#This Row],[Fatalities]]</f>
        <v>0</v>
      </c>
      <c r="W500" s="50">
        <f>IFERROR(Tabla1[[#This Row],[Fatalities]]/Tabla1[[#This Row],[Aboard]],0)</f>
        <v>1</v>
      </c>
      <c r="X500" s="51" t="str" cm="1">
        <f t="array" ref="X500">_xlfn.IFS(Tabla1[[#This Row],[Porcentaje de muertes]]&lt;0.35,"LEVE",AND(Tabla1[[#This Row],[Porcentaje de muertes]]&gt;0.35,Tabla1[[#This Row],[Porcentaje de muertes]]&lt;0.65),"MEDIO",Tabla1[[#This Row],[Porcentaje de muertes]]&gt;0.65,"GRAVE")</f>
        <v>GRAVE</v>
      </c>
    </row>
    <row r="501" spans="2:24" x14ac:dyDescent="0.3">
      <c r="B501" s="9">
        <v>499</v>
      </c>
      <c r="C501" s="49">
        <v>14095</v>
      </c>
      <c r="D501" s="9">
        <f>YEAR(Tabla1[[#This Row],[Date]])</f>
        <v>1938</v>
      </c>
      <c r="E501" s="9" t="str" cm="1">
        <f t="array" ref="E501">IFERROR(_xlfn.IFS(AND(D501&lt;1980,D501&gt;=1970),"70",AND(D501&lt;1990,D501&gt;=1980),"80",AND(D501&lt;2000,D501&gt;=1990),"90",AND(D501&lt;2010,D501&gt;=2000),"00",AND(D501&lt;=2019,D501&gt;=2010),"10"),"1908-1970")</f>
        <v>1908-1970</v>
      </c>
      <c r="F501" s="3" t="s">
        <v>28931</v>
      </c>
      <c r="G501" t="s">
        <v>7171</v>
      </c>
      <c r="H501" t="s">
        <v>6038</v>
      </c>
      <c r="I501" t="s">
        <v>28931</v>
      </c>
      <c r="J501" t="s">
        <v>6190</v>
      </c>
      <c r="K501" t="s">
        <v>6283</v>
      </c>
      <c r="L501" s="7" t="s">
        <v>7172</v>
      </c>
      <c r="M501" t="s">
        <v>28931</v>
      </c>
      <c r="N501">
        <v>1</v>
      </c>
      <c r="O501">
        <v>0</v>
      </c>
      <c r="P501">
        <v>1</v>
      </c>
      <c r="Q501">
        <v>1</v>
      </c>
      <c r="R501">
        <v>0</v>
      </c>
      <c r="S501">
        <v>1</v>
      </c>
      <c r="T501">
        <v>0</v>
      </c>
      <c r="U501" t="s">
        <v>7173</v>
      </c>
      <c r="V501">
        <f>Tabla1[[#This Row],[Aboard]]-Tabla1[[#This Row],[Fatalities]]</f>
        <v>0</v>
      </c>
      <c r="W501" s="50">
        <f>IFERROR(Tabla1[[#This Row],[Fatalities]]/Tabla1[[#This Row],[Aboard]],0)</f>
        <v>1</v>
      </c>
      <c r="X501" s="51" t="str" cm="1">
        <f t="array" ref="X501">_xlfn.IFS(Tabla1[[#This Row],[Porcentaje de muertes]]&lt;0.35,"LEVE",AND(Tabla1[[#This Row],[Porcentaje de muertes]]&gt;0.35,Tabla1[[#This Row],[Porcentaje de muertes]]&lt;0.65),"MEDIO",Tabla1[[#This Row],[Porcentaje de muertes]]&gt;0.65,"GRAVE")</f>
        <v>GRAVE</v>
      </c>
    </row>
    <row r="502" spans="2:24" x14ac:dyDescent="0.3">
      <c r="B502" s="9">
        <v>500</v>
      </c>
      <c r="C502" s="49">
        <v>13962</v>
      </c>
      <c r="D502" s="9">
        <f>YEAR(Tabla1[[#This Row],[Date]])</f>
        <v>1938</v>
      </c>
      <c r="E502" s="9" t="str" cm="1">
        <f t="array" ref="E502">IFERROR(_xlfn.IFS(AND(D502&lt;1980,D502&gt;=1970),"70",AND(D502&lt;1990,D502&gt;=1980),"80",AND(D502&lt;2000,D502&gt;=1990),"90",AND(D502&lt;2010,D502&gt;=2000),"00",AND(D502&lt;=2019,D502&gt;=2010),"10"),"1908-1970")</f>
        <v>1908-1970</v>
      </c>
      <c r="F502" s="3">
        <v>0.29166666666666669</v>
      </c>
      <c r="G502" t="s">
        <v>7174</v>
      </c>
      <c r="H502" t="s">
        <v>6375</v>
      </c>
      <c r="I502" t="s">
        <v>28931</v>
      </c>
      <c r="J502" t="s">
        <v>7175</v>
      </c>
      <c r="K502" t="s">
        <v>7176</v>
      </c>
      <c r="L502" s="7" t="s">
        <v>7177</v>
      </c>
      <c r="M502">
        <v>2</v>
      </c>
      <c r="N502">
        <v>8</v>
      </c>
      <c r="O502">
        <v>5</v>
      </c>
      <c r="P502">
        <v>3</v>
      </c>
      <c r="Q502">
        <v>8</v>
      </c>
      <c r="R502">
        <v>5</v>
      </c>
      <c r="S502">
        <v>3</v>
      </c>
      <c r="T502">
        <v>0</v>
      </c>
      <c r="U502" t="s">
        <v>7178</v>
      </c>
      <c r="V502">
        <f>Tabla1[[#This Row],[Aboard]]-Tabla1[[#This Row],[Fatalities]]</f>
        <v>0</v>
      </c>
      <c r="W502" s="50">
        <f>IFERROR(Tabla1[[#This Row],[Fatalities]]/Tabla1[[#This Row],[Aboard]],0)</f>
        <v>1</v>
      </c>
      <c r="X502" s="51" t="str" cm="1">
        <f t="array" ref="X502">_xlfn.IFS(Tabla1[[#This Row],[Porcentaje de muertes]]&lt;0.35,"LEVE",AND(Tabla1[[#This Row],[Porcentaje de muertes]]&gt;0.35,Tabla1[[#This Row],[Porcentaje de muertes]]&lt;0.65),"MEDIO",Tabla1[[#This Row],[Porcentaje de muertes]]&gt;0.65,"GRAVE")</f>
        <v>GRAVE</v>
      </c>
    </row>
    <row r="503" spans="2:24" x14ac:dyDescent="0.3">
      <c r="B503" s="9">
        <v>501</v>
      </c>
      <c r="C503" s="49">
        <v>14000</v>
      </c>
      <c r="D503" s="9">
        <f>YEAR(Tabla1[[#This Row],[Date]])</f>
        <v>1938</v>
      </c>
      <c r="E503" s="9" t="str" cm="1">
        <f t="array" ref="E503">IFERROR(_xlfn.IFS(AND(D503&lt;1980,D503&gt;=1970),"70",AND(D503&lt;1990,D503&gt;=1980),"80",AND(D503&lt;2000,D503&gt;=1990),"90",AND(D503&lt;2010,D503&gt;=2000),"00",AND(D503&lt;=2019,D503&gt;=2010),"10"),"1908-1970")</f>
        <v>1908-1970</v>
      </c>
      <c r="F503" s="3">
        <v>0.58333333333333337</v>
      </c>
      <c r="G503" t="s">
        <v>7179</v>
      </c>
      <c r="H503" t="s">
        <v>6649</v>
      </c>
      <c r="I503" t="s">
        <v>28931</v>
      </c>
      <c r="J503" t="s">
        <v>7180</v>
      </c>
      <c r="K503" t="s">
        <v>6742</v>
      </c>
      <c r="L503" s="7" t="s">
        <v>7089</v>
      </c>
      <c r="M503">
        <v>4063</v>
      </c>
      <c r="N503">
        <v>19</v>
      </c>
      <c r="O503">
        <v>14</v>
      </c>
      <c r="P503">
        <v>5</v>
      </c>
      <c r="Q503">
        <v>19</v>
      </c>
      <c r="R503">
        <v>14</v>
      </c>
      <c r="S503">
        <v>5</v>
      </c>
      <c r="T503">
        <v>0</v>
      </c>
      <c r="U503" t="s">
        <v>7181</v>
      </c>
      <c r="V503">
        <f>Tabla1[[#This Row],[Aboard]]-Tabla1[[#This Row],[Fatalities]]</f>
        <v>0</v>
      </c>
      <c r="W503" s="50">
        <f>IFERROR(Tabla1[[#This Row],[Fatalities]]/Tabla1[[#This Row],[Aboard]],0)</f>
        <v>1</v>
      </c>
      <c r="X503" s="51" t="str" cm="1">
        <f t="array" ref="X503">_xlfn.IFS(Tabla1[[#This Row],[Porcentaje de muertes]]&lt;0.35,"LEVE",AND(Tabla1[[#This Row],[Porcentaje de muertes]]&gt;0.35,Tabla1[[#This Row],[Porcentaje de muertes]]&lt;0.65),"MEDIO",Tabla1[[#This Row],[Porcentaje de muertes]]&gt;0.65,"GRAVE")</f>
        <v>GRAVE</v>
      </c>
    </row>
    <row r="504" spans="2:24" x14ac:dyDescent="0.3">
      <c r="B504" s="9">
        <v>502</v>
      </c>
      <c r="C504" s="49">
        <v>14005</v>
      </c>
      <c r="D504" s="9">
        <f>YEAR(Tabla1[[#This Row],[Date]])</f>
        <v>1938</v>
      </c>
      <c r="E504" s="9" t="str" cm="1">
        <f t="array" ref="E504">IFERROR(_xlfn.IFS(AND(D504&lt;1980,D504&gt;=1970),"70",AND(D504&lt;1990,D504&gt;=1980),"80",AND(D504&lt;2000,D504&gt;=1990),"90",AND(D504&lt;2010,D504&gt;=2000),"00",AND(D504&lt;=2019,D504&gt;=2010),"10"),"1908-1970")</f>
        <v>1908-1970</v>
      </c>
      <c r="F504" s="3" t="s">
        <v>28931</v>
      </c>
      <c r="G504" t="s">
        <v>7182</v>
      </c>
      <c r="H504" t="s">
        <v>7183</v>
      </c>
      <c r="I504" t="s">
        <v>28931</v>
      </c>
      <c r="J504" t="s">
        <v>7184</v>
      </c>
      <c r="K504" t="s">
        <v>7185</v>
      </c>
      <c r="L504" s="7" t="s">
        <v>7186</v>
      </c>
      <c r="M504">
        <v>124</v>
      </c>
      <c r="N504">
        <v>6</v>
      </c>
      <c r="O504">
        <v>5</v>
      </c>
      <c r="P504">
        <v>1</v>
      </c>
      <c r="Q504">
        <v>1</v>
      </c>
      <c r="R504">
        <v>5</v>
      </c>
      <c r="S504">
        <v>1</v>
      </c>
      <c r="T504">
        <v>0</v>
      </c>
      <c r="U504" t="s">
        <v>7006</v>
      </c>
      <c r="V504">
        <f>Tabla1[[#This Row],[Aboard]]-Tabla1[[#This Row],[Fatalities]]</f>
        <v>5</v>
      </c>
      <c r="W504" s="50">
        <f>IFERROR(Tabla1[[#This Row],[Fatalities]]/Tabla1[[#This Row],[Aboard]],0)</f>
        <v>0.16666666666666666</v>
      </c>
      <c r="X504" s="51" t="str" cm="1">
        <f t="array" ref="X504">_xlfn.IFS(Tabla1[[#This Row],[Porcentaje de muertes]]&lt;0.35,"LEVE",AND(Tabla1[[#This Row],[Porcentaje de muertes]]&gt;0.35,Tabla1[[#This Row],[Porcentaje de muertes]]&lt;0.65),"MEDIO",Tabla1[[#This Row],[Porcentaje de muertes]]&gt;0.65,"GRAVE")</f>
        <v>LEVE</v>
      </c>
    </row>
    <row r="505" spans="2:24" x14ac:dyDescent="0.3">
      <c r="B505" s="9">
        <v>503</v>
      </c>
      <c r="C505" s="49">
        <v>14158</v>
      </c>
      <c r="D505" s="9">
        <f>YEAR(Tabla1[[#This Row],[Date]])</f>
        <v>1938</v>
      </c>
      <c r="E505" s="9" t="str" cm="1">
        <f t="array" ref="E505">IFERROR(_xlfn.IFS(AND(D505&lt;1980,D505&gt;=1970),"70",AND(D505&lt;1990,D505&gt;=1980),"80",AND(D505&lt;2000,D505&gt;=1990),"90",AND(D505&lt;2010,D505&gt;=2000),"00",AND(D505&lt;=2019,D505&gt;=2010),"10"),"1908-1970")</f>
        <v>1908-1970</v>
      </c>
      <c r="F505" s="3" t="s">
        <v>28931</v>
      </c>
      <c r="G505" t="s">
        <v>7187</v>
      </c>
      <c r="H505" t="s">
        <v>7188</v>
      </c>
      <c r="I505" t="s">
        <v>28931</v>
      </c>
      <c r="J505" t="s">
        <v>7189</v>
      </c>
      <c r="K505" t="s">
        <v>6937</v>
      </c>
      <c r="L505" s="7" t="s">
        <v>7190</v>
      </c>
      <c r="M505">
        <v>1092</v>
      </c>
      <c r="N505">
        <v>2</v>
      </c>
      <c r="O505" t="s">
        <v>5038</v>
      </c>
      <c r="P505" t="s">
        <v>5038</v>
      </c>
      <c r="Q505">
        <v>2</v>
      </c>
      <c r="R505" t="s">
        <v>5038</v>
      </c>
      <c r="S505" t="s">
        <v>5038</v>
      </c>
      <c r="T505">
        <v>0</v>
      </c>
      <c r="U505" t="s">
        <v>7191</v>
      </c>
      <c r="V505">
        <f>Tabla1[[#This Row],[Aboard]]-Tabla1[[#This Row],[Fatalities]]</f>
        <v>0</v>
      </c>
      <c r="W505" s="50">
        <f>IFERROR(Tabla1[[#This Row],[Fatalities]]/Tabla1[[#This Row],[Aboard]],0)</f>
        <v>1</v>
      </c>
      <c r="X505" s="51" t="str" cm="1">
        <f t="array" ref="X505">_xlfn.IFS(Tabla1[[#This Row],[Porcentaje de muertes]]&lt;0.35,"LEVE",AND(Tabla1[[#This Row],[Porcentaje de muertes]]&gt;0.35,Tabla1[[#This Row],[Porcentaje de muertes]]&lt;0.65),"MEDIO",Tabla1[[#This Row],[Porcentaje de muertes]]&gt;0.65,"GRAVE")</f>
        <v>GRAVE</v>
      </c>
    </row>
    <row r="506" spans="2:24" x14ac:dyDescent="0.3">
      <c r="B506" s="9">
        <v>504</v>
      </c>
      <c r="C506" s="49">
        <v>14016</v>
      </c>
      <c r="D506" s="9">
        <f>YEAR(Tabla1[[#This Row],[Date]])</f>
        <v>1938</v>
      </c>
      <c r="E506" s="9" t="str" cm="1">
        <f t="array" ref="E506">IFERROR(_xlfn.IFS(AND(D506&lt;1980,D506&gt;=1970),"70",AND(D506&lt;1990,D506&gt;=1980),"80",AND(D506&lt;2000,D506&gt;=1990),"90",AND(D506&lt;2010,D506&gt;=2000),"00",AND(D506&lt;=2019,D506&gt;=2010),"10"),"1908-1970")</f>
        <v>1908-1970</v>
      </c>
      <c r="F506" s="3">
        <v>0.58819444444444446</v>
      </c>
      <c r="G506" t="s">
        <v>7192</v>
      </c>
      <c r="H506" t="s">
        <v>5769</v>
      </c>
      <c r="I506" t="s">
        <v>28931</v>
      </c>
      <c r="J506" t="s">
        <v>7193</v>
      </c>
      <c r="K506" t="s">
        <v>7194</v>
      </c>
      <c r="L506" s="7" t="s">
        <v>7195</v>
      </c>
      <c r="M506">
        <v>1439</v>
      </c>
      <c r="N506">
        <v>9</v>
      </c>
      <c r="O506">
        <v>7</v>
      </c>
      <c r="P506">
        <v>2</v>
      </c>
      <c r="Q506">
        <v>9</v>
      </c>
      <c r="R506">
        <v>7</v>
      </c>
      <c r="S506">
        <v>2</v>
      </c>
      <c r="T506">
        <v>0</v>
      </c>
      <c r="U506" t="s">
        <v>7196</v>
      </c>
      <c r="V506">
        <f>Tabla1[[#This Row],[Aboard]]-Tabla1[[#This Row],[Fatalities]]</f>
        <v>0</v>
      </c>
      <c r="W506" s="50">
        <f>IFERROR(Tabla1[[#This Row],[Fatalities]]/Tabla1[[#This Row],[Aboard]],0)</f>
        <v>1</v>
      </c>
      <c r="X506" s="51" t="str" cm="1">
        <f t="array" ref="X506">_xlfn.IFS(Tabla1[[#This Row],[Porcentaje de muertes]]&lt;0.35,"LEVE",AND(Tabla1[[#This Row],[Porcentaje de muertes]]&gt;0.35,Tabla1[[#This Row],[Porcentaje de muertes]]&lt;0.65),"MEDIO",Tabla1[[#This Row],[Porcentaje de muertes]]&gt;0.65,"GRAVE")</f>
        <v>GRAVE</v>
      </c>
    </row>
    <row r="507" spans="2:24" x14ac:dyDescent="0.3">
      <c r="B507" s="9">
        <v>505</v>
      </c>
      <c r="C507" s="49">
        <v>14022</v>
      </c>
      <c r="D507" s="9">
        <f>YEAR(Tabla1[[#This Row],[Date]])</f>
        <v>1938</v>
      </c>
      <c r="E507" s="9" t="str" cm="1">
        <f t="array" ref="E507">IFERROR(_xlfn.IFS(AND(D507&lt;1980,D507&gt;=1970),"70",AND(D507&lt;1990,D507&gt;=1980),"80",AND(D507&lt;2000,D507&gt;=1990),"90",AND(D507&lt;2010,D507&gt;=2000),"00",AND(D507&lt;=2019,D507&gt;=2010),"10"),"1908-1970")</f>
        <v>1908-1970</v>
      </c>
      <c r="F507" s="3">
        <v>0.56944444444444442</v>
      </c>
      <c r="G507" t="s">
        <v>7197</v>
      </c>
      <c r="H507" t="s">
        <v>7198</v>
      </c>
      <c r="I507" t="s">
        <v>28931</v>
      </c>
      <c r="J507" t="s">
        <v>7199</v>
      </c>
      <c r="K507" t="s">
        <v>6555</v>
      </c>
      <c r="L507" s="7" t="s">
        <v>7200</v>
      </c>
      <c r="M507">
        <v>5453</v>
      </c>
      <c r="N507">
        <v>17</v>
      </c>
      <c r="O507">
        <v>14</v>
      </c>
      <c r="P507">
        <v>3</v>
      </c>
      <c r="Q507">
        <v>6</v>
      </c>
      <c r="R507">
        <v>6</v>
      </c>
      <c r="S507">
        <v>0</v>
      </c>
      <c r="T507">
        <v>0</v>
      </c>
      <c r="U507" t="s">
        <v>7201</v>
      </c>
      <c r="V507">
        <f>Tabla1[[#This Row],[Aboard]]-Tabla1[[#This Row],[Fatalities]]</f>
        <v>11</v>
      </c>
      <c r="W507" s="50">
        <f>IFERROR(Tabla1[[#This Row],[Fatalities]]/Tabla1[[#This Row],[Aboard]],0)</f>
        <v>0.35294117647058826</v>
      </c>
      <c r="X507" s="51" t="str" cm="1">
        <f t="array" ref="X507">_xlfn.IFS(Tabla1[[#This Row],[Porcentaje de muertes]]&lt;0.35,"LEVE",AND(Tabla1[[#This Row],[Porcentaje de muertes]]&gt;0.35,Tabla1[[#This Row],[Porcentaje de muertes]]&lt;0.65),"MEDIO",Tabla1[[#This Row],[Porcentaje de muertes]]&gt;0.65,"GRAVE")</f>
        <v>MEDIO</v>
      </c>
    </row>
    <row r="508" spans="2:24" x14ac:dyDescent="0.3">
      <c r="B508" s="9">
        <v>506</v>
      </c>
      <c r="C508" s="49">
        <v>14024</v>
      </c>
      <c r="D508" s="9">
        <f>YEAR(Tabla1[[#This Row],[Date]])</f>
        <v>1938</v>
      </c>
      <c r="E508" s="9" t="str" cm="1">
        <f t="array" ref="E508">IFERROR(_xlfn.IFS(AND(D508&lt;1980,D508&gt;=1970),"70",AND(D508&lt;1990,D508&gt;=1980),"80",AND(D508&lt;2000,D508&gt;=1990),"90",AND(D508&lt;2010,D508&gt;=2000),"00",AND(D508&lt;=2019,D508&gt;=2010),"10"),"1908-1970")</f>
        <v>1908-1970</v>
      </c>
      <c r="F508" s="3">
        <v>0.92847222222222225</v>
      </c>
      <c r="G508" t="s">
        <v>5099</v>
      </c>
      <c r="H508" t="s">
        <v>6369</v>
      </c>
      <c r="I508">
        <v>9</v>
      </c>
      <c r="J508" t="s">
        <v>7202</v>
      </c>
      <c r="K508" t="s">
        <v>7203</v>
      </c>
      <c r="L508" s="7" t="s">
        <v>7204</v>
      </c>
      <c r="M508">
        <v>1956</v>
      </c>
      <c r="N508">
        <v>10</v>
      </c>
      <c r="O508">
        <v>7</v>
      </c>
      <c r="P508">
        <v>3</v>
      </c>
      <c r="Q508">
        <v>10</v>
      </c>
      <c r="R508">
        <v>7</v>
      </c>
      <c r="S508">
        <v>3</v>
      </c>
      <c r="T508">
        <v>0</v>
      </c>
      <c r="U508" t="s">
        <v>7205</v>
      </c>
      <c r="V508">
        <f>Tabla1[[#This Row],[Aboard]]-Tabla1[[#This Row],[Fatalities]]</f>
        <v>0</v>
      </c>
      <c r="W508" s="50">
        <f>IFERROR(Tabla1[[#This Row],[Fatalities]]/Tabla1[[#This Row],[Aboard]],0)</f>
        <v>1</v>
      </c>
      <c r="X508" s="51" t="str" cm="1">
        <f t="array" ref="X508">_xlfn.IFS(Tabla1[[#This Row],[Porcentaje de muertes]]&lt;0.35,"LEVE",AND(Tabla1[[#This Row],[Porcentaje de muertes]]&gt;0.35,Tabla1[[#This Row],[Porcentaje de muertes]]&lt;0.65),"MEDIO",Tabla1[[#This Row],[Porcentaje de muertes]]&gt;0.65,"GRAVE")</f>
        <v>GRAVE</v>
      </c>
    </row>
    <row r="509" spans="2:24" x14ac:dyDescent="0.3">
      <c r="B509" s="9">
        <v>507</v>
      </c>
      <c r="C509" s="49">
        <v>14027</v>
      </c>
      <c r="D509" s="9">
        <f>YEAR(Tabla1[[#This Row],[Date]])</f>
        <v>1938</v>
      </c>
      <c r="E509" s="9" t="str" cm="1">
        <f t="array" ref="E509">IFERROR(_xlfn.IFS(AND(D509&lt;1980,D509&gt;=1970),"70",AND(D509&lt;1990,D509&gt;=1980),"80",AND(D509&lt;2000,D509&gt;=1990),"90",AND(D509&lt;2010,D509&gt;=2000),"00",AND(D509&lt;=2019,D509&gt;=2010),"10"),"1908-1970")</f>
        <v>1908-1970</v>
      </c>
      <c r="F509" s="3" t="s">
        <v>28931</v>
      </c>
      <c r="G509" t="s">
        <v>7206</v>
      </c>
      <c r="H509" t="s">
        <v>7207</v>
      </c>
      <c r="I509" t="s">
        <v>28931</v>
      </c>
      <c r="J509" t="s">
        <v>7208</v>
      </c>
      <c r="K509" t="s">
        <v>7209</v>
      </c>
      <c r="L509" s="7" t="s">
        <v>7210</v>
      </c>
      <c r="M509" t="s">
        <v>28931</v>
      </c>
      <c r="N509">
        <v>1</v>
      </c>
      <c r="O509">
        <v>0</v>
      </c>
      <c r="P509">
        <v>1</v>
      </c>
      <c r="Q509">
        <v>1</v>
      </c>
      <c r="R509">
        <v>0</v>
      </c>
      <c r="S509">
        <v>1</v>
      </c>
      <c r="T509">
        <v>0</v>
      </c>
      <c r="U509" t="s">
        <v>7211</v>
      </c>
      <c r="V509">
        <f>Tabla1[[#This Row],[Aboard]]-Tabla1[[#This Row],[Fatalities]]</f>
        <v>0</v>
      </c>
      <c r="W509" s="50">
        <f>IFERROR(Tabla1[[#This Row],[Fatalities]]/Tabla1[[#This Row],[Aboard]],0)</f>
        <v>1</v>
      </c>
      <c r="X509" s="51" t="str" cm="1">
        <f t="array" ref="X509">_xlfn.IFS(Tabla1[[#This Row],[Porcentaje de muertes]]&lt;0.35,"LEVE",AND(Tabla1[[#This Row],[Porcentaje de muertes]]&gt;0.35,Tabla1[[#This Row],[Porcentaje de muertes]]&lt;0.65),"MEDIO",Tabla1[[#This Row],[Porcentaje de muertes]]&gt;0.65,"GRAVE")</f>
        <v>GRAVE</v>
      </c>
    </row>
    <row r="510" spans="2:24" x14ac:dyDescent="0.3">
      <c r="B510" s="9">
        <v>508</v>
      </c>
      <c r="C510" s="49">
        <v>14027</v>
      </c>
      <c r="D510" s="9">
        <f>YEAR(Tabla1[[#This Row],[Date]])</f>
        <v>1938</v>
      </c>
      <c r="E510" s="9" t="str" cm="1">
        <f t="array" ref="E510">IFERROR(_xlfn.IFS(AND(D510&lt;1980,D510&gt;=1970),"70",AND(D510&lt;1990,D510&gt;=1980),"80",AND(D510&lt;2000,D510&gt;=1990),"90",AND(D510&lt;2010,D510&gt;=2000),"00",AND(D510&lt;=2019,D510&gt;=2010),"10"),"1908-1970")</f>
        <v>1908-1970</v>
      </c>
      <c r="F510" s="3" t="s">
        <v>28931</v>
      </c>
      <c r="G510" t="s">
        <v>7212</v>
      </c>
      <c r="H510" t="s">
        <v>5417</v>
      </c>
      <c r="I510" t="s">
        <v>28931</v>
      </c>
      <c r="J510" t="s">
        <v>28931</v>
      </c>
      <c r="K510" t="s">
        <v>7213</v>
      </c>
      <c r="L510" s="7" t="s">
        <v>7214</v>
      </c>
      <c r="M510">
        <v>546</v>
      </c>
      <c r="N510">
        <v>3</v>
      </c>
      <c r="O510">
        <v>0</v>
      </c>
      <c r="P510">
        <v>3</v>
      </c>
      <c r="Q510">
        <v>3</v>
      </c>
      <c r="R510">
        <v>0</v>
      </c>
      <c r="S510">
        <v>3</v>
      </c>
      <c r="T510">
        <v>0</v>
      </c>
      <c r="U510" t="s">
        <v>7215</v>
      </c>
      <c r="V510">
        <f>Tabla1[[#This Row],[Aboard]]-Tabla1[[#This Row],[Fatalities]]</f>
        <v>0</v>
      </c>
      <c r="W510" s="50">
        <f>IFERROR(Tabla1[[#This Row],[Fatalities]]/Tabla1[[#This Row],[Aboard]],0)</f>
        <v>1</v>
      </c>
      <c r="X510" s="51" t="str" cm="1">
        <f t="array" ref="X510">_xlfn.IFS(Tabla1[[#This Row],[Porcentaje de muertes]]&lt;0.35,"LEVE",AND(Tabla1[[#This Row],[Porcentaje de muertes]]&gt;0.35,Tabla1[[#This Row],[Porcentaje de muertes]]&lt;0.65),"MEDIO",Tabla1[[#This Row],[Porcentaje de muertes]]&gt;0.65,"GRAVE")</f>
        <v>GRAVE</v>
      </c>
    </row>
    <row r="511" spans="2:24" x14ac:dyDescent="0.3">
      <c r="B511" s="9">
        <v>509</v>
      </c>
      <c r="C511" s="49">
        <v>14098</v>
      </c>
      <c r="D511" s="9">
        <f>YEAR(Tabla1[[#This Row],[Date]])</f>
        <v>1938</v>
      </c>
      <c r="E511" s="9" t="str" cm="1">
        <f t="array" ref="E511">IFERROR(_xlfn.IFS(AND(D511&lt;1980,D511&gt;=1970),"70",AND(D511&lt;1990,D511&gt;=1980),"80",AND(D511&lt;2000,D511&gt;=1990),"90",AND(D511&lt;2010,D511&gt;=2000),"00",AND(D511&lt;=2019,D511&gt;=2010),"10"),"1908-1970")</f>
        <v>1908-1970</v>
      </c>
      <c r="F511" s="3" t="s">
        <v>28931</v>
      </c>
      <c r="G511" t="s">
        <v>7216</v>
      </c>
      <c r="H511" t="s">
        <v>7217</v>
      </c>
      <c r="I511" t="s">
        <v>28931</v>
      </c>
      <c r="J511" t="s">
        <v>28931</v>
      </c>
      <c r="K511" t="s">
        <v>7218</v>
      </c>
      <c r="L511" s="7" t="s">
        <v>7219</v>
      </c>
      <c r="M511">
        <v>7055</v>
      </c>
      <c r="N511">
        <v>3</v>
      </c>
      <c r="O511">
        <v>1</v>
      </c>
      <c r="P511">
        <v>2</v>
      </c>
      <c r="Q511">
        <v>3</v>
      </c>
      <c r="R511">
        <v>1</v>
      </c>
      <c r="S511">
        <v>2</v>
      </c>
      <c r="T511">
        <v>0</v>
      </c>
      <c r="U511" t="s">
        <v>7220</v>
      </c>
      <c r="V511">
        <f>Tabla1[[#This Row],[Aboard]]-Tabla1[[#This Row],[Fatalities]]</f>
        <v>0</v>
      </c>
      <c r="W511" s="50">
        <f>IFERROR(Tabla1[[#This Row],[Fatalities]]/Tabla1[[#This Row],[Aboard]],0)</f>
        <v>1</v>
      </c>
      <c r="X511" s="51" t="str" cm="1">
        <f t="array" ref="X511">_xlfn.IFS(Tabla1[[#This Row],[Porcentaje de muertes]]&lt;0.35,"LEVE",AND(Tabla1[[#This Row],[Porcentaje de muertes]]&gt;0.35,Tabla1[[#This Row],[Porcentaje de muertes]]&lt;0.65),"MEDIO",Tabla1[[#This Row],[Porcentaje de muertes]]&gt;0.65,"GRAVE")</f>
        <v>GRAVE</v>
      </c>
    </row>
    <row r="512" spans="2:24" x14ac:dyDescent="0.3">
      <c r="B512" s="9">
        <v>510</v>
      </c>
      <c r="C512" s="49">
        <v>14050</v>
      </c>
      <c r="D512" s="9">
        <f>YEAR(Tabla1[[#This Row],[Date]])</f>
        <v>1938</v>
      </c>
      <c r="E512" s="9" t="str" cm="1">
        <f t="array" ref="E512">IFERROR(_xlfn.IFS(AND(D512&lt;1980,D512&gt;=1970),"70",AND(D512&lt;1990,D512&gt;=1980),"80",AND(D512&lt;2000,D512&gt;=1990),"90",AND(D512&lt;2010,D512&gt;=2000),"00",AND(D512&lt;=2019,D512&gt;=2010),"10"),"1908-1970")</f>
        <v>1908-1970</v>
      </c>
      <c r="F512" s="3" t="s">
        <v>28931</v>
      </c>
      <c r="G512" t="s">
        <v>7221</v>
      </c>
      <c r="H512" t="s">
        <v>6306</v>
      </c>
      <c r="I512" t="s">
        <v>28931</v>
      </c>
      <c r="J512" t="s">
        <v>28931</v>
      </c>
      <c r="K512" t="s">
        <v>6635</v>
      </c>
      <c r="L512" s="7" t="s">
        <v>7222</v>
      </c>
      <c r="M512" t="s">
        <v>28931</v>
      </c>
      <c r="N512">
        <v>4</v>
      </c>
      <c r="O512" t="s">
        <v>5038</v>
      </c>
      <c r="P512" t="s">
        <v>5038</v>
      </c>
      <c r="Q512">
        <v>4</v>
      </c>
      <c r="R512" t="s">
        <v>5038</v>
      </c>
      <c r="S512" t="s">
        <v>5038</v>
      </c>
      <c r="T512">
        <v>0</v>
      </c>
      <c r="U512" t="s">
        <v>7223</v>
      </c>
      <c r="V512">
        <f>Tabla1[[#This Row],[Aboard]]-Tabla1[[#This Row],[Fatalities]]</f>
        <v>0</v>
      </c>
      <c r="W512" s="50">
        <f>IFERROR(Tabla1[[#This Row],[Fatalities]]/Tabla1[[#This Row],[Aboard]],0)</f>
        <v>1</v>
      </c>
      <c r="X512" s="51" t="str" cm="1">
        <f t="array" ref="X512">_xlfn.IFS(Tabla1[[#This Row],[Porcentaje de muertes]]&lt;0.35,"LEVE",AND(Tabla1[[#This Row],[Porcentaje de muertes]]&gt;0.35,Tabla1[[#This Row],[Porcentaje de muertes]]&lt;0.65),"MEDIO",Tabla1[[#This Row],[Porcentaje de muertes]]&gt;0.65,"GRAVE")</f>
        <v>GRAVE</v>
      </c>
    </row>
    <row r="513" spans="2:24" x14ac:dyDescent="0.3">
      <c r="B513" s="9">
        <v>511</v>
      </c>
      <c r="C513" s="49">
        <v>14099</v>
      </c>
      <c r="D513" s="9">
        <f>YEAR(Tabla1[[#This Row],[Date]])</f>
        <v>1938</v>
      </c>
      <c r="E513" s="9" t="str" cm="1">
        <f t="array" ref="E513">IFERROR(_xlfn.IFS(AND(D513&lt;1980,D513&gt;=1970),"70",AND(D513&lt;1990,D513&gt;=1980),"80",AND(D513&lt;2000,D513&gt;=1990),"90",AND(D513&lt;2010,D513&gt;=2000),"00",AND(D513&lt;=2019,D513&gt;=2010),"10"),"1908-1970")</f>
        <v>1908-1970</v>
      </c>
      <c r="F513" s="3">
        <v>0.12222222222222223</v>
      </c>
      <c r="G513" t="s">
        <v>7224</v>
      </c>
      <c r="H513" t="s">
        <v>5769</v>
      </c>
      <c r="I513">
        <v>4</v>
      </c>
      <c r="J513" t="s">
        <v>7225</v>
      </c>
      <c r="K513" t="s">
        <v>7226</v>
      </c>
      <c r="L513" s="7" t="s">
        <v>7227</v>
      </c>
      <c r="M513">
        <v>1402</v>
      </c>
      <c r="N513">
        <v>10</v>
      </c>
      <c r="O513">
        <v>8</v>
      </c>
      <c r="P513">
        <v>2</v>
      </c>
      <c r="Q513">
        <v>1</v>
      </c>
      <c r="R513">
        <v>1</v>
      </c>
      <c r="S513">
        <v>0</v>
      </c>
      <c r="T513">
        <v>0</v>
      </c>
      <c r="U513" t="s">
        <v>7228</v>
      </c>
      <c r="V513">
        <f>Tabla1[[#This Row],[Aboard]]-Tabla1[[#This Row],[Fatalities]]</f>
        <v>9</v>
      </c>
      <c r="W513" s="50">
        <f>IFERROR(Tabla1[[#This Row],[Fatalities]]/Tabla1[[#This Row],[Aboard]],0)</f>
        <v>0.1</v>
      </c>
      <c r="X513" s="51" t="str" cm="1">
        <f t="array" ref="X513">_xlfn.IFS(Tabla1[[#This Row],[Porcentaje de muertes]]&lt;0.35,"LEVE",AND(Tabla1[[#This Row],[Porcentaje de muertes]]&gt;0.35,Tabla1[[#This Row],[Porcentaje de muertes]]&lt;0.65),"MEDIO",Tabla1[[#This Row],[Porcentaje de muertes]]&gt;0.65,"GRAVE")</f>
        <v>LEVE</v>
      </c>
    </row>
    <row r="514" spans="2:24" x14ac:dyDescent="0.3">
      <c r="B514" s="9">
        <v>512</v>
      </c>
      <c r="C514" s="49">
        <v>14075</v>
      </c>
      <c r="D514" s="9">
        <f>YEAR(Tabla1[[#This Row],[Date]])</f>
        <v>1938</v>
      </c>
      <c r="E514" s="9" t="str" cm="1">
        <f t="array" ref="E514">IFERROR(_xlfn.IFS(AND(D514&lt;1980,D514&gt;=1970),"70",AND(D514&lt;1990,D514&gt;=1980),"80",AND(D514&lt;2000,D514&gt;=1990),"90",AND(D514&lt;2010,D514&gt;=2000),"00",AND(D514&lt;=2019,D514&gt;=2010),"10"),"1908-1970")</f>
        <v>1908-1970</v>
      </c>
      <c r="F514" s="3">
        <v>0.33333333333333331</v>
      </c>
      <c r="G514" t="s">
        <v>7229</v>
      </c>
      <c r="H514" t="s">
        <v>6649</v>
      </c>
      <c r="I514" t="s">
        <v>28931</v>
      </c>
      <c r="J514" t="s">
        <v>7230</v>
      </c>
      <c r="K514" t="s">
        <v>7231</v>
      </c>
      <c r="L514" s="7" t="s">
        <v>7232</v>
      </c>
      <c r="M514">
        <v>15013</v>
      </c>
      <c r="N514">
        <v>20</v>
      </c>
      <c r="O514">
        <v>16</v>
      </c>
      <c r="P514">
        <v>4</v>
      </c>
      <c r="Q514">
        <v>20</v>
      </c>
      <c r="R514">
        <v>16</v>
      </c>
      <c r="S514">
        <v>4</v>
      </c>
      <c r="T514">
        <v>0</v>
      </c>
      <c r="U514" t="s">
        <v>7233</v>
      </c>
      <c r="V514">
        <f>Tabla1[[#This Row],[Aboard]]-Tabla1[[#This Row],[Fatalities]]</f>
        <v>0</v>
      </c>
      <c r="W514" s="50">
        <f>IFERROR(Tabla1[[#This Row],[Fatalities]]/Tabla1[[#This Row],[Aboard]],0)</f>
        <v>1</v>
      </c>
      <c r="X514" s="51" t="str" cm="1">
        <f t="array" ref="X514">_xlfn.IFS(Tabla1[[#This Row],[Porcentaje de muertes]]&lt;0.35,"LEVE",AND(Tabla1[[#This Row],[Porcentaje de muertes]]&gt;0.35,Tabla1[[#This Row],[Porcentaje de muertes]]&lt;0.65),"MEDIO",Tabla1[[#This Row],[Porcentaje de muertes]]&gt;0.65,"GRAVE")</f>
        <v>GRAVE</v>
      </c>
    </row>
    <row r="515" spans="2:24" x14ac:dyDescent="0.3">
      <c r="B515" s="9">
        <v>513</v>
      </c>
      <c r="C515" s="49">
        <v>14080</v>
      </c>
      <c r="D515" s="9">
        <f>YEAR(Tabla1[[#This Row],[Date]])</f>
        <v>1938</v>
      </c>
      <c r="E515" s="9" t="str" cm="1">
        <f t="array" ref="E515">IFERROR(_xlfn.IFS(AND(D515&lt;1980,D515&gt;=1970),"70",AND(D515&lt;1990,D515&gt;=1980),"80",AND(D515&lt;2000,D515&gt;=1990),"90",AND(D515&lt;2010,D515&gt;=2000),"00",AND(D515&lt;=2019,D515&gt;=2010),"10"),"1908-1970")</f>
        <v>1908-1970</v>
      </c>
      <c r="F515" s="3" t="s">
        <v>28931</v>
      </c>
      <c r="G515" t="s">
        <v>7234</v>
      </c>
      <c r="H515" t="s">
        <v>6221</v>
      </c>
      <c r="I515" t="s">
        <v>28931</v>
      </c>
      <c r="J515" t="s">
        <v>28931</v>
      </c>
      <c r="K515" t="s">
        <v>6635</v>
      </c>
      <c r="L515" s="7" t="s">
        <v>7222</v>
      </c>
      <c r="M515">
        <v>1305</v>
      </c>
      <c r="N515">
        <v>4</v>
      </c>
      <c r="O515">
        <v>0</v>
      </c>
      <c r="P515">
        <v>4</v>
      </c>
      <c r="Q515">
        <v>4</v>
      </c>
      <c r="R515">
        <v>0</v>
      </c>
      <c r="S515">
        <v>4</v>
      </c>
      <c r="T515" t="s">
        <v>5038</v>
      </c>
      <c r="U515" t="s">
        <v>7235</v>
      </c>
      <c r="V515">
        <f>Tabla1[[#This Row],[Aboard]]-Tabla1[[#This Row],[Fatalities]]</f>
        <v>0</v>
      </c>
      <c r="W515" s="50">
        <f>IFERROR(Tabla1[[#This Row],[Fatalities]]/Tabla1[[#This Row],[Aboard]],0)</f>
        <v>1</v>
      </c>
      <c r="X515" s="51" t="str" cm="1">
        <f t="array" ref="X515">_xlfn.IFS(Tabla1[[#This Row],[Porcentaje de muertes]]&lt;0.35,"LEVE",AND(Tabla1[[#This Row],[Porcentaje de muertes]]&gt;0.35,Tabla1[[#This Row],[Porcentaje de muertes]]&lt;0.65),"MEDIO",Tabla1[[#This Row],[Porcentaje de muertes]]&gt;0.65,"GRAVE")</f>
        <v>GRAVE</v>
      </c>
    </row>
    <row r="516" spans="2:24" x14ac:dyDescent="0.3">
      <c r="B516" s="9">
        <v>514</v>
      </c>
      <c r="C516" s="49">
        <v>14083</v>
      </c>
      <c r="D516" s="9">
        <f>YEAR(Tabla1[[#This Row],[Date]])</f>
        <v>1938</v>
      </c>
      <c r="E516" s="9" t="str" cm="1">
        <f t="array" ref="E516">IFERROR(_xlfn.IFS(AND(D516&lt;1980,D516&gt;=1970),"70",AND(D516&lt;1990,D516&gt;=1980),"80",AND(D516&lt;2000,D516&gt;=1990),"90",AND(D516&lt;2010,D516&gt;=2000),"00",AND(D516&lt;=2019,D516&gt;=2010),"10"),"1908-1970")</f>
        <v>1908-1970</v>
      </c>
      <c r="F516" s="3">
        <v>0.73611111111111116</v>
      </c>
      <c r="G516" t="s">
        <v>7236</v>
      </c>
      <c r="H516" t="s">
        <v>7237</v>
      </c>
      <c r="I516" t="s">
        <v>28931</v>
      </c>
      <c r="J516" t="s">
        <v>7238</v>
      </c>
      <c r="K516" t="s">
        <v>7117</v>
      </c>
      <c r="L516" s="7" t="s">
        <v>7239</v>
      </c>
      <c r="M516">
        <v>1432</v>
      </c>
      <c r="N516">
        <v>14</v>
      </c>
      <c r="O516">
        <v>12</v>
      </c>
      <c r="P516">
        <v>2</v>
      </c>
      <c r="Q516">
        <v>14</v>
      </c>
      <c r="R516">
        <v>12</v>
      </c>
      <c r="S516">
        <v>2</v>
      </c>
      <c r="T516">
        <v>0</v>
      </c>
      <c r="U516" t="s">
        <v>7240</v>
      </c>
      <c r="V516">
        <f>Tabla1[[#This Row],[Aboard]]-Tabla1[[#This Row],[Fatalities]]</f>
        <v>0</v>
      </c>
      <c r="W516" s="50">
        <f>IFERROR(Tabla1[[#This Row],[Fatalities]]/Tabla1[[#This Row],[Aboard]],0)</f>
        <v>1</v>
      </c>
      <c r="X516" s="51" t="str" cm="1">
        <f t="array" ref="X516">_xlfn.IFS(Tabla1[[#This Row],[Porcentaje de muertes]]&lt;0.35,"LEVE",AND(Tabla1[[#This Row],[Porcentaje de muertes]]&gt;0.35,Tabla1[[#This Row],[Porcentaje de muertes]]&lt;0.65),"MEDIO",Tabla1[[#This Row],[Porcentaje de muertes]]&gt;0.65,"GRAVE")</f>
        <v>GRAVE</v>
      </c>
    </row>
    <row r="517" spans="2:24" x14ac:dyDescent="0.3">
      <c r="B517" s="9">
        <v>515</v>
      </c>
      <c r="C517" s="49">
        <v>14088</v>
      </c>
      <c r="D517" s="9">
        <f>YEAR(Tabla1[[#This Row],[Date]])</f>
        <v>1938</v>
      </c>
      <c r="E517" s="9" t="str" cm="1">
        <f t="array" ref="E517">IFERROR(_xlfn.IFS(AND(D517&lt;1980,D517&gt;=1970),"70",AND(D517&lt;1990,D517&gt;=1980),"80",AND(D517&lt;2000,D517&gt;=1990),"90",AND(D517&lt;2010,D517&gt;=2000),"00",AND(D517&lt;=2019,D517&gt;=2010),"10"),"1908-1970")</f>
        <v>1908-1970</v>
      </c>
      <c r="F517" s="3" t="s">
        <v>28931</v>
      </c>
      <c r="G517" t="s">
        <v>7241</v>
      </c>
      <c r="H517" t="s">
        <v>5350</v>
      </c>
      <c r="I517" t="s">
        <v>28931</v>
      </c>
      <c r="J517" t="s">
        <v>7242</v>
      </c>
      <c r="K517" t="s">
        <v>7243</v>
      </c>
      <c r="L517" s="7" t="s">
        <v>7244</v>
      </c>
      <c r="M517" t="s">
        <v>7245</v>
      </c>
      <c r="N517">
        <v>4</v>
      </c>
      <c r="O517">
        <v>0</v>
      </c>
      <c r="P517">
        <v>4</v>
      </c>
      <c r="Q517">
        <v>4</v>
      </c>
      <c r="R517">
        <v>0</v>
      </c>
      <c r="S517">
        <v>4</v>
      </c>
      <c r="T517">
        <v>0</v>
      </c>
      <c r="U517" t="s">
        <v>7246</v>
      </c>
      <c r="V517">
        <f>Tabla1[[#This Row],[Aboard]]-Tabla1[[#This Row],[Fatalities]]</f>
        <v>0</v>
      </c>
      <c r="W517" s="50">
        <f>IFERROR(Tabla1[[#This Row],[Fatalities]]/Tabla1[[#This Row],[Aboard]],0)</f>
        <v>1</v>
      </c>
      <c r="X517" s="51" t="str" cm="1">
        <f t="array" ref="X517">_xlfn.IFS(Tabla1[[#This Row],[Porcentaje de muertes]]&lt;0.35,"LEVE",AND(Tabla1[[#This Row],[Porcentaje de muertes]]&gt;0.35,Tabla1[[#This Row],[Porcentaje de muertes]]&lt;0.65),"MEDIO",Tabla1[[#This Row],[Porcentaje de muertes]]&gt;0.65,"GRAVE")</f>
        <v>GRAVE</v>
      </c>
    </row>
    <row r="518" spans="2:24" x14ac:dyDescent="0.3">
      <c r="B518" s="9">
        <v>516</v>
      </c>
      <c r="C518" s="49">
        <v>14090</v>
      </c>
      <c r="D518" s="9">
        <f>YEAR(Tabla1[[#This Row],[Date]])</f>
        <v>1938</v>
      </c>
      <c r="E518" s="9" t="str" cm="1">
        <f t="array" ref="E518">IFERROR(_xlfn.IFS(AND(D518&lt;1980,D518&gt;=1970),"70",AND(D518&lt;1990,D518&gt;=1980),"80",AND(D518&lt;2000,D518&gt;=1990),"90",AND(D518&lt;2010,D518&gt;=2000),"00",AND(D518&lt;=2019,D518&gt;=2010),"10"),"1908-1970")</f>
        <v>1908-1970</v>
      </c>
      <c r="F518" s="3">
        <v>0.17430555555555557</v>
      </c>
      <c r="G518" t="s">
        <v>7247</v>
      </c>
      <c r="H518" t="s">
        <v>7121</v>
      </c>
      <c r="I518">
        <v>229</v>
      </c>
      <c r="J518" t="s">
        <v>7248</v>
      </c>
      <c r="K518" t="s">
        <v>7249</v>
      </c>
      <c r="L518" s="7" t="s">
        <v>7250</v>
      </c>
      <c r="M518">
        <v>556</v>
      </c>
      <c r="N518">
        <v>15</v>
      </c>
      <c r="O518">
        <v>6</v>
      </c>
      <c r="P518">
        <v>9</v>
      </c>
      <c r="Q518">
        <v>15</v>
      </c>
      <c r="R518">
        <v>6</v>
      </c>
      <c r="S518">
        <v>9</v>
      </c>
      <c r="T518">
        <v>0</v>
      </c>
      <c r="U518" t="s">
        <v>7251</v>
      </c>
      <c r="V518">
        <f>Tabla1[[#This Row],[Aboard]]-Tabla1[[#This Row],[Fatalities]]</f>
        <v>0</v>
      </c>
      <c r="W518" s="50">
        <f>IFERROR(Tabla1[[#This Row],[Fatalities]]/Tabla1[[#This Row],[Aboard]],0)</f>
        <v>1</v>
      </c>
      <c r="X518" s="51" t="str" cm="1">
        <f t="array" ref="X518">_xlfn.IFS(Tabla1[[#This Row],[Porcentaje de muertes]]&lt;0.35,"LEVE",AND(Tabla1[[#This Row],[Porcentaje de muertes]]&gt;0.35,Tabla1[[#This Row],[Porcentaje de muertes]]&lt;0.65),"MEDIO",Tabla1[[#This Row],[Porcentaje de muertes]]&gt;0.65,"GRAVE")</f>
        <v>GRAVE</v>
      </c>
    </row>
    <row r="519" spans="2:24" x14ac:dyDescent="0.3">
      <c r="B519" s="9">
        <v>517</v>
      </c>
      <c r="C519" s="49">
        <v>14161</v>
      </c>
      <c r="D519" s="9">
        <f>YEAR(Tabla1[[#This Row],[Date]])</f>
        <v>1938</v>
      </c>
      <c r="E519" s="9" t="str" cm="1">
        <f t="array" ref="E519">IFERROR(_xlfn.IFS(AND(D519&lt;1980,D519&gt;=1970),"70",AND(D519&lt;1990,D519&gt;=1980),"80",AND(D519&lt;2000,D519&gt;=1990),"90",AND(D519&lt;2010,D519&gt;=2000),"00",AND(D519&lt;=2019,D519&gt;=2010),"10"),"1908-1970")</f>
        <v>1908-1970</v>
      </c>
      <c r="F519" s="3" t="s">
        <v>28931</v>
      </c>
      <c r="G519" t="s">
        <v>7252</v>
      </c>
      <c r="H519" t="s">
        <v>7253</v>
      </c>
      <c r="I519" t="s">
        <v>28931</v>
      </c>
      <c r="J519" t="s">
        <v>28931</v>
      </c>
      <c r="K519" t="s">
        <v>7254</v>
      </c>
      <c r="L519" s="7" t="s">
        <v>7255</v>
      </c>
      <c r="M519">
        <v>4053</v>
      </c>
      <c r="N519">
        <v>12</v>
      </c>
      <c r="O519">
        <v>10</v>
      </c>
      <c r="P519">
        <v>2</v>
      </c>
      <c r="Q519">
        <v>12</v>
      </c>
      <c r="R519">
        <v>10</v>
      </c>
      <c r="S519">
        <v>2</v>
      </c>
      <c r="T519">
        <v>0</v>
      </c>
      <c r="U519" t="s">
        <v>7256</v>
      </c>
      <c r="V519">
        <f>Tabla1[[#This Row],[Aboard]]-Tabla1[[#This Row],[Fatalities]]</f>
        <v>0</v>
      </c>
      <c r="W519" s="50">
        <f>IFERROR(Tabla1[[#This Row],[Fatalities]]/Tabla1[[#This Row],[Aboard]],0)</f>
        <v>1</v>
      </c>
      <c r="X519" s="51" t="str" cm="1">
        <f t="array" ref="X519">_xlfn.IFS(Tabla1[[#This Row],[Porcentaje de muertes]]&lt;0.35,"LEVE",AND(Tabla1[[#This Row],[Porcentaje de muertes]]&gt;0.35,Tabla1[[#This Row],[Porcentaje de muertes]]&lt;0.65),"MEDIO",Tabla1[[#This Row],[Porcentaje de muertes]]&gt;0.65,"GRAVE")</f>
        <v>GRAVE</v>
      </c>
    </row>
    <row r="520" spans="2:24" x14ac:dyDescent="0.3">
      <c r="B520" s="9">
        <v>518</v>
      </c>
      <c r="C520" s="49">
        <v>14161</v>
      </c>
      <c r="D520" s="9">
        <f>YEAR(Tabla1[[#This Row],[Date]])</f>
        <v>1938</v>
      </c>
      <c r="E520" s="9" t="str" cm="1">
        <f t="array" ref="E520">IFERROR(_xlfn.IFS(AND(D520&lt;1980,D520&gt;=1970),"70",AND(D520&lt;1990,D520&gt;=1980),"80",AND(D520&lt;2000,D520&gt;=1990),"90",AND(D520&lt;2010,D520&gt;=2000),"00",AND(D520&lt;=2019,D520&gt;=2010),"10"),"1908-1970")</f>
        <v>1908-1970</v>
      </c>
      <c r="F520" s="3" t="s">
        <v>28931</v>
      </c>
      <c r="G520" t="s">
        <v>7257</v>
      </c>
      <c r="H520" t="s">
        <v>7258</v>
      </c>
      <c r="I520" t="s">
        <v>28931</v>
      </c>
      <c r="J520" t="s">
        <v>28931</v>
      </c>
      <c r="K520" t="s">
        <v>7259</v>
      </c>
      <c r="L520" s="7" t="s">
        <v>7260</v>
      </c>
      <c r="M520">
        <v>1</v>
      </c>
      <c r="N520">
        <v>6</v>
      </c>
      <c r="O520">
        <v>3</v>
      </c>
      <c r="P520">
        <v>3</v>
      </c>
      <c r="Q520">
        <v>6</v>
      </c>
      <c r="R520">
        <v>3</v>
      </c>
      <c r="S520">
        <v>3</v>
      </c>
      <c r="T520">
        <v>0</v>
      </c>
      <c r="U520" t="s">
        <v>7261</v>
      </c>
      <c r="V520">
        <f>Tabla1[[#This Row],[Aboard]]-Tabla1[[#This Row],[Fatalities]]</f>
        <v>0</v>
      </c>
      <c r="W520" s="50">
        <f>IFERROR(Tabla1[[#This Row],[Fatalities]]/Tabla1[[#This Row],[Aboard]],0)</f>
        <v>1</v>
      </c>
      <c r="X520" s="51" t="str" cm="1">
        <f t="array" ref="X520">_xlfn.IFS(Tabla1[[#This Row],[Porcentaje de muertes]]&lt;0.35,"LEVE",AND(Tabla1[[#This Row],[Porcentaje de muertes]]&gt;0.35,Tabla1[[#This Row],[Porcentaje de muertes]]&lt;0.65),"MEDIO",Tabla1[[#This Row],[Porcentaje de muertes]]&gt;0.65,"GRAVE")</f>
        <v>GRAVE</v>
      </c>
    </row>
    <row r="521" spans="2:24" x14ac:dyDescent="0.3">
      <c r="B521" s="9">
        <v>519</v>
      </c>
      <c r="C521" s="49">
        <v>14222</v>
      </c>
      <c r="D521" s="9">
        <f>YEAR(Tabla1[[#This Row],[Date]])</f>
        <v>1938</v>
      </c>
      <c r="E521" s="9" t="str" cm="1">
        <f t="array" ref="E521">IFERROR(_xlfn.IFS(AND(D521&lt;1980,D521&gt;=1970),"70",AND(D521&lt;1990,D521&gt;=1980),"80",AND(D521&lt;2000,D521&gt;=1990),"90",AND(D521&lt;2010,D521&gt;=2000),"00",AND(D521&lt;=2019,D521&gt;=2010),"10"),"1908-1970")</f>
        <v>1908-1970</v>
      </c>
      <c r="F521" s="3">
        <v>0.52083333333333337</v>
      </c>
      <c r="G521" t="s">
        <v>7262</v>
      </c>
      <c r="H521" t="s">
        <v>5740</v>
      </c>
      <c r="I521" t="s">
        <v>28931</v>
      </c>
      <c r="J521" t="s">
        <v>7263</v>
      </c>
      <c r="K521" t="s">
        <v>6956</v>
      </c>
      <c r="L521" s="7" t="s">
        <v>7264</v>
      </c>
      <c r="M521">
        <v>1043</v>
      </c>
      <c r="N521">
        <v>11</v>
      </c>
      <c r="O521">
        <v>8</v>
      </c>
      <c r="P521">
        <v>3</v>
      </c>
      <c r="Q521">
        <v>11</v>
      </c>
      <c r="R521">
        <v>8</v>
      </c>
      <c r="S521">
        <v>3</v>
      </c>
      <c r="T521">
        <v>0</v>
      </c>
      <c r="U521" t="s">
        <v>7265</v>
      </c>
      <c r="V521">
        <f>Tabla1[[#This Row],[Aboard]]-Tabla1[[#This Row],[Fatalities]]</f>
        <v>0</v>
      </c>
      <c r="W521" s="50">
        <f>IFERROR(Tabla1[[#This Row],[Fatalities]]/Tabla1[[#This Row],[Aboard]],0)</f>
        <v>1</v>
      </c>
      <c r="X521" s="51" t="str" cm="1">
        <f t="array" ref="X521">_xlfn.IFS(Tabla1[[#This Row],[Porcentaje de muertes]]&lt;0.35,"LEVE",AND(Tabla1[[#This Row],[Porcentaje de muertes]]&gt;0.35,Tabla1[[#This Row],[Porcentaje de muertes]]&lt;0.65),"MEDIO",Tabla1[[#This Row],[Porcentaje de muertes]]&gt;0.65,"GRAVE")</f>
        <v>GRAVE</v>
      </c>
    </row>
    <row r="522" spans="2:24" x14ac:dyDescent="0.3">
      <c r="B522" s="9">
        <v>520</v>
      </c>
      <c r="C522" s="49">
        <v>14105</v>
      </c>
      <c r="D522" s="9">
        <f>YEAR(Tabla1[[#This Row],[Date]])</f>
        <v>1938</v>
      </c>
      <c r="E522" s="9" t="str" cm="1">
        <f t="array" ref="E522">IFERROR(_xlfn.IFS(AND(D522&lt;1980,D522&gt;=1970),"70",AND(D522&lt;1990,D522&gt;=1980),"80",AND(D522&lt;2000,D522&gt;=1990),"90",AND(D522&lt;2010,D522&gt;=2000),"00",AND(D522&lt;=2019,D522&gt;=2010),"10"),"1908-1970")</f>
        <v>1908-1970</v>
      </c>
      <c r="F522" s="3">
        <v>0.45833333333333331</v>
      </c>
      <c r="G522" t="s">
        <v>7266</v>
      </c>
      <c r="H522" t="s">
        <v>7267</v>
      </c>
      <c r="I522" t="s">
        <v>28931</v>
      </c>
      <c r="J522" t="s">
        <v>7268</v>
      </c>
      <c r="K522" t="s">
        <v>6728</v>
      </c>
      <c r="L522" s="7" t="s">
        <v>7269</v>
      </c>
      <c r="M522">
        <v>30040</v>
      </c>
      <c r="N522">
        <v>17</v>
      </c>
      <c r="O522">
        <v>14</v>
      </c>
      <c r="P522">
        <v>3</v>
      </c>
      <c r="Q522">
        <v>16</v>
      </c>
      <c r="R522">
        <v>13</v>
      </c>
      <c r="S522">
        <v>3</v>
      </c>
      <c r="T522">
        <v>0</v>
      </c>
      <c r="U522" t="s">
        <v>7270</v>
      </c>
      <c r="V522">
        <f>Tabla1[[#This Row],[Aboard]]-Tabla1[[#This Row],[Fatalities]]</f>
        <v>1</v>
      </c>
      <c r="W522" s="50">
        <f>IFERROR(Tabla1[[#This Row],[Fatalities]]/Tabla1[[#This Row],[Aboard]],0)</f>
        <v>0.94117647058823528</v>
      </c>
      <c r="X522" s="51" t="str" cm="1">
        <f t="array" ref="X522">_xlfn.IFS(Tabla1[[#This Row],[Porcentaje de muertes]]&lt;0.35,"LEVE",AND(Tabla1[[#This Row],[Porcentaje de muertes]]&gt;0.35,Tabla1[[#This Row],[Porcentaje de muertes]]&lt;0.65),"MEDIO",Tabla1[[#This Row],[Porcentaje de muertes]]&gt;0.65,"GRAVE")</f>
        <v>GRAVE</v>
      </c>
    </row>
    <row r="523" spans="2:24" x14ac:dyDescent="0.3">
      <c r="B523" s="9">
        <v>521</v>
      </c>
      <c r="C523" s="49">
        <v>14107</v>
      </c>
      <c r="D523" s="9">
        <f>YEAR(Tabla1[[#This Row],[Date]])</f>
        <v>1938</v>
      </c>
      <c r="E523" s="9" t="str" cm="1">
        <f t="array" ref="E523">IFERROR(_xlfn.IFS(AND(D523&lt;1980,D523&gt;=1970),"70",AND(D523&lt;1990,D523&gt;=1980),"80",AND(D523&lt;2000,D523&gt;=1990),"90",AND(D523&lt;2010,D523&gt;=2000),"00",AND(D523&lt;=2019,D523&gt;=2010),"10"),"1908-1970")</f>
        <v>1908-1970</v>
      </c>
      <c r="F523" s="3" t="s">
        <v>28931</v>
      </c>
      <c r="G523" t="s">
        <v>7271</v>
      </c>
      <c r="H523" t="s">
        <v>5673</v>
      </c>
      <c r="I523" t="s">
        <v>28931</v>
      </c>
      <c r="J523" t="s">
        <v>7272</v>
      </c>
      <c r="K523" t="s">
        <v>6555</v>
      </c>
      <c r="L523" s="7" t="s">
        <v>7273</v>
      </c>
      <c r="M523">
        <v>4024</v>
      </c>
      <c r="N523">
        <v>9</v>
      </c>
      <c r="O523">
        <v>5</v>
      </c>
      <c r="P523">
        <v>4</v>
      </c>
      <c r="Q523">
        <v>9</v>
      </c>
      <c r="R523">
        <v>5</v>
      </c>
      <c r="S523">
        <v>4</v>
      </c>
      <c r="T523">
        <v>0</v>
      </c>
      <c r="U523" t="s">
        <v>7274</v>
      </c>
      <c r="V523">
        <f>Tabla1[[#This Row],[Aboard]]-Tabla1[[#This Row],[Fatalities]]</f>
        <v>0</v>
      </c>
      <c r="W523" s="50">
        <f>IFERROR(Tabla1[[#This Row],[Fatalities]]/Tabla1[[#This Row],[Aboard]],0)</f>
        <v>1</v>
      </c>
      <c r="X523" s="51" t="str" cm="1">
        <f t="array" ref="X523">_xlfn.IFS(Tabla1[[#This Row],[Porcentaje de muertes]]&lt;0.35,"LEVE",AND(Tabla1[[#This Row],[Porcentaje de muertes]]&gt;0.35,Tabla1[[#This Row],[Porcentaje de muertes]]&lt;0.65),"MEDIO",Tabla1[[#This Row],[Porcentaje de muertes]]&gt;0.65,"GRAVE")</f>
        <v>GRAVE</v>
      </c>
    </row>
    <row r="524" spans="2:24" x14ac:dyDescent="0.3">
      <c r="B524" s="9">
        <v>522</v>
      </c>
      <c r="C524" s="49">
        <v>14110</v>
      </c>
      <c r="D524" s="9">
        <f>YEAR(Tabla1[[#This Row],[Date]])</f>
        <v>1938</v>
      </c>
      <c r="E524" s="9" t="str" cm="1">
        <f t="array" ref="E524">IFERROR(_xlfn.IFS(AND(D524&lt;1980,D524&gt;=1970),"70",AND(D524&lt;1990,D524&gt;=1980),"80",AND(D524&lt;2000,D524&gt;=1990),"90",AND(D524&lt;2010,D524&gt;=2000),"00",AND(D524&lt;=2019,D524&gt;=2010),"10"),"1908-1970")</f>
        <v>1908-1970</v>
      </c>
      <c r="F524" s="3" t="s">
        <v>28931</v>
      </c>
      <c r="G524" t="s">
        <v>5303</v>
      </c>
      <c r="H524" t="s">
        <v>7237</v>
      </c>
      <c r="I524" t="s">
        <v>28931</v>
      </c>
      <c r="J524" t="s">
        <v>28931</v>
      </c>
      <c r="K524" t="s">
        <v>7226</v>
      </c>
      <c r="L524" s="7" t="s">
        <v>7275</v>
      </c>
      <c r="M524">
        <v>1424</v>
      </c>
      <c r="N524">
        <v>7</v>
      </c>
      <c r="O524">
        <v>4</v>
      </c>
      <c r="P524">
        <v>3</v>
      </c>
      <c r="Q524">
        <v>0</v>
      </c>
      <c r="R524">
        <v>0</v>
      </c>
      <c r="S524">
        <v>0</v>
      </c>
      <c r="T524">
        <v>0</v>
      </c>
      <c r="U524" t="s">
        <v>7276</v>
      </c>
      <c r="V524">
        <f>Tabla1[[#This Row],[Aboard]]-Tabla1[[#This Row],[Fatalities]]</f>
        <v>7</v>
      </c>
      <c r="W524" s="50">
        <f>IFERROR(Tabla1[[#This Row],[Fatalities]]/Tabla1[[#This Row],[Aboard]],0)</f>
        <v>0</v>
      </c>
      <c r="X524" s="51" t="str" cm="1">
        <f t="array" ref="X524">_xlfn.IFS(Tabla1[[#This Row],[Porcentaje de muertes]]&lt;0.35,"LEVE",AND(Tabla1[[#This Row],[Porcentaje de muertes]]&gt;0.35,Tabla1[[#This Row],[Porcentaje de muertes]]&lt;0.65),"MEDIO",Tabla1[[#This Row],[Porcentaje de muertes]]&gt;0.65,"GRAVE")</f>
        <v>LEVE</v>
      </c>
    </row>
    <row r="525" spans="2:24" x14ac:dyDescent="0.3">
      <c r="B525" s="9">
        <v>523</v>
      </c>
      <c r="C525" s="49">
        <v>14110</v>
      </c>
      <c r="D525" s="9">
        <f>YEAR(Tabla1[[#This Row],[Date]])</f>
        <v>1938</v>
      </c>
      <c r="E525" s="9" t="str" cm="1">
        <f t="array" ref="E525">IFERROR(_xlfn.IFS(AND(D525&lt;1980,D525&gt;=1970),"70",AND(D525&lt;1990,D525&gt;=1980),"80",AND(D525&lt;2000,D525&gt;=1990),"90",AND(D525&lt;2010,D525&gt;=2000),"00",AND(D525&lt;=2019,D525&gt;=2010),"10"),"1908-1970")</f>
        <v>1908-1970</v>
      </c>
      <c r="F525" s="3">
        <v>0.70833333333333337</v>
      </c>
      <c r="G525" t="s">
        <v>7277</v>
      </c>
      <c r="H525" t="s">
        <v>7278</v>
      </c>
      <c r="I525" t="s">
        <v>28931</v>
      </c>
      <c r="J525" t="s">
        <v>5028</v>
      </c>
      <c r="K525" t="s">
        <v>7279</v>
      </c>
      <c r="L525" s="7" t="s">
        <v>7280</v>
      </c>
      <c r="M525">
        <v>94001</v>
      </c>
      <c r="N525">
        <v>15</v>
      </c>
      <c r="O525">
        <v>13</v>
      </c>
      <c r="P525">
        <v>2</v>
      </c>
      <c r="Q525">
        <v>15</v>
      </c>
      <c r="R525">
        <v>13</v>
      </c>
      <c r="S525">
        <v>2</v>
      </c>
      <c r="T525">
        <v>0</v>
      </c>
      <c r="U525" t="s">
        <v>7281</v>
      </c>
      <c r="V525">
        <f>Tabla1[[#This Row],[Aboard]]-Tabla1[[#This Row],[Fatalities]]</f>
        <v>0</v>
      </c>
      <c r="W525" s="50">
        <f>IFERROR(Tabla1[[#This Row],[Fatalities]]/Tabla1[[#This Row],[Aboard]],0)</f>
        <v>1</v>
      </c>
      <c r="X525" s="51" t="str" cm="1">
        <f t="array" ref="X525">_xlfn.IFS(Tabla1[[#This Row],[Porcentaje de muertes]]&lt;0.35,"LEVE",AND(Tabla1[[#This Row],[Porcentaje de muertes]]&gt;0.35,Tabla1[[#This Row],[Porcentaje de muertes]]&lt;0.65),"MEDIO",Tabla1[[#This Row],[Porcentaje de muertes]]&gt;0.65,"GRAVE")</f>
        <v>GRAVE</v>
      </c>
    </row>
    <row r="526" spans="2:24" x14ac:dyDescent="0.3">
      <c r="B526" s="9">
        <v>524</v>
      </c>
      <c r="C526" s="49">
        <v>14116</v>
      </c>
      <c r="D526" s="9">
        <f>YEAR(Tabla1[[#This Row],[Date]])</f>
        <v>1938</v>
      </c>
      <c r="E526" s="9" t="str" cm="1">
        <f t="array" ref="E526">IFERROR(_xlfn.IFS(AND(D526&lt;1980,D526&gt;=1970),"70",AND(D526&lt;1990,D526&gt;=1980),"80",AND(D526&lt;2000,D526&gt;=1990),"90",AND(D526&lt;2010,D526&gt;=2000),"00",AND(D526&lt;=2019,D526&gt;=2010),"10"),"1908-1970")</f>
        <v>1908-1970</v>
      </c>
      <c r="F526" s="3">
        <v>0.33333333333333331</v>
      </c>
      <c r="G526" t="s">
        <v>7282</v>
      </c>
      <c r="H526" t="s">
        <v>6010</v>
      </c>
      <c r="I526" t="s">
        <v>28931</v>
      </c>
      <c r="J526" t="s">
        <v>7283</v>
      </c>
      <c r="K526" t="s">
        <v>6635</v>
      </c>
      <c r="L526" s="7">
        <v>32</v>
      </c>
      <c r="M526">
        <v>1369</v>
      </c>
      <c r="N526">
        <v>17</v>
      </c>
      <c r="O526">
        <v>13</v>
      </c>
      <c r="P526">
        <v>4</v>
      </c>
      <c r="Q526">
        <v>14</v>
      </c>
      <c r="R526">
        <v>12</v>
      </c>
      <c r="S526">
        <v>2</v>
      </c>
      <c r="T526">
        <v>0</v>
      </c>
      <c r="U526" t="s">
        <v>7284</v>
      </c>
      <c r="V526">
        <f>Tabla1[[#This Row],[Aboard]]-Tabla1[[#This Row],[Fatalities]]</f>
        <v>3</v>
      </c>
      <c r="W526" s="50">
        <f>IFERROR(Tabla1[[#This Row],[Fatalities]]/Tabla1[[#This Row],[Aboard]],0)</f>
        <v>0.82352941176470584</v>
      </c>
      <c r="X526" s="51" t="str" cm="1">
        <f t="array" ref="X526">_xlfn.IFS(Tabla1[[#This Row],[Porcentaje de muertes]]&lt;0.35,"LEVE",AND(Tabla1[[#This Row],[Porcentaje de muertes]]&gt;0.35,Tabla1[[#This Row],[Porcentaje de muertes]]&lt;0.65),"MEDIO",Tabla1[[#This Row],[Porcentaje de muertes]]&gt;0.65,"GRAVE")</f>
        <v>GRAVE</v>
      </c>
    </row>
    <row r="527" spans="2:24" x14ac:dyDescent="0.3">
      <c r="B527" s="9">
        <v>525</v>
      </c>
      <c r="C527" s="49">
        <v>14116</v>
      </c>
      <c r="D527" s="9">
        <f>YEAR(Tabla1[[#This Row],[Date]])</f>
        <v>1938</v>
      </c>
      <c r="E527" s="9" t="str" cm="1">
        <f t="array" ref="E527">IFERROR(_xlfn.IFS(AND(D527&lt;1980,D527&gt;=1970),"70",AND(D527&lt;1990,D527&gt;=1980),"80",AND(D527&lt;2000,D527&gt;=1990),"90",AND(D527&lt;2010,D527&gt;=2000),"00",AND(D527&lt;=2019,D527&gt;=2010),"10"),"1908-1970")</f>
        <v>1908-1970</v>
      </c>
      <c r="F527" s="3" t="s">
        <v>28931</v>
      </c>
      <c r="G527" t="s">
        <v>7285</v>
      </c>
      <c r="H527" t="s">
        <v>7286</v>
      </c>
      <c r="I527" t="s">
        <v>28931</v>
      </c>
      <c r="J527" t="s">
        <v>28931</v>
      </c>
      <c r="K527" t="s">
        <v>7287</v>
      </c>
      <c r="L527" s="7" t="s">
        <v>28931</v>
      </c>
      <c r="M527" t="s">
        <v>28931</v>
      </c>
      <c r="N527">
        <v>5</v>
      </c>
      <c r="O527" t="s">
        <v>5038</v>
      </c>
      <c r="P527" t="s">
        <v>5038</v>
      </c>
      <c r="Q527">
        <v>5</v>
      </c>
      <c r="R527" t="s">
        <v>5038</v>
      </c>
      <c r="S527" t="s">
        <v>5038</v>
      </c>
      <c r="T527">
        <v>53</v>
      </c>
      <c r="U527" t="s">
        <v>7288</v>
      </c>
      <c r="V527">
        <f>Tabla1[[#This Row],[Aboard]]-Tabla1[[#This Row],[Fatalities]]</f>
        <v>0</v>
      </c>
      <c r="W527" s="50">
        <f>IFERROR(Tabla1[[#This Row],[Fatalities]]/Tabla1[[#This Row],[Aboard]],0)</f>
        <v>1</v>
      </c>
      <c r="X527" s="51" t="str" cm="1">
        <f t="array" ref="X527">_xlfn.IFS(Tabla1[[#This Row],[Porcentaje de muertes]]&lt;0.35,"LEVE",AND(Tabla1[[#This Row],[Porcentaje de muertes]]&gt;0.35,Tabla1[[#This Row],[Porcentaje de muertes]]&lt;0.65),"MEDIO",Tabla1[[#This Row],[Porcentaje de muertes]]&gt;0.65,"GRAVE")</f>
        <v>GRAVE</v>
      </c>
    </row>
    <row r="528" spans="2:24" x14ac:dyDescent="0.3">
      <c r="B528" s="9">
        <v>526</v>
      </c>
      <c r="C528" s="49">
        <v>14121</v>
      </c>
      <c r="D528" s="9">
        <f>YEAR(Tabla1[[#This Row],[Date]])</f>
        <v>1938</v>
      </c>
      <c r="E528" s="9" t="str" cm="1">
        <f t="array" ref="E528">IFERROR(_xlfn.IFS(AND(D528&lt;1980,D528&gt;=1970),"70",AND(D528&lt;1990,D528&gt;=1980),"80",AND(D528&lt;2000,D528&gt;=1990),"90",AND(D528&lt;2010,D528&gt;=2000),"00",AND(D528&lt;=2019,D528&gt;=2010),"10"),"1908-1970")</f>
        <v>1908-1970</v>
      </c>
      <c r="F528" s="3">
        <v>0.95833333333333337</v>
      </c>
      <c r="G528" t="s">
        <v>7289</v>
      </c>
      <c r="H528" t="s">
        <v>7290</v>
      </c>
      <c r="I528" t="s">
        <v>28931</v>
      </c>
      <c r="J528" t="s">
        <v>7291</v>
      </c>
      <c r="K528" t="s">
        <v>7292</v>
      </c>
      <c r="L528" s="7" t="s">
        <v>7293</v>
      </c>
      <c r="M528">
        <v>410</v>
      </c>
      <c r="N528">
        <v>11</v>
      </c>
      <c r="O528">
        <v>8</v>
      </c>
      <c r="P528">
        <v>3</v>
      </c>
      <c r="Q528">
        <v>0</v>
      </c>
      <c r="R528">
        <v>0</v>
      </c>
      <c r="S528">
        <v>0</v>
      </c>
      <c r="T528">
        <v>0</v>
      </c>
      <c r="U528" t="s">
        <v>7294</v>
      </c>
      <c r="V528">
        <f>Tabla1[[#This Row],[Aboard]]-Tabla1[[#This Row],[Fatalities]]</f>
        <v>11</v>
      </c>
      <c r="W528" s="50">
        <f>IFERROR(Tabla1[[#This Row],[Fatalities]]/Tabla1[[#This Row],[Aboard]],0)</f>
        <v>0</v>
      </c>
      <c r="X528" s="51" t="str" cm="1">
        <f t="array" ref="X528">_xlfn.IFS(Tabla1[[#This Row],[Porcentaje de muertes]]&lt;0.35,"LEVE",AND(Tabla1[[#This Row],[Porcentaje de muertes]]&gt;0.35,Tabla1[[#This Row],[Porcentaje de muertes]]&lt;0.65),"MEDIO",Tabla1[[#This Row],[Porcentaje de muertes]]&gt;0.65,"GRAVE")</f>
        <v>LEVE</v>
      </c>
    </row>
    <row r="529" spans="2:24" x14ac:dyDescent="0.3">
      <c r="B529" s="9">
        <v>527</v>
      </c>
      <c r="C529" s="49">
        <v>14121</v>
      </c>
      <c r="D529" s="9">
        <f>YEAR(Tabla1[[#This Row],[Date]])</f>
        <v>1938</v>
      </c>
      <c r="E529" s="9" t="str" cm="1">
        <f t="array" ref="E529">IFERROR(_xlfn.IFS(AND(D529&lt;1980,D529&gt;=1970),"70",AND(D529&lt;1990,D529&gt;=1980),"80",AND(D529&lt;2000,D529&gt;=1990),"90",AND(D529&lt;2010,D529&gt;=2000),"00",AND(D529&lt;=2019,D529&gt;=2010),"10"),"1908-1970")</f>
        <v>1908-1970</v>
      </c>
      <c r="F529" s="3">
        <v>0.39583333333333331</v>
      </c>
      <c r="G529" t="s">
        <v>7295</v>
      </c>
      <c r="H529" t="s">
        <v>7296</v>
      </c>
      <c r="I529" t="s">
        <v>28931</v>
      </c>
      <c r="J529" t="s">
        <v>7297</v>
      </c>
      <c r="K529" t="s">
        <v>7298</v>
      </c>
      <c r="L529" s="7" t="s">
        <v>7299</v>
      </c>
      <c r="M529">
        <v>6053</v>
      </c>
      <c r="N529">
        <v>9</v>
      </c>
      <c r="O529">
        <v>8</v>
      </c>
      <c r="P529">
        <v>1</v>
      </c>
      <c r="Q529">
        <v>5</v>
      </c>
      <c r="R529">
        <v>4</v>
      </c>
      <c r="S529">
        <v>1</v>
      </c>
      <c r="T529">
        <v>0</v>
      </c>
      <c r="U529" t="s">
        <v>7300</v>
      </c>
      <c r="V529">
        <f>Tabla1[[#This Row],[Aboard]]-Tabla1[[#This Row],[Fatalities]]</f>
        <v>4</v>
      </c>
      <c r="W529" s="50">
        <f>IFERROR(Tabla1[[#This Row],[Fatalities]]/Tabla1[[#This Row],[Aboard]],0)</f>
        <v>0.55555555555555558</v>
      </c>
      <c r="X529" s="51" t="str" cm="1">
        <f t="array" ref="X529">_xlfn.IFS(Tabla1[[#This Row],[Porcentaje de muertes]]&lt;0.35,"LEVE",AND(Tabla1[[#This Row],[Porcentaje de muertes]]&gt;0.35,Tabla1[[#This Row],[Porcentaje de muertes]]&lt;0.65),"MEDIO",Tabla1[[#This Row],[Porcentaje de muertes]]&gt;0.65,"GRAVE")</f>
        <v>MEDIO</v>
      </c>
    </row>
    <row r="530" spans="2:24" x14ac:dyDescent="0.3">
      <c r="B530" s="9">
        <v>528</v>
      </c>
      <c r="C530" s="49">
        <v>13890</v>
      </c>
      <c r="D530" s="9">
        <f>YEAR(Tabla1[[#This Row],[Date]])</f>
        <v>1938</v>
      </c>
      <c r="E530" s="9" t="str" cm="1">
        <f t="array" ref="E530">IFERROR(_xlfn.IFS(AND(D530&lt;1980,D530&gt;=1970),"70",AND(D530&lt;1990,D530&gt;=1980),"80",AND(D530&lt;2000,D530&gt;=1990),"90",AND(D530&lt;2010,D530&gt;=2000),"00",AND(D530&lt;=2019,D530&gt;=2010),"10"),"1908-1970")</f>
        <v>1908-1970</v>
      </c>
      <c r="F530" s="3" t="s">
        <v>28931</v>
      </c>
      <c r="G530" t="s">
        <v>7301</v>
      </c>
      <c r="H530" t="s">
        <v>5417</v>
      </c>
      <c r="I530" t="s">
        <v>28931</v>
      </c>
      <c r="J530" t="s">
        <v>7302</v>
      </c>
      <c r="K530" t="s">
        <v>7303</v>
      </c>
      <c r="L530" s="7" t="s">
        <v>7304</v>
      </c>
      <c r="M530">
        <v>255</v>
      </c>
      <c r="N530">
        <v>4</v>
      </c>
      <c r="O530">
        <v>0</v>
      </c>
      <c r="P530">
        <v>4</v>
      </c>
      <c r="Q530">
        <v>4</v>
      </c>
      <c r="R530">
        <v>0</v>
      </c>
      <c r="S530">
        <v>4</v>
      </c>
      <c r="T530">
        <v>0</v>
      </c>
      <c r="U530" t="s">
        <v>7305</v>
      </c>
      <c r="V530">
        <f>Tabla1[[#This Row],[Aboard]]-Tabla1[[#This Row],[Fatalities]]</f>
        <v>0</v>
      </c>
      <c r="W530" s="50">
        <f>IFERROR(Tabla1[[#This Row],[Fatalities]]/Tabla1[[#This Row],[Aboard]],0)</f>
        <v>1</v>
      </c>
      <c r="X530" s="51" t="str" cm="1">
        <f t="array" ref="X530">_xlfn.IFS(Tabla1[[#This Row],[Porcentaje de muertes]]&lt;0.35,"LEVE",AND(Tabla1[[#This Row],[Porcentaje de muertes]]&gt;0.35,Tabla1[[#This Row],[Porcentaje de muertes]]&lt;0.65),"MEDIO",Tabla1[[#This Row],[Porcentaje de muertes]]&gt;0.65,"GRAVE")</f>
        <v>GRAVE</v>
      </c>
    </row>
    <row r="531" spans="2:24" x14ac:dyDescent="0.3">
      <c r="B531" s="9">
        <v>529</v>
      </c>
      <c r="C531" s="49">
        <v>13890</v>
      </c>
      <c r="D531" s="9">
        <f>YEAR(Tabla1[[#This Row],[Date]])</f>
        <v>1938</v>
      </c>
      <c r="E531" s="9" t="str" cm="1">
        <f t="array" ref="E531">IFERROR(_xlfn.IFS(AND(D531&lt;1980,D531&gt;=1970),"70",AND(D531&lt;1990,D531&gt;=1980),"80",AND(D531&lt;2000,D531&gt;=1990),"90",AND(D531&lt;2010,D531&gt;=2000),"00",AND(D531&lt;=2019,D531&gt;=2010),"10"),"1908-1970")</f>
        <v>1908-1970</v>
      </c>
      <c r="F531" s="3" t="s">
        <v>28931</v>
      </c>
      <c r="G531" t="s">
        <v>7306</v>
      </c>
      <c r="H531" t="s">
        <v>5417</v>
      </c>
      <c r="I531" t="s">
        <v>28931</v>
      </c>
      <c r="J531" t="s">
        <v>7302</v>
      </c>
      <c r="K531" t="s">
        <v>6555</v>
      </c>
      <c r="L531" s="7" t="s">
        <v>7307</v>
      </c>
      <c r="M531">
        <v>5928</v>
      </c>
      <c r="N531">
        <v>13</v>
      </c>
      <c r="O531">
        <v>10</v>
      </c>
      <c r="P531">
        <v>3</v>
      </c>
      <c r="Q531">
        <v>13</v>
      </c>
      <c r="R531">
        <v>10</v>
      </c>
      <c r="S531">
        <v>3</v>
      </c>
      <c r="T531">
        <v>0</v>
      </c>
      <c r="U531" t="s">
        <v>7308</v>
      </c>
      <c r="V531">
        <f>Tabla1[[#This Row],[Aboard]]-Tabla1[[#This Row],[Fatalities]]</f>
        <v>0</v>
      </c>
      <c r="W531" s="50">
        <f>IFERROR(Tabla1[[#This Row],[Fatalities]]/Tabla1[[#This Row],[Aboard]],0)</f>
        <v>1</v>
      </c>
      <c r="X531" s="51" t="str" cm="1">
        <f t="array" ref="X531">_xlfn.IFS(Tabla1[[#This Row],[Porcentaje de muertes]]&lt;0.35,"LEVE",AND(Tabla1[[#This Row],[Porcentaje de muertes]]&gt;0.35,Tabla1[[#This Row],[Porcentaje de muertes]]&lt;0.65),"MEDIO",Tabla1[[#This Row],[Porcentaje de muertes]]&gt;0.65,"GRAVE")</f>
        <v>GRAVE</v>
      </c>
    </row>
    <row r="532" spans="2:24" x14ac:dyDescent="0.3">
      <c r="B532" s="9">
        <v>530</v>
      </c>
      <c r="C532" s="49">
        <v>14163</v>
      </c>
      <c r="D532" s="9">
        <f>YEAR(Tabla1[[#This Row],[Date]])</f>
        <v>1938</v>
      </c>
      <c r="E532" s="9" t="str" cm="1">
        <f t="array" ref="E532">IFERROR(_xlfn.IFS(AND(D532&lt;1980,D532&gt;=1970),"70",AND(D532&lt;1990,D532&gt;=1980),"80",AND(D532&lt;2000,D532&gt;=1990),"90",AND(D532&lt;2010,D532&gt;=2000),"00",AND(D532&lt;=2019,D532&gt;=2010),"10"),"1908-1970")</f>
        <v>1908-1970</v>
      </c>
      <c r="F532" s="3">
        <v>0.45833333333333331</v>
      </c>
      <c r="G532" t="s">
        <v>7309</v>
      </c>
      <c r="H532" t="s">
        <v>5957</v>
      </c>
      <c r="I532" t="s">
        <v>28931</v>
      </c>
      <c r="J532" t="s">
        <v>7310</v>
      </c>
      <c r="K532" t="s">
        <v>28959</v>
      </c>
      <c r="L532" s="7" t="s">
        <v>7311</v>
      </c>
      <c r="M532">
        <v>4</v>
      </c>
      <c r="N532">
        <v>20</v>
      </c>
      <c r="O532">
        <v>16</v>
      </c>
      <c r="P532">
        <v>4</v>
      </c>
      <c r="Q532">
        <v>20</v>
      </c>
      <c r="R532">
        <v>16</v>
      </c>
      <c r="S532">
        <v>4</v>
      </c>
      <c r="T532">
        <v>0</v>
      </c>
      <c r="U532" t="s">
        <v>7312</v>
      </c>
      <c r="V532">
        <f>Tabla1[[#This Row],[Aboard]]-Tabla1[[#This Row],[Fatalities]]</f>
        <v>0</v>
      </c>
      <c r="W532" s="50">
        <f>IFERROR(Tabla1[[#This Row],[Fatalities]]/Tabla1[[#This Row],[Aboard]],0)</f>
        <v>1</v>
      </c>
      <c r="X532" s="51" t="str" cm="1">
        <f t="array" ref="X532">_xlfn.IFS(Tabla1[[#This Row],[Porcentaje de muertes]]&lt;0.35,"LEVE",AND(Tabla1[[#This Row],[Porcentaje de muertes]]&gt;0.35,Tabla1[[#This Row],[Porcentaje de muertes]]&lt;0.65),"MEDIO",Tabla1[[#This Row],[Porcentaje de muertes]]&gt;0.65,"GRAVE")</f>
        <v>GRAVE</v>
      </c>
    </row>
    <row r="533" spans="2:24" x14ac:dyDescent="0.3">
      <c r="B533" s="9">
        <v>531</v>
      </c>
      <c r="C533" s="49">
        <v>14178</v>
      </c>
      <c r="D533" s="9">
        <f>YEAR(Tabla1[[#This Row],[Date]])</f>
        <v>1938</v>
      </c>
      <c r="E533" s="9" t="str" cm="1">
        <f t="array" ref="E533">IFERROR(_xlfn.IFS(AND(D533&lt;1980,D533&gt;=1970),"70",AND(D533&lt;1990,D533&gt;=1980),"80",AND(D533&lt;2000,D533&gt;=1990),"90",AND(D533&lt;2010,D533&gt;=2000),"00",AND(D533&lt;=2019,D533&gt;=2010),"10"),"1908-1970")</f>
        <v>1908-1970</v>
      </c>
      <c r="F533" s="3">
        <v>0.57291666666666663</v>
      </c>
      <c r="G533" t="s">
        <v>7313</v>
      </c>
      <c r="H533" t="s">
        <v>6038</v>
      </c>
      <c r="I533" t="s">
        <v>28931</v>
      </c>
      <c r="J533" t="s">
        <v>7314</v>
      </c>
      <c r="K533" t="s">
        <v>6587</v>
      </c>
      <c r="L533" s="7" t="s">
        <v>7315</v>
      </c>
      <c r="M533">
        <v>1566</v>
      </c>
      <c r="N533">
        <v>18</v>
      </c>
      <c r="O533">
        <v>14</v>
      </c>
      <c r="P533">
        <v>4</v>
      </c>
      <c r="Q533">
        <v>18</v>
      </c>
      <c r="R533">
        <v>14</v>
      </c>
      <c r="S533">
        <v>4</v>
      </c>
      <c r="T533">
        <v>0</v>
      </c>
      <c r="U533" t="s">
        <v>7316</v>
      </c>
      <c r="V533">
        <f>Tabla1[[#This Row],[Aboard]]-Tabla1[[#This Row],[Fatalities]]</f>
        <v>0</v>
      </c>
      <c r="W533" s="50">
        <f>IFERROR(Tabla1[[#This Row],[Fatalities]]/Tabla1[[#This Row],[Aboard]],0)</f>
        <v>1</v>
      </c>
      <c r="X533" s="51" t="str" cm="1">
        <f t="array" ref="X533">_xlfn.IFS(Tabla1[[#This Row],[Porcentaje de muertes]]&lt;0.35,"LEVE",AND(Tabla1[[#This Row],[Porcentaje de muertes]]&gt;0.35,Tabla1[[#This Row],[Porcentaje de muertes]]&lt;0.65),"MEDIO",Tabla1[[#This Row],[Porcentaje de muertes]]&gt;0.65,"GRAVE")</f>
        <v>GRAVE</v>
      </c>
    </row>
    <row r="534" spans="2:24" x14ac:dyDescent="0.3">
      <c r="B534" s="9">
        <v>532</v>
      </c>
      <c r="C534" s="49">
        <v>13922</v>
      </c>
      <c r="D534" s="9">
        <f>YEAR(Tabla1[[#This Row],[Date]])</f>
        <v>1938</v>
      </c>
      <c r="E534" s="9" t="str" cm="1">
        <f t="array" ref="E534">IFERROR(_xlfn.IFS(AND(D534&lt;1980,D534&gt;=1970),"70",AND(D534&lt;1990,D534&gt;=1980),"80",AND(D534&lt;2000,D534&gt;=1990),"90",AND(D534&lt;2010,D534&gt;=2000),"00",AND(D534&lt;=2019,D534&gt;=2010),"10"),"1908-1970")</f>
        <v>1908-1970</v>
      </c>
      <c r="F534" s="3" t="s">
        <v>28931</v>
      </c>
      <c r="G534" t="s">
        <v>7317</v>
      </c>
      <c r="H534" t="s">
        <v>6862</v>
      </c>
      <c r="I534" t="s">
        <v>28931</v>
      </c>
      <c r="J534" t="s">
        <v>28931</v>
      </c>
      <c r="K534" t="s">
        <v>7318</v>
      </c>
      <c r="L534" s="7" t="s">
        <v>7319</v>
      </c>
      <c r="M534" t="s">
        <v>28931</v>
      </c>
      <c r="N534">
        <v>2</v>
      </c>
      <c r="O534" t="s">
        <v>5038</v>
      </c>
      <c r="P534" t="s">
        <v>5038</v>
      </c>
      <c r="Q534">
        <v>2</v>
      </c>
      <c r="R534" t="s">
        <v>5038</v>
      </c>
      <c r="S534" t="s">
        <v>5038</v>
      </c>
      <c r="T534">
        <v>0</v>
      </c>
      <c r="U534" t="s">
        <v>28927</v>
      </c>
      <c r="V534">
        <f>Tabla1[[#This Row],[Aboard]]-Tabla1[[#This Row],[Fatalities]]</f>
        <v>0</v>
      </c>
      <c r="W534" s="50">
        <f>IFERROR(Tabla1[[#This Row],[Fatalities]]/Tabla1[[#This Row],[Aboard]],0)</f>
        <v>1</v>
      </c>
      <c r="X534" s="51" t="str" cm="1">
        <f t="array" ref="X534">_xlfn.IFS(Tabla1[[#This Row],[Porcentaje de muertes]]&lt;0.35,"LEVE",AND(Tabla1[[#This Row],[Porcentaje de muertes]]&gt;0.35,Tabla1[[#This Row],[Porcentaje de muertes]]&lt;0.65),"MEDIO",Tabla1[[#This Row],[Porcentaje de muertes]]&gt;0.65,"GRAVE")</f>
        <v>GRAVE</v>
      </c>
    </row>
    <row r="535" spans="2:24" x14ac:dyDescent="0.3">
      <c r="B535" s="9">
        <v>533</v>
      </c>
      <c r="C535" s="49">
        <v>13981</v>
      </c>
      <c r="D535" s="9">
        <f>YEAR(Tabla1[[#This Row],[Date]])</f>
        <v>1938</v>
      </c>
      <c r="E535" s="9" t="str" cm="1">
        <f t="array" ref="E535">IFERROR(_xlfn.IFS(AND(D535&lt;1980,D535&gt;=1970),"70",AND(D535&lt;1990,D535&gt;=1980),"80",AND(D535&lt;2000,D535&gt;=1990),"90",AND(D535&lt;2010,D535&gt;=2000),"00",AND(D535&lt;=2019,D535&gt;=2010),"10"),"1908-1970")</f>
        <v>1908-1970</v>
      </c>
      <c r="F535" s="3">
        <v>0.4513888888888889</v>
      </c>
      <c r="G535" t="s">
        <v>7320</v>
      </c>
      <c r="H535" t="s">
        <v>6639</v>
      </c>
      <c r="I535" t="s">
        <v>28931</v>
      </c>
      <c r="J535" t="s">
        <v>7321</v>
      </c>
      <c r="K535" t="s">
        <v>6497</v>
      </c>
      <c r="L535" s="7" t="s">
        <v>7322</v>
      </c>
      <c r="M535">
        <v>2316</v>
      </c>
      <c r="N535">
        <v>14</v>
      </c>
      <c r="O535">
        <v>13</v>
      </c>
      <c r="P535">
        <v>1</v>
      </c>
      <c r="Q535">
        <v>14</v>
      </c>
      <c r="R535">
        <v>13</v>
      </c>
      <c r="S535">
        <v>1</v>
      </c>
      <c r="T535">
        <v>1</v>
      </c>
      <c r="U535" t="s">
        <v>7323</v>
      </c>
      <c r="V535">
        <f>Tabla1[[#This Row],[Aboard]]-Tabla1[[#This Row],[Fatalities]]</f>
        <v>0</v>
      </c>
      <c r="W535" s="50">
        <f>IFERROR(Tabla1[[#This Row],[Fatalities]]/Tabla1[[#This Row],[Aboard]],0)</f>
        <v>1</v>
      </c>
      <c r="X535" s="51" t="str" cm="1">
        <f t="array" ref="X535">_xlfn.IFS(Tabla1[[#This Row],[Porcentaje de muertes]]&lt;0.35,"LEVE",AND(Tabla1[[#This Row],[Porcentaje de muertes]]&gt;0.35,Tabla1[[#This Row],[Porcentaje de muertes]]&lt;0.65),"MEDIO",Tabla1[[#This Row],[Porcentaje de muertes]]&gt;0.65,"GRAVE")</f>
        <v>GRAVE</v>
      </c>
    </row>
    <row r="536" spans="2:24" x14ac:dyDescent="0.3">
      <c r="B536" s="9">
        <v>534</v>
      </c>
      <c r="C536" s="49">
        <v>14198</v>
      </c>
      <c r="D536" s="9">
        <f>YEAR(Tabla1[[#This Row],[Date]])</f>
        <v>1938</v>
      </c>
      <c r="E536" s="9" t="str" cm="1">
        <f t="array" ref="E536">IFERROR(_xlfn.IFS(AND(D536&lt;1980,D536&gt;=1970),"70",AND(D536&lt;1990,D536&gt;=1980),"80",AND(D536&lt;2000,D536&gt;=1990),"90",AND(D536&lt;2010,D536&gt;=2000),"00",AND(D536&lt;=2019,D536&gt;=2010),"10"),"1908-1970")</f>
        <v>1908-1970</v>
      </c>
      <c r="F536" s="3">
        <v>0.77847222222222223</v>
      </c>
      <c r="G536" t="s">
        <v>7324</v>
      </c>
      <c r="H536" t="s">
        <v>5332</v>
      </c>
      <c r="I536" t="s">
        <v>28931</v>
      </c>
      <c r="J536" t="s">
        <v>7325</v>
      </c>
      <c r="K536" t="s">
        <v>7057</v>
      </c>
      <c r="L536" s="7" t="s">
        <v>7326</v>
      </c>
      <c r="M536">
        <v>2021</v>
      </c>
      <c r="N536">
        <v>19</v>
      </c>
      <c r="O536">
        <v>14</v>
      </c>
      <c r="P536">
        <v>5</v>
      </c>
      <c r="Q536">
        <v>6</v>
      </c>
      <c r="R536">
        <v>2</v>
      </c>
      <c r="S536">
        <v>4</v>
      </c>
      <c r="T536">
        <v>0</v>
      </c>
      <c r="U536" t="s">
        <v>7327</v>
      </c>
      <c r="V536">
        <f>Tabla1[[#This Row],[Aboard]]-Tabla1[[#This Row],[Fatalities]]</f>
        <v>13</v>
      </c>
      <c r="W536" s="50">
        <f>IFERROR(Tabla1[[#This Row],[Fatalities]]/Tabla1[[#This Row],[Aboard]],0)</f>
        <v>0.31578947368421051</v>
      </c>
      <c r="X536" s="51" t="str" cm="1">
        <f t="array" ref="X536">_xlfn.IFS(Tabla1[[#This Row],[Porcentaje de muertes]]&lt;0.35,"LEVE",AND(Tabla1[[#This Row],[Porcentaje de muertes]]&gt;0.35,Tabla1[[#This Row],[Porcentaje de muertes]]&lt;0.65),"MEDIO",Tabla1[[#This Row],[Porcentaje de muertes]]&gt;0.65,"GRAVE")</f>
        <v>LEVE</v>
      </c>
    </row>
    <row r="537" spans="2:24" x14ac:dyDescent="0.3">
      <c r="B537" s="9">
        <v>535</v>
      </c>
      <c r="C537" s="49">
        <v>14202</v>
      </c>
      <c r="D537" s="9">
        <f>YEAR(Tabla1[[#This Row],[Date]])</f>
        <v>1938</v>
      </c>
      <c r="E537" s="9" t="str" cm="1">
        <f t="array" ref="E537">IFERROR(_xlfn.IFS(AND(D537&lt;1980,D537&gt;=1970),"70",AND(D537&lt;1990,D537&gt;=1980),"80",AND(D537&lt;2000,D537&gt;=1990),"90",AND(D537&lt;2010,D537&gt;=2000),"00",AND(D537&lt;=2019,D537&gt;=2010),"10"),"1908-1970")</f>
        <v>1908-1970</v>
      </c>
      <c r="F537" s="3">
        <v>3.5416666666666666E-2</v>
      </c>
      <c r="G537" t="s">
        <v>7328</v>
      </c>
      <c r="H537" t="s">
        <v>7329</v>
      </c>
      <c r="I537" t="s">
        <v>28931</v>
      </c>
      <c r="J537" t="s">
        <v>7330</v>
      </c>
      <c r="K537" t="s">
        <v>7318</v>
      </c>
      <c r="L537" s="7" t="s">
        <v>7319</v>
      </c>
      <c r="M537">
        <v>1475</v>
      </c>
      <c r="N537">
        <v>2</v>
      </c>
      <c r="O537">
        <v>0</v>
      </c>
      <c r="P537">
        <v>2</v>
      </c>
      <c r="Q537">
        <v>2</v>
      </c>
      <c r="R537">
        <v>0</v>
      </c>
      <c r="S537">
        <v>2</v>
      </c>
      <c r="T537">
        <v>0</v>
      </c>
      <c r="U537" t="s">
        <v>7331</v>
      </c>
      <c r="V537">
        <f>Tabla1[[#This Row],[Aboard]]-Tabla1[[#This Row],[Fatalities]]</f>
        <v>0</v>
      </c>
      <c r="W537" s="50">
        <f>IFERROR(Tabla1[[#This Row],[Fatalities]]/Tabla1[[#This Row],[Aboard]],0)</f>
        <v>1</v>
      </c>
      <c r="X537" s="51" t="str" cm="1">
        <f t="array" ref="X537">_xlfn.IFS(Tabla1[[#This Row],[Porcentaje de muertes]]&lt;0.35,"LEVE",AND(Tabla1[[#This Row],[Porcentaje de muertes]]&gt;0.35,Tabla1[[#This Row],[Porcentaje de muertes]]&lt;0.65),"MEDIO",Tabla1[[#This Row],[Porcentaje de muertes]]&gt;0.65,"GRAVE")</f>
        <v>GRAVE</v>
      </c>
    </row>
    <row r="538" spans="2:24" x14ac:dyDescent="0.3">
      <c r="B538" s="9">
        <v>536</v>
      </c>
      <c r="C538" s="49">
        <v>14210</v>
      </c>
      <c r="D538" s="9">
        <f>YEAR(Tabla1[[#This Row],[Date]])</f>
        <v>1938</v>
      </c>
      <c r="E538" s="9" t="str" cm="1">
        <f t="array" ref="E538">IFERROR(_xlfn.IFS(AND(D538&lt;1980,D538&gt;=1970),"70",AND(D538&lt;1990,D538&gt;=1980),"80",AND(D538&lt;2000,D538&gt;=1990),"90",AND(D538&lt;2010,D538&gt;=2000),"00",AND(D538&lt;=2019,D538&gt;=2010),"10"),"1908-1970")</f>
        <v>1908-1970</v>
      </c>
      <c r="F538" s="3">
        <v>0.63888888888888895</v>
      </c>
      <c r="G538" t="s">
        <v>6978</v>
      </c>
      <c r="H538" t="s">
        <v>5417</v>
      </c>
      <c r="I538" t="s">
        <v>28931</v>
      </c>
      <c r="J538" t="s">
        <v>28931</v>
      </c>
      <c r="K538" t="s">
        <v>7332</v>
      </c>
      <c r="L538" s="7" t="s">
        <v>7333</v>
      </c>
      <c r="M538">
        <v>4914</v>
      </c>
      <c r="N538">
        <v>15</v>
      </c>
      <c r="O538">
        <v>10</v>
      </c>
      <c r="P538">
        <v>5</v>
      </c>
      <c r="Q538">
        <v>12</v>
      </c>
      <c r="R538">
        <v>9</v>
      </c>
      <c r="S538">
        <v>3</v>
      </c>
      <c r="T538">
        <v>0</v>
      </c>
      <c r="U538" t="s">
        <v>7334</v>
      </c>
      <c r="V538">
        <f>Tabla1[[#This Row],[Aboard]]-Tabla1[[#This Row],[Fatalities]]</f>
        <v>3</v>
      </c>
      <c r="W538" s="50">
        <f>IFERROR(Tabla1[[#This Row],[Fatalities]]/Tabla1[[#This Row],[Aboard]],0)</f>
        <v>0.8</v>
      </c>
      <c r="X538" s="51" t="str" cm="1">
        <f t="array" ref="X538">_xlfn.IFS(Tabla1[[#This Row],[Porcentaje de muertes]]&lt;0.35,"LEVE",AND(Tabla1[[#This Row],[Porcentaje de muertes]]&gt;0.35,Tabla1[[#This Row],[Porcentaje de muertes]]&lt;0.65),"MEDIO",Tabla1[[#This Row],[Porcentaje de muertes]]&gt;0.65,"GRAVE")</f>
        <v>GRAVE</v>
      </c>
    </row>
    <row r="539" spans="2:24" x14ac:dyDescent="0.3">
      <c r="B539" s="9">
        <v>537</v>
      </c>
      <c r="C539" s="49">
        <v>14211</v>
      </c>
      <c r="D539" s="9">
        <f>YEAR(Tabla1[[#This Row],[Date]])</f>
        <v>1938</v>
      </c>
      <c r="E539" s="9" t="str" cm="1">
        <f t="array" ref="E539">IFERROR(_xlfn.IFS(AND(D539&lt;1980,D539&gt;=1970),"70",AND(D539&lt;1990,D539&gt;=1980),"80",AND(D539&lt;2000,D539&gt;=1990),"90",AND(D539&lt;2010,D539&gt;=2000),"00",AND(D539&lt;=2019,D539&gt;=2010),"10"),"1908-1970")</f>
        <v>1908-1970</v>
      </c>
      <c r="F539" s="3" t="s">
        <v>28931</v>
      </c>
      <c r="G539" t="s">
        <v>7335</v>
      </c>
      <c r="H539" t="s">
        <v>5350</v>
      </c>
      <c r="I539" t="s">
        <v>28931</v>
      </c>
      <c r="J539" t="s">
        <v>7336</v>
      </c>
      <c r="K539" t="s">
        <v>7098</v>
      </c>
      <c r="L539" s="7" t="s">
        <v>7337</v>
      </c>
      <c r="M539" t="s">
        <v>7338</v>
      </c>
      <c r="N539">
        <v>6</v>
      </c>
      <c r="O539">
        <v>0</v>
      </c>
      <c r="P539">
        <v>6</v>
      </c>
      <c r="Q539">
        <v>4</v>
      </c>
      <c r="R539">
        <v>0</v>
      </c>
      <c r="S539">
        <v>4</v>
      </c>
      <c r="T539">
        <v>0</v>
      </c>
      <c r="U539" t="s">
        <v>7339</v>
      </c>
      <c r="V539">
        <f>Tabla1[[#This Row],[Aboard]]-Tabla1[[#This Row],[Fatalities]]</f>
        <v>2</v>
      </c>
      <c r="W539" s="50">
        <f>IFERROR(Tabla1[[#This Row],[Fatalities]]/Tabla1[[#This Row],[Aboard]],0)</f>
        <v>0.66666666666666663</v>
      </c>
      <c r="X539" s="51" t="str" cm="1">
        <f t="array" ref="X539">_xlfn.IFS(Tabla1[[#This Row],[Porcentaje de muertes]]&lt;0.35,"LEVE",AND(Tabla1[[#This Row],[Porcentaje de muertes]]&gt;0.35,Tabla1[[#This Row],[Porcentaje de muertes]]&lt;0.65),"MEDIO",Tabla1[[#This Row],[Porcentaje de muertes]]&gt;0.65,"GRAVE")</f>
        <v>GRAVE</v>
      </c>
    </row>
    <row r="540" spans="2:24" x14ac:dyDescent="0.3">
      <c r="B540" s="9">
        <v>538</v>
      </c>
      <c r="C540" s="49">
        <v>14213</v>
      </c>
      <c r="D540" s="9">
        <f>YEAR(Tabla1[[#This Row],[Date]])</f>
        <v>1938</v>
      </c>
      <c r="E540" s="9" t="str" cm="1">
        <f t="array" ref="E540">IFERROR(_xlfn.IFS(AND(D540&lt;1980,D540&gt;=1970),"70",AND(D540&lt;1990,D540&gt;=1980),"80",AND(D540&lt;2000,D540&gt;=1990),"90",AND(D540&lt;2010,D540&gt;=2000),"00",AND(D540&lt;=2019,D540&gt;=2010),"10"),"1908-1970")</f>
        <v>1908-1970</v>
      </c>
      <c r="F540" s="3">
        <v>0.22916666666666666</v>
      </c>
      <c r="G540" t="s">
        <v>7340</v>
      </c>
      <c r="H540" t="s">
        <v>6369</v>
      </c>
      <c r="I540">
        <v>6</v>
      </c>
      <c r="J540" t="s">
        <v>7341</v>
      </c>
      <c r="K540" t="s">
        <v>7342</v>
      </c>
      <c r="L540" s="7" t="s">
        <v>7343</v>
      </c>
      <c r="M540">
        <v>1907</v>
      </c>
      <c r="N540">
        <v>7</v>
      </c>
      <c r="O540">
        <v>4</v>
      </c>
      <c r="P540">
        <v>3</v>
      </c>
      <c r="Q540">
        <v>5</v>
      </c>
      <c r="R540">
        <v>3</v>
      </c>
      <c r="S540">
        <v>2</v>
      </c>
      <c r="T540">
        <v>0</v>
      </c>
      <c r="U540" t="s">
        <v>7344</v>
      </c>
      <c r="V540">
        <f>Tabla1[[#This Row],[Aboard]]-Tabla1[[#This Row],[Fatalities]]</f>
        <v>2</v>
      </c>
      <c r="W540" s="50">
        <f>IFERROR(Tabla1[[#This Row],[Fatalities]]/Tabla1[[#This Row],[Aboard]],0)</f>
        <v>0.7142857142857143</v>
      </c>
      <c r="X540" s="51" t="str" cm="1">
        <f t="array" ref="X540">_xlfn.IFS(Tabla1[[#This Row],[Porcentaje de muertes]]&lt;0.35,"LEVE",AND(Tabla1[[#This Row],[Porcentaje de muertes]]&gt;0.35,Tabla1[[#This Row],[Porcentaje de muertes]]&lt;0.65),"MEDIO",Tabla1[[#This Row],[Porcentaje de muertes]]&gt;0.65,"GRAVE")</f>
        <v>GRAVE</v>
      </c>
    </row>
    <row r="541" spans="2:24" x14ac:dyDescent="0.3">
      <c r="B541" s="9">
        <v>539</v>
      </c>
      <c r="C541" s="49">
        <v>13923</v>
      </c>
      <c r="D541" s="9">
        <f>YEAR(Tabla1[[#This Row],[Date]])</f>
        <v>1938</v>
      </c>
      <c r="E541" s="9" t="str" cm="1">
        <f t="array" ref="E541">IFERROR(_xlfn.IFS(AND(D541&lt;1980,D541&gt;=1970),"70",AND(D541&lt;1990,D541&gt;=1980),"80",AND(D541&lt;2000,D541&gt;=1990),"90",AND(D541&lt;2010,D541&gt;=2000),"00",AND(D541&lt;=2019,D541&gt;=2010),"10"),"1908-1970")</f>
        <v>1908-1970</v>
      </c>
      <c r="F541" s="3">
        <v>0.3298611111111111</v>
      </c>
      <c r="G541" t="s">
        <v>7345</v>
      </c>
      <c r="H541" t="s">
        <v>5740</v>
      </c>
      <c r="I541" t="s">
        <v>28931</v>
      </c>
      <c r="J541" t="s">
        <v>7346</v>
      </c>
      <c r="K541" t="s">
        <v>6956</v>
      </c>
      <c r="L541" s="7" t="s">
        <v>7347</v>
      </c>
      <c r="M541">
        <v>1041</v>
      </c>
      <c r="N541">
        <v>8</v>
      </c>
      <c r="O541">
        <v>5</v>
      </c>
      <c r="P541">
        <v>3</v>
      </c>
      <c r="Q541">
        <v>8</v>
      </c>
      <c r="R541">
        <v>5</v>
      </c>
      <c r="S541">
        <v>3</v>
      </c>
      <c r="T541">
        <v>0</v>
      </c>
      <c r="U541" t="s">
        <v>7348</v>
      </c>
      <c r="V541">
        <f>Tabla1[[#This Row],[Aboard]]-Tabla1[[#This Row],[Fatalities]]</f>
        <v>0</v>
      </c>
      <c r="W541" s="50">
        <f>IFERROR(Tabla1[[#This Row],[Fatalities]]/Tabla1[[#This Row],[Aboard]],0)</f>
        <v>1</v>
      </c>
      <c r="X541" s="51" t="str" cm="1">
        <f t="array" ref="X541">_xlfn.IFS(Tabla1[[#This Row],[Porcentaje de muertes]]&lt;0.35,"LEVE",AND(Tabla1[[#This Row],[Porcentaje de muertes]]&gt;0.35,Tabla1[[#This Row],[Porcentaje de muertes]]&lt;0.65),"MEDIO",Tabla1[[#This Row],[Porcentaje de muertes]]&gt;0.65,"GRAVE")</f>
        <v>GRAVE</v>
      </c>
    </row>
    <row r="542" spans="2:24" x14ac:dyDescent="0.3">
      <c r="B542" s="9">
        <v>540</v>
      </c>
      <c r="C542" s="49">
        <v>14104</v>
      </c>
      <c r="D542" s="9">
        <f>YEAR(Tabla1[[#This Row],[Date]])</f>
        <v>1938</v>
      </c>
      <c r="E542" s="9" t="str" cm="1">
        <f t="array" ref="E542">IFERROR(_xlfn.IFS(AND(D542&lt;1980,D542&gt;=1970),"70",AND(D542&lt;1990,D542&gt;=1980),"80",AND(D542&lt;2000,D542&gt;=1990),"90",AND(D542&lt;2010,D542&gt;=2000),"00",AND(D542&lt;=2019,D542&gt;=2010),"10"),"1908-1970")</f>
        <v>1908-1970</v>
      </c>
      <c r="F542" s="3">
        <v>0.375</v>
      </c>
      <c r="G542" t="s">
        <v>7349</v>
      </c>
      <c r="H542" t="s">
        <v>7350</v>
      </c>
      <c r="I542" t="s">
        <v>28931</v>
      </c>
      <c r="J542" t="s">
        <v>7351</v>
      </c>
      <c r="K542" t="s">
        <v>7352</v>
      </c>
      <c r="L542" s="7" t="s">
        <v>7353</v>
      </c>
      <c r="M542" t="s">
        <v>7354</v>
      </c>
      <c r="N542">
        <v>15</v>
      </c>
      <c r="O542">
        <v>12</v>
      </c>
      <c r="P542">
        <v>3</v>
      </c>
      <c r="Q542">
        <v>10</v>
      </c>
      <c r="R542">
        <v>7</v>
      </c>
      <c r="S542">
        <v>3</v>
      </c>
      <c r="T542">
        <v>0</v>
      </c>
      <c r="U542" t="s">
        <v>7355</v>
      </c>
      <c r="V542">
        <f>Tabla1[[#This Row],[Aboard]]-Tabla1[[#This Row],[Fatalities]]</f>
        <v>5</v>
      </c>
      <c r="W542" s="50">
        <f>IFERROR(Tabla1[[#This Row],[Fatalities]]/Tabla1[[#This Row],[Aboard]],0)</f>
        <v>0.66666666666666663</v>
      </c>
      <c r="X542" s="51" t="str" cm="1">
        <f t="array" ref="X542">_xlfn.IFS(Tabla1[[#This Row],[Porcentaje de muertes]]&lt;0.35,"LEVE",AND(Tabla1[[#This Row],[Porcentaje de muertes]]&gt;0.35,Tabla1[[#This Row],[Porcentaje de muertes]]&lt;0.65),"MEDIO",Tabla1[[#This Row],[Porcentaje de muertes]]&gt;0.65,"GRAVE")</f>
        <v>GRAVE</v>
      </c>
    </row>
    <row r="543" spans="2:24" x14ac:dyDescent="0.3">
      <c r="B543" s="9">
        <v>541</v>
      </c>
      <c r="C543" s="49">
        <v>14135</v>
      </c>
      <c r="D543" s="9">
        <f>YEAR(Tabla1[[#This Row],[Date]])</f>
        <v>1938</v>
      </c>
      <c r="E543" s="9" t="str" cm="1">
        <f t="array" ref="E543">IFERROR(_xlfn.IFS(AND(D543&lt;1980,D543&gt;=1970),"70",AND(D543&lt;1990,D543&gt;=1980),"80",AND(D543&lt;2000,D543&gt;=1990),"90",AND(D543&lt;2010,D543&gt;=2000),"00",AND(D543&lt;=2019,D543&gt;=2010),"10"),"1908-1970")</f>
        <v>1908-1970</v>
      </c>
      <c r="F543" s="3">
        <v>0.47222222222222227</v>
      </c>
      <c r="G543" t="s">
        <v>6622</v>
      </c>
      <c r="H543" t="s">
        <v>5332</v>
      </c>
      <c r="I543" t="s">
        <v>28931</v>
      </c>
      <c r="J543" t="s">
        <v>7356</v>
      </c>
      <c r="K543" t="s">
        <v>7357</v>
      </c>
      <c r="L543" s="7" t="s">
        <v>7358</v>
      </c>
      <c r="M543">
        <v>1413</v>
      </c>
      <c r="N543">
        <v>4</v>
      </c>
      <c r="O543">
        <v>0</v>
      </c>
      <c r="P543">
        <v>4</v>
      </c>
      <c r="Q543">
        <v>4</v>
      </c>
      <c r="R543">
        <v>0</v>
      </c>
      <c r="S543">
        <v>4</v>
      </c>
      <c r="T543">
        <v>0</v>
      </c>
      <c r="U543" t="s">
        <v>7359</v>
      </c>
      <c r="V543">
        <f>Tabla1[[#This Row],[Aboard]]-Tabla1[[#This Row],[Fatalities]]</f>
        <v>0</v>
      </c>
      <c r="W543" s="50">
        <f>IFERROR(Tabla1[[#This Row],[Fatalities]]/Tabla1[[#This Row],[Aboard]],0)</f>
        <v>1</v>
      </c>
      <c r="X543" s="51" t="str" cm="1">
        <f t="array" ref="X543">_xlfn.IFS(Tabla1[[#This Row],[Porcentaje de muertes]]&lt;0.35,"LEVE",AND(Tabla1[[#This Row],[Porcentaje de muertes]]&gt;0.35,Tabla1[[#This Row],[Porcentaje de muertes]]&lt;0.65),"MEDIO",Tabla1[[#This Row],[Porcentaje de muertes]]&gt;0.65,"GRAVE")</f>
        <v>GRAVE</v>
      </c>
    </row>
    <row r="544" spans="2:24" x14ac:dyDescent="0.3">
      <c r="B544" s="9">
        <v>542</v>
      </c>
      <c r="C544" s="49">
        <v>14226</v>
      </c>
      <c r="D544" s="9">
        <f>YEAR(Tabla1[[#This Row],[Date]])</f>
        <v>1938</v>
      </c>
      <c r="E544" s="9" t="str" cm="1">
        <f t="array" ref="E544">IFERROR(_xlfn.IFS(AND(D544&lt;1980,D544&gt;=1970),"70",AND(D544&lt;1990,D544&gt;=1980),"80",AND(D544&lt;2000,D544&gt;=1990),"90",AND(D544&lt;2010,D544&gt;=2000),"00",AND(D544&lt;=2019,D544&gt;=2010),"10"),"1908-1970")</f>
        <v>1908-1970</v>
      </c>
      <c r="F544" s="3" t="s">
        <v>28931</v>
      </c>
      <c r="G544" t="s">
        <v>7360</v>
      </c>
      <c r="H544" t="s">
        <v>5459</v>
      </c>
      <c r="I544" t="s">
        <v>28931</v>
      </c>
      <c r="J544" t="s">
        <v>28931</v>
      </c>
      <c r="K544" t="s">
        <v>7361</v>
      </c>
      <c r="L544" s="7" t="s">
        <v>7362</v>
      </c>
      <c r="M544" t="s">
        <v>28931</v>
      </c>
      <c r="N544">
        <v>13</v>
      </c>
      <c r="O544" t="s">
        <v>5038</v>
      </c>
      <c r="P544" t="s">
        <v>5038</v>
      </c>
      <c r="Q544">
        <v>13</v>
      </c>
      <c r="R544" t="s">
        <v>5038</v>
      </c>
      <c r="S544" t="s">
        <v>5038</v>
      </c>
      <c r="T544">
        <v>0</v>
      </c>
      <c r="U544" t="s">
        <v>7363</v>
      </c>
      <c r="V544">
        <f>Tabla1[[#This Row],[Aboard]]-Tabla1[[#This Row],[Fatalities]]</f>
        <v>0</v>
      </c>
      <c r="W544" s="50">
        <f>IFERROR(Tabla1[[#This Row],[Fatalities]]/Tabla1[[#This Row],[Aboard]],0)</f>
        <v>1</v>
      </c>
      <c r="X544" s="51" t="str" cm="1">
        <f t="array" ref="X544">_xlfn.IFS(Tabla1[[#This Row],[Porcentaje de muertes]]&lt;0.35,"LEVE",AND(Tabla1[[#This Row],[Porcentaje de muertes]]&gt;0.35,Tabla1[[#This Row],[Porcentaje de muertes]]&lt;0.65),"MEDIO",Tabla1[[#This Row],[Porcentaje de muertes]]&gt;0.65,"GRAVE")</f>
        <v>GRAVE</v>
      </c>
    </row>
    <row r="545" spans="2:24" x14ac:dyDescent="0.3">
      <c r="B545" s="9">
        <v>543</v>
      </c>
      <c r="C545" s="49">
        <v>14427</v>
      </c>
      <c r="D545" s="9">
        <f>YEAR(Tabla1[[#This Row],[Date]])</f>
        <v>1939</v>
      </c>
      <c r="E545" s="9" t="str" cm="1">
        <f t="array" ref="E545">IFERROR(_xlfn.IFS(AND(D545&lt;1980,D545&gt;=1970),"70",AND(D545&lt;1990,D545&gt;=1980),"80",AND(D545&lt;2000,D545&gt;=1990),"90",AND(D545&lt;2010,D545&gt;=2000),"00",AND(D545&lt;=2019,D545&gt;=2010),"10"),"1908-1970")</f>
        <v>1908-1970</v>
      </c>
      <c r="F545" s="3">
        <v>0.6875</v>
      </c>
      <c r="G545" t="s">
        <v>5211</v>
      </c>
      <c r="H545" t="s">
        <v>6471</v>
      </c>
      <c r="I545" t="s">
        <v>28931</v>
      </c>
      <c r="J545" t="s">
        <v>7364</v>
      </c>
      <c r="K545" t="s">
        <v>7365</v>
      </c>
      <c r="L545" s="7" t="s">
        <v>7366</v>
      </c>
      <c r="M545">
        <v>1329</v>
      </c>
      <c r="N545">
        <v>17</v>
      </c>
      <c r="O545">
        <v>12</v>
      </c>
      <c r="P545">
        <v>5</v>
      </c>
      <c r="Q545">
        <v>5</v>
      </c>
      <c r="R545">
        <v>2</v>
      </c>
      <c r="S545">
        <v>3</v>
      </c>
      <c r="T545">
        <v>0</v>
      </c>
      <c r="U545" t="s">
        <v>7367</v>
      </c>
      <c r="V545">
        <f>Tabla1[[#This Row],[Aboard]]-Tabla1[[#This Row],[Fatalities]]</f>
        <v>12</v>
      </c>
      <c r="W545" s="50">
        <f>IFERROR(Tabla1[[#This Row],[Fatalities]]/Tabla1[[#This Row],[Aboard]],0)</f>
        <v>0.29411764705882354</v>
      </c>
      <c r="X545" s="51" t="str" cm="1">
        <f t="array" ref="X545">_xlfn.IFS(Tabla1[[#This Row],[Porcentaje de muertes]]&lt;0.35,"LEVE",AND(Tabla1[[#This Row],[Porcentaje de muertes]]&gt;0.35,Tabla1[[#This Row],[Porcentaje de muertes]]&lt;0.65),"MEDIO",Tabla1[[#This Row],[Porcentaje de muertes]]&gt;0.65,"GRAVE")</f>
        <v>LEVE</v>
      </c>
    </row>
    <row r="546" spans="2:24" x14ac:dyDescent="0.3">
      <c r="B546" s="9">
        <v>544</v>
      </c>
      <c r="C546" s="49">
        <v>14258</v>
      </c>
      <c r="D546" s="9">
        <f>YEAR(Tabla1[[#This Row],[Date]])</f>
        <v>1939</v>
      </c>
      <c r="E546" s="9" t="str" cm="1">
        <f t="array" ref="E546">IFERROR(_xlfn.IFS(AND(D546&lt;1980,D546&gt;=1970),"70",AND(D546&lt;1990,D546&gt;=1980),"80",AND(D546&lt;2000,D546&gt;=1990),"90",AND(D546&lt;2010,D546&gt;=2000),"00",AND(D546&lt;=2019,D546&gt;=2010),"10"),"1908-1970")</f>
        <v>1908-1970</v>
      </c>
      <c r="F546" s="3" t="s">
        <v>28931</v>
      </c>
      <c r="G546" t="s">
        <v>7368</v>
      </c>
      <c r="H546" t="s">
        <v>5673</v>
      </c>
      <c r="I546" t="s">
        <v>28931</v>
      </c>
      <c r="J546" t="s">
        <v>7369</v>
      </c>
      <c r="K546" t="s">
        <v>6555</v>
      </c>
      <c r="L546" s="7" t="s">
        <v>7370</v>
      </c>
      <c r="M546">
        <v>4042</v>
      </c>
      <c r="N546">
        <v>10</v>
      </c>
      <c r="O546">
        <v>7</v>
      </c>
      <c r="P546">
        <v>3</v>
      </c>
      <c r="Q546">
        <v>10</v>
      </c>
      <c r="R546">
        <v>7</v>
      </c>
      <c r="S546">
        <v>3</v>
      </c>
      <c r="T546">
        <v>0</v>
      </c>
      <c r="U546" t="s">
        <v>7371</v>
      </c>
      <c r="V546">
        <f>Tabla1[[#This Row],[Aboard]]-Tabla1[[#This Row],[Fatalities]]</f>
        <v>0</v>
      </c>
      <c r="W546" s="50">
        <f>IFERROR(Tabla1[[#This Row],[Fatalities]]/Tabla1[[#This Row],[Aboard]],0)</f>
        <v>1</v>
      </c>
      <c r="X546" s="51" t="str" cm="1">
        <f t="array" ref="X546">_xlfn.IFS(Tabla1[[#This Row],[Porcentaje de muertes]]&lt;0.35,"LEVE",AND(Tabla1[[#This Row],[Porcentaje de muertes]]&gt;0.35,Tabla1[[#This Row],[Porcentaje de muertes]]&lt;0.65),"MEDIO",Tabla1[[#This Row],[Porcentaje de muertes]]&gt;0.65,"GRAVE")</f>
        <v>GRAVE</v>
      </c>
    </row>
    <row r="547" spans="2:24" x14ac:dyDescent="0.3">
      <c r="B547" s="9">
        <v>545</v>
      </c>
      <c r="C547" s="49">
        <v>14258</v>
      </c>
      <c r="D547" s="9">
        <f>YEAR(Tabla1[[#This Row],[Date]])</f>
        <v>1939</v>
      </c>
      <c r="E547" s="9" t="str" cm="1">
        <f t="array" ref="E547">IFERROR(_xlfn.IFS(AND(D547&lt;1980,D547&gt;=1970),"70",AND(D547&lt;1990,D547&gt;=1980),"80",AND(D547&lt;2000,D547&gt;=1990),"90",AND(D547&lt;2010,D547&gt;=2000),"00",AND(D547&lt;=2019,D547&gt;=2010),"10"),"1908-1970")</f>
        <v>1908-1970</v>
      </c>
      <c r="F547" s="3">
        <v>0.88541666666666663</v>
      </c>
      <c r="G547" t="s">
        <v>7372</v>
      </c>
      <c r="H547" t="s">
        <v>5769</v>
      </c>
      <c r="I547">
        <v>1</v>
      </c>
      <c r="J547" t="s">
        <v>7373</v>
      </c>
      <c r="K547" t="s">
        <v>7374</v>
      </c>
      <c r="L547" s="7" t="s">
        <v>7375</v>
      </c>
      <c r="M547">
        <v>1408</v>
      </c>
      <c r="N547">
        <v>4</v>
      </c>
      <c r="O547">
        <v>2</v>
      </c>
      <c r="P547">
        <v>2</v>
      </c>
      <c r="Q547">
        <v>4</v>
      </c>
      <c r="R547">
        <v>2</v>
      </c>
      <c r="S547">
        <v>2</v>
      </c>
      <c r="T547">
        <v>0</v>
      </c>
      <c r="U547" t="s">
        <v>7376</v>
      </c>
      <c r="V547">
        <f>Tabla1[[#This Row],[Aboard]]-Tabla1[[#This Row],[Fatalities]]</f>
        <v>0</v>
      </c>
      <c r="W547" s="50">
        <f>IFERROR(Tabla1[[#This Row],[Fatalities]]/Tabla1[[#This Row],[Aboard]],0)</f>
        <v>1</v>
      </c>
      <c r="X547" s="51" t="str" cm="1">
        <f t="array" ref="X547">_xlfn.IFS(Tabla1[[#This Row],[Porcentaje de muertes]]&lt;0.35,"LEVE",AND(Tabla1[[#This Row],[Porcentaje de muertes]]&gt;0.35,Tabla1[[#This Row],[Porcentaje de muertes]]&lt;0.65),"MEDIO",Tabla1[[#This Row],[Porcentaje de muertes]]&gt;0.65,"GRAVE")</f>
        <v>GRAVE</v>
      </c>
    </row>
    <row r="548" spans="2:24" x14ac:dyDescent="0.3">
      <c r="B548" s="9">
        <v>546</v>
      </c>
      <c r="C548" s="49">
        <v>14263</v>
      </c>
      <c r="D548" s="9">
        <f>YEAR(Tabla1[[#This Row],[Date]])</f>
        <v>1939</v>
      </c>
      <c r="E548" s="9" t="str" cm="1">
        <f t="array" ref="E548">IFERROR(_xlfn.IFS(AND(D548&lt;1980,D548&gt;=1970),"70",AND(D548&lt;1990,D548&gt;=1980),"80",AND(D548&lt;2000,D548&gt;=1990),"90",AND(D548&lt;2010,D548&gt;=2000),"00",AND(D548&lt;=2019,D548&gt;=2010),"10"),"1908-1970")</f>
        <v>1908-1970</v>
      </c>
      <c r="F548" s="3">
        <v>0.33263888888888887</v>
      </c>
      <c r="G548" t="s">
        <v>7377</v>
      </c>
      <c r="H548" t="s">
        <v>6282</v>
      </c>
      <c r="I548" t="s">
        <v>28931</v>
      </c>
      <c r="J548" t="s">
        <v>7378</v>
      </c>
      <c r="K548" t="s">
        <v>7318</v>
      </c>
      <c r="L548" s="7" t="s">
        <v>7379</v>
      </c>
      <c r="M548">
        <v>1418</v>
      </c>
      <c r="N548">
        <v>4</v>
      </c>
      <c r="O548">
        <v>1</v>
      </c>
      <c r="P548">
        <v>3</v>
      </c>
      <c r="Q548">
        <v>4</v>
      </c>
      <c r="R548">
        <v>1</v>
      </c>
      <c r="S548">
        <v>3</v>
      </c>
      <c r="T548">
        <v>0</v>
      </c>
      <c r="U548" t="s">
        <v>7380</v>
      </c>
      <c r="V548">
        <f>Tabla1[[#This Row],[Aboard]]-Tabla1[[#This Row],[Fatalities]]</f>
        <v>0</v>
      </c>
      <c r="W548" s="50">
        <f>IFERROR(Tabla1[[#This Row],[Fatalities]]/Tabla1[[#This Row],[Aboard]],0)</f>
        <v>1</v>
      </c>
      <c r="X548" s="51" t="str" cm="1">
        <f t="array" ref="X548">_xlfn.IFS(Tabla1[[#This Row],[Porcentaje de muertes]]&lt;0.35,"LEVE",AND(Tabla1[[#This Row],[Porcentaje de muertes]]&gt;0.35,Tabla1[[#This Row],[Porcentaje de muertes]]&lt;0.65),"MEDIO",Tabla1[[#This Row],[Porcentaje de muertes]]&gt;0.65,"GRAVE")</f>
        <v>GRAVE</v>
      </c>
    </row>
    <row r="549" spans="2:24" x14ac:dyDescent="0.3">
      <c r="B549" s="9">
        <v>547</v>
      </c>
      <c r="C549" s="49">
        <v>14266</v>
      </c>
      <c r="D549" s="9">
        <f>YEAR(Tabla1[[#This Row],[Date]])</f>
        <v>1939</v>
      </c>
      <c r="E549" s="9" t="str" cm="1">
        <f t="array" ref="E549">IFERROR(_xlfn.IFS(AND(D549&lt;1980,D549&gt;=1970),"70",AND(D549&lt;1990,D549&gt;=1980),"80",AND(D549&lt;2000,D549&gt;=1990),"90",AND(D549&lt;2010,D549&gt;=2000),"00",AND(D549&lt;=2019,D549&gt;=2010),"10"),"1908-1970")</f>
        <v>1908-1970</v>
      </c>
      <c r="F549" s="3">
        <v>0.52083333333333337</v>
      </c>
      <c r="G549" t="s">
        <v>7381</v>
      </c>
      <c r="H549" t="s">
        <v>5350</v>
      </c>
      <c r="I549" t="s">
        <v>28931</v>
      </c>
      <c r="J549" t="s">
        <v>7382</v>
      </c>
      <c r="K549" t="s">
        <v>7092</v>
      </c>
      <c r="L549" s="7" t="s">
        <v>7383</v>
      </c>
      <c r="M549" t="s">
        <v>7384</v>
      </c>
      <c r="N549">
        <v>13</v>
      </c>
      <c r="O549">
        <v>8</v>
      </c>
      <c r="P549">
        <v>5</v>
      </c>
      <c r="Q549">
        <v>3</v>
      </c>
      <c r="R549">
        <v>2</v>
      </c>
      <c r="S549">
        <v>1</v>
      </c>
      <c r="T549">
        <v>0</v>
      </c>
      <c r="U549" t="s">
        <v>7385</v>
      </c>
      <c r="V549">
        <f>Tabla1[[#This Row],[Aboard]]-Tabla1[[#This Row],[Fatalities]]</f>
        <v>10</v>
      </c>
      <c r="W549" s="50">
        <f>IFERROR(Tabla1[[#This Row],[Fatalities]]/Tabla1[[#This Row],[Aboard]],0)</f>
        <v>0.23076923076923078</v>
      </c>
      <c r="X549" s="51" t="str" cm="1">
        <f t="array" ref="X549">_xlfn.IFS(Tabla1[[#This Row],[Porcentaje de muertes]]&lt;0.35,"LEVE",AND(Tabla1[[#This Row],[Porcentaje de muertes]]&gt;0.35,Tabla1[[#This Row],[Porcentaje de muertes]]&lt;0.65),"MEDIO",Tabla1[[#This Row],[Porcentaje de muertes]]&gt;0.65,"GRAVE")</f>
        <v>LEVE</v>
      </c>
    </row>
    <row r="550" spans="2:24" x14ac:dyDescent="0.3">
      <c r="B550" s="9">
        <v>548</v>
      </c>
      <c r="C550" s="49">
        <v>14581</v>
      </c>
      <c r="D550" s="9">
        <f>YEAR(Tabla1[[#This Row],[Date]])</f>
        <v>1939</v>
      </c>
      <c r="E550" s="9" t="str" cm="1">
        <f t="array" ref="E550">IFERROR(_xlfn.IFS(AND(D550&lt;1980,D550&gt;=1970),"70",AND(D550&lt;1990,D550&gt;=1980),"80",AND(D550&lt;2000,D550&gt;=1990),"90",AND(D550&lt;2010,D550&gt;=2000),"00",AND(D550&lt;=2019,D550&gt;=2010),"10"),"1908-1970")</f>
        <v>1908-1970</v>
      </c>
      <c r="F550" s="3">
        <v>0.59375</v>
      </c>
      <c r="G550" t="s">
        <v>7386</v>
      </c>
      <c r="H550" t="s">
        <v>7387</v>
      </c>
      <c r="I550" t="s">
        <v>28931</v>
      </c>
      <c r="J550" t="s">
        <v>7388</v>
      </c>
      <c r="K550" t="s">
        <v>7389</v>
      </c>
      <c r="L550" s="7" t="s">
        <v>7390</v>
      </c>
      <c r="M550">
        <v>618</v>
      </c>
      <c r="N550">
        <v>6</v>
      </c>
      <c r="O550">
        <v>5</v>
      </c>
      <c r="P550">
        <v>1</v>
      </c>
      <c r="Q550">
        <v>6</v>
      </c>
      <c r="R550">
        <v>5</v>
      </c>
      <c r="S550">
        <v>1</v>
      </c>
      <c r="T550">
        <v>0</v>
      </c>
      <c r="U550" t="s">
        <v>7391</v>
      </c>
      <c r="V550">
        <f>Tabla1[[#This Row],[Aboard]]-Tabla1[[#This Row],[Fatalities]]</f>
        <v>0</v>
      </c>
      <c r="W550" s="50">
        <f>IFERROR(Tabla1[[#This Row],[Fatalities]]/Tabla1[[#This Row],[Aboard]],0)</f>
        <v>1</v>
      </c>
      <c r="X550" s="51" t="str" cm="1">
        <f t="array" ref="X550">_xlfn.IFS(Tabla1[[#This Row],[Porcentaje de muertes]]&lt;0.35,"LEVE",AND(Tabla1[[#This Row],[Porcentaje de muertes]]&gt;0.35,Tabla1[[#This Row],[Porcentaje de muertes]]&lt;0.65),"MEDIO",Tabla1[[#This Row],[Porcentaje de muertes]]&gt;0.65,"GRAVE")</f>
        <v>GRAVE</v>
      </c>
    </row>
    <row r="551" spans="2:24" x14ac:dyDescent="0.3">
      <c r="B551" s="9">
        <v>549</v>
      </c>
      <c r="C551" s="49">
        <v>14300</v>
      </c>
      <c r="D551" s="9">
        <f>YEAR(Tabla1[[#This Row],[Date]])</f>
        <v>1939</v>
      </c>
      <c r="E551" s="9" t="str" cm="1">
        <f t="array" ref="E551">IFERROR(_xlfn.IFS(AND(D551&lt;1980,D551&gt;=1970),"70",AND(D551&lt;1990,D551&gt;=1980),"80",AND(D551&lt;2000,D551&gt;=1990),"90",AND(D551&lt;2010,D551&gt;=2000),"00",AND(D551&lt;=2019,D551&gt;=2010),"10"),"1908-1970")</f>
        <v>1908-1970</v>
      </c>
      <c r="F551" s="3">
        <v>0.40625</v>
      </c>
      <c r="G551" t="s">
        <v>7392</v>
      </c>
      <c r="H551" t="s">
        <v>5417</v>
      </c>
      <c r="I551" t="s">
        <v>28931</v>
      </c>
      <c r="J551" t="s">
        <v>7393</v>
      </c>
      <c r="K551" t="s">
        <v>6555</v>
      </c>
      <c r="L551" s="7" t="s">
        <v>7394</v>
      </c>
      <c r="M551">
        <v>5210</v>
      </c>
      <c r="N551">
        <v>10</v>
      </c>
      <c r="O551">
        <v>6</v>
      </c>
      <c r="P551">
        <v>4</v>
      </c>
      <c r="Q551">
        <v>10</v>
      </c>
      <c r="R551">
        <v>6</v>
      </c>
      <c r="S551">
        <v>4</v>
      </c>
      <c r="T551">
        <v>0</v>
      </c>
      <c r="U551" t="s">
        <v>7395</v>
      </c>
      <c r="V551">
        <f>Tabla1[[#This Row],[Aboard]]-Tabla1[[#This Row],[Fatalities]]</f>
        <v>0</v>
      </c>
      <c r="W551" s="50">
        <f>IFERROR(Tabla1[[#This Row],[Fatalities]]/Tabla1[[#This Row],[Aboard]],0)</f>
        <v>1</v>
      </c>
      <c r="X551" s="51" t="str" cm="1">
        <f t="array" ref="X551">_xlfn.IFS(Tabla1[[#This Row],[Porcentaje de muertes]]&lt;0.35,"LEVE",AND(Tabla1[[#This Row],[Porcentaje de muertes]]&gt;0.35,Tabla1[[#This Row],[Porcentaje de muertes]]&lt;0.65),"MEDIO",Tabla1[[#This Row],[Porcentaje de muertes]]&gt;0.65,"GRAVE")</f>
        <v>GRAVE</v>
      </c>
    </row>
    <row r="552" spans="2:24" x14ac:dyDescent="0.3">
      <c r="B552" s="9">
        <v>550</v>
      </c>
      <c r="C552" s="49">
        <v>14318</v>
      </c>
      <c r="D552" s="9">
        <f>YEAR(Tabla1[[#This Row],[Date]])</f>
        <v>1939</v>
      </c>
      <c r="E552" s="9" t="str" cm="1">
        <f t="array" ref="E552">IFERROR(_xlfn.IFS(AND(D552&lt;1980,D552&gt;=1970),"70",AND(D552&lt;1990,D552&gt;=1980),"80",AND(D552&lt;2000,D552&gt;=1990),"90",AND(D552&lt;2010,D552&gt;=2000),"00",AND(D552&lt;=2019,D552&gt;=2010),"10"),"1908-1970")</f>
        <v>1908-1970</v>
      </c>
      <c r="F552" s="3" t="s">
        <v>28931</v>
      </c>
      <c r="G552" t="s">
        <v>7396</v>
      </c>
      <c r="H552" t="s">
        <v>5957</v>
      </c>
      <c r="I552" t="s">
        <v>28931</v>
      </c>
      <c r="J552" t="s">
        <v>7397</v>
      </c>
      <c r="K552" t="s">
        <v>6742</v>
      </c>
      <c r="L552" s="7" t="s">
        <v>7398</v>
      </c>
      <c r="M552">
        <v>5815</v>
      </c>
      <c r="N552">
        <v>3</v>
      </c>
      <c r="O552">
        <v>0</v>
      </c>
      <c r="P552">
        <v>3</v>
      </c>
      <c r="Q552">
        <v>3</v>
      </c>
      <c r="R552">
        <v>0</v>
      </c>
      <c r="S552">
        <v>3</v>
      </c>
      <c r="T552">
        <v>0</v>
      </c>
      <c r="U552" t="s">
        <v>7399</v>
      </c>
      <c r="V552">
        <f>Tabla1[[#This Row],[Aboard]]-Tabla1[[#This Row],[Fatalities]]</f>
        <v>0</v>
      </c>
      <c r="W552" s="50">
        <f>IFERROR(Tabla1[[#This Row],[Fatalities]]/Tabla1[[#This Row],[Aboard]],0)</f>
        <v>1</v>
      </c>
      <c r="X552" s="51" t="str" cm="1">
        <f t="array" ref="X552">_xlfn.IFS(Tabla1[[#This Row],[Porcentaje de muertes]]&lt;0.35,"LEVE",AND(Tabla1[[#This Row],[Porcentaje de muertes]]&gt;0.35,Tabla1[[#This Row],[Porcentaje de muertes]]&lt;0.65),"MEDIO",Tabla1[[#This Row],[Porcentaje de muertes]]&gt;0.65,"GRAVE")</f>
        <v>GRAVE</v>
      </c>
    </row>
    <row r="553" spans="2:24" x14ac:dyDescent="0.3">
      <c r="B553" s="9">
        <v>551</v>
      </c>
      <c r="C553" s="49">
        <v>14320</v>
      </c>
      <c r="D553" s="9">
        <f>YEAR(Tabla1[[#This Row],[Date]])</f>
        <v>1939</v>
      </c>
      <c r="E553" s="9" t="str" cm="1">
        <f t="array" ref="E553">IFERROR(_xlfn.IFS(AND(D553&lt;1980,D553&gt;=1970),"70",AND(D553&lt;1990,D553&gt;=1980),"80",AND(D553&lt;2000,D553&gt;=1990),"90",AND(D553&lt;2010,D553&gt;=2000),"00",AND(D553&lt;=2019,D553&gt;=2010),"10"),"1908-1970")</f>
        <v>1908-1970</v>
      </c>
      <c r="F553" s="3" t="s">
        <v>28931</v>
      </c>
      <c r="G553" t="s">
        <v>7400</v>
      </c>
      <c r="H553" t="s">
        <v>5417</v>
      </c>
      <c r="I553" t="s">
        <v>28931</v>
      </c>
      <c r="J553" t="s">
        <v>28931</v>
      </c>
      <c r="K553" t="s">
        <v>7401</v>
      </c>
      <c r="L553" s="7" t="s">
        <v>28931</v>
      </c>
      <c r="M553" t="s">
        <v>28931</v>
      </c>
      <c r="N553">
        <v>8</v>
      </c>
      <c r="O553">
        <v>6</v>
      </c>
      <c r="P553">
        <v>2</v>
      </c>
      <c r="Q553">
        <v>8</v>
      </c>
      <c r="R553">
        <v>6</v>
      </c>
      <c r="S553">
        <v>2</v>
      </c>
      <c r="T553">
        <v>0</v>
      </c>
      <c r="U553" t="s">
        <v>28927</v>
      </c>
      <c r="V553">
        <f>Tabla1[[#This Row],[Aboard]]-Tabla1[[#This Row],[Fatalities]]</f>
        <v>0</v>
      </c>
      <c r="W553" s="50">
        <f>IFERROR(Tabla1[[#This Row],[Fatalities]]/Tabla1[[#This Row],[Aboard]],0)</f>
        <v>1</v>
      </c>
      <c r="X553" s="51" t="str" cm="1">
        <f t="array" ref="X553">_xlfn.IFS(Tabla1[[#This Row],[Porcentaje de muertes]]&lt;0.35,"LEVE",AND(Tabla1[[#This Row],[Porcentaje de muertes]]&gt;0.35,Tabla1[[#This Row],[Porcentaje de muertes]]&lt;0.65),"MEDIO",Tabla1[[#This Row],[Porcentaje de muertes]]&gt;0.65,"GRAVE")</f>
        <v>GRAVE</v>
      </c>
    </row>
    <row r="554" spans="2:24" x14ac:dyDescent="0.3">
      <c r="B554" s="9">
        <v>552</v>
      </c>
      <c r="C554" s="49">
        <v>14322</v>
      </c>
      <c r="D554" s="9">
        <f>YEAR(Tabla1[[#This Row],[Date]])</f>
        <v>1939</v>
      </c>
      <c r="E554" s="9" t="str" cm="1">
        <f t="array" ref="E554">IFERROR(_xlfn.IFS(AND(D554&lt;1980,D554&gt;=1970),"70",AND(D554&lt;1990,D554&gt;=1980),"80",AND(D554&lt;2000,D554&gt;=1990),"90",AND(D554&lt;2010,D554&gt;=2000),"00",AND(D554&lt;=2019,D554&gt;=2010),"10"),"1908-1970")</f>
        <v>1908-1970</v>
      </c>
      <c r="F554" s="3">
        <v>0.55347222222222225</v>
      </c>
      <c r="G554" t="s">
        <v>7402</v>
      </c>
      <c r="H554" t="s">
        <v>6415</v>
      </c>
      <c r="I554" t="s">
        <v>28931</v>
      </c>
      <c r="J554" t="s">
        <v>5028</v>
      </c>
      <c r="K554" t="s">
        <v>7403</v>
      </c>
      <c r="L554" s="7" t="s">
        <v>7404</v>
      </c>
      <c r="M554">
        <v>1994</v>
      </c>
      <c r="N554">
        <v>10</v>
      </c>
      <c r="O554">
        <v>8</v>
      </c>
      <c r="P554">
        <v>2</v>
      </c>
      <c r="Q554">
        <v>10</v>
      </c>
      <c r="R554">
        <v>8</v>
      </c>
      <c r="S554">
        <v>2</v>
      </c>
      <c r="T554">
        <v>0</v>
      </c>
      <c r="U554" t="s">
        <v>7405</v>
      </c>
      <c r="V554">
        <f>Tabla1[[#This Row],[Aboard]]-Tabla1[[#This Row],[Fatalities]]</f>
        <v>0</v>
      </c>
      <c r="W554" s="50">
        <f>IFERROR(Tabla1[[#This Row],[Fatalities]]/Tabla1[[#This Row],[Aboard]],0)</f>
        <v>1</v>
      </c>
      <c r="X554" s="51" t="str" cm="1">
        <f t="array" ref="X554">_xlfn.IFS(Tabla1[[#This Row],[Porcentaje de muertes]]&lt;0.35,"LEVE",AND(Tabla1[[#This Row],[Porcentaje de muertes]]&gt;0.35,Tabla1[[#This Row],[Porcentaje de muertes]]&lt;0.65),"MEDIO",Tabla1[[#This Row],[Porcentaje de muertes]]&gt;0.65,"GRAVE")</f>
        <v>GRAVE</v>
      </c>
    </row>
    <row r="555" spans="2:24" x14ac:dyDescent="0.3">
      <c r="B555" s="9">
        <v>553</v>
      </c>
      <c r="C555" s="49">
        <v>14330</v>
      </c>
      <c r="D555" s="9">
        <f>YEAR(Tabla1[[#This Row],[Date]])</f>
        <v>1939</v>
      </c>
      <c r="E555" s="9" t="str" cm="1">
        <f t="array" ref="E555">IFERROR(_xlfn.IFS(AND(D555&lt;1980,D555&gt;=1970),"70",AND(D555&lt;1990,D555&gt;=1980),"80",AND(D555&lt;2000,D555&gt;=1990),"90",AND(D555&lt;2010,D555&gt;=2000),"00",AND(D555&lt;=2019,D555&gt;=2010),"10"),"1908-1970")</f>
        <v>1908-1970</v>
      </c>
      <c r="F555" s="3">
        <v>0.6166666666666667</v>
      </c>
      <c r="G555" t="s">
        <v>7406</v>
      </c>
      <c r="H555" t="s">
        <v>6080</v>
      </c>
      <c r="I555">
        <v>1</v>
      </c>
      <c r="J555" t="s">
        <v>7407</v>
      </c>
      <c r="K555" t="s">
        <v>6587</v>
      </c>
      <c r="L555" s="7" t="s">
        <v>7408</v>
      </c>
      <c r="M555">
        <v>1253</v>
      </c>
      <c r="N555">
        <v>12</v>
      </c>
      <c r="O555">
        <v>9</v>
      </c>
      <c r="P555">
        <v>3</v>
      </c>
      <c r="Q555">
        <v>8</v>
      </c>
      <c r="R555">
        <v>7</v>
      </c>
      <c r="S555">
        <v>1</v>
      </c>
      <c r="T555">
        <v>0</v>
      </c>
      <c r="U555" t="s">
        <v>7409</v>
      </c>
      <c r="V555">
        <f>Tabla1[[#This Row],[Aboard]]-Tabla1[[#This Row],[Fatalities]]</f>
        <v>4</v>
      </c>
      <c r="W555" s="50">
        <f>IFERROR(Tabla1[[#This Row],[Fatalities]]/Tabla1[[#This Row],[Aboard]],0)</f>
        <v>0.66666666666666663</v>
      </c>
      <c r="X555" s="51" t="str" cm="1">
        <f t="array" ref="X555">_xlfn.IFS(Tabla1[[#This Row],[Porcentaje de muertes]]&lt;0.35,"LEVE",AND(Tabla1[[#This Row],[Porcentaje de muertes]]&gt;0.35,Tabla1[[#This Row],[Porcentaje de muertes]]&lt;0.65),"MEDIO",Tabla1[[#This Row],[Porcentaje de muertes]]&gt;0.65,"GRAVE")</f>
        <v>GRAVE</v>
      </c>
    </row>
    <row r="556" spans="2:24" x14ac:dyDescent="0.3">
      <c r="B556" s="9">
        <v>554</v>
      </c>
      <c r="C556" s="49">
        <v>14308</v>
      </c>
      <c r="D556" s="9">
        <f>YEAR(Tabla1[[#This Row],[Date]])</f>
        <v>1939</v>
      </c>
      <c r="E556" s="9" t="str" cm="1">
        <f t="array" ref="E556">IFERROR(_xlfn.IFS(AND(D556&lt;1980,D556&gt;=1970),"70",AND(D556&lt;1990,D556&gt;=1980),"80",AND(D556&lt;2000,D556&gt;=1990),"90",AND(D556&lt;2010,D556&gt;=2000),"00",AND(D556&lt;=2019,D556&gt;=2010),"10"),"1908-1970")</f>
        <v>1908-1970</v>
      </c>
      <c r="F556" s="3" t="s">
        <v>28931</v>
      </c>
      <c r="G556" t="s">
        <v>7410</v>
      </c>
      <c r="H556" t="s">
        <v>6375</v>
      </c>
      <c r="I556" t="s">
        <v>28931</v>
      </c>
      <c r="J556" t="s">
        <v>28931</v>
      </c>
      <c r="K556" t="s">
        <v>7411</v>
      </c>
      <c r="L556" s="7" t="s">
        <v>7412</v>
      </c>
      <c r="M556">
        <v>7372</v>
      </c>
      <c r="N556">
        <v>9</v>
      </c>
      <c r="O556" t="s">
        <v>5038</v>
      </c>
      <c r="P556" t="s">
        <v>5038</v>
      </c>
      <c r="Q556">
        <v>9</v>
      </c>
      <c r="R556" t="s">
        <v>5038</v>
      </c>
      <c r="S556" t="s">
        <v>5038</v>
      </c>
      <c r="T556">
        <v>0</v>
      </c>
      <c r="U556" t="s">
        <v>7413</v>
      </c>
      <c r="V556">
        <f>Tabla1[[#This Row],[Aboard]]-Tabla1[[#This Row],[Fatalities]]</f>
        <v>0</v>
      </c>
      <c r="W556" s="50">
        <f>IFERROR(Tabla1[[#This Row],[Fatalities]]/Tabla1[[#This Row],[Aboard]],0)</f>
        <v>1</v>
      </c>
      <c r="X556" s="51" t="str" cm="1">
        <f t="array" ref="X556">_xlfn.IFS(Tabla1[[#This Row],[Porcentaje de muertes]]&lt;0.35,"LEVE",AND(Tabla1[[#This Row],[Porcentaje de muertes]]&gt;0.35,Tabla1[[#This Row],[Porcentaje de muertes]]&lt;0.65),"MEDIO",Tabla1[[#This Row],[Porcentaje de muertes]]&gt;0.65,"GRAVE")</f>
        <v>GRAVE</v>
      </c>
    </row>
    <row r="557" spans="2:24" x14ac:dyDescent="0.3">
      <c r="B557" s="9">
        <v>555</v>
      </c>
      <c r="C557" s="49">
        <v>14250</v>
      </c>
      <c r="D557" s="9">
        <f>YEAR(Tabla1[[#This Row],[Date]])</f>
        <v>1939</v>
      </c>
      <c r="E557" s="9" t="str" cm="1">
        <f t="array" ref="E557">IFERROR(_xlfn.IFS(AND(D557&lt;1980,D557&gt;=1970),"70",AND(D557&lt;1990,D557&gt;=1980),"80",AND(D557&lt;2000,D557&gt;=1990),"90",AND(D557&lt;2010,D557&gt;=2000),"00",AND(D557&lt;=2019,D557&gt;=2010),"10"),"1908-1970")</f>
        <v>1908-1970</v>
      </c>
      <c r="F557" s="3" t="s">
        <v>28931</v>
      </c>
      <c r="G557" t="s">
        <v>7414</v>
      </c>
      <c r="H557" t="s">
        <v>5350</v>
      </c>
      <c r="I557" t="s">
        <v>28931</v>
      </c>
      <c r="J557" t="s">
        <v>7415</v>
      </c>
      <c r="K557" t="s">
        <v>7416</v>
      </c>
      <c r="L557" s="7" t="s">
        <v>7417</v>
      </c>
      <c r="M557" t="s">
        <v>7418</v>
      </c>
      <c r="N557">
        <v>4</v>
      </c>
      <c r="O557">
        <v>0</v>
      </c>
      <c r="P557">
        <v>4</v>
      </c>
      <c r="Q557">
        <v>2</v>
      </c>
      <c r="R557">
        <v>0</v>
      </c>
      <c r="S557">
        <v>2</v>
      </c>
      <c r="T557">
        <v>0</v>
      </c>
      <c r="U557" t="s">
        <v>7419</v>
      </c>
      <c r="V557">
        <f>Tabla1[[#This Row],[Aboard]]-Tabla1[[#This Row],[Fatalities]]</f>
        <v>2</v>
      </c>
      <c r="W557" s="50">
        <f>IFERROR(Tabla1[[#This Row],[Fatalities]]/Tabla1[[#This Row],[Aboard]],0)</f>
        <v>0.5</v>
      </c>
      <c r="X557" s="51" t="str" cm="1">
        <f t="array" ref="X557">_xlfn.IFS(Tabla1[[#This Row],[Porcentaje de muertes]]&lt;0.35,"LEVE",AND(Tabla1[[#This Row],[Porcentaje de muertes]]&gt;0.35,Tabla1[[#This Row],[Porcentaje de muertes]]&lt;0.65),"MEDIO",Tabla1[[#This Row],[Porcentaje de muertes]]&gt;0.65,"GRAVE")</f>
        <v>MEDIO</v>
      </c>
    </row>
    <row r="558" spans="2:24" x14ac:dyDescent="0.3">
      <c r="B558" s="9">
        <v>556</v>
      </c>
      <c r="C558" s="49">
        <v>14281</v>
      </c>
      <c r="D558" s="9">
        <f>YEAR(Tabla1[[#This Row],[Date]])</f>
        <v>1939</v>
      </c>
      <c r="E558" s="9" t="str" cm="1">
        <f t="array" ref="E558">IFERROR(_xlfn.IFS(AND(D558&lt;1980,D558&gt;=1970),"70",AND(D558&lt;1990,D558&gt;=1980),"80",AND(D558&lt;2000,D558&gt;=1990),"90",AND(D558&lt;2010,D558&gt;=2000),"00",AND(D558&lt;=2019,D558&gt;=2010),"10"),"1908-1970")</f>
        <v>1908-1970</v>
      </c>
      <c r="F558" s="3">
        <v>0.64583333333333337</v>
      </c>
      <c r="G558" t="s">
        <v>7410</v>
      </c>
      <c r="H558" t="s">
        <v>6375</v>
      </c>
      <c r="I558" t="s">
        <v>28931</v>
      </c>
      <c r="J558" t="s">
        <v>7420</v>
      </c>
      <c r="K558" t="s">
        <v>7176</v>
      </c>
      <c r="L558" s="7" t="s">
        <v>7421</v>
      </c>
      <c r="M558">
        <v>25</v>
      </c>
      <c r="N558">
        <v>9</v>
      </c>
      <c r="O558">
        <v>6</v>
      </c>
      <c r="P558">
        <v>3</v>
      </c>
      <c r="Q558">
        <v>9</v>
      </c>
      <c r="R558">
        <v>6</v>
      </c>
      <c r="S558">
        <v>3</v>
      </c>
      <c r="T558">
        <v>0</v>
      </c>
      <c r="U558" t="s">
        <v>7422</v>
      </c>
      <c r="V558">
        <f>Tabla1[[#This Row],[Aboard]]-Tabla1[[#This Row],[Fatalities]]</f>
        <v>0</v>
      </c>
      <c r="W558" s="50">
        <f>IFERROR(Tabla1[[#This Row],[Fatalities]]/Tabla1[[#This Row],[Aboard]],0)</f>
        <v>1</v>
      </c>
      <c r="X558" s="51" t="str" cm="1">
        <f t="array" ref="X558">_xlfn.IFS(Tabla1[[#This Row],[Porcentaje de muertes]]&lt;0.35,"LEVE",AND(Tabla1[[#This Row],[Porcentaje de muertes]]&gt;0.35,Tabla1[[#This Row],[Porcentaje de muertes]]&lt;0.65),"MEDIO",Tabla1[[#This Row],[Porcentaje de muertes]]&gt;0.65,"GRAVE")</f>
        <v>GRAVE</v>
      </c>
    </row>
    <row r="559" spans="2:24" x14ac:dyDescent="0.3">
      <c r="B559" s="9">
        <v>557</v>
      </c>
      <c r="C559" s="49">
        <v>14462</v>
      </c>
      <c r="D559" s="9">
        <f>YEAR(Tabla1[[#This Row],[Date]])</f>
        <v>1939</v>
      </c>
      <c r="E559" s="9" t="str" cm="1">
        <f t="array" ref="E559">IFERROR(_xlfn.IFS(AND(D559&lt;1980,D559&gt;=1970),"70",AND(D559&lt;1990,D559&gt;=1980),"80",AND(D559&lt;2000,D559&gt;=1990),"90",AND(D559&lt;2010,D559&gt;=2000),"00",AND(D559&lt;=2019,D559&gt;=2010),"10"),"1908-1970")</f>
        <v>1908-1970</v>
      </c>
      <c r="F559" s="3">
        <v>0.5</v>
      </c>
      <c r="G559" t="s">
        <v>7423</v>
      </c>
      <c r="H559" t="s">
        <v>7424</v>
      </c>
      <c r="I559" t="s">
        <v>28931</v>
      </c>
      <c r="J559" t="s">
        <v>28931</v>
      </c>
      <c r="K559" t="s">
        <v>7425</v>
      </c>
      <c r="L559" s="7" t="s">
        <v>28931</v>
      </c>
      <c r="M559" t="s">
        <v>28931</v>
      </c>
      <c r="N559">
        <v>1</v>
      </c>
      <c r="O559">
        <v>0</v>
      </c>
      <c r="P559">
        <v>1</v>
      </c>
      <c r="Q559">
        <v>1</v>
      </c>
      <c r="R559">
        <v>0</v>
      </c>
      <c r="S559">
        <v>1</v>
      </c>
      <c r="T559">
        <v>22</v>
      </c>
      <c r="U559" t="s">
        <v>7426</v>
      </c>
      <c r="V559">
        <f>Tabla1[[#This Row],[Aboard]]-Tabla1[[#This Row],[Fatalities]]</f>
        <v>0</v>
      </c>
      <c r="W559" s="50">
        <f>IFERROR(Tabla1[[#This Row],[Fatalities]]/Tabla1[[#This Row],[Aboard]],0)</f>
        <v>1</v>
      </c>
      <c r="X559" s="51" t="str" cm="1">
        <f t="array" ref="X559">_xlfn.IFS(Tabla1[[#This Row],[Porcentaje de muertes]]&lt;0.35,"LEVE",AND(Tabla1[[#This Row],[Porcentaje de muertes]]&gt;0.35,Tabla1[[#This Row],[Porcentaje de muertes]]&lt;0.65),"MEDIO",Tabla1[[#This Row],[Porcentaje de muertes]]&gt;0.65,"GRAVE")</f>
        <v>GRAVE</v>
      </c>
    </row>
    <row r="560" spans="2:24" x14ac:dyDescent="0.3">
      <c r="B560" s="9">
        <v>558</v>
      </c>
      <c r="C560" s="49">
        <v>14402</v>
      </c>
      <c r="D560" s="9">
        <f>YEAR(Tabla1[[#This Row],[Date]])</f>
        <v>1939</v>
      </c>
      <c r="E560" s="9" t="str" cm="1">
        <f t="array" ref="E560">IFERROR(_xlfn.IFS(AND(D560&lt;1980,D560&gt;=1970),"70",AND(D560&lt;1990,D560&gt;=1980),"80",AND(D560&lt;2000,D560&gt;=1990),"90",AND(D560&lt;2010,D560&gt;=2000),"00",AND(D560&lt;=2019,D560&gt;=2010),"10"),"1908-1970")</f>
        <v>1908-1970</v>
      </c>
      <c r="F560" s="3">
        <v>0.3923611111111111</v>
      </c>
      <c r="G560" t="s">
        <v>7324</v>
      </c>
      <c r="H560" t="s">
        <v>7427</v>
      </c>
      <c r="I560" t="s">
        <v>28931</v>
      </c>
      <c r="J560" t="s">
        <v>6190</v>
      </c>
      <c r="K560" t="s">
        <v>6635</v>
      </c>
      <c r="L560" s="7" t="s">
        <v>7428</v>
      </c>
      <c r="M560">
        <v>1360</v>
      </c>
      <c r="N560">
        <v>4</v>
      </c>
      <c r="O560">
        <v>0</v>
      </c>
      <c r="P560">
        <v>4</v>
      </c>
      <c r="Q560">
        <v>0</v>
      </c>
      <c r="R560">
        <v>0</v>
      </c>
      <c r="S560">
        <v>0</v>
      </c>
      <c r="T560">
        <v>1</v>
      </c>
      <c r="U560" t="s">
        <v>7429</v>
      </c>
      <c r="V560">
        <f>Tabla1[[#This Row],[Aboard]]-Tabla1[[#This Row],[Fatalities]]</f>
        <v>4</v>
      </c>
      <c r="W560" s="50">
        <f>IFERROR(Tabla1[[#This Row],[Fatalities]]/Tabla1[[#This Row],[Aboard]],0)</f>
        <v>0</v>
      </c>
      <c r="X560" s="51" t="str" cm="1">
        <f t="array" ref="X560">_xlfn.IFS(Tabla1[[#This Row],[Porcentaje de muertes]]&lt;0.35,"LEVE",AND(Tabla1[[#This Row],[Porcentaje de muertes]]&gt;0.35,Tabla1[[#This Row],[Porcentaje de muertes]]&lt;0.65),"MEDIO",Tabla1[[#This Row],[Porcentaje de muertes]]&gt;0.65,"GRAVE")</f>
        <v>LEVE</v>
      </c>
    </row>
    <row r="561" spans="2:24" x14ac:dyDescent="0.3">
      <c r="B561" s="9">
        <v>559</v>
      </c>
      <c r="C561" s="49">
        <v>14524</v>
      </c>
      <c r="D561" s="9">
        <f>YEAR(Tabla1[[#This Row],[Date]])</f>
        <v>1939</v>
      </c>
      <c r="E561" s="9" t="str" cm="1">
        <f t="array" ref="E561">IFERROR(_xlfn.IFS(AND(D561&lt;1980,D561&gt;=1970),"70",AND(D561&lt;1990,D561&gt;=1980),"80",AND(D561&lt;2000,D561&gt;=1990),"90",AND(D561&lt;2010,D561&gt;=2000),"00",AND(D561&lt;=2019,D561&gt;=2010),"10"),"1908-1970")</f>
        <v>1908-1970</v>
      </c>
      <c r="F561" s="3">
        <v>0.68055555555555547</v>
      </c>
      <c r="G561" t="s">
        <v>7430</v>
      </c>
      <c r="H561" t="s">
        <v>5332</v>
      </c>
      <c r="I561" t="s">
        <v>28931</v>
      </c>
      <c r="J561" t="s">
        <v>7431</v>
      </c>
      <c r="K561" t="s">
        <v>7432</v>
      </c>
      <c r="L561" s="7" t="s">
        <v>7433</v>
      </c>
      <c r="M561">
        <v>4305</v>
      </c>
      <c r="N561">
        <v>3</v>
      </c>
      <c r="O561">
        <v>1</v>
      </c>
      <c r="P561">
        <v>2</v>
      </c>
      <c r="Q561">
        <v>3</v>
      </c>
      <c r="R561">
        <v>1</v>
      </c>
      <c r="S561">
        <v>2</v>
      </c>
      <c r="T561">
        <v>0</v>
      </c>
      <c r="U561" t="s">
        <v>7434</v>
      </c>
      <c r="V561">
        <f>Tabla1[[#This Row],[Aboard]]-Tabla1[[#This Row],[Fatalities]]</f>
        <v>0</v>
      </c>
      <c r="W561" s="50">
        <f>IFERROR(Tabla1[[#This Row],[Fatalities]]/Tabla1[[#This Row],[Aboard]],0)</f>
        <v>1</v>
      </c>
      <c r="X561" s="51" t="str" cm="1">
        <f t="array" ref="X561">_xlfn.IFS(Tabla1[[#This Row],[Porcentaje de muertes]]&lt;0.35,"LEVE",AND(Tabla1[[#This Row],[Porcentaje de muertes]]&gt;0.35,Tabla1[[#This Row],[Porcentaje de muertes]]&lt;0.65),"MEDIO",Tabla1[[#This Row],[Porcentaje de muertes]]&gt;0.65,"GRAVE")</f>
        <v>GRAVE</v>
      </c>
    </row>
    <row r="562" spans="2:24" x14ac:dyDescent="0.3">
      <c r="B562" s="9">
        <v>560</v>
      </c>
      <c r="C562" s="49">
        <v>14416</v>
      </c>
      <c r="D562" s="9">
        <f>YEAR(Tabla1[[#This Row],[Date]])</f>
        <v>1939</v>
      </c>
      <c r="E562" s="9" t="str" cm="1">
        <f t="array" ref="E562">IFERROR(_xlfn.IFS(AND(D562&lt;1980,D562&gt;=1970),"70",AND(D562&lt;1990,D562&gt;=1980),"80",AND(D562&lt;2000,D562&gt;=1990),"90",AND(D562&lt;2010,D562&gt;=2000),"00",AND(D562&lt;=2019,D562&gt;=2010),"10"),"1908-1970")</f>
        <v>1908-1970</v>
      </c>
      <c r="F562" s="3" t="s">
        <v>28931</v>
      </c>
      <c r="G562" t="s">
        <v>7435</v>
      </c>
      <c r="H562" t="s">
        <v>7436</v>
      </c>
      <c r="I562" t="s">
        <v>28931</v>
      </c>
      <c r="J562" t="s">
        <v>7437</v>
      </c>
      <c r="K562" t="s">
        <v>7438</v>
      </c>
      <c r="L562" s="7" t="s">
        <v>7439</v>
      </c>
      <c r="M562">
        <v>6355</v>
      </c>
      <c r="N562">
        <v>3</v>
      </c>
      <c r="O562">
        <v>1</v>
      </c>
      <c r="P562">
        <v>2</v>
      </c>
      <c r="Q562">
        <v>3</v>
      </c>
      <c r="R562">
        <v>1</v>
      </c>
      <c r="S562">
        <v>2</v>
      </c>
      <c r="T562">
        <v>0</v>
      </c>
      <c r="U562" t="s">
        <v>7440</v>
      </c>
      <c r="V562">
        <f>Tabla1[[#This Row],[Aboard]]-Tabla1[[#This Row],[Fatalities]]</f>
        <v>0</v>
      </c>
      <c r="W562" s="50">
        <f>IFERROR(Tabla1[[#This Row],[Fatalities]]/Tabla1[[#This Row],[Aboard]],0)</f>
        <v>1</v>
      </c>
      <c r="X562" s="51" t="str" cm="1">
        <f t="array" ref="X562">_xlfn.IFS(Tabla1[[#This Row],[Porcentaje de muertes]]&lt;0.35,"LEVE",AND(Tabla1[[#This Row],[Porcentaje de muertes]]&gt;0.35,Tabla1[[#This Row],[Porcentaje de muertes]]&lt;0.65),"MEDIO",Tabla1[[#This Row],[Porcentaje de muertes]]&gt;0.65,"GRAVE")</f>
        <v>GRAVE</v>
      </c>
    </row>
    <row r="563" spans="2:24" x14ac:dyDescent="0.3">
      <c r="B563" s="9">
        <v>561</v>
      </c>
      <c r="C563" s="49">
        <v>14446</v>
      </c>
      <c r="D563" s="9">
        <f>YEAR(Tabla1[[#This Row],[Date]])</f>
        <v>1939</v>
      </c>
      <c r="E563" s="9" t="str" cm="1">
        <f t="array" ref="E563">IFERROR(_xlfn.IFS(AND(D563&lt;1980,D563&gt;=1970),"70",AND(D563&lt;1990,D563&gt;=1980),"80",AND(D563&lt;2000,D563&gt;=1990),"90",AND(D563&lt;2010,D563&gt;=2000),"00",AND(D563&lt;=2019,D563&gt;=2010),"10"),"1908-1970")</f>
        <v>1908-1970</v>
      </c>
      <c r="F563" s="3">
        <v>0.78472222222222221</v>
      </c>
      <c r="G563" t="s">
        <v>7441</v>
      </c>
      <c r="H563" t="s">
        <v>6471</v>
      </c>
      <c r="I563" t="s">
        <v>28931</v>
      </c>
      <c r="J563" t="s">
        <v>7442</v>
      </c>
      <c r="K563" t="s">
        <v>7443</v>
      </c>
      <c r="L563" s="7" t="s">
        <v>7444</v>
      </c>
      <c r="M563" t="s">
        <v>7445</v>
      </c>
      <c r="N563">
        <v>6</v>
      </c>
      <c r="O563">
        <v>4</v>
      </c>
      <c r="P563">
        <v>2</v>
      </c>
      <c r="Q563">
        <v>6</v>
      </c>
      <c r="R563">
        <v>4</v>
      </c>
      <c r="S563">
        <v>2</v>
      </c>
      <c r="T563">
        <v>0</v>
      </c>
      <c r="U563" t="s">
        <v>7446</v>
      </c>
      <c r="V563">
        <f>Tabla1[[#This Row],[Aboard]]-Tabla1[[#This Row],[Fatalities]]</f>
        <v>0</v>
      </c>
      <c r="W563" s="50">
        <f>IFERROR(Tabla1[[#This Row],[Fatalities]]/Tabla1[[#This Row],[Aboard]],0)</f>
        <v>1</v>
      </c>
      <c r="X563" s="51" t="str" cm="1">
        <f t="array" ref="X563">_xlfn.IFS(Tabla1[[#This Row],[Porcentaje de muertes]]&lt;0.35,"LEVE",AND(Tabla1[[#This Row],[Porcentaje de muertes]]&gt;0.35,Tabla1[[#This Row],[Porcentaje de muertes]]&lt;0.65),"MEDIO",Tabla1[[#This Row],[Porcentaje de muertes]]&gt;0.65,"GRAVE")</f>
        <v>GRAVE</v>
      </c>
    </row>
    <row r="564" spans="2:24" x14ac:dyDescent="0.3">
      <c r="B564" s="9">
        <v>562</v>
      </c>
      <c r="C564" s="49">
        <v>14343</v>
      </c>
      <c r="D564" s="9">
        <f>YEAR(Tabla1[[#This Row],[Date]])</f>
        <v>1939</v>
      </c>
      <c r="E564" s="9" t="str" cm="1">
        <f t="array" ref="E564">IFERROR(_xlfn.IFS(AND(D564&lt;1980,D564&gt;=1970),"70",AND(D564&lt;1990,D564&gt;=1980),"80",AND(D564&lt;2000,D564&gt;=1990),"90",AND(D564&lt;2010,D564&gt;=2000),"00",AND(D564&lt;=2019,D564&gt;=2010),"10"),"1908-1970")</f>
        <v>1908-1970</v>
      </c>
      <c r="F564" s="3" t="s">
        <v>28931</v>
      </c>
      <c r="G564" t="s">
        <v>5181</v>
      </c>
      <c r="H564" t="s">
        <v>5417</v>
      </c>
      <c r="I564" t="s">
        <v>28931</v>
      </c>
      <c r="J564" t="s">
        <v>7447</v>
      </c>
      <c r="K564" t="s">
        <v>6555</v>
      </c>
      <c r="L564" s="7" t="s">
        <v>7448</v>
      </c>
      <c r="M564">
        <v>5942</v>
      </c>
      <c r="N564">
        <v>7</v>
      </c>
      <c r="O564">
        <v>4</v>
      </c>
      <c r="P564">
        <v>3</v>
      </c>
      <c r="Q564">
        <v>7</v>
      </c>
      <c r="R564">
        <v>4</v>
      </c>
      <c r="S564">
        <v>3</v>
      </c>
      <c r="T564">
        <v>0</v>
      </c>
      <c r="U564" t="s">
        <v>7449</v>
      </c>
      <c r="V564">
        <f>Tabla1[[#This Row],[Aboard]]-Tabla1[[#This Row],[Fatalities]]</f>
        <v>0</v>
      </c>
      <c r="W564" s="50">
        <f>IFERROR(Tabla1[[#This Row],[Fatalities]]/Tabla1[[#This Row],[Aboard]],0)</f>
        <v>1</v>
      </c>
      <c r="X564" s="51" t="str" cm="1">
        <f t="array" ref="X564">_xlfn.IFS(Tabla1[[#This Row],[Porcentaje de muertes]]&lt;0.35,"LEVE",AND(Tabla1[[#This Row],[Porcentaje de muertes]]&gt;0.35,Tabla1[[#This Row],[Porcentaje de muertes]]&lt;0.65),"MEDIO",Tabla1[[#This Row],[Porcentaje de muertes]]&gt;0.65,"GRAVE")</f>
        <v>GRAVE</v>
      </c>
    </row>
    <row r="565" spans="2:24" x14ac:dyDescent="0.3">
      <c r="B565" s="9">
        <v>563</v>
      </c>
      <c r="C565" s="49">
        <v>14470</v>
      </c>
      <c r="D565" s="9">
        <f>YEAR(Tabla1[[#This Row],[Date]])</f>
        <v>1939</v>
      </c>
      <c r="E565" s="9" t="str" cm="1">
        <f t="array" ref="E565">IFERROR(_xlfn.IFS(AND(D565&lt;1980,D565&gt;=1970),"70",AND(D565&lt;1990,D565&gt;=1980),"80",AND(D565&lt;2000,D565&gt;=1990),"90",AND(D565&lt;2010,D565&gt;=2000),"00",AND(D565&lt;=2019,D565&gt;=2010),"10"),"1908-1970")</f>
        <v>1908-1970</v>
      </c>
      <c r="F565" s="3">
        <v>0.69097222222222221</v>
      </c>
      <c r="G565" t="s">
        <v>7450</v>
      </c>
      <c r="H565" t="s">
        <v>7121</v>
      </c>
      <c r="I565" t="s">
        <v>28931</v>
      </c>
      <c r="J565" t="s">
        <v>7451</v>
      </c>
      <c r="K565" t="s">
        <v>7452</v>
      </c>
      <c r="L565" s="7" t="s">
        <v>7453</v>
      </c>
      <c r="M565">
        <v>4316</v>
      </c>
      <c r="N565">
        <v>16</v>
      </c>
      <c r="O565">
        <v>12</v>
      </c>
      <c r="P565">
        <v>4</v>
      </c>
      <c r="Q565">
        <v>14</v>
      </c>
      <c r="R565">
        <v>10</v>
      </c>
      <c r="S565">
        <v>4</v>
      </c>
      <c r="T565">
        <v>0</v>
      </c>
      <c r="U565" t="s">
        <v>7454</v>
      </c>
      <c r="V565">
        <f>Tabla1[[#This Row],[Aboard]]-Tabla1[[#This Row],[Fatalities]]</f>
        <v>2</v>
      </c>
      <c r="W565" s="50">
        <f>IFERROR(Tabla1[[#This Row],[Fatalities]]/Tabla1[[#This Row],[Aboard]],0)</f>
        <v>0.875</v>
      </c>
      <c r="X565" s="51" t="str" cm="1">
        <f t="array" ref="X565">_xlfn.IFS(Tabla1[[#This Row],[Porcentaje de muertes]]&lt;0.35,"LEVE",AND(Tabla1[[#This Row],[Porcentaje de muertes]]&gt;0.35,Tabla1[[#This Row],[Porcentaje de muertes]]&lt;0.65),"MEDIO",Tabla1[[#This Row],[Porcentaje de muertes]]&gt;0.65,"GRAVE")</f>
        <v>GRAVE</v>
      </c>
    </row>
    <row r="566" spans="2:24" x14ac:dyDescent="0.3">
      <c r="B566" s="9">
        <v>564</v>
      </c>
      <c r="C566" s="49">
        <v>14472</v>
      </c>
      <c r="D566" s="9">
        <f>YEAR(Tabla1[[#This Row],[Date]])</f>
        <v>1939</v>
      </c>
      <c r="E566" s="9" t="str" cm="1">
        <f t="array" ref="E566">IFERROR(_xlfn.IFS(AND(D566&lt;1980,D566&gt;=1970),"70",AND(D566&lt;1990,D566&gt;=1980),"80",AND(D566&lt;2000,D566&gt;=1990),"90",AND(D566&lt;2010,D566&gt;=2000),"00",AND(D566&lt;=2019,D566&gt;=2010),"10"),"1908-1970")</f>
        <v>1908-1970</v>
      </c>
      <c r="F566" s="3">
        <v>0.54166666666666663</v>
      </c>
      <c r="G566" t="s">
        <v>7455</v>
      </c>
      <c r="H566" t="s">
        <v>6862</v>
      </c>
      <c r="I566" t="s">
        <v>28931</v>
      </c>
      <c r="J566" t="s">
        <v>7456</v>
      </c>
      <c r="K566" t="s">
        <v>6937</v>
      </c>
      <c r="L566" s="7" t="s">
        <v>7457</v>
      </c>
      <c r="M566">
        <v>1102</v>
      </c>
      <c r="N566">
        <v>6</v>
      </c>
      <c r="O566">
        <v>4</v>
      </c>
      <c r="P566">
        <v>2</v>
      </c>
      <c r="Q566">
        <v>5</v>
      </c>
      <c r="R566">
        <v>4</v>
      </c>
      <c r="S566">
        <v>1</v>
      </c>
      <c r="T566">
        <v>0</v>
      </c>
      <c r="U566" t="s">
        <v>7458</v>
      </c>
      <c r="V566">
        <f>Tabla1[[#This Row],[Aboard]]-Tabla1[[#This Row],[Fatalities]]</f>
        <v>1</v>
      </c>
      <c r="W566" s="50">
        <f>IFERROR(Tabla1[[#This Row],[Fatalities]]/Tabla1[[#This Row],[Aboard]],0)</f>
        <v>0.83333333333333337</v>
      </c>
      <c r="X566" s="51" t="str" cm="1">
        <f t="array" ref="X566">_xlfn.IFS(Tabla1[[#This Row],[Porcentaje de muertes]]&lt;0.35,"LEVE",AND(Tabla1[[#This Row],[Porcentaje de muertes]]&gt;0.35,Tabla1[[#This Row],[Porcentaje de muertes]]&lt;0.65),"MEDIO",Tabla1[[#This Row],[Porcentaje de muertes]]&gt;0.65,"GRAVE")</f>
        <v>GRAVE</v>
      </c>
    </row>
    <row r="567" spans="2:24" x14ac:dyDescent="0.3">
      <c r="B567" s="9">
        <v>565</v>
      </c>
      <c r="C567" s="49">
        <v>14485</v>
      </c>
      <c r="D567" s="9">
        <f>YEAR(Tabla1[[#This Row],[Date]])</f>
        <v>1939</v>
      </c>
      <c r="E567" s="9" t="str" cm="1">
        <f t="array" ref="E567">IFERROR(_xlfn.IFS(AND(D567&lt;1980,D567&gt;=1970),"70",AND(D567&lt;1990,D567&gt;=1980),"80",AND(D567&lt;2000,D567&gt;=1990),"90",AND(D567&lt;2010,D567&gt;=2000),"00",AND(D567&lt;=2019,D567&gt;=2010),"10"),"1908-1970")</f>
        <v>1908-1970</v>
      </c>
      <c r="F567" s="3" t="s">
        <v>28931</v>
      </c>
      <c r="G567" t="s">
        <v>7459</v>
      </c>
      <c r="H567" t="s">
        <v>7460</v>
      </c>
      <c r="I567" t="s">
        <v>28931</v>
      </c>
      <c r="J567" t="s">
        <v>7461</v>
      </c>
      <c r="K567" t="s">
        <v>7462</v>
      </c>
      <c r="L567" s="7" t="s">
        <v>7463</v>
      </c>
      <c r="M567">
        <v>6048</v>
      </c>
      <c r="N567">
        <v>2</v>
      </c>
      <c r="O567">
        <v>1</v>
      </c>
      <c r="P567">
        <v>1</v>
      </c>
      <c r="Q567">
        <v>2</v>
      </c>
      <c r="R567">
        <v>1</v>
      </c>
      <c r="S567">
        <v>1</v>
      </c>
      <c r="T567">
        <v>0</v>
      </c>
      <c r="U567" t="s">
        <v>7464</v>
      </c>
      <c r="V567">
        <f>Tabla1[[#This Row],[Aboard]]-Tabla1[[#This Row],[Fatalities]]</f>
        <v>0</v>
      </c>
      <c r="W567" s="50">
        <f>IFERROR(Tabla1[[#This Row],[Fatalities]]/Tabla1[[#This Row],[Aboard]],0)</f>
        <v>1</v>
      </c>
      <c r="X567" s="51" t="str" cm="1">
        <f t="array" ref="X567">_xlfn.IFS(Tabla1[[#This Row],[Porcentaje de muertes]]&lt;0.35,"LEVE",AND(Tabla1[[#This Row],[Porcentaje de muertes]]&gt;0.35,Tabla1[[#This Row],[Porcentaje de muertes]]&lt;0.65),"MEDIO",Tabla1[[#This Row],[Porcentaje de muertes]]&gt;0.65,"GRAVE")</f>
        <v>GRAVE</v>
      </c>
    </row>
    <row r="568" spans="2:24" x14ac:dyDescent="0.3">
      <c r="B568" s="9">
        <v>566</v>
      </c>
      <c r="C568" s="49">
        <v>14487</v>
      </c>
      <c r="D568" s="9">
        <f>YEAR(Tabla1[[#This Row],[Date]])</f>
        <v>1939</v>
      </c>
      <c r="E568" s="9" t="str" cm="1">
        <f t="array" ref="E568">IFERROR(_xlfn.IFS(AND(D568&lt;1980,D568&gt;=1970),"70",AND(D568&lt;1990,D568&gt;=1980),"80",AND(D568&lt;2000,D568&gt;=1990),"90",AND(D568&lt;2010,D568&gt;=2000),"00",AND(D568&lt;=2019,D568&gt;=2010),"10"),"1908-1970")</f>
        <v>1908-1970</v>
      </c>
      <c r="F568" s="3" t="s">
        <v>28931</v>
      </c>
      <c r="G568" t="s">
        <v>6820</v>
      </c>
      <c r="H568" t="s">
        <v>5417</v>
      </c>
      <c r="I568" t="s">
        <v>28931</v>
      </c>
      <c r="J568" t="s">
        <v>7465</v>
      </c>
      <c r="K568" t="s">
        <v>6555</v>
      </c>
      <c r="L568" s="7" t="s">
        <v>7466</v>
      </c>
      <c r="M568">
        <v>5800</v>
      </c>
      <c r="N568">
        <v>7</v>
      </c>
      <c r="O568">
        <v>4</v>
      </c>
      <c r="P568">
        <v>3</v>
      </c>
      <c r="Q568">
        <v>7</v>
      </c>
      <c r="R568">
        <v>4</v>
      </c>
      <c r="S568">
        <v>3</v>
      </c>
      <c r="T568">
        <v>0</v>
      </c>
      <c r="U568" t="s">
        <v>7467</v>
      </c>
      <c r="V568">
        <f>Tabla1[[#This Row],[Aboard]]-Tabla1[[#This Row],[Fatalities]]</f>
        <v>0</v>
      </c>
      <c r="W568" s="50">
        <f>IFERROR(Tabla1[[#This Row],[Fatalities]]/Tabla1[[#This Row],[Aboard]],0)</f>
        <v>1</v>
      </c>
      <c r="X568" s="51" t="str" cm="1">
        <f t="array" ref="X568">_xlfn.IFS(Tabla1[[#This Row],[Porcentaje de muertes]]&lt;0.35,"LEVE",AND(Tabla1[[#This Row],[Porcentaje de muertes]]&gt;0.35,Tabla1[[#This Row],[Porcentaje de muertes]]&lt;0.65),"MEDIO",Tabla1[[#This Row],[Porcentaje de muertes]]&gt;0.65,"GRAVE")</f>
        <v>GRAVE</v>
      </c>
    </row>
    <row r="569" spans="2:24" x14ac:dyDescent="0.3">
      <c r="B569" s="9">
        <v>567</v>
      </c>
      <c r="C569" s="49">
        <v>14514</v>
      </c>
      <c r="D569" s="9">
        <f>YEAR(Tabla1[[#This Row],[Date]])</f>
        <v>1939</v>
      </c>
      <c r="E569" s="9" t="str" cm="1">
        <f t="array" ref="E569">IFERROR(_xlfn.IFS(AND(D569&lt;1980,D569&gt;=1970),"70",AND(D569&lt;1990,D569&gt;=1980),"80",AND(D569&lt;2000,D569&gt;=1990),"90",AND(D569&lt;2010,D569&gt;=2000),"00",AND(D569&lt;=2019,D569&gt;=2010),"10"),"1908-1970")</f>
        <v>1908-1970</v>
      </c>
      <c r="F569" s="3">
        <v>0.59027777777777779</v>
      </c>
      <c r="G569" t="s">
        <v>7468</v>
      </c>
      <c r="H569" t="s">
        <v>5332</v>
      </c>
      <c r="I569" t="s">
        <v>28931</v>
      </c>
      <c r="J569" t="s">
        <v>7469</v>
      </c>
      <c r="K569" t="s">
        <v>7057</v>
      </c>
      <c r="L569" s="7" t="s">
        <v>7470</v>
      </c>
      <c r="M569">
        <v>2142</v>
      </c>
      <c r="N569">
        <v>20</v>
      </c>
      <c r="O569">
        <v>15</v>
      </c>
      <c r="P569">
        <v>5</v>
      </c>
      <c r="Q569">
        <v>1</v>
      </c>
      <c r="R569">
        <v>1</v>
      </c>
      <c r="S569">
        <v>0</v>
      </c>
      <c r="T569">
        <v>0</v>
      </c>
      <c r="U569" t="s">
        <v>7471</v>
      </c>
      <c r="V569">
        <f>Tabla1[[#This Row],[Aboard]]-Tabla1[[#This Row],[Fatalities]]</f>
        <v>19</v>
      </c>
      <c r="W569" s="50">
        <f>IFERROR(Tabla1[[#This Row],[Fatalities]]/Tabla1[[#This Row],[Aboard]],0)</f>
        <v>0.05</v>
      </c>
      <c r="X569" s="51" t="str" cm="1">
        <f t="array" ref="X569">_xlfn.IFS(Tabla1[[#This Row],[Porcentaje de muertes]]&lt;0.35,"LEVE",AND(Tabla1[[#This Row],[Porcentaje de muertes]]&gt;0.35,Tabla1[[#This Row],[Porcentaje de muertes]]&lt;0.65),"MEDIO",Tabla1[[#This Row],[Porcentaje de muertes]]&gt;0.65,"GRAVE")</f>
        <v>LEVE</v>
      </c>
    </row>
    <row r="570" spans="2:24" x14ac:dyDescent="0.3">
      <c r="B570" s="9">
        <v>568</v>
      </c>
      <c r="C570" s="49">
        <v>14528</v>
      </c>
      <c r="D570" s="9">
        <f>YEAR(Tabla1[[#This Row],[Date]])</f>
        <v>1939</v>
      </c>
      <c r="E570" s="9" t="str" cm="1">
        <f t="array" ref="E570">IFERROR(_xlfn.IFS(AND(D570&lt;1980,D570&gt;=1970),"70",AND(D570&lt;1990,D570&gt;=1980),"80",AND(D570&lt;2000,D570&gt;=1990),"90",AND(D570&lt;2010,D570&gt;=2000),"00",AND(D570&lt;=2019,D570&gt;=2010),"10"),"1908-1970")</f>
        <v>1908-1970</v>
      </c>
      <c r="F570" s="3">
        <v>0.3125</v>
      </c>
      <c r="G570" t="s">
        <v>7472</v>
      </c>
      <c r="H570" t="s">
        <v>7473</v>
      </c>
      <c r="I570" t="s">
        <v>28931</v>
      </c>
      <c r="J570" t="s">
        <v>7474</v>
      </c>
      <c r="K570" t="s">
        <v>6060</v>
      </c>
      <c r="L570" s="7" t="s">
        <v>7475</v>
      </c>
      <c r="M570" t="s">
        <v>28931</v>
      </c>
      <c r="N570">
        <v>5</v>
      </c>
      <c r="O570">
        <v>3</v>
      </c>
      <c r="P570">
        <v>2</v>
      </c>
      <c r="Q570">
        <v>5</v>
      </c>
      <c r="R570">
        <v>3</v>
      </c>
      <c r="S570">
        <v>2</v>
      </c>
      <c r="T570">
        <v>0</v>
      </c>
      <c r="U570" t="s">
        <v>7476</v>
      </c>
      <c r="V570">
        <f>Tabla1[[#This Row],[Aboard]]-Tabla1[[#This Row],[Fatalities]]</f>
        <v>0</v>
      </c>
      <c r="W570" s="50">
        <f>IFERROR(Tabla1[[#This Row],[Fatalities]]/Tabla1[[#This Row],[Aboard]],0)</f>
        <v>1</v>
      </c>
      <c r="X570" s="51" t="str" cm="1">
        <f t="array" ref="X570">_xlfn.IFS(Tabla1[[#This Row],[Porcentaje de muertes]]&lt;0.35,"LEVE",AND(Tabla1[[#This Row],[Porcentaje de muertes]]&gt;0.35,Tabla1[[#This Row],[Porcentaje de muertes]]&lt;0.65),"MEDIO",Tabla1[[#This Row],[Porcentaje de muertes]]&gt;0.65,"GRAVE")</f>
        <v>GRAVE</v>
      </c>
    </row>
    <row r="571" spans="2:24" x14ac:dyDescent="0.3">
      <c r="B571" s="9">
        <v>569</v>
      </c>
      <c r="C571" s="49">
        <v>14569</v>
      </c>
      <c r="D571" s="9">
        <f>YEAR(Tabla1[[#This Row],[Date]])</f>
        <v>1939</v>
      </c>
      <c r="E571" s="9" t="str" cm="1">
        <f t="array" ref="E571">IFERROR(_xlfn.IFS(AND(D571&lt;1980,D571&gt;=1970),"70",AND(D571&lt;1990,D571&gt;=1980),"80",AND(D571&lt;2000,D571&gt;=1990),"90",AND(D571&lt;2010,D571&gt;=2000),"00",AND(D571&lt;=2019,D571&gt;=2010),"10"),"1908-1970")</f>
        <v>1908-1970</v>
      </c>
      <c r="F571" s="3" t="s">
        <v>28931</v>
      </c>
      <c r="G571" t="s">
        <v>7477</v>
      </c>
      <c r="H571" t="s">
        <v>6862</v>
      </c>
      <c r="I571" t="s">
        <v>28931</v>
      </c>
      <c r="J571" t="s">
        <v>6190</v>
      </c>
      <c r="K571" t="s">
        <v>7478</v>
      </c>
      <c r="L571" s="7" t="s">
        <v>7479</v>
      </c>
      <c r="M571">
        <v>75</v>
      </c>
      <c r="N571">
        <v>2</v>
      </c>
      <c r="O571">
        <v>0</v>
      </c>
      <c r="P571">
        <v>2</v>
      </c>
      <c r="Q571">
        <v>2</v>
      </c>
      <c r="R571">
        <v>0</v>
      </c>
      <c r="S571">
        <v>2</v>
      </c>
      <c r="T571" t="s">
        <v>5038</v>
      </c>
      <c r="U571" t="s">
        <v>7480</v>
      </c>
      <c r="V571">
        <f>Tabla1[[#This Row],[Aboard]]-Tabla1[[#This Row],[Fatalities]]</f>
        <v>0</v>
      </c>
      <c r="W571" s="50">
        <f>IFERROR(Tabla1[[#This Row],[Fatalities]]/Tabla1[[#This Row],[Aboard]],0)</f>
        <v>1</v>
      </c>
      <c r="X571" s="51" t="str" cm="1">
        <f t="array" ref="X571">_xlfn.IFS(Tabla1[[#This Row],[Porcentaje de muertes]]&lt;0.35,"LEVE",AND(Tabla1[[#This Row],[Porcentaje de muertes]]&gt;0.35,Tabla1[[#This Row],[Porcentaje de muertes]]&lt;0.65),"MEDIO",Tabla1[[#This Row],[Porcentaje de muertes]]&gt;0.65,"GRAVE")</f>
        <v>GRAVE</v>
      </c>
    </row>
    <row r="572" spans="2:24" x14ac:dyDescent="0.3">
      <c r="B572" s="9">
        <v>570</v>
      </c>
      <c r="C572" s="49">
        <v>14597</v>
      </c>
      <c r="D572" s="9">
        <f>YEAR(Tabla1[[#This Row],[Date]])</f>
        <v>1939</v>
      </c>
      <c r="E572" s="9" t="str" cm="1">
        <f t="array" ref="E572">IFERROR(_xlfn.IFS(AND(D572&lt;1980,D572&gt;=1970),"70",AND(D572&lt;1990,D572&gt;=1980),"80",AND(D572&lt;2000,D572&gt;=1990),"90",AND(D572&lt;2010,D572&gt;=2000),"00",AND(D572&lt;=2019,D572&gt;=2010),"10"),"1908-1970")</f>
        <v>1908-1970</v>
      </c>
      <c r="F572" s="3">
        <v>0.34375</v>
      </c>
      <c r="G572" t="s">
        <v>7481</v>
      </c>
      <c r="H572" t="s">
        <v>5570</v>
      </c>
      <c r="I572" t="s">
        <v>28931</v>
      </c>
      <c r="J572" t="s">
        <v>7482</v>
      </c>
      <c r="K572" t="s">
        <v>6742</v>
      </c>
      <c r="L572" s="7" t="s">
        <v>7483</v>
      </c>
      <c r="M572">
        <v>5854</v>
      </c>
      <c r="N572">
        <v>9</v>
      </c>
      <c r="O572">
        <v>6</v>
      </c>
      <c r="P572">
        <v>3</v>
      </c>
      <c r="Q572">
        <v>9</v>
      </c>
      <c r="R572">
        <v>6</v>
      </c>
      <c r="S572">
        <v>3</v>
      </c>
      <c r="T572">
        <v>0</v>
      </c>
      <c r="U572" t="s">
        <v>7484</v>
      </c>
      <c r="V572">
        <f>Tabla1[[#This Row],[Aboard]]-Tabla1[[#This Row],[Fatalities]]</f>
        <v>0</v>
      </c>
      <c r="W572" s="50">
        <f>IFERROR(Tabla1[[#This Row],[Fatalities]]/Tabla1[[#This Row],[Aboard]],0)</f>
        <v>1</v>
      </c>
      <c r="X572" s="51" t="str" cm="1">
        <f t="array" ref="X572">_xlfn.IFS(Tabla1[[#This Row],[Porcentaje de muertes]]&lt;0.35,"LEVE",AND(Tabla1[[#This Row],[Porcentaje de muertes]]&gt;0.35,Tabla1[[#This Row],[Porcentaje de muertes]]&lt;0.65),"MEDIO",Tabla1[[#This Row],[Porcentaje de muertes]]&gt;0.65,"GRAVE")</f>
        <v>GRAVE</v>
      </c>
    </row>
    <row r="573" spans="2:24" x14ac:dyDescent="0.3">
      <c r="B573" s="9">
        <v>571</v>
      </c>
      <c r="C573" s="49">
        <v>14600</v>
      </c>
      <c r="D573" s="9">
        <f>YEAR(Tabla1[[#This Row],[Date]])</f>
        <v>1939</v>
      </c>
      <c r="E573" s="9" t="str" cm="1">
        <f t="array" ref="E573">IFERROR(_xlfn.IFS(AND(D573&lt;1980,D573&gt;=1970),"70",AND(D573&lt;1990,D573&gt;=1980),"80",AND(D573&lt;2000,D573&gt;=1990),"90",AND(D573&lt;2010,D573&gt;=2000),"00",AND(D573&lt;=2019,D573&gt;=2010),"10"),"1908-1970")</f>
        <v>1908-1970</v>
      </c>
      <c r="F573" s="3">
        <v>0.54166666666666663</v>
      </c>
      <c r="G573" t="s">
        <v>7485</v>
      </c>
      <c r="H573" t="s">
        <v>6862</v>
      </c>
      <c r="I573" t="s">
        <v>28931</v>
      </c>
      <c r="J573" t="s">
        <v>7486</v>
      </c>
      <c r="K573" t="s">
        <v>7226</v>
      </c>
      <c r="L573" s="7" t="s">
        <v>7487</v>
      </c>
      <c r="M573">
        <v>1444</v>
      </c>
      <c r="N573">
        <v>8</v>
      </c>
      <c r="O573">
        <v>6</v>
      </c>
      <c r="P573">
        <v>2</v>
      </c>
      <c r="Q573">
        <v>5</v>
      </c>
      <c r="R573">
        <v>3</v>
      </c>
      <c r="S573">
        <v>2</v>
      </c>
      <c r="T573">
        <v>0</v>
      </c>
      <c r="U573" t="s">
        <v>7488</v>
      </c>
      <c r="V573">
        <f>Tabla1[[#This Row],[Aboard]]-Tabla1[[#This Row],[Fatalities]]</f>
        <v>3</v>
      </c>
      <c r="W573" s="50">
        <f>IFERROR(Tabla1[[#This Row],[Fatalities]]/Tabla1[[#This Row],[Aboard]],0)</f>
        <v>0.625</v>
      </c>
      <c r="X573" s="51" t="str" cm="1">
        <f t="array" ref="X573">_xlfn.IFS(Tabla1[[#This Row],[Porcentaje de muertes]]&lt;0.35,"LEVE",AND(Tabla1[[#This Row],[Porcentaje de muertes]]&gt;0.35,Tabla1[[#This Row],[Porcentaje de muertes]]&lt;0.65),"MEDIO",Tabla1[[#This Row],[Porcentaje de muertes]]&gt;0.65,"GRAVE")</f>
        <v>MEDIO</v>
      </c>
    </row>
    <row r="574" spans="2:24" x14ac:dyDescent="0.3">
      <c r="B574" s="9">
        <v>572</v>
      </c>
      <c r="C574" s="49">
        <v>14603</v>
      </c>
      <c r="D574" s="9">
        <f>YEAR(Tabla1[[#This Row],[Date]])</f>
        <v>1939</v>
      </c>
      <c r="E574" s="9" t="str" cm="1">
        <f t="array" ref="E574">IFERROR(_xlfn.IFS(AND(D574&lt;1980,D574&gt;=1970),"70",AND(D574&lt;1990,D574&gt;=1980),"80",AND(D574&lt;2000,D574&gt;=1990),"90",AND(D574&lt;2010,D574&gt;=2000),"00",AND(D574&lt;=2019,D574&gt;=2010),"10"),"1908-1970")</f>
        <v>1908-1970</v>
      </c>
      <c r="F574" s="3">
        <v>0.33333333333333331</v>
      </c>
      <c r="G574" t="s">
        <v>7489</v>
      </c>
      <c r="H574" t="s">
        <v>7490</v>
      </c>
      <c r="I574" t="s">
        <v>28931</v>
      </c>
      <c r="J574" t="s">
        <v>7491</v>
      </c>
      <c r="K574" t="s">
        <v>7492</v>
      </c>
      <c r="L574" s="7" t="s">
        <v>7493</v>
      </c>
      <c r="M574">
        <v>34017</v>
      </c>
      <c r="N574">
        <v>7</v>
      </c>
      <c r="O574">
        <v>3</v>
      </c>
      <c r="P574">
        <v>4</v>
      </c>
      <c r="Q574">
        <v>7</v>
      </c>
      <c r="R574">
        <v>3</v>
      </c>
      <c r="S574">
        <v>4</v>
      </c>
      <c r="T574">
        <v>0</v>
      </c>
      <c r="U574" t="s">
        <v>7494</v>
      </c>
      <c r="V574">
        <f>Tabla1[[#This Row],[Aboard]]-Tabla1[[#This Row],[Fatalities]]</f>
        <v>0</v>
      </c>
      <c r="W574" s="50">
        <f>IFERROR(Tabla1[[#This Row],[Fatalities]]/Tabla1[[#This Row],[Aboard]],0)</f>
        <v>1</v>
      </c>
      <c r="X574" s="51" t="str" cm="1">
        <f t="array" ref="X574">_xlfn.IFS(Tabla1[[#This Row],[Porcentaje de muertes]]&lt;0.35,"LEVE",AND(Tabla1[[#This Row],[Porcentaje de muertes]]&gt;0.35,Tabla1[[#This Row],[Porcentaje de muertes]]&lt;0.65),"MEDIO",Tabla1[[#This Row],[Porcentaje de muertes]]&gt;0.65,"GRAVE")</f>
        <v>GRAVE</v>
      </c>
    </row>
    <row r="575" spans="2:24" x14ac:dyDescent="0.3">
      <c r="B575" s="9">
        <v>573</v>
      </c>
      <c r="C575" s="49">
        <v>14632</v>
      </c>
      <c r="D575" s="9">
        <f>YEAR(Tabla1[[#This Row],[Date]])</f>
        <v>1940</v>
      </c>
      <c r="E575" s="9" t="str" cm="1">
        <f t="array" ref="E575">IFERROR(_xlfn.IFS(AND(D575&lt;1980,D575&gt;=1970),"70",AND(D575&lt;1990,D575&gt;=1980),"80",AND(D575&lt;2000,D575&gt;=1990),"90",AND(D575&lt;2010,D575&gt;=2000),"00",AND(D575&lt;=2019,D575&gt;=2010),"10"),"1908-1970")</f>
        <v>1908-1970</v>
      </c>
      <c r="F575" s="3" t="s">
        <v>28931</v>
      </c>
      <c r="G575" t="s">
        <v>7495</v>
      </c>
      <c r="H575" t="s">
        <v>7496</v>
      </c>
      <c r="I575" t="s">
        <v>28931</v>
      </c>
      <c r="J575" t="s">
        <v>7497</v>
      </c>
      <c r="K575" t="s">
        <v>7226</v>
      </c>
      <c r="L575" s="7" t="s">
        <v>7498</v>
      </c>
      <c r="M575">
        <v>1415</v>
      </c>
      <c r="N575">
        <v>9</v>
      </c>
      <c r="O575">
        <v>5</v>
      </c>
      <c r="P575">
        <v>4</v>
      </c>
      <c r="Q575">
        <v>8</v>
      </c>
      <c r="R575">
        <v>5</v>
      </c>
      <c r="S575">
        <v>3</v>
      </c>
      <c r="T575">
        <v>0</v>
      </c>
      <c r="U575" t="s">
        <v>7499</v>
      </c>
      <c r="V575">
        <f>Tabla1[[#This Row],[Aboard]]-Tabla1[[#This Row],[Fatalities]]</f>
        <v>1</v>
      </c>
      <c r="W575" s="50">
        <f>IFERROR(Tabla1[[#This Row],[Fatalities]]/Tabla1[[#This Row],[Aboard]],0)</f>
        <v>0.88888888888888884</v>
      </c>
      <c r="X575" s="51" t="str" cm="1">
        <f t="array" ref="X575">_xlfn.IFS(Tabla1[[#This Row],[Porcentaje de muertes]]&lt;0.35,"LEVE",AND(Tabla1[[#This Row],[Porcentaje de muertes]]&gt;0.35,Tabla1[[#This Row],[Porcentaje de muertes]]&lt;0.65),"MEDIO",Tabla1[[#This Row],[Porcentaje de muertes]]&gt;0.65,"GRAVE")</f>
        <v>GRAVE</v>
      </c>
    </row>
    <row r="576" spans="2:24" x14ac:dyDescent="0.3">
      <c r="B576" s="9">
        <v>574</v>
      </c>
      <c r="C576" s="49">
        <v>14886</v>
      </c>
      <c r="D576" s="9">
        <f>YEAR(Tabla1[[#This Row],[Date]])</f>
        <v>1940</v>
      </c>
      <c r="E576" s="9" t="str" cm="1">
        <f t="array" ref="E576">IFERROR(_xlfn.IFS(AND(D576&lt;1980,D576&gt;=1970),"70",AND(D576&lt;1990,D576&gt;=1980),"80",AND(D576&lt;2000,D576&gt;=1990),"90",AND(D576&lt;2010,D576&gt;=2000),"00",AND(D576&lt;=2019,D576&gt;=2010),"10"),"1908-1970")</f>
        <v>1908-1970</v>
      </c>
      <c r="F576" s="3" t="s">
        <v>28931</v>
      </c>
      <c r="G576" t="s">
        <v>7500</v>
      </c>
      <c r="H576" t="s">
        <v>6886</v>
      </c>
      <c r="I576" t="s">
        <v>28931</v>
      </c>
      <c r="J576" t="s">
        <v>7501</v>
      </c>
      <c r="K576" t="s">
        <v>7502</v>
      </c>
      <c r="L576" s="7" t="s">
        <v>7503</v>
      </c>
      <c r="M576">
        <v>32031</v>
      </c>
      <c r="N576">
        <v>10</v>
      </c>
      <c r="O576">
        <v>4</v>
      </c>
      <c r="P576">
        <v>6</v>
      </c>
      <c r="Q576">
        <v>10</v>
      </c>
      <c r="R576">
        <v>4</v>
      </c>
      <c r="S576">
        <v>6</v>
      </c>
      <c r="T576">
        <v>0</v>
      </c>
      <c r="U576" t="s">
        <v>7504</v>
      </c>
      <c r="V576">
        <f>Tabla1[[#This Row],[Aboard]]-Tabla1[[#This Row],[Fatalities]]</f>
        <v>0</v>
      </c>
      <c r="W576" s="50">
        <f>IFERROR(Tabla1[[#This Row],[Fatalities]]/Tabla1[[#This Row],[Aboard]],0)</f>
        <v>1</v>
      </c>
      <c r="X576" s="51" t="str" cm="1">
        <f t="array" ref="X576">_xlfn.IFS(Tabla1[[#This Row],[Porcentaje de muertes]]&lt;0.35,"LEVE",AND(Tabla1[[#This Row],[Porcentaje de muertes]]&gt;0.35,Tabla1[[#This Row],[Porcentaje de muertes]]&lt;0.65),"MEDIO",Tabla1[[#This Row],[Porcentaje de muertes]]&gt;0.65,"GRAVE")</f>
        <v>GRAVE</v>
      </c>
    </row>
    <row r="577" spans="2:24" x14ac:dyDescent="0.3">
      <c r="B577" s="9">
        <v>575</v>
      </c>
      <c r="C577" s="49">
        <v>14668</v>
      </c>
      <c r="D577" s="9">
        <f>YEAR(Tabla1[[#This Row],[Date]])</f>
        <v>1940</v>
      </c>
      <c r="E577" s="9" t="str" cm="1">
        <f t="array" ref="E577">IFERROR(_xlfn.IFS(AND(D577&lt;1980,D577&gt;=1970),"70",AND(D577&lt;1990,D577&gt;=1980),"80",AND(D577&lt;2000,D577&gt;=1990),"90",AND(D577&lt;2010,D577&gt;=2000),"00",AND(D577&lt;=2019,D577&gt;=2010),"10"),"1908-1970")</f>
        <v>1908-1970</v>
      </c>
      <c r="F577" s="3">
        <v>0.41666666666666669</v>
      </c>
      <c r="G577" t="s">
        <v>7505</v>
      </c>
      <c r="H577" t="s">
        <v>5338</v>
      </c>
      <c r="I577" t="s">
        <v>28931</v>
      </c>
      <c r="J577" t="s">
        <v>7506</v>
      </c>
      <c r="K577" t="s">
        <v>6688</v>
      </c>
      <c r="L577" s="7" t="s">
        <v>7507</v>
      </c>
      <c r="M577" t="s">
        <v>28931</v>
      </c>
      <c r="N577">
        <v>11</v>
      </c>
      <c r="O577">
        <v>9</v>
      </c>
      <c r="P577">
        <v>2</v>
      </c>
      <c r="Q577">
        <v>11</v>
      </c>
      <c r="R577">
        <v>9</v>
      </c>
      <c r="S577">
        <v>2</v>
      </c>
      <c r="T577">
        <v>0</v>
      </c>
      <c r="U577" t="s">
        <v>7508</v>
      </c>
      <c r="V577">
        <f>Tabla1[[#This Row],[Aboard]]-Tabla1[[#This Row],[Fatalities]]</f>
        <v>0</v>
      </c>
      <c r="W577" s="50">
        <f>IFERROR(Tabla1[[#This Row],[Fatalities]]/Tabla1[[#This Row],[Aboard]],0)</f>
        <v>1</v>
      </c>
      <c r="X577" s="51" t="str" cm="1">
        <f t="array" ref="X577">_xlfn.IFS(Tabla1[[#This Row],[Porcentaje de muertes]]&lt;0.35,"LEVE",AND(Tabla1[[#This Row],[Porcentaje de muertes]]&gt;0.35,Tabla1[[#This Row],[Porcentaje de muertes]]&lt;0.65),"MEDIO",Tabla1[[#This Row],[Porcentaje de muertes]]&gt;0.65,"GRAVE")</f>
        <v>GRAVE</v>
      </c>
    </row>
    <row r="578" spans="2:24" x14ac:dyDescent="0.3">
      <c r="B578" s="9">
        <v>576</v>
      </c>
      <c r="C578" s="49">
        <v>14613</v>
      </c>
      <c r="D578" s="9">
        <f>YEAR(Tabla1[[#This Row],[Date]])</f>
        <v>1940</v>
      </c>
      <c r="E578" s="9" t="str" cm="1">
        <f t="array" ref="E578">IFERROR(_xlfn.IFS(AND(D578&lt;1980,D578&gt;=1970),"70",AND(D578&lt;1990,D578&gt;=1980),"80",AND(D578&lt;2000,D578&gt;=1990),"90",AND(D578&lt;2010,D578&gt;=2000),"00",AND(D578&lt;=2019,D578&gt;=2010),"10"),"1908-1970")</f>
        <v>1908-1970</v>
      </c>
      <c r="F578" s="3">
        <v>0.55555555555555558</v>
      </c>
      <c r="G578" t="s">
        <v>7509</v>
      </c>
      <c r="H578" t="s">
        <v>5350</v>
      </c>
      <c r="I578" t="s">
        <v>28931</v>
      </c>
      <c r="J578" t="s">
        <v>7510</v>
      </c>
      <c r="K578" t="s">
        <v>7511</v>
      </c>
      <c r="L578" s="7" t="s">
        <v>7512</v>
      </c>
      <c r="M578" t="s">
        <v>7513</v>
      </c>
      <c r="N578">
        <v>8</v>
      </c>
      <c r="O578">
        <v>4</v>
      </c>
      <c r="P578">
        <v>4</v>
      </c>
      <c r="Q578">
        <v>8</v>
      </c>
      <c r="R578">
        <v>4</v>
      </c>
      <c r="S578">
        <v>4</v>
      </c>
      <c r="T578">
        <v>0</v>
      </c>
      <c r="U578" t="s">
        <v>7514</v>
      </c>
      <c r="V578">
        <f>Tabla1[[#This Row],[Aboard]]-Tabla1[[#This Row],[Fatalities]]</f>
        <v>0</v>
      </c>
      <c r="W578" s="50">
        <f>IFERROR(Tabla1[[#This Row],[Fatalities]]/Tabla1[[#This Row],[Aboard]],0)</f>
        <v>1</v>
      </c>
      <c r="X578" s="51" t="str" cm="1">
        <f t="array" ref="X578">_xlfn.IFS(Tabla1[[#This Row],[Porcentaje de muertes]]&lt;0.35,"LEVE",AND(Tabla1[[#This Row],[Porcentaje de muertes]]&gt;0.35,Tabla1[[#This Row],[Porcentaje de muertes]]&lt;0.65),"MEDIO",Tabla1[[#This Row],[Porcentaje de muertes]]&gt;0.65,"GRAVE")</f>
        <v>GRAVE</v>
      </c>
    </row>
    <row r="579" spans="2:24" x14ac:dyDescent="0.3">
      <c r="B579" s="9">
        <v>577</v>
      </c>
      <c r="C579" s="49">
        <v>14686</v>
      </c>
      <c r="D579" s="9">
        <f>YEAR(Tabla1[[#This Row],[Date]])</f>
        <v>1940</v>
      </c>
      <c r="E579" s="9" t="str" cm="1">
        <f t="array" ref="E579">IFERROR(_xlfn.IFS(AND(D579&lt;1980,D579&gt;=1970),"70",AND(D579&lt;1990,D579&gt;=1980),"80",AND(D579&lt;2000,D579&gt;=1990),"90",AND(D579&lt;2010,D579&gt;=2000),"00",AND(D579&lt;=2019,D579&gt;=2010),"10"),"1908-1970")</f>
        <v>1908-1970</v>
      </c>
      <c r="F579" s="3" t="s">
        <v>28931</v>
      </c>
      <c r="G579" t="s">
        <v>7515</v>
      </c>
      <c r="H579" t="s">
        <v>6649</v>
      </c>
      <c r="I579" t="s">
        <v>28931</v>
      </c>
      <c r="J579" t="s">
        <v>7516</v>
      </c>
      <c r="K579" t="s">
        <v>7517</v>
      </c>
      <c r="L579" s="7" t="s">
        <v>7518</v>
      </c>
      <c r="M579">
        <v>30024</v>
      </c>
      <c r="N579">
        <v>14</v>
      </c>
      <c r="O579">
        <v>10</v>
      </c>
      <c r="P579">
        <v>4</v>
      </c>
      <c r="Q579">
        <v>14</v>
      </c>
      <c r="R579">
        <v>10</v>
      </c>
      <c r="S579">
        <v>4</v>
      </c>
      <c r="T579">
        <v>0</v>
      </c>
      <c r="U579" t="s">
        <v>7519</v>
      </c>
      <c r="V579">
        <f>Tabla1[[#This Row],[Aboard]]-Tabla1[[#This Row],[Fatalities]]</f>
        <v>0</v>
      </c>
      <c r="W579" s="50">
        <f>IFERROR(Tabla1[[#This Row],[Fatalities]]/Tabla1[[#This Row],[Aboard]],0)</f>
        <v>1</v>
      </c>
      <c r="X579" s="51" t="str" cm="1">
        <f t="array" ref="X579">_xlfn.IFS(Tabla1[[#This Row],[Porcentaje de muertes]]&lt;0.35,"LEVE",AND(Tabla1[[#This Row],[Porcentaje de muertes]]&gt;0.35,Tabla1[[#This Row],[Porcentaje de muertes]]&lt;0.65),"MEDIO",Tabla1[[#This Row],[Porcentaje de muertes]]&gt;0.65,"GRAVE")</f>
        <v>GRAVE</v>
      </c>
    </row>
    <row r="580" spans="2:24" x14ac:dyDescent="0.3">
      <c r="B580" s="9">
        <v>578</v>
      </c>
      <c r="C580" s="49">
        <v>14723</v>
      </c>
      <c r="D580" s="9">
        <f>YEAR(Tabla1[[#This Row],[Date]])</f>
        <v>1940</v>
      </c>
      <c r="E580" s="9" t="str" cm="1">
        <f t="array" ref="E580">IFERROR(_xlfn.IFS(AND(D580&lt;1980,D580&gt;=1970),"70",AND(D580&lt;1990,D580&gt;=1980),"80",AND(D580&lt;2000,D580&gt;=1990),"90",AND(D580&lt;2010,D580&gt;=2000),"00",AND(D580&lt;=2019,D580&gt;=2010),"10"),"1908-1970")</f>
        <v>1908-1970</v>
      </c>
      <c r="F580" s="3" t="s">
        <v>28931</v>
      </c>
      <c r="G580" t="s">
        <v>7520</v>
      </c>
      <c r="H580" t="s">
        <v>7521</v>
      </c>
      <c r="I580" t="s">
        <v>28931</v>
      </c>
      <c r="J580" t="s">
        <v>7522</v>
      </c>
      <c r="K580" t="s">
        <v>7226</v>
      </c>
      <c r="L580" s="7" t="s">
        <v>7523</v>
      </c>
      <c r="M580">
        <v>1484</v>
      </c>
      <c r="N580">
        <v>5</v>
      </c>
      <c r="O580">
        <v>2</v>
      </c>
      <c r="P580">
        <v>3</v>
      </c>
      <c r="Q580">
        <v>5</v>
      </c>
      <c r="R580">
        <v>2</v>
      </c>
      <c r="S580">
        <v>3</v>
      </c>
      <c r="T580">
        <v>0</v>
      </c>
      <c r="U580" t="s">
        <v>7524</v>
      </c>
      <c r="V580">
        <f>Tabla1[[#This Row],[Aboard]]-Tabla1[[#This Row],[Fatalities]]</f>
        <v>0</v>
      </c>
      <c r="W580" s="50">
        <f>IFERROR(Tabla1[[#This Row],[Fatalities]]/Tabla1[[#This Row],[Aboard]],0)</f>
        <v>1</v>
      </c>
      <c r="X580" s="51" t="str" cm="1">
        <f t="array" ref="X580">_xlfn.IFS(Tabla1[[#This Row],[Porcentaje de muertes]]&lt;0.35,"LEVE",AND(Tabla1[[#This Row],[Porcentaje de muertes]]&gt;0.35,Tabla1[[#This Row],[Porcentaje de muertes]]&lt;0.65),"MEDIO",Tabla1[[#This Row],[Porcentaje de muertes]]&gt;0.65,"GRAVE")</f>
        <v>GRAVE</v>
      </c>
    </row>
    <row r="581" spans="2:24" x14ac:dyDescent="0.3">
      <c r="B581" s="9">
        <v>579</v>
      </c>
      <c r="C581" s="49">
        <v>14647</v>
      </c>
      <c r="D581" s="9">
        <f>YEAR(Tabla1[[#This Row],[Date]])</f>
        <v>1940</v>
      </c>
      <c r="E581" s="9" t="str" cm="1">
        <f t="array" ref="E581">IFERROR(_xlfn.IFS(AND(D581&lt;1980,D581&gt;=1970),"70",AND(D581&lt;1990,D581&gt;=1980),"80",AND(D581&lt;2000,D581&gt;=1990),"90",AND(D581&lt;2010,D581&gt;=2000),"00",AND(D581&lt;=2019,D581&gt;=2010),"10"),"1908-1970")</f>
        <v>1908-1970</v>
      </c>
      <c r="F581" s="3" t="s">
        <v>28931</v>
      </c>
      <c r="G581" t="s">
        <v>7525</v>
      </c>
      <c r="H581" t="s">
        <v>7526</v>
      </c>
      <c r="I581" t="s">
        <v>28931</v>
      </c>
      <c r="J581" t="s">
        <v>5028</v>
      </c>
      <c r="K581" t="s">
        <v>7527</v>
      </c>
      <c r="L581" s="7" t="s">
        <v>28931</v>
      </c>
      <c r="M581" t="s">
        <v>28931</v>
      </c>
      <c r="N581">
        <v>5</v>
      </c>
      <c r="O581">
        <v>0</v>
      </c>
      <c r="P581">
        <v>5</v>
      </c>
      <c r="Q581">
        <v>5</v>
      </c>
      <c r="R581">
        <v>0</v>
      </c>
      <c r="S581">
        <v>5</v>
      </c>
      <c r="T581">
        <v>0</v>
      </c>
      <c r="U581" t="s">
        <v>7528</v>
      </c>
      <c r="V581">
        <f>Tabla1[[#This Row],[Aboard]]-Tabla1[[#This Row],[Fatalities]]</f>
        <v>0</v>
      </c>
      <c r="W581" s="50">
        <f>IFERROR(Tabla1[[#This Row],[Fatalities]]/Tabla1[[#This Row],[Aboard]],0)</f>
        <v>1</v>
      </c>
      <c r="X581" s="51" t="str" cm="1">
        <f t="array" ref="X581">_xlfn.IFS(Tabla1[[#This Row],[Porcentaje de muertes]]&lt;0.35,"LEVE",AND(Tabla1[[#This Row],[Porcentaje de muertes]]&gt;0.35,Tabla1[[#This Row],[Porcentaje de muertes]]&lt;0.65),"MEDIO",Tabla1[[#This Row],[Porcentaje de muertes]]&gt;0.65,"GRAVE")</f>
        <v>GRAVE</v>
      </c>
    </row>
    <row r="582" spans="2:24" x14ac:dyDescent="0.3">
      <c r="B582" s="9">
        <v>580</v>
      </c>
      <c r="C582" s="49">
        <v>14776</v>
      </c>
      <c r="D582" s="9">
        <f>YEAR(Tabla1[[#This Row],[Date]])</f>
        <v>1940</v>
      </c>
      <c r="E582" s="9" t="str" cm="1">
        <f t="array" ref="E582">IFERROR(_xlfn.IFS(AND(D582&lt;1980,D582&gt;=1970),"70",AND(D582&lt;1990,D582&gt;=1980),"80",AND(D582&lt;2000,D582&gt;=1990),"90",AND(D582&lt;2010,D582&gt;=2000),"00",AND(D582&lt;=2019,D582&gt;=2010),"10"),"1908-1970")</f>
        <v>1908-1970</v>
      </c>
      <c r="F582" s="3">
        <v>0.58333333333333337</v>
      </c>
      <c r="G582" t="s">
        <v>7529</v>
      </c>
      <c r="H582" t="s">
        <v>5519</v>
      </c>
      <c r="I582" t="s">
        <v>28931</v>
      </c>
      <c r="J582" t="s">
        <v>7530</v>
      </c>
      <c r="K582" t="s">
        <v>7531</v>
      </c>
      <c r="L582" s="7" t="s">
        <v>7532</v>
      </c>
      <c r="M582">
        <v>5494</v>
      </c>
      <c r="N582">
        <v>9</v>
      </c>
      <c r="O582">
        <v>7</v>
      </c>
      <c r="P582">
        <v>2</v>
      </c>
      <c r="Q582">
        <v>9</v>
      </c>
      <c r="R582">
        <v>7</v>
      </c>
      <c r="S582">
        <v>2</v>
      </c>
      <c r="T582">
        <v>0</v>
      </c>
      <c r="U582" t="s">
        <v>7533</v>
      </c>
      <c r="V582">
        <f>Tabla1[[#This Row],[Aboard]]-Tabla1[[#This Row],[Fatalities]]</f>
        <v>0</v>
      </c>
      <c r="W582" s="50">
        <f>IFERROR(Tabla1[[#This Row],[Fatalities]]/Tabla1[[#This Row],[Aboard]],0)</f>
        <v>1</v>
      </c>
      <c r="X582" s="51" t="str" cm="1">
        <f t="array" ref="X582">_xlfn.IFS(Tabla1[[#This Row],[Porcentaje de muertes]]&lt;0.35,"LEVE",AND(Tabla1[[#This Row],[Porcentaje de muertes]]&gt;0.35,Tabla1[[#This Row],[Porcentaje de muertes]]&lt;0.65),"MEDIO",Tabla1[[#This Row],[Porcentaje de muertes]]&gt;0.65,"GRAVE")</f>
        <v>GRAVE</v>
      </c>
    </row>
    <row r="583" spans="2:24" x14ac:dyDescent="0.3">
      <c r="B583" s="9">
        <v>581</v>
      </c>
      <c r="C583" s="49">
        <v>14782</v>
      </c>
      <c r="D583" s="9">
        <f>YEAR(Tabla1[[#This Row],[Date]])</f>
        <v>1940</v>
      </c>
      <c r="E583" s="9" t="str" cm="1">
        <f t="array" ref="E583">IFERROR(_xlfn.IFS(AND(D583&lt;1980,D583&gt;=1970),"70",AND(D583&lt;1990,D583&gt;=1980),"80",AND(D583&lt;2000,D583&gt;=1990),"90",AND(D583&lt;2010,D583&gt;=2000),"00",AND(D583&lt;=2019,D583&gt;=2010),"10"),"1908-1970")</f>
        <v>1908-1970</v>
      </c>
      <c r="F583" s="3" t="s">
        <v>28931</v>
      </c>
      <c r="G583" t="s">
        <v>7534</v>
      </c>
      <c r="H583" t="s">
        <v>6375</v>
      </c>
      <c r="I583" t="s">
        <v>28931</v>
      </c>
      <c r="J583" t="s">
        <v>28931</v>
      </c>
      <c r="K583" t="s">
        <v>7176</v>
      </c>
      <c r="L583" s="7" t="s">
        <v>7535</v>
      </c>
      <c r="M583">
        <v>22</v>
      </c>
      <c r="N583">
        <v>1</v>
      </c>
      <c r="O583" t="s">
        <v>5038</v>
      </c>
      <c r="P583" t="s">
        <v>5038</v>
      </c>
      <c r="Q583">
        <v>1</v>
      </c>
      <c r="R583" t="s">
        <v>5038</v>
      </c>
      <c r="S583" t="s">
        <v>5038</v>
      </c>
      <c r="T583">
        <v>0</v>
      </c>
      <c r="U583" t="s">
        <v>7536</v>
      </c>
      <c r="V583">
        <f>Tabla1[[#This Row],[Aboard]]-Tabla1[[#This Row],[Fatalities]]</f>
        <v>0</v>
      </c>
      <c r="W583" s="50">
        <f>IFERROR(Tabla1[[#This Row],[Fatalities]]/Tabla1[[#This Row],[Aboard]],0)</f>
        <v>1</v>
      </c>
      <c r="X583" s="51" t="str" cm="1">
        <f t="array" ref="X583">_xlfn.IFS(Tabla1[[#This Row],[Porcentaje de muertes]]&lt;0.35,"LEVE",AND(Tabla1[[#This Row],[Porcentaje de muertes]]&gt;0.35,Tabla1[[#This Row],[Porcentaje de muertes]]&lt;0.65),"MEDIO",Tabla1[[#This Row],[Porcentaje de muertes]]&gt;0.65,"GRAVE")</f>
        <v>GRAVE</v>
      </c>
    </row>
    <row r="584" spans="2:24" x14ac:dyDescent="0.3">
      <c r="B584" s="9">
        <v>582</v>
      </c>
      <c r="C584" s="49">
        <v>14799</v>
      </c>
      <c r="D584" s="9">
        <f>YEAR(Tabla1[[#This Row],[Date]])</f>
        <v>1940</v>
      </c>
      <c r="E584" s="9" t="str" cm="1">
        <f t="array" ref="E584">IFERROR(_xlfn.IFS(AND(D584&lt;1980,D584&gt;=1970),"70",AND(D584&lt;1990,D584&gt;=1980),"80",AND(D584&lt;2000,D584&gt;=1990),"90",AND(D584&lt;2010,D584&gt;=2000),"00",AND(D584&lt;=2019,D584&gt;=2010),"10"),"1908-1970")</f>
        <v>1908-1970</v>
      </c>
      <c r="F584" s="3" t="s">
        <v>28931</v>
      </c>
      <c r="G584" t="s">
        <v>7537</v>
      </c>
      <c r="H584" t="s">
        <v>6375</v>
      </c>
      <c r="I584" t="s">
        <v>28931</v>
      </c>
      <c r="J584" t="s">
        <v>28931</v>
      </c>
      <c r="K584" t="s">
        <v>7176</v>
      </c>
      <c r="L584" s="7" t="s">
        <v>7538</v>
      </c>
      <c r="M584">
        <v>1</v>
      </c>
      <c r="N584">
        <v>4</v>
      </c>
      <c r="O584" t="s">
        <v>5038</v>
      </c>
      <c r="P584" t="s">
        <v>5038</v>
      </c>
      <c r="Q584">
        <v>4</v>
      </c>
      <c r="R584" t="s">
        <v>5038</v>
      </c>
      <c r="S584" t="s">
        <v>5038</v>
      </c>
      <c r="T584">
        <v>0</v>
      </c>
      <c r="U584" t="s">
        <v>7539</v>
      </c>
      <c r="V584">
        <f>Tabla1[[#This Row],[Aboard]]-Tabla1[[#This Row],[Fatalities]]</f>
        <v>0</v>
      </c>
      <c r="W584" s="50">
        <f>IFERROR(Tabla1[[#This Row],[Fatalities]]/Tabla1[[#This Row],[Aboard]],0)</f>
        <v>1</v>
      </c>
      <c r="X584" s="51" t="str" cm="1">
        <f t="array" ref="X584">_xlfn.IFS(Tabla1[[#This Row],[Porcentaje de muertes]]&lt;0.35,"LEVE",AND(Tabla1[[#This Row],[Porcentaje de muertes]]&gt;0.35,Tabla1[[#This Row],[Porcentaje de muertes]]&lt;0.65),"MEDIO",Tabla1[[#This Row],[Porcentaje de muertes]]&gt;0.65,"GRAVE")</f>
        <v>GRAVE</v>
      </c>
    </row>
    <row r="585" spans="2:24" x14ac:dyDescent="0.3">
      <c r="B585" s="9">
        <v>583</v>
      </c>
      <c r="C585" s="49">
        <v>14862</v>
      </c>
      <c r="D585" s="9">
        <f>YEAR(Tabla1[[#This Row],[Date]])</f>
        <v>1940</v>
      </c>
      <c r="E585" s="9" t="str" cm="1">
        <f t="array" ref="E585">IFERROR(_xlfn.IFS(AND(D585&lt;1980,D585&gt;=1970),"70",AND(D585&lt;1990,D585&gt;=1980),"80",AND(D585&lt;2000,D585&gt;=1990),"90",AND(D585&lt;2010,D585&gt;=2000),"00",AND(D585&lt;=2019,D585&gt;=2010),"10"),"1908-1970")</f>
        <v>1908-1970</v>
      </c>
      <c r="F585" s="3" t="s">
        <v>28931</v>
      </c>
      <c r="G585" t="s">
        <v>6820</v>
      </c>
      <c r="H585" t="s">
        <v>5417</v>
      </c>
      <c r="I585" t="s">
        <v>28931</v>
      </c>
      <c r="J585" t="s">
        <v>28931</v>
      </c>
      <c r="K585" t="s">
        <v>7540</v>
      </c>
      <c r="L585" s="7" t="s">
        <v>7541</v>
      </c>
      <c r="M585">
        <v>1366</v>
      </c>
      <c r="N585">
        <v>13</v>
      </c>
      <c r="O585">
        <v>10</v>
      </c>
      <c r="P585">
        <v>3</v>
      </c>
      <c r="Q585">
        <v>2</v>
      </c>
      <c r="R585">
        <v>2</v>
      </c>
      <c r="S585">
        <v>0</v>
      </c>
      <c r="T585">
        <v>0</v>
      </c>
      <c r="U585" t="s">
        <v>7542</v>
      </c>
      <c r="V585">
        <f>Tabla1[[#This Row],[Aboard]]-Tabla1[[#This Row],[Fatalities]]</f>
        <v>11</v>
      </c>
      <c r="W585" s="50">
        <f>IFERROR(Tabla1[[#This Row],[Fatalities]]/Tabla1[[#This Row],[Aboard]],0)</f>
        <v>0.15384615384615385</v>
      </c>
      <c r="X585" s="51" t="str" cm="1">
        <f t="array" ref="X585">_xlfn.IFS(Tabla1[[#This Row],[Porcentaje de muertes]]&lt;0.35,"LEVE",AND(Tabla1[[#This Row],[Porcentaje de muertes]]&gt;0.35,Tabla1[[#This Row],[Porcentaje de muertes]]&lt;0.65),"MEDIO",Tabla1[[#This Row],[Porcentaje de muertes]]&gt;0.65,"GRAVE")</f>
        <v>LEVE</v>
      </c>
    </row>
    <row r="586" spans="2:24" x14ac:dyDescent="0.3">
      <c r="B586" s="9">
        <v>584</v>
      </c>
      <c r="C586" s="49">
        <v>14836</v>
      </c>
      <c r="D586" s="9">
        <f>YEAR(Tabla1[[#This Row],[Date]])</f>
        <v>1940</v>
      </c>
      <c r="E586" s="9" t="str" cm="1">
        <f t="array" ref="E586">IFERROR(_xlfn.IFS(AND(D586&lt;1980,D586&gt;=1970),"70",AND(D586&lt;1990,D586&gt;=1980),"80",AND(D586&lt;2000,D586&gt;=1990),"90",AND(D586&lt;2010,D586&gt;=2000),"00",AND(D586&lt;=2019,D586&gt;=2010),"10"),"1908-1970")</f>
        <v>1908-1970</v>
      </c>
      <c r="F586" s="3">
        <v>0.42708333333333331</v>
      </c>
      <c r="G586" t="s">
        <v>7543</v>
      </c>
      <c r="H586" t="s">
        <v>5195</v>
      </c>
      <c r="I586" t="s">
        <v>28931</v>
      </c>
      <c r="J586" t="s">
        <v>7544</v>
      </c>
      <c r="K586" t="s">
        <v>7545</v>
      </c>
      <c r="L586" s="7" t="s">
        <v>28931</v>
      </c>
      <c r="M586" t="s">
        <v>28931</v>
      </c>
      <c r="N586">
        <v>10</v>
      </c>
      <c r="O586">
        <v>6</v>
      </c>
      <c r="P586">
        <v>4</v>
      </c>
      <c r="Q586">
        <v>10</v>
      </c>
      <c r="R586">
        <v>6</v>
      </c>
      <c r="S586">
        <v>4</v>
      </c>
      <c r="T586">
        <v>0</v>
      </c>
      <c r="U586" t="s">
        <v>7546</v>
      </c>
      <c r="V586">
        <f>Tabla1[[#This Row],[Aboard]]-Tabla1[[#This Row],[Fatalities]]</f>
        <v>0</v>
      </c>
      <c r="W586" s="50">
        <f>IFERROR(Tabla1[[#This Row],[Fatalities]]/Tabla1[[#This Row],[Aboard]],0)</f>
        <v>1</v>
      </c>
      <c r="X586" s="51" t="str" cm="1">
        <f t="array" ref="X586">_xlfn.IFS(Tabla1[[#This Row],[Porcentaje de muertes]]&lt;0.35,"LEVE",AND(Tabla1[[#This Row],[Porcentaje de muertes]]&gt;0.35,Tabla1[[#This Row],[Porcentaje de muertes]]&lt;0.65),"MEDIO",Tabla1[[#This Row],[Porcentaje de muertes]]&gt;0.65,"GRAVE")</f>
        <v>GRAVE</v>
      </c>
    </row>
    <row r="587" spans="2:24" x14ac:dyDescent="0.3">
      <c r="B587" s="9">
        <v>585</v>
      </c>
      <c r="C587" s="49">
        <v>14845</v>
      </c>
      <c r="D587" s="9">
        <f>YEAR(Tabla1[[#This Row],[Date]])</f>
        <v>1940</v>
      </c>
      <c r="E587" s="9" t="str" cm="1">
        <f t="array" ref="E587">IFERROR(_xlfn.IFS(AND(D587&lt;1980,D587&gt;=1970),"70",AND(D587&lt;1990,D587&gt;=1980),"80",AND(D587&lt;2000,D587&gt;=1990),"90",AND(D587&lt;2010,D587&gt;=2000),"00",AND(D587&lt;=2019,D587&gt;=2010),"10"),"1908-1970")</f>
        <v>1908-1970</v>
      </c>
      <c r="F587" s="3" t="s">
        <v>28931</v>
      </c>
      <c r="G587" t="s">
        <v>7547</v>
      </c>
      <c r="H587" t="s">
        <v>6363</v>
      </c>
      <c r="I587" t="s">
        <v>28931</v>
      </c>
      <c r="J587" t="s">
        <v>7548</v>
      </c>
      <c r="K587" t="s">
        <v>6937</v>
      </c>
      <c r="L587" s="7" t="s">
        <v>7549</v>
      </c>
      <c r="M587">
        <v>1135</v>
      </c>
      <c r="N587">
        <v>11</v>
      </c>
      <c r="O587">
        <v>9</v>
      </c>
      <c r="P587">
        <v>2</v>
      </c>
      <c r="Q587">
        <v>11</v>
      </c>
      <c r="R587">
        <v>9</v>
      </c>
      <c r="S587">
        <v>2</v>
      </c>
      <c r="T587">
        <v>0</v>
      </c>
      <c r="U587" t="s">
        <v>7550</v>
      </c>
      <c r="V587">
        <f>Tabla1[[#This Row],[Aboard]]-Tabla1[[#This Row],[Fatalities]]</f>
        <v>0</v>
      </c>
      <c r="W587" s="50">
        <f>IFERROR(Tabla1[[#This Row],[Fatalities]]/Tabla1[[#This Row],[Aboard]],0)</f>
        <v>1</v>
      </c>
      <c r="X587" s="51" t="str" cm="1">
        <f t="array" ref="X587">_xlfn.IFS(Tabla1[[#This Row],[Porcentaje de muertes]]&lt;0.35,"LEVE",AND(Tabla1[[#This Row],[Porcentaje de muertes]]&gt;0.35,Tabla1[[#This Row],[Porcentaje de muertes]]&lt;0.65),"MEDIO",Tabla1[[#This Row],[Porcentaje de muertes]]&gt;0.65,"GRAVE")</f>
        <v>GRAVE</v>
      </c>
    </row>
    <row r="588" spans="2:24" x14ac:dyDescent="0.3">
      <c r="B588" s="9">
        <v>586</v>
      </c>
      <c r="C588" s="49">
        <v>14846</v>
      </c>
      <c r="D588" s="9">
        <f>YEAR(Tabla1[[#This Row],[Date]])</f>
        <v>1940</v>
      </c>
      <c r="E588" s="9" t="str" cm="1">
        <f t="array" ref="E588">IFERROR(_xlfn.IFS(AND(D588&lt;1980,D588&gt;=1970),"70",AND(D588&lt;1990,D588&gt;=1980),"80",AND(D588&lt;2000,D588&gt;=1990),"90",AND(D588&lt;2010,D588&gt;=2000),"00",AND(D588&lt;=2019,D588&gt;=2010),"10"),"1908-1970")</f>
        <v>1908-1970</v>
      </c>
      <c r="F588" s="3" t="s">
        <v>28931</v>
      </c>
      <c r="G588" t="s">
        <v>7551</v>
      </c>
      <c r="H588" t="s">
        <v>7552</v>
      </c>
      <c r="I588" t="s">
        <v>28931</v>
      </c>
      <c r="J588" t="s">
        <v>7553</v>
      </c>
      <c r="K588" t="s">
        <v>7057</v>
      </c>
      <c r="L588" s="7" t="s">
        <v>7554</v>
      </c>
      <c r="M588">
        <v>1986</v>
      </c>
      <c r="N588">
        <v>15</v>
      </c>
      <c r="O588">
        <v>12</v>
      </c>
      <c r="P588">
        <v>3</v>
      </c>
      <c r="Q588">
        <v>15</v>
      </c>
      <c r="R588">
        <v>12</v>
      </c>
      <c r="S588">
        <v>3</v>
      </c>
      <c r="T588">
        <v>0</v>
      </c>
      <c r="U588" t="s">
        <v>7555</v>
      </c>
      <c r="V588">
        <f>Tabla1[[#This Row],[Aboard]]-Tabla1[[#This Row],[Fatalities]]</f>
        <v>0</v>
      </c>
      <c r="W588" s="50">
        <f>IFERROR(Tabla1[[#This Row],[Fatalities]]/Tabla1[[#This Row],[Aboard]],0)</f>
        <v>1</v>
      </c>
      <c r="X588" s="51" t="str" cm="1">
        <f t="array" ref="X588">_xlfn.IFS(Tabla1[[#This Row],[Porcentaje de muertes]]&lt;0.35,"LEVE",AND(Tabla1[[#This Row],[Porcentaje de muertes]]&gt;0.35,Tabla1[[#This Row],[Porcentaje de muertes]]&lt;0.65),"MEDIO",Tabla1[[#This Row],[Porcentaje de muertes]]&gt;0.65,"GRAVE")</f>
        <v>GRAVE</v>
      </c>
    </row>
    <row r="589" spans="2:24" x14ac:dyDescent="0.3">
      <c r="B589" s="9">
        <v>587</v>
      </c>
      <c r="C589" s="49">
        <v>14854</v>
      </c>
      <c r="D589" s="9">
        <f>YEAR(Tabla1[[#This Row],[Date]])</f>
        <v>1940</v>
      </c>
      <c r="E589" s="9" t="str" cm="1">
        <f t="array" ref="E589">IFERROR(_xlfn.IFS(AND(D589&lt;1980,D589&gt;=1970),"70",AND(D589&lt;1990,D589&gt;=1980),"80",AND(D589&lt;2000,D589&gt;=1990),"90",AND(D589&lt;2010,D589&gt;=2000),"00",AND(D589&lt;=2019,D589&gt;=2010),"10"),"1908-1970")</f>
        <v>1908-1970</v>
      </c>
      <c r="F589" s="3">
        <v>0.6118055555555556</v>
      </c>
      <c r="G589" t="s">
        <v>7556</v>
      </c>
      <c r="H589" t="s">
        <v>7557</v>
      </c>
      <c r="I589">
        <v>19</v>
      </c>
      <c r="J589" t="s">
        <v>7558</v>
      </c>
      <c r="K589" t="s">
        <v>7057</v>
      </c>
      <c r="L589" s="7" t="s">
        <v>7559</v>
      </c>
      <c r="M589">
        <v>2188</v>
      </c>
      <c r="N589">
        <v>25</v>
      </c>
      <c r="O589">
        <v>21</v>
      </c>
      <c r="P589">
        <v>4</v>
      </c>
      <c r="Q589">
        <v>25</v>
      </c>
      <c r="R589">
        <v>21</v>
      </c>
      <c r="S589">
        <v>4</v>
      </c>
      <c r="T589">
        <v>0</v>
      </c>
      <c r="U589" t="s">
        <v>7560</v>
      </c>
      <c r="V589">
        <f>Tabla1[[#This Row],[Aboard]]-Tabla1[[#This Row],[Fatalities]]</f>
        <v>0</v>
      </c>
      <c r="W589" s="50">
        <f>IFERROR(Tabla1[[#This Row],[Fatalities]]/Tabla1[[#This Row],[Aboard]],0)</f>
        <v>1</v>
      </c>
      <c r="X589" s="51" t="str" cm="1">
        <f t="array" ref="X589">_xlfn.IFS(Tabla1[[#This Row],[Porcentaje de muertes]]&lt;0.35,"LEVE",AND(Tabla1[[#This Row],[Porcentaje de muertes]]&gt;0.35,Tabla1[[#This Row],[Porcentaje de muertes]]&lt;0.65),"MEDIO",Tabla1[[#This Row],[Porcentaje de muertes]]&gt;0.65,"GRAVE")</f>
        <v>GRAVE</v>
      </c>
    </row>
    <row r="590" spans="2:24" x14ac:dyDescent="0.3">
      <c r="B590" s="9">
        <v>588</v>
      </c>
      <c r="C590" s="49">
        <v>14906</v>
      </c>
      <c r="D590" s="9">
        <f>YEAR(Tabla1[[#This Row],[Date]])</f>
        <v>1940</v>
      </c>
      <c r="E590" s="9" t="str" cm="1">
        <f t="array" ref="E590">IFERROR(_xlfn.IFS(AND(D590&lt;1980,D590&gt;=1970),"70",AND(D590&lt;1990,D590&gt;=1980),"80",AND(D590&lt;2000,D590&gt;=1990),"90",AND(D590&lt;2010,D590&gt;=2000),"00",AND(D590&lt;=2019,D590&gt;=2010),"10"),"1908-1970")</f>
        <v>1908-1970</v>
      </c>
      <c r="F590" s="3" t="s">
        <v>28931</v>
      </c>
      <c r="G590" t="s">
        <v>7561</v>
      </c>
      <c r="H590" t="s">
        <v>6363</v>
      </c>
      <c r="I590" t="s">
        <v>28931</v>
      </c>
      <c r="J590" t="s">
        <v>7562</v>
      </c>
      <c r="K590" t="s">
        <v>6937</v>
      </c>
      <c r="L590" s="7" t="s">
        <v>7563</v>
      </c>
      <c r="M590">
        <v>1137</v>
      </c>
      <c r="N590">
        <v>12</v>
      </c>
      <c r="O590">
        <v>9</v>
      </c>
      <c r="P590">
        <v>3</v>
      </c>
      <c r="Q590">
        <v>7</v>
      </c>
      <c r="R590">
        <v>4</v>
      </c>
      <c r="S590">
        <v>3</v>
      </c>
      <c r="T590">
        <v>0</v>
      </c>
      <c r="U590" t="s">
        <v>5203</v>
      </c>
      <c r="V590">
        <f>Tabla1[[#This Row],[Aboard]]-Tabla1[[#This Row],[Fatalities]]</f>
        <v>5</v>
      </c>
      <c r="W590" s="50">
        <f>IFERROR(Tabla1[[#This Row],[Fatalities]]/Tabla1[[#This Row],[Aboard]],0)</f>
        <v>0.58333333333333337</v>
      </c>
      <c r="X590" s="51" t="str" cm="1">
        <f t="array" ref="X590">_xlfn.IFS(Tabla1[[#This Row],[Porcentaje de muertes]]&lt;0.35,"LEVE",AND(Tabla1[[#This Row],[Porcentaje de muertes]]&gt;0.35,Tabla1[[#This Row],[Porcentaje de muertes]]&lt;0.65),"MEDIO",Tabla1[[#This Row],[Porcentaje de muertes]]&gt;0.65,"GRAVE")</f>
        <v>MEDIO</v>
      </c>
    </row>
    <row r="591" spans="2:24" x14ac:dyDescent="0.3">
      <c r="B591" s="9">
        <v>589</v>
      </c>
      <c r="C591" s="49">
        <v>14913</v>
      </c>
      <c r="D591" s="9">
        <f>YEAR(Tabla1[[#This Row],[Date]])</f>
        <v>1940</v>
      </c>
      <c r="E591" s="9" t="str" cm="1">
        <f t="array" ref="E591">IFERROR(_xlfn.IFS(AND(D591&lt;1980,D591&gt;=1970),"70",AND(D591&lt;1990,D591&gt;=1980),"80",AND(D591&lt;2000,D591&gt;=1990),"90",AND(D591&lt;2010,D591&gt;=2000),"00",AND(D591&lt;=2019,D591&gt;=2010),"10"),"1908-1970")</f>
        <v>1908-1970</v>
      </c>
      <c r="F591" s="3" t="s">
        <v>28931</v>
      </c>
      <c r="G591" t="s">
        <v>7564</v>
      </c>
      <c r="H591" t="s">
        <v>6010</v>
      </c>
      <c r="I591" t="s">
        <v>28931</v>
      </c>
      <c r="J591" t="s">
        <v>7565</v>
      </c>
      <c r="K591" t="s">
        <v>6635</v>
      </c>
      <c r="L591" s="7" t="s">
        <v>7566</v>
      </c>
      <c r="M591">
        <v>1369</v>
      </c>
      <c r="N591">
        <v>14</v>
      </c>
      <c r="O591">
        <v>10</v>
      </c>
      <c r="P591">
        <v>4</v>
      </c>
      <c r="Q591">
        <v>9</v>
      </c>
      <c r="R591">
        <v>8</v>
      </c>
      <c r="S591">
        <v>1</v>
      </c>
      <c r="T591">
        <v>0</v>
      </c>
      <c r="U591" t="s">
        <v>7567</v>
      </c>
      <c r="V591">
        <f>Tabla1[[#This Row],[Aboard]]-Tabla1[[#This Row],[Fatalities]]</f>
        <v>5</v>
      </c>
      <c r="W591" s="50">
        <f>IFERROR(Tabla1[[#This Row],[Fatalities]]/Tabla1[[#This Row],[Aboard]],0)</f>
        <v>0.6428571428571429</v>
      </c>
      <c r="X591" s="51" t="str" cm="1">
        <f t="array" ref="X591">_xlfn.IFS(Tabla1[[#This Row],[Porcentaje de muertes]]&lt;0.35,"LEVE",AND(Tabla1[[#This Row],[Porcentaje de muertes]]&gt;0.35,Tabla1[[#This Row],[Porcentaje de muertes]]&lt;0.65),"MEDIO",Tabla1[[#This Row],[Porcentaje de muertes]]&gt;0.65,"GRAVE")</f>
        <v>MEDIO</v>
      </c>
    </row>
    <row r="592" spans="2:24" x14ac:dyDescent="0.3">
      <c r="B592" s="9">
        <v>590</v>
      </c>
      <c r="C592" s="49">
        <v>14913</v>
      </c>
      <c r="D592" s="9">
        <f>YEAR(Tabla1[[#This Row],[Date]])</f>
        <v>1940</v>
      </c>
      <c r="E592" s="9" t="str" cm="1">
        <f t="array" ref="E592">IFERROR(_xlfn.IFS(AND(D592&lt;1980,D592&gt;=1970),"70",AND(D592&lt;1990,D592&gt;=1980),"80",AND(D592&lt;2000,D592&gt;=1990),"90",AND(D592&lt;2010,D592&gt;=2000),"00",AND(D592&lt;=2019,D592&gt;=2010),"10"),"1908-1970")</f>
        <v>1908-1970</v>
      </c>
      <c r="F592" s="3" t="s">
        <v>28931</v>
      </c>
      <c r="G592" t="s">
        <v>7568</v>
      </c>
      <c r="H592" t="s">
        <v>5417</v>
      </c>
      <c r="I592" t="s">
        <v>28931</v>
      </c>
      <c r="J592" t="s">
        <v>28931</v>
      </c>
      <c r="K592" t="s">
        <v>7057</v>
      </c>
      <c r="L592" s="7" t="s">
        <v>7569</v>
      </c>
      <c r="M592">
        <v>1973</v>
      </c>
      <c r="N592">
        <v>15</v>
      </c>
      <c r="O592">
        <v>12</v>
      </c>
      <c r="P592">
        <v>3</v>
      </c>
      <c r="Q592">
        <v>2</v>
      </c>
      <c r="R592">
        <v>0</v>
      </c>
      <c r="S592">
        <v>2</v>
      </c>
      <c r="T592">
        <v>0</v>
      </c>
      <c r="U592" t="s">
        <v>7570</v>
      </c>
      <c r="V592">
        <f>Tabla1[[#This Row],[Aboard]]-Tabla1[[#This Row],[Fatalities]]</f>
        <v>13</v>
      </c>
      <c r="W592" s="50">
        <f>IFERROR(Tabla1[[#This Row],[Fatalities]]/Tabla1[[#This Row],[Aboard]],0)</f>
        <v>0.13333333333333333</v>
      </c>
      <c r="X592" s="51" t="str" cm="1">
        <f t="array" ref="X592">_xlfn.IFS(Tabla1[[#This Row],[Porcentaje de muertes]]&lt;0.35,"LEVE",AND(Tabla1[[#This Row],[Porcentaje de muertes]]&gt;0.35,Tabla1[[#This Row],[Porcentaje de muertes]]&lt;0.65),"MEDIO",Tabla1[[#This Row],[Porcentaje de muertes]]&gt;0.65,"GRAVE")</f>
        <v>LEVE</v>
      </c>
    </row>
    <row r="593" spans="2:24" x14ac:dyDescent="0.3">
      <c r="B593" s="9">
        <v>591</v>
      </c>
      <c r="C593" s="49">
        <v>14712</v>
      </c>
      <c r="D593" s="9">
        <f>YEAR(Tabla1[[#This Row],[Date]])</f>
        <v>1940</v>
      </c>
      <c r="E593" s="9" t="str" cm="1">
        <f t="array" ref="E593">IFERROR(_xlfn.IFS(AND(D593&lt;1980,D593&gt;=1970),"70",AND(D593&lt;1990,D593&gt;=1980),"80",AND(D593&lt;2000,D593&gt;=1990),"90",AND(D593&lt;2010,D593&gt;=2000),"00",AND(D593&lt;=2019,D593&gt;=2010),"10"),"1908-1970")</f>
        <v>1908-1970</v>
      </c>
      <c r="F593" s="3">
        <v>0.79861111111111116</v>
      </c>
      <c r="G593" t="s">
        <v>7571</v>
      </c>
      <c r="H593" t="s">
        <v>7572</v>
      </c>
      <c r="I593" t="s">
        <v>28931</v>
      </c>
      <c r="J593" t="s">
        <v>7573</v>
      </c>
      <c r="K593" t="s">
        <v>7574</v>
      </c>
      <c r="L593" s="7" t="s">
        <v>7575</v>
      </c>
      <c r="M593">
        <v>4008</v>
      </c>
      <c r="N593">
        <v>17</v>
      </c>
      <c r="O593">
        <v>14</v>
      </c>
      <c r="P593">
        <v>3</v>
      </c>
      <c r="Q593">
        <v>17</v>
      </c>
      <c r="R593">
        <v>14</v>
      </c>
      <c r="S593">
        <v>3</v>
      </c>
      <c r="T593">
        <v>0</v>
      </c>
      <c r="U593" t="s">
        <v>7576</v>
      </c>
      <c r="V593">
        <f>Tabla1[[#This Row],[Aboard]]-Tabla1[[#This Row],[Fatalities]]</f>
        <v>0</v>
      </c>
      <c r="W593" s="50">
        <f>IFERROR(Tabla1[[#This Row],[Fatalities]]/Tabla1[[#This Row],[Aboard]],0)</f>
        <v>1</v>
      </c>
      <c r="X593" s="51" t="str" cm="1">
        <f t="array" ref="X593">_xlfn.IFS(Tabla1[[#This Row],[Porcentaje de muertes]]&lt;0.35,"LEVE",AND(Tabla1[[#This Row],[Porcentaje de muertes]]&gt;0.35,Tabla1[[#This Row],[Porcentaje de muertes]]&lt;0.65),"MEDIO",Tabla1[[#This Row],[Porcentaje de muertes]]&gt;0.65,"GRAVE")</f>
        <v>GRAVE</v>
      </c>
    </row>
    <row r="594" spans="2:24" x14ac:dyDescent="0.3">
      <c r="B594" s="9">
        <v>592</v>
      </c>
      <c r="C594" s="49">
        <v>14712</v>
      </c>
      <c r="D594" s="9">
        <f>YEAR(Tabla1[[#This Row],[Date]])</f>
        <v>1940</v>
      </c>
      <c r="E594" s="9" t="str" cm="1">
        <f t="array" ref="E594">IFERROR(_xlfn.IFS(AND(D594&lt;1980,D594&gt;=1970),"70",AND(D594&lt;1990,D594&gt;=1980),"80",AND(D594&lt;2000,D594&gt;=1990),"90",AND(D594&lt;2010,D594&gt;=2000),"00",AND(D594&lt;=2019,D594&gt;=2010),"10"),"1908-1970")</f>
        <v>1908-1970</v>
      </c>
      <c r="F594" s="3">
        <v>0.19583333333333333</v>
      </c>
      <c r="G594" t="s">
        <v>7577</v>
      </c>
      <c r="H594" t="s">
        <v>6369</v>
      </c>
      <c r="I594">
        <v>16</v>
      </c>
      <c r="J594" t="s">
        <v>7578</v>
      </c>
      <c r="K594" t="s">
        <v>7057</v>
      </c>
      <c r="L594" s="7" t="s">
        <v>7579</v>
      </c>
      <c r="M594">
        <v>1925</v>
      </c>
      <c r="N594">
        <v>10</v>
      </c>
      <c r="O594">
        <v>8</v>
      </c>
      <c r="P594">
        <v>2</v>
      </c>
      <c r="Q594">
        <v>10</v>
      </c>
      <c r="R594">
        <v>8</v>
      </c>
      <c r="S594">
        <v>2</v>
      </c>
      <c r="T594">
        <v>0</v>
      </c>
      <c r="U594" t="s">
        <v>7580</v>
      </c>
      <c r="V594">
        <f>Tabla1[[#This Row],[Aboard]]-Tabla1[[#This Row],[Fatalities]]</f>
        <v>0</v>
      </c>
      <c r="W594" s="50">
        <f>IFERROR(Tabla1[[#This Row],[Fatalities]]/Tabla1[[#This Row],[Aboard]],0)</f>
        <v>1</v>
      </c>
      <c r="X594" s="51" t="str" cm="1">
        <f t="array" ref="X594">_xlfn.IFS(Tabla1[[#This Row],[Porcentaje de muertes]]&lt;0.35,"LEVE",AND(Tabla1[[#This Row],[Porcentaje de muertes]]&gt;0.35,Tabla1[[#This Row],[Porcentaje de muertes]]&lt;0.65),"MEDIO",Tabla1[[#This Row],[Porcentaje de muertes]]&gt;0.65,"GRAVE")</f>
        <v>GRAVE</v>
      </c>
    </row>
    <row r="595" spans="2:24" x14ac:dyDescent="0.3">
      <c r="B595" s="9">
        <v>593</v>
      </c>
      <c r="C595" s="49">
        <v>14834</v>
      </c>
      <c r="D595" s="9">
        <f>YEAR(Tabla1[[#This Row],[Date]])</f>
        <v>1940</v>
      </c>
      <c r="E595" s="9" t="str" cm="1">
        <f t="array" ref="E595">IFERROR(_xlfn.IFS(AND(D595&lt;1980,D595&gt;=1970),"70",AND(D595&lt;1990,D595&gt;=1980),"80",AND(D595&lt;2000,D595&gt;=1990),"90",AND(D595&lt;2010,D595&gt;=2000),"00",AND(D595&lt;=2019,D595&gt;=2010),"10"),"1908-1970")</f>
        <v>1908-1970</v>
      </c>
      <c r="F595" s="3" t="s">
        <v>28931</v>
      </c>
      <c r="G595" t="s">
        <v>7368</v>
      </c>
      <c r="H595" t="s">
        <v>7581</v>
      </c>
      <c r="I595" t="s">
        <v>28931</v>
      </c>
      <c r="J595" t="s">
        <v>7582</v>
      </c>
      <c r="K595" t="s">
        <v>7583</v>
      </c>
      <c r="L595" s="7" t="s">
        <v>7584</v>
      </c>
      <c r="M595">
        <v>5689</v>
      </c>
      <c r="N595">
        <v>18</v>
      </c>
      <c r="O595">
        <v>14</v>
      </c>
      <c r="P595">
        <v>4</v>
      </c>
      <c r="Q595">
        <v>18</v>
      </c>
      <c r="R595">
        <v>14</v>
      </c>
      <c r="S595">
        <v>4</v>
      </c>
      <c r="T595">
        <v>0</v>
      </c>
      <c r="U595" t="s">
        <v>7585</v>
      </c>
      <c r="V595">
        <f>Tabla1[[#This Row],[Aboard]]-Tabla1[[#This Row],[Fatalities]]</f>
        <v>0</v>
      </c>
      <c r="W595" s="50">
        <f>IFERROR(Tabla1[[#This Row],[Fatalities]]/Tabla1[[#This Row],[Aboard]],0)</f>
        <v>1</v>
      </c>
      <c r="X595" s="51" t="str" cm="1">
        <f t="array" ref="X595">_xlfn.IFS(Tabla1[[#This Row],[Porcentaje de muertes]]&lt;0.35,"LEVE",AND(Tabla1[[#This Row],[Porcentaje de muertes]]&gt;0.35,Tabla1[[#This Row],[Porcentaje de muertes]]&lt;0.65),"MEDIO",Tabla1[[#This Row],[Porcentaje de muertes]]&gt;0.65,"GRAVE")</f>
        <v>GRAVE</v>
      </c>
    </row>
    <row r="596" spans="2:24" x14ac:dyDescent="0.3">
      <c r="B596" s="9">
        <v>594</v>
      </c>
      <c r="C596" s="49">
        <v>14834</v>
      </c>
      <c r="D596" s="9">
        <f>YEAR(Tabla1[[#This Row],[Date]])</f>
        <v>1940</v>
      </c>
      <c r="E596" s="9" t="str" cm="1">
        <f t="array" ref="E596">IFERROR(_xlfn.IFS(AND(D596&lt;1980,D596&gt;=1970),"70",AND(D596&lt;1990,D596&gt;=1980),"80",AND(D596&lt;2000,D596&gt;=1990),"90",AND(D596&lt;2010,D596&gt;=2000),"00",AND(D596&lt;=2019,D596&gt;=2010),"10"),"1908-1970")</f>
        <v>1908-1970</v>
      </c>
      <c r="F596" s="3">
        <v>0.62638888888888888</v>
      </c>
      <c r="G596" t="s">
        <v>7586</v>
      </c>
      <c r="H596" t="s">
        <v>5417</v>
      </c>
      <c r="I596" t="s">
        <v>28931</v>
      </c>
      <c r="J596" t="s">
        <v>7587</v>
      </c>
      <c r="K596" t="s">
        <v>7588</v>
      </c>
      <c r="L596" s="7" t="s">
        <v>7589</v>
      </c>
      <c r="M596">
        <v>900010</v>
      </c>
      <c r="N596">
        <v>29</v>
      </c>
      <c r="O596">
        <v>23</v>
      </c>
      <c r="P596">
        <v>6</v>
      </c>
      <c r="Q596">
        <v>29</v>
      </c>
      <c r="R596">
        <v>23</v>
      </c>
      <c r="S596">
        <v>6</v>
      </c>
      <c r="T596">
        <v>0</v>
      </c>
      <c r="U596" t="s">
        <v>7590</v>
      </c>
      <c r="V596">
        <f>Tabla1[[#This Row],[Aboard]]-Tabla1[[#This Row],[Fatalities]]</f>
        <v>0</v>
      </c>
      <c r="W596" s="50">
        <f>IFERROR(Tabla1[[#This Row],[Fatalities]]/Tabla1[[#This Row],[Aboard]],0)</f>
        <v>1</v>
      </c>
      <c r="X596" s="51" t="str" cm="1">
        <f t="array" ref="X596">_xlfn.IFS(Tabla1[[#This Row],[Porcentaje de muertes]]&lt;0.35,"LEVE",AND(Tabla1[[#This Row],[Porcentaje de muertes]]&gt;0.35,Tabla1[[#This Row],[Porcentaje de muertes]]&lt;0.65),"MEDIO",Tabla1[[#This Row],[Porcentaje de muertes]]&gt;0.65,"GRAVE")</f>
        <v>GRAVE</v>
      </c>
    </row>
    <row r="597" spans="2:24" x14ac:dyDescent="0.3">
      <c r="B597" s="9">
        <v>595</v>
      </c>
      <c r="C597" s="49">
        <v>14942</v>
      </c>
      <c r="D597" s="9">
        <f>YEAR(Tabla1[[#This Row],[Date]])</f>
        <v>1940</v>
      </c>
      <c r="E597" s="9" t="str" cm="1">
        <f t="array" ref="E597">IFERROR(_xlfn.IFS(AND(D597&lt;1980,D597&gt;=1970),"70",AND(D597&lt;1990,D597&gt;=1980),"80",AND(D597&lt;2000,D597&gt;=1990),"90",AND(D597&lt;2010,D597&gt;=2000),"00",AND(D597&lt;=2019,D597&gt;=2010),"10"),"1908-1970")</f>
        <v>1908-1970</v>
      </c>
      <c r="F597" s="3" t="s">
        <v>28931</v>
      </c>
      <c r="G597" t="s">
        <v>7152</v>
      </c>
      <c r="H597" t="s">
        <v>6375</v>
      </c>
      <c r="I597" t="s">
        <v>28931</v>
      </c>
      <c r="J597" t="s">
        <v>28931</v>
      </c>
      <c r="K597" t="s">
        <v>7591</v>
      </c>
      <c r="L597" s="7" t="s">
        <v>7592</v>
      </c>
      <c r="M597">
        <v>2</v>
      </c>
      <c r="N597">
        <v>6</v>
      </c>
      <c r="O597" t="s">
        <v>5038</v>
      </c>
      <c r="P597" t="s">
        <v>5038</v>
      </c>
      <c r="Q597">
        <v>6</v>
      </c>
      <c r="R597" t="s">
        <v>5038</v>
      </c>
      <c r="S597" t="s">
        <v>5038</v>
      </c>
      <c r="T597">
        <v>0</v>
      </c>
      <c r="U597" t="s">
        <v>7593</v>
      </c>
      <c r="V597">
        <f>Tabla1[[#This Row],[Aboard]]-Tabla1[[#This Row],[Fatalities]]</f>
        <v>0</v>
      </c>
      <c r="W597" s="50">
        <f>IFERROR(Tabla1[[#This Row],[Fatalities]]/Tabla1[[#This Row],[Aboard]],0)</f>
        <v>1</v>
      </c>
      <c r="X597" s="51" t="str" cm="1">
        <f t="array" ref="X597">_xlfn.IFS(Tabla1[[#This Row],[Porcentaje de muertes]]&lt;0.35,"LEVE",AND(Tabla1[[#This Row],[Porcentaje de muertes]]&gt;0.35,Tabla1[[#This Row],[Porcentaje de muertes]]&lt;0.65),"MEDIO",Tabla1[[#This Row],[Porcentaje de muertes]]&gt;0.65,"GRAVE")</f>
        <v>GRAVE</v>
      </c>
    </row>
    <row r="598" spans="2:24" x14ac:dyDescent="0.3">
      <c r="B598" s="9">
        <v>596</v>
      </c>
      <c r="C598" s="49">
        <v>14713</v>
      </c>
      <c r="D598" s="9">
        <f>YEAR(Tabla1[[#This Row],[Date]])</f>
        <v>1940</v>
      </c>
      <c r="E598" s="9" t="str" cm="1">
        <f t="array" ref="E598">IFERROR(_xlfn.IFS(AND(D598&lt;1980,D598&gt;=1970),"70",AND(D598&lt;1990,D598&gt;=1980),"80",AND(D598&lt;2000,D598&gt;=1990),"90",AND(D598&lt;2010,D598&gt;=2000),"00",AND(D598&lt;=2019,D598&gt;=2010),"10"),"1908-1970")</f>
        <v>1908-1970</v>
      </c>
      <c r="F598" s="3">
        <v>0.7416666666666667</v>
      </c>
      <c r="G598" t="s">
        <v>5103</v>
      </c>
      <c r="H598" t="s">
        <v>6369</v>
      </c>
      <c r="I598">
        <v>21</v>
      </c>
      <c r="J598" t="s">
        <v>7594</v>
      </c>
      <c r="K598" t="s">
        <v>6970</v>
      </c>
      <c r="L598" s="7" t="s">
        <v>7595</v>
      </c>
      <c r="M598">
        <v>2175</v>
      </c>
      <c r="N598">
        <v>16</v>
      </c>
      <c r="O598">
        <v>13</v>
      </c>
      <c r="P598">
        <v>3</v>
      </c>
      <c r="Q598">
        <v>10</v>
      </c>
      <c r="R598">
        <v>7</v>
      </c>
      <c r="S598">
        <v>3</v>
      </c>
      <c r="T598">
        <v>0</v>
      </c>
      <c r="U598" t="s">
        <v>7596</v>
      </c>
      <c r="V598">
        <f>Tabla1[[#This Row],[Aboard]]-Tabla1[[#This Row],[Fatalities]]</f>
        <v>6</v>
      </c>
      <c r="W598" s="50">
        <f>IFERROR(Tabla1[[#This Row],[Fatalities]]/Tabla1[[#This Row],[Aboard]],0)</f>
        <v>0.625</v>
      </c>
      <c r="X598" s="51" t="str" cm="1">
        <f t="array" ref="X598">_xlfn.IFS(Tabla1[[#This Row],[Porcentaje de muertes]]&lt;0.35,"LEVE",AND(Tabla1[[#This Row],[Porcentaje de muertes]]&gt;0.35,Tabla1[[#This Row],[Porcentaje de muertes]]&lt;0.65),"MEDIO",Tabla1[[#This Row],[Porcentaje de muertes]]&gt;0.65,"GRAVE")</f>
        <v>MEDIO</v>
      </c>
    </row>
    <row r="599" spans="2:24" x14ac:dyDescent="0.3">
      <c r="B599" s="9">
        <v>597</v>
      </c>
      <c r="C599" s="49">
        <v>14969</v>
      </c>
      <c r="D599" s="9">
        <f>YEAR(Tabla1[[#This Row],[Date]])</f>
        <v>1940</v>
      </c>
      <c r="E599" s="9" t="str" cm="1">
        <f t="array" ref="E599">IFERROR(_xlfn.IFS(AND(D599&lt;1980,D599&gt;=1970),"70",AND(D599&lt;1990,D599&gt;=1980),"80",AND(D599&lt;2000,D599&gt;=1990),"90",AND(D599&lt;2010,D599&gt;=2000),"00",AND(D599&lt;=2019,D599&gt;=2010),"10"),"1908-1970")</f>
        <v>1908-1970</v>
      </c>
      <c r="F599" s="3">
        <v>0.47916666666666669</v>
      </c>
      <c r="G599" t="s">
        <v>7597</v>
      </c>
      <c r="H599" t="s">
        <v>7598</v>
      </c>
      <c r="I599" t="s">
        <v>28931</v>
      </c>
      <c r="J599" t="s">
        <v>7599</v>
      </c>
      <c r="K599" t="s">
        <v>7600</v>
      </c>
      <c r="L599" s="7" t="s">
        <v>7601</v>
      </c>
      <c r="M599">
        <v>32035</v>
      </c>
      <c r="N599">
        <v>7</v>
      </c>
      <c r="O599">
        <v>3</v>
      </c>
      <c r="P599">
        <v>4</v>
      </c>
      <c r="Q599">
        <v>7</v>
      </c>
      <c r="R599">
        <v>3</v>
      </c>
      <c r="S599">
        <v>4</v>
      </c>
      <c r="T599">
        <v>0</v>
      </c>
      <c r="U599" t="s">
        <v>7602</v>
      </c>
      <c r="V599">
        <f>Tabla1[[#This Row],[Aboard]]-Tabla1[[#This Row],[Fatalities]]</f>
        <v>0</v>
      </c>
      <c r="W599" s="50">
        <f>IFERROR(Tabla1[[#This Row],[Fatalities]]/Tabla1[[#This Row],[Aboard]],0)</f>
        <v>1</v>
      </c>
      <c r="X599" s="51" t="str" cm="1">
        <f t="array" ref="X599">_xlfn.IFS(Tabla1[[#This Row],[Porcentaje de muertes]]&lt;0.35,"LEVE",AND(Tabla1[[#This Row],[Porcentaje de muertes]]&gt;0.35,Tabla1[[#This Row],[Porcentaje de muertes]]&lt;0.65),"MEDIO",Tabla1[[#This Row],[Porcentaje de muertes]]&gt;0.65,"GRAVE")</f>
        <v>GRAVE</v>
      </c>
    </row>
    <row r="600" spans="2:24" x14ac:dyDescent="0.3">
      <c r="B600" s="9">
        <v>598</v>
      </c>
      <c r="C600" s="49">
        <v>15250</v>
      </c>
      <c r="D600" s="9">
        <f>YEAR(Tabla1[[#This Row],[Date]])</f>
        <v>1941</v>
      </c>
      <c r="E600" s="9" t="str" cm="1">
        <f t="array" ref="E600">IFERROR(_xlfn.IFS(AND(D600&lt;1980,D600&gt;=1970),"70",AND(D600&lt;1990,D600&gt;=1980),"80",AND(D600&lt;2000,D600&gt;=1990),"90",AND(D600&lt;2010,D600&gt;=2000),"00",AND(D600&lt;=2019,D600&gt;=2010),"10"),"1908-1970")</f>
        <v>1908-1970</v>
      </c>
      <c r="F600" s="3">
        <v>0.5</v>
      </c>
      <c r="G600" t="s">
        <v>7152</v>
      </c>
      <c r="H600" t="s">
        <v>7603</v>
      </c>
      <c r="I600" t="s">
        <v>28931</v>
      </c>
      <c r="J600" t="s">
        <v>7604</v>
      </c>
      <c r="K600" t="s">
        <v>7605</v>
      </c>
      <c r="L600" s="7" t="s">
        <v>7606</v>
      </c>
      <c r="M600">
        <v>34019</v>
      </c>
      <c r="N600">
        <v>16</v>
      </c>
      <c r="O600">
        <v>12</v>
      </c>
      <c r="P600">
        <v>4</v>
      </c>
      <c r="Q600">
        <v>16</v>
      </c>
      <c r="R600">
        <v>12</v>
      </c>
      <c r="S600">
        <v>4</v>
      </c>
      <c r="T600">
        <v>0</v>
      </c>
      <c r="U600" t="s">
        <v>7607</v>
      </c>
      <c r="V600">
        <f>Tabla1[[#This Row],[Aboard]]-Tabla1[[#This Row],[Fatalities]]</f>
        <v>0</v>
      </c>
      <c r="W600" s="50">
        <f>IFERROR(Tabla1[[#This Row],[Fatalities]]/Tabla1[[#This Row],[Aboard]],0)</f>
        <v>1</v>
      </c>
      <c r="X600" s="51" t="str" cm="1">
        <f t="array" ref="X600">_xlfn.IFS(Tabla1[[#This Row],[Porcentaje de muertes]]&lt;0.35,"LEVE",AND(Tabla1[[#This Row],[Porcentaje de muertes]]&gt;0.35,Tabla1[[#This Row],[Porcentaje de muertes]]&lt;0.65),"MEDIO",Tabla1[[#This Row],[Porcentaje de muertes]]&gt;0.65,"GRAVE")</f>
        <v>GRAVE</v>
      </c>
    </row>
    <row r="601" spans="2:24" x14ac:dyDescent="0.3">
      <c r="B601" s="9">
        <v>599</v>
      </c>
      <c r="C601" s="49">
        <v>14991</v>
      </c>
      <c r="D601" s="9">
        <f>YEAR(Tabla1[[#This Row],[Date]])</f>
        <v>1941</v>
      </c>
      <c r="E601" s="9" t="str" cm="1">
        <f t="array" ref="E601">IFERROR(_xlfn.IFS(AND(D601&lt;1980,D601&gt;=1970),"70",AND(D601&lt;1990,D601&gt;=1980),"80",AND(D601&lt;2000,D601&gt;=1990),"90",AND(D601&lt;2010,D601&gt;=2000),"00",AND(D601&lt;=2019,D601&gt;=2010),"10"),"1908-1970")</f>
        <v>1908-1970</v>
      </c>
      <c r="F601" s="3">
        <v>0.50347222222222221</v>
      </c>
      <c r="G601" t="s">
        <v>7608</v>
      </c>
      <c r="H601" t="s">
        <v>7603</v>
      </c>
      <c r="I601" t="s">
        <v>28931</v>
      </c>
      <c r="J601" t="s">
        <v>7609</v>
      </c>
      <c r="K601" t="s">
        <v>7502</v>
      </c>
      <c r="L601" s="7" t="s">
        <v>7610</v>
      </c>
      <c r="M601">
        <v>32013</v>
      </c>
      <c r="N601">
        <v>10</v>
      </c>
      <c r="O601">
        <v>6</v>
      </c>
      <c r="P601">
        <v>4</v>
      </c>
      <c r="Q601">
        <v>10</v>
      </c>
      <c r="R601">
        <v>6</v>
      </c>
      <c r="S601">
        <v>4</v>
      </c>
      <c r="T601">
        <v>0</v>
      </c>
      <c r="U601" t="s">
        <v>7611</v>
      </c>
      <c r="V601">
        <f>Tabla1[[#This Row],[Aboard]]-Tabla1[[#This Row],[Fatalities]]</f>
        <v>0</v>
      </c>
      <c r="W601" s="50">
        <f>IFERROR(Tabla1[[#This Row],[Fatalities]]/Tabla1[[#This Row],[Aboard]],0)</f>
        <v>1</v>
      </c>
      <c r="X601" s="51" t="str" cm="1">
        <f t="array" ref="X601">_xlfn.IFS(Tabla1[[#This Row],[Porcentaje de muertes]]&lt;0.35,"LEVE",AND(Tabla1[[#This Row],[Porcentaje de muertes]]&gt;0.35,Tabla1[[#This Row],[Porcentaje de muertes]]&lt;0.65),"MEDIO",Tabla1[[#This Row],[Porcentaje de muertes]]&gt;0.65,"GRAVE")</f>
        <v>GRAVE</v>
      </c>
    </row>
    <row r="602" spans="2:24" x14ac:dyDescent="0.3">
      <c r="B602" s="9">
        <v>600</v>
      </c>
      <c r="C602" s="49">
        <v>14993</v>
      </c>
      <c r="D602" s="9">
        <f>YEAR(Tabla1[[#This Row],[Date]])</f>
        <v>1941</v>
      </c>
      <c r="E602" s="9" t="str" cm="1">
        <f t="array" ref="E602">IFERROR(_xlfn.IFS(AND(D602&lt;1980,D602&gt;=1970),"70",AND(D602&lt;1990,D602&gt;=1980),"80",AND(D602&lt;2000,D602&gt;=1990),"90",AND(D602&lt;2010,D602&gt;=2000),"00",AND(D602&lt;=2019,D602&gt;=2010),"10"),"1908-1970")</f>
        <v>1908-1970</v>
      </c>
      <c r="F602" s="3">
        <v>0.5</v>
      </c>
      <c r="G602" t="s">
        <v>7612</v>
      </c>
      <c r="H602" t="s">
        <v>7613</v>
      </c>
      <c r="I602" t="s">
        <v>28931</v>
      </c>
      <c r="J602" t="s">
        <v>7614</v>
      </c>
      <c r="K602" t="s">
        <v>6555</v>
      </c>
      <c r="L602" s="7" t="s">
        <v>7615</v>
      </c>
      <c r="M602">
        <v>5523</v>
      </c>
      <c r="N602">
        <v>16</v>
      </c>
      <c r="O602">
        <v>13</v>
      </c>
      <c r="P602">
        <v>3</v>
      </c>
      <c r="Q602">
        <v>12</v>
      </c>
      <c r="R602">
        <v>9</v>
      </c>
      <c r="S602">
        <v>3</v>
      </c>
      <c r="T602">
        <v>0</v>
      </c>
      <c r="U602" t="s">
        <v>7616</v>
      </c>
      <c r="V602">
        <f>Tabla1[[#This Row],[Aboard]]-Tabla1[[#This Row],[Fatalities]]</f>
        <v>4</v>
      </c>
      <c r="W602" s="50">
        <f>IFERROR(Tabla1[[#This Row],[Fatalities]]/Tabla1[[#This Row],[Aboard]],0)</f>
        <v>0.75</v>
      </c>
      <c r="X602" s="51" t="str" cm="1">
        <f t="array" ref="X602">_xlfn.IFS(Tabla1[[#This Row],[Porcentaje de muertes]]&lt;0.35,"LEVE",AND(Tabla1[[#This Row],[Porcentaje de muertes]]&gt;0.35,Tabla1[[#This Row],[Porcentaje de muertes]]&lt;0.65),"MEDIO",Tabla1[[#This Row],[Porcentaje de muertes]]&gt;0.65,"GRAVE")</f>
        <v>GRAVE</v>
      </c>
    </row>
    <row r="603" spans="2:24" x14ac:dyDescent="0.3">
      <c r="B603" s="9">
        <v>601</v>
      </c>
      <c r="C603" s="49">
        <v>14996</v>
      </c>
      <c r="D603" s="9">
        <f>YEAR(Tabla1[[#This Row],[Date]])</f>
        <v>1941</v>
      </c>
      <c r="E603" s="9" t="str" cm="1">
        <f t="array" ref="E603">IFERROR(_xlfn.IFS(AND(D603&lt;1980,D603&gt;=1970),"70",AND(D603&lt;1990,D603&gt;=1980),"80",AND(D603&lt;2000,D603&gt;=1990),"90",AND(D603&lt;2010,D603&gt;=2000),"00",AND(D603&lt;=2019,D603&gt;=2010),"10"),"1908-1970")</f>
        <v>1908-1970</v>
      </c>
      <c r="F603" s="3" t="s">
        <v>28931</v>
      </c>
      <c r="G603" t="s">
        <v>7617</v>
      </c>
      <c r="H603" t="s">
        <v>6010</v>
      </c>
      <c r="I603" t="s">
        <v>28931</v>
      </c>
      <c r="J603" t="s">
        <v>28931</v>
      </c>
      <c r="K603" t="s">
        <v>7618</v>
      </c>
      <c r="L603" s="7">
        <v>23</v>
      </c>
      <c r="M603" t="s">
        <v>7619</v>
      </c>
      <c r="N603">
        <v>6</v>
      </c>
      <c r="O603">
        <v>1</v>
      </c>
      <c r="P603">
        <v>5</v>
      </c>
      <c r="Q603">
        <v>5</v>
      </c>
      <c r="R603">
        <v>1</v>
      </c>
      <c r="S603">
        <v>4</v>
      </c>
      <c r="T603">
        <v>0</v>
      </c>
      <c r="U603" t="s">
        <v>7620</v>
      </c>
      <c r="V603">
        <f>Tabla1[[#This Row],[Aboard]]-Tabla1[[#This Row],[Fatalities]]</f>
        <v>1</v>
      </c>
      <c r="W603" s="50">
        <f>IFERROR(Tabla1[[#This Row],[Fatalities]]/Tabla1[[#This Row],[Aboard]],0)</f>
        <v>0.83333333333333337</v>
      </c>
      <c r="X603" s="51" t="str" cm="1">
        <f t="array" ref="X603">_xlfn.IFS(Tabla1[[#This Row],[Porcentaje de muertes]]&lt;0.35,"LEVE",AND(Tabla1[[#This Row],[Porcentaje de muertes]]&gt;0.35,Tabla1[[#This Row],[Porcentaje de muertes]]&lt;0.65),"MEDIO",Tabla1[[#This Row],[Porcentaje de muertes]]&gt;0.65,"GRAVE")</f>
        <v>GRAVE</v>
      </c>
    </row>
    <row r="604" spans="2:24" x14ac:dyDescent="0.3">
      <c r="B604" s="9">
        <v>602</v>
      </c>
      <c r="C604" s="49">
        <v>14999</v>
      </c>
      <c r="D604" s="9">
        <f>YEAR(Tabla1[[#This Row],[Date]])</f>
        <v>1941</v>
      </c>
      <c r="E604" s="9" t="str" cm="1">
        <f t="array" ref="E604">IFERROR(_xlfn.IFS(AND(D604&lt;1980,D604&gt;=1970),"70",AND(D604&lt;1990,D604&gt;=1980),"80",AND(D604&lt;2000,D604&gt;=1990),"90",AND(D604&lt;2010,D604&gt;=2000),"00",AND(D604&lt;=2019,D604&gt;=2010),"10"),"1908-1970")</f>
        <v>1908-1970</v>
      </c>
      <c r="F604" s="3">
        <v>0.17569444444444446</v>
      </c>
      <c r="G604" t="s">
        <v>7621</v>
      </c>
      <c r="H604" t="s">
        <v>6044</v>
      </c>
      <c r="I604">
        <v>6</v>
      </c>
      <c r="J604" t="s">
        <v>7622</v>
      </c>
      <c r="K604" t="s">
        <v>7623</v>
      </c>
      <c r="L604" s="7" t="s">
        <v>7624</v>
      </c>
      <c r="M604">
        <v>1930</v>
      </c>
      <c r="N604">
        <v>13</v>
      </c>
      <c r="O604">
        <v>10</v>
      </c>
      <c r="P604">
        <v>3</v>
      </c>
      <c r="Q604">
        <v>2</v>
      </c>
      <c r="R604">
        <v>1</v>
      </c>
      <c r="S604">
        <v>1</v>
      </c>
      <c r="T604">
        <v>0</v>
      </c>
      <c r="U604" t="s">
        <v>7625</v>
      </c>
      <c r="V604">
        <f>Tabla1[[#This Row],[Aboard]]-Tabla1[[#This Row],[Fatalities]]</f>
        <v>11</v>
      </c>
      <c r="W604" s="50">
        <f>IFERROR(Tabla1[[#This Row],[Fatalities]]/Tabla1[[#This Row],[Aboard]],0)</f>
        <v>0.15384615384615385</v>
      </c>
      <c r="X604" s="51" t="str" cm="1">
        <f t="array" ref="X604">_xlfn.IFS(Tabla1[[#This Row],[Porcentaje de muertes]]&lt;0.35,"LEVE",AND(Tabla1[[#This Row],[Porcentaje de muertes]]&gt;0.35,Tabla1[[#This Row],[Porcentaje de muertes]]&lt;0.65),"MEDIO",Tabla1[[#This Row],[Porcentaje de muertes]]&gt;0.65,"GRAVE")</f>
        <v>LEVE</v>
      </c>
    </row>
    <row r="605" spans="2:24" x14ac:dyDescent="0.3">
      <c r="B605" s="9">
        <v>603</v>
      </c>
      <c r="C605" s="49">
        <v>15129</v>
      </c>
      <c r="D605" s="9">
        <f>YEAR(Tabla1[[#This Row],[Date]])</f>
        <v>1941</v>
      </c>
      <c r="E605" s="9" t="str" cm="1">
        <f t="array" ref="E605">IFERROR(_xlfn.IFS(AND(D605&lt;1980,D605&gt;=1970),"70",AND(D605&lt;1990,D605&gt;=1980),"80",AND(D605&lt;2000,D605&gt;=1990),"90",AND(D605&lt;2010,D605&gt;=2000),"00",AND(D605&lt;=2019,D605&gt;=2010),"10"),"1908-1970")</f>
        <v>1908-1970</v>
      </c>
      <c r="F605" s="3">
        <v>8.3333333333333329E-2</v>
      </c>
      <c r="G605" t="s">
        <v>7626</v>
      </c>
      <c r="H605" t="s">
        <v>7329</v>
      </c>
      <c r="I605">
        <v>3</v>
      </c>
      <c r="J605" t="s">
        <v>7627</v>
      </c>
      <c r="K605" t="s">
        <v>7194</v>
      </c>
      <c r="L605" s="7" t="s">
        <v>7628</v>
      </c>
      <c r="M605">
        <v>1501</v>
      </c>
      <c r="N605">
        <v>12</v>
      </c>
      <c r="O605">
        <v>9</v>
      </c>
      <c r="P605">
        <v>3</v>
      </c>
      <c r="Q605">
        <v>12</v>
      </c>
      <c r="R605">
        <v>9</v>
      </c>
      <c r="S605">
        <v>3</v>
      </c>
      <c r="T605">
        <v>0</v>
      </c>
      <c r="U605" t="s">
        <v>7629</v>
      </c>
      <c r="V605">
        <f>Tabla1[[#This Row],[Aboard]]-Tabla1[[#This Row],[Fatalities]]</f>
        <v>0</v>
      </c>
      <c r="W605" s="50">
        <f>IFERROR(Tabla1[[#This Row],[Fatalities]]/Tabla1[[#This Row],[Aboard]],0)</f>
        <v>1</v>
      </c>
      <c r="X605" s="51" t="str" cm="1">
        <f t="array" ref="X605">_xlfn.IFS(Tabla1[[#This Row],[Porcentaje de muertes]]&lt;0.35,"LEVE",AND(Tabla1[[#This Row],[Porcentaje de muertes]]&gt;0.35,Tabla1[[#This Row],[Porcentaje de muertes]]&lt;0.65),"MEDIO",Tabla1[[#This Row],[Porcentaje de muertes]]&gt;0.65,"GRAVE")</f>
        <v>GRAVE</v>
      </c>
    </row>
    <row r="606" spans="2:24" x14ac:dyDescent="0.3">
      <c r="B606" s="9">
        <v>604</v>
      </c>
      <c r="C606" s="49">
        <v>15033</v>
      </c>
      <c r="D606" s="9">
        <f>YEAR(Tabla1[[#This Row],[Date]])</f>
        <v>1941</v>
      </c>
      <c r="E606" s="9" t="str" cm="1">
        <f t="array" ref="E606">IFERROR(_xlfn.IFS(AND(D606&lt;1980,D606&gt;=1970),"70",AND(D606&lt;1990,D606&gt;=1980),"80",AND(D606&lt;2000,D606&gt;=1990),"90",AND(D606&lt;2010,D606&gt;=2000),"00",AND(D606&lt;=2019,D606&gt;=2010),"10"),"1908-1970")</f>
        <v>1908-1970</v>
      </c>
      <c r="F606" s="3">
        <v>0.49305555555555558</v>
      </c>
      <c r="G606" t="s">
        <v>7630</v>
      </c>
      <c r="H606" t="s">
        <v>6941</v>
      </c>
      <c r="I606">
        <v>21</v>
      </c>
      <c r="J606" t="s">
        <v>7631</v>
      </c>
      <c r="K606" t="s">
        <v>7057</v>
      </c>
      <c r="L606" s="7" t="s">
        <v>7632</v>
      </c>
      <c r="M606">
        <v>3204</v>
      </c>
      <c r="N606">
        <v>16</v>
      </c>
      <c r="O606">
        <v>13</v>
      </c>
      <c r="P606">
        <v>3</v>
      </c>
      <c r="Q606">
        <v>9</v>
      </c>
      <c r="R606">
        <v>6</v>
      </c>
      <c r="S606">
        <v>3</v>
      </c>
      <c r="T606">
        <v>0</v>
      </c>
      <c r="U606" t="s">
        <v>7633</v>
      </c>
      <c r="V606">
        <f>Tabla1[[#This Row],[Aboard]]-Tabla1[[#This Row],[Fatalities]]</f>
        <v>7</v>
      </c>
      <c r="W606" s="50">
        <f>IFERROR(Tabla1[[#This Row],[Fatalities]]/Tabla1[[#This Row],[Aboard]],0)</f>
        <v>0.5625</v>
      </c>
      <c r="X606" s="51" t="str" cm="1">
        <f t="array" ref="X606">_xlfn.IFS(Tabla1[[#This Row],[Porcentaje de muertes]]&lt;0.35,"LEVE",AND(Tabla1[[#This Row],[Porcentaje de muertes]]&gt;0.35,Tabla1[[#This Row],[Porcentaje de muertes]]&lt;0.65),"MEDIO",Tabla1[[#This Row],[Porcentaje de muertes]]&gt;0.65,"GRAVE")</f>
        <v>MEDIO</v>
      </c>
    </row>
    <row r="607" spans="2:24" x14ac:dyDescent="0.3">
      <c r="B607" s="9">
        <v>605</v>
      </c>
      <c r="C607" s="49">
        <v>14979</v>
      </c>
      <c r="D607" s="9">
        <f>YEAR(Tabla1[[#This Row],[Date]])</f>
        <v>1941</v>
      </c>
      <c r="E607" s="9" t="str" cm="1">
        <f t="array" ref="E607">IFERROR(_xlfn.IFS(AND(D607&lt;1980,D607&gt;=1970),"70",AND(D607&lt;1990,D607&gt;=1980),"80",AND(D607&lt;2000,D607&gt;=1990),"90",AND(D607&lt;2010,D607&gt;=2000),"00",AND(D607&lt;=2019,D607&gt;=2010),"10"),"1908-1970")</f>
        <v>1908-1970</v>
      </c>
      <c r="F607" s="3">
        <v>0.65972222222222221</v>
      </c>
      <c r="G607" t="s">
        <v>7634</v>
      </c>
      <c r="H607" t="s">
        <v>5417</v>
      </c>
      <c r="I607" t="s">
        <v>28931</v>
      </c>
      <c r="J607" t="s">
        <v>28931</v>
      </c>
      <c r="K607" t="s">
        <v>6555</v>
      </c>
      <c r="L607" s="7" t="s">
        <v>7635</v>
      </c>
      <c r="M607">
        <v>5751</v>
      </c>
      <c r="N607">
        <v>12</v>
      </c>
      <c r="O607">
        <v>9</v>
      </c>
      <c r="P607">
        <v>3</v>
      </c>
      <c r="Q607">
        <v>3</v>
      </c>
      <c r="R607">
        <v>3</v>
      </c>
      <c r="S607">
        <v>0</v>
      </c>
      <c r="T607">
        <v>0</v>
      </c>
      <c r="U607" t="s">
        <v>7636</v>
      </c>
      <c r="V607">
        <f>Tabla1[[#This Row],[Aboard]]-Tabla1[[#This Row],[Fatalities]]</f>
        <v>9</v>
      </c>
      <c r="W607" s="50">
        <f>IFERROR(Tabla1[[#This Row],[Fatalities]]/Tabla1[[#This Row],[Aboard]],0)</f>
        <v>0.25</v>
      </c>
      <c r="X607" s="51" t="str" cm="1">
        <f t="array" ref="X607">_xlfn.IFS(Tabla1[[#This Row],[Porcentaje de muertes]]&lt;0.35,"LEVE",AND(Tabla1[[#This Row],[Porcentaje de muertes]]&gt;0.35,Tabla1[[#This Row],[Porcentaje de muertes]]&lt;0.65),"MEDIO",Tabla1[[#This Row],[Porcentaje de muertes]]&gt;0.65,"GRAVE")</f>
        <v>LEVE</v>
      </c>
    </row>
    <row r="608" spans="2:24" x14ac:dyDescent="0.3">
      <c r="B608" s="9">
        <v>606</v>
      </c>
      <c r="C608" s="49">
        <v>15063</v>
      </c>
      <c r="D608" s="9">
        <f>YEAR(Tabla1[[#This Row],[Date]])</f>
        <v>1941</v>
      </c>
      <c r="E608" s="9" t="str" cm="1">
        <f t="array" ref="E608">IFERROR(_xlfn.IFS(AND(D608&lt;1980,D608&gt;=1970),"70",AND(D608&lt;1990,D608&gt;=1980),"80",AND(D608&lt;2000,D608&gt;=1990),"90",AND(D608&lt;2010,D608&gt;=2000),"00",AND(D608&lt;=2019,D608&gt;=2010),"10"),"1908-1970")</f>
        <v>1908-1970</v>
      </c>
      <c r="F608" s="3">
        <v>0.48958333333333331</v>
      </c>
      <c r="G608" t="s">
        <v>7637</v>
      </c>
      <c r="H608" t="s">
        <v>7638</v>
      </c>
      <c r="I608" t="s">
        <v>28931</v>
      </c>
      <c r="J608" t="s">
        <v>7639</v>
      </c>
      <c r="K608" t="s">
        <v>7640</v>
      </c>
      <c r="L608" s="7" t="s">
        <v>7641</v>
      </c>
      <c r="M608">
        <v>2034</v>
      </c>
      <c r="N608">
        <v>10</v>
      </c>
      <c r="O608">
        <v>6</v>
      </c>
      <c r="P608">
        <v>4</v>
      </c>
      <c r="Q608">
        <v>10</v>
      </c>
      <c r="R608">
        <v>6</v>
      </c>
      <c r="S608">
        <v>4</v>
      </c>
      <c r="T608">
        <v>0</v>
      </c>
      <c r="U608" t="s">
        <v>7642</v>
      </c>
      <c r="V608">
        <f>Tabla1[[#This Row],[Aboard]]-Tabla1[[#This Row],[Fatalities]]</f>
        <v>0</v>
      </c>
      <c r="W608" s="50">
        <f>IFERROR(Tabla1[[#This Row],[Fatalities]]/Tabla1[[#This Row],[Aboard]],0)</f>
        <v>1</v>
      </c>
      <c r="X608" s="51" t="str" cm="1">
        <f t="array" ref="X608">_xlfn.IFS(Tabla1[[#This Row],[Porcentaje de muertes]]&lt;0.35,"LEVE",AND(Tabla1[[#This Row],[Porcentaje de muertes]]&gt;0.35,Tabla1[[#This Row],[Porcentaje de muertes]]&lt;0.65),"MEDIO",Tabla1[[#This Row],[Porcentaje de muertes]]&gt;0.65,"GRAVE")</f>
        <v>GRAVE</v>
      </c>
    </row>
    <row r="609" spans="2:24" x14ac:dyDescent="0.3">
      <c r="B609" s="9">
        <v>607</v>
      </c>
      <c r="C609" s="49">
        <v>15041</v>
      </c>
      <c r="D609" s="9">
        <f>YEAR(Tabla1[[#This Row],[Date]])</f>
        <v>1941</v>
      </c>
      <c r="E609" s="9" t="str" cm="1">
        <f t="array" ref="E609">IFERROR(_xlfn.IFS(AND(D609&lt;1980,D609&gt;=1970),"70",AND(D609&lt;1990,D609&gt;=1980),"80",AND(D609&lt;2000,D609&gt;=1990),"90",AND(D609&lt;2010,D609&gt;=2000),"00",AND(D609&lt;=2019,D609&gt;=2010),"10"),"1908-1970")</f>
        <v>1908-1970</v>
      </c>
      <c r="F609" s="3">
        <v>0.70833333333333337</v>
      </c>
      <c r="G609" t="s">
        <v>5497</v>
      </c>
      <c r="H609" t="s">
        <v>7643</v>
      </c>
      <c r="I609" t="s">
        <v>28931</v>
      </c>
      <c r="J609" t="s">
        <v>7644</v>
      </c>
      <c r="K609" t="s">
        <v>6641</v>
      </c>
      <c r="L609" s="7" t="s">
        <v>7645</v>
      </c>
      <c r="M609">
        <v>6076</v>
      </c>
      <c r="N609">
        <v>6</v>
      </c>
      <c r="O609">
        <v>5</v>
      </c>
      <c r="P609">
        <v>1</v>
      </c>
      <c r="Q609">
        <v>6</v>
      </c>
      <c r="R609">
        <v>5</v>
      </c>
      <c r="S609">
        <v>1</v>
      </c>
      <c r="T609">
        <v>0</v>
      </c>
      <c r="U609" t="s">
        <v>7646</v>
      </c>
      <c r="V609">
        <f>Tabla1[[#This Row],[Aboard]]-Tabla1[[#This Row],[Fatalities]]</f>
        <v>0</v>
      </c>
      <c r="W609" s="50">
        <f>IFERROR(Tabla1[[#This Row],[Fatalities]]/Tabla1[[#This Row],[Aboard]],0)</f>
        <v>1</v>
      </c>
      <c r="X609" s="51" t="str" cm="1">
        <f t="array" ref="X609">_xlfn.IFS(Tabla1[[#This Row],[Porcentaje de muertes]]&lt;0.35,"LEVE",AND(Tabla1[[#This Row],[Porcentaje de muertes]]&gt;0.35,Tabla1[[#This Row],[Porcentaje de muertes]]&lt;0.65),"MEDIO",Tabla1[[#This Row],[Porcentaje de muertes]]&gt;0.65,"GRAVE")</f>
        <v>GRAVE</v>
      </c>
    </row>
    <row r="610" spans="2:24" x14ac:dyDescent="0.3">
      <c r="B610" s="9">
        <v>608</v>
      </c>
      <c r="C610" s="49">
        <v>15145</v>
      </c>
      <c r="D610" s="9">
        <f>YEAR(Tabla1[[#This Row],[Date]])</f>
        <v>1941</v>
      </c>
      <c r="E610" s="9" t="str" cm="1">
        <f t="array" ref="E610">IFERROR(_xlfn.IFS(AND(D610&lt;1980,D610&gt;=1970),"70",AND(D610&lt;1990,D610&gt;=1980),"80",AND(D610&lt;2000,D610&gt;=1990),"90",AND(D610&lt;2010,D610&gt;=2000),"00",AND(D610&lt;=2019,D610&gt;=2010),"10"),"1908-1970")</f>
        <v>1908-1970</v>
      </c>
      <c r="F610" s="3" t="s">
        <v>28931</v>
      </c>
      <c r="G610" t="s">
        <v>5303</v>
      </c>
      <c r="H610" t="s">
        <v>7552</v>
      </c>
      <c r="I610" t="s">
        <v>28931</v>
      </c>
      <c r="J610" t="s">
        <v>7647</v>
      </c>
      <c r="K610" t="s">
        <v>7057</v>
      </c>
      <c r="L610" s="7" t="s">
        <v>7554</v>
      </c>
      <c r="M610">
        <v>1985</v>
      </c>
      <c r="N610">
        <v>18</v>
      </c>
      <c r="O610">
        <v>3</v>
      </c>
      <c r="P610">
        <v>15</v>
      </c>
      <c r="Q610">
        <v>0</v>
      </c>
      <c r="R610">
        <v>0</v>
      </c>
      <c r="S610">
        <v>0</v>
      </c>
      <c r="T610">
        <v>0</v>
      </c>
      <c r="U610" t="s">
        <v>7648</v>
      </c>
      <c r="V610">
        <f>Tabla1[[#This Row],[Aboard]]-Tabla1[[#This Row],[Fatalities]]</f>
        <v>18</v>
      </c>
      <c r="W610" s="50">
        <f>IFERROR(Tabla1[[#This Row],[Fatalities]]/Tabla1[[#This Row],[Aboard]],0)</f>
        <v>0</v>
      </c>
      <c r="X610" s="51" t="str" cm="1">
        <f t="array" ref="X610">_xlfn.IFS(Tabla1[[#This Row],[Porcentaje de muertes]]&lt;0.35,"LEVE",AND(Tabla1[[#This Row],[Porcentaje de muertes]]&gt;0.35,Tabla1[[#This Row],[Porcentaje de muertes]]&lt;0.65),"MEDIO",Tabla1[[#This Row],[Porcentaje de muertes]]&gt;0.65,"GRAVE")</f>
        <v>LEVE</v>
      </c>
    </row>
    <row r="611" spans="2:24" x14ac:dyDescent="0.3">
      <c r="B611" s="9">
        <v>609</v>
      </c>
      <c r="C611" s="49">
        <v>15148</v>
      </c>
      <c r="D611" s="9">
        <f>YEAR(Tabla1[[#This Row],[Date]])</f>
        <v>1941</v>
      </c>
      <c r="E611" s="9" t="str" cm="1">
        <f t="array" ref="E611">IFERROR(_xlfn.IFS(AND(D611&lt;1980,D611&gt;=1970),"70",AND(D611&lt;1990,D611&gt;=1980),"80",AND(D611&lt;2000,D611&gt;=1990),"90",AND(D611&lt;2010,D611&gt;=2000),"00",AND(D611&lt;=2019,D611&gt;=2010),"10"),"1908-1970")</f>
        <v>1908-1970</v>
      </c>
      <c r="F611" s="3" t="s">
        <v>28931</v>
      </c>
      <c r="G611" t="s">
        <v>7649</v>
      </c>
      <c r="H611" t="s">
        <v>7650</v>
      </c>
      <c r="I611" t="s">
        <v>28931</v>
      </c>
      <c r="J611" t="s">
        <v>28931</v>
      </c>
      <c r="K611" t="s">
        <v>7651</v>
      </c>
      <c r="L611" s="7" t="s">
        <v>7652</v>
      </c>
      <c r="M611" t="s">
        <v>28931</v>
      </c>
      <c r="N611">
        <v>18</v>
      </c>
      <c r="O611">
        <v>15</v>
      </c>
      <c r="P611">
        <v>3</v>
      </c>
      <c r="Q611">
        <v>18</v>
      </c>
      <c r="R611">
        <v>15</v>
      </c>
      <c r="S611">
        <v>3</v>
      </c>
      <c r="T611">
        <v>0</v>
      </c>
      <c r="U611" t="s">
        <v>7653</v>
      </c>
      <c r="V611">
        <f>Tabla1[[#This Row],[Aboard]]-Tabla1[[#This Row],[Fatalities]]</f>
        <v>0</v>
      </c>
      <c r="W611" s="50">
        <f>IFERROR(Tabla1[[#This Row],[Fatalities]]/Tabla1[[#This Row],[Aboard]],0)</f>
        <v>1</v>
      </c>
      <c r="X611" s="51" t="str" cm="1">
        <f t="array" ref="X611">_xlfn.IFS(Tabla1[[#This Row],[Porcentaje de muertes]]&lt;0.35,"LEVE",AND(Tabla1[[#This Row],[Porcentaje de muertes]]&gt;0.35,Tabla1[[#This Row],[Porcentaje de muertes]]&lt;0.65),"MEDIO",Tabla1[[#This Row],[Porcentaje de muertes]]&gt;0.65,"GRAVE")</f>
        <v>GRAVE</v>
      </c>
    </row>
    <row r="612" spans="2:24" x14ac:dyDescent="0.3">
      <c r="B612" s="9">
        <v>610</v>
      </c>
      <c r="C612" s="49">
        <v>15187</v>
      </c>
      <c r="D612" s="9">
        <f>YEAR(Tabla1[[#This Row],[Date]])</f>
        <v>1941</v>
      </c>
      <c r="E612" s="9" t="str" cm="1">
        <f t="array" ref="E612">IFERROR(_xlfn.IFS(AND(D612&lt;1980,D612&gt;=1970),"70",AND(D612&lt;1990,D612&gt;=1980),"80",AND(D612&lt;2000,D612&gt;=1990),"90",AND(D612&lt;2010,D612&gt;=2000),"00",AND(D612&lt;=2019,D612&gt;=2010),"10"),"1908-1970")</f>
        <v>1908-1970</v>
      </c>
      <c r="F612" s="3">
        <v>0.38541666666666669</v>
      </c>
      <c r="G612" t="s">
        <v>7654</v>
      </c>
      <c r="H612" t="s">
        <v>6649</v>
      </c>
      <c r="I612" t="s">
        <v>28931</v>
      </c>
      <c r="J612" t="s">
        <v>7655</v>
      </c>
      <c r="K612" t="s">
        <v>7656</v>
      </c>
      <c r="L612" s="7" t="s">
        <v>7657</v>
      </c>
      <c r="M612">
        <v>4158</v>
      </c>
      <c r="N612">
        <v>25</v>
      </c>
      <c r="O612">
        <v>20</v>
      </c>
      <c r="P612">
        <v>5</v>
      </c>
      <c r="Q612">
        <v>5</v>
      </c>
      <c r="R612">
        <v>5</v>
      </c>
      <c r="S612">
        <v>0</v>
      </c>
      <c r="T612">
        <v>0</v>
      </c>
      <c r="U612" t="s">
        <v>7658</v>
      </c>
      <c r="V612">
        <f>Tabla1[[#This Row],[Aboard]]-Tabla1[[#This Row],[Fatalities]]</f>
        <v>20</v>
      </c>
      <c r="W612" s="50">
        <f>IFERROR(Tabla1[[#This Row],[Fatalities]]/Tabla1[[#This Row],[Aboard]],0)</f>
        <v>0.2</v>
      </c>
      <c r="X612" s="51" t="str" cm="1">
        <f t="array" ref="X612">_xlfn.IFS(Tabla1[[#This Row],[Porcentaje de muertes]]&lt;0.35,"LEVE",AND(Tabla1[[#This Row],[Porcentaje de muertes]]&gt;0.35,Tabla1[[#This Row],[Porcentaje de muertes]]&lt;0.65),"MEDIO",Tabla1[[#This Row],[Porcentaje de muertes]]&gt;0.65,"GRAVE")</f>
        <v>LEVE</v>
      </c>
    </row>
    <row r="613" spans="2:24" x14ac:dyDescent="0.3">
      <c r="B613" s="9">
        <v>611</v>
      </c>
      <c r="C613" s="49">
        <v>15257</v>
      </c>
      <c r="D613" s="9">
        <f>YEAR(Tabla1[[#This Row],[Date]])</f>
        <v>1941</v>
      </c>
      <c r="E613" s="9" t="str" cm="1">
        <f t="array" ref="E613">IFERROR(_xlfn.IFS(AND(D613&lt;1980,D613&gt;=1970),"70",AND(D613&lt;1990,D613&gt;=1980),"80",AND(D613&lt;2000,D613&gt;=1990),"90",AND(D613&lt;2010,D613&gt;=2000),"00",AND(D613&lt;=2019,D613&gt;=2010),"10"),"1908-1970")</f>
        <v>1908-1970</v>
      </c>
      <c r="F613" s="3">
        <v>0.85763888888888884</v>
      </c>
      <c r="G613" t="s">
        <v>7659</v>
      </c>
      <c r="H613" t="s">
        <v>7660</v>
      </c>
      <c r="I613" t="s">
        <v>28931</v>
      </c>
      <c r="J613" t="s">
        <v>28931</v>
      </c>
      <c r="K613" t="s">
        <v>7661</v>
      </c>
      <c r="L613" s="7" t="s">
        <v>7662</v>
      </c>
      <c r="M613" t="s">
        <v>28931</v>
      </c>
      <c r="N613">
        <v>22</v>
      </c>
      <c r="O613">
        <v>17</v>
      </c>
      <c r="P613">
        <v>5</v>
      </c>
      <c r="Q613">
        <v>22</v>
      </c>
      <c r="R613">
        <v>17</v>
      </c>
      <c r="S613">
        <v>5</v>
      </c>
      <c r="T613">
        <v>0</v>
      </c>
      <c r="U613" t="s">
        <v>7663</v>
      </c>
      <c r="V613">
        <f>Tabla1[[#This Row],[Aboard]]-Tabla1[[#This Row],[Fatalities]]</f>
        <v>0</v>
      </c>
      <c r="W613" s="50">
        <f>IFERROR(Tabla1[[#This Row],[Fatalities]]/Tabla1[[#This Row],[Aboard]],0)</f>
        <v>1</v>
      </c>
      <c r="X613" s="51" t="str" cm="1">
        <f t="array" ref="X613">_xlfn.IFS(Tabla1[[#This Row],[Porcentaje de muertes]]&lt;0.35,"LEVE",AND(Tabla1[[#This Row],[Porcentaje de muertes]]&gt;0.35,Tabla1[[#This Row],[Porcentaje de muertes]]&lt;0.65),"MEDIO",Tabla1[[#This Row],[Porcentaje de muertes]]&gt;0.65,"GRAVE")</f>
        <v>GRAVE</v>
      </c>
    </row>
    <row r="614" spans="2:24" x14ac:dyDescent="0.3">
      <c r="B614" s="9">
        <v>612</v>
      </c>
      <c r="C614" s="49">
        <v>15202</v>
      </c>
      <c r="D614" s="9">
        <f>YEAR(Tabla1[[#This Row],[Date]])</f>
        <v>1941</v>
      </c>
      <c r="E614" s="9" t="str" cm="1">
        <f t="array" ref="E614">IFERROR(_xlfn.IFS(AND(D614&lt;1980,D614&gt;=1970),"70",AND(D614&lt;1990,D614&gt;=1980),"80",AND(D614&lt;2000,D614&gt;=1990),"90",AND(D614&lt;2010,D614&gt;=2000),"00",AND(D614&lt;=2019,D614&gt;=2010),"10"),"1908-1970")</f>
        <v>1908-1970</v>
      </c>
      <c r="F614" s="3">
        <v>0.86111111111111116</v>
      </c>
      <c r="G614" t="s">
        <v>7664</v>
      </c>
      <c r="H614" t="s">
        <v>7665</v>
      </c>
      <c r="I614" t="s">
        <v>28931</v>
      </c>
      <c r="J614" t="s">
        <v>28931</v>
      </c>
      <c r="K614" t="s">
        <v>7661</v>
      </c>
      <c r="L614" s="7" t="s">
        <v>7666</v>
      </c>
      <c r="M614" t="s">
        <v>28931</v>
      </c>
      <c r="N614">
        <v>22</v>
      </c>
      <c r="O614" t="s">
        <v>5038</v>
      </c>
      <c r="P614" t="s">
        <v>5038</v>
      </c>
      <c r="Q614">
        <v>22</v>
      </c>
      <c r="R614" t="s">
        <v>5038</v>
      </c>
      <c r="S614" t="s">
        <v>5038</v>
      </c>
      <c r="T614">
        <v>0</v>
      </c>
      <c r="U614" t="s">
        <v>7667</v>
      </c>
      <c r="V614">
        <f>Tabla1[[#This Row],[Aboard]]-Tabla1[[#This Row],[Fatalities]]</f>
        <v>0</v>
      </c>
      <c r="W614" s="50">
        <f>IFERROR(Tabla1[[#This Row],[Fatalities]]/Tabla1[[#This Row],[Aboard]],0)</f>
        <v>1</v>
      </c>
      <c r="X614" s="51" t="str" cm="1">
        <f t="array" ref="X614">_xlfn.IFS(Tabla1[[#This Row],[Porcentaje de muertes]]&lt;0.35,"LEVE",AND(Tabla1[[#This Row],[Porcentaje de muertes]]&gt;0.35,Tabla1[[#This Row],[Porcentaje de muertes]]&lt;0.65),"MEDIO",Tabla1[[#This Row],[Porcentaje de muertes]]&gt;0.65,"GRAVE")</f>
        <v>GRAVE</v>
      </c>
    </row>
    <row r="615" spans="2:24" x14ac:dyDescent="0.3">
      <c r="B615" s="9">
        <v>613</v>
      </c>
      <c r="C615" s="49">
        <v>15206</v>
      </c>
      <c r="D615" s="9">
        <f>YEAR(Tabla1[[#This Row],[Date]])</f>
        <v>1941</v>
      </c>
      <c r="E615" s="9" t="str" cm="1">
        <f t="array" ref="E615">IFERROR(_xlfn.IFS(AND(D615&lt;1980,D615&gt;=1970),"70",AND(D615&lt;1990,D615&gt;=1980),"80",AND(D615&lt;2000,D615&gt;=1990),"90",AND(D615&lt;2010,D615&gt;=2000),"00",AND(D615&lt;=2019,D615&gt;=2010),"10"),"1908-1970")</f>
        <v>1908-1970</v>
      </c>
      <c r="F615" s="3" t="s">
        <v>28931</v>
      </c>
      <c r="G615" t="s">
        <v>7668</v>
      </c>
      <c r="H615" t="s">
        <v>7669</v>
      </c>
      <c r="I615" t="s">
        <v>28931</v>
      </c>
      <c r="J615" t="s">
        <v>7670</v>
      </c>
      <c r="K615" t="s">
        <v>7671</v>
      </c>
      <c r="L615" s="7" t="s">
        <v>7672</v>
      </c>
      <c r="M615">
        <v>2083</v>
      </c>
      <c r="N615">
        <v>14</v>
      </c>
      <c r="O615">
        <v>10</v>
      </c>
      <c r="P615">
        <v>4</v>
      </c>
      <c r="Q615">
        <v>8</v>
      </c>
      <c r="R615">
        <v>5</v>
      </c>
      <c r="S615">
        <v>3</v>
      </c>
      <c r="T615">
        <v>0</v>
      </c>
      <c r="U615" t="s">
        <v>7673</v>
      </c>
      <c r="V615">
        <f>Tabla1[[#This Row],[Aboard]]-Tabla1[[#This Row],[Fatalities]]</f>
        <v>6</v>
      </c>
      <c r="W615" s="50">
        <f>IFERROR(Tabla1[[#This Row],[Fatalities]]/Tabla1[[#This Row],[Aboard]],0)</f>
        <v>0.5714285714285714</v>
      </c>
      <c r="X615" s="51" t="str" cm="1">
        <f t="array" ref="X615">_xlfn.IFS(Tabla1[[#This Row],[Porcentaje de muertes]]&lt;0.35,"LEVE",AND(Tabla1[[#This Row],[Porcentaje de muertes]]&gt;0.35,Tabla1[[#This Row],[Porcentaje de muertes]]&lt;0.65),"MEDIO",Tabla1[[#This Row],[Porcentaje de muertes]]&gt;0.65,"GRAVE")</f>
        <v>MEDIO</v>
      </c>
    </row>
    <row r="616" spans="2:24" x14ac:dyDescent="0.3">
      <c r="B616" s="9">
        <v>614</v>
      </c>
      <c r="C616" s="49">
        <v>15215</v>
      </c>
      <c r="D616" s="9">
        <f>YEAR(Tabla1[[#This Row],[Date]])</f>
        <v>1941</v>
      </c>
      <c r="E616" s="9" t="str" cm="1">
        <f t="array" ref="E616">IFERROR(_xlfn.IFS(AND(D616&lt;1980,D616&gt;=1970),"70",AND(D616&lt;1990,D616&gt;=1980),"80",AND(D616&lt;2000,D616&gt;=1990),"90",AND(D616&lt;2010,D616&gt;=2000),"00",AND(D616&lt;=2019,D616&gt;=2010),"10"),"1908-1970")</f>
        <v>1908-1970</v>
      </c>
      <c r="F616" s="3" t="s">
        <v>28931</v>
      </c>
      <c r="G616" t="s">
        <v>7674</v>
      </c>
      <c r="H616" t="s">
        <v>6974</v>
      </c>
      <c r="I616" t="s">
        <v>28931</v>
      </c>
      <c r="J616" t="s">
        <v>7675</v>
      </c>
      <c r="K616" t="s">
        <v>5985</v>
      </c>
      <c r="L616" s="7" t="s">
        <v>7676</v>
      </c>
      <c r="M616">
        <v>2088</v>
      </c>
      <c r="N616">
        <v>3</v>
      </c>
      <c r="O616">
        <v>2</v>
      </c>
      <c r="P616">
        <v>1</v>
      </c>
      <c r="Q616">
        <v>3</v>
      </c>
      <c r="R616">
        <v>2</v>
      </c>
      <c r="S616">
        <v>1</v>
      </c>
      <c r="T616">
        <v>0</v>
      </c>
      <c r="U616" t="s">
        <v>7677</v>
      </c>
      <c r="V616">
        <f>Tabla1[[#This Row],[Aboard]]-Tabla1[[#This Row],[Fatalities]]</f>
        <v>0</v>
      </c>
      <c r="W616" s="50">
        <f>IFERROR(Tabla1[[#This Row],[Fatalities]]/Tabla1[[#This Row],[Aboard]],0)</f>
        <v>1</v>
      </c>
      <c r="X616" s="51" t="str" cm="1">
        <f t="array" ref="X616">_xlfn.IFS(Tabla1[[#This Row],[Porcentaje de muertes]]&lt;0.35,"LEVE",AND(Tabla1[[#This Row],[Porcentaje de muertes]]&gt;0.35,Tabla1[[#This Row],[Porcentaje de muertes]]&lt;0.65),"MEDIO",Tabla1[[#This Row],[Porcentaje de muertes]]&gt;0.65,"GRAVE")</f>
        <v>GRAVE</v>
      </c>
    </row>
    <row r="617" spans="2:24" x14ac:dyDescent="0.3">
      <c r="B617" s="9">
        <v>615</v>
      </c>
      <c r="C617" s="49">
        <v>14985</v>
      </c>
      <c r="D617" s="9">
        <f>YEAR(Tabla1[[#This Row],[Date]])</f>
        <v>1941</v>
      </c>
      <c r="E617" s="9" t="str" cm="1">
        <f t="array" ref="E617">IFERROR(_xlfn.IFS(AND(D617&lt;1980,D617&gt;=1970),"70",AND(D617&lt;1990,D617&gt;=1980),"80",AND(D617&lt;2000,D617&gt;=1990),"90",AND(D617&lt;2010,D617&gt;=2000),"00",AND(D617&lt;=2019,D617&gt;=2010),"10"),"1908-1970")</f>
        <v>1908-1970</v>
      </c>
      <c r="F617" s="3" t="s">
        <v>28931</v>
      </c>
      <c r="G617" t="s">
        <v>7678</v>
      </c>
      <c r="H617" t="s">
        <v>7521</v>
      </c>
      <c r="I617" t="s">
        <v>28931</v>
      </c>
      <c r="J617" t="s">
        <v>28931</v>
      </c>
      <c r="K617" t="s">
        <v>7679</v>
      </c>
      <c r="L617" s="7" t="s">
        <v>7680</v>
      </c>
      <c r="M617" t="s">
        <v>28931</v>
      </c>
      <c r="N617">
        <v>10</v>
      </c>
      <c r="O617" t="s">
        <v>5038</v>
      </c>
      <c r="P617" t="s">
        <v>5038</v>
      </c>
      <c r="Q617">
        <v>10</v>
      </c>
      <c r="R617" t="s">
        <v>5038</v>
      </c>
      <c r="S617" t="s">
        <v>5038</v>
      </c>
      <c r="T617">
        <v>0</v>
      </c>
      <c r="U617" t="s">
        <v>7681</v>
      </c>
      <c r="V617">
        <f>Tabla1[[#This Row],[Aboard]]-Tabla1[[#This Row],[Fatalities]]</f>
        <v>0</v>
      </c>
      <c r="W617" s="50">
        <f>IFERROR(Tabla1[[#This Row],[Fatalities]]/Tabla1[[#This Row],[Aboard]],0)</f>
        <v>1</v>
      </c>
      <c r="X617" s="51" t="str" cm="1">
        <f t="array" ref="X617">_xlfn.IFS(Tabla1[[#This Row],[Porcentaje de muertes]]&lt;0.35,"LEVE",AND(Tabla1[[#This Row],[Porcentaje de muertes]]&gt;0.35,Tabla1[[#This Row],[Porcentaje de muertes]]&lt;0.65),"MEDIO",Tabla1[[#This Row],[Porcentaje de muertes]]&gt;0.65,"GRAVE")</f>
        <v>GRAVE</v>
      </c>
    </row>
    <row r="618" spans="2:24" x14ac:dyDescent="0.3">
      <c r="B618" s="9">
        <v>616</v>
      </c>
      <c r="C618" s="49">
        <v>14985</v>
      </c>
      <c r="D618" s="9">
        <f>YEAR(Tabla1[[#This Row],[Date]])</f>
        <v>1941</v>
      </c>
      <c r="E618" s="9" t="str" cm="1">
        <f t="array" ref="E618">IFERROR(_xlfn.IFS(AND(D618&lt;1980,D618&gt;=1970),"70",AND(D618&lt;1990,D618&gt;=1980),"80",AND(D618&lt;2000,D618&gt;=1990),"90",AND(D618&lt;2010,D618&gt;=2000),"00",AND(D618&lt;=2019,D618&gt;=2010),"10"),"1908-1970")</f>
        <v>1908-1970</v>
      </c>
      <c r="F618" s="3">
        <v>0.56944444444444442</v>
      </c>
      <c r="G618" t="s">
        <v>7682</v>
      </c>
      <c r="H618" t="s">
        <v>6375</v>
      </c>
      <c r="I618" t="s">
        <v>28931</v>
      </c>
      <c r="J618" t="s">
        <v>7683</v>
      </c>
      <c r="K618" t="s">
        <v>7684</v>
      </c>
      <c r="L618" s="7" t="s">
        <v>7685</v>
      </c>
      <c r="M618">
        <v>12</v>
      </c>
      <c r="N618">
        <v>17</v>
      </c>
      <c r="O618">
        <v>14</v>
      </c>
      <c r="P618">
        <v>3</v>
      </c>
      <c r="Q618">
        <v>15</v>
      </c>
      <c r="R618">
        <v>12</v>
      </c>
      <c r="S618">
        <v>3</v>
      </c>
      <c r="T618">
        <v>0</v>
      </c>
      <c r="U618" t="s">
        <v>7686</v>
      </c>
      <c r="V618">
        <f>Tabla1[[#This Row],[Aboard]]-Tabla1[[#This Row],[Fatalities]]</f>
        <v>2</v>
      </c>
      <c r="W618" s="50">
        <f>IFERROR(Tabla1[[#This Row],[Fatalities]]/Tabla1[[#This Row],[Aboard]],0)</f>
        <v>0.88235294117647056</v>
      </c>
      <c r="X618" s="51" t="str" cm="1">
        <f t="array" ref="X618">_xlfn.IFS(Tabla1[[#This Row],[Porcentaje de muertes]]&lt;0.35,"LEVE",AND(Tabla1[[#This Row],[Porcentaje de muertes]]&gt;0.35,Tabla1[[#This Row],[Porcentaje de muertes]]&lt;0.65),"MEDIO",Tabla1[[#This Row],[Porcentaje de muertes]]&gt;0.65,"GRAVE")</f>
        <v>GRAVE</v>
      </c>
    </row>
    <row r="619" spans="2:24" x14ac:dyDescent="0.3">
      <c r="B619" s="9">
        <v>617</v>
      </c>
      <c r="C619" s="49">
        <v>15045</v>
      </c>
      <c r="D619" s="9">
        <f>YEAR(Tabla1[[#This Row],[Date]])</f>
        <v>1941</v>
      </c>
      <c r="E619" s="9" t="str" cm="1">
        <f t="array" ref="E619">IFERROR(_xlfn.IFS(AND(D619&lt;1980,D619&gt;=1970),"70",AND(D619&lt;1990,D619&gt;=1980),"80",AND(D619&lt;2000,D619&gt;=1990),"90",AND(D619&lt;2010,D619&gt;=2000),"00",AND(D619&lt;=2019,D619&gt;=2010),"10"),"1908-1970")</f>
        <v>1908-1970</v>
      </c>
      <c r="F619" s="3">
        <v>0.7416666666666667</v>
      </c>
      <c r="G619" t="s">
        <v>7687</v>
      </c>
      <c r="H619" t="s">
        <v>7121</v>
      </c>
      <c r="I619">
        <v>203</v>
      </c>
      <c r="J619" t="s">
        <v>7688</v>
      </c>
      <c r="K619" t="s">
        <v>7689</v>
      </c>
      <c r="L619" s="7" t="s">
        <v>7690</v>
      </c>
      <c r="M619">
        <v>4206</v>
      </c>
      <c r="N619">
        <v>15</v>
      </c>
      <c r="O619">
        <v>9</v>
      </c>
      <c r="P619">
        <v>6</v>
      </c>
      <c r="Q619">
        <v>2</v>
      </c>
      <c r="R619">
        <v>2</v>
      </c>
      <c r="S619">
        <v>0</v>
      </c>
      <c r="T619">
        <v>0</v>
      </c>
      <c r="U619" t="s">
        <v>7691</v>
      </c>
      <c r="V619">
        <f>Tabla1[[#This Row],[Aboard]]-Tabla1[[#This Row],[Fatalities]]</f>
        <v>13</v>
      </c>
      <c r="W619" s="50">
        <f>IFERROR(Tabla1[[#This Row],[Fatalities]]/Tabla1[[#This Row],[Aboard]],0)</f>
        <v>0.13333333333333333</v>
      </c>
      <c r="X619" s="51" t="str" cm="1">
        <f t="array" ref="X619">_xlfn.IFS(Tabla1[[#This Row],[Porcentaje de muertes]]&lt;0.35,"LEVE",AND(Tabla1[[#This Row],[Porcentaje de muertes]]&gt;0.35,Tabla1[[#This Row],[Porcentaje de muertes]]&lt;0.65),"MEDIO",Tabla1[[#This Row],[Porcentaje de muertes]]&gt;0.65,"GRAVE")</f>
        <v>LEVE</v>
      </c>
    </row>
    <row r="620" spans="2:24" x14ac:dyDescent="0.3">
      <c r="B620" s="9">
        <v>618</v>
      </c>
      <c r="C620" s="49">
        <v>15277</v>
      </c>
      <c r="D620" s="9">
        <f>YEAR(Tabla1[[#This Row],[Date]])</f>
        <v>1941</v>
      </c>
      <c r="E620" s="9" t="str" cm="1">
        <f t="array" ref="E620">IFERROR(_xlfn.IFS(AND(D620&lt;1980,D620&gt;=1970),"70",AND(D620&lt;1990,D620&gt;=1980),"80",AND(D620&lt;2000,D620&gt;=1990),"90",AND(D620&lt;2010,D620&gt;=2000),"00",AND(D620&lt;=2019,D620&gt;=2010),"10"),"1908-1970")</f>
        <v>1908-1970</v>
      </c>
      <c r="F620" s="3" t="s">
        <v>28931</v>
      </c>
      <c r="G620" t="s">
        <v>7692</v>
      </c>
      <c r="H620" t="s">
        <v>5417</v>
      </c>
      <c r="I620" t="s">
        <v>28931</v>
      </c>
      <c r="J620" t="s">
        <v>7693</v>
      </c>
      <c r="K620" t="s">
        <v>7694</v>
      </c>
      <c r="L620" s="7" t="s">
        <v>7695</v>
      </c>
      <c r="M620">
        <v>7172</v>
      </c>
      <c r="N620">
        <v>13</v>
      </c>
      <c r="O620">
        <v>10</v>
      </c>
      <c r="P620">
        <v>3</v>
      </c>
      <c r="Q620">
        <v>13</v>
      </c>
      <c r="R620">
        <v>10</v>
      </c>
      <c r="S620">
        <v>3</v>
      </c>
      <c r="T620">
        <v>0</v>
      </c>
      <c r="U620" t="s">
        <v>7696</v>
      </c>
      <c r="V620">
        <f>Tabla1[[#This Row],[Aboard]]-Tabla1[[#This Row],[Fatalities]]</f>
        <v>0</v>
      </c>
      <c r="W620" s="50">
        <f>IFERROR(Tabla1[[#This Row],[Fatalities]]/Tabla1[[#This Row],[Aboard]],0)</f>
        <v>1</v>
      </c>
      <c r="X620" s="51" t="str" cm="1">
        <f t="array" ref="X620">_xlfn.IFS(Tabla1[[#This Row],[Porcentaje de muertes]]&lt;0.35,"LEVE",AND(Tabla1[[#This Row],[Porcentaje de muertes]]&gt;0.35,Tabla1[[#This Row],[Porcentaje de muertes]]&lt;0.65),"MEDIO",Tabla1[[#This Row],[Porcentaje de muertes]]&gt;0.65,"GRAVE")</f>
        <v>GRAVE</v>
      </c>
    </row>
    <row r="621" spans="2:24" x14ac:dyDescent="0.3">
      <c r="B621" s="9">
        <v>619</v>
      </c>
      <c r="C621" s="49">
        <v>15279</v>
      </c>
      <c r="D621" s="9">
        <f>YEAR(Tabla1[[#This Row],[Date]])</f>
        <v>1941</v>
      </c>
      <c r="E621" s="9" t="str" cm="1">
        <f t="array" ref="E621">IFERROR(_xlfn.IFS(AND(D621&lt;1980,D621&gt;=1970),"70",AND(D621&lt;1990,D621&gt;=1980),"80",AND(D621&lt;2000,D621&gt;=1990),"90",AND(D621&lt;2010,D621&gt;=2000),"00",AND(D621&lt;=2019,D621&gt;=2010),"10"),"1908-1970")</f>
        <v>1908-1970</v>
      </c>
      <c r="F621" s="3">
        <v>8.6111111111111124E-2</v>
      </c>
      <c r="G621" t="s">
        <v>7697</v>
      </c>
      <c r="H621" t="s">
        <v>5769</v>
      </c>
      <c r="I621">
        <v>5</v>
      </c>
      <c r="J621" t="s">
        <v>7698</v>
      </c>
      <c r="K621" t="s">
        <v>7057</v>
      </c>
      <c r="L621" s="7" t="s">
        <v>7699</v>
      </c>
      <c r="M621">
        <v>2124</v>
      </c>
      <c r="N621">
        <v>15</v>
      </c>
      <c r="O621">
        <v>13</v>
      </c>
      <c r="P621">
        <v>2</v>
      </c>
      <c r="Q621">
        <v>14</v>
      </c>
      <c r="R621">
        <v>13</v>
      </c>
      <c r="S621">
        <v>1</v>
      </c>
      <c r="T621">
        <v>0</v>
      </c>
      <c r="U621" t="s">
        <v>7700</v>
      </c>
      <c r="V621">
        <f>Tabla1[[#This Row],[Aboard]]-Tabla1[[#This Row],[Fatalities]]</f>
        <v>1</v>
      </c>
      <c r="W621" s="50">
        <f>IFERROR(Tabla1[[#This Row],[Fatalities]]/Tabla1[[#This Row],[Aboard]],0)</f>
        <v>0.93333333333333335</v>
      </c>
      <c r="X621" s="51" t="str" cm="1">
        <f t="array" ref="X621">_xlfn.IFS(Tabla1[[#This Row],[Porcentaje de muertes]]&lt;0.35,"LEVE",AND(Tabla1[[#This Row],[Porcentaje de muertes]]&gt;0.35,Tabla1[[#This Row],[Porcentaje de muertes]]&lt;0.65),"MEDIO",Tabla1[[#This Row],[Porcentaje de muertes]]&gt;0.65,"GRAVE")</f>
        <v>GRAVE</v>
      </c>
    </row>
    <row r="622" spans="2:24" x14ac:dyDescent="0.3">
      <c r="B622" s="9">
        <v>620</v>
      </c>
      <c r="C622" s="49">
        <v>15279</v>
      </c>
      <c r="D622" s="9">
        <f>YEAR(Tabla1[[#This Row],[Date]])</f>
        <v>1941</v>
      </c>
      <c r="E622" s="9" t="str" cm="1">
        <f t="array" ref="E622">IFERROR(_xlfn.IFS(AND(D622&lt;1980,D622&gt;=1970),"70",AND(D622&lt;1990,D622&gt;=1980),"80",AND(D622&lt;2000,D622&gt;=1990),"90",AND(D622&lt;2010,D622&gt;=2000),"00",AND(D622&lt;=2019,D622&gt;=2010),"10"),"1908-1970")</f>
        <v>1908-1970</v>
      </c>
      <c r="F622" s="3">
        <v>0.92361111111111116</v>
      </c>
      <c r="G622" t="s">
        <v>7701</v>
      </c>
      <c r="H622" t="s">
        <v>6536</v>
      </c>
      <c r="I622">
        <v>1</v>
      </c>
      <c r="J622" t="s">
        <v>7702</v>
      </c>
      <c r="K622" t="s">
        <v>7057</v>
      </c>
      <c r="L622" s="7" t="s">
        <v>7703</v>
      </c>
      <c r="M622">
        <v>2207</v>
      </c>
      <c r="N622">
        <v>20</v>
      </c>
      <c r="O622">
        <v>17</v>
      </c>
      <c r="P622">
        <v>3</v>
      </c>
      <c r="Q622">
        <v>20</v>
      </c>
      <c r="R622">
        <v>17</v>
      </c>
      <c r="S622">
        <v>3</v>
      </c>
      <c r="T622">
        <v>0</v>
      </c>
      <c r="U622" t="s">
        <v>7704</v>
      </c>
      <c r="V622">
        <f>Tabla1[[#This Row],[Aboard]]-Tabla1[[#This Row],[Fatalities]]</f>
        <v>0</v>
      </c>
      <c r="W622" s="50">
        <f>IFERROR(Tabla1[[#This Row],[Fatalities]]/Tabla1[[#This Row],[Aboard]],0)</f>
        <v>1</v>
      </c>
      <c r="X622" s="51" t="str" cm="1">
        <f t="array" ref="X622">_xlfn.IFS(Tabla1[[#This Row],[Porcentaje de muertes]]&lt;0.35,"LEVE",AND(Tabla1[[#This Row],[Porcentaje de muertes]]&gt;0.35,Tabla1[[#This Row],[Porcentaje de muertes]]&lt;0.65),"MEDIO",Tabla1[[#This Row],[Porcentaje de muertes]]&gt;0.65,"GRAVE")</f>
        <v>GRAVE</v>
      </c>
    </row>
    <row r="623" spans="2:24" x14ac:dyDescent="0.3">
      <c r="B623" s="9">
        <v>621</v>
      </c>
      <c r="C623" s="49">
        <v>15309</v>
      </c>
      <c r="D623" s="9">
        <f>YEAR(Tabla1[[#This Row],[Date]])</f>
        <v>1941</v>
      </c>
      <c r="E623" s="9" t="str" cm="1">
        <f t="array" ref="E623">IFERROR(_xlfn.IFS(AND(D623&lt;1980,D623&gt;=1970),"70",AND(D623&lt;1990,D623&gt;=1980),"80",AND(D623&lt;2000,D623&gt;=1990),"90",AND(D623&lt;2010,D623&gt;=2000),"00",AND(D623&lt;=2019,D623&gt;=2010),"10"),"1908-1970")</f>
        <v>1908-1970</v>
      </c>
      <c r="F623" s="3">
        <v>0.24652777777777779</v>
      </c>
      <c r="G623" t="s">
        <v>7705</v>
      </c>
      <c r="H623" t="s">
        <v>6541</v>
      </c>
      <c r="I623" t="s">
        <v>28931</v>
      </c>
      <c r="J623" t="s">
        <v>7706</v>
      </c>
      <c r="K623" t="s">
        <v>28943</v>
      </c>
      <c r="L623" s="7" t="s">
        <v>7707</v>
      </c>
      <c r="M623">
        <v>61</v>
      </c>
      <c r="N623">
        <v>36</v>
      </c>
      <c r="O623">
        <v>31</v>
      </c>
      <c r="P623">
        <v>5</v>
      </c>
      <c r="Q623">
        <v>7</v>
      </c>
      <c r="R623">
        <v>5</v>
      </c>
      <c r="S623">
        <v>2</v>
      </c>
      <c r="T623">
        <v>0</v>
      </c>
      <c r="U623" t="s">
        <v>7708</v>
      </c>
      <c r="V623">
        <f>Tabla1[[#This Row],[Aboard]]-Tabla1[[#This Row],[Fatalities]]</f>
        <v>29</v>
      </c>
      <c r="W623" s="50">
        <f>IFERROR(Tabla1[[#This Row],[Fatalities]]/Tabla1[[#This Row],[Aboard]],0)</f>
        <v>0.19444444444444445</v>
      </c>
      <c r="X623" s="51" t="str" cm="1">
        <f t="array" ref="X623">_xlfn.IFS(Tabla1[[#This Row],[Porcentaje de muertes]]&lt;0.35,"LEVE",AND(Tabla1[[#This Row],[Porcentaje de muertes]]&gt;0.35,Tabla1[[#This Row],[Porcentaje de muertes]]&lt;0.65),"MEDIO",Tabla1[[#This Row],[Porcentaje de muertes]]&gt;0.65,"GRAVE")</f>
        <v>LEVE</v>
      </c>
    </row>
    <row r="624" spans="2:24" x14ac:dyDescent="0.3">
      <c r="B624" s="9">
        <v>622</v>
      </c>
      <c r="C624" s="49">
        <v>15292</v>
      </c>
      <c r="D624" s="9">
        <f>YEAR(Tabla1[[#This Row],[Date]])</f>
        <v>1941</v>
      </c>
      <c r="E624" s="9" t="str" cm="1">
        <f t="array" ref="E624">IFERROR(_xlfn.IFS(AND(D624&lt;1980,D624&gt;=1970),"70",AND(D624&lt;1990,D624&gt;=1980),"80",AND(D624&lt;2000,D624&gt;=1990),"90",AND(D624&lt;2010,D624&gt;=2000),"00",AND(D624&lt;=2019,D624&gt;=2010),"10"),"1908-1970")</f>
        <v>1908-1970</v>
      </c>
      <c r="F624" s="3" t="s">
        <v>28931</v>
      </c>
      <c r="G624" t="s">
        <v>7709</v>
      </c>
      <c r="H624" t="s">
        <v>5755</v>
      </c>
      <c r="I624" t="s">
        <v>28931</v>
      </c>
      <c r="J624" t="s">
        <v>28931</v>
      </c>
      <c r="K624" t="s">
        <v>5038</v>
      </c>
      <c r="L624" s="7" t="s">
        <v>7710</v>
      </c>
      <c r="M624" t="s">
        <v>28931</v>
      </c>
      <c r="N624">
        <v>3</v>
      </c>
      <c r="O624" t="s">
        <v>5038</v>
      </c>
      <c r="P624" t="s">
        <v>5038</v>
      </c>
      <c r="Q624">
        <v>3</v>
      </c>
      <c r="R624" t="s">
        <v>5038</v>
      </c>
      <c r="S624" t="s">
        <v>5038</v>
      </c>
      <c r="T624">
        <v>0</v>
      </c>
      <c r="U624" t="s">
        <v>28927</v>
      </c>
      <c r="V624">
        <f>Tabla1[[#This Row],[Aboard]]-Tabla1[[#This Row],[Fatalities]]</f>
        <v>0</v>
      </c>
      <c r="W624" s="50">
        <f>IFERROR(Tabla1[[#This Row],[Fatalities]]/Tabla1[[#This Row],[Aboard]],0)</f>
        <v>1</v>
      </c>
      <c r="X624" s="51" t="str" cm="1">
        <f t="array" ref="X624">_xlfn.IFS(Tabla1[[#This Row],[Porcentaje de muertes]]&lt;0.35,"LEVE",AND(Tabla1[[#This Row],[Porcentaje de muertes]]&gt;0.35,Tabla1[[#This Row],[Porcentaje de muertes]]&lt;0.65),"MEDIO",Tabla1[[#This Row],[Porcentaje de muertes]]&gt;0.65,"GRAVE")</f>
        <v>GRAVE</v>
      </c>
    </row>
    <row r="625" spans="2:24" x14ac:dyDescent="0.3">
      <c r="B625" s="9">
        <v>623</v>
      </c>
      <c r="C625" s="49">
        <v>15336</v>
      </c>
      <c r="D625" s="9">
        <f>YEAR(Tabla1[[#This Row],[Date]])</f>
        <v>1941</v>
      </c>
      <c r="E625" s="9" t="str" cm="1">
        <f t="array" ref="E625">IFERROR(_xlfn.IFS(AND(D625&lt;1980,D625&gt;=1970),"70",AND(D625&lt;1990,D625&gt;=1980),"80",AND(D625&lt;2000,D625&gt;=1990),"90",AND(D625&lt;2010,D625&gt;=2000),"00",AND(D625&lt;=2019,D625&gt;=2010),"10"),"1908-1970")</f>
        <v>1908-1970</v>
      </c>
      <c r="F625" s="3">
        <v>0.47638888888888892</v>
      </c>
      <c r="G625" t="s">
        <v>7711</v>
      </c>
      <c r="H625" t="s">
        <v>6541</v>
      </c>
      <c r="I625" t="s">
        <v>28931</v>
      </c>
      <c r="J625" t="s">
        <v>7712</v>
      </c>
      <c r="K625" t="s">
        <v>28943</v>
      </c>
      <c r="L625" s="7" t="s">
        <v>7713</v>
      </c>
      <c r="M625">
        <v>22182</v>
      </c>
      <c r="N625">
        <v>34</v>
      </c>
      <c r="O625">
        <v>28</v>
      </c>
      <c r="P625">
        <v>6</v>
      </c>
      <c r="Q625">
        <v>26</v>
      </c>
      <c r="R625">
        <v>21</v>
      </c>
      <c r="S625">
        <v>5</v>
      </c>
      <c r="T625">
        <v>0</v>
      </c>
      <c r="U625" t="s">
        <v>7714</v>
      </c>
      <c r="V625">
        <f>Tabla1[[#This Row],[Aboard]]-Tabla1[[#This Row],[Fatalities]]</f>
        <v>8</v>
      </c>
      <c r="W625" s="50">
        <f>IFERROR(Tabla1[[#This Row],[Fatalities]]/Tabla1[[#This Row],[Aboard]],0)</f>
        <v>0.76470588235294112</v>
      </c>
      <c r="X625" s="51" t="str" cm="1">
        <f t="array" ref="X625">_xlfn.IFS(Tabla1[[#This Row],[Porcentaje de muertes]]&lt;0.35,"LEVE",AND(Tabla1[[#This Row],[Porcentaje de muertes]]&gt;0.35,Tabla1[[#This Row],[Porcentaje de muertes]]&lt;0.65),"MEDIO",Tabla1[[#This Row],[Porcentaje de muertes]]&gt;0.65,"GRAVE")</f>
        <v>GRAVE</v>
      </c>
    </row>
    <row r="626" spans="2:24" x14ac:dyDescent="0.3">
      <c r="B626" s="9">
        <v>624</v>
      </c>
      <c r="C626" s="49">
        <v>15339</v>
      </c>
      <c r="D626" s="9">
        <f>YEAR(Tabla1[[#This Row],[Date]])</f>
        <v>1941</v>
      </c>
      <c r="E626" s="9" t="str" cm="1">
        <f t="array" ref="E626">IFERROR(_xlfn.IFS(AND(D626&lt;1980,D626&gt;=1970),"70",AND(D626&lt;1990,D626&gt;=1980),"80",AND(D626&lt;2000,D626&gt;=1990),"90",AND(D626&lt;2010,D626&gt;=2000),"00",AND(D626&lt;=2019,D626&gt;=2010),"10"),"1908-1970")</f>
        <v>1908-1970</v>
      </c>
      <c r="F626" s="3" t="s">
        <v>28931</v>
      </c>
      <c r="G626" t="s">
        <v>7715</v>
      </c>
      <c r="H626" t="s">
        <v>7716</v>
      </c>
      <c r="I626" t="s">
        <v>28931</v>
      </c>
      <c r="J626" t="s">
        <v>28931</v>
      </c>
      <c r="K626" t="s">
        <v>7416</v>
      </c>
      <c r="L626" s="7" t="s">
        <v>7717</v>
      </c>
      <c r="M626" t="s">
        <v>7718</v>
      </c>
      <c r="N626">
        <v>4</v>
      </c>
      <c r="O626">
        <v>0</v>
      </c>
      <c r="P626">
        <v>4</v>
      </c>
      <c r="Q626">
        <v>4</v>
      </c>
      <c r="R626">
        <v>0</v>
      </c>
      <c r="S626">
        <v>4</v>
      </c>
      <c r="T626">
        <v>0</v>
      </c>
      <c r="U626" t="s">
        <v>7719</v>
      </c>
      <c r="V626">
        <f>Tabla1[[#This Row],[Aboard]]-Tabla1[[#This Row],[Fatalities]]</f>
        <v>0</v>
      </c>
      <c r="W626" s="50">
        <f>IFERROR(Tabla1[[#This Row],[Fatalities]]/Tabla1[[#This Row],[Aboard]],0)</f>
        <v>1</v>
      </c>
      <c r="X626" s="51" t="str" cm="1">
        <f t="array" ref="X626">_xlfn.IFS(Tabla1[[#This Row],[Porcentaje de muertes]]&lt;0.35,"LEVE",AND(Tabla1[[#This Row],[Porcentaje de muertes]]&gt;0.35,Tabla1[[#This Row],[Porcentaje de muertes]]&lt;0.65),"MEDIO",Tabla1[[#This Row],[Porcentaje de muertes]]&gt;0.65,"GRAVE")</f>
        <v>GRAVE</v>
      </c>
    </row>
    <row r="627" spans="2:24" x14ac:dyDescent="0.3">
      <c r="B627" s="9">
        <v>625</v>
      </c>
      <c r="C627" s="49">
        <v>15357</v>
      </c>
      <c r="D627" s="9">
        <f>YEAR(Tabla1[[#This Row],[Date]])</f>
        <v>1942</v>
      </c>
      <c r="E627" s="9" t="str" cm="1">
        <f t="array" ref="E627">IFERROR(_xlfn.IFS(AND(D627&lt;1980,D627&gt;=1970),"70",AND(D627&lt;1990,D627&gt;=1980),"80",AND(D627&lt;2000,D627&gt;=1990),"90",AND(D627&lt;2010,D627&gt;=2000),"00",AND(D627&lt;=2019,D627&gt;=2010),"10"),"1908-1970")</f>
        <v>1908-1970</v>
      </c>
      <c r="F627" s="3">
        <v>0.80555555555555547</v>
      </c>
      <c r="G627" t="s">
        <v>7720</v>
      </c>
      <c r="H627" t="s">
        <v>6044</v>
      </c>
      <c r="I627" t="s">
        <v>28931</v>
      </c>
      <c r="J627" t="s">
        <v>7721</v>
      </c>
      <c r="K627" t="s">
        <v>7057</v>
      </c>
      <c r="L627" s="7" t="s">
        <v>7722</v>
      </c>
      <c r="M627">
        <v>3295</v>
      </c>
      <c r="N627">
        <v>22</v>
      </c>
      <c r="O627">
        <v>19</v>
      </c>
      <c r="P627">
        <v>3</v>
      </c>
      <c r="Q627">
        <v>22</v>
      </c>
      <c r="R627">
        <v>19</v>
      </c>
      <c r="S627">
        <v>3</v>
      </c>
      <c r="T627">
        <v>0</v>
      </c>
      <c r="U627" t="s">
        <v>7723</v>
      </c>
      <c r="V627">
        <f>Tabla1[[#This Row],[Aboard]]-Tabla1[[#This Row],[Fatalities]]</f>
        <v>0</v>
      </c>
      <c r="W627" s="50">
        <f>IFERROR(Tabla1[[#This Row],[Fatalities]]/Tabla1[[#This Row],[Aboard]],0)</f>
        <v>1</v>
      </c>
      <c r="X627" s="51" t="str" cm="1">
        <f t="array" ref="X627">_xlfn.IFS(Tabla1[[#This Row],[Porcentaje de muertes]]&lt;0.35,"LEVE",AND(Tabla1[[#This Row],[Porcentaje de muertes]]&gt;0.35,Tabla1[[#This Row],[Porcentaje de muertes]]&lt;0.65),"MEDIO",Tabla1[[#This Row],[Porcentaje de muertes]]&gt;0.65,"GRAVE")</f>
        <v>GRAVE</v>
      </c>
    </row>
    <row r="628" spans="2:24" x14ac:dyDescent="0.3">
      <c r="B628" s="9">
        <v>626</v>
      </c>
      <c r="C628" s="49">
        <v>15361</v>
      </c>
      <c r="D628" s="9">
        <f>YEAR(Tabla1[[#This Row],[Date]])</f>
        <v>1942</v>
      </c>
      <c r="E628" s="9" t="str" cm="1">
        <f t="array" ref="E628">IFERROR(_xlfn.IFS(AND(D628&lt;1980,D628&gt;=1970),"70",AND(D628&lt;1990,D628&gt;=1980),"80",AND(D628&lt;2000,D628&gt;=1990),"90",AND(D628&lt;2010,D628&gt;=2000),"00",AND(D628&lt;=2019,D628&gt;=2010),"10"),"1908-1970")</f>
        <v>1908-1970</v>
      </c>
      <c r="F628" s="3" t="s">
        <v>28931</v>
      </c>
      <c r="G628" t="s">
        <v>7724</v>
      </c>
      <c r="H628" t="s">
        <v>5195</v>
      </c>
      <c r="I628" t="s">
        <v>28931</v>
      </c>
      <c r="J628" t="s">
        <v>28931</v>
      </c>
      <c r="K628" t="s">
        <v>7725</v>
      </c>
      <c r="L628" s="7" t="s">
        <v>7726</v>
      </c>
      <c r="M628" t="s">
        <v>7727</v>
      </c>
      <c r="N628">
        <v>11</v>
      </c>
      <c r="O628">
        <v>7</v>
      </c>
      <c r="P628">
        <v>4</v>
      </c>
      <c r="Q628">
        <v>11</v>
      </c>
      <c r="R628" t="s">
        <v>5038</v>
      </c>
      <c r="S628">
        <v>4</v>
      </c>
      <c r="T628">
        <v>0</v>
      </c>
      <c r="U628" t="s">
        <v>7728</v>
      </c>
      <c r="V628">
        <f>Tabla1[[#This Row],[Aboard]]-Tabla1[[#This Row],[Fatalities]]</f>
        <v>0</v>
      </c>
      <c r="W628" s="50">
        <f>IFERROR(Tabla1[[#This Row],[Fatalities]]/Tabla1[[#This Row],[Aboard]],0)</f>
        <v>1</v>
      </c>
      <c r="X628" s="51" t="str" cm="1">
        <f t="array" ref="X628">_xlfn.IFS(Tabla1[[#This Row],[Porcentaje de muertes]]&lt;0.35,"LEVE",AND(Tabla1[[#This Row],[Porcentaje de muertes]]&gt;0.35,Tabla1[[#This Row],[Porcentaje de muertes]]&lt;0.65),"MEDIO",Tabla1[[#This Row],[Porcentaje de muertes]]&gt;0.65,"GRAVE")</f>
        <v>GRAVE</v>
      </c>
    </row>
    <row r="629" spans="2:24" x14ac:dyDescent="0.3">
      <c r="B629" s="9">
        <v>627</v>
      </c>
      <c r="C629" s="49">
        <v>15367</v>
      </c>
      <c r="D629" s="9">
        <f>YEAR(Tabla1[[#This Row],[Date]])</f>
        <v>1942</v>
      </c>
      <c r="E629" s="9" t="str" cm="1">
        <f t="array" ref="E629">IFERROR(_xlfn.IFS(AND(D629&lt;1980,D629&gt;=1970),"70",AND(D629&lt;1990,D629&gt;=1980),"80",AND(D629&lt;2000,D629&gt;=1990),"90",AND(D629&lt;2010,D629&gt;=2000),"00",AND(D629&lt;=2019,D629&gt;=2010),"10"),"1908-1970")</f>
        <v>1908-1970</v>
      </c>
      <c r="F629" s="3" t="s">
        <v>28931</v>
      </c>
      <c r="G629" t="s">
        <v>7729</v>
      </c>
      <c r="H629" t="s">
        <v>7496</v>
      </c>
      <c r="I629" t="s">
        <v>28931</v>
      </c>
      <c r="J629" t="s">
        <v>28931</v>
      </c>
      <c r="K629" t="s">
        <v>7730</v>
      </c>
      <c r="L629" s="7" t="s">
        <v>7731</v>
      </c>
      <c r="M629">
        <v>1081</v>
      </c>
      <c r="N629">
        <v>5</v>
      </c>
      <c r="O629">
        <v>2</v>
      </c>
      <c r="P629">
        <v>3</v>
      </c>
      <c r="Q629">
        <v>5</v>
      </c>
      <c r="R629">
        <v>2</v>
      </c>
      <c r="S629">
        <v>3</v>
      </c>
      <c r="T629">
        <v>0</v>
      </c>
      <c r="U629" t="s">
        <v>7732</v>
      </c>
      <c r="V629">
        <f>Tabla1[[#This Row],[Aboard]]-Tabla1[[#This Row],[Fatalities]]</f>
        <v>0</v>
      </c>
      <c r="W629" s="50">
        <f>IFERROR(Tabla1[[#This Row],[Fatalities]]/Tabla1[[#This Row],[Aboard]],0)</f>
        <v>1</v>
      </c>
      <c r="X629" s="51" t="str" cm="1">
        <f t="array" ref="X629">_xlfn.IFS(Tabla1[[#This Row],[Porcentaje de muertes]]&lt;0.35,"LEVE",AND(Tabla1[[#This Row],[Porcentaje de muertes]]&gt;0.35,Tabla1[[#This Row],[Porcentaje de muertes]]&lt;0.65),"MEDIO",Tabla1[[#This Row],[Porcentaje de muertes]]&gt;0.65,"GRAVE")</f>
        <v>GRAVE</v>
      </c>
    </row>
    <row r="630" spans="2:24" x14ac:dyDescent="0.3">
      <c r="B630" s="9">
        <v>628</v>
      </c>
      <c r="C630" s="49">
        <v>15371</v>
      </c>
      <c r="D630" s="9">
        <f>YEAR(Tabla1[[#This Row],[Date]])</f>
        <v>1942</v>
      </c>
      <c r="E630" s="9" t="str" cm="1">
        <f t="array" ref="E630">IFERROR(_xlfn.IFS(AND(D630&lt;1980,D630&gt;=1970),"70",AND(D630&lt;1990,D630&gt;=1980),"80",AND(D630&lt;2000,D630&gt;=1990),"90",AND(D630&lt;2010,D630&gt;=2000),"00",AND(D630&lt;=2019,D630&gt;=2010),"10"),"1908-1970")</f>
        <v>1908-1970</v>
      </c>
      <c r="F630" s="3">
        <v>0.33333333333333331</v>
      </c>
      <c r="G630" t="s">
        <v>7733</v>
      </c>
      <c r="H630" t="s">
        <v>5459</v>
      </c>
      <c r="I630" t="s">
        <v>28931</v>
      </c>
      <c r="J630" t="s">
        <v>7734</v>
      </c>
      <c r="K630" t="s">
        <v>7092</v>
      </c>
      <c r="L630" s="7" t="s">
        <v>7362</v>
      </c>
      <c r="M630" t="s">
        <v>7735</v>
      </c>
      <c r="N630">
        <v>18</v>
      </c>
      <c r="O630">
        <v>13</v>
      </c>
      <c r="P630">
        <v>5</v>
      </c>
      <c r="Q630">
        <v>13</v>
      </c>
      <c r="R630">
        <v>11</v>
      </c>
      <c r="S630">
        <v>2</v>
      </c>
      <c r="T630">
        <v>0</v>
      </c>
      <c r="U630" t="s">
        <v>7736</v>
      </c>
      <c r="V630">
        <f>Tabla1[[#This Row],[Aboard]]-Tabla1[[#This Row],[Fatalities]]</f>
        <v>5</v>
      </c>
      <c r="W630" s="50">
        <f>IFERROR(Tabla1[[#This Row],[Fatalities]]/Tabla1[[#This Row],[Aboard]],0)</f>
        <v>0.72222222222222221</v>
      </c>
      <c r="X630" s="51" t="str" cm="1">
        <f t="array" ref="X630">_xlfn.IFS(Tabla1[[#This Row],[Porcentaje de muertes]]&lt;0.35,"LEVE",AND(Tabla1[[#This Row],[Porcentaje de muertes]]&gt;0.35,Tabla1[[#This Row],[Porcentaje de muertes]]&lt;0.65),"MEDIO",Tabla1[[#This Row],[Porcentaje de muertes]]&gt;0.65,"GRAVE")</f>
        <v>GRAVE</v>
      </c>
    </row>
    <row r="631" spans="2:24" x14ac:dyDescent="0.3">
      <c r="B631" s="9">
        <v>629</v>
      </c>
      <c r="C631" s="49">
        <v>15387</v>
      </c>
      <c r="D631" s="9">
        <f>YEAR(Tabla1[[#This Row],[Date]])</f>
        <v>1942</v>
      </c>
      <c r="E631" s="9" t="str" cm="1">
        <f t="array" ref="E631">IFERROR(_xlfn.IFS(AND(D631&lt;1980,D631&gt;=1970),"70",AND(D631&lt;1990,D631&gt;=1980),"80",AND(D631&lt;2000,D631&gt;=1990),"90",AND(D631&lt;2010,D631&gt;=2000),"00",AND(D631&lt;=2019,D631&gt;=2010),"10"),"1908-1970")</f>
        <v>1908-1970</v>
      </c>
      <c r="F631" s="3">
        <v>0.36805555555555558</v>
      </c>
      <c r="G631" t="s">
        <v>7737</v>
      </c>
      <c r="H631" t="s">
        <v>7521</v>
      </c>
      <c r="I631" t="s">
        <v>28931</v>
      </c>
      <c r="J631" t="s">
        <v>7738</v>
      </c>
      <c r="K631" t="s">
        <v>7739</v>
      </c>
      <c r="L631" s="7" t="s">
        <v>7740</v>
      </c>
      <c r="M631">
        <v>9</v>
      </c>
      <c r="N631">
        <v>9</v>
      </c>
      <c r="O631">
        <v>4</v>
      </c>
      <c r="P631">
        <v>5</v>
      </c>
      <c r="Q631">
        <v>9</v>
      </c>
      <c r="R631">
        <v>4</v>
      </c>
      <c r="S631">
        <v>5</v>
      </c>
      <c r="T631">
        <v>0</v>
      </c>
      <c r="U631" t="s">
        <v>7741</v>
      </c>
      <c r="V631">
        <f>Tabla1[[#This Row],[Aboard]]-Tabla1[[#This Row],[Fatalities]]</f>
        <v>0</v>
      </c>
      <c r="W631" s="50">
        <f>IFERROR(Tabla1[[#This Row],[Fatalities]]/Tabla1[[#This Row],[Aboard]],0)</f>
        <v>1</v>
      </c>
      <c r="X631" s="51" t="str" cm="1">
        <f t="array" ref="X631">_xlfn.IFS(Tabla1[[#This Row],[Porcentaje de muertes]]&lt;0.35,"LEVE",AND(Tabla1[[#This Row],[Porcentaje de muertes]]&gt;0.35,Tabla1[[#This Row],[Porcentaje de muertes]]&lt;0.65),"MEDIO",Tabla1[[#This Row],[Porcentaje de muertes]]&gt;0.65,"GRAVE")</f>
        <v>GRAVE</v>
      </c>
    </row>
    <row r="632" spans="2:24" x14ac:dyDescent="0.3">
      <c r="B632" s="9">
        <v>630</v>
      </c>
      <c r="C632" s="49">
        <v>15391</v>
      </c>
      <c r="D632" s="9">
        <f>YEAR(Tabla1[[#This Row],[Date]])</f>
        <v>1942</v>
      </c>
      <c r="E632" s="9" t="str" cm="1">
        <f t="array" ref="E632">IFERROR(_xlfn.IFS(AND(D632&lt;1980,D632&gt;=1970),"70",AND(D632&lt;1990,D632&gt;=1980),"80",AND(D632&lt;2000,D632&gt;=1990),"90",AND(D632&lt;2010,D632&gt;=2000),"00",AND(D632&lt;=2019,D632&gt;=2010),"10"),"1908-1970")</f>
        <v>1908-1970</v>
      </c>
      <c r="F632" s="3" t="s">
        <v>28931</v>
      </c>
      <c r="G632" t="s">
        <v>7742</v>
      </c>
      <c r="H632" t="s">
        <v>6010</v>
      </c>
      <c r="I632" t="s">
        <v>28931</v>
      </c>
      <c r="J632" t="s">
        <v>28931</v>
      </c>
      <c r="K632" t="s">
        <v>6635</v>
      </c>
      <c r="L632" s="7">
        <v>45</v>
      </c>
      <c r="M632" t="s">
        <v>28931</v>
      </c>
      <c r="N632">
        <v>1</v>
      </c>
      <c r="O632">
        <v>0</v>
      </c>
      <c r="P632">
        <v>1</v>
      </c>
      <c r="Q632">
        <v>1</v>
      </c>
      <c r="R632">
        <v>0</v>
      </c>
      <c r="S632">
        <v>1</v>
      </c>
      <c r="T632" t="s">
        <v>5038</v>
      </c>
      <c r="U632" t="s">
        <v>5274</v>
      </c>
      <c r="V632">
        <f>Tabla1[[#This Row],[Aboard]]-Tabla1[[#This Row],[Fatalities]]</f>
        <v>0</v>
      </c>
      <c r="W632" s="50">
        <f>IFERROR(Tabla1[[#This Row],[Fatalities]]/Tabla1[[#This Row],[Aboard]],0)</f>
        <v>1</v>
      </c>
      <c r="X632" s="51" t="str" cm="1">
        <f t="array" ref="X632">_xlfn.IFS(Tabla1[[#This Row],[Porcentaje de muertes]]&lt;0.35,"LEVE",AND(Tabla1[[#This Row],[Porcentaje de muertes]]&gt;0.35,Tabla1[[#This Row],[Porcentaje de muertes]]&lt;0.65),"MEDIO",Tabla1[[#This Row],[Porcentaje de muertes]]&gt;0.65,"GRAVE")</f>
        <v>GRAVE</v>
      </c>
    </row>
    <row r="633" spans="2:24" x14ac:dyDescent="0.3">
      <c r="B633" s="9">
        <v>631</v>
      </c>
      <c r="C633" s="49">
        <v>15392</v>
      </c>
      <c r="D633" s="9">
        <f>YEAR(Tabla1[[#This Row],[Date]])</f>
        <v>1942</v>
      </c>
      <c r="E633" s="9" t="str" cm="1">
        <f t="array" ref="E633">IFERROR(_xlfn.IFS(AND(D633&lt;1980,D633&gt;=1970),"70",AND(D633&lt;1990,D633&gt;=1980),"80",AND(D633&lt;2000,D633&gt;=1990),"90",AND(D633&lt;2010,D633&gt;=2000),"00",AND(D633&lt;=2019,D633&gt;=2010),"10"),"1908-1970")</f>
        <v>1908-1970</v>
      </c>
      <c r="F633" s="3" t="s">
        <v>28931</v>
      </c>
      <c r="G633" t="s">
        <v>7743</v>
      </c>
      <c r="H633" t="s">
        <v>5459</v>
      </c>
      <c r="I633" t="s">
        <v>28931</v>
      </c>
      <c r="J633" t="s">
        <v>7744</v>
      </c>
      <c r="K633" t="s">
        <v>7745</v>
      </c>
      <c r="L633" s="7" t="s">
        <v>7746</v>
      </c>
      <c r="M633">
        <v>2309</v>
      </c>
      <c r="N633">
        <v>9</v>
      </c>
      <c r="O633">
        <v>7</v>
      </c>
      <c r="P633">
        <v>2</v>
      </c>
      <c r="Q633">
        <v>9</v>
      </c>
      <c r="R633">
        <v>7</v>
      </c>
      <c r="S633">
        <v>2</v>
      </c>
      <c r="T633">
        <v>0</v>
      </c>
      <c r="U633" t="s">
        <v>7747</v>
      </c>
      <c r="V633">
        <f>Tabla1[[#This Row],[Aboard]]-Tabla1[[#This Row],[Fatalities]]</f>
        <v>0</v>
      </c>
      <c r="W633" s="50">
        <f>IFERROR(Tabla1[[#This Row],[Fatalities]]/Tabla1[[#This Row],[Aboard]],0)</f>
        <v>1</v>
      </c>
      <c r="X633" s="51" t="str" cm="1">
        <f t="array" ref="X633">_xlfn.IFS(Tabla1[[#This Row],[Porcentaje de muertes]]&lt;0.35,"LEVE",AND(Tabla1[[#This Row],[Porcentaje de muertes]]&gt;0.35,Tabla1[[#This Row],[Porcentaje de muertes]]&lt;0.65),"MEDIO",Tabla1[[#This Row],[Porcentaje de muertes]]&gt;0.65,"GRAVE")</f>
        <v>GRAVE</v>
      </c>
    </row>
    <row r="634" spans="2:24" x14ac:dyDescent="0.3">
      <c r="B634" s="9">
        <v>632</v>
      </c>
      <c r="C634" s="49">
        <v>15400</v>
      </c>
      <c r="D634" s="9">
        <f>YEAR(Tabla1[[#This Row],[Date]])</f>
        <v>1942</v>
      </c>
      <c r="E634" s="9" t="str" cm="1">
        <f t="array" ref="E634">IFERROR(_xlfn.IFS(AND(D634&lt;1980,D634&gt;=1970),"70",AND(D634&lt;1990,D634&gt;=1980),"80",AND(D634&lt;2000,D634&gt;=1990),"90",AND(D634&lt;2010,D634&gt;=2000),"00",AND(D634&lt;=2019,D634&gt;=2010),"10"),"1908-1970")</f>
        <v>1908-1970</v>
      </c>
      <c r="F634" s="3" t="s">
        <v>28931</v>
      </c>
      <c r="G634" t="s">
        <v>7748</v>
      </c>
      <c r="H634" t="s">
        <v>7521</v>
      </c>
      <c r="I634" t="s">
        <v>28931</v>
      </c>
      <c r="J634" t="s">
        <v>7749</v>
      </c>
      <c r="K634" t="s">
        <v>7092</v>
      </c>
      <c r="L634" s="7" t="s">
        <v>7750</v>
      </c>
      <c r="M634" t="s">
        <v>7751</v>
      </c>
      <c r="N634">
        <v>20</v>
      </c>
      <c r="O634">
        <v>16</v>
      </c>
      <c r="P634">
        <v>4</v>
      </c>
      <c r="Q634">
        <v>20</v>
      </c>
      <c r="R634">
        <v>16</v>
      </c>
      <c r="S634">
        <v>4</v>
      </c>
      <c r="T634">
        <v>0</v>
      </c>
      <c r="U634" t="s">
        <v>7752</v>
      </c>
      <c r="V634">
        <f>Tabla1[[#This Row],[Aboard]]-Tabla1[[#This Row],[Fatalities]]</f>
        <v>0</v>
      </c>
      <c r="W634" s="50">
        <f>IFERROR(Tabla1[[#This Row],[Fatalities]]/Tabla1[[#This Row],[Aboard]],0)</f>
        <v>1</v>
      </c>
      <c r="X634" s="51" t="str" cm="1">
        <f t="array" ref="X634">_xlfn.IFS(Tabla1[[#This Row],[Porcentaje de muertes]]&lt;0.35,"LEVE",AND(Tabla1[[#This Row],[Porcentaje de muertes]]&gt;0.35,Tabla1[[#This Row],[Porcentaje de muertes]]&lt;0.65),"MEDIO",Tabla1[[#This Row],[Porcentaje de muertes]]&gt;0.65,"GRAVE")</f>
        <v>GRAVE</v>
      </c>
    </row>
    <row r="635" spans="2:24" x14ac:dyDescent="0.3">
      <c r="B635" s="9">
        <v>633</v>
      </c>
      <c r="C635" s="49">
        <v>15403</v>
      </c>
      <c r="D635" s="9">
        <f>YEAR(Tabla1[[#This Row],[Date]])</f>
        <v>1942</v>
      </c>
      <c r="E635" s="9" t="str" cm="1">
        <f t="array" ref="E635">IFERROR(_xlfn.IFS(AND(D635&lt;1980,D635&gt;=1970),"70",AND(D635&lt;1990,D635&gt;=1980),"80",AND(D635&lt;2000,D635&gt;=1990),"90",AND(D635&lt;2010,D635&gt;=2000),"00",AND(D635&lt;=2019,D635&gt;=2010),"10"),"1908-1970")</f>
        <v>1908-1970</v>
      </c>
      <c r="F635" s="3" t="s">
        <v>28931</v>
      </c>
      <c r="G635" t="s">
        <v>7753</v>
      </c>
      <c r="H635" t="s">
        <v>7496</v>
      </c>
      <c r="I635" t="s">
        <v>28931</v>
      </c>
      <c r="J635" t="s">
        <v>7754</v>
      </c>
      <c r="K635" t="s">
        <v>7057</v>
      </c>
      <c r="L635" s="7" t="s">
        <v>7755</v>
      </c>
      <c r="M635">
        <v>1965</v>
      </c>
      <c r="N635">
        <v>12</v>
      </c>
      <c r="O635">
        <v>8</v>
      </c>
      <c r="P635">
        <v>4</v>
      </c>
      <c r="Q635">
        <v>8</v>
      </c>
      <c r="R635" t="s">
        <v>5038</v>
      </c>
      <c r="S635" t="s">
        <v>5038</v>
      </c>
      <c r="T635">
        <v>0</v>
      </c>
      <c r="U635" t="s">
        <v>7732</v>
      </c>
      <c r="V635">
        <f>Tabla1[[#This Row],[Aboard]]-Tabla1[[#This Row],[Fatalities]]</f>
        <v>4</v>
      </c>
      <c r="W635" s="50">
        <f>IFERROR(Tabla1[[#This Row],[Fatalities]]/Tabla1[[#This Row],[Aboard]],0)</f>
        <v>0.66666666666666663</v>
      </c>
      <c r="X635" s="51" t="str" cm="1">
        <f t="array" ref="X635">_xlfn.IFS(Tabla1[[#This Row],[Porcentaje de muertes]]&lt;0.35,"LEVE",AND(Tabla1[[#This Row],[Porcentaje de muertes]]&gt;0.35,Tabla1[[#This Row],[Porcentaje de muertes]]&lt;0.65),"MEDIO",Tabla1[[#This Row],[Porcentaje de muertes]]&gt;0.65,"GRAVE")</f>
        <v>GRAVE</v>
      </c>
    </row>
    <row r="636" spans="2:24" x14ac:dyDescent="0.3">
      <c r="B636" s="9">
        <v>634</v>
      </c>
      <c r="C636" s="49">
        <v>15403</v>
      </c>
      <c r="D636" s="9">
        <f>YEAR(Tabla1[[#This Row],[Date]])</f>
        <v>1942</v>
      </c>
      <c r="E636" s="9" t="str" cm="1">
        <f t="array" ref="E636">IFERROR(_xlfn.IFS(AND(D636&lt;1980,D636&gt;=1970),"70",AND(D636&lt;1990,D636&gt;=1980),"80",AND(D636&lt;2000,D636&gt;=1990),"90",AND(D636&lt;2010,D636&gt;=2000),"00",AND(D636&lt;=2019,D636&gt;=2010),"10"),"1908-1970")</f>
        <v>1908-1970</v>
      </c>
      <c r="F636" s="3" t="s">
        <v>28931</v>
      </c>
      <c r="G636" t="s">
        <v>7756</v>
      </c>
      <c r="H636" t="s">
        <v>7757</v>
      </c>
      <c r="I636" t="s">
        <v>28931</v>
      </c>
      <c r="J636" t="s">
        <v>7758</v>
      </c>
      <c r="K636" t="s">
        <v>7759</v>
      </c>
      <c r="L636" s="7" t="s">
        <v>7760</v>
      </c>
      <c r="M636">
        <v>6</v>
      </c>
      <c r="N636">
        <v>21</v>
      </c>
      <c r="O636">
        <v>19</v>
      </c>
      <c r="P636">
        <v>2</v>
      </c>
      <c r="Q636">
        <v>20</v>
      </c>
      <c r="R636">
        <v>18</v>
      </c>
      <c r="S636">
        <v>2</v>
      </c>
      <c r="T636">
        <v>0</v>
      </c>
      <c r="U636" t="s">
        <v>7761</v>
      </c>
      <c r="V636">
        <f>Tabla1[[#This Row],[Aboard]]-Tabla1[[#This Row],[Fatalities]]</f>
        <v>1</v>
      </c>
      <c r="W636" s="50">
        <f>IFERROR(Tabla1[[#This Row],[Fatalities]]/Tabla1[[#This Row],[Aboard]],0)</f>
        <v>0.95238095238095233</v>
      </c>
      <c r="X636" s="51" t="str" cm="1">
        <f t="array" ref="X636">_xlfn.IFS(Tabla1[[#This Row],[Porcentaje de muertes]]&lt;0.35,"LEVE",AND(Tabla1[[#This Row],[Porcentaje de muertes]]&gt;0.35,Tabla1[[#This Row],[Porcentaje de muertes]]&lt;0.65),"MEDIO",Tabla1[[#This Row],[Porcentaje de muertes]]&gt;0.65,"GRAVE")</f>
        <v>GRAVE</v>
      </c>
    </row>
    <row r="637" spans="2:24" x14ac:dyDescent="0.3">
      <c r="B637" s="9">
        <v>635</v>
      </c>
      <c r="C637" s="49">
        <v>15414</v>
      </c>
      <c r="D637" s="9">
        <f>YEAR(Tabla1[[#This Row],[Date]])</f>
        <v>1942</v>
      </c>
      <c r="E637" s="9" t="str" cm="1">
        <f t="array" ref="E637">IFERROR(_xlfn.IFS(AND(D637&lt;1980,D637&gt;=1970),"70",AND(D637&lt;1990,D637&gt;=1980),"80",AND(D637&lt;2000,D637&gt;=1990),"90",AND(D637&lt;2010,D637&gt;=2000),"00",AND(D637&lt;=2019,D637&gt;=2010),"10"),"1908-1970")</f>
        <v>1908-1970</v>
      </c>
      <c r="F637" s="3">
        <v>0.89583333333333337</v>
      </c>
      <c r="G637" t="s">
        <v>7762</v>
      </c>
      <c r="H637" t="s">
        <v>6010</v>
      </c>
      <c r="I637" t="s">
        <v>28931</v>
      </c>
      <c r="J637" t="s">
        <v>7763</v>
      </c>
      <c r="K637" t="s">
        <v>7764</v>
      </c>
      <c r="L637" s="7">
        <v>31</v>
      </c>
      <c r="M637">
        <v>1567</v>
      </c>
      <c r="N637">
        <v>17</v>
      </c>
      <c r="O637">
        <v>14</v>
      </c>
      <c r="P637">
        <v>3</v>
      </c>
      <c r="Q637">
        <v>13</v>
      </c>
      <c r="R637">
        <v>10</v>
      </c>
      <c r="S637">
        <v>3</v>
      </c>
      <c r="T637">
        <v>0</v>
      </c>
      <c r="U637" t="s">
        <v>7765</v>
      </c>
      <c r="V637">
        <f>Tabla1[[#This Row],[Aboard]]-Tabla1[[#This Row],[Fatalities]]</f>
        <v>4</v>
      </c>
      <c r="W637" s="50">
        <f>IFERROR(Tabla1[[#This Row],[Fatalities]]/Tabla1[[#This Row],[Aboard]],0)</f>
        <v>0.76470588235294112</v>
      </c>
      <c r="X637" s="51" t="str" cm="1">
        <f t="array" ref="X637">_xlfn.IFS(Tabla1[[#This Row],[Porcentaje de muertes]]&lt;0.35,"LEVE",AND(Tabla1[[#This Row],[Porcentaje de muertes]]&gt;0.35,Tabla1[[#This Row],[Porcentaje de muertes]]&lt;0.65),"MEDIO",Tabla1[[#This Row],[Porcentaje de muertes]]&gt;0.65,"GRAVE")</f>
        <v>GRAVE</v>
      </c>
    </row>
    <row r="638" spans="2:24" x14ac:dyDescent="0.3">
      <c r="B638" s="9">
        <v>636</v>
      </c>
      <c r="C638" s="49">
        <v>15452</v>
      </c>
      <c r="D638" s="9">
        <f>YEAR(Tabla1[[#This Row],[Date]])</f>
        <v>1942</v>
      </c>
      <c r="E638" s="9" t="str" cm="1">
        <f t="array" ref="E638">IFERROR(_xlfn.IFS(AND(D638&lt;1980,D638&gt;=1970),"70",AND(D638&lt;1990,D638&gt;=1980),"80",AND(D638&lt;2000,D638&gt;=1990),"90",AND(D638&lt;2010,D638&gt;=2000),"00",AND(D638&lt;=2019,D638&gt;=2010),"10"),"1908-1970")</f>
        <v>1908-1970</v>
      </c>
      <c r="F638" s="3">
        <v>0.89374999999999993</v>
      </c>
      <c r="G638" t="s">
        <v>7766</v>
      </c>
      <c r="H638" t="s">
        <v>7767</v>
      </c>
      <c r="I638" t="s">
        <v>28931</v>
      </c>
      <c r="J638" t="s">
        <v>7768</v>
      </c>
      <c r="K638" t="s">
        <v>7318</v>
      </c>
      <c r="L638" s="7" t="s">
        <v>7769</v>
      </c>
      <c r="M638" t="s">
        <v>28931</v>
      </c>
      <c r="N638">
        <v>12</v>
      </c>
      <c r="O638">
        <v>10</v>
      </c>
      <c r="P638">
        <v>2</v>
      </c>
      <c r="Q638">
        <v>12</v>
      </c>
      <c r="R638">
        <v>10</v>
      </c>
      <c r="S638">
        <v>2</v>
      </c>
      <c r="T638">
        <v>0</v>
      </c>
      <c r="U638" t="s">
        <v>7770</v>
      </c>
      <c r="V638">
        <f>Tabla1[[#This Row],[Aboard]]-Tabla1[[#This Row],[Fatalities]]</f>
        <v>0</v>
      </c>
      <c r="W638" s="50">
        <f>IFERROR(Tabla1[[#This Row],[Fatalities]]/Tabla1[[#This Row],[Aboard]],0)</f>
        <v>1</v>
      </c>
      <c r="X638" s="51" t="str" cm="1">
        <f t="array" ref="X638">_xlfn.IFS(Tabla1[[#This Row],[Porcentaje de muertes]]&lt;0.35,"LEVE",AND(Tabla1[[#This Row],[Porcentaje de muertes]]&gt;0.35,Tabla1[[#This Row],[Porcentaje de muertes]]&lt;0.65),"MEDIO",Tabla1[[#This Row],[Porcentaje de muertes]]&gt;0.65,"GRAVE")</f>
        <v>GRAVE</v>
      </c>
    </row>
    <row r="639" spans="2:24" x14ac:dyDescent="0.3">
      <c r="B639" s="9">
        <v>637</v>
      </c>
      <c r="C639" s="49">
        <v>15346</v>
      </c>
      <c r="D639" s="9">
        <f>YEAR(Tabla1[[#This Row],[Date]])</f>
        <v>1942</v>
      </c>
      <c r="E639" s="9" t="str" cm="1">
        <f t="array" ref="E639">IFERROR(_xlfn.IFS(AND(D639&lt;1980,D639&gt;=1970),"70",AND(D639&lt;1990,D639&gt;=1980),"80",AND(D639&lt;2000,D639&gt;=1990),"90",AND(D639&lt;2010,D639&gt;=2000),"00",AND(D639&lt;=2019,D639&gt;=2010),"10"),"1908-1970")</f>
        <v>1908-1970</v>
      </c>
      <c r="F639" s="3">
        <v>0.95833333333333337</v>
      </c>
      <c r="G639" t="s">
        <v>6130</v>
      </c>
      <c r="H639" t="s">
        <v>6369</v>
      </c>
      <c r="I639">
        <v>4</v>
      </c>
      <c r="J639" t="s">
        <v>7771</v>
      </c>
      <c r="K639" t="s">
        <v>7203</v>
      </c>
      <c r="L639" s="7" t="s">
        <v>7772</v>
      </c>
      <c r="M639">
        <v>1978</v>
      </c>
      <c r="N639">
        <v>17</v>
      </c>
      <c r="O639">
        <v>14</v>
      </c>
      <c r="P639">
        <v>3</v>
      </c>
      <c r="Q639">
        <v>17</v>
      </c>
      <c r="R639">
        <v>14</v>
      </c>
      <c r="S639">
        <v>3</v>
      </c>
      <c r="T639">
        <v>0</v>
      </c>
      <c r="U639" t="s">
        <v>7773</v>
      </c>
      <c r="V639">
        <f>Tabla1[[#This Row],[Aboard]]-Tabla1[[#This Row],[Fatalities]]</f>
        <v>0</v>
      </c>
      <c r="W639" s="50">
        <f>IFERROR(Tabla1[[#This Row],[Fatalities]]/Tabla1[[#This Row],[Aboard]],0)</f>
        <v>1</v>
      </c>
      <c r="X639" s="51" t="str" cm="1">
        <f t="array" ref="X639">_xlfn.IFS(Tabla1[[#This Row],[Porcentaje de muertes]]&lt;0.35,"LEVE",AND(Tabla1[[#This Row],[Porcentaje de muertes]]&gt;0.35,Tabla1[[#This Row],[Porcentaje de muertes]]&lt;0.65),"MEDIO",Tabla1[[#This Row],[Porcentaje de muertes]]&gt;0.65,"GRAVE")</f>
        <v>GRAVE</v>
      </c>
    </row>
    <row r="640" spans="2:24" x14ac:dyDescent="0.3">
      <c r="B640" s="9">
        <v>638</v>
      </c>
      <c r="C640" s="49">
        <v>15680</v>
      </c>
      <c r="D640" s="9">
        <f>YEAR(Tabla1[[#This Row],[Date]])</f>
        <v>1942</v>
      </c>
      <c r="E640" s="9" t="str" cm="1">
        <f t="array" ref="E640">IFERROR(_xlfn.IFS(AND(D640&lt;1980,D640&gt;=1970),"70",AND(D640&lt;1990,D640&gt;=1980),"80",AND(D640&lt;2000,D640&gt;=1990),"90",AND(D640&lt;2010,D640&gt;=2000),"00",AND(D640&lt;=2019,D640&gt;=2010),"10"),"1908-1970")</f>
        <v>1908-1970</v>
      </c>
      <c r="F640" s="3">
        <v>0.49374999999999997</v>
      </c>
      <c r="G640" t="s">
        <v>7372</v>
      </c>
      <c r="H640" t="s">
        <v>5769</v>
      </c>
      <c r="I640">
        <v>1</v>
      </c>
      <c r="J640" t="s">
        <v>7373</v>
      </c>
      <c r="K640" t="s">
        <v>7774</v>
      </c>
      <c r="L640" s="7" t="s">
        <v>7775</v>
      </c>
      <c r="M640">
        <v>2129</v>
      </c>
      <c r="N640">
        <v>14</v>
      </c>
      <c r="O640">
        <v>10</v>
      </c>
      <c r="P640">
        <v>4</v>
      </c>
      <c r="Q640">
        <v>3</v>
      </c>
      <c r="R640">
        <v>0</v>
      </c>
      <c r="S640">
        <v>3</v>
      </c>
      <c r="T640">
        <v>0</v>
      </c>
      <c r="U640" t="s">
        <v>7776</v>
      </c>
      <c r="V640">
        <f>Tabla1[[#This Row],[Aboard]]-Tabla1[[#This Row],[Fatalities]]</f>
        <v>11</v>
      </c>
      <c r="W640" s="50">
        <f>IFERROR(Tabla1[[#This Row],[Fatalities]]/Tabla1[[#This Row],[Aboard]],0)</f>
        <v>0.21428571428571427</v>
      </c>
      <c r="X640" s="51" t="str" cm="1">
        <f t="array" ref="X640">_xlfn.IFS(Tabla1[[#This Row],[Porcentaje de muertes]]&lt;0.35,"LEVE",AND(Tabla1[[#This Row],[Porcentaje de muertes]]&gt;0.35,Tabla1[[#This Row],[Porcentaje de muertes]]&lt;0.65),"MEDIO",Tabla1[[#This Row],[Porcentaje de muertes]]&gt;0.65,"GRAVE")</f>
        <v>LEVE</v>
      </c>
    </row>
    <row r="641" spans="2:24" x14ac:dyDescent="0.3">
      <c r="B641" s="9">
        <v>639</v>
      </c>
      <c r="C641" s="49">
        <v>15480</v>
      </c>
      <c r="D641" s="9">
        <f>YEAR(Tabla1[[#This Row],[Date]])</f>
        <v>1942</v>
      </c>
      <c r="E641" s="9" t="str" cm="1">
        <f t="array" ref="E641">IFERROR(_xlfn.IFS(AND(D641&lt;1980,D641&gt;=1970),"70",AND(D641&lt;1990,D641&gt;=1980),"80",AND(D641&lt;2000,D641&gt;=1990),"90",AND(D641&lt;2010,D641&gt;=2000),"00",AND(D641&lt;=2019,D641&gt;=2010),"10"),"1908-1970")</f>
        <v>1908-1970</v>
      </c>
      <c r="F641" s="3" t="s">
        <v>28931</v>
      </c>
      <c r="G641" t="s">
        <v>7777</v>
      </c>
      <c r="H641" t="s">
        <v>7603</v>
      </c>
      <c r="I641" t="s">
        <v>28931</v>
      </c>
      <c r="J641" t="s">
        <v>7778</v>
      </c>
      <c r="K641" t="s">
        <v>7502</v>
      </c>
      <c r="L641" s="7" t="s">
        <v>7779</v>
      </c>
      <c r="M641">
        <v>32052</v>
      </c>
      <c r="N641">
        <v>20</v>
      </c>
      <c r="O641">
        <v>16</v>
      </c>
      <c r="P641">
        <v>4</v>
      </c>
      <c r="Q641">
        <v>20</v>
      </c>
      <c r="R641">
        <v>16</v>
      </c>
      <c r="S641">
        <v>4</v>
      </c>
      <c r="T641">
        <v>0</v>
      </c>
      <c r="U641" t="s">
        <v>7780</v>
      </c>
      <c r="V641">
        <f>Tabla1[[#This Row],[Aboard]]-Tabla1[[#This Row],[Fatalities]]</f>
        <v>0</v>
      </c>
      <c r="W641" s="50">
        <f>IFERROR(Tabla1[[#This Row],[Fatalities]]/Tabla1[[#This Row],[Aboard]],0)</f>
        <v>1</v>
      </c>
      <c r="X641" s="51" t="str" cm="1">
        <f t="array" ref="X641">_xlfn.IFS(Tabla1[[#This Row],[Porcentaje de muertes]]&lt;0.35,"LEVE",AND(Tabla1[[#This Row],[Porcentaje de muertes]]&gt;0.35,Tabla1[[#This Row],[Porcentaje de muertes]]&lt;0.65),"MEDIO",Tabla1[[#This Row],[Porcentaje de muertes]]&gt;0.65,"GRAVE")</f>
        <v>GRAVE</v>
      </c>
    </row>
    <row r="642" spans="2:24" x14ac:dyDescent="0.3">
      <c r="B642" s="9">
        <v>640</v>
      </c>
      <c r="C642" s="49">
        <v>15348</v>
      </c>
      <c r="D642" s="9">
        <f>YEAR(Tabla1[[#This Row],[Date]])</f>
        <v>1942</v>
      </c>
      <c r="E642" s="9" t="str" cm="1">
        <f t="array" ref="E642">IFERROR(_xlfn.IFS(AND(D642&lt;1980,D642&gt;=1970),"70",AND(D642&lt;1990,D642&gt;=1980),"80",AND(D642&lt;2000,D642&gt;=1990),"90",AND(D642&lt;2010,D642&gt;=2000),"00",AND(D642&lt;=2019,D642&gt;=2010),"10"),"1908-1970")</f>
        <v>1908-1970</v>
      </c>
      <c r="F642" s="3">
        <v>0.5</v>
      </c>
      <c r="G642" t="s">
        <v>7781</v>
      </c>
      <c r="H642" t="s">
        <v>7782</v>
      </c>
      <c r="I642" t="s">
        <v>28931</v>
      </c>
      <c r="J642" t="s">
        <v>7783</v>
      </c>
      <c r="K642" t="s">
        <v>7784</v>
      </c>
      <c r="L642" s="7" t="s">
        <v>7785</v>
      </c>
      <c r="M642">
        <v>1976</v>
      </c>
      <c r="N642">
        <v>21</v>
      </c>
      <c r="O642">
        <v>19</v>
      </c>
      <c r="P642">
        <v>2</v>
      </c>
      <c r="Q642">
        <v>21</v>
      </c>
      <c r="R642">
        <v>19</v>
      </c>
      <c r="S642">
        <v>2</v>
      </c>
      <c r="T642">
        <v>0</v>
      </c>
      <c r="U642" t="s">
        <v>7786</v>
      </c>
      <c r="V642">
        <f>Tabla1[[#This Row],[Aboard]]-Tabla1[[#This Row],[Fatalities]]</f>
        <v>0</v>
      </c>
      <c r="W642" s="50">
        <f>IFERROR(Tabla1[[#This Row],[Fatalities]]/Tabla1[[#This Row],[Aboard]],0)</f>
        <v>1</v>
      </c>
      <c r="X642" s="51" t="str" cm="1">
        <f t="array" ref="X642">_xlfn.IFS(Tabla1[[#This Row],[Porcentaje de muertes]]&lt;0.35,"LEVE",AND(Tabla1[[#This Row],[Porcentaje de muertes]]&gt;0.35,Tabla1[[#This Row],[Porcentaje de muertes]]&lt;0.65),"MEDIO",Tabla1[[#This Row],[Porcentaje de muertes]]&gt;0.65,"GRAVE")</f>
        <v>GRAVE</v>
      </c>
    </row>
    <row r="643" spans="2:24" x14ac:dyDescent="0.3">
      <c r="B643" s="9">
        <v>641</v>
      </c>
      <c r="C643" s="49">
        <v>15529</v>
      </c>
      <c r="D643" s="9">
        <f>YEAR(Tabla1[[#This Row],[Date]])</f>
        <v>1942</v>
      </c>
      <c r="E643" s="9" t="str" cm="1">
        <f t="array" ref="E643">IFERROR(_xlfn.IFS(AND(D643&lt;1980,D643&gt;=1970),"70",AND(D643&lt;1990,D643&gt;=1980),"80",AND(D643&lt;2000,D643&gt;=1990),"90",AND(D643&lt;2010,D643&gt;=2000),"00",AND(D643&lt;=2019,D643&gt;=2010),"10"),"1908-1970")</f>
        <v>1908-1970</v>
      </c>
      <c r="F643" s="3" t="s">
        <v>28931</v>
      </c>
      <c r="G643" t="s">
        <v>7787</v>
      </c>
      <c r="H643" t="s">
        <v>5195</v>
      </c>
      <c r="I643" t="s">
        <v>28931</v>
      </c>
      <c r="J643" t="s">
        <v>7788</v>
      </c>
      <c r="K643" t="s">
        <v>7725</v>
      </c>
      <c r="L643" s="7" t="s">
        <v>7789</v>
      </c>
      <c r="M643" t="s">
        <v>7790</v>
      </c>
      <c r="N643">
        <v>10</v>
      </c>
      <c r="O643">
        <v>0</v>
      </c>
      <c r="P643">
        <v>10</v>
      </c>
      <c r="Q643">
        <v>10</v>
      </c>
      <c r="R643">
        <v>0</v>
      </c>
      <c r="S643">
        <v>10</v>
      </c>
      <c r="T643">
        <v>0</v>
      </c>
      <c r="U643" t="s">
        <v>7791</v>
      </c>
      <c r="V643">
        <f>Tabla1[[#This Row],[Aboard]]-Tabla1[[#This Row],[Fatalities]]</f>
        <v>0</v>
      </c>
      <c r="W643" s="50">
        <f>IFERROR(Tabla1[[#This Row],[Fatalities]]/Tabla1[[#This Row],[Aboard]],0)</f>
        <v>1</v>
      </c>
      <c r="X643" s="51" t="str" cm="1">
        <f t="array" ref="X643">_xlfn.IFS(Tabla1[[#This Row],[Porcentaje de muertes]]&lt;0.35,"LEVE",AND(Tabla1[[#This Row],[Porcentaje de muertes]]&gt;0.35,Tabla1[[#This Row],[Porcentaje de muertes]]&lt;0.65),"MEDIO",Tabla1[[#This Row],[Porcentaje de muertes]]&gt;0.65,"GRAVE")</f>
        <v>GRAVE</v>
      </c>
    </row>
    <row r="644" spans="2:24" x14ac:dyDescent="0.3">
      <c r="B644" s="9">
        <v>642</v>
      </c>
      <c r="C644" s="49">
        <v>15542</v>
      </c>
      <c r="D644" s="9">
        <f>YEAR(Tabla1[[#This Row],[Date]])</f>
        <v>1942</v>
      </c>
      <c r="E644" s="9" t="str" cm="1">
        <f t="array" ref="E644">IFERROR(_xlfn.IFS(AND(D644&lt;1980,D644&gt;=1970),"70",AND(D644&lt;1990,D644&gt;=1980),"80",AND(D644&lt;2000,D644&gt;=1990),"90",AND(D644&lt;2010,D644&gt;=2000),"00",AND(D644&lt;=2019,D644&gt;=2010),"10"),"1908-1970")</f>
        <v>1908-1970</v>
      </c>
      <c r="F644" s="3" t="s">
        <v>28931</v>
      </c>
      <c r="G644" t="s">
        <v>7792</v>
      </c>
      <c r="H644" t="s">
        <v>7665</v>
      </c>
      <c r="I644" t="s">
        <v>28931</v>
      </c>
      <c r="J644" t="s">
        <v>7793</v>
      </c>
      <c r="K644" t="s">
        <v>7725</v>
      </c>
      <c r="L644" s="7" t="s">
        <v>7794</v>
      </c>
      <c r="M644" t="s">
        <v>7795</v>
      </c>
      <c r="N644">
        <v>13</v>
      </c>
      <c r="O644">
        <v>10</v>
      </c>
      <c r="P644">
        <v>3</v>
      </c>
      <c r="Q644">
        <v>13</v>
      </c>
      <c r="R644">
        <v>10</v>
      </c>
      <c r="S644">
        <v>3</v>
      </c>
      <c r="T644">
        <v>0</v>
      </c>
      <c r="U644" t="s">
        <v>7796</v>
      </c>
      <c r="V644">
        <f>Tabla1[[#This Row],[Aboard]]-Tabla1[[#This Row],[Fatalities]]</f>
        <v>0</v>
      </c>
      <c r="W644" s="50">
        <f>IFERROR(Tabla1[[#This Row],[Fatalities]]/Tabla1[[#This Row],[Aboard]],0)</f>
        <v>1</v>
      </c>
      <c r="X644" s="51" t="str" cm="1">
        <f t="array" ref="X644">_xlfn.IFS(Tabla1[[#This Row],[Porcentaje de muertes]]&lt;0.35,"LEVE",AND(Tabla1[[#This Row],[Porcentaje de muertes]]&gt;0.35,Tabla1[[#This Row],[Porcentaje de muertes]]&lt;0.65),"MEDIO",Tabla1[[#This Row],[Porcentaje de muertes]]&gt;0.65,"GRAVE")</f>
        <v>GRAVE</v>
      </c>
    </row>
    <row r="645" spans="2:24" x14ac:dyDescent="0.3">
      <c r="B645" s="9">
        <v>643</v>
      </c>
      <c r="C645" s="49">
        <v>15566</v>
      </c>
      <c r="D645" s="9">
        <f>YEAR(Tabla1[[#This Row],[Date]])</f>
        <v>1942</v>
      </c>
      <c r="E645" s="9" t="str" cm="1">
        <f t="array" ref="E645">IFERROR(_xlfn.IFS(AND(D645&lt;1980,D645&gt;=1970),"70",AND(D645&lt;1990,D645&gt;=1980),"80",AND(D645&lt;2000,D645&gt;=1990),"90",AND(D645&lt;2010,D645&gt;=2000),"00",AND(D645&lt;=2019,D645&gt;=2010),"10"),"1908-1970")</f>
        <v>1908-1970</v>
      </c>
      <c r="F645" s="3" t="s">
        <v>28931</v>
      </c>
      <c r="G645" t="s">
        <v>5474</v>
      </c>
      <c r="H645" t="s">
        <v>6375</v>
      </c>
      <c r="I645" t="s">
        <v>28931</v>
      </c>
      <c r="J645" t="s">
        <v>28931</v>
      </c>
      <c r="K645" t="s">
        <v>7797</v>
      </c>
      <c r="L645" s="7" t="s">
        <v>7798</v>
      </c>
      <c r="M645">
        <v>403</v>
      </c>
      <c r="N645">
        <v>10</v>
      </c>
      <c r="O645">
        <v>6</v>
      </c>
      <c r="P645">
        <v>4</v>
      </c>
      <c r="Q645">
        <v>4</v>
      </c>
      <c r="R645">
        <v>4</v>
      </c>
      <c r="S645">
        <v>0</v>
      </c>
      <c r="T645">
        <v>0</v>
      </c>
      <c r="U645" t="s">
        <v>7799</v>
      </c>
      <c r="V645">
        <f>Tabla1[[#This Row],[Aboard]]-Tabla1[[#This Row],[Fatalities]]</f>
        <v>6</v>
      </c>
      <c r="W645" s="50">
        <f>IFERROR(Tabla1[[#This Row],[Fatalities]]/Tabla1[[#This Row],[Aboard]],0)</f>
        <v>0.4</v>
      </c>
      <c r="X645" s="51" t="str" cm="1">
        <f t="array" ref="X645">_xlfn.IFS(Tabla1[[#This Row],[Porcentaje de muertes]]&lt;0.35,"LEVE",AND(Tabla1[[#This Row],[Porcentaje de muertes]]&gt;0.35,Tabla1[[#This Row],[Porcentaje de muertes]]&lt;0.65),"MEDIO",Tabla1[[#This Row],[Porcentaje de muertes]]&gt;0.65,"GRAVE")</f>
        <v>MEDIO</v>
      </c>
    </row>
    <row r="646" spans="2:24" x14ac:dyDescent="0.3">
      <c r="B646" s="9">
        <v>644</v>
      </c>
      <c r="C646" s="49">
        <v>15574</v>
      </c>
      <c r="D646" s="9">
        <f>YEAR(Tabla1[[#This Row],[Date]])</f>
        <v>1942</v>
      </c>
      <c r="E646" s="9" t="str" cm="1">
        <f t="array" ref="E646">IFERROR(_xlfn.IFS(AND(D646&lt;1980,D646&gt;=1970),"70",AND(D646&lt;1990,D646&gt;=1980),"80",AND(D646&lt;2000,D646&gt;=1990),"90",AND(D646&lt;2010,D646&gt;=2000),"00",AND(D646&lt;=2019,D646&gt;=2010),"10"),"1908-1970")</f>
        <v>1908-1970</v>
      </c>
      <c r="F646" s="3" t="s">
        <v>28931</v>
      </c>
      <c r="H646" t="s">
        <v>5417</v>
      </c>
      <c r="I646" t="s">
        <v>28931</v>
      </c>
      <c r="J646" t="s">
        <v>28931</v>
      </c>
      <c r="K646" t="s">
        <v>7800</v>
      </c>
      <c r="L646" s="7" t="s">
        <v>28931</v>
      </c>
      <c r="M646" t="s">
        <v>28931</v>
      </c>
      <c r="N646">
        <v>4</v>
      </c>
      <c r="O646">
        <v>2</v>
      </c>
      <c r="P646">
        <v>2</v>
      </c>
      <c r="Q646">
        <v>4</v>
      </c>
      <c r="R646">
        <v>2</v>
      </c>
      <c r="S646">
        <v>2</v>
      </c>
      <c r="T646">
        <v>0</v>
      </c>
      <c r="U646" t="s">
        <v>7801</v>
      </c>
      <c r="V646">
        <f>Tabla1[[#This Row],[Aboard]]-Tabla1[[#This Row],[Fatalities]]</f>
        <v>0</v>
      </c>
      <c r="W646" s="50">
        <f>IFERROR(Tabla1[[#This Row],[Fatalities]]/Tabla1[[#This Row],[Aboard]],0)</f>
        <v>1</v>
      </c>
      <c r="X646" s="51" t="str" cm="1">
        <f t="array" ref="X646">_xlfn.IFS(Tabla1[[#This Row],[Porcentaje de muertes]]&lt;0.35,"LEVE",AND(Tabla1[[#This Row],[Porcentaje de muertes]]&gt;0.35,Tabla1[[#This Row],[Porcentaje de muertes]]&lt;0.65),"MEDIO",Tabla1[[#This Row],[Porcentaje de muertes]]&gt;0.65,"GRAVE")</f>
        <v>GRAVE</v>
      </c>
    </row>
    <row r="647" spans="2:24" x14ac:dyDescent="0.3">
      <c r="B647" s="9">
        <v>645</v>
      </c>
      <c r="C647" s="49">
        <v>15575</v>
      </c>
      <c r="D647" s="9">
        <f>YEAR(Tabla1[[#This Row],[Date]])</f>
        <v>1942</v>
      </c>
      <c r="E647" s="9" t="str" cm="1">
        <f t="array" ref="E647">IFERROR(_xlfn.IFS(AND(D647&lt;1980,D647&gt;=1970),"70",AND(D647&lt;1990,D647&gt;=1980),"80",AND(D647&lt;2000,D647&gt;=1990),"90",AND(D647&lt;2010,D647&gt;=2000),"00",AND(D647&lt;=2019,D647&gt;=2010),"10"),"1908-1970")</f>
        <v>1908-1970</v>
      </c>
      <c r="F647" s="3">
        <v>0.54166666666666663</v>
      </c>
      <c r="G647" t="s">
        <v>7802</v>
      </c>
      <c r="H647" t="s">
        <v>5332</v>
      </c>
      <c r="I647" t="s">
        <v>28931</v>
      </c>
      <c r="J647" t="s">
        <v>7803</v>
      </c>
      <c r="K647" t="s">
        <v>7318</v>
      </c>
      <c r="L647" s="7" t="s">
        <v>7804</v>
      </c>
      <c r="M647">
        <v>1410</v>
      </c>
      <c r="N647">
        <v>13</v>
      </c>
      <c r="O647">
        <v>10</v>
      </c>
      <c r="P647">
        <v>3</v>
      </c>
      <c r="Q647">
        <v>13</v>
      </c>
      <c r="R647">
        <v>10</v>
      </c>
      <c r="S647">
        <v>3</v>
      </c>
      <c r="T647">
        <v>0</v>
      </c>
      <c r="U647" t="s">
        <v>7805</v>
      </c>
      <c r="V647">
        <f>Tabla1[[#This Row],[Aboard]]-Tabla1[[#This Row],[Fatalities]]</f>
        <v>0</v>
      </c>
      <c r="W647" s="50">
        <f>IFERROR(Tabla1[[#This Row],[Fatalities]]/Tabla1[[#This Row],[Aboard]],0)</f>
        <v>1</v>
      </c>
      <c r="X647" s="51" t="str" cm="1">
        <f t="array" ref="X647">_xlfn.IFS(Tabla1[[#This Row],[Porcentaje de muertes]]&lt;0.35,"LEVE",AND(Tabla1[[#This Row],[Porcentaje de muertes]]&gt;0.35,Tabla1[[#This Row],[Porcentaje de muertes]]&lt;0.65),"MEDIO",Tabla1[[#This Row],[Porcentaje de muertes]]&gt;0.65,"GRAVE")</f>
        <v>GRAVE</v>
      </c>
    </row>
    <row r="648" spans="2:24" x14ac:dyDescent="0.3">
      <c r="B648" s="9">
        <v>646</v>
      </c>
      <c r="C648" s="49">
        <v>15576</v>
      </c>
      <c r="D648" s="9">
        <f>YEAR(Tabla1[[#This Row],[Date]])</f>
        <v>1942</v>
      </c>
      <c r="E648" s="9" t="str" cm="1">
        <f t="array" ref="E648">IFERROR(_xlfn.IFS(AND(D648&lt;1980,D648&gt;=1970),"70",AND(D648&lt;1990,D648&gt;=1980),"80",AND(D648&lt;2000,D648&gt;=1990),"90",AND(D648&lt;2010,D648&gt;=2000),"00",AND(D648&lt;=2019,D648&gt;=2010),"10"),"1908-1970")</f>
        <v>1908-1970</v>
      </c>
      <c r="F648" s="3">
        <v>0.5708333333333333</v>
      </c>
      <c r="G648" t="s">
        <v>7806</v>
      </c>
      <c r="H648" t="s">
        <v>7665</v>
      </c>
      <c r="I648" t="s">
        <v>28931</v>
      </c>
      <c r="J648" t="s">
        <v>7807</v>
      </c>
      <c r="K648" t="s">
        <v>7808</v>
      </c>
      <c r="L648" s="7" t="s">
        <v>7809</v>
      </c>
      <c r="M648" t="s">
        <v>28931</v>
      </c>
      <c r="N648">
        <v>15</v>
      </c>
      <c r="O648">
        <v>11</v>
      </c>
      <c r="P648">
        <v>4</v>
      </c>
      <c r="Q648">
        <v>14</v>
      </c>
      <c r="R648">
        <v>10</v>
      </c>
      <c r="S648">
        <v>4</v>
      </c>
      <c r="T648">
        <v>0</v>
      </c>
      <c r="U648" t="s">
        <v>7810</v>
      </c>
      <c r="V648">
        <f>Tabla1[[#This Row],[Aboard]]-Tabla1[[#This Row],[Fatalities]]</f>
        <v>1</v>
      </c>
      <c r="W648" s="50">
        <f>IFERROR(Tabla1[[#This Row],[Fatalities]]/Tabla1[[#This Row],[Aboard]],0)</f>
        <v>0.93333333333333335</v>
      </c>
      <c r="X648" s="51" t="str" cm="1">
        <f t="array" ref="X648">_xlfn.IFS(Tabla1[[#This Row],[Porcentaje de muertes]]&lt;0.35,"LEVE",AND(Tabla1[[#This Row],[Porcentaje de muertes]]&gt;0.35,Tabla1[[#This Row],[Porcentaje de muertes]]&lt;0.65),"MEDIO",Tabla1[[#This Row],[Porcentaje de muertes]]&gt;0.65,"GRAVE")</f>
        <v>GRAVE</v>
      </c>
    </row>
    <row r="649" spans="2:24" x14ac:dyDescent="0.3">
      <c r="B649" s="9">
        <v>647</v>
      </c>
      <c r="C649" s="49">
        <v>15608</v>
      </c>
      <c r="D649" s="9">
        <f>YEAR(Tabla1[[#This Row],[Date]])</f>
        <v>1942</v>
      </c>
      <c r="E649" s="9" t="str" cm="1">
        <f t="array" ref="E649">IFERROR(_xlfn.IFS(AND(D649&lt;1980,D649&gt;=1970),"70",AND(D649&lt;1990,D649&gt;=1980),"80",AND(D649&lt;2000,D649&gt;=1990),"90",AND(D649&lt;2010,D649&gt;=2000),"00",AND(D649&lt;=2019,D649&gt;=2010),"10"),"1908-1970")</f>
        <v>1908-1970</v>
      </c>
      <c r="F649" s="3" t="s">
        <v>28931</v>
      </c>
      <c r="G649" t="s">
        <v>7811</v>
      </c>
      <c r="H649" t="s">
        <v>7521</v>
      </c>
      <c r="I649" t="s">
        <v>28931</v>
      </c>
      <c r="J649" t="s">
        <v>7812</v>
      </c>
      <c r="K649" t="s">
        <v>7813</v>
      </c>
      <c r="L649" s="7" t="s">
        <v>7814</v>
      </c>
      <c r="M649" t="s">
        <v>7815</v>
      </c>
      <c r="N649">
        <v>19</v>
      </c>
      <c r="O649">
        <v>13</v>
      </c>
      <c r="P649">
        <v>6</v>
      </c>
      <c r="Q649">
        <v>19</v>
      </c>
      <c r="R649">
        <v>13</v>
      </c>
      <c r="S649">
        <v>6</v>
      </c>
      <c r="T649">
        <v>0</v>
      </c>
      <c r="U649" t="s">
        <v>7816</v>
      </c>
      <c r="V649">
        <f>Tabla1[[#This Row],[Aboard]]-Tabla1[[#This Row],[Fatalities]]</f>
        <v>0</v>
      </c>
      <c r="W649" s="50">
        <f>IFERROR(Tabla1[[#This Row],[Fatalities]]/Tabla1[[#This Row],[Aboard]],0)</f>
        <v>1</v>
      </c>
      <c r="X649" s="51" t="str" cm="1">
        <f t="array" ref="X649">_xlfn.IFS(Tabla1[[#This Row],[Porcentaje de muertes]]&lt;0.35,"LEVE",AND(Tabla1[[#This Row],[Porcentaje de muertes]]&gt;0.35,Tabla1[[#This Row],[Porcentaje de muertes]]&lt;0.65),"MEDIO",Tabla1[[#This Row],[Porcentaje de muertes]]&gt;0.65,"GRAVE")</f>
        <v>GRAVE</v>
      </c>
    </row>
    <row r="650" spans="2:24" x14ac:dyDescent="0.3">
      <c r="B650" s="9">
        <v>648</v>
      </c>
      <c r="C650" s="49">
        <v>15611</v>
      </c>
      <c r="D650" s="9">
        <f>YEAR(Tabla1[[#This Row],[Date]])</f>
        <v>1942</v>
      </c>
      <c r="E650" s="9" t="str" cm="1">
        <f t="array" ref="E650">IFERROR(_xlfn.IFS(AND(D650&lt;1980,D650&gt;=1970),"70",AND(D650&lt;1990,D650&gt;=1980),"80",AND(D650&lt;2000,D650&gt;=1990),"90",AND(D650&lt;2010,D650&gt;=2000),"00",AND(D650&lt;=2019,D650&gt;=2010),"10"),"1908-1970")</f>
        <v>1908-1970</v>
      </c>
      <c r="F650" s="3" t="s">
        <v>28931</v>
      </c>
      <c r="G650" t="s">
        <v>7817</v>
      </c>
      <c r="H650" t="s">
        <v>6375</v>
      </c>
      <c r="I650" t="s">
        <v>28931</v>
      </c>
      <c r="J650" t="s">
        <v>7818</v>
      </c>
      <c r="K650" t="s">
        <v>7819</v>
      </c>
      <c r="L650" s="7" t="s">
        <v>7820</v>
      </c>
      <c r="M650">
        <v>1</v>
      </c>
      <c r="N650">
        <v>25</v>
      </c>
      <c r="O650">
        <v>18</v>
      </c>
      <c r="P650">
        <v>7</v>
      </c>
      <c r="Q650">
        <v>25</v>
      </c>
      <c r="R650">
        <v>18</v>
      </c>
      <c r="S650">
        <v>7</v>
      </c>
      <c r="T650">
        <v>0</v>
      </c>
      <c r="U650" t="s">
        <v>7821</v>
      </c>
      <c r="V650">
        <f>Tabla1[[#This Row],[Aboard]]-Tabla1[[#This Row],[Fatalities]]</f>
        <v>0</v>
      </c>
      <c r="W650" s="50">
        <f>IFERROR(Tabla1[[#This Row],[Fatalities]]/Tabla1[[#This Row],[Aboard]],0)</f>
        <v>1</v>
      </c>
      <c r="X650" s="51" t="str" cm="1">
        <f t="array" ref="X650">_xlfn.IFS(Tabla1[[#This Row],[Porcentaje de muertes]]&lt;0.35,"LEVE",AND(Tabla1[[#This Row],[Porcentaje de muertes]]&gt;0.35,Tabla1[[#This Row],[Porcentaje de muertes]]&lt;0.65),"MEDIO",Tabla1[[#This Row],[Porcentaje de muertes]]&gt;0.65,"GRAVE")</f>
        <v>GRAVE</v>
      </c>
    </row>
    <row r="651" spans="2:24" x14ac:dyDescent="0.3">
      <c r="B651" s="9">
        <v>649</v>
      </c>
      <c r="C651" s="49">
        <v>15612</v>
      </c>
      <c r="D651" s="9">
        <f>YEAR(Tabla1[[#This Row],[Date]])</f>
        <v>1942</v>
      </c>
      <c r="E651" s="9" t="str" cm="1">
        <f t="array" ref="E651">IFERROR(_xlfn.IFS(AND(D651&lt;1980,D651&gt;=1970),"70",AND(D651&lt;1990,D651&gt;=1980),"80",AND(D651&lt;2000,D651&gt;=1990),"90",AND(D651&lt;2010,D651&gt;=2000),"00",AND(D651&lt;=2019,D651&gt;=2010),"10"),"1908-1970")</f>
        <v>1908-1970</v>
      </c>
      <c r="F651" s="3">
        <v>0.375</v>
      </c>
      <c r="G651" t="s">
        <v>7668</v>
      </c>
      <c r="H651" t="s">
        <v>7822</v>
      </c>
      <c r="I651" t="s">
        <v>28931</v>
      </c>
      <c r="J651" t="s">
        <v>7582</v>
      </c>
      <c r="K651" t="s">
        <v>7823</v>
      </c>
      <c r="L651" s="7" t="s">
        <v>7824</v>
      </c>
      <c r="M651">
        <v>2081</v>
      </c>
      <c r="N651">
        <v>15</v>
      </c>
      <c r="O651">
        <v>11</v>
      </c>
      <c r="P651">
        <v>4</v>
      </c>
      <c r="Q651">
        <v>15</v>
      </c>
      <c r="R651">
        <v>11</v>
      </c>
      <c r="S651">
        <v>4</v>
      </c>
      <c r="T651">
        <v>0</v>
      </c>
      <c r="U651" t="s">
        <v>7825</v>
      </c>
      <c r="V651">
        <f>Tabla1[[#This Row],[Aboard]]-Tabla1[[#This Row],[Fatalities]]</f>
        <v>0</v>
      </c>
      <c r="W651" s="50">
        <f>IFERROR(Tabla1[[#This Row],[Fatalities]]/Tabla1[[#This Row],[Aboard]],0)</f>
        <v>1</v>
      </c>
      <c r="X651" s="51" t="str" cm="1">
        <f t="array" ref="X651">_xlfn.IFS(Tabla1[[#This Row],[Porcentaje de muertes]]&lt;0.35,"LEVE",AND(Tabla1[[#This Row],[Porcentaje de muertes]]&gt;0.35,Tabla1[[#This Row],[Porcentaje de muertes]]&lt;0.65),"MEDIO",Tabla1[[#This Row],[Porcentaje de muertes]]&gt;0.65,"GRAVE")</f>
        <v>GRAVE</v>
      </c>
    </row>
    <row r="652" spans="2:24" x14ac:dyDescent="0.3">
      <c r="B652" s="9">
        <v>650</v>
      </c>
      <c r="C652" s="49">
        <v>15351</v>
      </c>
      <c r="D652" s="9">
        <f>YEAR(Tabla1[[#This Row],[Date]])</f>
        <v>1942</v>
      </c>
      <c r="E652" s="9" t="str" cm="1">
        <f t="array" ref="E652">IFERROR(_xlfn.IFS(AND(D652&lt;1980,D652&gt;=1970),"70",AND(D652&lt;1990,D652&gt;=1980),"80",AND(D652&lt;2000,D652&gt;=1990),"90",AND(D652&lt;2010,D652&gt;=2000),"00",AND(D652&lt;=2019,D652&gt;=2010),"10"),"1908-1970")</f>
        <v>1908-1970</v>
      </c>
      <c r="F652" s="3" t="s">
        <v>28931</v>
      </c>
      <c r="G652" t="s">
        <v>7762</v>
      </c>
      <c r="H652" t="s">
        <v>6010</v>
      </c>
      <c r="I652" t="s">
        <v>28931</v>
      </c>
      <c r="J652" t="s">
        <v>28931</v>
      </c>
      <c r="K652" t="s">
        <v>7826</v>
      </c>
      <c r="L652" s="7">
        <v>69</v>
      </c>
      <c r="M652" t="s">
        <v>28931</v>
      </c>
      <c r="N652" t="s">
        <v>5038</v>
      </c>
      <c r="O652" t="s">
        <v>5038</v>
      </c>
      <c r="P652" t="s">
        <v>5038</v>
      </c>
      <c r="Q652" t="s">
        <v>5038</v>
      </c>
      <c r="R652" t="s">
        <v>5038</v>
      </c>
      <c r="S652" t="s">
        <v>5038</v>
      </c>
      <c r="T652" t="s">
        <v>5038</v>
      </c>
      <c r="U652" t="s">
        <v>7827</v>
      </c>
      <c r="V652" t="s">
        <v>5038</v>
      </c>
      <c r="W652" s="50">
        <f>IFERROR(Tabla1[[#This Row],[Fatalities]]/Tabla1[[#This Row],[Aboard]],0)</f>
        <v>0</v>
      </c>
      <c r="X652" s="51" t="str" cm="1">
        <f t="array" ref="X652">_xlfn.IFS(Tabla1[[#This Row],[Porcentaje de muertes]]&lt;0.35,"LEVE",AND(Tabla1[[#This Row],[Porcentaje de muertes]]&gt;0.35,Tabla1[[#This Row],[Porcentaje de muertes]]&lt;0.65),"MEDIO",Tabla1[[#This Row],[Porcentaje de muertes]]&gt;0.65,"GRAVE")</f>
        <v>LEVE</v>
      </c>
    </row>
    <row r="653" spans="2:24" x14ac:dyDescent="0.3">
      <c r="B653" s="9">
        <v>651</v>
      </c>
      <c r="C653" s="49">
        <v>15351</v>
      </c>
      <c r="D653" s="9">
        <f>YEAR(Tabla1[[#This Row],[Date]])</f>
        <v>1942</v>
      </c>
      <c r="E653" s="9" t="str" cm="1">
        <f t="array" ref="E653">IFERROR(_xlfn.IFS(AND(D653&lt;1980,D653&gt;=1970),"70",AND(D653&lt;1990,D653&gt;=1980),"80",AND(D653&lt;2000,D653&gt;=1990),"90",AND(D653&lt;2010,D653&gt;=2000),"00",AND(D653&lt;=2019,D653&gt;=2010),"10"),"1908-1970")</f>
        <v>1908-1970</v>
      </c>
      <c r="F653" s="3">
        <v>0.39583333333333331</v>
      </c>
      <c r="G653" t="s">
        <v>7828</v>
      </c>
      <c r="H653" t="s">
        <v>7782</v>
      </c>
      <c r="I653" t="s">
        <v>28931</v>
      </c>
      <c r="J653" t="s">
        <v>7829</v>
      </c>
      <c r="K653" t="s">
        <v>28951</v>
      </c>
      <c r="L653" s="7" t="s">
        <v>7830</v>
      </c>
      <c r="M653">
        <v>2081</v>
      </c>
      <c r="N653">
        <v>22</v>
      </c>
      <c r="O653">
        <v>17</v>
      </c>
      <c r="P653">
        <v>5</v>
      </c>
      <c r="Q653">
        <v>22</v>
      </c>
      <c r="R653">
        <v>17</v>
      </c>
      <c r="S653">
        <v>5</v>
      </c>
      <c r="T653">
        <v>0</v>
      </c>
      <c r="U653" t="s">
        <v>7831</v>
      </c>
      <c r="V653">
        <f>Tabla1[[#This Row],[Aboard]]-Tabla1[[#This Row],[Fatalities]]</f>
        <v>0</v>
      </c>
      <c r="W653" s="50">
        <f>IFERROR(Tabla1[[#This Row],[Fatalities]]/Tabla1[[#This Row],[Aboard]],0)</f>
        <v>1</v>
      </c>
      <c r="X653" s="51" t="str" cm="1">
        <f t="array" ref="X653">_xlfn.IFS(Tabla1[[#This Row],[Porcentaje de muertes]]&lt;0.35,"LEVE",AND(Tabla1[[#This Row],[Porcentaje de muertes]]&gt;0.35,Tabla1[[#This Row],[Porcentaje de muertes]]&lt;0.65),"MEDIO",Tabla1[[#This Row],[Porcentaje de muertes]]&gt;0.65,"GRAVE")</f>
        <v>GRAVE</v>
      </c>
    </row>
    <row r="654" spans="2:24" x14ac:dyDescent="0.3">
      <c r="B654" s="9">
        <v>652</v>
      </c>
      <c r="C654" s="49">
        <v>15410</v>
      </c>
      <c r="D654" s="9">
        <f>YEAR(Tabla1[[#This Row],[Date]])</f>
        <v>1942</v>
      </c>
      <c r="E654" s="9" t="str" cm="1">
        <f t="array" ref="E654">IFERROR(_xlfn.IFS(AND(D654&lt;1980,D654&gt;=1970),"70",AND(D654&lt;1990,D654&gt;=1980),"80",AND(D654&lt;2000,D654&gt;=1990),"90",AND(D654&lt;2010,D654&gt;=2000),"00",AND(D654&lt;=2019,D654&gt;=2010),"10"),"1908-1970")</f>
        <v>1908-1970</v>
      </c>
      <c r="F654" s="3">
        <v>0.79513888888888884</v>
      </c>
      <c r="G654" t="s">
        <v>7832</v>
      </c>
      <c r="H654" t="s">
        <v>7833</v>
      </c>
      <c r="I654">
        <v>71</v>
      </c>
      <c r="J654" t="s">
        <v>7834</v>
      </c>
      <c r="K654" t="s">
        <v>7835</v>
      </c>
      <c r="L654" s="7" t="s">
        <v>7836</v>
      </c>
      <c r="M654">
        <v>4401</v>
      </c>
      <c r="N654">
        <v>37</v>
      </c>
      <c r="O654">
        <v>26</v>
      </c>
      <c r="P654">
        <v>11</v>
      </c>
      <c r="Q654">
        <v>11</v>
      </c>
      <c r="R654">
        <v>6</v>
      </c>
      <c r="S654">
        <v>5</v>
      </c>
      <c r="T654">
        <v>0</v>
      </c>
      <c r="U654" t="s">
        <v>7837</v>
      </c>
      <c r="V654">
        <f>Tabla1[[#This Row],[Aboard]]-Tabla1[[#This Row],[Fatalities]]</f>
        <v>26</v>
      </c>
      <c r="W654" s="50">
        <f>IFERROR(Tabla1[[#This Row],[Fatalities]]/Tabla1[[#This Row],[Aboard]],0)</f>
        <v>0.29729729729729731</v>
      </c>
      <c r="X654" s="51" t="str" cm="1">
        <f t="array" ref="X654">_xlfn.IFS(Tabla1[[#This Row],[Porcentaje de muertes]]&lt;0.35,"LEVE",AND(Tabla1[[#This Row],[Porcentaje de muertes]]&gt;0.35,Tabla1[[#This Row],[Porcentaje de muertes]]&lt;0.65),"MEDIO",Tabla1[[#This Row],[Porcentaje de muertes]]&gt;0.65,"GRAVE")</f>
        <v>LEVE</v>
      </c>
    </row>
    <row r="655" spans="2:24" x14ac:dyDescent="0.3">
      <c r="B655" s="9">
        <v>653</v>
      </c>
      <c r="C655" s="49">
        <v>15636</v>
      </c>
      <c r="D655" s="9">
        <f>YEAR(Tabla1[[#This Row],[Date]])</f>
        <v>1942</v>
      </c>
      <c r="E655" s="9" t="str" cm="1">
        <f t="array" ref="E655">IFERROR(_xlfn.IFS(AND(D655&lt;1980,D655&gt;=1970),"70",AND(D655&lt;1990,D655&gt;=1980),"80",AND(D655&lt;2000,D655&gt;=1990),"90",AND(D655&lt;2010,D655&gt;=2000),"00",AND(D655&lt;=2019,D655&gt;=2010),"10"),"1908-1970")</f>
        <v>1908-1970</v>
      </c>
      <c r="F655" s="3">
        <v>0.56944444444444442</v>
      </c>
      <c r="G655" t="s">
        <v>7838</v>
      </c>
      <c r="H655" t="s">
        <v>6541</v>
      </c>
      <c r="I655" t="s">
        <v>28931</v>
      </c>
      <c r="J655" t="s">
        <v>7839</v>
      </c>
      <c r="K655" t="s">
        <v>7840</v>
      </c>
      <c r="L655" s="7" t="s">
        <v>7841</v>
      </c>
      <c r="M655">
        <v>505</v>
      </c>
      <c r="N655">
        <v>12</v>
      </c>
      <c r="O655">
        <v>7</v>
      </c>
      <c r="P655">
        <v>5</v>
      </c>
      <c r="Q655">
        <v>10</v>
      </c>
      <c r="R655">
        <v>5</v>
      </c>
      <c r="S655">
        <v>5</v>
      </c>
      <c r="T655">
        <v>0</v>
      </c>
      <c r="U655" t="s">
        <v>7842</v>
      </c>
      <c r="V655">
        <f>Tabla1[[#This Row],[Aboard]]-Tabla1[[#This Row],[Fatalities]]</f>
        <v>2</v>
      </c>
      <c r="W655" s="50">
        <f>IFERROR(Tabla1[[#This Row],[Fatalities]]/Tabla1[[#This Row],[Aboard]],0)</f>
        <v>0.83333333333333337</v>
      </c>
      <c r="X655" s="51" t="str" cm="1">
        <f t="array" ref="X655">_xlfn.IFS(Tabla1[[#This Row],[Porcentaje de muertes]]&lt;0.35,"LEVE",AND(Tabla1[[#This Row],[Porcentaje de muertes]]&gt;0.35,Tabla1[[#This Row],[Porcentaje de muertes]]&lt;0.65),"MEDIO",Tabla1[[#This Row],[Porcentaje de muertes]]&gt;0.65,"GRAVE")</f>
        <v>GRAVE</v>
      </c>
    </row>
    <row r="656" spans="2:24" x14ac:dyDescent="0.3">
      <c r="B656" s="9">
        <v>654</v>
      </c>
      <c r="C656" s="49">
        <v>15636</v>
      </c>
      <c r="D656" s="9">
        <f>YEAR(Tabla1[[#This Row],[Date]])</f>
        <v>1942</v>
      </c>
      <c r="E656" s="9" t="str" cm="1">
        <f t="array" ref="E656">IFERROR(_xlfn.IFS(AND(D656&lt;1980,D656&gt;=1970),"70",AND(D656&lt;1990,D656&gt;=1980),"80",AND(D656&lt;2000,D656&gt;=1990),"90",AND(D656&lt;2010,D656&gt;=2000),"00",AND(D656&lt;=2019,D656&gt;=2010),"10"),"1908-1970")</f>
        <v>1908-1970</v>
      </c>
      <c r="F656" s="3" t="s">
        <v>28931</v>
      </c>
      <c r="G656" t="s">
        <v>7843</v>
      </c>
      <c r="H656" t="s">
        <v>5417</v>
      </c>
      <c r="I656">
        <v>7208</v>
      </c>
      <c r="J656" t="s">
        <v>7844</v>
      </c>
      <c r="K656" t="s">
        <v>6555</v>
      </c>
      <c r="L656" s="7" t="s">
        <v>7845</v>
      </c>
      <c r="M656">
        <v>7208</v>
      </c>
      <c r="N656">
        <v>17</v>
      </c>
      <c r="O656">
        <v>14</v>
      </c>
      <c r="P656">
        <v>3</v>
      </c>
      <c r="Q656">
        <v>17</v>
      </c>
      <c r="R656">
        <v>14</v>
      </c>
      <c r="S656">
        <v>3</v>
      </c>
      <c r="T656">
        <v>0</v>
      </c>
      <c r="U656" t="s">
        <v>7846</v>
      </c>
      <c r="V656">
        <f>Tabla1[[#This Row],[Aboard]]-Tabla1[[#This Row],[Fatalities]]</f>
        <v>0</v>
      </c>
      <c r="W656" s="50">
        <f>IFERROR(Tabla1[[#This Row],[Fatalities]]/Tabla1[[#This Row],[Aboard]],0)</f>
        <v>1</v>
      </c>
      <c r="X656" s="51" t="str" cm="1">
        <f t="array" ref="X656">_xlfn.IFS(Tabla1[[#This Row],[Porcentaje de muertes]]&lt;0.35,"LEVE",AND(Tabla1[[#This Row],[Porcentaje de muertes]]&gt;0.35,Tabla1[[#This Row],[Porcentaje de muertes]]&lt;0.65),"MEDIO",Tabla1[[#This Row],[Porcentaje de muertes]]&gt;0.65,"GRAVE")</f>
        <v>GRAVE</v>
      </c>
    </row>
    <row r="657" spans="2:24" x14ac:dyDescent="0.3">
      <c r="B657" s="9">
        <v>655</v>
      </c>
      <c r="C657" s="49">
        <v>15637</v>
      </c>
      <c r="D657" s="9">
        <f>YEAR(Tabla1[[#This Row],[Date]])</f>
        <v>1942</v>
      </c>
      <c r="E657" s="9" t="str" cm="1">
        <f t="array" ref="E657">IFERROR(_xlfn.IFS(AND(D657&lt;1980,D657&gt;=1970),"70",AND(D657&lt;1990,D657&gt;=1980),"80",AND(D657&lt;2000,D657&gt;=1990),"90",AND(D657&lt;2010,D657&gt;=2000),"00",AND(D657&lt;=2019,D657&gt;=2010),"10"),"1908-1970")</f>
        <v>1908-1970</v>
      </c>
      <c r="F657" s="3">
        <v>0.71875</v>
      </c>
      <c r="G657" t="s">
        <v>7847</v>
      </c>
      <c r="H657" t="s">
        <v>7848</v>
      </c>
      <c r="I657">
        <v>28</v>
      </c>
      <c r="J657" t="s">
        <v>7849</v>
      </c>
      <c r="K657" t="s">
        <v>7850</v>
      </c>
      <c r="L657" s="7" t="s">
        <v>7851</v>
      </c>
      <c r="M657">
        <v>1555</v>
      </c>
      <c r="N657">
        <v>13</v>
      </c>
      <c r="O657">
        <v>10</v>
      </c>
      <c r="P657">
        <v>3</v>
      </c>
      <c r="Q657">
        <v>12</v>
      </c>
      <c r="R657">
        <v>10</v>
      </c>
      <c r="S657">
        <v>2</v>
      </c>
      <c r="T657">
        <v>0</v>
      </c>
      <c r="U657" t="s">
        <v>7852</v>
      </c>
      <c r="V657">
        <f>Tabla1[[#This Row],[Aboard]]-Tabla1[[#This Row],[Fatalities]]</f>
        <v>1</v>
      </c>
      <c r="W657" s="50">
        <f>IFERROR(Tabla1[[#This Row],[Fatalities]]/Tabla1[[#This Row],[Aboard]],0)</f>
        <v>0.92307692307692313</v>
      </c>
      <c r="X657" s="51" t="str" cm="1">
        <f t="array" ref="X657">_xlfn.IFS(Tabla1[[#This Row],[Porcentaje de muertes]]&lt;0.35,"LEVE",AND(Tabla1[[#This Row],[Porcentaje de muertes]]&gt;0.35,Tabla1[[#This Row],[Porcentaje de muertes]]&lt;0.65),"MEDIO",Tabla1[[#This Row],[Porcentaje de muertes]]&gt;0.65,"GRAVE")</f>
        <v>GRAVE</v>
      </c>
    </row>
    <row r="658" spans="2:24" x14ac:dyDescent="0.3">
      <c r="B658" s="9">
        <v>656</v>
      </c>
      <c r="C658" s="49">
        <v>15638</v>
      </c>
      <c r="D658" s="9">
        <f>YEAR(Tabla1[[#This Row],[Date]])</f>
        <v>1942</v>
      </c>
      <c r="E658" s="9" t="str" cm="1">
        <f t="array" ref="E658">IFERROR(_xlfn.IFS(AND(D658&lt;1980,D658&gt;=1970),"70",AND(D658&lt;1990,D658&gt;=1980),"80",AND(D658&lt;2000,D658&gt;=1990),"90",AND(D658&lt;2010,D658&gt;=2000),"00",AND(D658&lt;=2019,D658&gt;=2010),"10"),"1908-1970")</f>
        <v>1908-1970</v>
      </c>
      <c r="F658" s="3" t="s">
        <v>28931</v>
      </c>
      <c r="G658" t="s">
        <v>7853</v>
      </c>
      <c r="H658" t="s">
        <v>7854</v>
      </c>
      <c r="I658" t="s">
        <v>28931</v>
      </c>
      <c r="J658" t="s">
        <v>28931</v>
      </c>
      <c r="K658" t="s">
        <v>6371</v>
      </c>
      <c r="L658" s="7" t="s">
        <v>7855</v>
      </c>
      <c r="M658">
        <v>1949</v>
      </c>
      <c r="N658">
        <v>6</v>
      </c>
      <c r="O658">
        <v>4</v>
      </c>
      <c r="P658">
        <v>2</v>
      </c>
      <c r="Q658">
        <v>6</v>
      </c>
      <c r="R658">
        <v>4</v>
      </c>
      <c r="S658">
        <v>2</v>
      </c>
      <c r="T658">
        <v>0</v>
      </c>
      <c r="U658" t="s">
        <v>7856</v>
      </c>
      <c r="V658">
        <f>Tabla1[[#This Row],[Aboard]]-Tabla1[[#This Row],[Fatalities]]</f>
        <v>0</v>
      </c>
      <c r="W658" s="50">
        <f>IFERROR(Tabla1[[#This Row],[Fatalities]]/Tabla1[[#This Row],[Aboard]],0)</f>
        <v>1</v>
      </c>
      <c r="X658" s="51" t="str" cm="1">
        <f t="array" ref="X658">_xlfn.IFS(Tabla1[[#This Row],[Porcentaje de muertes]]&lt;0.35,"LEVE",AND(Tabla1[[#This Row],[Porcentaje de muertes]]&gt;0.35,Tabla1[[#This Row],[Porcentaje de muertes]]&lt;0.65),"MEDIO",Tabla1[[#This Row],[Porcentaje de muertes]]&gt;0.65,"GRAVE")</f>
        <v>GRAVE</v>
      </c>
    </row>
    <row r="659" spans="2:24" x14ac:dyDescent="0.3">
      <c r="B659" s="9">
        <v>657</v>
      </c>
      <c r="C659" s="49">
        <v>15644</v>
      </c>
      <c r="D659" s="9">
        <f>YEAR(Tabla1[[#This Row],[Date]])</f>
        <v>1942</v>
      </c>
      <c r="E659" s="9" t="str" cm="1">
        <f t="array" ref="E659">IFERROR(_xlfn.IFS(AND(D659&lt;1980,D659&gt;=1970),"70",AND(D659&lt;1990,D659&gt;=1980),"80",AND(D659&lt;2000,D659&gt;=1990),"90",AND(D659&lt;2010,D659&gt;=2000),"00",AND(D659&lt;=2019,D659&gt;=2010),"10"),"1908-1970")</f>
        <v>1908-1970</v>
      </c>
      <c r="F659" s="3" t="s">
        <v>28931</v>
      </c>
      <c r="G659" t="s">
        <v>7857</v>
      </c>
      <c r="H659" t="s">
        <v>7665</v>
      </c>
      <c r="I659" t="s">
        <v>28931</v>
      </c>
      <c r="J659" t="s">
        <v>28931</v>
      </c>
      <c r="K659" t="s">
        <v>7858</v>
      </c>
      <c r="L659" s="7" t="s">
        <v>7859</v>
      </c>
      <c r="M659" t="s">
        <v>28931</v>
      </c>
      <c r="N659">
        <v>10</v>
      </c>
      <c r="O659">
        <v>7</v>
      </c>
      <c r="P659">
        <v>3</v>
      </c>
      <c r="Q659">
        <v>10</v>
      </c>
      <c r="R659">
        <v>7</v>
      </c>
      <c r="S659">
        <v>3</v>
      </c>
      <c r="T659">
        <v>0</v>
      </c>
      <c r="U659" t="s">
        <v>7860</v>
      </c>
      <c r="V659">
        <f>Tabla1[[#This Row],[Aboard]]-Tabla1[[#This Row],[Fatalities]]</f>
        <v>0</v>
      </c>
      <c r="W659" s="50">
        <f>IFERROR(Tabla1[[#This Row],[Fatalities]]/Tabla1[[#This Row],[Aboard]],0)</f>
        <v>1</v>
      </c>
      <c r="X659" s="51" t="str" cm="1">
        <f t="array" ref="X659">_xlfn.IFS(Tabla1[[#This Row],[Porcentaje de muertes]]&lt;0.35,"LEVE",AND(Tabla1[[#This Row],[Porcentaje de muertes]]&gt;0.35,Tabla1[[#This Row],[Porcentaje de muertes]]&lt;0.65),"MEDIO",Tabla1[[#This Row],[Porcentaje de muertes]]&gt;0.65,"GRAVE")</f>
        <v>GRAVE</v>
      </c>
    </row>
    <row r="660" spans="2:24" x14ac:dyDescent="0.3">
      <c r="B660" s="9">
        <v>658</v>
      </c>
      <c r="C660" s="49">
        <v>15662</v>
      </c>
      <c r="D660" s="9">
        <f>YEAR(Tabla1[[#This Row],[Date]])</f>
        <v>1942</v>
      </c>
      <c r="E660" s="9" t="str" cm="1">
        <f t="array" ref="E660">IFERROR(_xlfn.IFS(AND(D660&lt;1980,D660&gt;=1970),"70",AND(D660&lt;1990,D660&gt;=1980),"80",AND(D660&lt;2000,D660&gt;=1990),"90",AND(D660&lt;2010,D660&gt;=2000),"00",AND(D660&lt;=2019,D660&gt;=2010),"10"),"1908-1970")</f>
        <v>1908-1970</v>
      </c>
      <c r="F660" s="3" t="s">
        <v>28931</v>
      </c>
      <c r="G660" t="s">
        <v>7861</v>
      </c>
      <c r="H660" t="s">
        <v>7862</v>
      </c>
      <c r="I660" t="s">
        <v>28931</v>
      </c>
      <c r="J660" t="s">
        <v>7863</v>
      </c>
      <c r="K660" t="s">
        <v>7864</v>
      </c>
      <c r="L660" s="7" t="s">
        <v>7865</v>
      </c>
      <c r="M660">
        <v>1841703</v>
      </c>
      <c r="N660">
        <v>20</v>
      </c>
      <c r="O660">
        <v>16</v>
      </c>
      <c r="P660">
        <v>4</v>
      </c>
      <c r="Q660">
        <v>20</v>
      </c>
      <c r="R660">
        <v>16</v>
      </c>
      <c r="S660">
        <v>4</v>
      </c>
      <c r="T660">
        <v>0</v>
      </c>
      <c r="U660" t="s">
        <v>7866</v>
      </c>
      <c r="V660">
        <f>Tabla1[[#This Row],[Aboard]]-Tabla1[[#This Row],[Fatalities]]</f>
        <v>0</v>
      </c>
      <c r="W660" s="50">
        <f>IFERROR(Tabla1[[#This Row],[Fatalities]]/Tabla1[[#This Row],[Aboard]],0)</f>
        <v>1</v>
      </c>
      <c r="X660" s="51" t="str" cm="1">
        <f t="array" ref="X660">_xlfn.IFS(Tabla1[[#This Row],[Porcentaje de muertes]]&lt;0.35,"LEVE",AND(Tabla1[[#This Row],[Porcentaje de muertes]]&gt;0.35,Tabla1[[#This Row],[Porcentaje de muertes]]&lt;0.65),"MEDIO",Tabla1[[#This Row],[Porcentaje de muertes]]&gt;0.65,"GRAVE")</f>
        <v>GRAVE</v>
      </c>
    </row>
    <row r="661" spans="2:24" x14ac:dyDescent="0.3">
      <c r="B661" s="9">
        <v>659</v>
      </c>
      <c r="C661" s="49">
        <v>15687</v>
      </c>
      <c r="D661" s="9">
        <f>YEAR(Tabla1[[#This Row],[Date]])</f>
        <v>1942</v>
      </c>
      <c r="E661" s="9" t="str" cm="1">
        <f t="array" ref="E661">IFERROR(_xlfn.IFS(AND(D661&lt;1980,D661&gt;=1970),"70",AND(D661&lt;1990,D661&gt;=1980),"80",AND(D661&lt;2000,D661&gt;=1990),"90",AND(D661&lt;2010,D661&gt;=2000),"00",AND(D661&lt;=2019,D661&gt;=2010),"10"),"1908-1970")</f>
        <v>1908-1970</v>
      </c>
      <c r="F661" s="3" t="s">
        <v>28931</v>
      </c>
      <c r="G661" t="s">
        <v>7867</v>
      </c>
      <c r="H661" t="s">
        <v>6541</v>
      </c>
      <c r="I661" t="s">
        <v>28931</v>
      </c>
      <c r="J661" t="s">
        <v>7868</v>
      </c>
      <c r="K661" t="s">
        <v>7869</v>
      </c>
      <c r="L661" s="7" t="s">
        <v>7870</v>
      </c>
      <c r="M661" t="s">
        <v>28931</v>
      </c>
      <c r="N661">
        <v>36</v>
      </c>
      <c r="O661">
        <v>30</v>
      </c>
      <c r="P661">
        <v>6</v>
      </c>
      <c r="Q661">
        <v>36</v>
      </c>
      <c r="R661">
        <v>30</v>
      </c>
      <c r="S661">
        <v>6</v>
      </c>
      <c r="T661">
        <v>0</v>
      </c>
      <c r="U661" t="s">
        <v>7871</v>
      </c>
      <c r="V661">
        <f>Tabla1[[#This Row],[Aboard]]-Tabla1[[#This Row],[Fatalities]]</f>
        <v>0</v>
      </c>
      <c r="W661" s="50">
        <f>IFERROR(Tabla1[[#This Row],[Fatalities]]/Tabla1[[#This Row],[Aboard]],0)</f>
        <v>1</v>
      </c>
      <c r="X661" s="51" t="str" cm="1">
        <f t="array" ref="X661">_xlfn.IFS(Tabla1[[#This Row],[Porcentaje de muertes]]&lt;0.35,"LEVE",AND(Tabla1[[#This Row],[Porcentaje de muertes]]&gt;0.35,Tabla1[[#This Row],[Porcentaje de muertes]]&lt;0.65),"MEDIO",Tabla1[[#This Row],[Porcentaje de muertes]]&gt;0.65,"GRAVE")</f>
        <v>GRAVE</v>
      </c>
    </row>
    <row r="662" spans="2:24" x14ac:dyDescent="0.3">
      <c r="B662" s="9">
        <v>660</v>
      </c>
      <c r="C662" s="49">
        <v>15690</v>
      </c>
      <c r="D662" s="9">
        <f>YEAR(Tabla1[[#This Row],[Date]])</f>
        <v>1942</v>
      </c>
      <c r="E662" s="9" t="str" cm="1">
        <f t="array" ref="E662">IFERROR(_xlfn.IFS(AND(D662&lt;1980,D662&gt;=1970),"70",AND(D662&lt;1990,D662&gt;=1980),"80",AND(D662&lt;2000,D662&gt;=1990),"90",AND(D662&lt;2010,D662&gt;=2000),"00",AND(D662&lt;=2019,D662&gt;=2010),"10"),"1908-1970")</f>
        <v>1908-1970</v>
      </c>
      <c r="F662" s="3">
        <v>5.6944444444444443E-2</v>
      </c>
      <c r="G662" t="s">
        <v>7872</v>
      </c>
      <c r="H662" t="s">
        <v>7873</v>
      </c>
      <c r="I662">
        <v>1</v>
      </c>
      <c r="J662" t="s">
        <v>7874</v>
      </c>
      <c r="K662" t="s">
        <v>6970</v>
      </c>
      <c r="L662" s="7" t="s">
        <v>7875</v>
      </c>
      <c r="M662">
        <v>1900</v>
      </c>
      <c r="N662">
        <v>19</v>
      </c>
      <c r="O662">
        <v>15</v>
      </c>
      <c r="P662">
        <v>4</v>
      </c>
      <c r="Q662">
        <v>17</v>
      </c>
      <c r="R662">
        <v>13</v>
      </c>
      <c r="S662">
        <v>4</v>
      </c>
      <c r="T662">
        <v>0</v>
      </c>
      <c r="U662" t="s">
        <v>7876</v>
      </c>
      <c r="V662">
        <f>Tabla1[[#This Row],[Aboard]]-Tabla1[[#This Row],[Fatalities]]</f>
        <v>2</v>
      </c>
      <c r="W662" s="50">
        <f>IFERROR(Tabla1[[#This Row],[Fatalities]]/Tabla1[[#This Row],[Aboard]],0)</f>
        <v>0.89473684210526316</v>
      </c>
      <c r="X662" s="51" t="str" cm="1">
        <f t="array" ref="X662">_xlfn.IFS(Tabla1[[#This Row],[Porcentaje de muertes]]&lt;0.35,"LEVE",AND(Tabla1[[#This Row],[Porcentaje de muertes]]&gt;0.35,Tabla1[[#This Row],[Porcentaje de muertes]]&lt;0.65),"MEDIO",Tabla1[[#This Row],[Porcentaje de muertes]]&gt;0.65,"GRAVE")</f>
        <v>GRAVE</v>
      </c>
    </row>
    <row r="663" spans="2:24" x14ac:dyDescent="0.3">
      <c r="B663" s="9">
        <v>661</v>
      </c>
      <c r="C663" s="49">
        <v>15694</v>
      </c>
      <c r="D663" s="9">
        <f>YEAR(Tabla1[[#This Row],[Date]])</f>
        <v>1942</v>
      </c>
      <c r="E663" s="9" t="str" cm="1">
        <f t="array" ref="E663">IFERROR(_xlfn.IFS(AND(D663&lt;1980,D663&gt;=1970),"70",AND(D663&lt;1990,D663&gt;=1980),"80",AND(D663&lt;2000,D663&gt;=1990),"90",AND(D663&lt;2010,D663&gt;=2000),"00",AND(D663&lt;=2019,D663&gt;=2010),"10"),"1908-1970")</f>
        <v>1908-1970</v>
      </c>
      <c r="F663" s="3">
        <v>0.66666666666666663</v>
      </c>
      <c r="G663" t="s">
        <v>7877</v>
      </c>
      <c r="H663" t="s">
        <v>7878</v>
      </c>
      <c r="I663" t="s">
        <v>28931</v>
      </c>
      <c r="J663" t="s">
        <v>7879</v>
      </c>
      <c r="K663" t="s">
        <v>6555</v>
      </c>
      <c r="L663" s="7" t="s">
        <v>7880</v>
      </c>
      <c r="M663">
        <v>5610</v>
      </c>
      <c r="N663">
        <v>16</v>
      </c>
      <c r="O663">
        <v>13</v>
      </c>
      <c r="P663">
        <v>3</v>
      </c>
      <c r="Q663">
        <v>2</v>
      </c>
      <c r="R663">
        <v>2</v>
      </c>
      <c r="S663">
        <v>0</v>
      </c>
      <c r="T663">
        <v>0</v>
      </c>
      <c r="U663" t="s">
        <v>7881</v>
      </c>
      <c r="V663">
        <f>Tabla1[[#This Row],[Aboard]]-Tabla1[[#This Row],[Fatalities]]</f>
        <v>14</v>
      </c>
      <c r="W663" s="50">
        <f>IFERROR(Tabla1[[#This Row],[Fatalities]]/Tabla1[[#This Row],[Aboard]],0)</f>
        <v>0.125</v>
      </c>
      <c r="X663" s="51" t="str" cm="1">
        <f t="array" ref="X663">_xlfn.IFS(Tabla1[[#This Row],[Porcentaje de muertes]]&lt;0.35,"LEVE",AND(Tabla1[[#This Row],[Porcentaje de muertes]]&gt;0.35,Tabla1[[#This Row],[Porcentaje de muertes]]&lt;0.65),"MEDIO",Tabla1[[#This Row],[Porcentaje de muertes]]&gt;0.65,"GRAVE")</f>
        <v>LEVE</v>
      </c>
    </row>
    <row r="664" spans="2:24" x14ac:dyDescent="0.3">
      <c r="B664" s="9">
        <v>662</v>
      </c>
      <c r="C664" s="49">
        <v>15695</v>
      </c>
      <c r="D664" s="9">
        <f>YEAR(Tabla1[[#This Row],[Date]])</f>
        <v>1942</v>
      </c>
      <c r="E664" s="9" t="str" cm="1">
        <f t="array" ref="E664">IFERROR(_xlfn.IFS(AND(D664&lt;1980,D664&gt;=1970),"70",AND(D664&lt;1990,D664&gt;=1980),"80",AND(D664&lt;2000,D664&gt;=1990),"90",AND(D664&lt;2010,D664&gt;=2000),"00",AND(D664&lt;=2019,D664&gt;=2010),"10"),"1908-1970")</f>
        <v>1908-1970</v>
      </c>
      <c r="F664" s="3">
        <v>0.79166666666666663</v>
      </c>
      <c r="G664" t="s">
        <v>7882</v>
      </c>
      <c r="H664" t="s">
        <v>7883</v>
      </c>
      <c r="I664" t="s">
        <v>28931</v>
      </c>
      <c r="J664" t="s">
        <v>7884</v>
      </c>
      <c r="K664" t="s">
        <v>7194</v>
      </c>
      <c r="L664" s="7" t="s">
        <v>7885</v>
      </c>
      <c r="M664">
        <v>1504</v>
      </c>
      <c r="N664">
        <v>13</v>
      </c>
      <c r="O664">
        <v>10</v>
      </c>
      <c r="P664">
        <v>3</v>
      </c>
      <c r="Q664">
        <v>13</v>
      </c>
      <c r="R664">
        <v>10</v>
      </c>
      <c r="S664">
        <v>3</v>
      </c>
      <c r="T664">
        <v>0</v>
      </c>
      <c r="U664" t="s">
        <v>7886</v>
      </c>
      <c r="V664">
        <f>Tabla1[[#This Row],[Aboard]]-Tabla1[[#This Row],[Fatalities]]</f>
        <v>0</v>
      </c>
      <c r="W664" s="50">
        <f>IFERROR(Tabla1[[#This Row],[Fatalities]]/Tabla1[[#This Row],[Aboard]],0)</f>
        <v>1</v>
      </c>
      <c r="X664" s="51" t="str" cm="1">
        <f t="array" ref="X664">_xlfn.IFS(Tabla1[[#This Row],[Porcentaje de muertes]]&lt;0.35,"LEVE",AND(Tabla1[[#This Row],[Porcentaje de muertes]]&gt;0.35,Tabla1[[#This Row],[Porcentaje de muertes]]&lt;0.65),"MEDIO",Tabla1[[#This Row],[Porcentaje de muertes]]&gt;0.65,"GRAVE")</f>
        <v>GRAVE</v>
      </c>
    </row>
    <row r="665" spans="2:24" x14ac:dyDescent="0.3">
      <c r="B665" s="9">
        <v>663</v>
      </c>
      <c r="C665" s="49">
        <v>15950</v>
      </c>
      <c r="D665" s="9">
        <f>YEAR(Tabla1[[#This Row],[Date]])</f>
        <v>1943</v>
      </c>
      <c r="E665" s="9" t="str" cm="1">
        <f t="array" ref="E665">IFERROR(_xlfn.IFS(AND(D665&lt;1980,D665&gt;=1970),"70",AND(D665&lt;1990,D665&gt;=1980),"80",AND(D665&lt;2000,D665&gt;=1990),"90",AND(D665&lt;2010,D665&gt;=2000),"00",AND(D665&lt;=2019,D665&gt;=2010),"10"),"1908-1970")</f>
        <v>1908-1970</v>
      </c>
      <c r="F665" s="3">
        <v>0.4375</v>
      </c>
      <c r="G665" t="s">
        <v>7887</v>
      </c>
      <c r="H665" t="s">
        <v>7521</v>
      </c>
      <c r="I665" t="s">
        <v>28931</v>
      </c>
      <c r="J665" t="s">
        <v>7888</v>
      </c>
      <c r="K665" t="s">
        <v>7889</v>
      </c>
      <c r="L665" s="7" t="s">
        <v>7890</v>
      </c>
      <c r="M665" t="s">
        <v>7891</v>
      </c>
      <c r="N665">
        <v>15</v>
      </c>
      <c r="O665">
        <v>11</v>
      </c>
      <c r="P665">
        <v>4</v>
      </c>
      <c r="Q665">
        <v>13</v>
      </c>
      <c r="R665">
        <v>10</v>
      </c>
      <c r="S665">
        <v>3</v>
      </c>
      <c r="T665">
        <v>0</v>
      </c>
      <c r="U665" t="s">
        <v>7892</v>
      </c>
      <c r="V665">
        <f>Tabla1[[#This Row],[Aboard]]-Tabla1[[#This Row],[Fatalities]]</f>
        <v>2</v>
      </c>
      <c r="W665" s="50">
        <f>IFERROR(Tabla1[[#This Row],[Fatalities]]/Tabla1[[#This Row],[Aboard]],0)</f>
        <v>0.8666666666666667</v>
      </c>
      <c r="X665" s="51" t="str" cm="1">
        <f t="array" ref="X665">_xlfn.IFS(Tabla1[[#This Row],[Porcentaje de muertes]]&lt;0.35,"LEVE",AND(Tabla1[[#This Row],[Porcentaje de muertes]]&gt;0.35,Tabla1[[#This Row],[Porcentaje de muertes]]&lt;0.65),"MEDIO",Tabla1[[#This Row],[Porcentaje de muertes]]&gt;0.65,"GRAVE")</f>
        <v>GRAVE</v>
      </c>
    </row>
    <row r="666" spans="2:24" x14ac:dyDescent="0.3">
      <c r="B666" s="9">
        <v>664</v>
      </c>
      <c r="C666" s="49">
        <v>15721</v>
      </c>
      <c r="D666" s="9">
        <f>YEAR(Tabla1[[#This Row],[Date]])</f>
        <v>1943</v>
      </c>
      <c r="E666" s="9" t="str" cm="1">
        <f t="array" ref="E666">IFERROR(_xlfn.IFS(AND(D666&lt;1980,D666&gt;=1970),"70",AND(D666&lt;1990,D666&gt;=1980),"80",AND(D666&lt;2000,D666&gt;=1990),"90",AND(D666&lt;2010,D666&gt;=2000),"00",AND(D666&lt;=2019,D666&gt;=2010),"10"),"1908-1970")</f>
        <v>1908-1970</v>
      </c>
      <c r="F666" s="3" t="s">
        <v>28931</v>
      </c>
      <c r="G666" t="s">
        <v>7893</v>
      </c>
      <c r="H666" t="s">
        <v>7782</v>
      </c>
      <c r="I666" t="s">
        <v>28931</v>
      </c>
      <c r="J666" t="s">
        <v>28931</v>
      </c>
      <c r="K666" t="s">
        <v>7894</v>
      </c>
      <c r="L666" s="7" t="s">
        <v>7895</v>
      </c>
      <c r="M666">
        <v>3114</v>
      </c>
      <c r="N666">
        <v>35</v>
      </c>
      <c r="O666">
        <v>26</v>
      </c>
      <c r="P666">
        <v>9</v>
      </c>
      <c r="Q666">
        <v>35</v>
      </c>
      <c r="R666">
        <v>26</v>
      </c>
      <c r="S666">
        <v>9</v>
      </c>
      <c r="T666">
        <v>0</v>
      </c>
      <c r="U666" t="s">
        <v>7896</v>
      </c>
      <c r="V666">
        <f>Tabla1[[#This Row],[Aboard]]-Tabla1[[#This Row],[Fatalities]]</f>
        <v>0</v>
      </c>
      <c r="W666" s="50">
        <f>IFERROR(Tabla1[[#This Row],[Fatalities]]/Tabla1[[#This Row],[Aboard]],0)</f>
        <v>1</v>
      </c>
      <c r="X666" s="51" t="str" cm="1">
        <f t="array" ref="X666">_xlfn.IFS(Tabla1[[#This Row],[Porcentaje de muertes]]&lt;0.35,"LEVE",AND(Tabla1[[#This Row],[Porcentaje de muertes]]&gt;0.35,Tabla1[[#This Row],[Porcentaje de muertes]]&lt;0.65),"MEDIO",Tabla1[[#This Row],[Porcentaje de muertes]]&gt;0.65,"GRAVE")</f>
        <v>GRAVE</v>
      </c>
    </row>
    <row r="667" spans="2:24" x14ac:dyDescent="0.3">
      <c r="B667" s="9">
        <v>665</v>
      </c>
      <c r="C667" s="49">
        <v>15724</v>
      </c>
      <c r="D667" s="9">
        <f>YEAR(Tabla1[[#This Row],[Date]])</f>
        <v>1943</v>
      </c>
      <c r="E667" s="9" t="str" cm="1">
        <f t="array" ref="E667">IFERROR(_xlfn.IFS(AND(D667&lt;1980,D667&gt;=1970),"70",AND(D667&lt;1990,D667&gt;=1980),"80",AND(D667&lt;2000,D667&gt;=1990),"90",AND(D667&lt;2010,D667&gt;=2000),"00",AND(D667&lt;=2019,D667&gt;=2010),"10"),"1908-1970")</f>
        <v>1908-1970</v>
      </c>
      <c r="F667" s="3">
        <v>0.95833333333333337</v>
      </c>
      <c r="G667" t="s">
        <v>7897</v>
      </c>
      <c r="H667" t="s">
        <v>7782</v>
      </c>
      <c r="I667" t="s">
        <v>28931</v>
      </c>
      <c r="J667" t="s">
        <v>7898</v>
      </c>
      <c r="K667" t="s">
        <v>7899</v>
      </c>
      <c r="L667" s="7" t="s">
        <v>7900</v>
      </c>
      <c r="M667">
        <v>204</v>
      </c>
      <c r="N667">
        <v>26</v>
      </c>
      <c r="O667">
        <v>20</v>
      </c>
      <c r="P667">
        <v>6</v>
      </c>
      <c r="Q667">
        <v>26</v>
      </c>
      <c r="R667">
        <v>20</v>
      </c>
      <c r="S667">
        <v>6</v>
      </c>
      <c r="T667">
        <v>0</v>
      </c>
      <c r="U667" t="s">
        <v>7901</v>
      </c>
      <c r="V667">
        <f>Tabla1[[#This Row],[Aboard]]-Tabla1[[#This Row],[Fatalities]]</f>
        <v>0</v>
      </c>
      <c r="W667" s="50">
        <f>IFERROR(Tabla1[[#This Row],[Fatalities]]/Tabla1[[#This Row],[Aboard]],0)</f>
        <v>1</v>
      </c>
      <c r="X667" s="51" t="str" cm="1">
        <f t="array" ref="X667">_xlfn.IFS(Tabla1[[#This Row],[Porcentaje de muertes]]&lt;0.35,"LEVE",AND(Tabla1[[#This Row],[Porcentaje de muertes]]&gt;0.35,Tabla1[[#This Row],[Porcentaje de muertes]]&lt;0.65),"MEDIO",Tabla1[[#This Row],[Porcentaje de muertes]]&gt;0.65,"GRAVE")</f>
        <v>GRAVE</v>
      </c>
    </row>
    <row r="668" spans="2:24" x14ac:dyDescent="0.3">
      <c r="B668" s="9">
        <v>666</v>
      </c>
      <c r="C668" s="49">
        <v>15727</v>
      </c>
      <c r="D668" s="9">
        <f>YEAR(Tabla1[[#This Row],[Date]])</f>
        <v>1943</v>
      </c>
      <c r="E668" s="9" t="str" cm="1">
        <f t="array" ref="E668">IFERROR(_xlfn.IFS(AND(D668&lt;1980,D668&gt;=1970),"70",AND(D668&lt;1990,D668&gt;=1980),"80",AND(D668&lt;2000,D668&gt;=1990),"90",AND(D668&lt;2010,D668&gt;=2000),"00",AND(D668&lt;=2019,D668&gt;=2010),"10"),"1908-1970")</f>
        <v>1908-1970</v>
      </c>
      <c r="F668" s="3">
        <v>0.3125</v>
      </c>
      <c r="G668" t="s">
        <v>7902</v>
      </c>
      <c r="H668" t="s">
        <v>7121</v>
      </c>
      <c r="I668" t="s">
        <v>7903</v>
      </c>
      <c r="J668" t="s">
        <v>7904</v>
      </c>
      <c r="K668" t="s">
        <v>7249</v>
      </c>
      <c r="L668" s="7" t="s">
        <v>7905</v>
      </c>
      <c r="M668">
        <v>557</v>
      </c>
      <c r="N668">
        <v>19</v>
      </c>
      <c r="O668">
        <v>10</v>
      </c>
      <c r="P668">
        <v>9</v>
      </c>
      <c r="Q668">
        <v>19</v>
      </c>
      <c r="R668">
        <v>10</v>
      </c>
      <c r="S668">
        <v>9</v>
      </c>
      <c r="T668">
        <v>0</v>
      </c>
      <c r="U668" t="s">
        <v>7906</v>
      </c>
      <c r="V668">
        <f>Tabla1[[#This Row],[Aboard]]-Tabla1[[#This Row],[Fatalities]]</f>
        <v>0</v>
      </c>
      <c r="W668" s="50">
        <f>IFERROR(Tabla1[[#This Row],[Fatalities]]/Tabla1[[#This Row],[Aboard]],0)</f>
        <v>1</v>
      </c>
      <c r="X668" s="51" t="str" cm="1">
        <f t="array" ref="X668">_xlfn.IFS(Tabla1[[#This Row],[Porcentaje de muertes]]&lt;0.35,"LEVE",AND(Tabla1[[#This Row],[Porcentaje de muertes]]&gt;0.35,Tabla1[[#This Row],[Porcentaje de muertes]]&lt;0.65),"MEDIO",Tabla1[[#This Row],[Porcentaje de muertes]]&gt;0.65,"GRAVE")</f>
        <v>GRAVE</v>
      </c>
    </row>
    <row r="669" spans="2:24" x14ac:dyDescent="0.3">
      <c r="B669" s="9">
        <v>667</v>
      </c>
      <c r="C669" s="49">
        <v>15728</v>
      </c>
      <c r="D669" s="9">
        <f>YEAR(Tabla1[[#This Row],[Date]])</f>
        <v>1943</v>
      </c>
      <c r="E669" s="9" t="str" cm="1">
        <f t="array" ref="E669">IFERROR(_xlfn.IFS(AND(D669&lt;1980,D669&gt;=1970),"70",AND(D669&lt;1990,D669&gt;=1980),"80",AND(D669&lt;2000,D669&gt;=1990),"90",AND(D669&lt;2010,D669&gt;=2000),"00",AND(D669&lt;=2019,D669&gt;=2010),"10"),"1908-1970")</f>
        <v>1908-1970</v>
      </c>
      <c r="F669" s="3">
        <v>0.63541666666666663</v>
      </c>
      <c r="G669" t="s">
        <v>7907</v>
      </c>
      <c r="H669" t="s">
        <v>6433</v>
      </c>
      <c r="I669">
        <v>9</v>
      </c>
      <c r="J669" t="s">
        <v>7908</v>
      </c>
      <c r="K669" t="s">
        <v>6970</v>
      </c>
      <c r="L669" s="7" t="s">
        <v>7909</v>
      </c>
      <c r="M669">
        <v>4124</v>
      </c>
      <c r="N669">
        <v>15</v>
      </c>
      <c r="O669">
        <v>11</v>
      </c>
      <c r="P669">
        <v>4</v>
      </c>
      <c r="Q669">
        <v>14</v>
      </c>
      <c r="R669">
        <v>10</v>
      </c>
      <c r="S669">
        <v>4</v>
      </c>
      <c r="T669">
        <v>0</v>
      </c>
      <c r="U669" t="s">
        <v>7910</v>
      </c>
      <c r="V669">
        <f>Tabla1[[#This Row],[Aboard]]-Tabla1[[#This Row],[Fatalities]]</f>
        <v>1</v>
      </c>
      <c r="W669" s="50">
        <f>IFERROR(Tabla1[[#This Row],[Fatalities]]/Tabla1[[#This Row],[Aboard]],0)</f>
        <v>0.93333333333333335</v>
      </c>
      <c r="X669" s="51" t="str" cm="1">
        <f t="array" ref="X669">_xlfn.IFS(Tabla1[[#This Row],[Porcentaje de muertes]]&lt;0.35,"LEVE",AND(Tabla1[[#This Row],[Porcentaje de muertes]]&gt;0.35,Tabla1[[#This Row],[Porcentaje de muertes]]&lt;0.65),"MEDIO",Tabla1[[#This Row],[Porcentaje de muertes]]&gt;0.65,"GRAVE")</f>
        <v>GRAVE</v>
      </c>
    </row>
    <row r="670" spans="2:24" x14ac:dyDescent="0.3">
      <c r="B670" s="9">
        <v>668</v>
      </c>
      <c r="C670" s="49">
        <v>15951</v>
      </c>
      <c r="D670" s="9">
        <f>YEAR(Tabla1[[#This Row],[Date]])</f>
        <v>1943</v>
      </c>
      <c r="E670" s="9" t="str" cm="1">
        <f t="array" ref="E670">IFERROR(_xlfn.IFS(AND(D670&lt;1980,D670&gt;=1970),"70",AND(D670&lt;1990,D670&gt;=1980),"80",AND(D670&lt;2000,D670&gt;=1990),"90",AND(D670&lt;2010,D670&gt;=2000),"00",AND(D670&lt;=2019,D670&gt;=2010),"10"),"1908-1970")</f>
        <v>1908-1970</v>
      </c>
      <c r="F670" s="3" t="s">
        <v>28931</v>
      </c>
      <c r="G670" t="s">
        <v>7911</v>
      </c>
      <c r="H670" t="s">
        <v>7521</v>
      </c>
      <c r="I670" t="s">
        <v>28931</v>
      </c>
      <c r="J670" t="s">
        <v>28931</v>
      </c>
      <c r="K670" t="s">
        <v>7912</v>
      </c>
      <c r="L670" s="7" t="s">
        <v>7913</v>
      </c>
      <c r="M670" t="s">
        <v>28931</v>
      </c>
      <c r="N670">
        <v>21</v>
      </c>
      <c r="O670" t="s">
        <v>5038</v>
      </c>
      <c r="P670" t="s">
        <v>5038</v>
      </c>
      <c r="Q670">
        <v>19</v>
      </c>
      <c r="R670" t="s">
        <v>5038</v>
      </c>
      <c r="S670" t="s">
        <v>5038</v>
      </c>
      <c r="T670">
        <v>0</v>
      </c>
      <c r="U670" t="s">
        <v>7914</v>
      </c>
      <c r="V670">
        <f>Tabla1[[#This Row],[Aboard]]-Tabla1[[#This Row],[Fatalities]]</f>
        <v>2</v>
      </c>
      <c r="W670" s="50">
        <f>IFERROR(Tabla1[[#This Row],[Fatalities]]/Tabla1[[#This Row],[Aboard]],0)</f>
        <v>0.90476190476190477</v>
      </c>
      <c r="X670" s="51" t="str" cm="1">
        <f t="array" ref="X670">_xlfn.IFS(Tabla1[[#This Row],[Porcentaje de muertes]]&lt;0.35,"LEVE",AND(Tabla1[[#This Row],[Porcentaje de muertes]]&gt;0.35,Tabla1[[#This Row],[Porcentaje de muertes]]&lt;0.65),"MEDIO",Tabla1[[#This Row],[Porcentaje de muertes]]&gt;0.65,"GRAVE")</f>
        <v>GRAVE</v>
      </c>
    </row>
    <row r="671" spans="2:24" x14ac:dyDescent="0.3">
      <c r="B671" s="9">
        <v>669</v>
      </c>
      <c r="C671" s="49">
        <v>15755</v>
      </c>
      <c r="D671" s="9">
        <f>YEAR(Tabla1[[#This Row],[Date]])</f>
        <v>1943</v>
      </c>
      <c r="E671" s="9" t="str" cm="1">
        <f t="array" ref="E671">IFERROR(_xlfn.IFS(AND(D671&lt;1980,D671&gt;=1970),"70",AND(D671&lt;1990,D671&gt;=1980),"80",AND(D671&lt;2000,D671&gt;=1990),"90",AND(D671&lt;2010,D671&gt;=2000),"00",AND(D671&lt;=2019,D671&gt;=2010),"10"),"1908-1970")</f>
        <v>1908-1970</v>
      </c>
      <c r="F671" s="3">
        <v>0.52083333333333337</v>
      </c>
      <c r="G671" t="s">
        <v>7915</v>
      </c>
      <c r="H671" t="s">
        <v>7916</v>
      </c>
      <c r="I671" t="s">
        <v>28931</v>
      </c>
      <c r="J671" t="s">
        <v>5028</v>
      </c>
      <c r="K671" t="s">
        <v>7917</v>
      </c>
      <c r="L671" s="7" t="s">
        <v>7918</v>
      </c>
      <c r="M671" t="s">
        <v>28931</v>
      </c>
      <c r="N671">
        <v>10</v>
      </c>
      <c r="O671">
        <v>0</v>
      </c>
      <c r="P671">
        <v>10</v>
      </c>
      <c r="Q671">
        <v>10</v>
      </c>
      <c r="R671">
        <v>0</v>
      </c>
      <c r="S671">
        <v>10</v>
      </c>
      <c r="T671">
        <v>20</v>
      </c>
      <c r="U671" t="s">
        <v>7919</v>
      </c>
      <c r="V671">
        <f>Tabla1[[#This Row],[Aboard]]-Tabla1[[#This Row],[Fatalities]]</f>
        <v>0</v>
      </c>
      <c r="W671" s="50">
        <f>IFERROR(Tabla1[[#This Row],[Fatalities]]/Tabla1[[#This Row],[Aboard]],0)</f>
        <v>1</v>
      </c>
      <c r="X671" s="51" t="str" cm="1">
        <f t="array" ref="X671">_xlfn.IFS(Tabla1[[#This Row],[Porcentaje de muertes]]&lt;0.35,"LEVE",AND(Tabla1[[#This Row],[Porcentaje de muertes]]&gt;0.35,Tabla1[[#This Row],[Porcentaje de muertes]]&lt;0.65),"MEDIO",Tabla1[[#This Row],[Porcentaje de muertes]]&gt;0.65,"GRAVE")</f>
        <v>GRAVE</v>
      </c>
    </row>
    <row r="672" spans="2:24" x14ac:dyDescent="0.3">
      <c r="B672" s="9">
        <v>670</v>
      </c>
      <c r="C672" s="49">
        <v>15759</v>
      </c>
      <c r="D672" s="9">
        <f>YEAR(Tabla1[[#This Row],[Date]])</f>
        <v>1943</v>
      </c>
      <c r="E672" s="9" t="str" cm="1">
        <f t="array" ref="E672">IFERROR(_xlfn.IFS(AND(D672&lt;1980,D672&gt;=1970),"70",AND(D672&lt;1990,D672&gt;=1980),"80",AND(D672&lt;2000,D672&gt;=1990),"90",AND(D672&lt;2010,D672&gt;=2000),"00",AND(D672&lt;=2019,D672&gt;=2010),"10"),"1908-1970")</f>
        <v>1908-1970</v>
      </c>
      <c r="F672" s="3">
        <v>0.28263888888888888</v>
      </c>
      <c r="G672" t="s">
        <v>7920</v>
      </c>
      <c r="H672" t="s">
        <v>7121</v>
      </c>
      <c r="I672">
        <v>9035</v>
      </c>
      <c r="J672" t="s">
        <v>7921</v>
      </c>
      <c r="K672" t="s">
        <v>7922</v>
      </c>
      <c r="L672" s="7" t="s">
        <v>7923</v>
      </c>
      <c r="M672">
        <v>1990</v>
      </c>
      <c r="N672">
        <v>39</v>
      </c>
      <c r="O672">
        <v>33</v>
      </c>
      <c r="P672">
        <v>6</v>
      </c>
      <c r="Q672">
        <v>25</v>
      </c>
      <c r="R672">
        <v>20</v>
      </c>
      <c r="S672">
        <v>5</v>
      </c>
      <c r="T672">
        <v>0</v>
      </c>
      <c r="U672" t="s">
        <v>7924</v>
      </c>
      <c r="V672">
        <f>Tabla1[[#This Row],[Aboard]]-Tabla1[[#This Row],[Fatalities]]</f>
        <v>14</v>
      </c>
      <c r="W672" s="50">
        <f>IFERROR(Tabla1[[#This Row],[Fatalities]]/Tabla1[[#This Row],[Aboard]],0)</f>
        <v>0.64102564102564108</v>
      </c>
      <c r="X672" s="51" t="str" cm="1">
        <f t="array" ref="X672">_xlfn.IFS(Tabla1[[#This Row],[Porcentaje de muertes]]&lt;0.35,"LEVE",AND(Tabla1[[#This Row],[Porcentaje de muertes]]&gt;0.35,Tabla1[[#This Row],[Porcentaje de muertes]]&lt;0.65),"MEDIO",Tabla1[[#This Row],[Porcentaje de muertes]]&gt;0.65,"GRAVE")</f>
        <v>MEDIO</v>
      </c>
    </row>
    <row r="673" spans="2:24" x14ac:dyDescent="0.3">
      <c r="B673" s="9">
        <v>671</v>
      </c>
      <c r="C673" s="49">
        <v>16013</v>
      </c>
      <c r="D673" s="9">
        <f>YEAR(Tabla1[[#This Row],[Date]])</f>
        <v>1943</v>
      </c>
      <c r="E673" s="9" t="str" cm="1">
        <f t="array" ref="E673">IFERROR(_xlfn.IFS(AND(D673&lt;1980,D673&gt;=1970),"70",AND(D673&lt;1990,D673&gt;=1980),"80",AND(D673&lt;2000,D673&gt;=1990),"90",AND(D673&lt;2010,D673&gt;=2000),"00",AND(D673&lt;=2019,D673&gt;=2010),"10"),"1908-1970")</f>
        <v>1908-1970</v>
      </c>
      <c r="F673" s="3" t="s">
        <v>28931</v>
      </c>
      <c r="G673" t="s">
        <v>7925</v>
      </c>
      <c r="H673" t="s">
        <v>6010</v>
      </c>
      <c r="I673" t="s">
        <v>28931</v>
      </c>
      <c r="J673" t="s">
        <v>7926</v>
      </c>
      <c r="K673" t="s">
        <v>7927</v>
      </c>
      <c r="L673" s="7">
        <v>53</v>
      </c>
      <c r="M673" t="s">
        <v>28931</v>
      </c>
      <c r="N673">
        <v>3</v>
      </c>
      <c r="O673">
        <v>0</v>
      </c>
      <c r="P673">
        <v>3</v>
      </c>
      <c r="Q673">
        <v>3</v>
      </c>
      <c r="R673">
        <v>0</v>
      </c>
      <c r="S673">
        <v>3</v>
      </c>
      <c r="T673">
        <v>0</v>
      </c>
      <c r="U673" t="s">
        <v>7928</v>
      </c>
      <c r="V673">
        <f>Tabla1[[#This Row],[Aboard]]-Tabla1[[#This Row],[Fatalities]]</f>
        <v>0</v>
      </c>
      <c r="W673" s="50">
        <f>IFERROR(Tabla1[[#This Row],[Fatalities]]/Tabla1[[#This Row],[Aboard]],0)</f>
        <v>1</v>
      </c>
      <c r="X673" s="51" t="str" cm="1">
        <f t="array" ref="X673">_xlfn.IFS(Tabla1[[#This Row],[Porcentaje de muertes]]&lt;0.35,"LEVE",AND(Tabla1[[#This Row],[Porcentaje de muertes]]&gt;0.35,Tabla1[[#This Row],[Porcentaje de muertes]]&lt;0.65),"MEDIO",Tabla1[[#This Row],[Porcentaje de muertes]]&gt;0.65,"GRAVE")</f>
        <v>GRAVE</v>
      </c>
    </row>
    <row r="674" spans="2:24" x14ac:dyDescent="0.3">
      <c r="B674" s="9">
        <v>672</v>
      </c>
      <c r="C674" s="49">
        <v>15778</v>
      </c>
      <c r="D674" s="9">
        <f>YEAR(Tabla1[[#This Row],[Date]])</f>
        <v>1943</v>
      </c>
      <c r="E674" s="9" t="str" cm="1">
        <f t="array" ref="E674">IFERROR(_xlfn.IFS(AND(D674&lt;1980,D674&gt;=1970),"70",AND(D674&lt;1990,D674&gt;=1980),"80",AND(D674&lt;2000,D674&gt;=1990),"90",AND(D674&lt;2010,D674&gt;=2000),"00",AND(D674&lt;=2019,D674&gt;=2010),"10"),"1908-1970")</f>
        <v>1908-1970</v>
      </c>
      <c r="F674" s="3" t="s">
        <v>28931</v>
      </c>
      <c r="G674" t="s">
        <v>7929</v>
      </c>
      <c r="H674" t="s">
        <v>6010</v>
      </c>
      <c r="I674" t="s">
        <v>28931</v>
      </c>
      <c r="J674" t="s">
        <v>7930</v>
      </c>
      <c r="K674" t="s">
        <v>7927</v>
      </c>
      <c r="L674" s="7">
        <v>49</v>
      </c>
      <c r="M674" t="s">
        <v>28931</v>
      </c>
      <c r="N674">
        <v>3</v>
      </c>
      <c r="O674">
        <v>0</v>
      </c>
      <c r="P674">
        <v>3</v>
      </c>
      <c r="Q674">
        <v>3</v>
      </c>
      <c r="R674">
        <v>0</v>
      </c>
      <c r="S674">
        <v>3</v>
      </c>
      <c r="T674">
        <v>0</v>
      </c>
      <c r="U674" t="s">
        <v>7931</v>
      </c>
      <c r="V674">
        <f>Tabla1[[#This Row],[Aboard]]-Tabla1[[#This Row],[Fatalities]]</f>
        <v>0</v>
      </c>
      <c r="W674" s="50">
        <f>IFERROR(Tabla1[[#This Row],[Fatalities]]/Tabla1[[#This Row],[Aboard]],0)</f>
        <v>1</v>
      </c>
      <c r="X674" s="51" t="str" cm="1">
        <f t="array" ref="X674">_xlfn.IFS(Tabla1[[#This Row],[Porcentaje de muertes]]&lt;0.35,"LEVE",AND(Tabla1[[#This Row],[Porcentaje de muertes]]&gt;0.35,Tabla1[[#This Row],[Porcentaje de muertes]]&lt;0.65),"MEDIO",Tabla1[[#This Row],[Porcentaje de muertes]]&gt;0.65,"GRAVE")</f>
        <v>GRAVE</v>
      </c>
    </row>
    <row r="675" spans="2:24" x14ac:dyDescent="0.3">
      <c r="B675" s="9">
        <v>673</v>
      </c>
      <c r="C675" s="49">
        <v>15792</v>
      </c>
      <c r="D675" s="9">
        <f>YEAR(Tabla1[[#This Row],[Date]])</f>
        <v>1943</v>
      </c>
      <c r="E675" s="9" t="str" cm="1">
        <f t="array" ref="E675">IFERROR(_xlfn.IFS(AND(D675&lt;1980,D675&gt;=1970),"70",AND(D675&lt;1990,D675&gt;=1980),"80",AND(D675&lt;2000,D675&gt;=1990),"90",AND(D675&lt;2010,D675&gt;=2000),"00",AND(D675&lt;=2019,D675&gt;=2010),"10"),"1908-1970")</f>
        <v>1908-1970</v>
      </c>
      <c r="F675" s="3">
        <v>0.21875</v>
      </c>
      <c r="G675" t="s">
        <v>7932</v>
      </c>
      <c r="H675" t="s">
        <v>5195</v>
      </c>
      <c r="I675" t="s">
        <v>28931</v>
      </c>
      <c r="J675" t="s">
        <v>7933</v>
      </c>
      <c r="K675" t="s">
        <v>7934</v>
      </c>
      <c r="L675" s="7" t="s">
        <v>7935</v>
      </c>
      <c r="M675">
        <v>6149</v>
      </c>
      <c r="N675">
        <v>24</v>
      </c>
      <c r="O675">
        <v>20</v>
      </c>
      <c r="P675">
        <v>4</v>
      </c>
      <c r="Q675">
        <v>24</v>
      </c>
      <c r="R675">
        <v>20</v>
      </c>
      <c r="S675">
        <v>4</v>
      </c>
      <c r="T675">
        <v>0</v>
      </c>
      <c r="U675" t="s">
        <v>7936</v>
      </c>
      <c r="V675">
        <f>Tabla1[[#This Row],[Aboard]]-Tabla1[[#This Row],[Fatalities]]</f>
        <v>0</v>
      </c>
      <c r="W675" s="50">
        <f>IFERROR(Tabla1[[#This Row],[Fatalities]]/Tabla1[[#This Row],[Aboard]],0)</f>
        <v>1</v>
      </c>
      <c r="X675" s="51" t="str" cm="1">
        <f t="array" ref="X675">_xlfn.IFS(Tabla1[[#This Row],[Porcentaje de muertes]]&lt;0.35,"LEVE",AND(Tabla1[[#This Row],[Porcentaje de muertes]]&gt;0.35,Tabla1[[#This Row],[Porcentaje de muertes]]&lt;0.65),"MEDIO",Tabla1[[#This Row],[Porcentaje de muertes]]&gt;0.65,"GRAVE")</f>
        <v>GRAVE</v>
      </c>
    </row>
    <row r="676" spans="2:24" x14ac:dyDescent="0.3">
      <c r="B676" s="9">
        <v>674</v>
      </c>
      <c r="C676" s="49">
        <v>15800</v>
      </c>
      <c r="D676" s="9">
        <f>YEAR(Tabla1[[#This Row],[Date]])</f>
        <v>1943</v>
      </c>
      <c r="E676" s="9" t="str" cm="1">
        <f t="array" ref="E676">IFERROR(_xlfn.IFS(AND(D676&lt;1980,D676&gt;=1970),"70",AND(D676&lt;1990,D676&gt;=1980),"80",AND(D676&lt;2000,D676&gt;=1990),"90",AND(D676&lt;2010,D676&gt;=2000),"00",AND(D676&lt;=2019,D676&gt;=2010),"10"),"1908-1970")</f>
        <v>1908-1970</v>
      </c>
      <c r="F676" s="3">
        <v>6.9444444444444434E-2</v>
      </c>
      <c r="G676" t="s">
        <v>7468</v>
      </c>
      <c r="H676" t="s">
        <v>7521</v>
      </c>
      <c r="I676" t="s">
        <v>28931</v>
      </c>
      <c r="J676" t="s">
        <v>7937</v>
      </c>
      <c r="K676" t="s">
        <v>7938</v>
      </c>
      <c r="L676" s="7" t="s">
        <v>7939</v>
      </c>
      <c r="M676">
        <v>2085</v>
      </c>
      <c r="N676">
        <v>7</v>
      </c>
      <c r="O676">
        <v>4</v>
      </c>
      <c r="P676">
        <v>3</v>
      </c>
      <c r="Q676">
        <v>7</v>
      </c>
      <c r="R676">
        <v>4</v>
      </c>
      <c r="S676">
        <v>3</v>
      </c>
      <c r="T676">
        <v>0</v>
      </c>
      <c r="U676" t="s">
        <v>7940</v>
      </c>
      <c r="V676">
        <f>Tabla1[[#This Row],[Aboard]]-Tabla1[[#This Row],[Fatalities]]</f>
        <v>0</v>
      </c>
      <c r="W676" s="50">
        <f>IFERROR(Tabla1[[#This Row],[Fatalities]]/Tabla1[[#This Row],[Aboard]],0)</f>
        <v>1</v>
      </c>
      <c r="X676" s="51" t="str" cm="1">
        <f t="array" ref="X676">_xlfn.IFS(Tabla1[[#This Row],[Porcentaje de muertes]]&lt;0.35,"LEVE",AND(Tabla1[[#This Row],[Porcentaje de muertes]]&gt;0.35,Tabla1[[#This Row],[Porcentaje de muertes]]&lt;0.65),"MEDIO",Tabla1[[#This Row],[Porcentaje de muertes]]&gt;0.65,"GRAVE")</f>
        <v>GRAVE</v>
      </c>
    </row>
    <row r="677" spans="2:24" x14ac:dyDescent="0.3">
      <c r="B677" s="9">
        <v>675</v>
      </c>
      <c r="C677" s="49">
        <v>15818</v>
      </c>
      <c r="D677" s="9">
        <f>YEAR(Tabla1[[#This Row],[Date]])</f>
        <v>1943</v>
      </c>
      <c r="E677" s="9" t="str" cm="1">
        <f t="array" ref="E677">IFERROR(_xlfn.IFS(AND(D677&lt;1980,D677&gt;=1970),"70",AND(D677&lt;1990,D677&gt;=1980),"80",AND(D677&lt;2000,D677&gt;=1990),"90",AND(D677&lt;2010,D677&gt;=2000),"00",AND(D677&lt;=2019,D677&gt;=2010),"10"),"1908-1970")</f>
        <v>1908-1970</v>
      </c>
      <c r="F677" s="3">
        <v>0.83333333333333337</v>
      </c>
      <c r="G677" t="s">
        <v>7941</v>
      </c>
      <c r="H677" t="s">
        <v>5459</v>
      </c>
      <c r="I677" t="s">
        <v>28931</v>
      </c>
      <c r="J677" t="s">
        <v>7942</v>
      </c>
      <c r="K677" t="s">
        <v>7943</v>
      </c>
      <c r="L677" s="7" t="s">
        <v>7944</v>
      </c>
      <c r="M677" t="s">
        <v>7945</v>
      </c>
      <c r="N677">
        <v>31</v>
      </c>
      <c r="O677">
        <v>27</v>
      </c>
      <c r="P677">
        <v>4</v>
      </c>
      <c r="Q677">
        <v>13</v>
      </c>
      <c r="R677">
        <v>11</v>
      </c>
      <c r="S677">
        <v>2</v>
      </c>
      <c r="T677">
        <v>0</v>
      </c>
      <c r="U677" t="s">
        <v>7946</v>
      </c>
      <c r="V677">
        <f>Tabla1[[#This Row],[Aboard]]-Tabla1[[#This Row],[Fatalities]]</f>
        <v>18</v>
      </c>
      <c r="W677" s="50">
        <f>IFERROR(Tabla1[[#This Row],[Fatalities]]/Tabla1[[#This Row],[Aboard]],0)</f>
        <v>0.41935483870967744</v>
      </c>
      <c r="X677" s="51" t="str" cm="1">
        <f t="array" ref="X677">_xlfn.IFS(Tabla1[[#This Row],[Porcentaje de muertes]]&lt;0.35,"LEVE",AND(Tabla1[[#This Row],[Porcentaje de muertes]]&gt;0.35,Tabla1[[#This Row],[Porcentaje de muertes]]&lt;0.65),"MEDIO",Tabla1[[#This Row],[Porcentaje de muertes]]&gt;0.65,"GRAVE")</f>
        <v>MEDIO</v>
      </c>
    </row>
    <row r="678" spans="2:24" x14ac:dyDescent="0.3">
      <c r="B678" s="9">
        <v>676</v>
      </c>
      <c r="C678" s="49">
        <v>15712</v>
      </c>
      <c r="D678" s="9">
        <f>YEAR(Tabla1[[#This Row],[Date]])</f>
        <v>1943</v>
      </c>
      <c r="E678" s="9" t="str" cm="1">
        <f t="array" ref="E678">IFERROR(_xlfn.IFS(AND(D678&lt;1980,D678&gt;=1970),"70",AND(D678&lt;1990,D678&gt;=1980),"80",AND(D678&lt;2000,D678&gt;=1990),"90",AND(D678&lt;2010,D678&gt;=2000),"00",AND(D678&lt;=2019,D678&gt;=2010),"10"),"1908-1970")</f>
        <v>1908-1970</v>
      </c>
      <c r="F678" s="3">
        <v>0.45833333333333331</v>
      </c>
      <c r="G678" t="s">
        <v>7947</v>
      </c>
      <c r="H678" t="s">
        <v>7521</v>
      </c>
      <c r="I678">
        <v>777</v>
      </c>
      <c r="J678" t="s">
        <v>7948</v>
      </c>
      <c r="K678" t="s">
        <v>7057</v>
      </c>
      <c r="L678" s="7" t="s">
        <v>7949</v>
      </c>
      <c r="M678">
        <v>1590</v>
      </c>
      <c r="N678">
        <v>17</v>
      </c>
      <c r="O678">
        <v>13</v>
      </c>
      <c r="P678">
        <v>4</v>
      </c>
      <c r="Q678">
        <v>17</v>
      </c>
      <c r="R678">
        <v>13</v>
      </c>
      <c r="S678">
        <v>4</v>
      </c>
      <c r="T678">
        <v>0</v>
      </c>
      <c r="U678" t="s">
        <v>7950</v>
      </c>
      <c r="V678">
        <f>Tabla1[[#This Row],[Aboard]]-Tabla1[[#This Row],[Fatalities]]</f>
        <v>0</v>
      </c>
      <c r="W678" s="50">
        <f>IFERROR(Tabla1[[#This Row],[Fatalities]]/Tabla1[[#This Row],[Aboard]],0)</f>
        <v>1</v>
      </c>
      <c r="X678" s="51" t="str" cm="1">
        <f t="array" ref="X678">_xlfn.IFS(Tabla1[[#This Row],[Porcentaje de muertes]]&lt;0.35,"LEVE",AND(Tabla1[[#This Row],[Porcentaje de muertes]]&gt;0.35,Tabla1[[#This Row],[Porcentaje de muertes]]&lt;0.65),"MEDIO",Tabla1[[#This Row],[Porcentaje de muertes]]&gt;0.65,"GRAVE")</f>
        <v>GRAVE</v>
      </c>
    </row>
    <row r="679" spans="2:24" x14ac:dyDescent="0.3">
      <c r="B679" s="9">
        <v>677</v>
      </c>
      <c r="C679" s="49">
        <v>15893</v>
      </c>
      <c r="D679" s="9">
        <f>YEAR(Tabla1[[#This Row],[Date]])</f>
        <v>1943</v>
      </c>
      <c r="E679" s="9" t="str" cm="1">
        <f t="array" ref="E679">IFERROR(_xlfn.IFS(AND(D679&lt;1980,D679&gt;=1970),"70",AND(D679&lt;1990,D679&gt;=1980),"80",AND(D679&lt;2000,D679&gt;=1990),"90",AND(D679&lt;2010,D679&gt;=2000),"00",AND(D679&lt;=2019,D679&gt;=2010),"10"),"1908-1970")</f>
        <v>1908-1970</v>
      </c>
      <c r="F679" s="3">
        <v>0.16666666666666666</v>
      </c>
      <c r="G679" t="s">
        <v>7951</v>
      </c>
      <c r="H679" t="s">
        <v>7782</v>
      </c>
      <c r="I679" t="s">
        <v>28931</v>
      </c>
      <c r="J679" t="s">
        <v>7952</v>
      </c>
      <c r="K679" t="s">
        <v>7953</v>
      </c>
      <c r="L679" s="7" t="s">
        <v>7954</v>
      </c>
      <c r="M679">
        <v>9374</v>
      </c>
      <c r="N679">
        <v>20</v>
      </c>
      <c r="O679">
        <v>16</v>
      </c>
      <c r="P679">
        <v>4</v>
      </c>
      <c r="Q679">
        <v>20</v>
      </c>
      <c r="R679">
        <v>16</v>
      </c>
      <c r="S679">
        <v>4</v>
      </c>
      <c r="T679">
        <v>0</v>
      </c>
      <c r="U679" t="s">
        <v>7955</v>
      </c>
      <c r="V679">
        <f>Tabla1[[#This Row],[Aboard]]-Tabla1[[#This Row],[Fatalities]]</f>
        <v>0</v>
      </c>
      <c r="W679" s="50">
        <f>IFERROR(Tabla1[[#This Row],[Fatalities]]/Tabla1[[#This Row],[Aboard]],0)</f>
        <v>1</v>
      </c>
      <c r="X679" s="51" t="str" cm="1">
        <f t="array" ref="X679">_xlfn.IFS(Tabla1[[#This Row],[Porcentaje de muertes]]&lt;0.35,"LEVE",AND(Tabla1[[#This Row],[Porcentaje de muertes]]&gt;0.35,Tabla1[[#This Row],[Porcentaje de muertes]]&lt;0.65),"MEDIO",Tabla1[[#This Row],[Porcentaje de muertes]]&gt;0.65,"GRAVE")</f>
        <v>GRAVE</v>
      </c>
    </row>
    <row r="680" spans="2:24" x14ac:dyDescent="0.3">
      <c r="B680" s="9">
        <v>678</v>
      </c>
      <c r="C680" s="49">
        <v>15924</v>
      </c>
      <c r="D680" s="9">
        <f>YEAR(Tabla1[[#This Row],[Date]])</f>
        <v>1943</v>
      </c>
      <c r="E680" s="9" t="str" cm="1">
        <f t="array" ref="E680">IFERROR(_xlfn.IFS(AND(D680&lt;1980,D680&gt;=1970),"70",AND(D680&lt;1990,D680&gt;=1980),"80",AND(D680&lt;2000,D680&gt;=1990),"90",AND(D680&lt;2010,D680&gt;=2000),"00",AND(D680&lt;=2019,D680&gt;=2010),"10"),"1908-1970")</f>
        <v>1908-1970</v>
      </c>
      <c r="F680" s="3">
        <v>3.8194444444444441E-2</v>
      </c>
      <c r="G680" t="s">
        <v>7956</v>
      </c>
      <c r="H680" t="s">
        <v>7957</v>
      </c>
      <c r="I680" t="s">
        <v>28931</v>
      </c>
      <c r="J680" t="s">
        <v>7958</v>
      </c>
      <c r="K680" t="s">
        <v>7959</v>
      </c>
      <c r="L680" s="7">
        <v>12406</v>
      </c>
      <c r="M680">
        <v>9178</v>
      </c>
      <c r="N680">
        <v>23</v>
      </c>
      <c r="O680">
        <v>3</v>
      </c>
      <c r="P680">
        <v>20</v>
      </c>
      <c r="Q680">
        <v>23</v>
      </c>
      <c r="R680">
        <v>3</v>
      </c>
      <c r="S680">
        <v>20</v>
      </c>
      <c r="T680">
        <v>0</v>
      </c>
      <c r="U680" t="s">
        <v>7960</v>
      </c>
      <c r="V680">
        <f>Tabla1[[#This Row],[Aboard]]-Tabla1[[#This Row],[Fatalities]]</f>
        <v>0</v>
      </c>
      <c r="W680" s="50">
        <f>IFERROR(Tabla1[[#This Row],[Fatalities]]/Tabla1[[#This Row],[Aboard]],0)</f>
        <v>1</v>
      </c>
      <c r="X680" s="51" t="str" cm="1">
        <f t="array" ref="X680">_xlfn.IFS(Tabla1[[#This Row],[Porcentaje de muertes]]&lt;0.35,"LEVE",AND(Tabla1[[#This Row],[Porcentaje de muertes]]&gt;0.35,Tabla1[[#This Row],[Porcentaje de muertes]]&lt;0.65),"MEDIO",Tabla1[[#This Row],[Porcentaje de muertes]]&gt;0.65,"GRAVE")</f>
        <v>GRAVE</v>
      </c>
    </row>
    <row r="681" spans="2:24" x14ac:dyDescent="0.3">
      <c r="B681" s="9">
        <v>679</v>
      </c>
      <c r="C681" s="49">
        <v>15871</v>
      </c>
      <c r="D681" s="9">
        <f>YEAR(Tabla1[[#This Row],[Date]])</f>
        <v>1943</v>
      </c>
      <c r="E681" s="9" t="str" cm="1">
        <f t="array" ref="E681">IFERROR(_xlfn.IFS(AND(D681&lt;1980,D681&gt;=1970),"70",AND(D681&lt;1990,D681&gt;=1980),"80",AND(D681&lt;2000,D681&gt;=1990),"90",AND(D681&lt;2010,D681&gt;=2000),"00",AND(D681&lt;=2019,D681&gt;=2010),"10"),"1908-1970")</f>
        <v>1908-1970</v>
      </c>
      <c r="F681" s="3">
        <v>0.25</v>
      </c>
      <c r="G681" t="s">
        <v>7961</v>
      </c>
      <c r="H681" t="s">
        <v>7782</v>
      </c>
      <c r="I681" t="s">
        <v>28931</v>
      </c>
      <c r="J681" t="s">
        <v>7962</v>
      </c>
      <c r="K681" t="s">
        <v>7963</v>
      </c>
      <c r="L681" s="7">
        <v>12406</v>
      </c>
      <c r="M681">
        <v>2072</v>
      </c>
      <c r="N681">
        <v>41</v>
      </c>
      <c r="O681">
        <v>35</v>
      </c>
      <c r="P681">
        <v>6</v>
      </c>
      <c r="Q681">
        <v>40</v>
      </c>
      <c r="R681">
        <v>34</v>
      </c>
      <c r="S681">
        <v>6</v>
      </c>
      <c r="T681">
        <v>0</v>
      </c>
      <c r="U681" t="s">
        <v>7964</v>
      </c>
      <c r="V681">
        <f>Tabla1[[#This Row],[Aboard]]-Tabla1[[#This Row],[Fatalities]]</f>
        <v>1</v>
      </c>
      <c r="W681" s="50">
        <f>IFERROR(Tabla1[[#This Row],[Fatalities]]/Tabla1[[#This Row],[Aboard]],0)</f>
        <v>0.97560975609756095</v>
      </c>
      <c r="X681" s="51" t="str" cm="1">
        <f t="array" ref="X681">_xlfn.IFS(Tabla1[[#This Row],[Porcentaje de muertes]]&lt;0.35,"LEVE",AND(Tabla1[[#This Row],[Porcentaje de muertes]]&gt;0.35,Tabla1[[#This Row],[Porcentaje de muertes]]&lt;0.65),"MEDIO",Tabla1[[#This Row],[Porcentaje de muertes]]&gt;0.65,"GRAVE")</f>
        <v>GRAVE</v>
      </c>
    </row>
    <row r="682" spans="2:24" x14ac:dyDescent="0.3">
      <c r="B682" s="9">
        <v>680</v>
      </c>
      <c r="C682" s="49">
        <v>15873</v>
      </c>
      <c r="D682" s="9">
        <f>YEAR(Tabla1[[#This Row],[Date]])</f>
        <v>1943</v>
      </c>
      <c r="E682" s="9" t="str" cm="1">
        <f t="array" ref="E682">IFERROR(_xlfn.IFS(AND(D682&lt;1980,D682&gt;=1970),"70",AND(D682&lt;1990,D682&gt;=1980),"80",AND(D682&lt;2000,D682&gt;=1990),"90",AND(D682&lt;2010,D682&gt;=2000),"00",AND(D682&lt;=2019,D682&gt;=2010),"10"),"1908-1970")</f>
        <v>1908-1970</v>
      </c>
      <c r="F682" s="3" t="s">
        <v>28931</v>
      </c>
      <c r="G682" t="s">
        <v>7965</v>
      </c>
      <c r="H682" t="s">
        <v>7521</v>
      </c>
      <c r="I682" t="s">
        <v>28931</v>
      </c>
      <c r="J682" t="s">
        <v>28931</v>
      </c>
      <c r="K682" t="s">
        <v>7966</v>
      </c>
      <c r="L682" s="7" t="s">
        <v>7967</v>
      </c>
      <c r="M682" t="s">
        <v>28931</v>
      </c>
      <c r="N682">
        <v>17</v>
      </c>
      <c r="O682" t="s">
        <v>5038</v>
      </c>
      <c r="P682" t="s">
        <v>5038</v>
      </c>
      <c r="Q682">
        <v>17</v>
      </c>
      <c r="R682" t="s">
        <v>5038</v>
      </c>
      <c r="S682" t="s">
        <v>5038</v>
      </c>
      <c r="T682">
        <v>0</v>
      </c>
      <c r="U682" t="s">
        <v>28927</v>
      </c>
      <c r="V682">
        <f>Tabla1[[#This Row],[Aboard]]-Tabla1[[#This Row],[Fatalities]]</f>
        <v>0</v>
      </c>
      <c r="W682" s="50">
        <f>IFERROR(Tabla1[[#This Row],[Fatalities]]/Tabla1[[#This Row],[Aboard]],0)</f>
        <v>1</v>
      </c>
      <c r="X682" s="51" t="str" cm="1">
        <f t="array" ref="X682">_xlfn.IFS(Tabla1[[#This Row],[Porcentaje de muertes]]&lt;0.35,"LEVE",AND(Tabla1[[#This Row],[Porcentaje de muertes]]&gt;0.35,Tabla1[[#This Row],[Porcentaje de muertes]]&lt;0.65),"MEDIO",Tabla1[[#This Row],[Porcentaje de muertes]]&gt;0.65,"GRAVE")</f>
        <v>GRAVE</v>
      </c>
    </row>
    <row r="683" spans="2:24" x14ac:dyDescent="0.3">
      <c r="B683" s="9">
        <v>681</v>
      </c>
      <c r="C683" s="49">
        <v>15887</v>
      </c>
      <c r="D683" s="9">
        <f>YEAR(Tabla1[[#This Row],[Date]])</f>
        <v>1943</v>
      </c>
      <c r="E683" s="9" t="str" cm="1">
        <f t="array" ref="E683">IFERROR(_xlfn.IFS(AND(D683&lt;1980,D683&gt;=1970),"70",AND(D683&lt;1990,D683&gt;=1980),"80",AND(D683&lt;2000,D683&gt;=1990),"90",AND(D683&lt;2010,D683&gt;=2000),"00",AND(D683&lt;=2019,D683&gt;=2010),"10"),"1908-1970")</f>
        <v>1908-1970</v>
      </c>
      <c r="F683" s="3" t="s">
        <v>28931</v>
      </c>
      <c r="G683" t="s">
        <v>7965</v>
      </c>
      <c r="H683" t="s">
        <v>7521</v>
      </c>
      <c r="I683" t="s">
        <v>28931</v>
      </c>
      <c r="J683" t="s">
        <v>28931</v>
      </c>
      <c r="K683" t="s">
        <v>7966</v>
      </c>
      <c r="L683" s="7" t="s">
        <v>7968</v>
      </c>
      <c r="M683" t="s">
        <v>28931</v>
      </c>
      <c r="N683">
        <v>16</v>
      </c>
      <c r="O683" t="s">
        <v>5038</v>
      </c>
      <c r="P683" t="s">
        <v>5038</v>
      </c>
      <c r="Q683">
        <v>16</v>
      </c>
      <c r="R683" t="s">
        <v>5038</v>
      </c>
      <c r="S683" t="s">
        <v>5038</v>
      </c>
      <c r="T683">
        <v>0</v>
      </c>
      <c r="U683" t="s">
        <v>28927</v>
      </c>
      <c r="V683">
        <f>Tabla1[[#This Row],[Aboard]]-Tabla1[[#This Row],[Fatalities]]</f>
        <v>0</v>
      </c>
      <c r="W683" s="50">
        <f>IFERROR(Tabla1[[#This Row],[Fatalities]]/Tabla1[[#This Row],[Aboard]],0)</f>
        <v>1</v>
      </c>
      <c r="X683" s="51" t="str" cm="1">
        <f t="array" ref="X683">_xlfn.IFS(Tabla1[[#This Row],[Porcentaje de muertes]]&lt;0.35,"LEVE",AND(Tabla1[[#This Row],[Porcentaje de muertes]]&gt;0.35,Tabla1[[#This Row],[Porcentaje de muertes]]&lt;0.65),"MEDIO",Tabla1[[#This Row],[Porcentaje de muertes]]&gt;0.65,"GRAVE")</f>
        <v>GRAVE</v>
      </c>
    </row>
    <row r="684" spans="2:24" x14ac:dyDescent="0.3">
      <c r="B684" s="9">
        <v>682</v>
      </c>
      <c r="C684" s="49">
        <v>15803</v>
      </c>
      <c r="D684" s="9">
        <f>YEAR(Tabla1[[#This Row],[Date]])</f>
        <v>1943</v>
      </c>
      <c r="E684" s="9" t="str" cm="1">
        <f t="array" ref="E684">IFERROR(_xlfn.IFS(AND(D684&lt;1980,D684&gt;=1970),"70",AND(D684&lt;1990,D684&gt;=1980),"80",AND(D684&lt;2000,D684&gt;=1990),"90",AND(D684&lt;2010,D684&gt;=2000),"00",AND(D684&lt;=2019,D684&gt;=2010),"10"),"1908-1970")</f>
        <v>1908-1970</v>
      </c>
      <c r="F684" s="3">
        <v>0.95833333333333337</v>
      </c>
      <c r="G684" t="s">
        <v>7969</v>
      </c>
      <c r="H684" t="s">
        <v>28931</v>
      </c>
      <c r="I684" t="s">
        <v>28931</v>
      </c>
      <c r="J684" t="s">
        <v>28931</v>
      </c>
      <c r="K684" t="s">
        <v>7970</v>
      </c>
      <c r="L684" s="7" t="s">
        <v>7971</v>
      </c>
      <c r="M684" t="s">
        <v>28931</v>
      </c>
      <c r="N684">
        <v>13</v>
      </c>
      <c r="O684" t="s">
        <v>5038</v>
      </c>
      <c r="P684" t="s">
        <v>5038</v>
      </c>
      <c r="Q684">
        <v>12</v>
      </c>
      <c r="R684" t="s">
        <v>5038</v>
      </c>
      <c r="S684" t="s">
        <v>5038</v>
      </c>
      <c r="T684">
        <v>0</v>
      </c>
      <c r="U684" t="s">
        <v>7972</v>
      </c>
      <c r="V684">
        <f>Tabla1[[#This Row],[Aboard]]-Tabla1[[#This Row],[Fatalities]]</f>
        <v>1</v>
      </c>
      <c r="W684" s="50">
        <f>IFERROR(Tabla1[[#This Row],[Fatalities]]/Tabla1[[#This Row],[Aboard]],0)</f>
        <v>0.92307692307692313</v>
      </c>
      <c r="X684" s="51" t="str" cm="1">
        <f t="array" ref="X684">_xlfn.IFS(Tabla1[[#This Row],[Porcentaje de muertes]]&lt;0.35,"LEVE",AND(Tabla1[[#This Row],[Porcentaje de muertes]]&gt;0.35,Tabla1[[#This Row],[Porcentaje de muertes]]&lt;0.65),"MEDIO",Tabla1[[#This Row],[Porcentaje de muertes]]&gt;0.65,"GRAVE")</f>
        <v>GRAVE</v>
      </c>
    </row>
    <row r="685" spans="2:24" x14ac:dyDescent="0.3">
      <c r="B685" s="9">
        <v>683</v>
      </c>
      <c r="C685" s="49">
        <v>15915</v>
      </c>
      <c r="D685" s="9">
        <f>YEAR(Tabla1[[#This Row],[Date]])</f>
        <v>1943</v>
      </c>
      <c r="E685" s="9" t="str" cm="1">
        <f t="array" ref="E685">IFERROR(_xlfn.IFS(AND(D685&lt;1980,D685&gt;=1970),"70",AND(D685&lt;1990,D685&gt;=1980),"80",AND(D685&lt;2000,D685&gt;=1990),"90",AND(D685&lt;2010,D685&gt;=2000),"00",AND(D685&lt;=2019,D685&gt;=2010),"10"),"1908-1970")</f>
        <v>1908-1970</v>
      </c>
      <c r="F685" s="3">
        <v>0.22222222222222221</v>
      </c>
      <c r="G685" t="s">
        <v>7973</v>
      </c>
      <c r="H685" t="s">
        <v>7521</v>
      </c>
      <c r="I685" t="s">
        <v>28931</v>
      </c>
      <c r="J685" t="s">
        <v>7974</v>
      </c>
      <c r="K685" t="s">
        <v>7975</v>
      </c>
      <c r="L685" s="7" t="s">
        <v>7976</v>
      </c>
      <c r="M685" t="s">
        <v>28931</v>
      </c>
      <c r="N685">
        <v>25</v>
      </c>
      <c r="O685">
        <v>18</v>
      </c>
      <c r="P685">
        <v>7</v>
      </c>
      <c r="Q685">
        <v>10</v>
      </c>
      <c r="R685">
        <v>9</v>
      </c>
      <c r="S685">
        <v>1</v>
      </c>
      <c r="T685">
        <v>0</v>
      </c>
      <c r="U685" t="s">
        <v>7977</v>
      </c>
      <c r="V685">
        <f>Tabla1[[#This Row],[Aboard]]-Tabla1[[#This Row],[Fatalities]]</f>
        <v>15</v>
      </c>
      <c r="W685" s="50">
        <f>IFERROR(Tabla1[[#This Row],[Fatalities]]/Tabla1[[#This Row],[Aboard]],0)</f>
        <v>0.4</v>
      </c>
      <c r="X685" s="51" t="str" cm="1">
        <f t="array" ref="X685">_xlfn.IFS(Tabla1[[#This Row],[Porcentaje de muertes]]&lt;0.35,"LEVE",AND(Tabla1[[#This Row],[Porcentaje de muertes]]&gt;0.35,Tabla1[[#This Row],[Porcentaje de muertes]]&lt;0.65),"MEDIO",Tabla1[[#This Row],[Porcentaje de muertes]]&gt;0.65,"GRAVE")</f>
        <v>MEDIO</v>
      </c>
    </row>
    <row r="686" spans="2:24" x14ac:dyDescent="0.3">
      <c r="B686" s="9">
        <v>684</v>
      </c>
      <c r="C686" s="49">
        <v>15915</v>
      </c>
      <c r="D686" s="9">
        <f>YEAR(Tabla1[[#This Row],[Date]])</f>
        <v>1943</v>
      </c>
      <c r="E686" s="9" t="str" cm="1">
        <f t="array" ref="E686">IFERROR(_xlfn.IFS(AND(D686&lt;1980,D686&gt;=1970),"70",AND(D686&lt;1990,D686&gt;=1980),"80",AND(D686&lt;2000,D686&gt;=1990),"90",AND(D686&lt;2010,D686&gt;=2000),"00",AND(D686&lt;=2019,D686&gt;=2010),"10"),"1908-1970")</f>
        <v>1908-1970</v>
      </c>
      <c r="F686" s="3">
        <v>0.94652777777777775</v>
      </c>
      <c r="G686" t="s">
        <v>7978</v>
      </c>
      <c r="H686" t="s">
        <v>6536</v>
      </c>
      <c r="I686">
        <v>63</v>
      </c>
      <c r="J686" t="s">
        <v>7979</v>
      </c>
      <c r="K686" t="s">
        <v>7057</v>
      </c>
      <c r="L686" s="7" t="s">
        <v>7980</v>
      </c>
      <c r="M686">
        <v>1552</v>
      </c>
      <c r="N686">
        <v>22</v>
      </c>
      <c r="O686">
        <v>18</v>
      </c>
      <c r="P686">
        <v>4</v>
      </c>
      <c r="Q686">
        <v>20</v>
      </c>
      <c r="R686">
        <v>16</v>
      </c>
      <c r="S686">
        <v>4</v>
      </c>
      <c r="T686">
        <v>0</v>
      </c>
      <c r="U686" t="s">
        <v>7981</v>
      </c>
      <c r="V686">
        <f>Tabla1[[#This Row],[Aboard]]-Tabla1[[#This Row],[Fatalities]]</f>
        <v>2</v>
      </c>
      <c r="W686" s="50">
        <f>IFERROR(Tabla1[[#This Row],[Fatalities]]/Tabla1[[#This Row],[Aboard]],0)</f>
        <v>0.90909090909090906</v>
      </c>
      <c r="X686" s="51" t="str" cm="1">
        <f t="array" ref="X686">_xlfn.IFS(Tabla1[[#This Row],[Porcentaje de muertes]]&lt;0.35,"LEVE",AND(Tabla1[[#This Row],[Porcentaje de muertes]]&gt;0.35,Tabla1[[#This Row],[Porcentaje de muertes]]&lt;0.65),"MEDIO",Tabla1[[#This Row],[Porcentaje de muertes]]&gt;0.65,"GRAVE")</f>
        <v>GRAVE</v>
      </c>
    </row>
    <row r="687" spans="2:24" x14ac:dyDescent="0.3">
      <c r="B687" s="9">
        <v>685</v>
      </c>
      <c r="C687" s="49">
        <v>15714</v>
      </c>
      <c r="D687" s="9">
        <f>YEAR(Tabla1[[#This Row],[Date]])</f>
        <v>1943</v>
      </c>
      <c r="E687" s="9" t="str" cm="1">
        <f t="array" ref="E687">IFERROR(_xlfn.IFS(AND(D687&lt;1980,D687&gt;=1970),"70",AND(D687&lt;1990,D687&gt;=1980),"80",AND(D687&lt;2000,D687&gt;=1990),"90",AND(D687&lt;2010,D687&gt;=2000),"00",AND(D687&lt;=2019,D687&gt;=2010),"10"),"1908-1970")</f>
        <v>1908-1970</v>
      </c>
      <c r="F687" s="3">
        <v>0.625</v>
      </c>
      <c r="G687" t="s">
        <v>7982</v>
      </c>
      <c r="H687" t="s">
        <v>7782</v>
      </c>
      <c r="I687" t="s">
        <v>28931</v>
      </c>
      <c r="J687" t="s">
        <v>7983</v>
      </c>
      <c r="K687" t="s">
        <v>7984</v>
      </c>
      <c r="L687" s="7" t="s">
        <v>28931</v>
      </c>
      <c r="M687" t="s">
        <v>28931</v>
      </c>
      <c r="N687">
        <v>10</v>
      </c>
      <c r="O687">
        <v>0</v>
      </c>
      <c r="P687">
        <v>10</v>
      </c>
      <c r="Q687">
        <v>10</v>
      </c>
      <c r="R687">
        <v>0</v>
      </c>
      <c r="S687">
        <v>10</v>
      </c>
      <c r="T687">
        <v>63</v>
      </c>
      <c r="U687" t="s">
        <v>7985</v>
      </c>
      <c r="V687">
        <f>Tabla1[[#This Row],[Aboard]]-Tabla1[[#This Row],[Fatalities]]</f>
        <v>0</v>
      </c>
      <c r="W687" s="50">
        <f>IFERROR(Tabla1[[#This Row],[Fatalities]]/Tabla1[[#This Row],[Aboard]],0)</f>
        <v>1</v>
      </c>
      <c r="X687" s="51" t="str" cm="1">
        <f t="array" ref="X687">_xlfn.IFS(Tabla1[[#This Row],[Porcentaje de muertes]]&lt;0.35,"LEVE",AND(Tabla1[[#This Row],[Porcentaje de muertes]]&gt;0.35,Tabla1[[#This Row],[Porcentaje de muertes]]&lt;0.65),"MEDIO",Tabla1[[#This Row],[Porcentaje de muertes]]&gt;0.65,"GRAVE")</f>
        <v>GRAVE</v>
      </c>
    </row>
    <row r="688" spans="2:24" x14ac:dyDescent="0.3">
      <c r="B688" s="9">
        <v>686</v>
      </c>
      <c r="C688" s="49">
        <v>15895</v>
      </c>
      <c r="D688" s="9">
        <f>YEAR(Tabla1[[#This Row],[Date]])</f>
        <v>1943</v>
      </c>
      <c r="E688" s="9" t="str" cm="1">
        <f t="array" ref="E688">IFERROR(_xlfn.IFS(AND(D688&lt;1980,D688&gt;=1970),"70",AND(D688&lt;1990,D688&gt;=1980),"80",AND(D688&lt;2000,D688&gt;=1990),"90",AND(D688&lt;2010,D688&gt;=2000),"00",AND(D688&lt;=2019,D688&gt;=2010),"10"),"1908-1970")</f>
        <v>1908-1970</v>
      </c>
      <c r="F688" s="3">
        <v>0.22222222222222221</v>
      </c>
      <c r="G688" t="s">
        <v>7986</v>
      </c>
      <c r="H688" t="s">
        <v>7987</v>
      </c>
      <c r="I688" t="s">
        <v>28931</v>
      </c>
      <c r="J688" t="s">
        <v>7988</v>
      </c>
      <c r="K688" t="s">
        <v>7934</v>
      </c>
      <c r="L688" s="7" t="s">
        <v>7989</v>
      </c>
      <c r="M688">
        <v>4212</v>
      </c>
      <c r="N688">
        <v>27</v>
      </c>
      <c r="O688">
        <v>23</v>
      </c>
      <c r="P688">
        <v>4</v>
      </c>
      <c r="Q688">
        <v>27</v>
      </c>
      <c r="R688">
        <v>23</v>
      </c>
      <c r="S688">
        <v>4</v>
      </c>
      <c r="T688">
        <v>0</v>
      </c>
      <c r="U688" t="s">
        <v>7990</v>
      </c>
      <c r="V688">
        <f>Tabla1[[#This Row],[Aboard]]-Tabla1[[#This Row],[Fatalities]]</f>
        <v>0</v>
      </c>
      <c r="W688" s="50">
        <f>IFERROR(Tabla1[[#This Row],[Fatalities]]/Tabla1[[#This Row],[Aboard]],0)</f>
        <v>1</v>
      </c>
      <c r="X688" s="51" t="str" cm="1">
        <f t="array" ref="X688">_xlfn.IFS(Tabla1[[#This Row],[Porcentaje de muertes]]&lt;0.35,"LEVE",AND(Tabla1[[#This Row],[Porcentaje de muertes]]&gt;0.35,Tabla1[[#This Row],[Porcentaje de muertes]]&lt;0.65),"MEDIO",Tabla1[[#This Row],[Porcentaje de muertes]]&gt;0.65,"GRAVE")</f>
        <v>GRAVE</v>
      </c>
    </row>
    <row r="689" spans="2:24" x14ac:dyDescent="0.3">
      <c r="B689" s="9">
        <v>687</v>
      </c>
      <c r="C689" s="49">
        <v>16018</v>
      </c>
      <c r="D689" s="9">
        <f>YEAR(Tabla1[[#This Row],[Date]])</f>
        <v>1943</v>
      </c>
      <c r="E689" s="9" t="str" cm="1">
        <f t="array" ref="E689">IFERROR(_xlfn.IFS(AND(D689&lt;1980,D689&gt;=1970),"70",AND(D689&lt;1990,D689&gt;=1980),"80",AND(D689&lt;2000,D689&gt;=1990),"90",AND(D689&lt;2010,D689&gt;=2000),"00",AND(D689&lt;=2019,D689&gt;=2010),"10"),"1908-1970")</f>
        <v>1908-1970</v>
      </c>
      <c r="F689" s="3" t="s">
        <v>28931</v>
      </c>
      <c r="G689" t="s">
        <v>7991</v>
      </c>
      <c r="H689" t="s">
        <v>6010</v>
      </c>
      <c r="I689" t="s">
        <v>28931</v>
      </c>
      <c r="J689" t="s">
        <v>28931</v>
      </c>
      <c r="K689" t="s">
        <v>7927</v>
      </c>
      <c r="L689" s="7">
        <v>48</v>
      </c>
      <c r="M689" t="s">
        <v>28931</v>
      </c>
      <c r="N689">
        <v>3</v>
      </c>
      <c r="O689">
        <v>0</v>
      </c>
      <c r="P689">
        <v>3</v>
      </c>
      <c r="Q689">
        <v>3</v>
      </c>
      <c r="R689">
        <v>0</v>
      </c>
      <c r="S689">
        <v>3</v>
      </c>
      <c r="T689">
        <v>0</v>
      </c>
      <c r="U689" t="s">
        <v>7992</v>
      </c>
      <c r="V689">
        <f>Tabla1[[#This Row],[Aboard]]-Tabla1[[#This Row],[Fatalities]]</f>
        <v>0</v>
      </c>
      <c r="W689" s="50">
        <f>IFERROR(Tabla1[[#This Row],[Fatalities]]/Tabla1[[#This Row],[Aboard]],0)</f>
        <v>1</v>
      </c>
      <c r="X689" s="51" t="str" cm="1">
        <f t="array" ref="X689">_xlfn.IFS(Tabla1[[#This Row],[Porcentaje de muertes]]&lt;0.35,"LEVE",AND(Tabla1[[#This Row],[Porcentaje de muertes]]&gt;0.35,Tabla1[[#This Row],[Porcentaje de muertes]]&lt;0.65),"MEDIO",Tabla1[[#This Row],[Porcentaje de muertes]]&gt;0.65,"GRAVE")</f>
        <v>GRAVE</v>
      </c>
    </row>
    <row r="690" spans="2:24" x14ac:dyDescent="0.3">
      <c r="B690" s="9">
        <v>688</v>
      </c>
      <c r="C690" s="49">
        <v>15932</v>
      </c>
      <c r="D690" s="9">
        <f>YEAR(Tabla1[[#This Row],[Date]])</f>
        <v>1943</v>
      </c>
      <c r="E690" s="9" t="str" cm="1">
        <f t="array" ref="E690">IFERROR(_xlfn.IFS(AND(D690&lt;1980,D690&gt;=1970),"70",AND(D690&lt;1990,D690&gt;=1980),"80",AND(D690&lt;2000,D690&gt;=1990),"90",AND(D690&lt;2010,D690&gt;=2000),"00",AND(D690&lt;=2019,D690&gt;=2010),"10"),"1908-1970")</f>
        <v>1908-1970</v>
      </c>
      <c r="F690" s="3">
        <v>0.17500000000000002</v>
      </c>
      <c r="G690" t="s">
        <v>7993</v>
      </c>
      <c r="H690" t="s">
        <v>7603</v>
      </c>
      <c r="I690" t="s">
        <v>28931</v>
      </c>
      <c r="J690" t="s">
        <v>28931</v>
      </c>
      <c r="K690" t="s">
        <v>7600</v>
      </c>
      <c r="L690" s="7" t="s">
        <v>7994</v>
      </c>
      <c r="M690">
        <v>1</v>
      </c>
      <c r="N690">
        <v>17</v>
      </c>
      <c r="O690">
        <v>13</v>
      </c>
      <c r="P690">
        <v>4</v>
      </c>
      <c r="Q690">
        <v>17</v>
      </c>
      <c r="R690">
        <v>13</v>
      </c>
      <c r="S690">
        <v>4</v>
      </c>
      <c r="T690">
        <v>0</v>
      </c>
      <c r="U690" t="s">
        <v>7995</v>
      </c>
      <c r="V690">
        <f>Tabla1[[#This Row],[Aboard]]-Tabla1[[#This Row],[Fatalities]]</f>
        <v>0</v>
      </c>
      <c r="W690" s="50">
        <f>IFERROR(Tabla1[[#This Row],[Fatalities]]/Tabla1[[#This Row],[Aboard]],0)</f>
        <v>1</v>
      </c>
      <c r="X690" s="51" t="str" cm="1">
        <f t="array" ref="X690">_xlfn.IFS(Tabla1[[#This Row],[Porcentaje de muertes]]&lt;0.35,"LEVE",AND(Tabla1[[#This Row],[Porcentaje de muertes]]&gt;0.35,Tabla1[[#This Row],[Porcentaje de muertes]]&lt;0.65),"MEDIO",Tabla1[[#This Row],[Porcentaje de muertes]]&gt;0.65,"GRAVE")</f>
        <v>GRAVE</v>
      </c>
    </row>
    <row r="691" spans="2:24" x14ac:dyDescent="0.3">
      <c r="B691" s="9">
        <v>689</v>
      </c>
      <c r="C691" s="49">
        <v>15945</v>
      </c>
      <c r="D691" s="9">
        <f>YEAR(Tabla1[[#This Row],[Date]])</f>
        <v>1943</v>
      </c>
      <c r="E691" s="9" t="str" cm="1">
        <f t="array" ref="E691">IFERROR(_xlfn.IFS(AND(D691&lt;1980,D691&gt;=1970),"70",AND(D691&lt;1990,D691&gt;=1980),"80",AND(D691&lt;2000,D691&gt;=1990),"90",AND(D691&lt;2010,D691&gt;=2000),"00",AND(D691&lt;=2019,D691&gt;=2010),"10"),"1908-1970")</f>
        <v>1908-1970</v>
      </c>
      <c r="F691" s="3">
        <v>0.375</v>
      </c>
      <c r="G691" t="s">
        <v>7368</v>
      </c>
      <c r="H691" t="s">
        <v>7581</v>
      </c>
      <c r="I691" t="s">
        <v>28931</v>
      </c>
      <c r="J691" t="s">
        <v>7996</v>
      </c>
      <c r="K691" t="s">
        <v>6555</v>
      </c>
      <c r="L691" s="7" t="s">
        <v>7997</v>
      </c>
      <c r="M691">
        <v>5459</v>
      </c>
      <c r="N691">
        <v>21</v>
      </c>
      <c r="O691">
        <v>18</v>
      </c>
      <c r="P691">
        <v>3</v>
      </c>
      <c r="Q691">
        <v>18</v>
      </c>
      <c r="R691">
        <v>18</v>
      </c>
      <c r="S691">
        <v>3</v>
      </c>
      <c r="T691">
        <v>0</v>
      </c>
      <c r="U691" t="s">
        <v>7998</v>
      </c>
      <c r="V691">
        <f>Tabla1[[#This Row],[Aboard]]-Tabla1[[#This Row],[Fatalities]]</f>
        <v>3</v>
      </c>
      <c r="W691" s="50">
        <f>IFERROR(Tabla1[[#This Row],[Fatalities]]/Tabla1[[#This Row],[Aboard]],0)</f>
        <v>0.8571428571428571</v>
      </c>
      <c r="X691" s="51" t="str" cm="1">
        <f t="array" ref="X691">_xlfn.IFS(Tabla1[[#This Row],[Porcentaje de muertes]]&lt;0.35,"LEVE",AND(Tabla1[[#This Row],[Porcentaje de muertes]]&gt;0.35,Tabla1[[#This Row],[Porcentaje de muertes]]&lt;0.65),"MEDIO",Tabla1[[#This Row],[Porcentaje de muertes]]&gt;0.65,"GRAVE")</f>
        <v>GRAVE</v>
      </c>
    </row>
    <row r="692" spans="2:24" x14ac:dyDescent="0.3">
      <c r="B692" s="9">
        <v>690</v>
      </c>
      <c r="C692" s="49">
        <v>15945</v>
      </c>
      <c r="D692" s="9">
        <f>YEAR(Tabla1[[#This Row],[Date]])</f>
        <v>1943</v>
      </c>
      <c r="E692" s="9" t="str" cm="1">
        <f t="array" ref="E692">IFERROR(_xlfn.IFS(AND(D692&lt;1980,D692&gt;=1970),"70",AND(D692&lt;1990,D692&gt;=1980),"80",AND(D692&lt;2000,D692&gt;=1990),"90",AND(D692&lt;2010,D692&gt;=2000),"00",AND(D692&lt;=2019,D692&gt;=2010),"10"),"1908-1970")</f>
        <v>1908-1970</v>
      </c>
      <c r="F692" s="3">
        <v>0.9868055555555556</v>
      </c>
      <c r="G692" t="s">
        <v>7468</v>
      </c>
      <c r="H692" t="s">
        <v>7999</v>
      </c>
      <c r="I692" t="s">
        <v>28931</v>
      </c>
      <c r="J692" t="s">
        <v>8000</v>
      </c>
      <c r="K692" t="s">
        <v>7057</v>
      </c>
      <c r="L692" s="7" t="s">
        <v>8001</v>
      </c>
      <c r="M692">
        <v>2133</v>
      </c>
      <c r="N692">
        <v>7</v>
      </c>
      <c r="O692">
        <v>3</v>
      </c>
      <c r="P692">
        <v>4</v>
      </c>
      <c r="Q692">
        <v>7</v>
      </c>
      <c r="R692">
        <v>3</v>
      </c>
      <c r="S692">
        <v>4</v>
      </c>
      <c r="T692">
        <v>0</v>
      </c>
      <c r="U692" t="s">
        <v>8002</v>
      </c>
      <c r="V692">
        <f>Tabla1[[#This Row],[Aboard]]-Tabla1[[#This Row],[Fatalities]]</f>
        <v>0</v>
      </c>
      <c r="W692" s="50">
        <f>IFERROR(Tabla1[[#This Row],[Fatalities]]/Tabla1[[#This Row],[Aboard]],0)</f>
        <v>1</v>
      </c>
      <c r="X692" s="51" t="str" cm="1">
        <f t="array" ref="X692">_xlfn.IFS(Tabla1[[#This Row],[Porcentaje de muertes]]&lt;0.35,"LEVE",AND(Tabla1[[#This Row],[Porcentaje de muertes]]&gt;0.35,Tabla1[[#This Row],[Porcentaje de muertes]]&lt;0.65),"MEDIO",Tabla1[[#This Row],[Porcentaje de muertes]]&gt;0.65,"GRAVE")</f>
        <v>GRAVE</v>
      </c>
    </row>
    <row r="693" spans="2:24" x14ac:dyDescent="0.3">
      <c r="B693" s="9">
        <v>691</v>
      </c>
      <c r="C693" s="49">
        <v>15988</v>
      </c>
      <c r="D693" s="9">
        <f>YEAR(Tabla1[[#This Row],[Date]])</f>
        <v>1943</v>
      </c>
      <c r="E693" s="9" t="str" cm="1">
        <f t="array" ref="E693">IFERROR(_xlfn.IFS(AND(D693&lt;1980,D693&gt;=1970),"70",AND(D693&lt;1990,D693&gt;=1980),"80",AND(D693&lt;2000,D693&gt;=1990),"90",AND(D693&lt;2010,D693&gt;=2000),"00",AND(D693&lt;=2019,D693&gt;=2010),"10"),"1908-1970")</f>
        <v>1908-1970</v>
      </c>
      <c r="F693" s="3">
        <v>0.66666666666666663</v>
      </c>
      <c r="G693" t="s">
        <v>8003</v>
      </c>
      <c r="H693" t="s">
        <v>7782</v>
      </c>
      <c r="I693" t="s">
        <v>28931</v>
      </c>
      <c r="J693" t="s">
        <v>28931</v>
      </c>
      <c r="K693" t="s">
        <v>8004</v>
      </c>
      <c r="L693" s="7" t="s">
        <v>8005</v>
      </c>
      <c r="M693" t="s">
        <v>28931</v>
      </c>
      <c r="N693">
        <v>22</v>
      </c>
      <c r="O693">
        <v>0</v>
      </c>
      <c r="P693">
        <v>22</v>
      </c>
      <c r="Q693">
        <v>22</v>
      </c>
      <c r="R693">
        <v>0</v>
      </c>
      <c r="S693">
        <v>22</v>
      </c>
      <c r="T693">
        <v>0</v>
      </c>
      <c r="U693" t="s">
        <v>8006</v>
      </c>
      <c r="V693">
        <f>Tabla1[[#This Row],[Aboard]]-Tabla1[[#This Row],[Fatalities]]</f>
        <v>0</v>
      </c>
      <c r="W693" s="50">
        <f>IFERROR(Tabla1[[#This Row],[Fatalities]]/Tabla1[[#This Row],[Aboard]],0)</f>
        <v>1</v>
      </c>
      <c r="X693" s="51" t="str" cm="1">
        <f t="array" ref="X693">_xlfn.IFS(Tabla1[[#This Row],[Porcentaje de muertes]]&lt;0.35,"LEVE",AND(Tabla1[[#This Row],[Porcentaje de muertes]]&gt;0.35,Tabla1[[#This Row],[Porcentaje de muertes]]&lt;0.65),"MEDIO",Tabla1[[#This Row],[Porcentaje de muertes]]&gt;0.65,"GRAVE")</f>
        <v>GRAVE</v>
      </c>
    </row>
    <row r="694" spans="2:24" x14ac:dyDescent="0.3">
      <c r="B694" s="9">
        <v>692</v>
      </c>
      <c r="C694" s="49">
        <v>15969</v>
      </c>
      <c r="D694" s="9">
        <f>YEAR(Tabla1[[#This Row],[Date]])</f>
        <v>1943</v>
      </c>
      <c r="E694" s="9" t="str" cm="1">
        <f t="array" ref="E694">IFERROR(_xlfn.IFS(AND(D694&lt;1980,D694&gt;=1970),"70",AND(D694&lt;1990,D694&gt;=1980),"80",AND(D694&lt;2000,D694&gt;=1990),"90",AND(D694&lt;2010,D694&gt;=2000),"00",AND(D694&lt;=2019,D694&gt;=2010),"10"),"1908-1970")</f>
        <v>1908-1970</v>
      </c>
      <c r="F694" s="3">
        <v>0.36805555555555558</v>
      </c>
      <c r="G694" t="s">
        <v>8007</v>
      </c>
      <c r="H694" t="s">
        <v>7782</v>
      </c>
      <c r="I694" t="s">
        <v>28931</v>
      </c>
      <c r="J694" t="s">
        <v>8008</v>
      </c>
      <c r="K694" t="s">
        <v>8009</v>
      </c>
      <c r="L694" s="7" t="s">
        <v>8010</v>
      </c>
      <c r="M694">
        <v>11656</v>
      </c>
      <c r="N694">
        <v>25</v>
      </c>
      <c r="O694">
        <v>21</v>
      </c>
      <c r="P694">
        <v>4</v>
      </c>
      <c r="Q694">
        <v>25</v>
      </c>
      <c r="R694">
        <v>21</v>
      </c>
      <c r="S694">
        <v>4</v>
      </c>
      <c r="T694">
        <v>0</v>
      </c>
      <c r="U694" t="s">
        <v>8011</v>
      </c>
      <c r="V694">
        <f>Tabla1[[#This Row],[Aboard]]-Tabla1[[#This Row],[Fatalities]]</f>
        <v>0</v>
      </c>
      <c r="W694" s="50">
        <f>IFERROR(Tabla1[[#This Row],[Fatalities]]/Tabla1[[#This Row],[Aboard]],0)</f>
        <v>1</v>
      </c>
      <c r="X694" s="51" t="str" cm="1">
        <f t="array" ref="X694">_xlfn.IFS(Tabla1[[#This Row],[Porcentaje de muertes]]&lt;0.35,"LEVE",AND(Tabla1[[#This Row],[Porcentaje de muertes]]&gt;0.35,Tabla1[[#This Row],[Porcentaje de muertes]]&lt;0.65),"MEDIO",Tabla1[[#This Row],[Porcentaje de muertes]]&gt;0.65,"GRAVE")</f>
        <v>GRAVE</v>
      </c>
    </row>
    <row r="695" spans="2:24" x14ac:dyDescent="0.3">
      <c r="B695" s="9">
        <v>693</v>
      </c>
      <c r="C695" s="49">
        <v>15971</v>
      </c>
      <c r="D695" s="9">
        <f>YEAR(Tabla1[[#This Row],[Date]])</f>
        <v>1943</v>
      </c>
      <c r="E695" s="9" t="str" cm="1">
        <f t="array" ref="E695">IFERROR(_xlfn.IFS(AND(D695&lt;1980,D695&gt;=1970),"70",AND(D695&lt;1990,D695&gt;=1980),"80",AND(D695&lt;2000,D695&gt;=1990),"90",AND(D695&lt;2010,D695&gt;=2000),"00",AND(D695&lt;=2019,D695&gt;=2010),"10"),"1908-1970")</f>
        <v>1908-1970</v>
      </c>
      <c r="F695" s="3">
        <v>0.25</v>
      </c>
      <c r="G695" t="s">
        <v>8012</v>
      </c>
      <c r="H695" t="s">
        <v>7782</v>
      </c>
      <c r="I695" t="s">
        <v>28931</v>
      </c>
      <c r="J695" t="s">
        <v>28931</v>
      </c>
      <c r="K695" t="s">
        <v>7927</v>
      </c>
      <c r="L695" s="7" t="s">
        <v>8013</v>
      </c>
      <c r="M695">
        <v>4923</v>
      </c>
      <c r="N695">
        <v>20</v>
      </c>
      <c r="O695">
        <v>15</v>
      </c>
      <c r="P695">
        <v>5</v>
      </c>
      <c r="Q695">
        <v>20</v>
      </c>
      <c r="R695">
        <v>15</v>
      </c>
      <c r="S695">
        <v>5</v>
      </c>
      <c r="T695">
        <v>0</v>
      </c>
      <c r="U695" t="s">
        <v>8014</v>
      </c>
      <c r="V695">
        <f>Tabla1[[#This Row],[Aboard]]-Tabla1[[#This Row],[Fatalities]]</f>
        <v>0</v>
      </c>
      <c r="W695" s="50">
        <f>IFERROR(Tabla1[[#This Row],[Fatalities]]/Tabla1[[#This Row],[Aboard]],0)</f>
        <v>1</v>
      </c>
      <c r="X695" s="51" t="str" cm="1">
        <f t="array" ref="X695">_xlfn.IFS(Tabla1[[#This Row],[Porcentaje de muertes]]&lt;0.35,"LEVE",AND(Tabla1[[#This Row],[Porcentaje de muertes]]&gt;0.35,Tabla1[[#This Row],[Porcentaje de muertes]]&lt;0.65),"MEDIO",Tabla1[[#This Row],[Porcentaje de muertes]]&gt;0.65,"GRAVE")</f>
        <v>GRAVE</v>
      </c>
    </row>
    <row r="696" spans="2:24" x14ac:dyDescent="0.3">
      <c r="B696" s="9">
        <v>694</v>
      </c>
      <c r="C696" s="49">
        <v>15994</v>
      </c>
      <c r="D696" s="9">
        <f>YEAR(Tabla1[[#This Row],[Date]])</f>
        <v>1943</v>
      </c>
      <c r="E696" s="9" t="str" cm="1">
        <f t="array" ref="E696">IFERROR(_xlfn.IFS(AND(D696&lt;1980,D696&gt;=1970),"70",AND(D696&lt;1990,D696&gt;=1980),"80",AND(D696&lt;2000,D696&gt;=1990),"90",AND(D696&lt;2010,D696&gt;=2000),"00",AND(D696&lt;=2019,D696&gt;=2010),"10"),"1908-1970")</f>
        <v>1908-1970</v>
      </c>
      <c r="F696" s="3">
        <v>0.97013888888888899</v>
      </c>
      <c r="G696" t="s">
        <v>8015</v>
      </c>
      <c r="H696" t="s">
        <v>6536</v>
      </c>
      <c r="I696">
        <v>63</v>
      </c>
      <c r="J696" t="s">
        <v>8016</v>
      </c>
      <c r="K696" t="s">
        <v>8017</v>
      </c>
      <c r="L696" s="7" t="s">
        <v>8018</v>
      </c>
      <c r="M696">
        <v>1588</v>
      </c>
      <c r="N696">
        <v>15</v>
      </c>
      <c r="O696">
        <v>11</v>
      </c>
      <c r="P696">
        <v>4</v>
      </c>
      <c r="Q696">
        <v>15</v>
      </c>
      <c r="R696">
        <v>11</v>
      </c>
      <c r="S696">
        <v>4</v>
      </c>
      <c r="T696">
        <v>0</v>
      </c>
      <c r="U696" t="s">
        <v>8019</v>
      </c>
      <c r="V696">
        <f>Tabla1[[#This Row],[Aboard]]-Tabla1[[#This Row],[Fatalities]]</f>
        <v>0</v>
      </c>
      <c r="W696" s="50">
        <f>IFERROR(Tabla1[[#This Row],[Fatalities]]/Tabla1[[#This Row],[Aboard]],0)</f>
        <v>1</v>
      </c>
      <c r="X696" s="51" t="str" cm="1">
        <f t="array" ref="X696">_xlfn.IFS(Tabla1[[#This Row],[Porcentaje de muertes]]&lt;0.35,"LEVE",AND(Tabla1[[#This Row],[Porcentaje de muertes]]&gt;0.35,Tabla1[[#This Row],[Porcentaje de muertes]]&lt;0.65),"MEDIO",Tabla1[[#This Row],[Porcentaje de muertes]]&gt;0.65,"GRAVE")</f>
        <v>GRAVE</v>
      </c>
    </row>
    <row r="697" spans="2:24" x14ac:dyDescent="0.3">
      <c r="B697" s="9">
        <v>695</v>
      </c>
      <c r="C697" s="49">
        <v>15998</v>
      </c>
      <c r="D697" s="9">
        <f>YEAR(Tabla1[[#This Row],[Date]])</f>
        <v>1943</v>
      </c>
      <c r="E697" s="9" t="str" cm="1">
        <f t="array" ref="E697">IFERROR(_xlfn.IFS(AND(D697&lt;1980,D697&gt;=1970),"70",AND(D697&lt;1990,D697&gt;=1980),"80",AND(D697&lt;2000,D697&gt;=1990),"90",AND(D697&lt;2010,D697&gt;=2000),"00",AND(D697&lt;=2019,D697&gt;=2010),"10"),"1908-1970")</f>
        <v>1908-1970</v>
      </c>
      <c r="F697" s="3">
        <v>0.11458333333333333</v>
      </c>
      <c r="G697" t="s">
        <v>8020</v>
      </c>
      <c r="H697" t="s">
        <v>8021</v>
      </c>
      <c r="I697" t="s">
        <v>28931</v>
      </c>
      <c r="J697" t="s">
        <v>8022</v>
      </c>
      <c r="K697" t="s">
        <v>7984</v>
      </c>
      <c r="L697" s="7">
        <v>3701</v>
      </c>
      <c r="M697">
        <v>1031</v>
      </c>
      <c r="N697">
        <v>24</v>
      </c>
      <c r="O697">
        <v>20</v>
      </c>
      <c r="P697">
        <v>4</v>
      </c>
      <c r="Q697">
        <v>24</v>
      </c>
      <c r="R697">
        <v>20</v>
      </c>
      <c r="S697">
        <v>4</v>
      </c>
      <c r="T697">
        <v>0</v>
      </c>
      <c r="U697" t="s">
        <v>8023</v>
      </c>
      <c r="V697">
        <f>Tabla1[[#This Row],[Aboard]]-Tabla1[[#This Row],[Fatalities]]</f>
        <v>0</v>
      </c>
      <c r="W697" s="50">
        <f>IFERROR(Tabla1[[#This Row],[Fatalities]]/Tabla1[[#This Row],[Aboard]],0)</f>
        <v>1</v>
      </c>
      <c r="X697" s="51" t="str" cm="1">
        <f t="array" ref="X697">_xlfn.IFS(Tabla1[[#This Row],[Porcentaje de muertes]]&lt;0.35,"LEVE",AND(Tabla1[[#This Row],[Porcentaje de muertes]]&gt;0.35,Tabla1[[#This Row],[Porcentaje de muertes]]&lt;0.65),"MEDIO",Tabla1[[#This Row],[Porcentaje de muertes]]&gt;0.65,"GRAVE")</f>
        <v>GRAVE</v>
      </c>
    </row>
    <row r="698" spans="2:24" x14ac:dyDescent="0.3">
      <c r="B698" s="9">
        <v>696</v>
      </c>
      <c r="C698" s="49">
        <v>16001</v>
      </c>
      <c r="D698" s="9">
        <f>YEAR(Tabla1[[#This Row],[Date]])</f>
        <v>1943</v>
      </c>
      <c r="E698" s="9" t="str" cm="1">
        <f t="array" ref="E698">IFERROR(_xlfn.IFS(AND(D698&lt;1980,D698&gt;=1970),"70",AND(D698&lt;1990,D698&gt;=1980),"80",AND(D698&lt;2000,D698&gt;=1990),"90",AND(D698&lt;2010,D698&gt;=2000),"00",AND(D698&lt;=2019,D698&gt;=2010),"10"),"1908-1970")</f>
        <v>1908-1970</v>
      </c>
      <c r="F698" s="3">
        <v>0.9604166666666667</v>
      </c>
      <c r="G698" t="s">
        <v>8024</v>
      </c>
      <c r="H698" t="s">
        <v>7999</v>
      </c>
      <c r="I698" t="s">
        <v>28931</v>
      </c>
      <c r="J698" t="s">
        <v>8000</v>
      </c>
      <c r="K698" t="s">
        <v>7057</v>
      </c>
      <c r="L698" s="7" t="s">
        <v>8025</v>
      </c>
      <c r="M698">
        <v>2132</v>
      </c>
      <c r="N698">
        <v>15</v>
      </c>
      <c r="O698">
        <v>12</v>
      </c>
      <c r="P698">
        <v>3</v>
      </c>
      <c r="Q698">
        <v>13</v>
      </c>
      <c r="R698">
        <v>12</v>
      </c>
      <c r="S698">
        <v>3</v>
      </c>
      <c r="T698">
        <v>0</v>
      </c>
      <c r="U698" t="s">
        <v>8026</v>
      </c>
      <c r="V698">
        <f>Tabla1[[#This Row],[Aboard]]-Tabla1[[#This Row],[Fatalities]]</f>
        <v>2</v>
      </c>
      <c r="W698" s="50">
        <f>IFERROR(Tabla1[[#This Row],[Fatalities]]/Tabla1[[#This Row],[Aboard]],0)</f>
        <v>0.8666666666666667</v>
      </c>
      <c r="X698" s="51" t="str" cm="1">
        <f t="array" ref="X698">_xlfn.IFS(Tabla1[[#This Row],[Porcentaje de muertes]]&lt;0.35,"LEVE",AND(Tabla1[[#This Row],[Porcentaje de muertes]]&gt;0.35,Tabla1[[#This Row],[Porcentaje de muertes]]&lt;0.65),"MEDIO",Tabla1[[#This Row],[Porcentaje de muertes]]&gt;0.65,"GRAVE")</f>
        <v>GRAVE</v>
      </c>
    </row>
    <row r="699" spans="2:24" x14ac:dyDescent="0.3">
      <c r="B699" s="9">
        <v>697</v>
      </c>
      <c r="C699" s="49">
        <v>16001</v>
      </c>
      <c r="D699" s="9">
        <f>YEAR(Tabla1[[#This Row],[Date]])</f>
        <v>1943</v>
      </c>
      <c r="E699" s="9" t="str" cm="1">
        <f t="array" ref="E699">IFERROR(_xlfn.IFS(AND(D699&lt;1980,D699&gt;=1970),"70",AND(D699&lt;1990,D699&gt;=1980),"80",AND(D699&lt;2000,D699&gt;=1990),"90",AND(D699&lt;2010,D699&gt;=2000),"00",AND(D699&lt;=2019,D699&gt;=2010),"10"),"1908-1970")</f>
        <v>1908-1970</v>
      </c>
      <c r="F699" s="3">
        <v>0.84722222222222221</v>
      </c>
      <c r="G699" t="s">
        <v>8027</v>
      </c>
      <c r="H699" t="s">
        <v>7782</v>
      </c>
      <c r="I699" t="s">
        <v>28931</v>
      </c>
      <c r="J699" t="s">
        <v>28931</v>
      </c>
      <c r="K699" t="s">
        <v>7934</v>
      </c>
      <c r="L699" s="7" t="s">
        <v>8028</v>
      </c>
      <c r="M699">
        <v>7371</v>
      </c>
      <c r="N699">
        <v>20</v>
      </c>
      <c r="O699">
        <v>15</v>
      </c>
      <c r="P699">
        <v>5</v>
      </c>
      <c r="Q699">
        <v>20</v>
      </c>
      <c r="R699">
        <v>15</v>
      </c>
      <c r="S699">
        <v>5</v>
      </c>
      <c r="T699">
        <v>0</v>
      </c>
      <c r="U699" t="s">
        <v>8029</v>
      </c>
      <c r="V699">
        <f>Tabla1[[#This Row],[Aboard]]-Tabla1[[#This Row],[Fatalities]]</f>
        <v>0</v>
      </c>
      <c r="W699" s="50">
        <f>IFERROR(Tabla1[[#This Row],[Fatalities]]/Tabla1[[#This Row],[Aboard]],0)</f>
        <v>1</v>
      </c>
      <c r="X699" s="51" t="str" cm="1">
        <f t="array" ref="X699">_xlfn.IFS(Tabla1[[#This Row],[Porcentaje de muertes]]&lt;0.35,"LEVE",AND(Tabla1[[#This Row],[Porcentaje de muertes]]&gt;0.35,Tabla1[[#This Row],[Porcentaje de muertes]]&lt;0.65),"MEDIO",Tabla1[[#This Row],[Porcentaje de muertes]]&gt;0.65,"GRAVE")</f>
        <v>GRAVE</v>
      </c>
    </row>
    <row r="700" spans="2:24" x14ac:dyDescent="0.3">
      <c r="B700" s="9">
        <v>698</v>
      </c>
      <c r="C700" s="49">
        <v>15837</v>
      </c>
      <c r="D700" s="9">
        <f>YEAR(Tabla1[[#This Row],[Date]])</f>
        <v>1943</v>
      </c>
      <c r="E700" s="9" t="str" cm="1">
        <f t="array" ref="E700">IFERROR(_xlfn.IFS(AND(D700&lt;1980,D700&gt;=1970),"70",AND(D700&lt;1990,D700&gt;=1980),"80",AND(D700&lt;2000,D700&gt;=1990),"90",AND(D700&lt;2010,D700&gt;=2000),"00",AND(D700&lt;=2019,D700&gt;=2010),"10"),"1908-1970")</f>
        <v>1908-1970</v>
      </c>
      <c r="F700" s="3">
        <v>0.94791666666666663</v>
      </c>
      <c r="G700" t="s">
        <v>8030</v>
      </c>
      <c r="H700" t="s">
        <v>7521</v>
      </c>
      <c r="I700" t="s">
        <v>28931</v>
      </c>
      <c r="J700" t="s">
        <v>8031</v>
      </c>
      <c r="K700" t="s">
        <v>8032</v>
      </c>
      <c r="L700" s="7" t="s">
        <v>8033</v>
      </c>
      <c r="M700" t="s">
        <v>28931</v>
      </c>
      <c r="N700">
        <v>19</v>
      </c>
      <c r="O700">
        <v>10</v>
      </c>
      <c r="P700">
        <v>9</v>
      </c>
      <c r="Q700">
        <v>19</v>
      </c>
      <c r="R700">
        <v>10</v>
      </c>
      <c r="S700">
        <v>9</v>
      </c>
      <c r="T700">
        <v>0</v>
      </c>
      <c r="U700" t="s">
        <v>8034</v>
      </c>
      <c r="V700">
        <f>Tabla1[[#This Row],[Aboard]]-Tabla1[[#This Row],[Fatalities]]</f>
        <v>0</v>
      </c>
      <c r="W700" s="50">
        <f>IFERROR(Tabla1[[#This Row],[Fatalities]]/Tabla1[[#This Row],[Aboard]],0)</f>
        <v>1</v>
      </c>
      <c r="X700" s="51" t="str" cm="1">
        <f t="array" ref="X700">_xlfn.IFS(Tabla1[[#This Row],[Porcentaje de muertes]]&lt;0.35,"LEVE",AND(Tabla1[[#This Row],[Porcentaje de muertes]]&gt;0.35,Tabla1[[#This Row],[Porcentaje de muertes]]&lt;0.65),"MEDIO",Tabla1[[#This Row],[Porcentaje de muertes]]&gt;0.65,"GRAVE")</f>
        <v>GRAVE</v>
      </c>
    </row>
    <row r="701" spans="2:24" x14ac:dyDescent="0.3">
      <c r="B701" s="9">
        <v>699</v>
      </c>
      <c r="C701" s="49">
        <v>15929</v>
      </c>
      <c r="D701" s="9">
        <f>YEAR(Tabla1[[#This Row],[Date]])</f>
        <v>1943</v>
      </c>
      <c r="E701" s="9" t="str" cm="1">
        <f t="array" ref="E701">IFERROR(_xlfn.IFS(AND(D701&lt;1980,D701&gt;=1970),"70",AND(D701&lt;1990,D701&gt;=1980),"80",AND(D701&lt;2000,D701&gt;=1990),"90",AND(D701&lt;2010,D701&gt;=2000),"00",AND(D701&lt;=2019,D701&gt;=2010),"10"),"1908-1970")</f>
        <v>1908-1970</v>
      </c>
      <c r="F701" s="3" t="s">
        <v>28931</v>
      </c>
      <c r="G701" t="s">
        <v>8035</v>
      </c>
      <c r="H701" t="s">
        <v>8036</v>
      </c>
      <c r="I701" t="s">
        <v>28931</v>
      </c>
      <c r="J701" t="s">
        <v>28931</v>
      </c>
      <c r="K701" t="s">
        <v>5038</v>
      </c>
      <c r="L701" s="7" t="s">
        <v>28931</v>
      </c>
      <c r="M701" t="s">
        <v>28931</v>
      </c>
      <c r="N701">
        <v>1</v>
      </c>
      <c r="O701" t="s">
        <v>5038</v>
      </c>
      <c r="P701" t="s">
        <v>5038</v>
      </c>
      <c r="Q701">
        <v>1</v>
      </c>
      <c r="R701" t="s">
        <v>5038</v>
      </c>
      <c r="S701" t="s">
        <v>5038</v>
      </c>
      <c r="T701">
        <v>37</v>
      </c>
      <c r="U701" t="s">
        <v>8037</v>
      </c>
      <c r="V701">
        <f>Tabla1[[#This Row],[Aboard]]-Tabla1[[#This Row],[Fatalities]]</f>
        <v>0</v>
      </c>
      <c r="W701" s="50">
        <f>IFERROR(Tabla1[[#This Row],[Fatalities]]/Tabla1[[#This Row],[Aboard]],0)</f>
        <v>1</v>
      </c>
      <c r="X701" s="51" t="str" cm="1">
        <f t="array" ref="X701">_xlfn.IFS(Tabla1[[#This Row],[Porcentaje de muertes]]&lt;0.35,"LEVE",AND(Tabla1[[#This Row],[Porcentaje de muertes]]&gt;0.35,Tabla1[[#This Row],[Porcentaje de muertes]]&lt;0.65),"MEDIO",Tabla1[[#This Row],[Porcentaje de muertes]]&gt;0.65,"GRAVE")</f>
        <v>GRAVE</v>
      </c>
    </row>
    <row r="702" spans="2:24" x14ac:dyDescent="0.3">
      <c r="B702" s="9">
        <v>700</v>
      </c>
      <c r="C702" s="49">
        <v>16029</v>
      </c>
      <c r="D702" s="9">
        <f>YEAR(Tabla1[[#This Row],[Date]])</f>
        <v>1943</v>
      </c>
      <c r="E702" s="9" t="str" cm="1">
        <f t="array" ref="E702">IFERROR(_xlfn.IFS(AND(D702&lt;1980,D702&gt;=1970),"70",AND(D702&lt;1990,D702&gt;=1980),"80",AND(D702&lt;2000,D702&gt;=1990),"90",AND(D702&lt;2010,D702&gt;=2000),"00",AND(D702&lt;=2019,D702&gt;=2010),"10"),"1908-1970")</f>
        <v>1908-1970</v>
      </c>
      <c r="F702" s="3" t="s">
        <v>28931</v>
      </c>
      <c r="G702" t="s">
        <v>7762</v>
      </c>
      <c r="H702" t="s">
        <v>6010</v>
      </c>
      <c r="I702" t="s">
        <v>28931</v>
      </c>
      <c r="J702" t="s">
        <v>28931</v>
      </c>
      <c r="K702" t="s">
        <v>7927</v>
      </c>
      <c r="L702" s="7">
        <v>59</v>
      </c>
      <c r="M702" t="s">
        <v>28931</v>
      </c>
      <c r="N702">
        <v>3</v>
      </c>
      <c r="O702">
        <v>0</v>
      </c>
      <c r="P702">
        <v>3</v>
      </c>
      <c r="Q702">
        <v>2</v>
      </c>
      <c r="R702">
        <v>0</v>
      </c>
      <c r="S702">
        <v>2</v>
      </c>
      <c r="T702">
        <v>0</v>
      </c>
      <c r="U702" t="s">
        <v>8038</v>
      </c>
      <c r="V702">
        <f>Tabla1[[#This Row],[Aboard]]-Tabla1[[#This Row],[Fatalities]]</f>
        <v>1</v>
      </c>
      <c r="W702" s="50">
        <f>IFERROR(Tabla1[[#This Row],[Fatalities]]/Tabla1[[#This Row],[Aboard]],0)</f>
        <v>0.66666666666666663</v>
      </c>
      <c r="X702" s="51" t="str" cm="1">
        <f t="array" ref="X702">_xlfn.IFS(Tabla1[[#This Row],[Porcentaje de muertes]]&lt;0.35,"LEVE",AND(Tabla1[[#This Row],[Porcentaje de muertes]]&gt;0.35,Tabla1[[#This Row],[Porcentaje de muertes]]&lt;0.65),"MEDIO",Tabla1[[#This Row],[Porcentaje de muertes]]&gt;0.65,"GRAVE")</f>
        <v>GRAVE</v>
      </c>
    </row>
    <row r="703" spans="2:24" x14ac:dyDescent="0.3">
      <c r="B703" s="9">
        <v>701</v>
      </c>
      <c r="C703" s="49">
        <v>16029</v>
      </c>
      <c r="D703" s="9">
        <f>YEAR(Tabla1[[#This Row],[Date]])</f>
        <v>1943</v>
      </c>
      <c r="E703" s="9" t="str" cm="1">
        <f t="array" ref="E703">IFERROR(_xlfn.IFS(AND(D703&lt;1980,D703&gt;=1970),"70",AND(D703&lt;1990,D703&gt;=1980),"80",AND(D703&lt;2000,D703&gt;=1990),"90",AND(D703&lt;2010,D703&gt;=2000),"00",AND(D703&lt;=2019,D703&gt;=2010),"10"),"1908-1970")</f>
        <v>1908-1970</v>
      </c>
      <c r="F703" s="3" t="s">
        <v>28931</v>
      </c>
      <c r="G703" t="s">
        <v>7762</v>
      </c>
      <c r="H703" t="s">
        <v>6010</v>
      </c>
      <c r="I703" t="s">
        <v>28931</v>
      </c>
      <c r="J703" t="s">
        <v>28931</v>
      </c>
      <c r="K703" t="s">
        <v>7826</v>
      </c>
      <c r="L703" s="7">
        <v>63</v>
      </c>
      <c r="M703" t="s">
        <v>28931</v>
      </c>
      <c r="N703">
        <v>3</v>
      </c>
      <c r="O703">
        <v>0</v>
      </c>
      <c r="P703">
        <v>3</v>
      </c>
      <c r="Q703">
        <v>3</v>
      </c>
      <c r="R703">
        <v>0</v>
      </c>
      <c r="S703">
        <v>3</v>
      </c>
      <c r="T703">
        <v>0</v>
      </c>
      <c r="U703" t="s">
        <v>8039</v>
      </c>
      <c r="V703">
        <f>Tabla1[[#This Row],[Aboard]]-Tabla1[[#This Row],[Fatalities]]</f>
        <v>0</v>
      </c>
      <c r="W703" s="50">
        <f>IFERROR(Tabla1[[#This Row],[Fatalities]]/Tabla1[[#This Row],[Aboard]],0)</f>
        <v>1</v>
      </c>
      <c r="X703" s="51" t="str" cm="1">
        <f t="array" ref="X703">_xlfn.IFS(Tabla1[[#This Row],[Porcentaje de muertes]]&lt;0.35,"LEVE",AND(Tabla1[[#This Row],[Porcentaje de muertes]]&gt;0.35,Tabla1[[#This Row],[Porcentaje de muertes]]&lt;0.65),"MEDIO",Tabla1[[#This Row],[Porcentaje de muertes]]&gt;0.65,"GRAVE")</f>
        <v>GRAVE</v>
      </c>
    </row>
    <row r="704" spans="2:24" x14ac:dyDescent="0.3">
      <c r="B704" s="9">
        <v>702</v>
      </c>
      <c r="C704" s="49">
        <v>16036</v>
      </c>
      <c r="D704" s="9">
        <f>YEAR(Tabla1[[#This Row],[Date]])</f>
        <v>1943</v>
      </c>
      <c r="E704" s="9" t="str" cm="1">
        <f t="array" ref="E704">IFERROR(_xlfn.IFS(AND(D704&lt;1980,D704&gt;=1970),"70",AND(D704&lt;1990,D704&gt;=1980),"80",AND(D704&lt;2000,D704&gt;=1990),"90",AND(D704&lt;2010,D704&gt;=2000),"00",AND(D704&lt;=2019,D704&gt;=2010),"10"),"1908-1970")</f>
        <v>1908-1970</v>
      </c>
      <c r="F704" s="3">
        <v>0.17708333333333334</v>
      </c>
      <c r="G704" t="s">
        <v>8040</v>
      </c>
      <c r="H704" t="s">
        <v>5459</v>
      </c>
      <c r="I704" t="s">
        <v>28931</v>
      </c>
      <c r="J704" t="s">
        <v>8041</v>
      </c>
      <c r="K704" t="s">
        <v>8042</v>
      </c>
      <c r="L704" s="7" t="s">
        <v>8043</v>
      </c>
      <c r="M704" t="s">
        <v>28931</v>
      </c>
      <c r="N704">
        <v>15</v>
      </c>
      <c r="O704">
        <v>11</v>
      </c>
      <c r="P704">
        <v>4</v>
      </c>
      <c r="Q704">
        <v>15</v>
      </c>
      <c r="R704">
        <v>11</v>
      </c>
      <c r="S704">
        <v>4</v>
      </c>
      <c r="T704">
        <v>0</v>
      </c>
      <c r="U704" t="s">
        <v>8044</v>
      </c>
      <c r="V704">
        <f>Tabla1[[#This Row],[Aboard]]-Tabla1[[#This Row],[Fatalities]]</f>
        <v>0</v>
      </c>
      <c r="W704" s="50">
        <f>IFERROR(Tabla1[[#This Row],[Fatalities]]/Tabla1[[#This Row],[Aboard]],0)</f>
        <v>1</v>
      </c>
      <c r="X704" s="51" t="str" cm="1">
        <f t="array" ref="X704">_xlfn.IFS(Tabla1[[#This Row],[Porcentaje de muertes]]&lt;0.35,"LEVE",AND(Tabla1[[#This Row],[Porcentaje de muertes]]&gt;0.35,Tabla1[[#This Row],[Porcentaje de muertes]]&lt;0.65),"MEDIO",Tabla1[[#This Row],[Porcentaje de muertes]]&gt;0.65,"GRAVE")</f>
        <v>GRAVE</v>
      </c>
    </row>
    <row r="705" spans="2:24" x14ac:dyDescent="0.3">
      <c r="B705" s="9">
        <v>703</v>
      </c>
      <c r="C705" s="49">
        <v>16057</v>
      </c>
      <c r="D705" s="9">
        <f>YEAR(Tabla1[[#This Row],[Date]])</f>
        <v>1943</v>
      </c>
      <c r="E705" s="9" t="str" cm="1">
        <f t="array" ref="E705">IFERROR(_xlfn.IFS(AND(D705&lt;1980,D705&gt;=1970),"70",AND(D705&lt;1990,D705&gt;=1980),"80",AND(D705&lt;2000,D705&gt;=1990),"90",AND(D705&lt;2010,D705&gt;=2000),"00",AND(D705&lt;=2019,D705&gt;=2010),"10"),"1908-1970")</f>
        <v>1908-1970</v>
      </c>
      <c r="F705" s="3">
        <v>0.94791666666666663</v>
      </c>
      <c r="G705" t="s">
        <v>8045</v>
      </c>
      <c r="H705" t="s">
        <v>7521</v>
      </c>
      <c r="I705" t="s">
        <v>28931</v>
      </c>
      <c r="J705" t="s">
        <v>8046</v>
      </c>
      <c r="K705" t="s">
        <v>8047</v>
      </c>
      <c r="L705" s="7" t="s">
        <v>8048</v>
      </c>
      <c r="M705">
        <v>2086</v>
      </c>
      <c r="N705">
        <v>10</v>
      </c>
      <c r="O705">
        <v>7</v>
      </c>
      <c r="P705">
        <v>3</v>
      </c>
      <c r="Q705">
        <v>10</v>
      </c>
      <c r="R705">
        <v>7</v>
      </c>
      <c r="S705">
        <v>3</v>
      </c>
      <c r="T705">
        <v>0</v>
      </c>
      <c r="U705" t="s">
        <v>8049</v>
      </c>
      <c r="V705">
        <f>Tabla1[[#This Row],[Aboard]]-Tabla1[[#This Row],[Fatalities]]</f>
        <v>0</v>
      </c>
      <c r="W705" s="50">
        <f>IFERROR(Tabla1[[#This Row],[Fatalities]]/Tabla1[[#This Row],[Aboard]],0)</f>
        <v>1</v>
      </c>
      <c r="X705" s="51" t="str" cm="1">
        <f t="array" ref="X705">_xlfn.IFS(Tabla1[[#This Row],[Porcentaje de muertes]]&lt;0.35,"LEVE",AND(Tabla1[[#This Row],[Porcentaje de muertes]]&gt;0.35,Tabla1[[#This Row],[Porcentaje de muertes]]&lt;0.65),"MEDIO",Tabla1[[#This Row],[Porcentaje de muertes]]&gt;0.65,"GRAVE")</f>
        <v>GRAVE</v>
      </c>
    </row>
    <row r="706" spans="2:24" x14ac:dyDescent="0.3">
      <c r="B706" s="9">
        <v>704</v>
      </c>
      <c r="C706" s="49">
        <v>16058</v>
      </c>
      <c r="D706" s="9">
        <f>YEAR(Tabla1[[#This Row],[Date]])</f>
        <v>1943</v>
      </c>
      <c r="E706" s="9" t="str" cm="1">
        <f t="array" ref="E706">IFERROR(_xlfn.IFS(AND(D706&lt;1980,D706&gt;=1970),"70",AND(D706&lt;1990,D706&gt;=1980),"80",AND(D706&lt;2000,D706&gt;=1990),"90",AND(D706&lt;2010,D706&gt;=2000),"00",AND(D706&lt;=2019,D706&gt;=2010),"10"),"1908-1970")</f>
        <v>1908-1970</v>
      </c>
      <c r="F706" s="3" t="s">
        <v>28931</v>
      </c>
      <c r="G706" t="s">
        <v>8050</v>
      </c>
      <c r="H706" t="s">
        <v>6010</v>
      </c>
      <c r="I706" t="s">
        <v>28931</v>
      </c>
      <c r="J706" t="s">
        <v>28931</v>
      </c>
      <c r="K706" t="s">
        <v>7826</v>
      </c>
      <c r="L706" s="7">
        <v>83</v>
      </c>
      <c r="M706" t="s">
        <v>28931</v>
      </c>
      <c r="N706">
        <v>3</v>
      </c>
      <c r="O706">
        <v>0</v>
      </c>
      <c r="P706">
        <v>3</v>
      </c>
      <c r="Q706">
        <v>3</v>
      </c>
      <c r="R706">
        <v>0</v>
      </c>
      <c r="S706">
        <v>3</v>
      </c>
      <c r="T706">
        <v>0</v>
      </c>
      <c r="U706" t="s">
        <v>8051</v>
      </c>
      <c r="V706">
        <f>Tabla1[[#This Row],[Aboard]]-Tabla1[[#This Row],[Fatalities]]</f>
        <v>0</v>
      </c>
      <c r="W706" s="50">
        <f>IFERROR(Tabla1[[#This Row],[Fatalities]]/Tabla1[[#This Row],[Aboard]],0)</f>
        <v>1</v>
      </c>
      <c r="X706" s="51" t="str" cm="1">
        <f t="array" ref="X706">_xlfn.IFS(Tabla1[[#This Row],[Porcentaje de muertes]]&lt;0.35,"LEVE",AND(Tabla1[[#This Row],[Porcentaje de muertes]]&gt;0.35,Tabla1[[#This Row],[Porcentaje de muertes]]&lt;0.65),"MEDIO",Tabla1[[#This Row],[Porcentaje de muertes]]&gt;0.65,"GRAVE")</f>
        <v>GRAVE</v>
      </c>
    </row>
    <row r="707" spans="2:24" x14ac:dyDescent="0.3">
      <c r="B707" s="9">
        <v>705</v>
      </c>
      <c r="C707" s="49">
        <v>16059</v>
      </c>
      <c r="D707" s="9">
        <f>YEAR(Tabla1[[#This Row],[Date]])</f>
        <v>1943</v>
      </c>
      <c r="E707" s="9" t="str" cm="1">
        <f t="array" ref="E707">IFERROR(_xlfn.IFS(AND(D707&lt;1980,D707&gt;=1970),"70",AND(D707&lt;1990,D707&gt;=1980),"80",AND(D707&lt;2000,D707&gt;=1990),"90",AND(D707&lt;2010,D707&gt;=2000),"00",AND(D707&lt;=2019,D707&gt;=2010),"10"),"1908-1970")</f>
        <v>1908-1970</v>
      </c>
      <c r="F707" s="3">
        <v>0.3888888888888889</v>
      </c>
      <c r="G707" t="s">
        <v>8052</v>
      </c>
      <c r="H707" t="s">
        <v>7987</v>
      </c>
      <c r="I707" t="s">
        <v>28931</v>
      </c>
      <c r="J707" t="s">
        <v>8053</v>
      </c>
      <c r="K707" t="s">
        <v>8054</v>
      </c>
      <c r="L707" s="7" t="s">
        <v>8055</v>
      </c>
      <c r="M707">
        <v>13893</v>
      </c>
      <c r="N707">
        <v>31</v>
      </c>
      <c r="O707">
        <v>27</v>
      </c>
      <c r="P707">
        <v>4</v>
      </c>
      <c r="Q707">
        <v>31</v>
      </c>
      <c r="R707">
        <v>27</v>
      </c>
      <c r="S707">
        <v>4</v>
      </c>
      <c r="T707">
        <v>0</v>
      </c>
      <c r="U707" t="s">
        <v>8056</v>
      </c>
      <c r="V707">
        <f>Tabla1[[#This Row],[Aboard]]-Tabla1[[#This Row],[Fatalities]]</f>
        <v>0</v>
      </c>
      <c r="W707" s="50">
        <f>IFERROR(Tabla1[[#This Row],[Fatalities]]/Tabla1[[#This Row],[Aboard]],0)</f>
        <v>1</v>
      </c>
      <c r="X707" s="51" t="str" cm="1">
        <f t="array" ref="X707">_xlfn.IFS(Tabla1[[#This Row],[Porcentaje de muertes]]&lt;0.35,"LEVE",AND(Tabla1[[#This Row],[Porcentaje de muertes]]&gt;0.35,Tabla1[[#This Row],[Porcentaje de muertes]]&lt;0.65),"MEDIO",Tabla1[[#This Row],[Porcentaje de muertes]]&gt;0.65,"GRAVE")</f>
        <v>GRAVE</v>
      </c>
    </row>
    <row r="708" spans="2:24" x14ac:dyDescent="0.3">
      <c r="B708" s="9">
        <v>706</v>
      </c>
      <c r="C708" s="49">
        <v>16069</v>
      </c>
      <c r="D708" s="9">
        <f>YEAR(Tabla1[[#This Row],[Date]])</f>
        <v>1943</v>
      </c>
      <c r="E708" s="9" t="str" cm="1">
        <f t="array" ref="E708">IFERROR(_xlfn.IFS(AND(D708&lt;1980,D708&gt;=1970),"70",AND(D708&lt;1990,D708&gt;=1980),"80",AND(D708&lt;2000,D708&gt;=1990),"90",AND(D708&lt;2010,D708&gt;=2000),"00",AND(D708&lt;=2019,D708&gt;=2010),"10"),"1908-1970")</f>
        <v>1908-1970</v>
      </c>
      <c r="F708" s="3">
        <v>0.625</v>
      </c>
      <c r="G708" t="s">
        <v>8057</v>
      </c>
      <c r="H708" t="s">
        <v>8058</v>
      </c>
      <c r="I708" t="s">
        <v>28931</v>
      </c>
      <c r="J708" t="s">
        <v>8059</v>
      </c>
      <c r="K708" t="s">
        <v>8060</v>
      </c>
      <c r="L708" s="7" t="s">
        <v>8061</v>
      </c>
      <c r="M708" t="s">
        <v>28931</v>
      </c>
      <c r="N708">
        <v>25</v>
      </c>
      <c r="O708">
        <v>0</v>
      </c>
      <c r="P708">
        <v>25</v>
      </c>
      <c r="Q708">
        <v>25</v>
      </c>
      <c r="R708">
        <v>0</v>
      </c>
      <c r="S708">
        <v>25</v>
      </c>
      <c r="T708">
        <v>0</v>
      </c>
      <c r="U708" t="s">
        <v>8062</v>
      </c>
      <c r="V708">
        <f>Tabla1[[#This Row],[Aboard]]-Tabla1[[#This Row],[Fatalities]]</f>
        <v>0</v>
      </c>
      <c r="W708" s="50">
        <f>IFERROR(Tabla1[[#This Row],[Fatalities]]/Tabla1[[#This Row],[Aboard]],0)</f>
        <v>1</v>
      </c>
      <c r="X708" s="51" t="str" cm="1">
        <f t="array" ref="X708">_xlfn.IFS(Tabla1[[#This Row],[Porcentaje de muertes]]&lt;0.35,"LEVE",AND(Tabla1[[#This Row],[Porcentaje de muertes]]&gt;0.35,Tabla1[[#This Row],[Porcentaje de muertes]]&lt;0.65),"MEDIO",Tabla1[[#This Row],[Porcentaje de muertes]]&gt;0.65,"GRAVE")</f>
        <v>GRAVE</v>
      </c>
    </row>
    <row r="709" spans="2:24" x14ac:dyDescent="0.3">
      <c r="B709" s="9">
        <v>707</v>
      </c>
      <c r="C709" s="49">
        <v>16086</v>
      </c>
      <c r="D709" s="9">
        <f>YEAR(Tabla1[[#This Row],[Date]])</f>
        <v>1944</v>
      </c>
      <c r="E709" s="9" t="str" cm="1">
        <f t="array" ref="E709">IFERROR(_xlfn.IFS(AND(D709&lt;1980,D709&gt;=1970),"70",AND(D709&lt;1990,D709&gt;=1980),"80",AND(D709&lt;2000,D709&gt;=1990),"90",AND(D709&lt;2010,D709&gt;=2000),"00",AND(D709&lt;=2019,D709&gt;=2010),"10"),"1908-1970")</f>
        <v>1908-1970</v>
      </c>
      <c r="F709" s="3">
        <v>0.57291666666666663</v>
      </c>
      <c r="G709" t="s">
        <v>8063</v>
      </c>
      <c r="H709" t="s">
        <v>5417</v>
      </c>
      <c r="I709" t="s">
        <v>28931</v>
      </c>
      <c r="J709" t="s">
        <v>8064</v>
      </c>
      <c r="K709" t="s">
        <v>6555</v>
      </c>
      <c r="L709" s="7" t="s">
        <v>8065</v>
      </c>
      <c r="M709">
        <v>640610</v>
      </c>
      <c r="N709">
        <v>5</v>
      </c>
      <c r="O709">
        <v>3</v>
      </c>
      <c r="P709">
        <v>2</v>
      </c>
      <c r="Q709">
        <v>5</v>
      </c>
      <c r="R709">
        <v>3</v>
      </c>
      <c r="S709">
        <v>2</v>
      </c>
      <c r="T709">
        <v>0</v>
      </c>
      <c r="U709" t="s">
        <v>8066</v>
      </c>
      <c r="V709">
        <f>Tabla1[[#This Row],[Aboard]]-Tabla1[[#This Row],[Fatalities]]</f>
        <v>0</v>
      </c>
      <c r="W709" s="50">
        <f>IFERROR(Tabla1[[#This Row],[Fatalities]]/Tabla1[[#This Row],[Aboard]],0)</f>
        <v>1</v>
      </c>
      <c r="X709" s="51" t="str" cm="1">
        <f t="array" ref="X709">_xlfn.IFS(Tabla1[[#This Row],[Porcentaje de muertes]]&lt;0.35,"LEVE",AND(Tabla1[[#This Row],[Porcentaje de muertes]]&gt;0.35,Tabla1[[#This Row],[Porcentaje de muertes]]&lt;0.65),"MEDIO",Tabla1[[#This Row],[Porcentaje de muertes]]&gt;0.65,"GRAVE")</f>
        <v>GRAVE</v>
      </c>
    </row>
    <row r="710" spans="2:24" x14ac:dyDescent="0.3">
      <c r="B710" s="9">
        <v>708</v>
      </c>
      <c r="C710" s="49">
        <v>16347</v>
      </c>
      <c r="D710" s="9">
        <f>YEAR(Tabla1[[#This Row],[Date]])</f>
        <v>1944</v>
      </c>
      <c r="E710" s="9" t="str" cm="1">
        <f t="array" ref="E710">IFERROR(_xlfn.IFS(AND(D710&lt;1980,D710&gt;=1970),"70",AND(D710&lt;1990,D710&gt;=1980),"80",AND(D710&lt;2000,D710&gt;=1990),"90",AND(D710&lt;2010,D710&gt;=2000),"00",AND(D710&lt;=2019,D710&gt;=2010),"10"),"1908-1970")</f>
        <v>1908-1970</v>
      </c>
      <c r="F710" s="3">
        <v>0.98333333333333339</v>
      </c>
      <c r="G710" t="s">
        <v>8067</v>
      </c>
      <c r="H710" t="s">
        <v>6536</v>
      </c>
      <c r="I710">
        <v>2</v>
      </c>
      <c r="J710" t="s">
        <v>8068</v>
      </c>
      <c r="K710" t="s">
        <v>7057</v>
      </c>
      <c r="L710" s="7" t="s">
        <v>8069</v>
      </c>
      <c r="M710">
        <v>2166</v>
      </c>
      <c r="N710">
        <v>24</v>
      </c>
      <c r="O710">
        <v>21</v>
      </c>
      <c r="P710">
        <v>3</v>
      </c>
      <c r="Q710">
        <v>24</v>
      </c>
      <c r="R710">
        <v>21</v>
      </c>
      <c r="S710">
        <v>3</v>
      </c>
      <c r="T710">
        <v>0</v>
      </c>
      <c r="U710" t="s">
        <v>8070</v>
      </c>
      <c r="V710">
        <f>Tabla1[[#This Row],[Aboard]]-Tabla1[[#This Row],[Fatalities]]</f>
        <v>0</v>
      </c>
      <c r="W710" s="50">
        <f>IFERROR(Tabla1[[#This Row],[Fatalities]]/Tabla1[[#This Row],[Aboard]],0)</f>
        <v>1</v>
      </c>
      <c r="X710" s="51" t="str" cm="1">
        <f t="array" ref="X710">_xlfn.IFS(Tabla1[[#This Row],[Porcentaje de muertes]]&lt;0.35,"LEVE",AND(Tabla1[[#This Row],[Porcentaje de muertes]]&gt;0.35,Tabla1[[#This Row],[Porcentaje de muertes]]&lt;0.65),"MEDIO",Tabla1[[#This Row],[Porcentaje de muertes]]&gt;0.65,"GRAVE")</f>
        <v>GRAVE</v>
      </c>
    </row>
    <row r="711" spans="2:24" x14ac:dyDescent="0.3">
      <c r="B711" s="9">
        <v>709</v>
      </c>
      <c r="C711" s="49">
        <v>16347</v>
      </c>
      <c r="D711" s="9">
        <f>YEAR(Tabla1[[#This Row],[Date]])</f>
        <v>1944</v>
      </c>
      <c r="E711" s="9" t="str" cm="1">
        <f t="array" ref="E711">IFERROR(_xlfn.IFS(AND(D711&lt;1980,D711&gt;=1970),"70",AND(D711&lt;1990,D711&gt;=1980),"80",AND(D711&lt;2000,D711&gt;=1990),"90",AND(D711&lt;2010,D711&gt;=2000),"00",AND(D711&lt;=2019,D711&gt;=2010),"10"),"1908-1970")</f>
        <v>1908-1970</v>
      </c>
      <c r="F711" s="3" t="s">
        <v>28931</v>
      </c>
      <c r="G711" t="s">
        <v>8071</v>
      </c>
      <c r="H711" t="s">
        <v>8072</v>
      </c>
      <c r="I711" t="s">
        <v>28931</v>
      </c>
      <c r="J711" t="s">
        <v>8073</v>
      </c>
      <c r="K711" t="s">
        <v>7194</v>
      </c>
      <c r="L711" s="7" t="s">
        <v>8074</v>
      </c>
      <c r="M711" t="s">
        <v>28931</v>
      </c>
      <c r="N711">
        <v>14</v>
      </c>
      <c r="O711">
        <v>10</v>
      </c>
      <c r="P711">
        <v>4</v>
      </c>
      <c r="Q711">
        <v>14</v>
      </c>
      <c r="R711">
        <v>10</v>
      </c>
      <c r="S711">
        <v>4</v>
      </c>
      <c r="T711">
        <v>0</v>
      </c>
      <c r="U711" t="s">
        <v>8075</v>
      </c>
      <c r="V711">
        <f>Tabla1[[#This Row],[Aboard]]-Tabla1[[#This Row],[Fatalities]]</f>
        <v>0</v>
      </c>
      <c r="W711" s="50">
        <f>IFERROR(Tabla1[[#This Row],[Fatalities]]/Tabla1[[#This Row],[Aboard]],0)</f>
        <v>1</v>
      </c>
      <c r="X711" s="51" t="str" cm="1">
        <f t="array" ref="X711">_xlfn.IFS(Tabla1[[#This Row],[Porcentaje de muertes]]&lt;0.35,"LEVE",AND(Tabla1[[#This Row],[Porcentaje de muertes]]&gt;0.35,Tabla1[[#This Row],[Porcentaje de muertes]]&lt;0.65),"MEDIO",Tabla1[[#This Row],[Porcentaje de muertes]]&gt;0.65,"GRAVE")</f>
        <v>GRAVE</v>
      </c>
    </row>
    <row r="712" spans="2:24" x14ac:dyDescent="0.3">
      <c r="B712" s="9">
        <v>710</v>
      </c>
      <c r="C712" s="49">
        <v>16122</v>
      </c>
      <c r="D712" s="9">
        <f>YEAR(Tabla1[[#This Row],[Date]])</f>
        <v>1944</v>
      </c>
      <c r="E712" s="9" t="str" cm="1">
        <f t="array" ref="E712">IFERROR(_xlfn.IFS(AND(D712&lt;1980,D712&gt;=1970),"70",AND(D712&lt;1990,D712&gt;=1980),"80",AND(D712&lt;2000,D712&gt;=1990),"90",AND(D712&lt;2010,D712&gt;=2000),"00",AND(D712&lt;=2019,D712&gt;=2010),"10"),"1908-1970")</f>
        <v>1908-1970</v>
      </c>
      <c r="F712" s="3" t="s">
        <v>28931</v>
      </c>
      <c r="G712" t="s">
        <v>8076</v>
      </c>
      <c r="H712" t="s">
        <v>6010</v>
      </c>
      <c r="I712" t="s">
        <v>28931</v>
      </c>
      <c r="J712" t="s">
        <v>28931</v>
      </c>
      <c r="K712" t="s">
        <v>7826</v>
      </c>
      <c r="L712" s="7">
        <v>75</v>
      </c>
      <c r="M712" t="s">
        <v>28931</v>
      </c>
      <c r="N712">
        <v>2</v>
      </c>
      <c r="O712">
        <v>0</v>
      </c>
      <c r="P712">
        <v>2</v>
      </c>
      <c r="Q712">
        <v>2</v>
      </c>
      <c r="R712">
        <v>0</v>
      </c>
      <c r="S712">
        <v>2</v>
      </c>
      <c r="T712">
        <v>0</v>
      </c>
      <c r="U712" t="s">
        <v>8077</v>
      </c>
      <c r="V712">
        <f>Tabla1[[#This Row],[Aboard]]-Tabla1[[#This Row],[Fatalities]]</f>
        <v>0</v>
      </c>
      <c r="W712" s="50">
        <f>IFERROR(Tabla1[[#This Row],[Fatalities]]/Tabla1[[#This Row],[Aboard]],0)</f>
        <v>1</v>
      </c>
      <c r="X712" s="51" t="str" cm="1">
        <f t="array" ref="X712">_xlfn.IFS(Tabla1[[#This Row],[Porcentaje de muertes]]&lt;0.35,"LEVE",AND(Tabla1[[#This Row],[Porcentaje de muertes]]&gt;0.35,Tabla1[[#This Row],[Porcentaje de muertes]]&lt;0.65),"MEDIO",Tabla1[[#This Row],[Porcentaje de muertes]]&gt;0.65,"GRAVE")</f>
        <v>GRAVE</v>
      </c>
    </row>
    <row r="713" spans="2:24" x14ac:dyDescent="0.3">
      <c r="B713" s="9">
        <v>711</v>
      </c>
      <c r="C713" s="49">
        <v>16123</v>
      </c>
      <c r="D713" s="9">
        <f>YEAR(Tabla1[[#This Row],[Date]])</f>
        <v>1944</v>
      </c>
      <c r="E713" s="9" t="str" cm="1">
        <f t="array" ref="E713">IFERROR(_xlfn.IFS(AND(D713&lt;1980,D713&gt;=1970),"70",AND(D713&lt;1990,D713&gt;=1980),"80",AND(D713&lt;2000,D713&gt;=1990),"90",AND(D713&lt;2010,D713&gt;=2000),"00",AND(D713&lt;=2019,D713&gt;=2010),"10"),"1908-1970")</f>
        <v>1908-1970</v>
      </c>
      <c r="F713" s="3">
        <v>0.71527777777777779</v>
      </c>
      <c r="G713" t="s">
        <v>8078</v>
      </c>
      <c r="H713" t="s">
        <v>5417</v>
      </c>
      <c r="I713" t="s">
        <v>28931</v>
      </c>
      <c r="J713" t="s">
        <v>28931</v>
      </c>
      <c r="K713" t="s">
        <v>6555</v>
      </c>
      <c r="L713" s="7" t="s">
        <v>8079</v>
      </c>
      <c r="M713">
        <v>6561</v>
      </c>
      <c r="N713">
        <v>16</v>
      </c>
      <c r="O713">
        <v>13</v>
      </c>
      <c r="P713">
        <v>3</v>
      </c>
      <c r="Q713">
        <v>16</v>
      </c>
      <c r="R713">
        <v>13</v>
      </c>
      <c r="S713">
        <v>3</v>
      </c>
      <c r="T713">
        <v>0</v>
      </c>
      <c r="U713" t="s">
        <v>8080</v>
      </c>
      <c r="V713">
        <f>Tabla1[[#This Row],[Aboard]]-Tabla1[[#This Row],[Fatalities]]</f>
        <v>0</v>
      </c>
      <c r="W713" s="50">
        <f>IFERROR(Tabla1[[#This Row],[Fatalities]]/Tabla1[[#This Row],[Aboard]],0)</f>
        <v>1</v>
      </c>
      <c r="X713" s="51" t="str" cm="1">
        <f t="array" ref="X713">_xlfn.IFS(Tabla1[[#This Row],[Porcentaje de muertes]]&lt;0.35,"LEVE",AND(Tabla1[[#This Row],[Porcentaje de muertes]]&gt;0.35,Tabla1[[#This Row],[Porcentaje de muertes]]&lt;0.65),"MEDIO",Tabla1[[#This Row],[Porcentaje de muertes]]&gt;0.65,"GRAVE")</f>
        <v>GRAVE</v>
      </c>
    </row>
    <row r="714" spans="2:24" x14ac:dyDescent="0.3">
      <c r="B714" s="9">
        <v>712</v>
      </c>
      <c r="C714" s="49">
        <v>16153</v>
      </c>
      <c r="D714" s="9">
        <f>YEAR(Tabla1[[#This Row],[Date]])</f>
        <v>1944</v>
      </c>
      <c r="E714" s="9" t="str" cm="1">
        <f t="array" ref="E714">IFERROR(_xlfn.IFS(AND(D714&lt;1980,D714&gt;=1970),"70",AND(D714&lt;1990,D714&gt;=1980),"80",AND(D714&lt;2000,D714&gt;=1990),"90",AND(D714&lt;2010,D714&gt;=2000),"00",AND(D714&lt;=2019,D714&gt;=2010),"10"),"1908-1970")</f>
        <v>1908-1970</v>
      </c>
      <c r="F714" s="3" t="s">
        <v>28931</v>
      </c>
      <c r="G714" t="s">
        <v>8081</v>
      </c>
      <c r="H714" t="s">
        <v>5017</v>
      </c>
      <c r="I714" t="s">
        <v>28931</v>
      </c>
      <c r="J714" t="s">
        <v>8082</v>
      </c>
      <c r="K714" t="s">
        <v>7759</v>
      </c>
      <c r="L714" s="7" t="s">
        <v>28931</v>
      </c>
      <c r="M714" t="s">
        <v>28931</v>
      </c>
      <c r="N714">
        <v>21</v>
      </c>
      <c r="O714" t="s">
        <v>5038</v>
      </c>
      <c r="P714" t="s">
        <v>5038</v>
      </c>
      <c r="Q714">
        <v>21</v>
      </c>
      <c r="R714" t="s">
        <v>5038</v>
      </c>
      <c r="S714" t="s">
        <v>5038</v>
      </c>
      <c r="T714" t="s">
        <v>5038</v>
      </c>
      <c r="U714" t="s">
        <v>8083</v>
      </c>
      <c r="V714">
        <f>Tabla1[[#This Row],[Aboard]]-Tabla1[[#This Row],[Fatalities]]</f>
        <v>0</v>
      </c>
      <c r="W714" s="50">
        <f>IFERROR(Tabla1[[#This Row],[Fatalities]]/Tabla1[[#This Row],[Aboard]],0)</f>
        <v>1</v>
      </c>
      <c r="X714" s="51" t="str" cm="1">
        <f t="array" ref="X714">_xlfn.IFS(Tabla1[[#This Row],[Porcentaje de muertes]]&lt;0.35,"LEVE",AND(Tabla1[[#This Row],[Porcentaje de muertes]]&gt;0.35,Tabla1[[#This Row],[Porcentaje de muertes]]&lt;0.65),"MEDIO",Tabla1[[#This Row],[Porcentaje de muertes]]&gt;0.65,"GRAVE")</f>
        <v>GRAVE</v>
      </c>
    </row>
    <row r="715" spans="2:24" x14ac:dyDescent="0.3">
      <c r="B715" s="9">
        <v>713</v>
      </c>
      <c r="C715" s="49">
        <v>16227</v>
      </c>
      <c r="D715" s="9">
        <f>YEAR(Tabla1[[#This Row],[Date]])</f>
        <v>1944</v>
      </c>
      <c r="E715" s="9" t="str" cm="1">
        <f t="array" ref="E715">IFERROR(_xlfn.IFS(AND(D715&lt;1980,D715&gt;=1970),"70",AND(D715&lt;1990,D715&gt;=1980),"80",AND(D715&lt;2000,D715&gt;=1990),"90",AND(D715&lt;2010,D715&gt;=2000),"00",AND(D715&lt;=2019,D715&gt;=2010),"10"),"1908-1970")</f>
        <v>1908-1970</v>
      </c>
      <c r="F715" s="3">
        <v>0.65833333333333333</v>
      </c>
      <c r="G715" t="s">
        <v>8084</v>
      </c>
      <c r="H715" t="s">
        <v>7121</v>
      </c>
      <c r="I715" t="s">
        <v>28931</v>
      </c>
      <c r="J715" t="s">
        <v>8085</v>
      </c>
      <c r="K715" t="s">
        <v>8086</v>
      </c>
      <c r="L715" s="7" t="s">
        <v>8087</v>
      </c>
      <c r="M715" t="s">
        <v>28931</v>
      </c>
      <c r="N715">
        <v>6</v>
      </c>
      <c r="O715">
        <v>3</v>
      </c>
      <c r="P715">
        <v>3</v>
      </c>
      <c r="Q715">
        <v>6</v>
      </c>
      <c r="R715">
        <v>3</v>
      </c>
      <c r="S715">
        <v>3</v>
      </c>
      <c r="T715">
        <v>0</v>
      </c>
      <c r="U715" t="s">
        <v>8088</v>
      </c>
      <c r="V715">
        <f>Tabla1[[#This Row],[Aboard]]-Tabla1[[#This Row],[Fatalities]]</f>
        <v>0</v>
      </c>
      <c r="W715" s="50">
        <f>IFERROR(Tabla1[[#This Row],[Fatalities]]/Tabla1[[#This Row],[Aboard]],0)</f>
        <v>1</v>
      </c>
      <c r="X715" s="51" t="str" cm="1">
        <f t="array" ref="X715">_xlfn.IFS(Tabla1[[#This Row],[Porcentaje de muertes]]&lt;0.35,"LEVE",AND(Tabla1[[#This Row],[Porcentaje de muertes]]&gt;0.35,Tabla1[[#This Row],[Porcentaje de muertes]]&lt;0.65),"MEDIO",Tabla1[[#This Row],[Porcentaje de muertes]]&gt;0.65,"GRAVE")</f>
        <v>GRAVE</v>
      </c>
    </row>
    <row r="716" spans="2:24" x14ac:dyDescent="0.3">
      <c r="B716" s="9">
        <v>714</v>
      </c>
      <c r="C716" s="49">
        <v>16179</v>
      </c>
      <c r="D716" s="9">
        <f>YEAR(Tabla1[[#This Row],[Date]])</f>
        <v>1944</v>
      </c>
      <c r="E716" s="9" t="str" cm="1">
        <f t="array" ref="E716">IFERROR(_xlfn.IFS(AND(D716&lt;1980,D716&gt;=1970),"70",AND(D716&lt;1990,D716&gt;=1980),"80",AND(D716&lt;2000,D716&gt;=1990),"90",AND(D716&lt;2010,D716&gt;=2000),"00",AND(D716&lt;=2019,D716&gt;=2010),"10"),"1908-1970")</f>
        <v>1908-1970</v>
      </c>
      <c r="F716" s="3" t="s">
        <v>28931</v>
      </c>
      <c r="G716" t="s">
        <v>8063</v>
      </c>
      <c r="H716" t="s">
        <v>5417</v>
      </c>
      <c r="I716" t="s">
        <v>28931</v>
      </c>
      <c r="J716" t="s">
        <v>8089</v>
      </c>
      <c r="K716" t="s">
        <v>6555</v>
      </c>
      <c r="L716" s="7" t="s">
        <v>8090</v>
      </c>
      <c r="M716">
        <v>640996</v>
      </c>
      <c r="N716">
        <v>7</v>
      </c>
      <c r="O716">
        <v>4</v>
      </c>
      <c r="P716">
        <v>3</v>
      </c>
      <c r="Q716">
        <v>5</v>
      </c>
      <c r="R716">
        <v>4</v>
      </c>
      <c r="S716">
        <v>1</v>
      </c>
      <c r="T716">
        <v>0</v>
      </c>
      <c r="U716" t="s">
        <v>8091</v>
      </c>
      <c r="V716">
        <f>Tabla1[[#This Row],[Aboard]]-Tabla1[[#This Row],[Fatalities]]</f>
        <v>2</v>
      </c>
      <c r="W716" s="50">
        <f>IFERROR(Tabla1[[#This Row],[Fatalities]]/Tabla1[[#This Row],[Aboard]],0)</f>
        <v>0.7142857142857143</v>
      </c>
      <c r="X716" s="51" t="str" cm="1">
        <f t="array" ref="X716">_xlfn.IFS(Tabla1[[#This Row],[Porcentaje de muertes]]&lt;0.35,"LEVE",AND(Tabla1[[#This Row],[Porcentaje de muertes]]&gt;0.35,Tabla1[[#This Row],[Porcentaje de muertes]]&lt;0.65),"MEDIO",Tabla1[[#This Row],[Porcentaje de muertes]]&gt;0.65,"GRAVE")</f>
        <v>GRAVE</v>
      </c>
    </row>
    <row r="717" spans="2:24" x14ac:dyDescent="0.3">
      <c r="B717" s="9">
        <v>715</v>
      </c>
      <c r="C717" s="49">
        <v>16183</v>
      </c>
      <c r="D717" s="9">
        <f>YEAR(Tabla1[[#This Row],[Date]])</f>
        <v>1944</v>
      </c>
      <c r="E717" s="9" t="str" cm="1">
        <f t="array" ref="E717">IFERROR(_xlfn.IFS(AND(D717&lt;1980,D717&gt;=1970),"70",AND(D717&lt;1990,D717&gt;=1980),"80",AND(D717&lt;2000,D717&gt;=1990),"90",AND(D717&lt;2010,D717&gt;=2000),"00",AND(D717&lt;=2019,D717&gt;=2010),"10"),"1908-1970")</f>
        <v>1908-1970</v>
      </c>
      <c r="F717" s="3" t="s">
        <v>28931</v>
      </c>
      <c r="G717" t="s">
        <v>8092</v>
      </c>
      <c r="H717" t="s">
        <v>5417</v>
      </c>
      <c r="I717" t="s">
        <v>28931</v>
      </c>
      <c r="J717" t="s">
        <v>8093</v>
      </c>
      <c r="K717" t="s">
        <v>7057</v>
      </c>
      <c r="L717" s="7" t="s">
        <v>8094</v>
      </c>
      <c r="M717">
        <v>2095</v>
      </c>
      <c r="N717">
        <v>20</v>
      </c>
      <c r="O717">
        <v>17</v>
      </c>
      <c r="P717">
        <v>3</v>
      </c>
      <c r="Q717">
        <v>9</v>
      </c>
      <c r="R717">
        <v>6</v>
      </c>
      <c r="S717">
        <v>3</v>
      </c>
      <c r="T717">
        <v>0</v>
      </c>
      <c r="U717" t="s">
        <v>8095</v>
      </c>
      <c r="V717">
        <f>Tabla1[[#This Row],[Aboard]]-Tabla1[[#This Row],[Fatalities]]</f>
        <v>11</v>
      </c>
      <c r="W717" s="50">
        <f>IFERROR(Tabla1[[#This Row],[Fatalities]]/Tabla1[[#This Row],[Aboard]],0)</f>
        <v>0.45</v>
      </c>
      <c r="X717" s="51" t="str" cm="1">
        <f t="array" ref="X717">_xlfn.IFS(Tabla1[[#This Row],[Porcentaje de muertes]]&lt;0.35,"LEVE",AND(Tabla1[[#This Row],[Porcentaje de muertes]]&gt;0.35,Tabla1[[#This Row],[Porcentaje de muertes]]&lt;0.65),"MEDIO",Tabla1[[#This Row],[Porcentaje de muertes]]&gt;0.65,"GRAVE")</f>
        <v>MEDIO</v>
      </c>
    </row>
    <row r="718" spans="2:24" x14ac:dyDescent="0.3">
      <c r="B718" s="9">
        <v>716</v>
      </c>
      <c r="C718" s="49">
        <v>16187</v>
      </c>
      <c r="D718" s="9">
        <f>YEAR(Tabla1[[#This Row],[Date]])</f>
        <v>1944</v>
      </c>
      <c r="E718" s="9" t="str" cm="1">
        <f t="array" ref="E718">IFERROR(_xlfn.IFS(AND(D718&lt;1980,D718&gt;=1970),"70",AND(D718&lt;1990,D718&gt;=1980),"80",AND(D718&lt;2000,D718&gt;=1990),"90",AND(D718&lt;2010,D718&gt;=2000),"00",AND(D718&lt;=2019,D718&gt;=2010),"10"),"1908-1970")</f>
        <v>1908-1970</v>
      </c>
      <c r="F718" s="3" t="s">
        <v>28931</v>
      </c>
      <c r="G718" t="s">
        <v>8096</v>
      </c>
      <c r="H718" t="s">
        <v>7665</v>
      </c>
      <c r="I718" t="s">
        <v>28931</v>
      </c>
      <c r="J718" t="s">
        <v>8097</v>
      </c>
      <c r="K718" t="s">
        <v>7739</v>
      </c>
      <c r="L718" s="7" t="s">
        <v>28931</v>
      </c>
      <c r="M718" t="s">
        <v>28931</v>
      </c>
      <c r="N718">
        <v>16</v>
      </c>
      <c r="O718">
        <v>11</v>
      </c>
      <c r="P718">
        <v>5</v>
      </c>
      <c r="Q718">
        <v>16</v>
      </c>
      <c r="R718">
        <v>11</v>
      </c>
      <c r="S718">
        <v>5</v>
      </c>
      <c r="T718">
        <v>0</v>
      </c>
      <c r="U718" t="s">
        <v>8098</v>
      </c>
      <c r="V718">
        <f>Tabla1[[#This Row],[Aboard]]-Tabla1[[#This Row],[Fatalities]]</f>
        <v>0</v>
      </c>
      <c r="W718" s="50">
        <f>IFERROR(Tabla1[[#This Row],[Fatalities]]/Tabla1[[#This Row],[Aboard]],0)</f>
        <v>1</v>
      </c>
      <c r="X718" s="51" t="str" cm="1">
        <f t="array" ref="X718">_xlfn.IFS(Tabla1[[#This Row],[Porcentaje de muertes]]&lt;0.35,"LEVE",AND(Tabla1[[#This Row],[Porcentaje de muertes]]&gt;0.35,Tabla1[[#This Row],[Porcentaje de muertes]]&lt;0.65),"MEDIO",Tabla1[[#This Row],[Porcentaje de muertes]]&gt;0.65,"GRAVE")</f>
        <v>GRAVE</v>
      </c>
    </row>
    <row r="719" spans="2:24" x14ac:dyDescent="0.3">
      <c r="B719" s="9">
        <v>717</v>
      </c>
      <c r="C719" s="49">
        <v>16218</v>
      </c>
      <c r="D719" s="9">
        <f>YEAR(Tabla1[[#This Row],[Date]])</f>
        <v>1944</v>
      </c>
      <c r="E719" s="9" t="str" cm="1">
        <f t="array" ref="E719">IFERROR(_xlfn.IFS(AND(D719&lt;1980,D719&gt;=1970),"70",AND(D719&lt;1990,D719&gt;=1980),"80",AND(D719&lt;2000,D719&gt;=1990),"90",AND(D719&lt;2010,D719&gt;=2000),"00",AND(D719&lt;=2019,D719&gt;=2010),"10"),"1908-1970")</f>
        <v>1908-1970</v>
      </c>
      <c r="F719" s="3" t="s">
        <v>28931</v>
      </c>
      <c r="G719" t="s">
        <v>8099</v>
      </c>
      <c r="H719" t="s">
        <v>6010</v>
      </c>
      <c r="I719" t="s">
        <v>28931</v>
      </c>
      <c r="J719" t="s">
        <v>8100</v>
      </c>
      <c r="K719" t="s">
        <v>7826</v>
      </c>
      <c r="L719" s="7">
        <v>82</v>
      </c>
      <c r="M719" t="s">
        <v>28931</v>
      </c>
      <c r="N719">
        <v>12</v>
      </c>
      <c r="O719">
        <v>9</v>
      </c>
      <c r="P719">
        <v>3</v>
      </c>
      <c r="Q719">
        <v>12</v>
      </c>
      <c r="R719">
        <v>9</v>
      </c>
      <c r="S719">
        <v>3</v>
      </c>
      <c r="T719">
        <v>0</v>
      </c>
      <c r="U719" t="s">
        <v>8101</v>
      </c>
      <c r="V719">
        <f>Tabla1[[#This Row],[Aboard]]-Tabla1[[#This Row],[Fatalities]]</f>
        <v>0</v>
      </c>
      <c r="W719" s="50">
        <f>IFERROR(Tabla1[[#This Row],[Fatalities]]/Tabla1[[#This Row],[Aboard]],0)</f>
        <v>1</v>
      </c>
      <c r="X719" s="51" t="str" cm="1">
        <f t="array" ref="X719">_xlfn.IFS(Tabla1[[#This Row],[Porcentaje de muertes]]&lt;0.35,"LEVE",AND(Tabla1[[#This Row],[Porcentaje de muertes]]&gt;0.35,Tabla1[[#This Row],[Porcentaje de muertes]]&lt;0.65),"MEDIO",Tabla1[[#This Row],[Porcentaje de muertes]]&gt;0.65,"GRAVE")</f>
        <v>GRAVE</v>
      </c>
    </row>
    <row r="720" spans="2:24" x14ac:dyDescent="0.3">
      <c r="B720" s="9">
        <v>718</v>
      </c>
      <c r="C720" s="49">
        <v>16219</v>
      </c>
      <c r="D720" s="9">
        <f>YEAR(Tabla1[[#This Row],[Date]])</f>
        <v>1944</v>
      </c>
      <c r="E720" s="9" t="str" cm="1">
        <f t="array" ref="E720">IFERROR(_xlfn.IFS(AND(D720&lt;1980,D720&gt;=1970),"70",AND(D720&lt;1990,D720&gt;=1980),"80",AND(D720&lt;2000,D720&gt;=1990),"90",AND(D720&lt;2010,D720&gt;=2000),"00",AND(D720&lt;=2019,D720&gt;=2010),"10"),"1908-1970")</f>
        <v>1908-1970</v>
      </c>
      <c r="F720" s="3" t="s">
        <v>28931</v>
      </c>
      <c r="G720" t="s">
        <v>8102</v>
      </c>
      <c r="H720" t="s">
        <v>6010</v>
      </c>
      <c r="I720" t="s">
        <v>28931</v>
      </c>
      <c r="J720" t="s">
        <v>28931</v>
      </c>
      <c r="K720" t="s">
        <v>7057</v>
      </c>
      <c r="L720" s="7" t="s">
        <v>28931</v>
      </c>
      <c r="M720" t="s">
        <v>28931</v>
      </c>
      <c r="N720">
        <v>14</v>
      </c>
      <c r="O720" t="s">
        <v>5038</v>
      </c>
      <c r="P720" t="s">
        <v>5038</v>
      </c>
      <c r="Q720">
        <v>14</v>
      </c>
      <c r="R720" t="s">
        <v>5038</v>
      </c>
      <c r="S720" t="s">
        <v>5038</v>
      </c>
      <c r="T720">
        <v>0</v>
      </c>
      <c r="U720" t="s">
        <v>8103</v>
      </c>
      <c r="V720">
        <f>Tabla1[[#This Row],[Aboard]]-Tabla1[[#This Row],[Fatalities]]</f>
        <v>0</v>
      </c>
      <c r="W720" s="50">
        <f>IFERROR(Tabla1[[#This Row],[Fatalities]]/Tabla1[[#This Row],[Aboard]],0)</f>
        <v>1</v>
      </c>
      <c r="X720" s="51" t="str" cm="1">
        <f t="array" ref="X720">_xlfn.IFS(Tabla1[[#This Row],[Porcentaje de muertes]]&lt;0.35,"LEVE",AND(Tabla1[[#This Row],[Porcentaje de muertes]]&gt;0.35,Tabla1[[#This Row],[Porcentaje de muertes]]&lt;0.65),"MEDIO",Tabla1[[#This Row],[Porcentaje de muertes]]&gt;0.65,"GRAVE")</f>
        <v>GRAVE</v>
      </c>
    </row>
    <row r="721" spans="2:24" x14ac:dyDescent="0.3">
      <c r="B721" s="9">
        <v>719</v>
      </c>
      <c r="C721" s="49">
        <v>16229</v>
      </c>
      <c r="D721" s="9">
        <f>YEAR(Tabla1[[#This Row],[Date]])</f>
        <v>1944</v>
      </c>
      <c r="E721" s="9" t="str" cm="1">
        <f t="array" ref="E721">IFERROR(_xlfn.IFS(AND(D721&lt;1980,D721&gt;=1970),"70",AND(D721&lt;1990,D721&gt;=1980),"80",AND(D721&lt;2000,D721&gt;=1990),"90",AND(D721&lt;2010,D721&gt;=2000),"00",AND(D721&lt;=2019,D721&gt;=2010),"10"),"1908-1970")</f>
        <v>1908-1970</v>
      </c>
      <c r="F721" s="3">
        <v>5.2083333333333336E-2</v>
      </c>
      <c r="G721" t="s">
        <v>8104</v>
      </c>
      <c r="H721" t="s">
        <v>7782</v>
      </c>
      <c r="I721" t="s">
        <v>28931</v>
      </c>
      <c r="J721" t="s">
        <v>28931</v>
      </c>
      <c r="K721" t="s">
        <v>8105</v>
      </c>
      <c r="L721" s="7" t="s">
        <v>8106</v>
      </c>
      <c r="M721">
        <v>112969</v>
      </c>
      <c r="N721">
        <v>22</v>
      </c>
      <c r="O721">
        <v>18</v>
      </c>
      <c r="P721">
        <v>4</v>
      </c>
      <c r="Q721">
        <v>22</v>
      </c>
      <c r="R721">
        <v>18</v>
      </c>
      <c r="S721">
        <v>4</v>
      </c>
      <c r="T721">
        <v>0</v>
      </c>
      <c r="U721" t="s">
        <v>8107</v>
      </c>
      <c r="V721">
        <f>Tabla1[[#This Row],[Aboard]]-Tabla1[[#This Row],[Fatalities]]</f>
        <v>0</v>
      </c>
      <c r="W721" s="50">
        <f>IFERROR(Tabla1[[#This Row],[Fatalities]]/Tabla1[[#This Row],[Aboard]],0)</f>
        <v>1</v>
      </c>
      <c r="X721" s="51" t="str" cm="1">
        <f t="array" ref="X721">_xlfn.IFS(Tabla1[[#This Row],[Porcentaje de muertes]]&lt;0.35,"LEVE",AND(Tabla1[[#This Row],[Porcentaje de muertes]]&gt;0.35,Tabla1[[#This Row],[Porcentaje de muertes]]&lt;0.65),"MEDIO",Tabla1[[#This Row],[Porcentaje de muertes]]&gt;0.65,"GRAVE")</f>
        <v>GRAVE</v>
      </c>
    </row>
    <row r="722" spans="2:24" x14ac:dyDescent="0.3">
      <c r="B722" s="9">
        <v>720</v>
      </c>
      <c r="C722" s="49">
        <v>16229</v>
      </c>
      <c r="D722" s="9">
        <f>YEAR(Tabla1[[#This Row],[Date]])</f>
        <v>1944</v>
      </c>
      <c r="E722" s="9" t="str" cm="1">
        <f t="array" ref="E722">IFERROR(_xlfn.IFS(AND(D722&lt;1980,D722&gt;=1970),"70",AND(D722&lt;1990,D722&gt;=1980),"80",AND(D722&lt;2000,D722&gt;=1990),"90",AND(D722&lt;2010,D722&gt;=2000),"00",AND(D722&lt;=2019,D722&gt;=2010),"10"),"1908-1970")</f>
        <v>1908-1970</v>
      </c>
      <c r="F722" s="3">
        <v>8.3333333333333329E-2</v>
      </c>
      <c r="G722" t="s">
        <v>8108</v>
      </c>
      <c r="H722" t="s">
        <v>7782</v>
      </c>
      <c r="I722" t="s">
        <v>28931</v>
      </c>
      <c r="J722" t="s">
        <v>28931</v>
      </c>
      <c r="K722" t="s">
        <v>8105</v>
      </c>
      <c r="L722" s="7" t="s">
        <v>8109</v>
      </c>
      <c r="M722">
        <v>19368</v>
      </c>
      <c r="N722">
        <v>22</v>
      </c>
      <c r="O722">
        <v>17</v>
      </c>
      <c r="P722">
        <v>5</v>
      </c>
      <c r="Q722">
        <v>22</v>
      </c>
      <c r="R722">
        <v>17</v>
      </c>
      <c r="S722">
        <v>5</v>
      </c>
      <c r="T722">
        <v>0</v>
      </c>
      <c r="U722" t="s">
        <v>8107</v>
      </c>
      <c r="V722">
        <f>Tabla1[[#This Row],[Aboard]]-Tabla1[[#This Row],[Fatalities]]</f>
        <v>0</v>
      </c>
      <c r="W722" s="50">
        <f>IFERROR(Tabla1[[#This Row],[Fatalities]]/Tabla1[[#This Row],[Aboard]],0)</f>
        <v>1</v>
      </c>
      <c r="X722" s="51" t="str" cm="1">
        <f t="array" ref="X722">_xlfn.IFS(Tabla1[[#This Row],[Porcentaje de muertes]]&lt;0.35,"LEVE",AND(Tabla1[[#This Row],[Porcentaje de muertes]]&gt;0.35,Tabla1[[#This Row],[Porcentaje de muertes]]&lt;0.65),"MEDIO",Tabla1[[#This Row],[Porcentaje de muertes]]&gt;0.65,"GRAVE")</f>
        <v>GRAVE</v>
      </c>
    </row>
    <row r="723" spans="2:24" x14ac:dyDescent="0.3">
      <c r="B723" s="9">
        <v>721</v>
      </c>
      <c r="C723" s="49">
        <v>16229</v>
      </c>
      <c r="D723" s="9">
        <f>YEAR(Tabla1[[#This Row],[Date]])</f>
        <v>1944</v>
      </c>
      <c r="E723" s="9" t="str" cm="1">
        <f t="array" ref="E723">IFERROR(_xlfn.IFS(AND(D723&lt;1980,D723&gt;=1970),"70",AND(D723&lt;1990,D723&gt;=1980),"80",AND(D723&lt;2000,D723&gt;=1990),"90",AND(D723&lt;2010,D723&gt;=2000),"00",AND(D723&lt;=2019,D723&gt;=2010),"10"),"1908-1970")</f>
        <v>1908-1970</v>
      </c>
      <c r="F723" s="3">
        <v>6.25E-2</v>
      </c>
      <c r="G723" t="s">
        <v>8110</v>
      </c>
      <c r="H723" t="s">
        <v>7782</v>
      </c>
      <c r="I723" t="s">
        <v>28931</v>
      </c>
      <c r="J723" t="s">
        <v>28931</v>
      </c>
      <c r="K723" t="s">
        <v>7953</v>
      </c>
      <c r="L723" s="7" t="s">
        <v>8111</v>
      </c>
      <c r="M723">
        <v>19498</v>
      </c>
      <c r="N723">
        <v>22</v>
      </c>
      <c r="O723">
        <v>18</v>
      </c>
      <c r="P723">
        <v>4</v>
      </c>
      <c r="Q723">
        <v>22</v>
      </c>
      <c r="R723">
        <v>18</v>
      </c>
      <c r="S723">
        <v>4</v>
      </c>
      <c r="T723">
        <v>0</v>
      </c>
      <c r="U723" t="s">
        <v>8107</v>
      </c>
      <c r="V723">
        <f>Tabla1[[#This Row],[Aboard]]-Tabla1[[#This Row],[Fatalities]]</f>
        <v>0</v>
      </c>
      <c r="W723" s="50">
        <f>IFERROR(Tabla1[[#This Row],[Fatalities]]/Tabla1[[#This Row],[Aboard]],0)</f>
        <v>1</v>
      </c>
      <c r="X723" s="51" t="str" cm="1">
        <f t="array" ref="X723">_xlfn.IFS(Tabla1[[#This Row],[Porcentaje de muertes]]&lt;0.35,"LEVE",AND(Tabla1[[#This Row],[Porcentaje de muertes]]&gt;0.35,Tabla1[[#This Row],[Porcentaje de muertes]]&lt;0.65),"MEDIO",Tabla1[[#This Row],[Porcentaje de muertes]]&gt;0.65,"GRAVE")</f>
        <v>GRAVE</v>
      </c>
    </row>
    <row r="724" spans="2:24" x14ac:dyDescent="0.3">
      <c r="B724" s="9">
        <v>722</v>
      </c>
      <c r="C724" s="49">
        <v>16290</v>
      </c>
      <c r="D724" s="9">
        <f>YEAR(Tabla1[[#This Row],[Date]])</f>
        <v>1944</v>
      </c>
      <c r="E724" s="9" t="str" cm="1">
        <f t="array" ref="E724">IFERROR(_xlfn.IFS(AND(D724&lt;1980,D724&gt;=1970),"70",AND(D724&lt;1990,D724&gt;=1980),"80",AND(D724&lt;2000,D724&gt;=1990),"90",AND(D724&lt;2010,D724&gt;=2000),"00",AND(D724&lt;=2019,D724&gt;=2010),"10"),"1908-1970")</f>
        <v>1908-1970</v>
      </c>
      <c r="F724" s="3" t="s">
        <v>28931</v>
      </c>
      <c r="G724" t="s">
        <v>7762</v>
      </c>
      <c r="H724" t="s">
        <v>6010</v>
      </c>
      <c r="I724" t="s">
        <v>28931</v>
      </c>
      <c r="J724" t="s">
        <v>8112</v>
      </c>
      <c r="K724" t="s">
        <v>7826</v>
      </c>
      <c r="L724" s="7">
        <v>85</v>
      </c>
      <c r="M724" t="s">
        <v>28931</v>
      </c>
      <c r="N724">
        <v>6</v>
      </c>
      <c r="O724">
        <v>0</v>
      </c>
      <c r="P724">
        <v>6</v>
      </c>
      <c r="Q724">
        <v>6</v>
      </c>
      <c r="R724">
        <v>0</v>
      </c>
      <c r="S724">
        <v>6</v>
      </c>
      <c r="T724">
        <v>0</v>
      </c>
      <c r="U724" t="s">
        <v>8113</v>
      </c>
      <c r="V724">
        <f>Tabla1[[#This Row],[Aboard]]-Tabla1[[#This Row],[Fatalities]]</f>
        <v>0</v>
      </c>
      <c r="W724" s="50">
        <f>IFERROR(Tabla1[[#This Row],[Fatalities]]/Tabla1[[#This Row],[Aboard]],0)</f>
        <v>1</v>
      </c>
      <c r="X724" s="51" t="str" cm="1">
        <f t="array" ref="X724">_xlfn.IFS(Tabla1[[#This Row],[Porcentaje de muertes]]&lt;0.35,"LEVE",AND(Tabla1[[#This Row],[Porcentaje de muertes]]&gt;0.35,Tabla1[[#This Row],[Porcentaje de muertes]]&lt;0.65),"MEDIO",Tabla1[[#This Row],[Porcentaje de muertes]]&gt;0.65,"GRAVE")</f>
        <v>GRAVE</v>
      </c>
    </row>
    <row r="725" spans="2:24" x14ac:dyDescent="0.3">
      <c r="B725" s="9">
        <v>723</v>
      </c>
      <c r="C725" s="49">
        <v>16241</v>
      </c>
      <c r="D725" s="9">
        <f>YEAR(Tabla1[[#This Row],[Date]])</f>
        <v>1944</v>
      </c>
      <c r="E725" s="9" t="str" cm="1">
        <f t="array" ref="E725">IFERROR(_xlfn.IFS(AND(D725&lt;1980,D725&gt;=1970),"70",AND(D725&lt;1990,D725&gt;=1980),"80",AND(D725&lt;2000,D725&gt;=1990),"90",AND(D725&lt;2010,D725&gt;=2000),"00",AND(D725&lt;=2019,D725&gt;=2010),"10"),"1908-1970")</f>
        <v>1908-1970</v>
      </c>
      <c r="F725" s="3" t="s">
        <v>28931</v>
      </c>
      <c r="G725" t="s">
        <v>8114</v>
      </c>
      <c r="H725" t="s">
        <v>6010</v>
      </c>
      <c r="I725" t="s">
        <v>28931</v>
      </c>
      <c r="J725" t="s">
        <v>8115</v>
      </c>
      <c r="K725" t="s">
        <v>7826</v>
      </c>
      <c r="L725" s="7">
        <v>71</v>
      </c>
      <c r="M725" t="s">
        <v>28931</v>
      </c>
      <c r="N725">
        <v>4</v>
      </c>
      <c r="O725">
        <v>1</v>
      </c>
      <c r="P725">
        <v>3</v>
      </c>
      <c r="Q725">
        <v>2</v>
      </c>
      <c r="R725">
        <v>1</v>
      </c>
      <c r="S725">
        <v>1</v>
      </c>
      <c r="T725">
        <v>0</v>
      </c>
      <c r="U725" t="s">
        <v>8116</v>
      </c>
      <c r="V725">
        <f>Tabla1[[#This Row],[Aboard]]-Tabla1[[#This Row],[Fatalities]]</f>
        <v>2</v>
      </c>
      <c r="W725" s="50">
        <f>IFERROR(Tabla1[[#This Row],[Fatalities]]/Tabla1[[#This Row],[Aboard]],0)</f>
        <v>0.5</v>
      </c>
      <c r="X725" s="51" t="str" cm="1">
        <f t="array" ref="X725">_xlfn.IFS(Tabla1[[#This Row],[Porcentaje de muertes]]&lt;0.35,"LEVE",AND(Tabla1[[#This Row],[Porcentaje de muertes]]&gt;0.35,Tabla1[[#This Row],[Porcentaje de muertes]]&lt;0.65),"MEDIO",Tabla1[[#This Row],[Porcentaje de muertes]]&gt;0.65,"GRAVE")</f>
        <v>MEDIO</v>
      </c>
    </row>
    <row r="726" spans="2:24" x14ac:dyDescent="0.3">
      <c r="B726" s="9">
        <v>724</v>
      </c>
      <c r="C726" s="49">
        <v>16243</v>
      </c>
      <c r="D726" s="9">
        <f>YEAR(Tabla1[[#This Row],[Date]])</f>
        <v>1944</v>
      </c>
      <c r="E726" s="9" t="str" cm="1">
        <f t="array" ref="E726">IFERROR(_xlfn.IFS(AND(D726&lt;1980,D726&gt;=1970),"70",AND(D726&lt;1990,D726&gt;=1980),"80",AND(D726&lt;2000,D726&gt;=1990),"90",AND(D726&lt;2010,D726&gt;=2000),"00",AND(D726&lt;=2019,D726&gt;=2010),"10"),"1908-1970")</f>
        <v>1908-1970</v>
      </c>
      <c r="F726" s="3" t="s">
        <v>28931</v>
      </c>
      <c r="G726" t="s">
        <v>8117</v>
      </c>
      <c r="H726" t="s">
        <v>8118</v>
      </c>
      <c r="I726" t="s">
        <v>28931</v>
      </c>
      <c r="J726" t="s">
        <v>28931</v>
      </c>
      <c r="K726" t="s">
        <v>8119</v>
      </c>
      <c r="L726" s="7" t="s">
        <v>8120</v>
      </c>
      <c r="M726">
        <v>1008</v>
      </c>
      <c r="N726">
        <v>10</v>
      </c>
      <c r="O726">
        <v>8</v>
      </c>
      <c r="P726">
        <v>2</v>
      </c>
      <c r="Q726">
        <v>10</v>
      </c>
      <c r="R726">
        <v>8</v>
      </c>
      <c r="S726">
        <v>2</v>
      </c>
      <c r="T726">
        <v>0</v>
      </c>
      <c r="U726" t="s">
        <v>8121</v>
      </c>
      <c r="V726">
        <f>Tabla1[[#This Row],[Aboard]]-Tabla1[[#This Row],[Fatalities]]</f>
        <v>0</v>
      </c>
      <c r="W726" s="50">
        <f>IFERROR(Tabla1[[#This Row],[Fatalities]]/Tabla1[[#This Row],[Aboard]],0)</f>
        <v>1</v>
      </c>
      <c r="X726" s="51" t="str" cm="1">
        <f t="array" ref="X726">_xlfn.IFS(Tabla1[[#This Row],[Porcentaje de muertes]]&lt;0.35,"LEVE",AND(Tabla1[[#This Row],[Porcentaje de muertes]]&gt;0.35,Tabla1[[#This Row],[Porcentaje de muertes]]&lt;0.65),"MEDIO",Tabla1[[#This Row],[Porcentaje de muertes]]&gt;0.65,"GRAVE")</f>
        <v>GRAVE</v>
      </c>
    </row>
    <row r="727" spans="2:24" x14ac:dyDescent="0.3">
      <c r="B727" s="9">
        <v>725</v>
      </c>
      <c r="C727" s="49">
        <v>16383</v>
      </c>
      <c r="D727" s="9">
        <f>YEAR(Tabla1[[#This Row],[Date]])</f>
        <v>1944</v>
      </c>
      <c r="E727" s="9" t="str" cm="1">
        <f t="array" ref="E727">IFERROR(_xlfn.IFS(AND(D727&lt;1980,D727&gt;=1970),"70",AND(D727&lt;1990,D727&gt;=1980),"80",AND(D727&lt;2000,D727&gt;=1990),"90",AND(D727&lt;2010,D727&gt;=2000),"00",AND(D727&lt;=2019,D727&gt;=2010),"10"),"1908-1970")</f>
        <v>1908-1970</v>
      </c>
      <c r="F727" s="3">
        <v>0.69444444444444453</v>
      </c>
      <c r="G727" t="s">
        <v>8122</v>
      </c>
      <c r="H727" t="s">
        <v>5017</v>
      </c>
      <c r="I727" t="s">
        <v>28931</v>
      </c>
      <c r="J727" t="s">
        <v>8123</v>
      </c>
      <c r="K727" t="s">
        <v>8124</v>
      </c>
      <c r="L727" s="7" t="s">
        <v>8125</v>
      </c>
      <c r="M727">
        <v>18400</v>
      </c>
      <c r="N727">
        <v>2</v>
      </c>
      <c r="O727">
        <v>0</v>
      </c>
      <c r="P727">
        <v>2</v>
      </c>
      <c r="Q727">
        <v>2</v>
      </c>
      <c r="R727">
        <v>0</v>
      </c>
      <c r="S727">
        <v>2</v>
      </c>
      <c r="T727">
        <v>19</v>
      </c>
      <c r="U727" t="s">
        <v>8126</v>
      </c>
      <c r="V727">
        <f>Tabla1[[#This Row],[Aboard]]-Tabla1[[#This Row],[Fatalities]]</f>
        <v>0</v>
      </c>
      <c r="W727" s="50">
        <f>IFERROR(Tabla1[[#This Row],[Fatalities]]/Tabla1[[#This Row],[Aboard]],0)</f>
        <v>1</v>
      </c>
      <c r="X727" s="51" t="str" cm="1">
        <f t="array" ref="X727">_xlfn.IFS(Tabla1[[#This Row],[Porcentaje de muertes]]&lt;0.35,"LEVE",AND(Tabla1[[#This Row],[Porcentaje de muertes]]&gt;0.35,Tabla1[[#This Row],[Porcentaje de muertes]]&lt;0.65),"MEDIO",Tabla1[[#This Row],[Porcentaje de muertes]]&gt;0.65,"GRAVE")</f>
        <v>GRAVE</v>
      </c>
    </row>
    <row r="728" spans="2:24" x14ac:dyDescent="0.3">
      <c r="B728" s="9">
        <v>726</v>
      </c>
      <c r="C728" s="49">
        <v>16276</v>
      </c>
      <c r="D728" s="9">
        <f>YEAR(Tabla1[[#This Row],[Date]])</f>
        <v>1944</v>
      </c>
      <c r="E728" s="9" t="str" cm="1">
        <f t="array" ref="E728">IFERROR(_xlfn.IFS(AND(D728&lt;1980,D728&gt;=1970),"70",AND(D728&lt;1990,D728&gt;=1980),"80",AND(D728&lt;2000,D728&gt;=1990),"90",AND(D728&lt;2010,D728&gt;=2000),"00",AND(D728&lt;=2019,D728&gt;=2010),"10"),"1908-1970")</f>
        <v>1908-1970</v>
      </c>
      <c r="F728" s="3" t="s">
        <v>28931</v>
      </c>
      <c r="G728" t="s">
        <v>8127</v>
      </c>
      <c r="H728" t="s">
        <v>7957</v>
      </c>
      <c r="I728" t="s">
        <v>28931</v>
      </c>
      <c r="J728" t="s">
        <v>8128</v>
      </c>
      <c r="K728" t="s">
        <v>8129</v>
      </c>
      <c r="L728" s="7">
        <v>39090</v>
      </c>
      <c r="M728">
        <v>13859</v>
      </c>
      <c r="N728">
        <v>17</v>
      </c>
      <c r="O728">
        <v>15</v>
      </c>
      <c r="P728">
        <v>2</v>
      </c>
      <c r="Q728">
        <v>17</v>
      </c>
      <c r="R728">
        <v>15</v>
      </c>
      <c r="S728">
        <v>2</v>
      </c>
      <c r="T728">
        <v>0</v>
      </c>
      <c r="U728" t="s">
        <v>8130</v>
      </c>
      <c r="V728">
        <f>Tabla1[[#This Row],[Aboard]]-Tabla1[[#This Row],[Fatalities]]</f>
        <v>0</v>
      </c>
      <c r="W728" s="50">
        <f>IFERROR(Tabla1[[#This Row],[Fatalities]]/Tabla1[[#This Row],[Aboard]],0)</f>
        <v>1</v>
      </c>
      <c r="X728" s="51" t="str" cm="1">
        <f t="array" ref="X728">_xlfn.IFS(Tabla1[[#This Row],[Porcentaje de muertes]]&lt;0.35,"LEVE",AND(Tabla1[[#This Row],[Porcentaje de muertes]]&gt;0.35,Tabla1[[#This Row],[Porcentaje de muertes]]&lt;0.65),"MEDIO",Tabla1[[#This Row],[Porcentaje de muertes]]&gt;0.65,"GRAVE")</f>
        <v>GRAVE</v>
      </c>
    </row>
    <row r="729" spans="2:24" x14ac:dyDescent="0.3">
      <c r="B729" s="9">
        <v>727</v>
      </c>
      <c r="C729" s="49">
        <v>16279</v>
      </c>
      <c r="D729" s="9">
        <f>YEAR(Tabla1[[#This Row],[Date]])</f>
        <v>1944</v>
      </c>
      <c r="E729" s="9" t="str" cm="1">
        <f t="array" ref="E729">IFERROR(_xlfn.IFS(AND(D729&lt;1980,D729&gt;=1970),"70",AND(D729&lt;1990,D729&gt;=1980),"80",AND(D729&lt;2000,D729&gt;=1990),"90",AND(D729&lt;2010,D729&gt;=2000),"00",AND(D729&lt;=2019,D729&gt;=2010),"10"),"1908-1970")</f>
        <v>1908-1970</v>
      </c>
      <c r="F729" s="3">
        <v>0.125</v>
      </c>
      <c r="G729" t="s">
        <v>5231</v>
      </c>
      <c r="H729" t="s">
        <v>7782</v>
      </c>
      <c r="I729" t="s">
        <v>28931</v>
      </c>
      <c r="J729" t="s">
        <v>8131</v>
      </c>
      <c r="K729" t="s">
        <v>8132</v>
      </c>
      <c r="L729" s="7" t="s">
        <v>8133</v>
      </c>
      <c r="M729">
        <v>7489</v>
      </c>
      <c r="N729">
        <v>26</v>
      </c>
      <c r="O729">
        <v>20</v>
      </c>
      <c r="P729">
        <v>6</v>
      </c>
      <c r="Q729">
        <v>26</v>
      </c>
      <c r="R729">
        <v>20</v>
      </c>
      <c r="S729">
        <v>6</v>
      </c>
      <c r="T729">
        <v>0</v>
      </c>
      <c r="U729" t="s">
        <v>8134</v>
      </c>
      <c r="V729">
        <f>Tabla1[[#This Row],[Aboard]]-Tabla1[[#This Row],[Fatalities]]</f>
        <v>0</v>
      </c>
      <c r="W729" s="50">
        <f>IFERROR(Tabla1[[#This Row],[Fatalities]]/Tabla1[[#This Row],[Aboard]],0)</f>
        <v>1</v>
      </c>
      <c r="X729" s="51" t="str" cm="1">
        <f t="array" ref="X729">_xlfn.IFS(Tabla1[[#This Row],[Porcentaje de muertes]]&lt;0.35,"LEVE",AND(Tabla1[[#This Row],[Porcentaje de muertes]]&gt;0.35,Tabla1[[#This Row],[Porcentaje de muertes]]&lt;0.65),"MEDIO",Tabla1[[#This Row],[Porcentaje de muertes]]&gt;0.65,"GRAVE")</f>
        <v>GRAVE</v>
      </c>
    </row>
    <row r="730" spans="2:24" x14ac:dyDescent="0.3">
      <c r="B730" s="9">
        <v>728</v>
      </c>
      <c r="C730" s="49">
        <v>16280</v>
      </c>
      <c r="D730" s="9">
        <f>YEAR(Tabla1[[#This Row],[Date]])</f>
        <v>1944</v>
      </c>
      <c r="E730" s="9" t="str" cm="1">
        <f t="array" ref="E730">IFERROR(_xlfn.IFS(AND(D730&lt;1980,D730&gt;=1970),"70",AND(D730&lt;1990,D730&gt;=1980),"80",AND(D730&lt;2000,D730&gt;=1990),"90",AND(D730&lt;2010,D730&gt;=2000),"00",AND(D730&lt;=2019,D730&gt;=2010),"10"),"1908-1970")</f>
        <v>1908-1970</v>
      </c>
      <c r="F730" s="3">
        <v>0.66666666666666663</v>
      </c>
      <c r="G730" t="s">
        <v>8135</v>
      </c>
      <c r="H730" t="s">
        <v>7782</v>
      </c>
      <c r="I730" t="s">
        <v>28931</v>
      </c>
      <c r="J730" t="s">
        <v>8136</v>
      </c>
      <c r="K730" t="s">
        <v>8137</v>
      </c>
      <c r="L730" s="7" t="s">
        <v>8138</v>
      </c>
      <c r="M730">
        <v>12905</v>
      </c>
      <c r="N730">
        <v>22</v>
      </c>
      <c r="O730">
        <v>17</v>
      </c>
      <c r="P730">
        <v>5</v>
      </c>
      <c r="Q730">
        <v>22</v>
      </c>
      <c r="R730">
        <v>17</v>
      </c>
      <c r="S730">
        <v>5</v>
      </c>
      <c r="T730">
        <v>0</v>
      </c>
      <c r="U730" t="s">
        <v>8139</v>
      </c>
      <c r="V730">
        <f>Tabla1[[#This Row],[Aboard]]-Tabla1[[#This Row],[Fatalities]]</f>
        <v>0</v>
      </c>
      <c r="W730" s="50">
        <f>IFERROR(Tabla1[[#This Row],[Fatalities]]/Tabla1[[#This Row],[Aboard]],0)</f>
        <v>1</v>
      </c>
      <c r="X730" s="51" t="str" cm="1">
        <f t="array" ref="X730">_xlfn.IFS(Tabla1[[#This Row],[Porcentaje de muertes]]&lt;0.35,"LEVE",AND(Tabla1[[#This Row],[Porcentaje de muertes]]&gt;0.35,Tabla1[[#This Row],[Porcentaje de muertes]]&lt;0.65),"MEDIO",Tabla1[[#This Row],[Porcentaje de muertes]]&gt;0.65,"GRAVE")</f>
        <v>GRAVE</v>
      </c>
    </row>
    <row r="731" spans="2:24" x14ac:dyDescent="0.3">
      <c r="B731" s="9">
        <v>729</v>
      </c>
      <c r="C731" s="49">
        <v>16284</v>
      </c>
      <c r="D731" s="9">
        <f>YEAR(Tabla1[[#This Row],[Date]])</f>
        <v>1944</v>
      </c>
      <c r="E731" s="9" t="str" cm="1">
        <f t="array" ref="E731">IFERROR(_xlfn.IFS(AND(D731&lt;1980,D731&gt;=1970),"70",AND(D731&lt;1990,D731&gt;=1980),"80",AND(D731&lt;2000,D731&gt;=1990),"90",AND(D731&lt;2010,D731&gt;=2000),"00",AND(D731&lt;=2019,D731&gt;=2010),"10"),"1908-1970")</f>
        <v>1908-1970</v>
      </c>
      <c r="F731" s="3" t="s">
        <v>28931</v>
      </c>
      <c r="G731" t="s">
        <v>8140</v>
      </c>
      <c r="H731" t="s">
        <v>5755</v>
      </c>
      <c r="I731" t="s">
        <v>28931</v>
      </c>
      <c r="J731" t="s">
        <v>28931</v>
      </c>
      <c r="K731" t="s">
        <v>8141</v>
      </c>
      <c r="L731" s="7">
        <v>7233</v>
      </c>
      <c r="M731" t="s">
        <v>28931</v>
      </c>
      <c r="N731">
        <v>24</v>
      </c>
      <c r="O731">
        <v>17</v>
      </c>
      <c r="P731">
        <v>7</v>
      </c>
      <c r="Q731">
        <v>22</v>
      </c>
      <c r="R731">
        <v>16</v>
      </c>
      <c r="S731">
        <v>6</v>
      </c>
      <c r="T731">
        <v>0</v>
      </c>
      <c r="U731" t="s">
        <v>8142</v>
      </c>
      <c r="V731">
        <f>Tabla1[[#This Row],[Aboard]]-Tabla1[[#This Row],[Fatalities]]</f>
        <v>2</v>
      </c>
      <c r="W731" s="50">
        <f>IFERROR(Tabla1[[#This Row],[Fatalities]]/Tabla1[[#This Row],[Aboard]],0)</f>
        <v>0.91666666666666663</v>
      </c>
      <c r="X731" s="51" t="str" cm="1">
        <f t="array" ref="X731">_xlfn.IFS(Tabla1[[#This Row],[Porcentaje de muertes]]&lt;0.35,"LEVE",AND(Tabla1[[#This Row],[Porcentaje de muertes]]&gt;0.35,Tabla1[[#This Row],[Porcentaje de muertes]]&lt;0.65),"MEDIO",Tabla1[[#This Row],[Porcentaje de muertes]]&gt;0.65,"GRAVE")</f>
        <v>GRAVE</v>
      </c>
    </row>
    <row r="732" spans="2:24" x14ac:dyDescent="0.3">
      <c r="B732" s="9">
        <v>730</v>
      </c>
      <c r="C732" s="49">
        <v>16139</v>
      </c>
      <c r="D732" s="9">
        <f>YEAR(Tabla1[[#This Row],[Date]])</f>
        <v>1944</v>
      </c>
      <c r="E732" s="9" t="str" cm="1">
        <f t="array" ref="E732">IFERROR(_xlfn.IFS(AND(D732&lt;1980,D732&gt;=1970),"70",AND(D732&lt;1990,D732&gt;=1980),"80",AND(D732&lt;2000,D732&gt;=1990),"90",AND(D732&lt;2010,D732&gt;=2000),"00",AND(D732&lt;=2019,D732&gt;=2010),"10"),"1908-1970")</f>
        <v>1908-1970</v>
      </c>
      <c r="F732" s="3">
        <v>0.85416666666666663</v>
      </c>
      <c r="G732" t="s">
        <v>8143</v>
      </c>
      <c r="H732" t="s">
        <v>7782</v>
      </c>
      <c r="I732" t="s">
        <v>28931</v>
      </c>
      <c r="J732" t="s">
        <v>8144</v>
      </c>
      <c r="K732" t="s">
        <v>7953</v>
      </c>
      <c r="L732" s="7" t="s">
        <v>8145</v>
      </c>
      <c r="M732">
        <v>9514</v>
      </c>
      <c r="N732">
        <v>28</v>
      </c>
      <c r="O732">
        <v>24</v>
      </c>
      <c r="P732">
        <v>4</v>
      </c>
      <c r="Q732">
        <v>28</v>
      </c>
      <c r="R732">
        <v>24</v>
      </c>
      <c r="S732">
        <v>4</v>
      </c>
      <c r="T732">
        <v>0</v>
      </c>
      <c r="U732" t="s">
        <v>8146</v>
      </c>
      <c r="V732">
        <f>Tabla1[[#This Row],[Aboard]]-Tabla1[[#This Row],[Fatalities]]</f>
        <v>0</v>
      </c>
      <c r="W732" s="50">
        <f>IFERROR(Tabla1[[#This Row],[Fatalities]]/Tabla1[[#This Row],[Aboard]],0)</f>
        <v>1</v>
      </c>
      <c r="X732" s="51" t="str" cm="1">
        <f t="array" ref="X732">_xlfn.IFS(Tabla1[[#This Row],[Porcentaje de muertes]]&lt;0.35,"LEVE",AND(Tabla1[[#This Row],[Porcentaje de muertes]]&gt;0.35,Tabla1[[#This Row],[Porcentaje de muertes]]&lt;0.65),"MEDIO",Tabla1[[#This Row],[Porcentaje de muertes]]&gt;0.65,"GRAVE")</f>
        <v>GRAVE</v>
      </c>
    </row>
    <row r="733" spans="2:24" x14ac:dyDescent="0.3">
      <c r="B733" s="9">
        <v>731</v>
      </c>
      <c r="C733" s="49">
        <v>16292</v>
      </c>
      <c r="D733" s="9">
        <f>YEAR(Tabla1[[#This Row],[Date]])</f>
        <v>1944</v>
      </c>
      <c r="E733" s="9" t="str" cm="1">
        <f t="array" ref="E733">IFERROR(_xlfn.IFS(AND(D733&lt;1980,D733&gt;=1970),"70",AND(D733&lt;1990,D733&gt;=1980),"80",AND(D733&lt;2000,D733&gt;=1990),"90",AND(D733&lt;2010,D733&gt;=2000),"00",AND(D733&lt;=2019,D733&gt;=2010),"10"),"1908-1970")</f>
        <v>1908-1970</v>
      </c>
      <c r="F733" s="3">
        <v>0.55555555555555558</v>
      </c>
      <c r="G733" t="s">
        <v>8147</v>
      </c>
      <c r="H733" t="s">
        <v>7121</v>
      </c>
      <c r="I733">
        <v>218</v>
      </c>
      <c r="J733" t="s">
        <v>8148</v>
      </c>
      <c r="K733" t="s">
        <v>7123</v>
      </c>
      <c r="L733" s="7" t="s">
        <v>8149</v>
      </c>
      <c r="M733">
        <v>4201</v>
      </c>
      <c r="N733">
        <v>31</v>
      </c>
      <c r="O733">
        <v>26</v>
      </c>
      <c r="P733">
        <v>5</v>
      </c>
      <c r="Q733">
        <v>17</v>
      </c>
      <c r="R733">
        <v>17</v>
      </c>
      <c r="S733">
        <v>0</v>
      </c>
      <c r="T733">
        <v>0</v>
      </c>
      <c r="U733" t="s">
        <v>8150</v>
      </c>
      <c r="V733">
        <f>Tabla1[[#This Row],[Aboard]]-Tabla1[[#This Row],[Fatalities]]</f>
        <v>14</v>
      </c>
      <c r="W733" s="50">
        <f>IFERROR(Tabla1[[#This Row],[Fatalities]]/Tabla1[[#This Row],[Aboard]],0)</f>
        <v>0.54838709677419351</v>
      </c>
      <c r="X733" s="51" t="str" cm="1">
        <f t="array" ref="X733">_xlfn.IFS(Tabla1[[#This Row],[Porcentaje de muertes]]&lt;0.35,"LEVE",AND(Tabla1[[#This Row],[Porcentaje de muertes]]&gt;0.35,Tabla1[[#This Row],[Porcentaje de muertes]]&lt;0.65),"MEDIO",Tabla1[[#This Row],[Porcentaje de muertes]]&gt;0.65,"GRAVE")</f>
        <v>MEDIO</v>
      </c>
    </row>
    <row r="734" spans="2:24" x14ac:dyDescent="0.3">
      <c r="B734" s="9">
        <v>732</v>
      </c>
      <c r="C734" s="49">
        <v>16414</v>
      </c>
      <c r="D734" s="9">
        <f>YEAR(Tabla1[[#This Row],[Date]])</f>
        <v>1944</v>
      </c>
      <c r="E734" s="9" t="str" cm="1">
        <f t="array" ref="E734">IFERROR(_xlfn.IFS(AND(D734&lt;1980,D734&gt;=1970),"70",AND(D734&lt;1990,D734&gt;=1980),"80",AND(D734&lt;2000,D734&gt;=1990),"90",AND(D734&lt;2010,D734&gt;=2000),"00",AND(D734&lt;=2019,D734&gt;=2010),"10"),"1908-1970")</f>
        <v>1908-1970</v>
      </c>
      <c r="F734" s="3">
        <v>0.76388888888888884</v>
      </c>
      <c r="G734" t="s">
        <v>8151</v>
      </c>
      <c r="H734" t="s">
        <v>5027</v>
      </c>
      <c r="I734" t="s">
        <v>8152</v>
      </c>
      <c r="J734" t="s">
        <v>28931</v>
      </c>
      <c r="K734" t="s">
        <v>8153</v>
      </c>
      <c r="L734" s="7">
        <v>32271</v>
      </c>
      <c r="M734" t="s">
        <v>28931</v>
      </c>
      <c r="N734">
        <v>2</v>
      </c>
      <c r="O734">
        <v>0</v>
      </c>
      <c r="P734">
        <v>2</v>
      </c>
      <c r="Q734">
        <v>2</v>
      </c>
      <c r="R734">
        <v>0</v>
      </c>
      <c r="S734">
        <v>2</v>
      </c>
      <c r="T734">
        <v>0</v>
      </c>
      <c r="U734" t="s">
        <v>8154</v>
      </c>
      <c r="V734">
        <f>Tabla1[[#This Row],[Aboard]]-Tabla1[[#This Row],[Fatalities]]</f>
        <v>0</v>
      </c>
      <c r="W734" s="50">
        <f>IFERROR(Tabla1[[#This Row],[Fatalities]]/Tabla1[[#This Row],[Aboard]],0)</f>
        <v>1</v>
      </c>
      <c r="X734" s="51" t="str" cm="1">
        <f t="array" ref="X734">_xlfn.IFS(Tabla1[[#This Row],[Porcentaje de muertes]]&lt;0.35,"LEVE",AND(Tabla1[[#This Row],[Porcentaje de muertes]]&gt;0.35,Tabla1[[#This Row],[Porcentaje de muertes]]&lt;0.65),"MEDIO",Tabla1[[#This Row],[Porcentaje de muertes]]&gt;0.65,"GRAVE")</f>
        <v>GRAVE</v>
      </c>
    </row>
    <row r="735" spans="2:24" x14ac:dyDescent="0.3">
      <c r="B735" s="9">
        <v>733</v>
      </c>
      <c r="C735" s="49">
        <v>16307</v>
      </c>
      <c r="D735" s="9">
        <f>YEAR(Tabla1[[#This Row],[Date]])</f>
        <v>1944</v>
      </c>
      <c r="E735" s="9" t="str" cm="1">
        <f t="array" ref="E735">IFERROR(_xlfn.IFS(AND(D735&lt;1980,D735&gt;=1970),"70",AND(D735&lt;1990,D735&gt;=1980),"80",AND(D735&lt;2000,D735&gt;=1990),"90",AND(D735&lt;2010,D735&gt;=2000),"00",AND(D735&lt;=2019,D735&gt;=2010),"10"),"1908-1970")</f>
        <v>1908-1970</v>
      </c>
      <c r="F735" s="3">
        <v>0.44791666666666669</v>
      </c>
      <c r="G735" t="s">
        <v>8155</v>
      </c>
      <c r="H735" t="s">
        <v>7987</v>
      </c>
      <c r="I735" t="s">
        <v>28931</v>
      </c>
      <c r="J735" t="s">
        <v>28931</v>
      </c>
      <c r="K735" t="s">
        <v>8156</v>
      </c>
      <c r="L735" s="7" t="s">
        <v>8157</v>
      </c>
      <c r="M735" t="s">
        <v>28931</v>
      </c>
      <c r="N735">
        <v>3</v>
      </c>
      <c r="O735">
        <v>0</v>
      </c>
      <c r="P735">
        <v>3</v>
      </c>
      <c r="Q735">
        <v>3</v>
      </c>
      <c r="R735">
        <v>0</v>
      </c>
      <c r="S735">
        <v>3</v>
      </c>
      <c r="T735">
        <v>58</v>
      </c>
      <c r="U735" t="s">
        <v>8158</v>
      </c>
      <c r="V735">
        <f>Tabla1[[#This Row],[Aboard]]-Tabla1[[#This Row],[Fatalities]]</f>
        <v>0</v>
      </c>
      <c r="W735" s="50">
        <f>IFERROR(Tabla1[[#This Row],[Fatalities]]/Tabla1[[#This Row],[Aboard]],0)</f>
        <v>1</v>
      </c>
      <c r="X735" s="51" t="str" cm="1">
        <f t="array" ref="X735">_xlfn.IFS(Tabla1[[#This Row],[Porcentaje de muertes]]&lt;0.35,"LEVE",AND(Tabla1[[#This Row],[Porcentaje de muertes]]&gt;0.35,Tabla1[[#This Row],[Porcentaje de muertes]]&lt;0.65),"MEDIO",Tabla1[[#This Row],[Porcentaje de muertes]]&gt;0.65,"GRAVE")</f>
        <v>GRAVE</v>
      </c>
    </row>
    <row r="736" spans="2:24" x14ac:dyDescent="0.3">
      <c r="B736" s="9">
        <v>734</v>
      </c>
      <c r="C736" s="49">
        <v>16312</v>
      </c>
      <c r="D736" s="9">
        <f>YEAR(Tabla1[[#This Row],[Date]])</f>
        <v>1944</v>
      </c>
      <c r="E736" s="9" t="str" cm="1">
        <f t="array" ref="E736">IFERROR(_xlfn.IFS(AND(D736&lt;1980,D736&gt;=1970),"70",AND(D736&lt;1990,D736&gt;=1980),"80",AND(D736&lt;2000,D736&gt;=1990),"90",AND(D736&lt;2010,D736&gt;=2000),"00",AND(D736&lt;=2019,D736&gt;=2010),"10"),"1908-1970")</f>
        <v>1908-1970</v>
      </c>
      <c r="F736" s="3">
        <v>4.1666666666666664E-2</v>
      </c>
      <c r="G736" t="s">
        <v>8159</v>
      </c>
      <c r="H736" t="s">
        <v>7782</v>
      </c>
      <c r="I736" t="s">
        <v>28931</v>
      </c>
      <c r="J736" t="s">
        <v>8160</v>
      </c>
      <c r="K736" t="s">
        <v>8161</v>
      </c>
      <c r="L736" s="7" t="s">
        <v>8162</v>
      </c>
      <c r="M736">
        <v>10276</v>
      </c>
      <c r="N736">
        <v>20</v>
      </c>
      <c r="O736">
        <v>14</v>
      </c>
      <c r="P736">
        <v>6</v>
      </c>
      <c r="Q736">
        <v>20</v>
      </c>
      <c r="R736">
        <v>14</v>
      </c>
      <c r="S736">
        <v>6</v>
      </c>
      <c r="T736">
        <v>5</v>
      </c>
      <c r="U736" t="s">
        <v>8163</v>
      </c>
      <c r="V736">
        <f>Tabla1[[#This Row],[Aboard]]-Tabla1[[#This Row],[Fatalities]]</f>
        <v>0</v>
      </c>
      <c r="W736" s="50">
        <f>IFERROR(Tabla1[[#This Row],[Fatalities]]/Tabla1[[#This Row],[Aboard]],0)</f>
        <v>1</v>
      </c>
      <c r="X736" s="51" t="str" cm="1">
        <f t="array" ref="X736">_xlfn.IFS(Tabla1[[#This Row],[Porcentaje de muertes]]&lt;0.35,"LEVE",AND(Tabla1[[#This Row],[Porcentaje de muertes]]&gt;0.35,Tabla1[[#This Row],[Porcentaje de muertes]]&lt;0.65),"MEDIO",Tabla1[[#This Row],[Porcentaje de muertes]]&gt;0.65,"GRAVE")</f>
        <v>GRAVE</v>
      </c>
    </row>
    <row r="737" spans="2:24" x14ac:dyDescent="0.3">
      <c r="B737" s="9">
        <v>735</v>
      </c>
      <c r="C737" s="49">
        <v>16313</v>
      </c>
      <c r="D737" s="9">
        <f>YEAR(Tabla1[[#This Row],[Date]])</f>
        <v>1944</v>
      </c>
      <c r="E737" s="9" t="str" cm="1">
        <f t="array" ref="E737">IFERROR(_xlfn.IFS(AND(D737&lt;1980,D737&gt;=1970),"70",AND(D737&lt;1990,D737&gt;=1980),"80",AND(D737&lt;2000,D737&gt;=1990),"90",AND(D737&lt;2010,D737&gt;=2000),"00",AND(D737&lt;=2019,D737&gt;=2010),"10"),"1908-1970")</f>
        <v>1908-1970</v>
      </c>
      <c r="F737" s="3">
        <v>1.3888888888888889E-3</v>
      </c>
      <c r="G737" t="s">
        <v>8164</v>
      </c>
      <c r="H737" t="s">
        <v>7521</v>
      </c>
      <c r="I737" t="s">
        <v>28931</v>
      </c>
      <c r="J737" t="s">
        <v>8046</v>
      </c>
      <c r="K737" t="s">
        <v>8165</v>
      </c>
      <c r="L737" s="7" t="s">
        <v>8166</v>
      </c>
      <c r="M737">
        <v>2491</v>
      </c>
      <c r="N737">
        <v>15</v>
      </c>
      <c r="O737">
        <v>12</v>
      </c>
      <c r="P737">
        <v>3</v>
      </c>
      <c r="Q737">
        <v>11</v>
      </c>
      <c r="R737">
        <v>8</v>
      </c>
      <c r="S737">
        <v>3</v>
      </c>
      <c r="T737">
        <v>0</v>
      </c>
      <c r="U737" t="s">
        <v>8167</v>
      </c>
      <c r="V737">
        <f>Tabla1[[#This Row],[Aboard]]-Tabla1[[#This Row],[Fatalities]]</f>
        <v>4</v>
      </c>
      <c r="W737" s="50">
        <f>IFERROR(Tabla1[[#This Row],[Fatalities]]/Tabla1[[#This Row],[Aboard]],0)</f>
        <v>0.73333333333333328</v>
      </c>
      <c r="X737" s="51" t="str" cm="1">
        <f t="array" ref="X737">_xlfn.IFS(Tabla1[[#This Row],[Porcentaje de muertes]]&lt;0.35,"LEVE",AND(Tabla1[[#This Row],[Porcentaje de muertes]]&gt;0.35,Tabla1[[#This Row],[Porcentaje de muertes]]&lt;0.65),"MEDIO",Tabla1[[#This Row],[Porcentaje de muertes]]&gt;0.65,"GRAVE")</f>
        <v>GRAVE</v>
      </c>
    </row>
    <row r="738" spans="2:24" x14ac:dyDescent="0.3">
      <c r="B738" s="9">
        <v>736</v>
      </c>
      <c r="C738" s="49">
        <v>16314</v>
      </c>
      <c r="D738" s="9">
        <f>YEAR(Tabla1[[#This Row],[Date]])</f>
        <v>1944</v>
      </c>
      <c r="E738" s="9" t="str" cm="1">
        <f t="array" ref="E738">IFERROR(_xlfn.IFS(AND(D738&lt;1980,D738&gt;=1970),"70",AND(D738&lt;1990,D738&gt;=1980),"80",AND(D738&lt;2000,D738&gt;=1990),"90",AND(D738&lt;2010,D738&gt;=2000),"00",AND(D738&lt;=2019,D738&gt;=2010),"10"),"1908-1970")</f>
        <v>1908-1970</v>
      </c>
      <c r="F738" s="3">
        <v>0</v>
      </c>
      <c r="G738" t="s">
        <v>7197</v>
      </c>
      <c r="H738" t="s">
        <v>7669</v>
      </c>
      <c r="I738" t="s">
        <v>28931</v>
      </c>
      <c r="J738" t="s">
        <v>7582</v>
      </c>
      <c r="K738" t="s">
        <v>7640</v>
      </c>
      <c r="L738" s="7" t="s">
        <v>8168</v>
      </c>
      <c r="M738">
        <v>2114</v>
      </c>
      <c r="N738">
        <v>18</v>
      </c>
      <c r="O738">
        <v>14</v>
      </c>
      <c r="P738">
        <v>4</v>
      </c>
      <c r="Q738">
        <v>18</v>
      </c>
      <c r="R738">
        <v>14</v>
      </c>
      <c r="S738">
        <v>4</v>
      </c>
      <c r="T738">
        <v>0</v>
      </c>
      <c r="U738" t="s">
        <v>8169</v>
      </c>
      <c r="V738">
        <f>Tabla1[[#This Row],[Aboard]]-Tabla1[[#This Row],[Fatalities]]</f>
        <v>0</v>
      </c>
      <c r="W738" s="50">
        <f>IFERROR(Tabla1[[#This Row],[Fatalities]]/Tabla1[[#This Row],[Aboard]],0)</f>
        <v>1</v>
      </c>
      <c r="X738" s="51" t="str" cm="1">
        <f t="array" ref="X738">_xlfn.IFS(Tabla1[[#This Row],[Porcentaje de muertes]]&lt;0.35,"LEVE",AND(Tabla1[[#This Row],[Porcentaje de muertes]]&gt;0.35,Tabla1[[#This Row],[Porcentaje de muertes]]&lt;0.65),"MEDIO",Tabla1[[#This Row],[Porcentaje de muertes]]&gt;0.65,"GRAVE")</f>
        <v>GRAVE</v>
      </c>
    </row>
    <row r="739" spans="2:24" x14ac:dyDescent="0.3">
      <c r="B739" s="9">
        <v>737</v>
      </c>
      <c r="C739" s="49">
        <v>16111</v>
      </c>
      <c r="D739" s="9">
        <f>YEAR(Tabla1[[#This Row],[Date]])</f>
        <v>1944</v>
      </c>
      <c r="E739" s="9" t="str" cm="1">
        <f t="array" ref="E739">IFERROR(_xlfn.IFS(AND(D739&lt;1980,D739&gt;=1970),"70",AND(D739&lt;1990,D739&gt;=1980),"80",AND(D739&lt;2000,D739&gt;=1990),"90",AND(D739&lt;2010,D739&gt;=2000),"00",AND(D739&lt;=2019,D739&gt;=2010),"10"),"1908-1970")</f>
        <v>1908-1970</v>
      </c>
      <c r="F739" s="3" t="s">
        <v>28931</v>
      </c>
      <c r="G739" t="s">
        <v>8063</v>
      </c>
      <c r="H739" t="s">
        <v>5417</v>
      </c>
      <c r="I739" t="s">
        <v>28931</v>
      </c>
      <c r="J739" t="s">
        <v>8170</v>
      </c>
      <c r="K739" t="s">
        <v>8171</v>
      </c>
      <c r="L739" s="7" t="s">
        <v>8172</v>
      </c>
      <c r="M739">
        <v>641039</v>
      </c>
      <c r="N739">
        <v>5</v>
      </c>
      <c r="O739">
        <v>2</v>
      </c>
      <c r="P739">
        <v>3</v>
      </c>
      <c r="Q739">
        <v>5</v>
      </c>
      <c r="R739">
        <v>2</v>
      </c>
      <c r="S739">
        <v>3</v>
      </c>
      <c r="T739">
        <v>0</v>
      </c>
      <c r="U739" t="s">
        <v>8091</v>
      </c>
      <c r="V739">
        <f>Tabla1[[#This Row],[Aboard]]-Tabla1[[#This Row],[Fatalities]]</f>
        <v>0</v>
      </c>
      <c r="W739" s="50">
        <f>IFERROR(Tabla1[[#This Row],[Fatalities]]/Tabla1[[#This Row],[Aboard]],0)</f>
        <v>1</v>
      </c>
      <c r="X739" s="51" t="str" cm="1">
        <f t="array" ref="X739">_xlfn.IFS(Tabla1[[#This Row],[Porcentaje de muertes]]&lt;0.35,"LEVE",AND(Tabla1[[#This Row],[Porcentaje de muertes]]&gt;0.35,Tabla1[[#This Row],[Porcentaje de muertes]]&lt;0.65),"MEDIO",Tabla1[[#This Row],[Porcentaje de muertes]]&gt;0.65,"GRAVE")</f>
        <v>GRAVE</v>
      </c>
    </row>
    <row r="740" spans="2:24" x14ac:dyDescent="0.3">
      <c r="B740" s="9">
        <v>738</v>
      </c>
      <c r="C740" s="49">
        <v>16262</v>
      </c>
      <c r="D740" s="9">
        <f>YEAR(Tabla1[[#This Row],[Date]])</f>
        <v>1944</v>
      </c>
      <c r="E740" s="9" t="str" cm="1">
        <f t="array" ref="E740">IFERROR(_xlfn.IFS(AND(D740&lt;1980,D740&gt;=1970),"70",AND(D740&lt;1990,D740&gt;=1980),"80",AND(D740&lt;2000,D740&gt;=1990),"90",AND(D740&lt;2010,D740&gt;=2000),"00",AND(D740&lt;=2019,D740&gt;=2010),"10"),"1908-1970")</f>
        <v>1908-1970</v>
      </c>
      <c r="F740" s="3" t="s">
        <v>28931</v>
      </c>
      <c r="G740" t="s">
        <v>8173</v>
      </c>
      <c r="H740" t="s">
        <v>8174</v>
      </c>
      <c r="I740" t="s">
        <v>28931</v>
      </c>
      <c r="J740" t="s">
        <v>8175</v>
      </c>
      <c r="K740" t="s">
        <v>8176</v>
      </c>
      <c r="L740" s="7" t="s">
        <v>8177</v>
      </c>
      <c r="M740">
        <v>12880</v>
      </c>
      <c r="N740">
        <v>20</v>
      </c>
      <c r="O740">
        <v>16</v>
      </c>
      <c r="P740">
        <v>4</v>
      </c>
      <c r="Q740">
        <v>20</v>
      </c>
      <c r="R740">
        <v>16</v>
      </c>
      <c r="S740">
        <v>4</v>
      </c>
      <c r="T740">
        <v>0</v>
      </c>
      <c r="U740" t="s">
        <v>8178</v>
      </c>
      <c r="V740">
        <f>Tabla1[[#This Row],[Aboard]]-Tabla1[[#This Row],[Fatalities]]</f>
        <v>0</v>
      </c>
      <c r="W740" s="50">
        <f>IFERROR(Tabla1[[#This Row],[Fatalities]]/Tabla1[[#This Row],[Aboard]],0)</f>
        <v>1</v>
      </c>
      <c r="X740" s="51" t="str" cm="1">
        <f t="array" ref="X740">_xlfn.IFS(Tabla1[[#This Row],[Porcentaje de muertes]]&lt;0.35,"LEVE",AND(Tabla1[[#This Row],[Porcentaje de muertes]]&gt;0.35,Tabla1[[#This Row],[Porcentaje de muertes]]&lt;0.65),"MEDIO",Tabla1[[#This Row],[Porcentaje de muertes]]&gt;0.65,"GRAVE")</f>
        <v>GRAVE</v>
      </c>
    </row>
    <row r="741" spans="2:24" x14ac:dyDescent="0.3">
      <c r="B741" s="9">
        <v>739</v>
      </c>
      <c r="C741" s="49">
        <v>16332</v>
      </c>
      <c r="D741" s="9">
        <f>YEAR(Tabla1[[#This Row],[Date]])</f>
        <v>1944</v>
      </c>
      <c r="E741" s="9" t="str" cm="1">
        <f t="array" ref="E741">IFERROR(_xlfn.IFS(AND(D741&lt;1980,D741&gt;=1970),"70",AND(D741&lt;1990,D741&gt;=1980),"80",AND(D741&lt;2000,D741&gt;=1990),"90",AND(D741&lt;2010,D741&gt;=2000),"00",AND(D741&lt;=2019,D741&gt;=2010),"10"),"1908-1970")</f>
        <v>1908-1970</v>
      </c>
      <c r="F741" s="3">
        <v>0.88888888888888884</v>
      </c>
      <c r="G741" t="s">
        <v>8179</v>
      </c>
      <c r="H741" t="s">
        <v>5017</v>
      </c>
      <c r="I741" t="s">
        <v>28931</v>
      </c>
      <c r="J741" t="s">
        <v>28931</v>
      </c>
      <c r="K741" t="s">
        <v>7759</v>
      </c>
      <c r="L741" s="7" t="s">
        <v>28931</v>
      </c>
      <c r="M741" t="s">
        <v>28931</v>
      </c>
      <c r="N741">
        <v>13</v>
      </c>
      <c r="O741">
        <v>0</v>
      </c>
      <c r="P741">
        <v>13</v>
      </c>
      <c r="Q741">
        <v>13</v>
      </c>
      <c r="R741">
        <v>0</v>
      </c>
      <c r="S741">
        <v>13</v>
      </c>
      <c r="T741">
        <v>2</v>
      </c>
      <c r="U741" t="s">
        <v>8180</v>
      </c>
      <c r="V741">
        <f>Tabla1[[#This Row],[Aboard]]-Tabla1[[#This Row],[Fatalities]]</f>
        <v>0</v>
      </c>
      <c r="W741" s="50">
        <f>IFERROR(Tabla1[[#This Row],[Fatalities]]/Tabla1[[#This Row],[Aboard]],0)</f>
        <v>1</v>
      </c>
      <c r="X741" s="51" t="str" cm="1">
        <f t="array" ref="X741">_xlfn.IFS(Tabla1[[#This Row],[Porcentaje de muertes]]&lt;0.35,"LEVE",AND(Tabla1[[#This Row],[Porcentaje de muertes]]&gt;0.35,Tabla1[[#This Row],[Porcentaje de muertes]]&lt;0.65),"MEDIO",Tabla1[[#This Row],[Porcentaje de muertes]]&gt;0.65,"GRAVE")</f>
        <v>GRAVE</v>
      </c>
    </row>
    <row r="742" spans="2:24" x14ac:dyDescent="0.3">
      <c r="B742" s="9">
        <v>740</v>
      </c>
      <c r="C742" s="49">
        <v>16333</v>
      </c>
      <c r="D742" s="9">
        <f>YEAR(Tabla1[[#This Row],[Date]])</f>
        <v>1944</v>
      </c>
      <c r="E742" s="9" t="str" cm="1">
        <f t="array" ref="E742">IFERROR(_xlfn.IFS(AND(D742&lt;1980,D742&gt;=1970),"70",AND(D742&lt;1990,D742&gt;=1980),"80",AND(D742&lt;2000,D742&gt;=1990),"90",AND(D742&lt;2010,D742&gt;=2000),"00",AND(D742&lt;=2019,D742&gt;=2010),"10"),"1908-1970")</f>
        <v>1908-1970</v>
      </c>
      <c r="F742" s="3">
        <v>0.32083333333333336</v>
      </c>
      <c r="G742" t="s">
        <v>8181</v>
      </c>
      <c r="H742" t="s">
        <v>8182</v>
      </c>
      <c r="I742" t="s">
        <v>28931</v>
      </c>
      <c r="J742" t="s">
        <v>8183</v>
      </c>
      <c r="K742" t="s">
        <v>8184</v>
      </c>
      <c r="L742" s="7" t="s">
        <v>8185</v>
      </c>
      <c r="M742">
        <v>20204</v>
      </c>
      <c r="N742">
        <v>19</v>
      </c>
      <c r="O742">
        <v>16</v>
      </c>
      <c r="P742">
        <v>3</v>
      </c>
      <c r="Q742">
        <v>19</v>
      </c>
      <c r="R742">
        <v>16</v>
      </c>
      <c r="S742">
        <v>3</v>
      </c>
      <c r="T742">
        <v>0</v>
      </c>
      <c r="U742" t="s">
        <v>8186</v>
      </c>
      <c r="V742">
        <f>Tabla1[[#This Row],[Aboard]]-Tabla1[[#This Row],[Fatalities]]</f>
        <v>0</v>
      </c>
      <c r="W742" s="50">
        <f>IFERROR(Tabla1[[#This Row],[Fatalities]]/Tabla1[[#This Row],[Aboard]],0)</f>
        <v>1</v>
      </c>
      <c r="X742" s="51" t="str" cm="1">
        <f t="array" ref="X742">_xlfn.IFS(Tabla1[[#This Row],[Porcentaje de muertes]]&lt;0.35,"LEVE",AND(Tabla1[[#This Row],[Porcentaje de muertes]]&gt;0.35,Tabla1[[#This Row],[Porcentaje de muertes]]&lt;0.65),"MEDIO",Tabla1[[#This Row],[Porcentaje de muertes]]&gt;0.65,"GRAVE")</f>
        <v>GRAVE</v>
      </c>
    </row>
    <row r="743" spans="2:24" x14ac:dyDescent="0.3">
      <c r="B743" s="9">
        <v>741</v>
      </c>
      <c r="C743" s="49">
        <v>16336</v>
      </c>
      <c r="D743" s="9">
        <f>YEAR(Tabla1[[#This Row],[Date]])</f>
        <v>1944</v>
      </c>
      <c r="E743" s="9" t="str" cm="1">
        <f t="array" ref="E743">IFERROR(_xlfn.IFS(AND(D743&lt;1980,D743&gt;=1970),"70",AND(D743&lt;1990,D743&gt;=1980),"80",AND(D743&lt;2000,D743&gt;=1990),"90",AND(D743&lt;2010,D743&gt;=2000),"00",AND(D743&lt;=2019,D743&gt;=2010),"10"),"1908-1970")</f>
        <v>1908-1970</v>
      </c>
      <c r="F743" s="3" t="s">
        <v>28931</v>
      </c>
      <c r="G743" t="s">
        <v>8187</v>
      </c>
      <c r="H743" t="s">
        <v>7669</v>
      </c>
      <c r="I743" t="s">
        <v>28931</v>
      </c>
      <c r="J743" t="s">
        <v>8188</v>
      </c>
      <c r="K743" t="s">
        <v>7640</v>
      </c>
      <c r="L743" s="7" t="s">
        <v>8189</v>
      </c>
      <c r="M743">
        <v>2113</v>
      </c>
      <c r="N743">
        <v>17</v>
      </c>
      <c r="O743">
        <v>13</v>
      </c>
      <c r="P743">
        <v>4</v>
      </c>
      <c r="Q743">
        <v>17</v>
      </c>
      <c r="R743">
        <v>13</v>
      </c>
      <c r="S743">
        <v>4</v>
      </c>
      <c r="T743">
        <v>0</v>
      </c>
      <c r="U743" t="s">
        <v>8190</v>
      </c>
      <c r="V743">
        <f>Tabla1[[#This Row],[Aboard]]-Tabla1[[#This Row],[Fatalities]]</f>
        <v>0</v>
      </c>
      <c r="W743" s="50">
        <f>IFERROR(Tabla1[[#This Row],[Fatalities]]/Tabla1[[#This Row],[Aboard]],0)</f>
        <v>1</v>
      </c>
      <c r="X743" s="51" t="str" cm="1">
        <f t="array" ref="X743">_xlfn.IFS(Tabla1[[#This Row],[Porcentaje de muertes]]&lt;0.35,"LEVE",AND(Tabla1[[#This Row],[Porcentaje de muertes]]&gt;0.35,Tabla1[[#This Row],[Porcentaje de muertes]]&lt;0.65),"MEDIO",Tabla1[[#This Row],[Porcentaje de muertes]]&gt;0.65,"GRAVE")</f>
        <v>GRAVE</v>
      </c>
    </row>
    <row r="744" spans="2:24" x14ac:dyDescent="0.3">
      <c r="B744" s="9">
        <v>742</v>
      </c>
      <c r="C744" s="49">
        <v>16342</v>
      </c>
      <c r="D744" s="9">
        <f>YEAR(Tabla1[[#This Row],[Date]])</f>
        <v>1944</v>
      </c>
      <c r="E744" s="9" t="str" cm="1">
        <f t="array" ref="E744">IFERROR(_xlfn.IFS(AND(D744&lt;1980,D744&gt;=1970),"70",AND(D744&lt;1990,D744&gt;=1980),"80",AND(D744&lt;2000,D744&gt;=1990),"90",AND(D744&lt;2010,D744&gt;=2000),"00",AND(D744&lt;=2019,D744&gt;=2010),"10"),"1908-1970")</f>
        <v>1908-1970</v>
      </c>
      <c r="F744" s="3">
        <v>0.85416666666666663</v>
      </c>
      <c r="G744" t="s">
        <v>8191</v>
      </c>
      <c r="H744" t="s">
        <v>5417</v>
      </c>
      <c r="I744" t="s">
        <v>28931</v>
      </c>
      <c r="J744" t="s">
        <v>8192</v>
      </c>
      <c r="K744" t="s">
        <v>8193</v>
      </c>
      <c r="L744" s="7" t="s">
        <v>8194</v>
      </c>
      <c r="M744">
        <v>200021</v>
      </c>
      <c r="N744">
        <v>9</v>
      </c>
      <c r="O744">
        <v>5</v>
      </c>
      <c r="P744">
        <v>4</v>
      </c>
      <c r="Q744">
        <v>9</v>
      </c>
      <c r="R744">
        <v>5</v>
      </c>
      <c r="S744">
        <v>4</v>
      </c>
      <c r="T744">
        <v>0</v>
      </c>
      <c r="U744" t="s">
        <v>8195</v>
      </c>
      <c r="V744">
        <f>Tabla1[[#This Row],[Aboard]]-Tabla1[[#This Row],[Fatalities]]</f>
        <v>0</v>
      </c>
      <c r="W744" s="50">
        <f>IFERROR(Tabla1[[#This Row],[Fatalities]]/Tabla1[[#This Row],[Aboard]],0)</f>
        <v>1</v>
      </c>
      <c r="X744" s="51" t="str" cm="1">
        <f t="array" ref="X744">_xlfn.IFS(Tabla1[[#This Row],[Porcentaje de muertes]]&lt;0.35,"LEVE",AND(Tabla1[[#This Row],[Porcentaje de muertes]]&gt;0.35,Tabla1[[#This Row],[Porcentaje de muertes]]&lt;0.65),"MEDIO",Tabla1[[#This Row],[Porcentaje de muertes]]&gt;0.65,"GRAVE")</f>
        <v>GRAVE</v>
      </c>
    </row>
    <row r="745" spans="2:24" x14ac:dyDescent="0.3">
      <c r="B745" s="9">
        <v>743</v>
      </c>
      <c r="C745" s="49">
        <v>16263</v>
      </c>
      <c r="D745" s="9">
        <f>YEAR(Tabla1[[#This Row],[Date]])</f>
        <v>1944</v>
      </c>
      <c r="E745" s="9" t="str" cm="1">
        <f t="array" ref="E745">IFERROR(_xlfn.IFS(AND(D745&lt;1980,D745&gt;=1970),"70",AND(D745&lt;1990,D745&gt;=1980),"80",AND(D745&lt;2000,D745&gt;=1990),"90",AND(D745&lt;2010,D745&gt;=2000),"00",AND(D745&lt;=2019,D745&gt;=2010),"10"),"1908-1970")</f>
        <v>1908-1970</v>
      </c>
      <c r="F745" s="3" t="s">
        <v>28931</v>
      </c>
      <c r="G745" t="s">
        <v>8196</v>
      </c>
      <c r="H745" t="s">
        <v>6010</v>
      </c>
      <c r="I745" t="s">
        <v>28931</v>
      </c>
      <c r="J745" t="s">
        <v>8197</v>
      </c>
      <c r="K745" t="s">
        <v>7826</v>
      </c>
      <c r="L745" s="7">
        <v>101</v>
      </c>
      <c r="M745" t="s">
        <v>28931</v>
      </c>
      <c r="N745">
        <v>3</v>
      </c>
      <c r="O745">
        <v>0</v>
      </c>
      <c r="P745">
        <v>3</v>
      </c>
      <c r="Q745">
        <v>3</v>
      </c>
      <c r="R745">
        <v>0</v>
      </c>
      <c r="S745">
        <v>3</v>
      </c>
      <c r="T745">
        <v>0</v>
      </c>
      <c r="U745" t="s">
        <v>8198</v>
      </c>
      <c r="V745">
        <f>Tabla1[[#This Row],[Aboard]]-Tabla1[[#This Row],[Fatalities]]</f>
        <v>0</v>
      </c>
      <c r="W745" s="50">
        <f>IFERROR(Tabla1[[#This Row],[Fatalities]]/Tabla1[[#This Row],[Aboard]],0)</f>
        <v>1</v>
      </c>
      <c r="X745" s="51" t="str" cm="1">
        <f t="array" ref="X745">_xlfn.IFS(Tabla1[[#This Row],[Porcentaje de muertes]]&lt;0.35,"LEVE",AND(Tabla1[[#This Row],[Porcentaje de muertes]]&gt;0.35,Tabla1[[#This Row],[Porcentaje de muertes]]&lt;0.65),"MEDIO",Tabla1[[#This Row],[Porcentaje de muertes]]&gt;0.65,"GRAVE")</f>
        <v>GRAVE</v>
      </c>
    </row>
    <row r="746" spans="2:24" x14ac:dyDescent="0.3">
      <c r="B746" s="9">
        <v>744</v>
      </c>
      <c r="C746" s="49">
        <v>16355</v>
      </c>
      <c r="D746" s="9">
        <f>YEAR(Tabla1[[#This Row],[Date]])</f>
        <v>1944</v>
      </c>
      <c r="E746" s="9" t="str" cm="1">
        <f t="array" ref="E746">IFERROR(_xlfn.IFS(AND(D746&lt;1980,D746&gt;=1970),"70",AND(D746&lt;1990,D746&gt;=1980),"80",AND(D746&lt;2000,D746&gt;=1990),"90",AND(D746&lt;2010,D746&gt;=2000),"00",AND(D746&lt;=2019,D746&gt;=2010),"10"),"1908-1970")</f>
        <v>1908-1970</v>
      </c>
      <c r="F746" s="3" t="s">
        <v>28931</v>
      </c>
      <c r="G746" t="s">
        <v>8199</v>
      </c>
      <c r="H746" t="s">
        <v>5417</v>
      </c>
      <c r="I746" t="s">
        <v>28931</v>
      </c>
      <c r="J746" t="s">
        <v>28931</v>
      </c>
      <c r="K746" t="s">
        <v>6555</v>
      </c>
      <c r="L746" s="7" t="s">
        <v>8200</v>
      </c>
      <c r="M746">
        <v>641382</v>
      </c>
      <c r="N746">
        <v>7</v>
      </c>
      <c r="O746">
        <v>4</v>
      </c>
      <c r="P746">
        <v>3</v>
      </c>
      <c r="Q746">
        <v>7</v>
      </c>
      <c r="R746">
        <v>4</v>
      </c>
      <c r="S746">
        <v>3</v>
      </c>
      <c r="T746">
        <v>0</v>
      </c>
      <c r="U746" t="s">
        <v>28927</v>
      </c>
      <c r="V746">
        <f>Tabla1[[#This Row],[Aboard]]-Tabla1[[#This Row],[Fatalities]]</f>
        <v>0</v>
      </c>
      <c r="W746" s="50">
        <f>IFERROR(Tabla1[[#This Row],[Fatalities]]/Tabla1[[#This Row],[Aboard]],0)</f>
        <v>1</v>
      </c>
      <c r="X746" s="51" t="str" cm="1">
        <f t="array" ref="X746">_xlfn.IFS(Tabla1[[#This Row],[Porcentaje de muertes]]&lt;0.35,"LEVE",AND(Tabla1[[#This Row],[Porcentaje de muertes]]&gt;0.35,Tabla1[[#This Row],[Porcentaje de muertes]]&lt;0.65),"MEDIO",Tabla1[[#This Row],[Porcentaje de muertes]]&gt;0.65,"GRAVE")</f>
        <v>GRAVE</v>
      </c>
    </row>
    <row r="747" spans="2:24" x14ac:dyDescent="0.3">
      <c r="B747" s="9">
        <v>745</v>
      </c>
      <c r="C747" s="49">
        <v>16386</v>
      </c>
      <c r="D747" s="9">
        <f>YEAR(Tabla1[[#This Row],[Date]])</f>
        <v>1944</v>
      </c>
      <c r="E747" s="9" t="str" cm="1">
        <f t="array" ref="E747">IFERROR(_xlfn.IFS(AND(D747&lt;1980,D747&gt;=1970),"70",AND(D747&lt;1990,D747&gt;=1980),"80",AND(D747&lt;2000,D747&gt;=1990),"90",AND(D747&lt;2010,D747&gt;=2000),"00",AND(D747&lt;=2019,D747&gt;=2010),"10"),"1908-1970")</f>
        <v>1908-1970</v>
      </c>
      <c r="F747" s="3" t="s">
        <v>28931</v>
      </c>
      <c r="G747" t="s">
        <v>8201</v>
      </c>
      <c r="H747" t="s">
        <v>5459</v>
      </c>
      <c r="I747" t="s">
        <v>28931</v>
      </c>
      <c r="J747" t="s">
        <v>28931</v>
      </c>
      <c r="K747" t="s">
        <v>7092</v>
      </c>
      <c r="L747" s="7" t="s">
        <v>8202</v>
      </c>
      <c r="M747" t="s">
        <v>8203</v>
      </c>
      <c r="N747">
        <v>30</v>
      </c>
      <c r="O747" t="s">
        <v>5038</v>
      </c>
      <c r="P747" t="s">
        <v>5038</v>
      </c>
      <c r="Q747">
        <v>1</v>
      </c>
      <c r="R747" t="s">
        <v>5038</v>
      </c>
      <c r="S747" t="s">
        <v>5038</v>
      </c>
      <c r="T747">
        <v>0</v>
      </c>
      <c r="U747" t="s">
        <v>8204</v>
      </c>
      <c r="V747">
        <f>Tabla1[[#This Row],[Aboard]]-Tabla1[[#This Row],[Fatalities]]</f>
        <v>29</v>
      </c>
      <c r="W747" s="50">
        <f>IFERROR(Tabla1[[#This Row],[Fatalities]]/Tabla1[[#This Row],[Aboard]],0)</f>
        <v>3.3333333333333333E-2</v>
      </c>
      <c r="X747" s="51" t="str" cm="1">
        <f t="array" ref="X747">_xlfn.IFS(Tabla1[[#This Row],[Porcentaje de muertes]]&lt;0.35,"LEVE",AND(Tabla1[[#This Row],[Porcentaje de muertes]]&gt;0.35,Tabla1[[#This Row],[Porcentaje de muertes]]&lt;0.65),"MEDIO",Tabla1[[#This Row],[Porcentaje de muertes]]&gt;0.65,"GRAVE")</f>
        <v>LEVE</v>
      </c>
    </row>
    <row r="748" spans="2:24" x14ac:dyDescent="0.3">
      <c r="B748" s="9">
        <v>746</v>
      </c>
      <c r="C748" s="49">
        <v>16386</v>
      </c>
      <c r="D748" s="9">
        <f>YEAR(Tabla1[[#This Row],[Date]])</f>
        <v>1944</v>
      </c>
      <c r="E748" s="9" t="str" cm="1">
        <f t="array" ref="E748">IFERROR(_xlfn.IFS(AND(D748&lt;1980,D748&gt;=1970),"70",AND(D748&lt;1990,D748&gt;=1980),"80",AND(D748&lt;2000,D748&gt;=1990),"90",AND(D748&lt;2010,D748&gt;=2000),"00",AND(D748&lt;=2019,D748&gt;=2010),"10"),"1908-1970")</f>
        <v>1908-1970</v>
      </c>
      <c r="F748" s="3">
        <v>0.3125</v>
      </c>
      <c r="G748" t="s">
        <v>8201</v>
      </c>
      <c r="H748" t="s">
        <v>5459</v>
      </c>
      <c r="I748" t="s">
        <v>28931</v>
      </c>
      <c r="J748" t="s">
        <v>8205</v>
      </c>
      <c r="K748" t="s">
        <v>8206</v>
      </c>
      <c r="L748" s="7" t="s">
        <v>8202</v>
      </c>
      <c r="M748" t="s">
        <v>8203</v>
      </c>
      <c r="N748">
        <v>29</v>
      </c>
      <c r="O748">
        <v>22</v>
      </c>
      <c r="P748">
        <v>7</v>
      </c>
      <c r="Q748">
        <v>1</v>
      </c>
      <c r="R748">
        <v>1</v>
      </c>
      <c r="S748">
        <v>0</v>
      </c>
      <c r="T748">
        <v>0</v>
      </c>
      <c r="U748" t="s">
        <v>8207</v>
      </c>
      <c r="V748">
        <f>Tabla1[[#This Row],[Aboard]]-Tabla1[[#This Row],[Fatalities]]</f>
        <v>28</v>
      </c>
      <c r="W748" s="50">
        <f>IFERROR(Tabla1[[#This Row],[Fatalities]]/Tabla1[[#This Row],[Aboard]],0)</f>
        <v>3.4482758620689655E-2</v>
      </c>
      <c r="X748" s="51" t="str" cm="1">
        <f t="array" ref="X748">_xlfn.IFS(Tabla1[[#This Row],[Porcentaje de muertes]]&lt;0.35,"LEVE",AND(Tabla1[[#This Row],[Porcentaje de muertes]]&gt;0.35,Tabla1[[#This Row],[Porcentaje de muertes]]&lt;0.65),"MEDIO",Tabla1[[#This Row],[Porcentaje de muertes]]&gt;0.65,"GRAVE")</f>
        <v>LEVE</v>
      </c>
    </row>
    <row r="749" spans="2:24" x14ac:dyDescent="0.3">
      <c r="B749" s="9">
        <v>747</v>
      </c>
      <c r="C749" s="49">
        <v>16361</v>
      </c>
      <c r="D749" s="9">
        <f>YEAR(Tabla1[[#This Row],[Date]])</f>
        <v>1944</v>
      </c>
      <c r="E749" s="9" t="str" cm="1">
        <f t="array" ref="E749">IFERROR(_xlfn.IFS(AND(D749&lt;1980,D749&gt;=1970),"70",AND(D749&lt;1990,D749&gt;=1980),"80",AND(D749&lt;2000,D749&gt;=1990),"90",AND(D749&lt;2010,D749&gt;=2000),"00",AND(D749&lt;=2019,D749&gt;=2010),"10"),"1908-1970")</f>
        <v>1908-1970</v>
      </c>
      <c r="F749" s="3">
        <v>0.85069444444444453</v>
      </c>
      <c r="G749" t="s">
        <v>8208</v>
      </c>
      <c r="H749" t="s">
        <v>5417</v>
      </c>
      <c r="I749" t="s">
        <v>28931</v>
      </c>
      <c r="J749" t="s">
        <v>8209</v>
      </c>
      <c r="K749" t="s">
        <v>6555</v>
      </c>
      <c r="L749" s="7" t="s">
        <v>8210</v>
      </c>
      <c r="M749">
        <v>640608</v>
      </c>
      <c r="N749">
        <v>15</v>
      </c>
      <c r="O749">
        <v>12</v>
      </c>
      <c r="P749">
        <v>3</v>
      </c>
      <c r="Q749">
        <v>15</v>
      </c>
      <c r="R749">
        <v>12</v>
      </c>
      <c r="S749">
        <v>3</v>
      </c>
      <c r="T749">
        <v>0</v>
      </c>
      <c r="U749" t="s">
        <v>8211</v>
      </c>
      <c r="V749">
        <f>Tabla1[[#This Row],[Aboard]]-Tabla1[[#This Row],[Fatalities]]</f>
        <v>0</v>
      </c>
      <c r="W749" s="50">
        <f>IFERROR(Tabla1[[#This Row],[Fatalities]]/Tabla1[[#This Row],[Aboard]],0)</f>
        <v>1</v>
      </c>
      <c r="X749" s="51" t="str" cm="1">
        <f t="array" ref="X749">_xlfn.IFS(Tabla1[[#This Row],[Porcentaje de muertes]]&lt;0.35,"LEVE",AND(Tabla1[[#This Row],[Porcentaje de muertes]]&gt;0.35,Tabla1[[#This Row],[Porcentaje de muertes]]&lt;0.65),"MEDIO",Tabla1[[#This Row],[Porcentaje de muertes]]&gt;0.65,"GRAVE")</f>
        <v>GRAVE</v>
      </c>
    </row>
    <row r="750" spans="2:24" x14ac:dyDescent="0.3">
      <c r="B750" s="9">
        <v>748</v>
      </c>
      <c r="C750" s="49">
        <v>16362</v>
      </c>
      <c r="D750" s="9">
        <f>YEAR(Tabla1[[#This Row],[Date]])</f>
        <v>1944</v>
      </c>
      <c r="E750" s="9" t="str" cm="1">
        <f t="array" ref="E750">IFERROR(_xlfn.IFS(AND(D750&lt;1980,D750&gt;=1970),"70",AND(D750&lt;1990,D750&gt;=1980),"80",AND(D750&lt;2000,D750&gt;=1990),"90",AND(D750&lt;2010,D750&gt;=2000),"00",AND(D750&lt;=2019,D750&gt;=2010),"10"),"1908-1970")</f>
        <v>1908-1970</v>
      </c>
      <c r="F750" s="3">
        <v>0.31944444444444448</v>
      </c>
      <c r="G750" t="s">
        <v>8212</v>
      </c>
      <c r="H750" t="s">
        <v>5417</v>
      </c>
      <c r="I750" t="s">
        <v>28931</v>
      </c>
      <c r="J750" t="s">
        <v>28931</v>
      </c>
      <c r="K750" t="s">
        <v>6555</v>
      </c>
      <c r="L750" s="7" t="s">
        <v>8213</v>
      </c>
      <c r="M750">
        <v>640601</v>
      </c>
      <c r="N750">
        <v>9</v>
      </c>
      <c r="O750">
        <v>6</v>
      </c>
      <c r="P750">
        <v>3</v>
      </c>
      <c r="Q750">
        <v>1</v>
      </c>
      <c r="R750">
        <v>1</v>
      </c>
      <c r="S750">
        <v>0</v>
      </c>
      <c r="T750">
        <v>0</v>
      </c>
      <c r="U750" t="s">
        <v>8214</v>
      </c>
      <c r="V750">
        <f>Tabla1[[#This Row],[Aboard]]-Tabla1[[#This Row],[Fatalities]]</f>
        <v>8</v>
      </c>
      <c r="W750" s="50">
        <f>IFERROR(Tabla1[[#This Row],[Fatalities]]/Tabla1[[#This Row],[Aboard]],0)</f>
        <v>0.1111111111111111</v>
      </c>
      <c r="X750" s="51" t="str" cm="1">
        <f t="array" ref="X750">_xlfn.IFS(Tabla1[[#This Row],[Porcentaje de muertes]]&lt;0.35,"LEVE",AND(Tabla1[[#This Row],[Porcentaje de muertes]]&gt;0.35,Tabla1[[#This Row],[Porcentaje de muertes]]&lt;0.65),"MEDIO",Tabla1[[#This Row],[Porcentaje de muertes]]&gt;0.65,"GRAVE")</f>
        <v>LEVE</v>
      </c>
    </row>
    <row r="751" spans="2:24" x14ac:dyDescent="0.3">
      <c r="B751" s="9">
        <v>749</v>
      </c>
      <c r="C751" s="49">
        <v>16363</v>
      </c>
      <c r="D751" s="9">
        <f>YEAR(Tabla1[[#This Row],[Date]])</f>
        <v>1944</v>
      </c>
      <c r="E751" s="9" t="str" cm="1">
        <f t="array" ref="E751">IFERROR(_xlfn.IFS(AND(D751&lt;1980,D751&gt;=1970),"70",AND(D751&lt;1990,D751&gt;=1980),"80",AND(D751&lt;2000,D751&gt;=1990),"90",AND(D751&lt;2010,D751&gt;=2000),"00",AND(D751&lt;=2019,D751&gt;=2010),"10"),"1908-1970")</f>
        <v>1908-1970</v>
      </c>
      <c r="F751" s="3">
        <v>0.65277777777777779</v>
      </c>
      <c r="G751" t="s">
        <v>8215</v>
      </c>
      <c r="H751" t="s">
        <v>7782</v>
      </c>
      <c r="I751" t="s">
        <v>28931</v>
      </c>
      <c r="J751" t="s">
        <v>8216</v>
      </c>
      <c r="K751" t="s">
        <v>8217</v>
      </c>
      <c r="L751" s="7" t="s">
        <v>8218</v>
      </c>
      <c r="M751" t="s">
        <v>28931</v>
      </c>
      <c r="N751">
        <v>24</v>
      </c>
      <c r="O751">
        <v>19</v>
      </c>
      <c r="P751">
        <v>5</v>
      </c>
      <c r="Q751">
        <v>24</v>
      </c>
      <c r="R751">
        <v>19</v>
      </c>
      <c r="S751">
        <v>5</v>
      </c>
      <c r="T751">
        <v>0</v>
      </c>
      <c r="U751" t="s">
        <v>8219</v>
      </c>
      <c r="V751">
        <f>Tabla1[[#This Row],[Aboard]]-Tabla1[[#This Row],[Fatalities]]</f>
        <v>0</v>
      </c>
      <c r="W751" s="50">
        <f>IFERROR(Tabla1[[#This Row],[Fatalities]]/Tabla1[[#This Row],[Aboard]],0)</f>
        <v>1</v>
      </c>
      <c r="X751" s="51" t="str" cm="1">
        <f t="array" ref="X751">_xlfn.IFS(Tabla1[[#This Row],[Porcentaje de muertes]]&lt;0.35,"LEVE",AND(Tabla1[[#This Row],[Porcentaje de muertes]]&gt;0.35,Tabla1[[#This Row],[Porcentaje de muertes]]&lt;0.65),"MEDIO",Tabla1[[#This Row],[Porcentaje de muertes]]&gt;0.65,"GRAVE")</f>
        <v>GRAVE</v>
      </c>
    </row>
    <row r="752" spans="2:24" x14ac:dyDescent="0.3">
      <c r="B752" s="9">
        <v>750</v>
      </c>
      <c r="C752" s="49">
        <v>16173</v>
      </c>
      <c r="D752" s="9">
        <f>YEAR(Tabla1[[#This Row],[Date]])</f>
        <v>1944</v>
      </c>
      <c r="E752" s="9" t="str" cm="1">
        <f t="array" ref="E752">IFERROR(_xlfn.IFS(AND(D752&lt;1980,D752&gt;=1970),"70",AND(D752&lt;1990,D752&gt;=1980),"80",AND(D752&lt;2000,D752&gt;=1990),"90",AND(D752&lt;2010,D752&gt;=2000),"00",AND(D752&lt;=2019,D752&gt;=2010),"10"),"1908-1970")</f>
        <v>1908-1970</v>
      </c>
      <c r="F752" s="3">
        <v>0.71875</v>
      </c>
      <c r="G752" t="s">
        <v>8220</v>
      </c>
      <c r="H752" t="s">
        <v>6044</v>
      </c>
      <c r="I752">
        <v>8</v>
      </c>
      <c r="J752" t="s">
        <v>7771</v>
      </c>
      <c r="K752" t="s">
        <v>7057</v>
      </c>
      <c r="L752" s="7" t="s">
        <v>8221</v>
      </c>
      <c r="M752">
        <v>2251</v>
      </c>
      <c r="N752">
        <v>24</v>
      </c>
      <c r="O752">
        <v>21</v>
      </c>
      <c r="P752">
        <v>3</v>
      </c>
      <c r="Q752">
        <v>24</v>
      </c>
      <c r="R752">
        <v>21</v>
      </c>
      <c r="S752">
        <v>3</v>
      </c>
      <c r="T752">
        <v>0</v>
      </c>
      <c r="U752" t="s">
        <v>8222</v>
      </c>
      <c r="V752">
        <f>Tabla1[[#This Row],[Aboard]]-Tabla1[[#This Row],[Fatalities]]</f>
        <v>0</v>
      </c>
      <c r="W752" s="50">
        <f>IFERROR(Tabla1[[#This Row],[Fatalities]]/Tabla1[[#This Row],[Aboard]],0)</f>
        <v>1</v>
      </c>
      <c r="X752" s="51" t="str" cm="1">
        <f t="array" ref="X752">_xlfn.IFS(Tabla1[[#This Row],[Porcentaje de muertes]]&lt;0.35,"LEVE",AND(Tabla1[[#This Row],[Porcentaje de muertes]]&gt;0.35,Tabla1[[#This Row],[Porcentaje de muertes]]&lt;0.65),"MEDIO",Tabla1[[#This Row],[Porcentaje de muertes]]&gt;0.65,"GRAVE")</f>
        <v>GRAVE</v>
      </c>
    </row>
    <row r="753" spans="2:24" x14ac:dyDescent="0.3">
      <c r="B753" s="9">
        <v>751</v>
      </c>
      <c r="C753" s="49">
        <v>16234</v>
      </c>
      <c r="D753" s="9">
        <f>YEAR(Tabla1[[#This Row],[Date]])</f>
        <v>1944</v>
      </c>
      <c r="E753" s="9" t="str" cm="1">
        <f t="array" ref="E753">IFERROR(_xlfn.IFS(AND(D753&lt;1980,D753&gt;=1970),"70",AND(D753&lt;1990,D753&gt;=1980),"80",AND(D753&lt;2000,D753&gt;=1990),"90",AND(D753&lt;2010,D753&gt;=2000),"00",AND(D753&lt;=2019,D753&gt;=2010),"10"),"1908-1970")</f>
        <v>1908-1970</v>
      </c>
      <c r="F753" s="3" t="s">
        <v>28931</v>
      </c>
      <c r="G753" t="s">
        <v>8223</v>
      </c>
      <c r="H753" t="s">
        <v>7957</v>
      </c>
      <c r="I753" t="s">
        <v>28931</v>
      </c>
      <c r="J753" t="s">
        <v>28931</v>
      </c>
      <c r="K753" t="s">
        <v>7959</v>
      </c>
      <c r="L753" s="7">
        <v>39063</v>
      </c>
      <c r="M753">
        <v>9941</v>
      </c>
      <c r="N753">
        <v>17</v>
      </c>
      <c r="O753">
        <v>14</v>
      </c>
      <c r="P753">
        <v>3</v>
      </c>
      <c r="Q753">
        <v>17</v>
      </c>
      <c r="R753">
        <v>14</v>
      </c>
      <c r="S753">
        <v>3</v>
      </c>
      <c r="T753">
        <v>0</v>
      </c>
      <c r="U753" t="s">
        <v>8224</v>
      </c>
      <c r="V753">
        <f>Tabla1[[#This Row],[Aboard]]-Tabla1[[#This Row],[Fatalities]]</f>
        <v>0</v>
      </c>
      <c r="W753" s="50">
        <f>IFERROR(Tabla1[[#This Row],[Fatalities]]/Tabla1[[#This Row],[Aboard]],0)</f>
        <v>1</v>
      </c>
      <c r="X753" s="51" t="str" cm="1">
        <f t="array" ref="X753">_xlfn.IFS(Tabla1[[#This Row],[Porcentaje de muertes]]&lt;0.35,"LEVE",AND(Tabla1[[#This Row],[Porcentaje de muertes]]&gt;0.35,Tabla1[[#This Row],[Porcentaje de muertes]]&lt;0.65),"MEDIO",Tabla1[[#This Row],[Porcentaje de muertes]]&gt;0.65,"GRAVE")</f>
        <v>GRAVE</v>
      </c>
    </row>
    <row r="754" spans="2:24" x14ac:dyDescent="0.3">
      <c r="B754" s="9">
        <v>752</v>
      </c>
      <c r="C754" s="49">
        <v>16326</v>
      </c>
      <c r="D754" s="9">
        <f>YEAR(Tabla1[[#This Row],[Date]])</f>
        <v>1944</v>
      </c>
      <c r="E754" s="9" t="str" cm="1">
        <f t="array" ref="E754">IFERROR(_xlfn.IFS(AND(D754&lt;1980,D754&gt;=1970),"70",AND(D754&lt;1990,D754&gt;=1980),"80",AND(D754&lt;2000,D754&gt;=1990),"90",AND(D754&lt;2010,D754&gt;=2000),"00",AND(D754&lt;=2019,D754&gt;=2010),"10"),"1908-1970")</f>
        <v>1908-1970</v>
      </c>
      <c r="F754" s="3" t="s">
        <v>28931</v>
      </c>
      <c r="G754" t="s">
        <v>8225</v>
      </c>
      <c r="H754" t="s">
        <v>8226</v>
      </c>
      <c r="I754" t="s">
        <v>28931</v>
      </c>
      <c r="J754" t="s">
        <v>28931</v>
      </c>
      <c r="K754" t="s">
        <v>5038</v>
      </c>
      <c r="L754" s="7" t="s">
        <v>8227</v>
      </c>
      <c r="M754" t="s">
        <v>28931</v>
      </c>
      <c r="N754" t="s">
        <v>5038</v>
      </c>
      <c r="O754" t="s">
        <v>5038</v>
      </c>
      <c r="P754" t="s">
        <v>5038</v>
      </c>
      <c r="Q754" t="s">
        <v>5038</v>
      </c>
      <c r="R754" t="s">
        <v>5038</v>
      </c>
      <c r="S754" t="s">
        <v>5038</v>
      </c>
      <c r="T754" t="s">
        <v>5038</v>
      </c>
      <c r="U754" t="s">
        <v>28927</v>
      </c>
      <c r="V754" t="s">
        <v>5038</v>
      </c>
      <c r="W754" s="50">
        <f>IFERROR(Tabla1[[#This Row],[Fatalities]]/Tabla1[[#This Row],[Aboard]],0)</f>
        <v>0</v>
      </c>
      <c r="X754" s="51" t="str" cm="1">
        <f t="array" ref="X754">_xlfn.IFS(Tabla1[[#This Row],[Porcentaje de muertes]]&lt;0.35,"LEVE",AND(Tabla1[[#This Row],[Porcentaje de muertes]]&gt;0.35,Tabla1[[#This Row],[Porcentaje de muertes]]&lt;0.65),"MEDIO",Tabla1[[#This Row],[Porcentaje de muertes]]&gt;0.65,"GRAVE")</f>
        <v>LEVE</v>
      </c>
    </row>
    <row r="755" spans="2:24" x14ac:dyDescent="0.3">
      <c r="B755" s="9">
        <v>753</v>
      </c>
      <c r="C755" s="49">
        <v>16356</v>
      </c>
      <c r="D755" s="9">
        <f>YEAR(Tabla1[[#This Row],[Date]])</f>
        <v>1944</v>
      </c>
      <c r="E755" s="9" t="str" cm="1">
        <f t="array" ref="E755">IFERROR(_xlfn.IFS(AND(D755&lt;1980,D755&gt;=1970),"70",AND(D755&lt;1990,D755&gt;=1980),"80",AND(D755&lt;2000,D755&gt;=1990),"90",AND(D755&lt;2010,D755&gt;=2000),"00",AND(D755&lt;=2019,D755&gt;=2010),"10"),"1908-1970")</f>
        <v>1908-1970</v>
      </c>
      <c r="F755" s="3" t="s">
        <v>28931</v>
      </c>
      <c r="G755" t="s">
        <v>8228</v>
      </c>
      <c r="H755" t="s">
        <v>8229</v>
      </c>
      <c r="I755" t="s">
        <v>28931</v>
      </c>
      <c r="J755" t="s">
        <v>28931</v>
      </c>
      <c r="K755" t="s">
        <v>7725</v>
      </c>
      <c r="L755" s="7" t="s">
        <v>28931</v>
      </c>
      <c r="M755" t="s">
        <v>28931</v>
      </c>
      <c r="N755">
        <v>20</v>
      </c>
      <c r="O755">
        <v>17</v>
      </c>
      <c r="P755">
        <v>3</v>
      </c>
      <c r="Q755">
        <v>20</v>
      </c>
      <c r="R755">
        <v>17</v>
      </c>
      <c r="S755">
        <v>3</v>
      </c>
      <c r="T755">
        <v>0</v>
      </c>
      <c r="U755" t="s">
        <v>5203</v>
      </c>
      <c r="V755">
        <f>Tabla1[[#This Row],[Aboard]]-Tabla1[[#This Row],[Fatalities]]</f>
        <v>0</v>
      </c>
      <c r="W755" s="50">
        <f>IFERROR(Tabla1[[#This Row],[Fatalities]]/Tabla1[[#This Row],[Aboard]],0)</f>
        <v>1</v>
      </c>
      <c r="X755" s="51" t="str" cm="1">
        <f t="array" ref="X755">_xlfn.IFS(Tabla1[[#This Row],[Porcentaje de muertes]]&lt;0.35,"LEVE",AND(Tabla1[[#This Row],[Porcentaje de muertes]]&gt;0.35,Tabla1[[#This Row],[Porcentaje de muertes]]&lt;0.65),"MEDIO",Tabla1[[#This Row],[Porcentaje de muertes]]&gt;0.65,"GRAVE")</f>
        <v>GRAVE</v>
      </c>
    </row>
    <row r="756" spans="2:24" x14ac:dyDescent="0.3">
      <c r="B756" s="9">
        <v>754</v>
      </c>
      <c r="C756" s="49">
        <v>16395</v>
      </c>
      <c r="D756" s="9">
        <f>YEAR(Tabla1[[#This Row],[Date]])</f>
        <v>1944</v>
      </c>
      <c r="E756" s="9" t="str" cm="1">
        <f t="array" ref="E756">IFERROR(_xlfn.IFS(AND(D756&lt;1980,D756&gt;=1970),"70",AND(D756&lt;1990,D756&gt;=1980),"80",AND(D756&lt;2000,D756&gt;=1990),"90",AND(D756&lt;2010,D756&gt;=2000),"00",AND(D756&lt;=2019,D756&gt;=2010),"10"),"1908-1970")</f>
        <v>1908-1970</v>
      </c>
      <c r="F756" s="3">
        <v>0.63194444444444442</v>
      </c>
      <c r="G756" t="s">
        <v>8230</v>
      </c>
      <c r="H756" t="s">
        <v>7782</v>
      </c>
      <c r="I756" t="s">
        <v>28931</v>
      </c>
      <c r="J756" t="s">
        <v>8231</v>
      </c>
      <c r="K756" t="s">
        <v>7953</v>
      </c>
      <c r="L756" s="7" t="s">
        <v>8232</v>
      </c>
      <c r="M756">
        <v>19512</v>
      </c>
      <c r="N756">
        <v>30</v>
      </c>
      <c r="O756">
        <v>25</v>
      </c>
      <c r="P756">
        <v>5</v>
      </c>
      <c r="Q756">
        <v>25</v>
      </c>
      <c r="R756">
        <v>20</v>
      </c>
      <c r="S756">
        <v>5</v>
      </c>
      <c r="T756">
        <v>0</v>
      </c>
      <c r="U756" t="s">
        <v>8233</v>
      </c>
      <c r="V756">
        <f>Tabla1[[#This Row],[Aboard]]-Tabla1[[#This Row],[Fatalities]]</f>
        <v>5</v>
      </c>
      <c r="W756" s="50">
        <f>IFERROR(Tabla1[[#This Row],[Fatalities]]/Tabla1[[#This Row],[Aboard]],0)</f>
        <v>0.83333333333333337</v>
      </c>
      <c r="X756" s="51" t="str" cm="1">
        <f t="array" ref="X756">_xlfn.IFS(Tabla1[[#This Row],[Porcentaje de muertes]]&lt;0.35,"LEVE",AND(Tabla1[[#This Row],[Porcentaje de muertes]]&gt;0.35,Tabla1[[#This Row],[Porcentaje de muertes]]&lt;0.65),"MEDIO",Tabla1[[#This Row],[Porcentaje de muertes]]&gt;0.65,"GRAVE")</f>
        <v>GRAVE</v>
      </c>
    </row>
    <row r="757" spans="2:24" x14ac:dyDescent="0.3">
      <c r="B757" s="9">
        <v>755</v>
      </c>
      <c r="C757" s="49">
        <v>16405</v>
      </c>
      <c r="D757" s="9">
        <f>YEAR(Tabla1[[#This Row],[Date]])</f>
        <v>1944</v>
      </c>
      <c r="E757" s="9" t="str" cm="1">
        <f t="array" ref="E757">IFERROR(_xlfn.IFS(AND(D757&lt;1980,D757&gt;=1970),"70",AND(D757&lt;1990,D757&gt;=1980),"80",AND(D757&lt;2000,D757&gt;=1990),"90",AND(D757&lt;2010,D757&gt;=2000),"00",AND(D757&lt;=2019,D757&gt;=2010),"10"),"1908-1970")</f>
        <v>1908-1970</v>
      </c>
      <c r="F757" s="3" t="s">
        <v>28931</v>
      </c>
      <c r="G757" t="s">
        <v>8234</v>
      </c>
      <c r="H757" t="s">
        <v>7716</v>
      </c>
      <c r="I757" t="s">
        <v>28931</v>
      </c>
      <c r="J757" t="s">
        <v>8235</v>
      </c>
      <c r="K757" t="s">
        <v>7671</v>
      </c>
      <c r="L757" s="7" t="s">
        <v>8236</v>
      </c>
      <c r="M757" t="s">
        <v>28931</v>
      </c>
      <c r="N757">
        <v>11</v>
      </c>
      <c r="O757">
        <v>7</v>
      </c>
      <c r="P757">
        <v>4</v>
      </c>
      <c r="Q757">
        <v>11</v>
      </c>
      <c r="R757">
        <v>7</v>
      </c>
      <c r="S757">
        <v>4</v>
      </c>
      <c r="T757">
        <v>0</v>
      </c>
      <c r="U757" t="s">
        <v>8237</v>
      </c>
      <c r="V757">
        <f>Tabla1[[#This Row],[Aboard]]-Tabla1[[#This Row],[Fatalities]]</f>
        <v>0</v>
      </c>
      <c r="W757" s="50">
        <f>IFERROR(Tabla1[[#This Row],[Fatalities]]/Tabla1[[#This Row],[Aboard]],0)</f>
        <v>1</v>
      </c>
      <c r="X757" s="51" t="str" cm="1">
        <f t="array" ref="X757">_xlfn.IFS(Tabla1[[#This Row],[Porcentaje de muertes]]&lt;0.35,"LEVE",AND(Tabla1[[#This Row],[Porcentaje de muertes]]&gt;0.35,Tabla1[[#This Row],[Porcentaje de muertes]]&lt;0.65),"MEDIO",Tabla1[[#This Row],[Porcentaje de muertes]]&gt;0.65,"GRAVE")</f>
        <v>GRAVE</v>
      </c>
    </row>
    <row r="758" spans="2:24" x14ac:dyDescent="0.3">
      <c r="B758" s="9">
        <v>756</v>
      </c>
      <c r="C758" s="49">
        <v>16405</v>
      </c>
      <c r="D758" s="9">
        <f>YEAR(Tabla1[[#This Row],[Date]])</f>
        <v>1944</v>
      </c>
      <c r="E758" s="9" t="str" cm="1">
        <f t="array" ref="E758">IFERROR(_xlfn.IFS(AND(D758&lt;1980,D758&gt;=1970),"70",AND(D758&lt;1990,D758&gt;=1980),"80",AND(D758&lt;2000,D758&gt;=1990),"90",AND(D758&lt;2010,D758&gt;=2000),"00",AND(D758&lt;=2019,D758&gt;=2010),"10"),"1908-1970")</f>
        <v>1908-1970</v>
      </c>
      <c r="F758" s="3">
        <v>0.625</v>
      </c>
      <c r="G758" t="s">
        <v>8238</v>
      </c>
      <c r="H758" t="s">
        <v>8239</v>
      </c>
      <c r="I758" t="s">
        <v>28931</v>
      </c>
      <c r="J758" t="s">
        <v>8240</v>
      </c>
      <c r="K758" t="s">
        <v>5771</v>
      </c>
      <c r="L758" s="7" t="s">
        <v>8241</v>
      </c>
      <c r="M758" t="s">
        <v>28931</v>
      </c>
      <c r="N758">
        <v>16</v>
      </c>
      <c r="O758">
        <v>14</v>
      </c>
      <c r="P758">
        <v>2</v>
      </c>
      <c r="Q758">
        <v>16</v>
      </c>
      <c r="R758">
        <v>14</v>
      </c>
      <c r="S758">
        <v>2</v>
      </c>
      <c r="T758">
        <v>0</v>
      </c>
      <c r="U758" t="s">
        <v>8242</v>
      </c>
      <c r="V758">
        <f>Tabla1[[#This Row],[Aboard]]-Tabla1[[#This Row],[Fatalities]]</f>
        <v>0</v>
      </c>
      <c r="W758" s="50">
        <f>IFERROR(Tabla1[[#This Row],[Fatalities]]/Tabla1[[#This Row],[Aboard]],0)</f>
        <v>1</v>
      </c>
      <c r="X758" s="51" t="str" cm="1">
        <f t="array" ref="X758">_xlfn.IFS(Tabla1[[#This Row],[Porcentaje de muertes]]&lt;0.35,"LEVE",AND(Tabla1[[#This Row],[Porcentaje de muertes]]&gt;0.35,Tabla1[[#This Row],[Porcentaje de muertes]]&lt;0.65),"MEDIO",Tabla1[[#This Row],[Porcentaje de muertes]]&gt;0.65,"GRAVE")</f>
        <v>GRAVE</v>
      </c>
    </row>
    <row r="759" spans="2:24" x14ac:dyDescent="0.3">
      <c r="B759" s="9">
        <v>757</v>
      </c>
      <c r="C759" s="49">
        <v>16405</v>
      </c>
      <c r="D759" s="9">
        <f>YEAR(Tabla1[[#This Row],[Date]])</f>
        <v>1944</v>
      </c>
      <c r="E759" s="9" t="str" cm="1">
        <f t="array" ref="E759">IFERROR(_xlfn.IFS(AND(D759&lt;1980,D759&gt;=1970),"70",AND(D759&lt;1990,D759&gt;=1980),"80",AND(D759&lt;2000,D759&gt;=1990),"90",AND(D759&lt;2010,D759&gt;=2000),"00",AND(D759&lt;=2019,D759&gt;=2010),"10"),"1908-1970")</f>
        <v>1908-1970</v>
      </c>
      <c r="F759" s="3">
        <v>0.43402777777777773</v>
      </c>
      <c r="G759" t="s">
        <v>8243</v>
      </c>
      <c r="H759" t="s">
        <v>5417</v>
      </c>
      <c r="I759" t="s">
        <v>28931</v>
      </c>
      <c r="J759" t="s">
        <v>8244</v>
      </c>
      <c r="K759" t="s">
        <v>8193</v>
      </c>
      <c r="L759" s="7" t="s">
        <v>8245</v>
      </c>
      <c r="M759">
        <v>2994</v>
      </c>
      <c r="N759">
        <v>10</v>
      </c>
      <c r="O759">
        <v>6</v>
      </c>
      <c r="P759">
        <v>4</v>
      </c>
      <c r="Q759">
        <v>10</v>
      </c>
      <c r="R759">
        <v>6</v>
      </c>
      <c r="S759">
        <v>4</v>
      </c>
      <c r="T759">
        <v>0</v>
      </c>
      <c r="U759" t="s">
        <v>8246</v>
      </c>
      <c r="V759">
        <f>Tabla1[[#This Row],[Aboard]]-Tabla1[[#This Row],[Fatalities]]</f>
        <v>0</v>
      </c>
      <c r="W759" s="50">
        <f>IFERROR(Tabla1[[#This Row],[Fatalities]]/Tabla1[[#This Row],[Aboard]],0)</f>
        <v>1</v>
      </c>
      <c r="X759" s="51" t="str" cm="1">
        <f t="array" ref="X759">_xlfn.IFS(Tabla1[[#This Row],[Porcentaje de muertes]]&lt;0.35,"LEVE",AND(Tabla1[[#This Row],[Porcentaje de muertes]]&gt;0.35,Tabla1[[#This Row],[Porcentaje de muertes]]&lt;0.65),"MEDIO",Tabla1[[#This Row],[Porcentaje de muertes]]&gt;0.65,"GRAVE")</f>
        <v>GRAVE</v>
      </c>
    </row>
    <row r="760" spans="2:24" x14ac:dyDescent="0.3">
      <c r="B760" s="9">
        <v>758</v>
      </c>
      <c r="C760" s="49">
        <v>16406</v>
      </c>
      <c r="D760" s="9">
        <f>YEAR(Tabla1[[#This Row],[Date]])</f>
        <v>1944</v>
      </c>
      <c r="E760" s="9" t="str" cm="1">
        <f t="array" ref="E760">IFERROR(_xlfn.IFS(AND(D760&lt;1980,D760&gt;=1970),"70",AND(D760&lt;1990,D760&gt;=1980),"80",AND(D760&lt;2000,D760&gt;=1990),"90",AND(D760&lt;2010,D760&gt;=2000),"00",AND(D760&lt;=2019,D760&gt;=2010),"10"),"1908-1970")</f>
        <v>1908-1970</v>
      </c>
      <c r="F760" s="3" t="s">
        <v>28931</v>
      </c>
      <c r="G760" t="s">
        <v>8247</v>
      </c>
      <c r="H760" t="s">
        <v>6010</v>
      </c>
      <c r="I760" t="s">
        <v>28931</v>
      </c>
      <c r="J760" t="s">
        <v>28931</v>
      </c>
      <c r="K760" t="s">
        <v>7826</v>
      </c>
      <c r="L760" s="7">
        <v>56</v>
      </c>
      <c r="M760" t="s">
        <v>28931</v>
      </c>
      <c r="N760">
        <v>3</v>
      </c>
      <c r="O760">
        <v>0</v>
      </c>
      <c r="P760">
        <v>3</v>
      </c>
      <c r="Q760">
        <v>3</v>
      </c>
      <c r="R760">
        <v>0</v>
      </c>
      <c r="S760">
        <v>3</v>
      </c>
      <c r="T760">
        <v>0</v>
      </c>
      <c r="U760" t="s">
        <v>8248</v>
      </c>
      <c r="V760">
        <f>Tabla1[[#This Row],[Aboard]]-Tabla1[[#This Row],[Fatalities]]</f>
        <v>0</v>
      </c>
      <c r="W760" s="50">
        <f>IFERROR(Tabla1[[#This Row],[Fatalities]]/Tabla1[[#This Row],[Aboard]],0)</f>
        <v>1</v>
      </c>
      <c r="X760" s="51" t="str" cm="1">
        <f t="array" ref="X760">_xlfn.IFS(Tabla1[[#This Row],[Porcentaje de muertes]]&lt;0.35,"LEVE",AND(Tabla1[[#This Row],[Porcentaje de muertes]]&gt;0.35,Tabla1[[#This Row],[Porcentaje de muertes]]&lt;0.65),"MEDIO",Tabla1[[#This Row],[Porcentaje de muertes]]&gt;0.65,"GRAVE")</f>
        <v>GRAVE</v>
      </c>
    </row>
    <row r="761" spans="2:24" x14ac:dyDescent="0.3">
      <c r="B761" s="9">
        <v>759</v>
      </c>
      <c r="C761" s="49">
        <v>16083</v>
      </c>
      <c r="D761" s="9">
        <f>YEAR(Tabla1[[#This Row],[Date]])</f>
        <v>1944</v>
      </c>
      <c r="E761" s="9" t="str" cm="1">
        <f t="array" ref="E761">IFERROR(_xlfn.IFS(AND(D761&lt;1980,D761&gt;=1970),"70",AND(D761&lt;1990,D761&gt;=1980),"80",AND(D761&lt;2000,D761&gt;=1990),"90",AND(D761&lt;2010,D761&gt;=2000),"00",AND(D761&lt;=2019,D761&gt;=2010),"10"),"1908-1970")</f>
        <v>1908-1970</v>
      </c>
      <c r="F761" s="3">
        <v>3.7499999999999999E-2</v>
      </c>
      <c r="G761" t="s">
        <v>8249</v>
      </c>
      <c r="H761" t="s">
        <v>6044</v>
      </c>
      <c r="I761">
        <v>13</v>
      </c>
      <c r="J761" t="s">
        <v>8250</v>
      </c>
      <c r="K761" t="s">
        <v>7057</v>
      </c>
      <c r="L761" s="7" t="s">
        <v>8251</v>
      </c>
      <c r="M761">
        <v>1965</v>
      </c>
      <c r="N761">
        <v>17</v>
      </c>
      <c r="O761">
        <v>14</v>
      </c>
      <c r="P761">
        <v>3</v>
      </c>
      <c r="Q761">
        <v>9</v>
      </c>
      <c r="R761">
        <v>6</v>
      </c>
      <c r="S761">
        <v>3</v>
      </c>
      <c r="T761">
        <v>0</v>
      </c>
      <c r="U761" t="s">
        <v>8252</v>
      </c>
      <c r="V761">
        <f>Tabla1[[#This Row],[Aboard]]-Tabla1[[#This Row],[Fatalities]]</f>
        <v>8</v>
      </c>
      <c r="W761" s="50">
        <f>IFERROR(Tabla1[[#This Row],[Fatalities]]/Tabla1[[#This Row],[Aboard]],0)</f>
        <v>0.52941176470588236</v>
      </c>
      <c r="X761" s="51" t="str" cm="1">
        <f t="array" ref="X761">_xlfn.IFS(Tabla1[[#This Row],[Porcentaje de muertes]]&lt;0.35,"LEVE",AND(Tabla1[[#This Row],[Porcentaje de muertes]]&gt;0.35,Tabla1[[#This Row],[Porcentaje de muertes]]&lt;0.65),"MEDIO",Tabla1[[#This Row],[Porcentaje de muertes]]&gt;0.65,"GRAVE")</f>
        <v>MEDIO</v>
      </c>
    </row>
    <row r="762" spans="2:24" x14ac:dyDescent="0.3">
      <c r="B762" s="9">
        <v>760</v>
      </c>
      <c r="C762" s="49">
        <v>16143</v>
      </c>
      <c r="D762" s="9">
        <f>YEAR(Tabla1[[#This Row],[Date]])</f>
        <v>1944</v>
      </c>
      <c r="E762" s="9" t="str" cm="1">
        <f t="array" ref="E762">IFERROR(_xlfn.IFS(AND(D762&lt;1980,D762&gt;=1970),"70",AND(D762&lt;1990,D762&gt;=1980),"80",AND(D762&lt;2000,D762&gt;=1990),"90",AND(D762&lt;2010,D762&gt;=2000),"00",AND(D762&lt;=2019,D762&gt;=2010),"10"),"1908-1970")</f>
        <v>1908-1970</v>
      </c>
      <c r="F762" s="3" t="s">
        <v>28931</v>
      </c>
      <c r="G762" t="s">
        <v>5497</v>
      </c>
      <c r="H762" t="s">
        <v>8253</v>
      </c>
      <c r="I762" t="s">
        <v>28931</v>
      </c>
      <c r="J762" t="s">
        <v>28931</v>
      </c>
      <c r="K762" t="s">
        <v>8254</v>
      </c>
      <c r="L762" s="7" t="s">
        <v>8255</v>
      </c>
      <c r="M762" t="s">
        <v>28931</v>
      </c>
      <c r="N762">
        <v>5</v>
      </c>
      <c r="O762" t="s">
        <v>5038</v>
      </c>
      <c r="P762" t="s">
        <v>5038</v>
      </c>
      <c r="Q762">
        <v>5</v>
      </c>
      <c r="R762" t="s">
        <v>5038</v>
      </c>
      <c r="S762" t="s">
        <v>5038</v>
      </c>
      <c r="T762">
        <v>0</v>
      </c>
      <c r="U762" t="s">
        <v>28927</v>
      </c>
      <c r="V762">
        <f>Tabla1[[#This Row],[Aboard]]-Tabla1[[#This Row],[Fatalities]]</f>
        <v>0</v>
      </c>
      <c r="W762" s="50">
        <f>IFERROR(Tabla1[[#This Row],[Fatalities]]/Tabla1[[#This Row],[Aboard]],0)</f>
        <v>1</v>
      </c>
      <c r="X762" s="51" t="str" cm="1">
        <f t="array" ref="X762">_xlfn.IFS(Tabla1[[#This Row],[Porcentaje de muertes]]&lt;0.35,"LEVE",AND(Tabla1[[#This Row],[Porcentaje de muertes]]&gt;0.35,Tabla1[[#This Row],[Porcentaje de muertes]]&lt;0.65),"MEDIO",Tabla1[[#This Row],[Porcentaje de muertes]]&gt;0.65,"GRAVE")</f>
        <v>GRAVE</v>
      </c>
    </row>
    <row r="763" spans="2:24" x14ac:dyDescent="0.3">
      <c r="B763" s="9">
        <v>761</v>
      </c>
      <c r="C763" s="49">
        <v>16265</v>
      </c>
      <c r="D763" s="9">
        <f>YEAR(Tabla1[[#This Row],[Date]])</f>
        <v>1944</v>
      </c>
      <c r="E763" s="9" t="str" cm="1">
        <f t="array" ref="E763">IFERROR(_xlfn.IFS(AND(D763&lt;1980,D763&gt;=1970),"70",AND(D763&lt;1990,D763&gt;=1980),"80",AND(D763&lt;2000,D763&gt;=1990),"90",AND(D763&lt;2010,D763&gt;=2000),"00",AND(D763&lt;=2019,D763&gt;=2010),"10"),"1908-1970")</f>
        <v>1908-1970</v>
      </c>
      <c r="F763" s="3">
        <v>0.63541666666666663</v>
      </c>
      <c r="G763" t="s">
        <v>8256</v>
      </c>
      <c r="H763" t="s">
        <v>6541</v>
      </c>
      <c r="I763" t="s">
        <v>28931</v>
      </c>
      <c r="J763" t="s">
        <v>8257</v>
      </c>
      <c r="K763" t="s">
        <v>8258</v>
      </c>
      <c r="L763" s="7" t="s">
        <v>8259</v>
      </c>
      <c r="M763">
        <v>1849106</v>
      </c>
      <c r="N763">
        <v>16</v>
      </c>
      <c r="O763">
        <v>11</v>
      </c>
      <c r="P763">
        <v>5</v>
      </c>
      <c r="Q763">
        <v>16</v>
      </c>
      <c r="R763">
        <v>11</v>
      </c>
      <c r="S763">
        <v>5</v>
      </c>
      <c r="T763">
        <v>0</v>
      </c>
      <c r="U763" t="s">
        <v>8260</v>
      </c>
      <c r="V763">
        <f>Tabla1[[#This Row],[Aboard]]-Tabla1[[#This Row],[Fatalities]]</f>
        <v>0</v>
      </c>
      <c r="W763" s="50">
        <f>IFERROR(Tabla1[[#This Row],[Fatalities]]/Tabla1[[#This Row],[Aboard]],0)</f>
        <v>1</v>
      </c>
      <c r="X763" s="51" t="str" cm="1">
        <f t="array" ref="X763">_xlfn.IFS(Tabla1[[#This Row],[Porcentaje de muertes]]&lt;0.35,"LEVE",AND(Tabla1[[#This Row],[Porcentaje de muertes]]&gt;0.35,Tabla1[[#This Row],[Porcentaje de muertes]]&lt;0.65),"MEDIO",Tabla1[[#This Row],[Porcentaje de muertes]]&gt;0.65,"GRAVE")</f>
        <v>GRAVE</v>
      </c>
    </row>
    <row r="764" spans="2:24" x14ac:dyDescent="0.3">
      <c r="B764" s="9">
        <v>762</v>
      </c>
      <c r="C764" s="49">
        <v>16421</v>
      </c>
      <c r="D764" s="9">
        <f>YEAR(Tabla1[[#This Row],[Date]])</f>
        <v>1944</v>
      </c>
      <c r="E764" s="9" t="str" cm="1">
        <f t="array" ref="E764">IFERROR(_xlfn.IFS(AND(D764&lt;1980,D764&gt;=1970),"70",AND(D764&lt;1990,D764&gt;=1980),"80",AND(D764&lt;2000,D764&gt;=1990),"90",AND(D764&lt;2010,D764&gt;=2000),"00",AND(D764&lt;=2019,D764&gt;=2010),"10"),"1908-1970")</f>
        <v>1908-1970</v>
      </c>
      <c r="F764" s="3">
        <v>0.58333333333333337</v>
      </c>
      <c r="G764" t="s">
        <v>5401</v>
      </c>
      <c r="H764" t="s">
        <v>7782</v>
      </c>
      <c r="I764" t="s">
        <v>28931</v>
      </c>
      <c r="J764" t="s">
        <v>8261</v>
      </c>
      <c r="K764" t="s">
        <v>8262</v>
      </c>
      <c r="L764" s="7" t="s">
        <v>8263</v>
      </c>
      <c r="M764">
        <v>550</v>
      </c>
      <c r="N764">
        <v>3</v>
      </c>
      <c r="O764">
        <v>2</v>
      </c>
      <c r="P764">
        <v>1</v>
      </c>
      <c r="Q764">
        <v>3</v>
      </c>
      <c r="R764">
        <v>2</v>
      </c>
      <c r="S764">
        <v>1</v>
      </c>
      <c r="T764">
        <v>0</v>
      </c>
      <c r="U764" t="s">
        <v>8264</v>
      </c>
      <c r="V764">
        <f>Tabla1[[#This Row],[Aboard]]-Tabla1[[#This Row],[Fatalities]]</f>
        <v>0</v>
      </c>
      <c r="W764" s="50">
        <f>IFERROR(Tabla1[[#This Row],[Fatalities]]/Tabla1[[#This Row],[Aboard]],0)</f>
        <v>1</v>
      </c>
      <c r="X764" s="51" t="str" cm="1">
        <f t="array" ref="X764">_xlfn.IFS(Tabla1[[#This Row],[Porcentaje de muertes]]&lt;0.35,"LEVE",AND(Tabla1[[#This Row],[Porcentaje de muertes]]&gt;0.35,Tabla1[[#This Row],[Porcentaje de muertes]]&lt;0.65),"MEDIO",Tabla1[[#This Row],[Porcentaje de muertes]]&gt;0.65,"GRAVE")</f>
        <v>GRAVE</v>
      </c>
    </row>
    <row r="765" spans="2:24" x14ac:dyDescent="0.3">
      <c r="B765" s="9">
        <v>763</v>
      </c>
      <c r="C765" s="49">
        <v>16589</v>
      </c>
      <c r="D765" s="9">
        <f>YEAR(Tabla1[[#This Row],[Date]])</f>
        <v>1945</v>
      </c>
      <c r="E765" s="9" t="str" cm="1">
        <f t="array" ref="E765">IFERROR(_xlfn.IFS(AND(D765&lt;1980,D765&gt;=1970),"70",AND(D765&lt;1990,D765&gt;=1980),"80",AND(D765&lt;2000,D765&gt;=1990),"90",AND(D765&lt;2010,D765&gt;=2000),"00",AND(D765&lt;=2019,D765&gt;=2010),"10"),"1908-1970")</f>
        <v>1908-1970</v>
      </c>
      <c r="F765" s="3" t="s">
        <v>28931</v>
      </c>
      <c r="G765" t="s">
        <v>8265</v>
      </c>
      <c r="H765" t="s">
        <v>6010</v>
      </c>
      <c r="I765" t="s">
        <v>28931</v>
      </c>
      <c r="J765" t="s">
        <v>8266</v>
      </c>
      <c r="K765" t="s">
        <v>7826</v>
      </c>
      <c r="L765" s="7">
        <v>77</v>
      </c>
      <c r="M765" t="s">
        <v>28931</v>
      </c>
      <c r="N765">
        <v>4</v>
      </c>
      <c r="O765">
        <v>0</v>
      </c>
      <c r="P765">
        <v>4</v>
      </c>
      <c r="Q765">
        <v>4</v>
      </c>
      <c r="R765">
        <v>0</v>
      </c>
      <c r="S765">
        <v>4</v>
      </c>
      <c r="T765">
        <v>0</v>
      </c>
      <c r="U765" t="s">
        <v>8267</v>
      </c>
      <c r="V765">
        <f>Tabla1[[#This Row],[Aboard]]-Tabla1[[#This Row],[Fatalities]]</f>
        <v>0</v>
      </c>
      <c r="W765" s="50">
        <f>IFERROR(Tabla1[[#This Row],[Fatalities]]/Tabla1[[#This Row],[Aboard]],0)</f>
        <v>1</v>
      </c>
      <c r="X765" s="51" t="str" cm="1">
        <f t="array" ref="X765">_xlfn.IFS(Tabla1[[#This Row],[Porcentaje de muertes]]&lt;0.35,"LEVE",AND(Tabla1[[#This Row],[Porcentaje de muertes]]&gt;0.35,Tabla1[[#This Row],[Porcentaje de muertes]]&lt;0.65),"MEDIO",Tabla1[[#This Row],[Porcentaje de muertes]]&gt;0.65,"GRAVE")</f>
        <v>GRAVE</v>
      </c>
    </row>
    <row r="766" spans="2:24" x14ac:dyDescent="0.3">
      <c r="B766" s="9">
        <v>764</v>
      </c>
      <c r="C766" s="49">
        <v>16650</v>
      </c>
      <c r="D766" s="9">
        <f>YEAR(Tabla1[[#This Row],[Date]])</f>
        <v>1945</v>
      </c>
      <c r="E766" s="9" t="str" cm="1">
        <f t="array" ref="E766">IFERROR(_xlfn.IFS(AND(D766&lt;1980,D766&gt;=1970),"70",AND(D766&lt;1990,D766&gt;=1980),"80",AND(D766&lt;2000,D766&gt;=1990),"90",AND(D766&lt;2010,D766&gt;=2000),"00",AND(D766&lt;=2019,D766&gt;=2010),"10"),"1908-1970")</f>
        <v>1908-1970</v>
      </c>
      <c r="F766" s="3">
        <v>0.88611111111111107</v>
      </c>
      <c r="G766" t="s">
        <v>6790</v>
      </c>
      <c r="H766" t="s">
        <v>7121</v>
      </c>
      <c r="I766">
        <v>161</v>
      </c>
      <c r="J766" t="s">
        <v>8268</v>
      </c>
      <c r="K766" t="s">
        <v>7249</v>
      </c>
      <c r="L766" s="7" t="s">
        <v>8269</v>
      </c>
      <c r="M766">
        <v>558</v>
      </c>
      <c r="N766">
        <v>30</v>
      </c>
      <c r="O766" t="s">
        <v>5038</v>
      </c>
      <c r="P766" t="s">
        <v>5038</v>
      </c>
      <c r="Q766">
        <v>23</v>
      </c>
      <c r="R766" t="s">
        <v>5038</v>
      </c>
      <c r="S766" t="s">
        <v>5038</v>
      </c>
      <c r="T766">
        <v>0</v>
      </c>
      <c r="U766" t="s">
        <v>8270</v>
      </c>
      <c r="V766">
        <f>Tabla1[[#This Row],[Aboard]]-Tabla1[[#This Row],[Fatalities]]</f>
        <v>7</v>
      </c>
      <c r="W766" s="50">
        <f>IFERROR(Tabla1[[#This Row],[Fatalities]]/Tabla1[[#This Row],[Aboard]],0)</f>
        <v>0.76666666666666672</v>
      </c>
      <c r="X766" s="51" t="str" cm="1">
        <f t="array" ref="X766">_xlfn.IFS(Tabla1[[#This Row],[Porcentaje de muertes]]&lt;0.35,"LEVE",AND(Tabla1[[#This Row],[Porcentaje de muertes]]&gt;0.35,Tabla1[[#This Row],[Porcentaje de muertes]]&lt;0.65),"MEDIO",Tabla1[[#This Row],[Porcentaje de muertes]]&gt;0.65,"GRAVE")</f>
        <v>GRAVE</v>
      </c>
    </row>
    <row r="767" spans="2:24" x14ac:dyDescent="0.3">
      <c r="B767" s="9">
        <v>765</v>
      </c>
      <c r="C767" s="49">
        <v>16711</v>
      </c>
      <c r="D767" s="9">
        <f>YEAR(Tabla1[[#This Row],[Date]])</f>
        <v>1945</v>
      </c>
      <c r="E767" s="9" t="str" cm="1">
        <f t="array" ref="E767">IFERROR(_xlfn.IFS(AND(D767&lt;1980,D767&gt;=1970),"70",AND(D767&lt;1990,D767&gt;=1980),"80",AND(D767&lt;2000,D767&gt;=1990),"90",AND(D767&lt;2010,D767&gt;=2000),"00",AND(D767&lt;=2019,D767&gt;=2010),"10"),"1908-1970")</f>
        <v>1908-1970</v>
      </c>
      <c r="F767" s="3">
        <v>0.17361111111111113</v>
      </c>
      <c r="G767" t="s">
        <v>6053</v>
      </c>
      <c r="H767" t="s">
        <v>6536</v>
      </c>
      <c r="I767">
        <v>6001</v>
      </c>
      <c r="J767" t="s">
        <v>8271</v>
      </c>
      <c r="K767" t="s">
        <v>7057</v>
      </c>
      <c r="L767" s="7" t="s">
        <v>8272</v>
      </c>
      <c r="M767">
        <v>2215</v>
      </c>
      <c r="N767">
        <v>24</v>
      </c>
      <c r="O767">
        <v>21</v>
      </c>
      <c r="P767">
        <v>3</v>
      </c>
      <c r="Q767">
        <v>24</v>
      </c>
      <c r="R767">
        <v>21</v>
      </c>
      <c r="S767">
        <v>3</v>
      </c>
      <c r="T767">
        <v>0</v>
      </c>
      <c r="U767" t="s">
        <v>8273</v>
      </c>
      <c r="V767">
        <f>Tabla1[[#This Row],[Aboard]]-Tabla1[[#This Row],[Fatalities]]</f>
        <v>0</v>
      </c>
      <c r="W767" s="50">
        <f>IFERROR(Tabla1[[#This Row],[Fatalities]]/Tabla1[[#This Row],[Aboard]],0)</f>
        <v>1</v>
      </c>
      <c r="X767" s="51" t="str" cm="1">
        <f t="array" ref="X767">_xlfn.IFS(Tabla1[[#This Row],[Porcentaje de muertes]]&lt;0.35,"LEVE",AND(Tabla1[[#This Row],[Porcentaje de muertes]]&gt;0.35,Tabla1[[#This Row],[Porcentaje de muertes]]&lt;0.65),"MEDIO",Tabla1[[#This Row],[Porcentaje de muertes]]&gt;0.65,"GRAVE")</f>
        <v>GRAVE</v>
      </c>
    </row>
    <row r="768" spans="2:24" x14ac:dyDescent="0.3">
      <c r="B768" s="9">
        <v>766</v>
      </c>
      <c r="C768" s="49">
        <v>16451</v>
      </c>
      <c r="D768" s="9">
        <f>YEAR(Tabla1[[#This Row],[Date]])</f>
        <v>1945</v>
      </c>
      <c r="E768" s="9" t="str" cm="1">
        <f t="array" ref="E768">IFERROR(_xlfn.IFS(AND(D768&lt;1980,D768&gt;=1970),"70",AND(D768&lt;1990,D768&gt;=1980),"80",AND(D768&lt;2000,D768&gt;=1990),"90",AND(D768&lt;2010,D768&gt;=2000),"00",AND(D768&lt;=2019,D768&gt;=2010),"10"),"1908-1970")</f>
        <v>1908-1970</v>
      </c>
      <c r="F768" s="3" t="s">
        <v>28931</v>
      </c>
      <c r="G768" t="s">
        <v>8076</v>
      </c>
      <c r="H768" t="s">
        <v>6010</v>
      </c>
      <c r="I768" t="s">
        <v>28931</v>
      </c>
      <c r="J768" t="s">
        <v>28931</v>
      </c>
      <c r="K768" t="s">
        <v>7826</v>
      </c>
      <c r="L768" s="7">
        <v>70</v>
      </c>
      <c r="M768" t="s">
        <v>28931</v>
      </c>
      <c r="N768">
        <v>6</v>
      </c>
      <c r="O768">
        <v>0</v>
      </c>
      <c r="P768">
        <v>6</v>
      </c>
      <c r="Q768">
        <v>4</v>
      </c>
      <c r="R768">
        <v>0</v>
      </c>
      <c r="S768">
        <v>4</v>
      </c>
      <c r="T768">
        <v>0</v>
      </c>
      <c r="U768" t="s">
        <v>8274</v>
      </c>
      <c r="V768">
        <f>Tabla1[[#This Row],[Aboard]]-Tabla1[[#This Row],[Fatalities]]</f>
        <v>2</v>
      </c>
      <c r="W768" s="50">
        <f>IFERROR(Tabla1[[#This Row],[Fatalities]]/Tabla1[[#This Row],[Aboard]],0)</f>
        <v>0.66666666666666663</v>
      </c>
      <c r="X768" s="51" t="str" cm="1">
        <f t="array" ref="X768">_xlfn.IFS(Tabla1[[#This Row],[Porcentaje de muertes]]&lt;0.35,"LEVE",AND(Tabla1[[#This Row],[Porcentaje de muertes]]&gt;0.35,Tabla1[[#This Row],[Porcentaje de muertes]]&lt;0.65),"MEDIO",Tabla1[[#This Row],[Porcentaje de muertes]]&gt;0.65,"GRAVE")</f>
        <v>GRAVE</v>
      </c>
    </row>
    <row r="769" spans="2:24" x14ac:dyDescent="0.3">
      <c r="B769" s="9">
        <v>767</v>
      </c>
      <c r="C769" s="49">
        <v>16453</v>
      </c>
      <c r="D769" s="9">
        <f>YEAR(Tabla1[[#This Row],[Date]])</f>
        <v>1945</v>
      </c>
      <c r="E769" s="9" t="str" cm="1">
        <f t="array" ref="E769">IFERROR(_xlfn.IFS(AND(D769&lt;1980,D769&gt;=1970),"70",AND(D769&lt;1990,D769&gt;=1980),"80",AND(D769&lt;2000,D769&gt;=1990),"90",AND(D769&lt;2010,D769&gt;=2000),"00",AND(D769&lt;=2019,D769&gt;=2010),"10"),"1908-1970")</f>
        <v>1908-1970</v>
      </c>
      <c r="F769" s="3" t="s">
        <v>28931</v>
      </c>
      <c r="G769" t="s">
        <v>8275</v>
      </c>
      <c r="H769" t="s">
        <v>6010</v>
      </c>
      <c r="I769" t="s">
        <v>28931</v>
      </c>
      <c r="J769" t="s">
        <v>8276</v>
      </c>
      <c r="K769" t="s">
        <v>7826</v>
      </c>
      <c r="L769" s="7" t="s">
        <v>28931</v>
      </c>
      <c r="M769" t="s">
        <v>28931</v>
      </c>
      <c r="N769">
        <v>3</v>
      </c>
      <c r="O769">
        <v>0</v>
      </c>
      <c r="P769">
        <v>3</v>
      </c>
      <c r="Q769">
        <v>3</v>
      </c>
      <c r="R769">
        <v>0</v>
      </c>
      <c r="S769">
        <v>3</v>
      </c>
      <c r="T769">
        <v>0</v>
      </c>
      <c r="U769" t="s">
        <v>28927</v>
      </c>
      <c r="V769">
        <f>Tabla1[[#This Row],[Aboard]]-Tabla1[[#This Row],[Fatalities]]</f>
        <v>0</v>
      </c>
      <c r="W769" s="50">
        <f>IFERROR(Tabla1[[#This Row],[Fatalities]]/Tabla1[[#This Row],[Aboard]],0)</f>
        <v>1</v>
      </c>
      <c r="X769" s="51" t="str" cm="1">
        <f t="array" ref="X769">_xlfn.IFS(Tabla1[[#This Row],[Porcentaje de muertes]]&lt;0.35,"LEVE",AND(Tabla1[[#This Row],[Porcentaje de muertes]]&gt;0.35,Tabla1[[#This Row],[Porcentaje de muertes]]&lt;0.65),"MEDIO",Tabla1[[#This Row],[Porcentaje de muertes]]&gt;0.65,"GRAVE")</f>
        <v>GRAVE</v>
      </c>
    </row>
    <row r="770" spans="2:24" x14ac:dyDescent="0.3">
      <c r="B770" s="9">
        <v>768</v>
      </c>
      <c r="C770" s="49">
        <v>16460</v>
      </c>
      <c r="D770" s="9">
        <f>YEAR(Tabla1[[#This Row],[Date]])</f>
        <v>1945</v>
      </c>
      <c r="E770" s="9" t="str" cm="1">
        <f t="array" ref="E770">IFERROR(_xlfn.IFS(AND(D770&lt;1980,D770&gt;=1970),"70",AND(D770&lt;1990,D770&gt;=1980),"80",AND(D770&lt;2000,D770&gt;=1990),"90",AND(D770&lt;2010,D770&gt;=2000),"00",AND(D770&lt;=2019,D770&gt;=2010),"10"),"1908-1970")</f>
        <v>1908-1970</v>
      </c>
      <c r="F770" s="3" t="s">
        <v>28931</v>
      </c>
      <c r="G770" t="s">
        <v>8277</v>
      </c>
      <c r="H770" t="s">
        <v>5195</v>
      </c>
      <c r="I770" t="s">
        <v>28931</v>
      </c>
      <c r="J770" t="s">
        <v>28931</v>
      </c>
      <c r="K770" t="s">
        <v>7739</v>
      </c>
      <c r="L770" s="7" t="s">
        <v>8278</v>
      </c>
      <c r="M770" t="s">
        <v>28931</v>
      </c>
      <c r="N770">
        <v>11</v>
      </c>
      <c r="O770" t="s">
        <v>5038</v>
      </c>
      <c r="P770" t="s">
        <v>5038</v>
      </c>
      <c r="Q770">
        <v>11</v>
      </c>
      <c r="R770" t="s">
        <v>5038</v>
      </c>
      <c r="S770" t="s">
        <v>5038</v>
      </c>
      <c r="T770">
        <v>0</v>
      </c>
      <c r="U770" t="s">
        <v>28927</v>
      </c>
      <c r="V770">
        <f>Tabla1[[#This Row],[Aboard]]-Tabla1[[#This Row],[Fatalities]]</f>
        <v>0</v>
      </c>
      <c r="W770" s="50">
        <f>IFERROR(Tabla1[[#This Row],[Fatalities]]/Tabla1[[#This Row],[Aboard]],0)</f>
        <v>1</v>
      </c>
      <c r="X770" s="51" t="str" cm="1">
        <f t="array" ref="X770">_xlfn.IFS(Tabla1[[#This Row],[Porcentaje de muertes]]&lt;0.35,"LEVE",AND(Tabla1[[#This Row],[Porcentaje de muertes]]&gt;0.35,Tabla1[[#This Row],[Porcentaje de muertes]]&lt;0.65),"MEDIO",Tabla1[[#This Row],[Porcentaje de muertes]]&gt;0.65,"GRAVE")</f>
        <v>GRAVE</v>
      </c>
    </row>
    <row r="771" spans="2:24" x14ac:dyDescent="0.3">
      <c r="B771" s="9">
        <v>769</v>
      </c>
      <c r="C771" s="49">
        <v>16468</v>
      </c>
      <c r="D771" s="9">
        <f>YEAR(Tabla1[[#This Row],[Date]])</f>
        <v>1945</v>
      </c>
      <c r="E771" s="9" t="str" cm="1">
        <f t="array" ref="E771">IFERROR(_xlfn.IFS(AND(D771&lt;1980,D771&gt;=1970),"70",AND(D771&lt;1990,D771&gt;=1980),"80",AND(D771&lt;2000,D771&gt;=1990),"90",AND(D771&lt;2010,D771&gt;=2000),"00",AND(D771&lt;=2019,D771&gt;=2010),"10"),"1908-1970")</f>
        <v>1908-1970</v>
      </c>
      <c r="F771" s="3">
        <v>0.35069444444444442</v>
      </c>
      <c r="G771" t="s">
        <v>8279</v>
      </c>
      <c r="H771" t="s">
        <v>6038</v>
      </c>
      <c r="I771" t="s">
        <v>28931</v>
      </c>
      <c r="J771" t="s">
        <v>8280</v>
      </c>
      <c r="K771" t="s">
        <v>6660</v>
      </c>
      <c r="L771" s="7" t="s">
        <v>8281</v>
      </c>
      <c r="M771">
        <v>9130</v>
      </c>
      <c r="N771">
        <v>10</v>
      </c>
      <c r="O771">
        <v>8</v>
      </c>
      <c r="P771">
        <v>2</v>
      </c>
      <c r="Q771">
        <v>10</v>
      </c>
      <c r="R771">
        <v>8</v>
      </c>
      <c r="S771">
        <v>2</v>
      </c>
      <c r="T771">
        <v>0</v>
      </c>
      <c r="U771" t="s">
        <v>8282</v>
      </c>
      <c r="V771">
        <f>Tabla1[[#This Row],[Aboard]]-Tabla1[[#This Row],[Fatalities]]</f>
        <v>0</v>
      </c>
      <c r="W771" s="50">
        <f>IFERROR(Tabla1[[#This Row],[Fatalities]]/Tabla1[[#This Row],[Aboard]],0)</f>
        <v>1</v>
      </c>
      <c r="X771" s="51" t="str" cm="1">
        <f t="array" ref="X771">_xlfn.IFS(Tabla1[[#This Row],[Porcentaje de muertes]]&lt;0.35,"LEVE",AND(Tabla1[[#This Row],[Porcentaje de muertes]]&gt;0.35,Tabla1[[#This Row],[Porcentaje de muertes]]&lt;0.65),"MEDIO",Tabla1[[#This Row],[Porcentaje de muertes]]&gt;0.65,"GRAVE")</f>
        <v>GRAVE</v>
      </c>
    </row>
    <row r="772" spans="2:24" x14ac:dyDescent="0.3">
      <c r="B772" s="9">
        <v>770</v>
      </c>
      <c r="C772" s="49">
        <v>16470</v>
      </c>
      <c r="D772" s="9">
        <f>YEAR(Tabla1[[#This Row],[Date]])</f>
        <v>1945</v>
      </c>
      <c r="E772" s="9" t="str" cm="1">
        <f t="array" ref="E772">IFERROR(_xlfn.IFS(AND(D772&lt;1980,D772&gt;=1970),"70",AND(D772&lt;1990,D772&gt;=1980),"80",AND(D772&lt;2000,D772&gt;=1990),"90",AND(D772&lt;2010,D772&gt;=2000),"00",AND(D772&lt;=2019,D772&gt;=2010),"10"),"1908-1970")</f>
        <v>1908-1970</v>
      </c>
      <c r="F772" s="3">
        <v>0.42708333333333331</v>
      </c>
      <c r="G772" t="s">
        <v>8283</v>
      </c>
      <c r="H772" t="s">
        <v>7782</v>
      </c>
      <c r="I772" t="s">
        <v>28931</v>
      </c>
      <c r="J772" t="s">
        <v>8284</v>
      </c>
      <c r="K772" t="s">
        <v>7934</v>
      </c>
      <c r="L772" s="7" t="s">
        <v>8285</v>
      </c>
      <c r="M772">
        <v>4728</v>
      </c>
      <c r="N772">
        <v>26</v>
      </c>
      <c r="O772">
        <v>22</v>
      </c>
      <c r="P772">
        <v>4</v>
      </c>
      <c r="Q772">
        <v>23</v>
      </c>
      <c r="R772">
        <v>21</v>
      </c>
      <c r="S772">
        <v>2</v>
      </c>
      <c r="T772">
        <v>0</v>
      </c>
      <c r="U772" t="s">
        <v>8286</v>
      </c>
      <c r="V772">
        <f>Tabla1[[#This Row],[Aboard]]-Tabla1[[#This Row],[Fatalities]]</f>
        <v>3</v>
      </c>
      <c r="W772" s="50">
        <f>IFERROR(Tabla1[[#This Row],[Fatalities]]/Tabla1[[#This Row],[Aboard]],0)</f>
        <v>0.88461538461538458</v>
      </c>
      <c r="X772" s="51" t="str" cm="1">
        <f t="array" ref="X772">_xlfn.IFS(Tabla1[[#This Row],[Porcentaje de muertes]]&lt;0.35,"LEVE",AND(Tabla1[[#This Row],[Porcentaje de muertes]]&gt;0.35,Tabla1[[#This Row],[Porcentaje de muertes]]&lt;0.65),"MEDIO",Tabla1[[#This Row],[Porcentaje de muertes]]&gt;0.65,"GRAVE")</f>
        <v>GRAVE</v>
      </c>
    </row>
    <row r="773" spans="2:24" x14ac:dyDescent="0.3">
      <c r="B773" s="9">
        <v>771</v>
      </c>
      <c r="C773" s="49">
        <v>16590</v>
      </c>
      <c r="D773" s="9">
        <f>YEAR(Tabla1[[#This Row],[Date]])</f>
        <v>1945</v>
      </c>
      <c r="E773" s="9" t="str" cm="1">
        <f t="array" ref="E773">IFERROR(_xlfn.IFS(AND(D773&lt;1980,D773&gt;=1970),"70",AND(D773&lt;1990,D773&gt;=1980),"80",AND(D773&lt;2000,D773&gt;=1990),"90",AND(D773&lt;2010,D773&gt;=2000),"00",AND(D773&lt;=2019,D773&gt;=2010),"10"),"1908-1970")</f>
        <v>1908-1970</v>
      </c>
      <c r="F773" s="3">
        <v>0.4201388888888889</v>
      </c>
      <c r="G773" t="s">
        <v>8287</v>
      </c>
      <c r="H773" t="s">
        <v>7660</v>
      </c>
      <c r="I773" t="s">
        <v>28931</v>
      </c>
      <c r="J773" t="s">
        <v>8288</v>
      </c>
      <c r="K773" t="s">
        <v>8289</v>
      </c>
      <c r="L773" s="7" t="s">
        <v>8290</v>
      </c>
      <c r="M773">
        <v>13390</v>
      </c>
      <c r="N773">
        <v>23</v>
      </c>
      <c r="O773">
        <v>19</v>
      </c>
      <c r="P773">
        <v>4</v>
      </c>
      <c r="Q773">
        <v>23</v>
      </c>
      <c r="R773">
        <v>19</v>
      </c>
      <c r="S773">
        <v>4</v>
      </c>
      <c r="T773">
        <v>0</v>
      </c>
      <c r="U773" t="s">
        <v>8291</v>
      </c>
      <c r="V773">
        <f>Tabla1[[#This Row],[Aboard]]-Tabla1[[#This Row],[Fatalities]]</f>
        <v>0</v>
      </c>
      <c r="W773" s="50">
        <f>IFERROR(Tabla1[[#This Row],[Fatalities]]/Tabla1[[#This Row],[Aboard]],0)</f>
        <v>1</v>
      </c>
      <c r="X773" s="51" t="str" cm="1">
        <f t="array" ref="X773">_xlfn.IFS(Tabla1[[#This Row],[Porcentaje de muertes]]&lt;0.35,"LEVE",AND(Tabla1[[#This Row],[Porcentaje de muertes]]&gt;0.35,Tabla1[[#This Row],[Porcentaje de muertes]]&lt;0.65),"MEDIO",Tabla1[[#This Row],[Porcentaje de muertes]]&gt;0.65,"GRAVE")</f>
        <v>GRAVE</v>
      </c>
    </row>
    <row r="774" spans="2:24" x14ac:dyDescent="0.3">
      <c r="B774" s="9">
        <v>772</v>
      </c>
      <c r="C774" s="49">
        <v>16481</v>
      </c>
      <c r="D774" s="9">
        <f>YEAR(Tabla1[[#This Row],[Date]])</f>
        <v>1945</v>
      </c>
      <c r="E774" s="9" t="str" cm="1">
        <f t="array" ref="E774">IFERROR(_xlfn.IFS(AND(D774&lt;1980,D774&gt;=1970),"70",AND(D774&lt;1990,D774&gt;=1980),"80",AND(D774&lt;2000,D774&gt;=1990),"90",AND(D774&lt;2010,D774&gt;=2000),"00",AND(D774&lt;=2019,D774&gt;=2010),"10"),"1908-1970")</f>
        <v>1908-1970</v>
      </c>
      <c r="F774" s="3">
        <v>0.27083333333333331</v>
      </c>
      <c r="G774" t="s">
        <v>8292</v>
      </c>
      <c r="H774" t="s">
        <v>5027</v>
      </c>
      <c r="I774" t="s">
        <v>28931</v>
      </c>
      <c r="J774" t="s">
        <v>28931</v>
      </c>
      <c r="K774" t="s">
        <v>8293</v>
      </c>
      <c r="L774" s="7">
        <v>50765</v>
      </c>
      <c r="M774" t="s">
        <v>8294</v>
      </c>
      <c r="N774">
        <v>24</v>
      </c>
      <c r="O774">
        <v>21</v>
      </c>
      <c r="P774">
        <v>3</v>
      </c>
      <c r="Q774">
        <v>24</v>
      </c>
      <c r="R774">
        <v>21</v>
      </c>
      <c r="S774">
        <v>3</v>
      </c>
      <c r="T774">
        <v>0</v>
      </c>
      <c r="U774" t="s">
        <v>8295</v>
      </c>
      <c r="V774">
        <f>Tabla1[[#This Row],[Aboard]]-Tabla1[[#This Row],[Fatalities]]</f>
        <v>0</v>
      </c>
      <c r="W774" s="50">
        <f>IFERROR(Tabla1[[#This Row],[Fatalities]]/Tabla1[[#This Row],[Aboard]],0)</f>
        <v>1</v>
      </c>
      <c r="X774" s="51" t="str" cm="1">
        <f t="array" ref="X774">_xlfn.IFS(Tabla1[[#This Row],[Porcentaje de muertes]]&lt;0.35,"LEVE",AND(Tabla1[[#This Row],[Porcentaje de muertes]]&gt;0.35,Tabla1[[#This Row],[Porcentaje de muertes]]&lt;0.65),"MEDIO",Tabla1[[#This Row],[Porcentaje de muertes]]&gt;0.65,"GRAVE")</f>
        <v>GRAVE</v>
      </c>
    </row>
    <row r="775" spans="2:24" x14ac:dyDescent="0.3">
      <c r="B775" s="9">
        <v>773</v>
      </c>
      <c r="C775" s="49">
        <v>16483</v>
      </c>
      <c r="D775" s="9">
        <f>YEAR(Tabla1[[#This Row],[Date]])</f>
        <v>1945</v>
      </c>
      <c r="E775" s="9" t="str" cm="1">
        <f t="array" ref="E775">IFERROR(_xlfn.IFS(AND(D775&lt;1980,D775&gt;=1970),"70",AND(D775&lt;1990,D775&gt;=1980),"80",AND(D775&lt;2000,D775&gt;=1990),"90",AND(D775&lt;2010,D775&gt;=2000),"00",AND(D775&lt;=2019,D775&gt;=2010),"10"),"1908-1970")</f>
        <v>1908-1970</v>
      </c>
      <c r="F775" s="3" t="s">
        <v>28931</v>
      </c>
      <c r="G775" t="s">
        <v>8296</v>
      </c>
      <c r="H775" t="s">
        <v>8297</v>
      </c>
      <c r="I775" t="s">
        <v>28931</v>
      </c>
      <c r="J775" t="s">
        <v>28931</v>
      </c>
      <c r="K775" t="s">
        <v>7823</v>
      </c>
      <c r="L775" s="7" t="s">
        <v>8298</v>
      </c>
      <c r="M775">
        <v>2149</v>
      </c>
      <c r="N775">
        <v>11</v>
      </c>
      <c r="O775">
        <v>7</v>
      </c>
      <c r="P775">
        <v>4</v>
      </c>
      <c r="Q775">
        <v>11</v>
      </c>
      <c r="R775">
        <v>7</v>
      </c>
      <c r="S775">
        <v>4</v>
      </c>
      <c r="T775">
        <v>0</v>
      </c>
      <c r="U775" t="s">
        <v>7476</v>
      </c>
      <c r="V775">
        <f>Tabla1[[#This Row],[Aboard]]-Tabla1[[#This Row],[Fatalities]]</f>
        <v>0</v>
      </c>
      <c r="W775" s="50">
        <f>IFERROR(Tabla1[[#This Row],[Fatalities]]/Tabla1[[#This Row],[Aboard]],0)</f>
        <v>1</v>
      </c>
      <c r="X775" s="51" t="str" cm="1">
        <f t="array" ref="X775">_xlfn.IFS(Tabla1[[#This Row],[Porcentaje de muertes]]&lt;0.35,"LEVE",AND(Tabla1[[#This Row],[Porcentaje de muertes]]&gt;0.35,Tabla1[[#This Row],[Porcentaje de muertes]]&lt;0.65),"MEDIO",Tabla1[[#This Row],[Porcentaje de muertes]]&gt;0.65,"GRAVE")</f>
        <v>GRAVE</v>
      </c>
    </row>
    <row r="776" spans="2:24" x14ac:dyDescent="0.3">
      <c r="B776" s="9">
        <v>774</v>
      </c>
      <c r="C776" s="49">
        <v>16491</v>
      </c>
      <c r="D776" s="9">
        <f>YEAR(Tabla1[[#This Row],[Date]])</f>
        <v>1945</v>
      </c>
      <c r="E776" s="9" t="str" cm="1">
        <f t="array" ref="E776">IFERROR(_xlfn.IFS(AND(D776&lt;1980,D776&gt;=1970),"70",AND(D776&lt;1990,D776&gt;=1980),"80",AND(D776&lt;2000,D776&gt;=1990),"90",AND(D776&lt;2010,D776&gt;=2000),"00",AND(D776&lt;=2019,D776&gt;=2010),"10"),"1908-1970")</f>
        <v>1908-1970</v>
      </c>
      <c r="F776" s="3" t="s">
        <v>28931</v>
      </c>
      <c r="G776" t="s">
        <v>8299</v>
      </c>
      <c r="H776" t="s">
        <v>5050</v>
      </c>
      <c r="I776" t="s">
        <v>28931</v>
      </c>
      <c r="J776" t="s">
        <v>28931</v>
      </c>
      <c r="K776" t="s">
        <v>8300</v>
      </c>
      <c r="L776" s="7" t="s">
        <v>8301</v>
      </c>
      <c r="M776">
        <v>6820</v>
      </c>
      <c r="N776">
        <v>8</v>
      </c>
      <c r="O776">
        <v>8</v>
      </c>
      <c r="P776">
        <v>0</v>
      </c>
      <c r="Q776">
        <v>8</v>
      </c>
      <c r="R776">
        <v>8</v>
      </c>
      <c r="S776">
        <v>0</v>
      </c>
      <c r="T776">
        <v>0</v>
      </c>
      <c r="U776" t="s">
        <v>8302</v>
      </c>
      <c r="V776">
        <f>Tabla1[[#This Row],[Aboard]]-Tabla1[[#This Row],[Fatalities]]</f>
        <v>0</v>
      </c>
      <c r="W776" s="50">
        <f>IFERROR(Tabla1[[#This Row],[Fatalities]]/Tabla1[[#This Row],[Aboard]],0)</f>
        <v>1</v>
      </c>
      <c r="X776" s="51" t="str" cm="1">
        <f t="array" ref="X776">_xlfn.IFS(Tabla1[[#This Row],[Porcentaje de muertes]]&lt;0.35,"LEVE",AND(Tabla1[[#This Row],[Porcentaje de muertes]]&gt;0.35,Tabla1[[#This Row],[Porcentaje de muertes]]&lt;0.65),"MEDIO",Tabla1[[#This Row],[Porcentaje de muertes]]&gt;0.65,"GRAVE")</f>
        <v>GRAVE</v>
      </c>
    </row>
    <row r="777" spans="2:24" x14ac:dyDescent="0.3">
      <c r="B777" s="9">
        <v>775</v>
      </c>
      <c r="C777" s="49">
        <v>16491</v>
      </c>
      <c r="D777" s="9">
        <f>YEAR(Tabla1[[#This Row],[Date]])</f>
        <v>1945</v>
      </c>
      <c r="E777" s="9" t="str" cm="1">
        <f t="array" ref="E777">IFERROR(_xlfn.IFS(AND(D777&lt;1980,D777&gt;=1970),"70",AND(D777&lt;1990,D777&gt;=1980),"80",AND(D777&lt;2000,D777&gt;=1990),"90",AND(D777&lt;2010,D777&gt;=2000),"00",AND(D777&lt;=2019,D777&gt;=2010),"10"),"1908-1970")</f>
        <v>1908-1970</v>
      </c>
      <c r="F777" s="3" t="s">
        <v>28931</v>
      </c>
      <c r="G777" t="s">
        <v>8303</v>
      </c>
      <c r="H777" t="s">
        <v>8304</v>
      </c>
      <c r="I777" t="s">
        <v>28931</v>
      </c>
      <c r="J777" t="s">
        <v>28931</v>
      </c>
      <c r="K777" t="s">
        <v>8305</v>
      </c>
      <c r="L777" s="7" t="s">
        <v>8306</v>
      </c>
      <c r="M777">
        <v>27064</v>
      </c>
      <c r="N777">
        <v>30</v>
      </c>
      <c r="O777">
        <v>26</v>
      </c>
      <c r="P777">
        <v>4</v>
      </c>
      <c r="Q777">
        <v>13</v>
      </c>
      <c r="R777">
        <v>13</v>
      </c>
      <c r="S777">
        <v>0</v>
      </c>
      <c r="T777">
        <v>0</v>
      </c>
      <c r="U777" t="s">
        <v>28927</v>
      </c>
      <c r="V777">
        <f>Tabla1[[#This Row],[Aboard]]-Tabla1[[#This Row],[Fatalities]]</f>
        <v>17</v>
      </c>
      <c r="W777" s="50">
        <f>IFERROR(Tabla1[[#This Row],[Fatalities]]/Tabla1[[#This Row],[Aboard]],0)</f>
        <v>0.43333333333333335</v>
      </c>
      <c r="X777" s="51" t="str" cm="1">
        <f t="array" ref="X777">_xlfn.IFS(Tabla1[[#This Row],[Porcentaje de muertes]]&lt;0.35,"LEVE",AND(Tabla1[[#This Row],[Porcentaje de muertes]]&gt;0.35,Tabla1[[#This Row],[Porcentaje de muertes]]&lt;0.65),"MEDIO",Tabla1[[#This Row],[Porcentaje de muertes]]&gt;0.65,"GRAVE")</f>
        <v>MEDIO</v>
      </c>
    </row>
    <row r="778" spans="2:24" x14ac:dyDescent="0.3">
      <c r="B778" s="9">
        <v>776</v>
      </c>
      <c r="C778" s="49">
        <v>16491</v>
      </c>
      <c r="D778" s="9">
        <f>YEAR(Tabla1[[#This Row],[Date]])</f>
        <v>1945</v>
      </c>
      <c r="E778" s="9" t="str" cm="1">
        <f t="array" ref="E778">IFERROR(_xlfn.IFS(AND(D778&lt;1980,D778&gt;=1970),"70",AND(D778&lt;1990,D778&gt;=1980),"80",AND(D778&lt;2000,D778&gt;=1990),"90",AND(D778&lt;2010,D778&gt;=2000),"00",AND(D778&lt;=2019,D778&gt;=2010),"10"),"1908-1970")</f>
        <v>1908-1970</v>
      </c>
      <c r="F778" s="3">
        <v>0.10069444444444443</v>
      </c>
      <c r="G778" t="s">
        <v>8307</v>
      </c>
      <c r="H778" t="s">
        <v>6536</v>
      </c>
      <c r="I778">
        <v>9</v>
      </c>
      <c r="J778" t="s">
        <v>8308</v>
      </c>
      <c r="K778" t="s">
        <v>7057</v>
      </c>
      <c r="L778" s="7" t="s">
        <v>8309</v>
      </c>
      <c r="M778">
        <v>2138</v>
      </c>
      <c r="N778">
        <v>22</v>
      </c>
      <c r="O778">
        <v>19</v>
      </c>
      <c r="P778">
        <v>3</v>
      </c>
      <c r="Q778">
        <v>17</v>
      </c>
      <c r="R778">
        <v>15</v>
      </c>
      <c r="S778">
        <v>2</v>
      </c>
      <c r="T778">
        <v>0</v>
      </c>
      <c r="U778" t="s">
        <v>8310</v>
      </c>
      <c r="V778">
        <f>Tabla1[[#This Row],[Aboard]]-Tabla1[[#This Row],[Fatalities]]</f>
        <v>5</v>
      </c>
      <c r="W778" s="50">
        <f>IFERROR(Tabla1[[#This Row],[Fatalities]]/Tabla1[[#This Row],[Aboard]],0)</f>
        <v>0.77272727272727271</v>
      </c>
      <c r="X778" s="51" t="str" cm="1">
        <f t="array" ref="X778">_xlfn.IFS(Tabla1[[#This Row],[Porcentaje de muertes]]&lt;0.35,"LEVE",AND(Tabla1[[#This Row],[Porcentaje de muertes]]&gt;0.35,Tabla1[[#This Row],[Porcentaje de muertes]]&lt;0.65),"MEDIO",Tabla1[[#This Row],[Porcentaje de muertes]]&gt;0.65,"GRAVE")</f>
        <v>GRAVE</v>
      </c>
    </row>
    <row r="779" spans="2:24" x14ac:dyDescent="0.3">
      <c r="B779" s="9">
        <v>777</v>
      </c>
      <c r="C779" s="49">
        <v>16523</v>
      </c>
      <c r="D779" s="9">
        <f>YEAR(Tabla1[[#This Row],[Date]])</f>
        <v>1945</v>
      </c>
      <c r="E779" s="9" t="str" cm="1">
        <f t="array" ref="E779">IFERROR(_xlfn.IFS(AND(D779&lt;1980,D779&gt;=1970),"70",AND(D779&lt;1990,D779&gt;=1980),"80",AND(D779&lt;2000,D779&gt;=1990),"90",AND(D779&lt;2010,D779&gt;=2000),"00",AND(D779&lt;=2019,D779&gt;=2010),"10"),"1908-1970")</f>
        <v>1908-1970</v>
      </c>
      <c r="F779" s="3" t="s">
        <v>28931</v>
      </c>
      <c r="G779" t="s">
        <v>8311</v>
      </c>
      <c r="H779" t="s">
        <v>7987</v>
      </c>
      <c r="I779" t="s">
        <v>28931</v>
      </c>
      <c r="J779" t="s">
        <v>8312</v>
      </c>
      <c r="K779" t="s">
        <v>8184</v>
      </c>
      <c r="L779" s="7" t="s">
        <v>8313</v>
      </c>
      <c r="M779">
        <v>20477</v>
      </c>
      <c r="N779">
        <v>24</v>
      </c>
      <c r="O779">
        <v>20</v>
      </c>
      <c r="P779">
        <v>4</v>
      </c>
      <c r="Q779">
        <v>24</v>
      </c>
      <c r="R779">
        <v>20</v>
      </c>
      <c r="S779">
        <v>4</v>
      </c>
      <c r="T779">
        <v>0</v>
      </c>
      <c r="U779" t="s">
        <v>8314</v>
      </c>
      <c r="V779">
        <f>Tabla1[[#This Row],[Aboard]]-Tabla1[[#This Row],[Fatalities]]</f>
        <v>0</v>
      </c>
      <c r="W779" s="50">
        <f>IFERROR(Tabla1[[#This Row],[Fatalities]]/Tabla1[[#This Row],[Aboard]],0)</f>
        <v>1</v>
      </c>
      <c r="X779" s="51" t="str" cm="1">
        <f t="array" ref="X779">_xlfn.IFS(Tabla1[[#This Row],[Porcentaje de muertes]]&lt;0.35,"LEVE",AND(Tabla1[[#This Row],[Porcentaje de muertes]]&gt;0.35,Tabla1[[#This Row],[Porcentaje de muertes]]&lt;0.65),"MEDIO",Tabla1[[#This Row],[Porcentaje de muertes]]&gt;0.65,"GRAVE")</f>
        <v>GRAVE</v>
      </c>
    </row>
    <row r="780" spans="2:24" x14ac:dyDescent="0.3">
      <c r="B780" s="9">
        <v>778</v>
      </c>
      <c r="C780" s="49">
        <v>16684</v>
      </c>
      <c r="D780" s="9">
        <f>YEAR(Tabla1[[#This Row],[Date]])</f>
        <v>1945</v>
      </c>
      <c r="E780" s="9" t="str" cm="1">
        <f t="array" ref="E780">IFERROR(_xlfn.IFS(AND(D780&lt;1980,D780&gt;=1970),"70",AND(D780&lt;1990,D780&gt;=1980),"80",AND(D780&lt;2000,D780&gt;=1990),"90",AND(D780&lt;2010,D780&gt;=2000),"00",AND(D780&lt;=2019,D780&gt;=2010),"10"),"1908-1970")</f>
        <v>1908-1970</v>
      </c>
      <c r="F780" s="3" t="s">
        <v>28931</v>
      </c>
      <c r="G780" t="s">
        <v>7762</v>
      </c>
      <c r="H780" t="s">
        <v>6010</v>
      </c>
      <c r="I780" t="s">
        <v>28931</v>
      </c>
      <c r="J780" t="s">
        <v>8315</v>
      </c>
      <c r="K780" t="s">
        <v>7826</v>
      </c>
      <c r="L780" s="7">
        <v>88</v>
      </c>
      <c r="M780" t="s">
        <v>28931</v>
      </c>
      <c r="N780">
        <v>3</v>
      </c>
      <c r="O780">
        <v>0</v>
      </c>
      <c r="P780">
        <v>3</v>
      </c>
      <c r="Q780">
        <v>3</v>
      </c>
      <c r="R780">
        <v>0</v>
      </c>
      <c r="S780">
        <v>3</v>
      </c>
      <c r="T780">
        <v>0</v>
      </c>
      <c r="U780" t="s">
        <v>8316</v>
      </c>
      <c r="V780">
        <f>Tabla1[[#This Row],[Aboard]]-Tabla1[[#This Row],[Fatalities]]</f>
        <v>0</v>
      </c>
      <c r="W780" s="50">
        <f>IFERROR(Tabla1[[#This Row],[Fatalities]]/Tabla1[[#This Row],[Aboard]],0)</f>
        <v>1</v>
      </c>
      <c r="X780" s="51" t="str" cm="1">
        <f t="array" ref="X780">_xlfn.IFS(Tabla1[[#This Row],[Porcentaje de muertes]]&lt;0.35,"LEVE",AND(Tabla1[[#This Row],[Porcentaje de muertes]]&gt;0.35,Tabla1[[#This Row],[Porcentaje de muertes]]&lt;0.65),"MEDIO",Tabla1[[#This Row],[Porcentaje de muertes]]&gt;0.65,"GRAVE")</f>
        <v>GRAVE</v>
      </c>
    </row>
    <row r="781" spans="2:24" x14ac:dyDescent="0.3">
      <c r="B781" s="9">
        <v>779</v>
      </c>
      <c r="C781" s="49">
        <v>16541</v>
      </c>
      <c r="D781" s="9">
        <f>YEAR(Tabla1[[#This Row],[Date]])</f>
        <v>1945</v>
      </c>
      <c r="E781" s="9" t="str" cm="1">
        <f t="array" ref="E781">IFERROR(_xlfn.IFS(AND(D781&lt;1980,D781&gt;=1970),"70",AND(D781&lt;1990,D781&gt;=1980),"80",AND(D781&lt;2000,D781&gt;=1990),"90",AND(D781&lt;2010,D781&gt;=2000),"00",AND(D781&lt;=2019,D781&gt;=2010),"10"),"1908-1970")</f>
        <v>1908-1970</v>
      </c>
      <c r="F781" s="3">
        <v>0.70694444444444438</v>
      </c>
      <c r="G781" t="s">
        <v>5718</v>
      </c>
      <c r="H781" t="s">
        <v>7557</v>
      </c>
      <c r="I781">
        <v>142</v>
      </c>
      <c r="J781" t="s">
        <v>8317</v>
      </c>
      <c r="K781" t="s">
        <v>7057</v>
      </c>
      <c r="L781" s="7" t="s">
        <v>8318</v>
      </c>
      <c r="M781">
        <v>2262</v>
      </c>
      <c r="N781">
        <v>20</v>
      </c>
      <c r="O781">
        <v>17</v>
      </c>
      <c r="P781">
        <v>3</v>
      </c>
      <c r="Q781">
        <v>20</v>
      </c>
      <c r="R781">
        <v>17</v>
      </c>
      <c r="S781">
        <v>3</v>
      </c>
      <c r="T781">
        <v>0</v>
      </c>
      <c r="U781" t="s">
        <v>8319</v>
      </c>
      <c r="V781">
        <f>Tabla1[[#This Row],[Aboard]]-Tabla1[[#This Row],[Fatalities]]</f>
        <v>0</v>
      </c>
      <c r="W781" s="50">
        <f>IFERROR(Tabla1[[#This Row],[Fatalities]]/Tabla1[[#This Row],[Aboard]],0)</f>
        <v>1</v>
      </c>
      <c r="X781" s="51" t="str" cm="1">
        <f t="array" ref="X781">_xlfn.IFS(Tabla1[[#This Row],[Porcentaje de muertes]]&lt;0.35,"LEVE",AND(Tabla1[[#This Row],[Porcentaje de muertes]]&gt;0.35,Tabla1[[#This Row],[Porcentaje de muertes]]&lt;0.65),"MEDIO",Tabla1[[#This Row],[Porcentaje de muertes]]&gt;0.65,"GRAVE")</f>
        <v>GRAVE</v>
      </c>
    </row>
    <row r="782" spans="2:24" x14ac:dyDescent="0.3">
      <c r="B782" s="9">
        <v>780</v>
      </c>
      <c r="C782" s="49">
        <v>16546</v>
      </c>
      <c r="D782" s="9">
        <f>YEAR(Tabla1[[#This Row],[Date]])</f>
        <v>1945</v>
      </c>
      <c r="E782" s="9" t="str" cm="1">
        <f t="array" ref="E782">IFERROR(_xlfn.IFS(AND(D782&lt;1980,D782&gt;=1970),"70",AND(D782&lt;1990,D782&gt;=1980),"80",AND(D782&lt;2000,D782&gt;=1990),"90",AND(D782&lt;2010,D782&gt;=2000),"00",AND(D782&lt;=2019,D782&gt;=2010),"10"),"1908-1970")</f>
        <v>1908-1970</v>
      </c>
      <c r="F782" s="3">
        <v>0.23263888888888887</v>
      </c>
      <c r="G782" t="s">
        <v>8320</v>
      </c>
      <c r="H782" t="s">
        <v>5027</v>
      </c>
      <c r="I782" t="s">
        <v>28931</v>
      </c>
      <c r="J782" t="s">
        <v>8321</v>
      </c>
      <c r="K782" t="s">
        <v>7057</v>
      </c>
      <c r="L782" s="7">
        <v>39067</v>
      </c>
      <c r="M782">
        <v>10017</v>
      </c>
      <c r="N782">
        <v>13</v>
      </c>
      <c r="O782">
        <v>11</v>
      </c>
      <c r="P782">
        <v>2</v>
      </c>
      <c r="Q782">
        <v>13</v>
      </c>
      <c r="R782">
        <v>11</v>
      </c>
      <c r="S782">
        <v>2</v>
      </c>
      <c r="T782">
        <v>0</v>
      </c>
      <c r="U782" t="s">
        <v>8322</v>
      </c>
      <c r="V782">
        <f>Tabla1[[#This Row],[Aboard]]-Tabla1[[#This Row],[Fatalities]]</f>
        <v>0</v>
      </c>
      <c r="W782" s="50">
        <f>IFERROR(Tabla1[[#This Row],[Fatalities]]/Tabla1[[#This Row],[Aboard]],0)</f>
        <v>1</v>
      </c>
      <c r="X782" s="51" t="str" cm="1">
        <f t="array" ref="X782">_xlfn.IFS(Tabla1[[#This Row],[Porcentaje de muertes]]&lt;0.35,"LEVE",AND(Tabla1[[#This Row],[Porcentaje de muertes]]&gt;0.35,Tabla1[[#This Row],[Porcentaje de muertes]]&lt;0.65),"MEDIO",Tabla1[[#This Row],[Porcentaje de muertes]]&gt;0.65,"GRAVE")</f>
        <v>GRAVE</v>
      </c>
    </row>
    <row r="783" spans="2:24" x14ac:dyDescent="0.3">
      <c r="B783" s="9">
        <v>781</v>
      </c>
      <c r="C783" s="49">
        <v>16547</v>
      </c>
      <c r="D783" s="9">
        <f>YEAR(Tabla1[[#This Row],[Date]])</f>
        <v>1945</v>
      </c>
      <c r="E783" s="9" t="str" cm="1">
        <f t="array" ref="E783">IFERROR(_xlfn.IFS(AND(D783&lt;1980,D783&gt;=1970),"70",AND(D783&lt;1990,D783&gt;=1980),"80",AND(D783&lt;2000,D783&gt;=1990),"90",AND(D783&lt;2010,D783&gt;=2000),"00",AND(D783&lt;=2019,D783&gt;=2010),"10"),"1908-1970")</f>
        <v>1908-1970</v>
      </c>
      <c r="F783" s="3">
        <v>0.27777777777777779</v>
      </c>
      <c r="G783" t="s">
        <v>8323</v>
      </c>
      <c r="H783" t="s">
        <v>7782</v>
      </c>
      <c r="I783" t="s">
        <v>28931</v>
      </c>
      <c r="J783" t="s">
        <v>8324</v>
      </c>
      <c r="K783" t="s">
        <v>7934</v>
      </c>
      <c r="L783" s="7" t="s">
        <v>8325</v>
      </c>
      <c r="M783">
        <v>4513</v>
      </c>
      <c r="N783">
        <v>25</v>
      </c>
      <c r="O783">
        <v>22</v>
      </c>
      <c r="P783">
        <v>3</v>
      </c>
      <c r="Q783">
        <v>25</v>
      </c>
      <c r="R783">
        <v>22</v>
      </c>
      <c r="S783">
        <v>3</v>
      </c>
      <c r="T783">
        <v>0</v>
      </c>
      <c r="U783" t="s">
        <v>8326</v>
      </c>
      <c r="V783">
        <f>Tabla1[[#This Row],[Aboard]]-Tabla1[[#This Row],[Fatalities]]</f>
        <v>0</v>
      </c>
      <c r="W783" s="50">
        <f>IFERROR(Tabla1[[#This Row],[Fatalities]]/Tabla1[[#This Row],[Aboard]],0)</f>
        <v>1</v>
      </c>
      <c r="X783" s="51" t="str" cm="1">
        <f t="array" ref="X783">_xlfn.IFS(Tabla1[[#This Row],[Porcentaje de muertes]]&lt;0.35,"LEVE",AND(Tabla1[[#This Row],[Porcentaje de muertes]]&gt;0.35,Tabla1[[#This Row],[Porcentaje de muertes]]&lt;0.65),"MEDIO",Tabla1[[#This Row],[Porcentaje de muertes]]&gt;0.65,"GRAVE")</f>
        <v>GRAVE</v>
      </c>
    </row>
    <row r="784" spans="2:24" x14ac:dyDescent="0.3">
      <c r="B784" s="9">
        <v>782</v>
      </c>
      <c r="C784" s="49">
        <v>16547</v>
      </c>
      <c r="D784" s="9">
        <f>YEAR(Tabla1[[#This Row],[Date]])</f>
        <v>1945</v>
      </c>
      <c r="E784" s="9" t="str" cm="1">
        <f t="array" ref="E784">IFERROR(_xlfn.IFS(AND(D784&lt;1980,D784&gt;=1970),"70",AND(D784&lt;1990,D784&gt;=1980),"80",AND(D784&lt;2000,D784&gt;=1990),"90",AND(D784&lt;2010,D784&gt;=2000),"00",AND(D784&lt;=2019,D784&gt;=2010),"10"),"1908-1970")</f>
        <v>1908-1970</v>
      </c>
      <c r="F784" s="3" t="s">
        <v>28931</v>
      </c>
      <c r="G784" t="s">
        <v>8327</v>
      </c>
      <c r="H784" t="s">
        <v>7110</v>
      </c>
      <c r="I784" t="s">
        <v>28931</v>
      </c>
      <c r="J784" t="s">
        <v>8328</v>
      </c>
      <c r="K784" t="s">
        <v>7694</v>
      </c>
      <c r="L784" s="7" t="s">
        <v>8329</v>
      </c>
      <c r="M784" t="s">
        <v>28931</v>
      </c>
      <c r="N784">
        <v>20</v>
      </c>
      <c r="O784">
        <v>17</v>
      </c>
      <c r="P784">
        <v>3</v>
      </c>
      <c r="Q784">
        <v>18</v>
      </c>
      <c r="R784">
        <v>15</v>
      </c>
      <c r="S784">
        <v>3</v>
      </c>
      <c r="T784">
        <v>0</v>
      </c>
      <c r="U784" t="s">
        <v>8330</v>
      </c>
      <c r="V784">
        <f>Tabla1[[#This Row],[Aboard]]-Tabla1[[#This Row],[Fatalities]]</f>
        <v>2</v>
      </c>
      <c r="W784" s="50">
        <f>IFERROR(Tabla1[[#This Row],[Fatalities]]/Tabla1[[#This Row],[Aboard]],0)</f>
        <v>0.9</v>
      </c>
      <c r="X784" s="51" t="str" cm="1">
        <f t="array" ref="X784">_xlfn.IFS(Tabla1[[#This Row],[Porcentaje de muertes]]&lt;0.35,"LEVE",AND(Tabla1[[#This Row],[Porcentaje de muertes]]&gt;0.35,Tabla1[[#This Row],[Porcentaje de muertes]]&lt;0.65),"MEDIO",Tabla1[[#This Row],[Porcentaje de muertes]]&gt;0.65,"GRAVE")</f>
        <v>GRAVE</v>
      </c>
    </row>
    <row r="785" spans="2:24" x14ac:dyDescent="0.3">
      <c r="B785" s="9">
        <v>783</v>
      </c>
      <c r="C785" s="49">
        <v>16548</v>
      </c>
      <c r="D785" s="9">
        <f>YEAR(Tabla1[[#This Row],[Date]])</f>
        <v>1945</v>
      </c>
      <c r="E785" s="9" t="str" cm="1">
        <f t="array" ref="E785">IFERROR(_xlfn.IFS(AND(D785&lt;1980,D785&gt;=1970),"70",AND(D785&lt;1990,D785&gt;=1980),"80",AND(D785&lt;2000,D785&gt;=1990),"90",AND(D785&lt;2010,D785&gt;=2000),"00",AND(D785&lt;=2019,D785&gt;=2010),"10"),"1908-1970")</f>
        <v>1908-1970</v>
      </c>
      <c r="F785" s="3">
        <v>0.92013888888888884</v>
      </c>
      <c r="G785" t="s">
        <v>8331</v>
      </c>
      <c r="H785" t="s">
        <v>5417</v>
      </c>
      <c r="I785" t="s">
        <v>28931</v>
      </c>
      <c r="J785" t="s">
        <v>5503</v>
      </c>
      <c r="K785" t="s">
        <v>8193</v>
      </c>
      <c r="L785" s="7" t="s">
        <v>8332</v>
      </c>
      <c r="M785" t="s">
        <v>28931</v>
      </c>
      <c r="N785">
        <v>21</v>
      </c>
      <c r="O785">
        <v>16</v>
      </c>
      <c r="P785">
        <v>5</v>
      </c>
      <c r="Q785">
        <v>21</v>
      </c>
      <c r="R785">
        <v>16</v>
      </c>
      <c r="S785">
        <v>5</v>
      </c>
      <c r="T785">
        <v>0</v>
      </c>
      <c r="U785" t="s">
        <v>8333</v>
      </c>
      <c r="V785">
        <f>Tabla1[[#This Row],[Aboard]]-Tabla1[[#This Row],[Fatalities]]</f>
        <v>0</v>
      </c>
      <c r="W785" s="50">
        <f>IFERROR(Tabla1[[#This Row],[Fatalities]]/Tabla1[[#This Row],[Aboard]],0)</f>
        <v>1</v>
      </c>
      <c r="X785" s="51" t="str" cm="1">
        <f t="array" ref="X785">_xlfn.IFS(Tabla1[[#This Row],[Porcentaje de muertes]]&lt;0.35,"LEVE",AND(Tabla1[[#This Row],[Porcentaje de muertes]]&gt;0.35,Tabla1[[#This Row],[Porcentaje de muertes]]&lt;0.65),"MEDIO",Tabla1[[#This Row],[Porcentaje de muertes]]&gt;0.65,"GRAVE")</f>
        <v>GRAVE</v>
      </c>
    </row>
    <row r="786" spans="2:24" x14ac:dyDescent="0.3">
      <c r="B786" s="9">
        <v>784</v>
      </c>
      <c r="C786" s="49">
        <v>16550</v>
      </c>
      <c r="D786" s="9">
        <f>YEAR(Tabla1[[#This Row],[Date]])</f>
        <v>1945</v>
      </c>
      <c r="E786" s="9" t="str" cm="1">
        <f t="array" ref="E786">IFERROR(_xlfn.IFS(AND(D786&lt;1980,D786&gt;=1970),"70",AND(D786&lt;1990,D786&gt;=1980),"80",AND(D786&lt;2000,D786&gt;=1990),"90",AND(D786&lt;2010,D786&gt;=2000),"00",AND(D786&lt;=2019,D786&gt;=2010),"10"),"1908-1970")</f>
        <v>1908-1970</v>
      </c>
      <c r="F786" s="3" t="s">
        <v>28931</v>
      </c>
      <c r="G786" t="s">
        <v>8334</v>
      </c>
      <c r="H786" t="s">
        <v>7987</v>
      </c>
      <c r="I786" t="s">
        <v>28931</v>
      </c>
      <c r="J786" t="s">
        <v>8335</v>
      </c>
      <c r="K786" t="s">
        <v>8336</v>
      </c>
      <c r="L786" s="7" t="s">
        <v>8337</v>
      </c>
      <c r="M786">
        <v>9834</v>
      </c>
      <c r="N786">
        <v>31</v>
      </c>
      <c r="O786">
        <v>26</v>
      </c>
      <c r="P786">
        <v>5</v>
      </c>
      <c r="Q786">
        <v>31</v>
      </c>
      <c r="R786">
        <v>26</v>
      </c>
      <c r="S786">
        <v>5</v>
      </c>
      <c r="T786">
        <v>0</v>
      </c>
      <c r="U786" t="s">
        <v>8338</v>
      </c>
      <c r="V786">
        <f>Tabla1[[#This Row],[Aboard]]-Tabla1[[#This Row],[Fatalities]]</f>
        <v>0</v>
      </c>
      <c r="W786" s="50">
        <f>IFERROR(Tabla1[[#This Row],[Fatalities]]/Tabla1[[#This Row],[Aboard]],0)</f>
        <v>1</v>
      </c>
      <c r="X786" s="51" t="str" cm="1">
        <f t="array" ref="X786">_xlfn.IFS(Tabla1[[#This Row],[Porcentaje de muertes]]&lt;0.35,"LEVE",AND(Tabla1[[#This Row],[Porcentaje de muertes]]&gt;0.35,Tabla1[[#This Row],[Porcentaje de muertes]]&lt;0.65),"MEDIO",Tabla1[[#This Row],[Porcentaje de muertes]]&gt;0.65,"GRAVE")</f>
        <v>GRAVE</v>
      </c>
    </row>
    <row r="787" spans="2:24" x14ac:dyDescent="0.3">
      <c r="B787" s="9">
        <v>785</v>
      </c>
      <c r="C787" s="49">
        <v>16554</v>
      </c>
      <c r="D787" s="9">
        <f>YEAR(Tabla1[[#This Row],[Date]])</f>
        <v>1945</v>
      </c>
      <c r="E787" s="9" t="str" cm="1">
        <f t="array" ref="E787">IFERROR(_xlfn.IFS(AND(D787&lt;1980,D787&gt;=1970),"70",AND(D787&lt;1990,D787&gt;=1980),"80",AND(D787&lt;2000,D787&gt;=1990),"90",AND(D787&lt;2010,D787&gt;=2000),"00",AND(D787&lt;=2019,D787&gt;=2010),"10"),"1908-1970")</f>
        <v>1908-1970</v>
      </c>
      <c r="F787" s="3">
        <v>0.52777777777777779</v>
      </c>
      <c r="G787" t="s">
        <v>8339</v>
      </c>
      <c r="H787" t="s">
        <v>8340</v>
      </c>
      <c r="I787" t="s">
        <v>28931</v>
      </c>
      <c r="J787" t="s">
        <v>8341</v>
      </c>
      <c r="K787" t="s">
        <v>7640</v>
      </c>
      <c r="L787" s="7" t="s">
        <v>8342</v>
      </c>
      <c r="M787">
        <v>2221</v>
      </c>
      <c r="N787">
        <v>13</v>
      </c>
      <c r="O787">
        <v>11</v>
      </c>
      <c r="P787">
        <v>2</v>
      </c>
      <c r="Q787">
        <v>6</v>
      </c>
      <c r="R787">
        <v>6</v>
      </c>
      <c r="S787">
        <v>0</v>
      </c>
      <c r="T787">
        <v>0</v>
      </c>
      <c r="U787" t="s">
        <v>8343</v>
      </c>
      <c r="V787">
        <f>Tabla1[[#This Row],[Aboard]]-Tabla1[[#This Row],[Fatalities]]</f>
        <v>7</v>
      </c>
      <c r="W787" s="50">
        <f>IFERROR(Tabla1[[#This Row],[Fatalities]]/Tabla1[[#This Row],[Aboard]],0)</f>
        <v>0.46153846153846156</v>
      </c>
      <c r="X787" s="51" t="str" cm="1">
        <f t="array" ref="X787">_xlfn.IFS(Tabla1[[#This Row],[Porcentaje de muertes]]&lt;0.35,"LEVE",AND(Tabla1[[#This Row],[Porcentaje de muertes]]&gt;0.35,Tabla1[[#This Row],[Porcentaje de muertes]]&lt;0.65),"MEDIO",Tabla1[[#This Row],[Porcentaje de muertes]]&gt;0.65,"GRAVE")</f>
        <v>MEDIO</v>
      </c>
    </row>
    <row r="788" spans="2:24" x14ac:dyDescent="0.3">
      <c r="B788" s="9">
        <v>786</v>
      </c>
      <c r="C788" s="49">
        <v>16562</v>
      </c>
      <c r="D788" s="9">
        <f>YEAR(Tabla1[[#This Row],[Date]])</f>
        <v>1945</v>
      </c>
      <c r="E788" s="9" t="str" cm="1">
        <f t="array" ref="E788">IFERROR(_xlfn.IFS(AND(D788&lt;1980,D788&gt;=1970),"70",AND(D788&lt;1990,D788&gt;=1980),"80",AND(D788&lt;2000,D788&gt;=1990),"90",AND(D788&lt;2010,D788&gt;=2000),"00",AND(D788&lt;=2019,D788&gt;=2010),"10"),"1908-1970")</f>
        <v>1908-1970</v>
      </c>
      <c r="F788" s="3">
        <v>0.93472222222222223</v>
      </c>
      <c r="G788" t="s">
        <v>8344</v>
      </c>
      <c r="H788" t="s">
        <v>7782</v>
      </c>
      <c r="I788" t="s">
        <v>28931</v>
      </c>
      <c r="J788" t="s">
        <v>8345</v>
      </c>
      <c r="K788" t="s">
        <v>8346</v>
      </c>
      <c r="L788" s="7" t="s">
        <v>8347</v>
      </c>
      <c r="M788">
        <v>27269</v>
      </c>
      <c r="N788">
        <v>21</v>
      </c>
      <c r="O788">
        <v>15</v>
      </c>
      <c r="P788">
        <v>6</v>
      </c>
      <c r="Q788">
        <v>21</v>
      </c>
      <c r="R788">
        <v>15</v>
      </c>
      <c r="S788">
        <v>6</v>
      </c>
      <c r="T788">
        <v>0</v>
      </c>
      <c r="U788" t="s">
        <v>8348</v>
      </c>
      <c r="V788">
        <f>Tabla1[[#This Row],[Aboard]]-Tabla1[[#This Row],[Fatalities]]</f>
        <v>0</v>
      </c>
      <c r="W788" s="50">
        <f>IFERROR(Tabla1[[#This Row],[Fatalities]]/Tabla1[[#This Row],[Aboard]],0)</f>
        <v>1</v>
      </c>
      <c r="X788" s="51" t="str" cm="1">
        <f t="array" ref="X788">_xlfn.IFS(Tabla1[[#This Row],[Porcentaje de muertes]]&lt;0.35,"LEVE",AND(Tabla1[[#This Row],[Porcentaje de muertes]]&gt;0.35,Tabla1[[#This Row],[Porcentaje de muertes]]&lt;0.65),"MEDIO",Tabla1[[#This Row],[Porcentaje de muertes]]&gt;0.65,"GRAVE")</f>
        <v>GRAVE</v>
      </c>
    </row>
    <row r="789" spans="2:24" x14ac:dyDescent="0.3">
      <c r="B789" s="9">
        <v>787</v>
      </c>
      <c r="C789" s="49">
        <v>16593</v>
      </c>
      <c r="D789" s="9">
        <f>YEAR(Tabla1[[#This Row],[Date]])</f>
        <v>1945</v>
      </c>
      <c r="E789" s="9" t="str" cm="1">
        <f t="array" ref="E789">IFERROR(_xlfn.IFS(AND(D789&lt;1980,D789&gt;=1970),"70",AND(D789&lt;1990,D789&gt;=1980),"80",AND(D789&lt;2000,D789&gt;=1990),"90",AND(D789&lt;2010,D789&gt;=2000),"00",AND(D789&lt;=2019,D789&gt;=2010),"10"),"1908-1970")</f>
        <v>1908-1970</v>
      </c>
      <c r="F789" s="3">
        <v>0.53819444444444442</v>
      </c>
      <c r="G789" t="s">
        <v>8349</v>
      </c>
      <c r="H789" t="s">
        <v>7782</v>
      </c>
      <c r="I789" t="s">
        <v>28931</v>
      </c>
      <c r="J789" t="s">
        <v>28931</v>
      </c>
      <c r="K789" t="s">
        <v>8350</v>
      </c>
      <c r="L789" s="7" t="s">
        <v>8351</v>
      </c>
      <c r="M789">
        <v>33235</v>
      </c>
      <c r="N789">
        <v>30</v>
      </c>
      <c r="O789">
        <v>25</v>
      </c>
      <c r="P789">
        <v>5</v>
      </c>
      <c r="Q789">
        <v>30</v>
      </c>
      <c r="R789">
        <v>25</v>
      </c>
      <c r="S789">
        <v>5</v>
      </c>
      <c r="T789">
        <v>1</v>
      </c>
      <c r="U789" t="s">
        <v>8352</v>
      </c>
      <c r="V789">
        <f>Tabla1[[#This Row],[Aboard]]-Tabla1[[#This Row],[Fatalities]]</f>
        <v>0</v>
      </c>
      <c r="W789" s="50">
        <f>IFERROR(Tabla1[[#This Row],[Fatalities]]/Tabla1[[#This Row],[Aboard]],0)</f>
        <v>1</v>
      </c>
      <c r="X789" s="51" t="str" cm="1">
        <f t="array" ref="X789">_xlfn.IFS(Tabla1[[#This Row],[Porcentaje de muertes]]&lt;0.35,"LEVE",AND(Tabla1[[#This Row],[Porcentaje de muertes]]&gt;0.35,Tabla1[[#This Row],[Porcentaje de muertes]]&lt;0.65),"MEDIO",Tabla1[[#This Row],[Porcentaje de muertes]]&gt;0.65,"GRAVE")</f>
        <v>GRAVE</v>
      </c>
    </row>
    <row r="790" spans="2:24" x14ac:dyDescent="0.3">
      <c r="B790" s="9">
        <v>788</v>
      </c>
      <c r="C790" s="49">
        <v>16685</v>
      </c>
      <c r="D790" s="9">
        <f>YEAR(Tabla1[[#This Row],[Date]])</f>
        <v>1945</v>
      </c>
      <c r="E790" s="9" t="str" cm="1">
        <f t="array" ref="E790">IFERROR(_xlfn.IFS(AND(D790&lt;1980,D790&gt;=1970),"70",AND(D790&lt;1990,D790&gt;=1980),"80",AND(D790&lt;2000,D790&gt;=1990),"90",AND(D790&lt;2010,D790&gt;=2000),"00",AND(D790&lt;=2019,D790&gt;=2010),"10"),"1908-1970")</f>
        <v>1908-1970</v>
      </c>
      <c r="F790" s="3">
        <v>6.25E-2</v>
      </c>
      <c r="G790" t="s">
        <v>8353</v>
      </c>
      <c r="H790" t="s">
        <v>7660</v>
      </c>
      <c r="I790" t="s">
        <v>28931</v>
      </c>
      <c r="J790" t="s">
        <v>8354</v>
      </c>
      <c r="K790" t="s">
        <v>8355</v>
      </c>
      <c r="L790" s="7" t="s">
        <v>8356</v>
      </c>
      <c r="M790" t="s">
        <v>28931</v>
      </c>
      <c r="N790">
        <v>31</v>
      </c>
      <c r="O790">
        <v>25</v>
      </c>
      <c r="P790">
        <v>6</v>
      </c>
      <c r="Q790">
        <v>31</v>
      </c>
      <c r="R790">
        <v>25</v>
      </c>
      <c r="S790">
        <v>6</v>
      </c>
      <c r="T790">
        <v>0</v>
      </c>
      <c r="U790" t="s">
        <v>8357</v>
      </c>
      <c r="V790">
        <f>Tabla1[[#This Row],[Aboard]]-Tabla1[[#This Row],[Fatalities]]</f>
        <v>0</v>
      </c>
      <c r="W790" s="50">
        <f>IFERROR(Tabla1[[#This Row],[Fatalities]]/Tabla1[[#This Row],[Aboard]],0)</f>
        <v>1</v>
      </c>
      <c r="X790" s="51" t="str" cm="1">
        <f t="array" ref="X790">_xlfn.IFS(Tabla1[[#This Row],[Porcentaje de muertes]]&lt;0.35,"LEVE",AND(Tabla1[[#This Row],[Porcentaje de muertes]]&gt;0.35,Tabla1[[#This Row],[Porcentaje de muertes]]&lt;0.65),"MEDIO",Tabla1[[#This Row],[Porcentaje de muertes]]&gt;0.65,"GRAVE")</f>
        <v>GRAVE</v>
      </c>
    </row>
    <row r="791" spans="2:24" x14ac:dyDescent="0.3">
      <c r="B791" s="9">
        <v>789</v>
      </c>
      <c r="C791" s="49">
        <v>16570</v>
      </c>
      <c r="D791" s="9">
        <f>YEAR(Tabla1[[#This Row],[Date]])</f>
        <v>1945</v>
      </c>
      <c r="E791" s="9" t="str" cm="1">
        <f t="array" ref="E791">IFERROR(_xlfn.IFS(AND(D791&lt;1980,D791&gt;=1970),"70",AND(D791&lt;1990,D791&gt;=1980),"80",AND(D791&lt;2000,D791&gt;=1990),"90",AND(D791&lt;2010,D791&gt;=2000),"00",AND(D791&lt;=2019,D791&gt;=2010),"10"),"1908-1970")</f>
        <v>1908-1970</v>
      </c>
      <c r="F791" s="3">
        <v>0.625</v>
      </c>
      <c r="G791" t="s">
        <v>8358</v>
      </c>
      <c r="H791" t="s">
        <v>7782</v>
      </c>
      <c r="I791" t="s">
        <v>28931</v>
      </c>
      <c r="J791" t="s">
        <v>28931</v>
      </c>
      <c r="K791" t="s">
        <v>8359</v>
      </c>
      <c r="L791" s="7" t="s">
        <v>8360</v>
      </c>
      <c r="M791">
        <v>27049</v>
      </c>
      <c r="N791">
        <v>23</v>
      </c>
      <c r="O791">
        <v>19</v>
      </c>
      <c r="P791">
        <v>4</v>
      </c>
      <c r="Q791">
        <v>20</v>
      </c>
      <c r="R791">
        <v>16</v>
      </c>
      <c r="S791">
        <v>4</v>
      </c>
      <c r="T791">
        <v>0</v>
      </c>
      <c r="U791" t="s">
        <v>8361</v>
      </c>
      <c r="V791">
        <f>Tabla1[[#This Row],[Aboard]]-Tabla1[[#This Row],[Fatalities]]</f>
        <v>3</v>
      </c>
      <c r="W791" s="50">
        <f>IFERROR(Tabla1[[#This Row],[Fatalities]]/Tabla1[[#This Row],[Aboard]],0)</f>
        <v>0.86956521739130432</v>
      </c>
      <c r="X791" s="51" t="str" cm="1">
        <f t="array" ref="X791">_xlfn.IFS(Tabla1[[#This Row],[Porcentaje de muertes]]&lt;0.35,"LEVE",AND(Tabla1[[#This Row],[Porcentaje de muertes]]&gt;0.35,Tabla1[[#This Row],[Porcentaje de muertes]]&lt;0.65),"MEDIO",Tabla1[[#This Row],[Porcentaje de muertes]]&gt;0.65,"GRAVE")</f>
        <v>GRAVE</v>
      </c>
    </row>
    <row r="792" spans="2:24" x14ac:dyDescent="0.3">
      <c r="B792" s="9">
        <v>790</v>
      </c>
      <c r="C792" s="49">
        <v>16587</v>
      </c>
      <c r="D792" s="9">
        <f>YEAR(Tabla1[[#This Row],[Date]])</f>
        <v>1945</v>
      </c>
      <c r="E792" s="9" t="str" cm="1">
        <f t="array" ref="E792">IFERROR(_xlfn.IFS(AND(D792&lt;1980,D792&gt;=1970),"70",AND(D792&lt;1990,D792&gt;=1980),"80",AND(D792&lt;2000,D792&gt;=1990),"90",AND(D792&lt;2010,D792&gt;=2000),"00",AND(D792&lt;=2019,D792&gt;=2010),"10"),"1908-1970")</f>
        <v>1908-1970</v>
      </c>
      <c r="F792" s="3">
        <v>0.3888888888888889</v>
      </c>
      <c r="G792" t="s">
        <v>8362</v>
      </c>
      <c r="H792" t="s">
        <v>7782</v>
      </c>
      <c r="I792" t="s">
        <v>28931</v>
      </c>
      <c r="J792" t="s">
        <v>8363</v>
      </c>
      <c r="K792" t="s">
        <v>8364</v>
      </c>
      <c r="L792" s="7" t="s">
        <v>8365</v>
      </c>
      <c r="M792">
        <v>32738</v>
      </c>
      <c r="N792">
        <v>21</v>
      </c>
      <c r="O792">
        <v>18</v>
      </c>
      <c r="P792">
        <v>3</v>
      </c>
      <c r="Q792">
        <v>21</v>
      </c>
      <c r="R792">
        <v>18</v>
      </c>
      <c r="S792">
        <v>3</v>
      </c>
      <c r="T792">
        <v>0</v>
      </c>
      <c r="U792" t="s">
        <v>8366</v>
      </c>
      <c r="V792">
        <f>Tabla1[[#This Row],[Aboard]]-Tabla1[[#This Row],[Fatalities]]</f>
        <v>0</v>
      </c>
      <c r="W792" s="50">
        <f>IFERROR(Tabla1[[#This Row],[Fatalities]]/Tabla1[[#This Row],[Aboard]],0)</f>
        <v>1</v>
      </c>
      <c r="X792" s="51" t="str" cm="1">
        <f t="array" ref="X792">_xlfn.IFS(Tabla1[[#This Row],[Porcentaje de muertes]]&lt;0.35,"LEVE",AND(Tabla1[[#This Row],[Porcentaje de muertes]]&gt;0.35,Tabla1[[#This Row],[Porcentaje de muertes]]&lt;0.65),"MEDIO",Tabla1[[#This Row],[Porcentaje de muertes]]&gt;0.65,"GRAVE")</f>
        <v>GRAVE</v>
      </c>
    </row>
    <row r="793" spans="2:24" x14ac:dyDescent="0.3">
      <c r="B793" s="9">
        <v>791</v>
      </c>
      <c r="C793" s="49">
        <v>16603</v>
      </c>
      <c r="D793" s="9">
        <f>YEAR(Tabla1[[#This Row],[Date]])</f>
        <v>1945</v>
      </c>
      <c r="E793" s="9" t="str" cm="1">
        <f t="array" ref="E793">IFERROR(_xlfn.IFS(AND(D793&lt;1980,D793&gt;=1970),"70",AND(D793&lt;1990,D793&gt;=1980),"80",AND(D793&lt;2000,D793&gt;=1990),"90",AND(D793&lt;2010,D793&gt;=2000),"00",AND(D793&lt;=2019,D793&gt;=2010),"10"),"1908-1970")</f>
        <v>1908-1970</v>
      </c>
      <c r="F793" s="3" t="s">
        <v>28931</v>
      </c>
      <c r="G793" t="s">
        <v>8076</v>
      </c>
      <c r="H793" t="s">
        <v>6010</v>
      </c>
      <c r="I793" t="s">
        <v>28931</v>
      </c>
      <c r="J793" t="s">
        <v>28931</v>
      </c>
      <c r="K793" t="s">
        <v>7826</v>
      </c>
      <c r="L793" s="7">
        <v>81</v>
      </c>
      <c r="M793" t="s">
        <v>28931</v>
      </c>
      <c r="N793">
        <v>3</v>
      </c>
      <c r="O793">
        <v>0</v>
      </c>
      <c r="P793">
        <v>3</v>
      </c>
      <c r="Q793">
        <v>3</v>
      </c>
      <c r="R793">
        <v>0</v>
      </c>
      <c r="S793">
        <v>3</v>
      </c>
      <c r="T793">
        <v>0</v>
      </c>
      <c r="U793" t="s">
        <v>8367</v>
      </c>
      <c r="V793">
        <f>Tabla1[[#This Row],[Aboard]]-Tabla1[[#This Row],[Fatalities]]</f>
        <v>0</v>
      </c>
      <c r="W793" s="50">
        <f>IFERROR(Tabla1[[#This Row],[Fatalities]]/Tabla1[[#This Row],[Aboard]],0)</f>
        <v>1</v>
      </c>
      <c r="X793" s="51" t="str" cm="1">
        <f t="array" ref="X793">_xlfn.IFS(Tabla1[[#This Row],[Porcentaje de muertes]]&lt;0.35,"LEVE",AND(Tabla1[[#This Row],[Porcentaje de muertes]]&gt;0.35,Tabla1[[#This Row],[Porcentaje de muertes]]&lt;0.65),"MEDIO",Tabla1[[#This Row],[Porcentaje de muertes]]&gt;0.65,"GRAVE")</f>
        <v>GRAVE</v>
      </c>
    </row>
    <row r="794" spans="2:24" x14ac:dyDescent="0.3">
      <c r="B794" s="9">
        <v>792</v>
      </c>
      <c r="C794" s="49">
        <v>16612</v>
      </c>
      <c r="D794" s="9">
        <f>YEAR(Tabla1[[#This Row],[Date]])</f>
        <v>1945</v>
      </c>
      <c r="E794" s="9" t="str" cm="1">
        <f t="array" ref="E794">IFERROR(_xlfn.IFS(AND(D794&lt;1980,D794&gt;=1970),"70",AND(D794&lt;1990,D794&gt;=1980),"80",AND(D794&lt;2000,D794&gt;=1990),"90",AND(D794&lt;2010,D794&gt;=2000),"00",AND(D794&lt;=2019,D794&gt;=2010),"10"),"1908-1970")</f>
        <v>1908-1970</v>
      </c>
      <c r="F794" s="3">
        <v>0.4375</v>
      </c>
      <c r="G794" t="s">
        <v>8368</v>
      </c>
      <c r="H794" t="s">
        <v>8369</v>
      </c>
      <c r="I794" t="s">
        <v>28931</v>
      </c>
      <c r="J794" t="s">
        <v>8370</v>
      </c>
      <c r="K794" t="s">
        <v>8371</v>
      </c>
      <c r="L794" s="7" t="s">
        <v>8372</v>
      </c>
      <c r="M794">
        <v>2310</v>
      </c>
      <c r="N794">
        <v>11</v>
      </c>
      <c r="O794">
        <v>9</v>
      </c>
      <c r="P794">
        <v>2</v>
      </c>
      <c r="Q794">
        <v>2</v>
      </c>
      <c r="R794">
        <v>1</v>
      </c>
      <c r="S794">
        <v>1</v>
      </c>
      <c r="T794">
        <v>0</v>
      </c>
      <c r="U794" t="s">
        <v>8373</v>
      </c>
      <c r="V794">
        <f>Tabla1[[#This Row],[Aboard]]-Tabla1[[#This Row],[Fatalities]]</f>
        <v>9</v>
      </c>
      <c r="W794" s="50">
        <f>IFERROR(Tabla1[[#This Row],[Fatalities]]/Tabla1[[#This Row],[Aboard]],0)</f>
        <v>0.18181818181818182</v>
      </c>
      <c r="X794" s="51" t="str" cm="1">
        <f t="array" ref="X794">_xlfn.IFS(Tabla1[[#This Row],[Porcentaje de muertes]]&lt;0.35,"LEVE",AND(Tabla1[[#This Row],[Porcentaje de muertes]]&gt;0.35,Tabla1[[#This Row],[Porcentaje de muertes]]&lt;0.65),"MEDIO",Tabla1[[#This Row],[Porcentaje de muertes]]&gt;0.65,"GRAVE")</f>
        <v>LEVE</v>
      </c>
    </row>
    <row r="795" spans="2:24" x14ac:dyDescent="0.3">
      <c r="B795" s="9">
        <v>793</v>
      </c>
      <c r="C795" s="49">
        <v>16613</v>
      </c>
      <c r="D795" s="9">
        <f>YEAR(Tabla1[[#This Row],[Date]])</f>
        <v>1945</v>
      </c>
      <c r="E795" s="9" t="str" cm="1">
        <f t="array" ref="E795">IFERROR(_xlfn.IFS(AND(D795&lt;1980,D795&gt;=1970),"70",AND(D795&lt;1990,D795&gt;=1980),"80",AND(D795&lt;2000,D795&gt;=1990),"90",AND(D795&lt;2010,D795&gt;=2000),"00",AND(D795&lt;=2019,D795&gt;=2010),"10"),"1908-1970")</f>
        <v>1908-1970</v>
      </c>
      <c r="F795" s="3">
        <v>0.3263888888888889</v>
      </c>
      <c r="G795" t="s">
        <v>8374</v>
      </c>
      <c r="H795" t="s">
        <v>7660</v>
      </c>
      <c r="I795" t="s">
        <v>28931</v>
      </c>
      <c r="J795" t="s">
        <v>28931</v>
      </c>
      <c r="K795" t="s">
        <v>7661</v>
      </c>
      <c r="L795" s="7" t="s">
        <v>8375</v>
      </c>
      <c r="M795" t="s">
        <v>28931</v>
      </c>
      <c r="N795">
        <v>27</v>
      </c>
      <c r="O795" t="s">
        <v>5038</v>
      </c>
      <c r="P795" t="s">
        <v>5038</v>
      </c>
      <c r="Q795">
        <v>27</v>
      </c>
      <c r="R795" t="s">
        <v>5038</v>
      </c>
      <c r="S795" t="s">
        <v>5038</v>
      </c>
      <c r="T795">
        <v>0</v>
      </c>
      <c r="U795" t="s">
        <v>8376</v>
      </c>
      <c r="V795">
        <f>Tabla1[[#This Row],[Aboard]]-Tabla1[[#This Row],[Fatalities]]</f>
        <v>0</v>
      </c>
      <c r="W795" s="50">
        <f>IFERROR(Tabla1[[#This Row],[Fatalities]]/Tabla1[[#This Row],[Aboard]],0)</f>
        <v>1</v>
      </c>
      <c r="X795" s="51" t="str" cm="1">
        <f t="array" ref="X795">_xlfn.IFS(Tabla1[[#This Row],[Porcentaje de muertes]]&lt;0.35,"LEVE",AND(Tabla1[[#This Row],[Porcentaje de muertes]]&gt;0.35,Tabla1[[#This Row],[Porcentaje de muertes]]&lt;0.65),"MEDIO",Tabla1[[#This Row],[Porcentaje de muertes]]&gt;0.65,"GRAVE")</f>
        <v>GRAVE</v>
      </c>
    </row>
    <row r="796" spans="2:24" x14ac:dyDescent="0.3">
      <c r="B796" s="9">
        <v>794</v>
      </c>
      <c r="C796" s="49">
        <v>16617</v>
      </c>
      <c r="D796" s="9">
        <f>YEAR(Tabla1[[#This Row],[Date]])</f>
        <v>1945</v>
      </c>
      <c r="E796" s="9" t="str" cm="1">
        <f t="array" ref="E796">IFERROR(_xlfn.IFS(AND(D796&lt;1980,D796&gt;=1970),"70",AND(D796&lt;1990,D796&gt;=1980),"80",AND(D796&lt;2000,D796&gt;=1990),"90",AND(D796&lt;2010,D796&gt;=2000),"00",AND(D796&lt;=2019,D796&gt;=2010),"10"),"1908-1970")</f>
        <v>1908-1970</v>
      </c>
      <c r="F796" s="3" t="s">
        <v>28931</v>
      </c>
      <c r="G796" t="s">
        <v>8377</v>
      </c>
      <c r="H796" t="s">
        <v>8378</v>
      </c>
      <c r="I796" t="s">
        <v>28931</v>
      </c>
      <c r="J796" t="s">
        <v>28931</v>
      </c>
      <c r="K796" t="s">
        <v>5038</v>
      </c>
      <c r="L796" s="7" t="s">
        <v>28931</v>
      </c>
      <c r="M796" t="s">
        <v>28931</v>
      </c>
      <c r="N796">
        <v>2</v>
      </c>
      <c r="O796" t="s">
        <v>5038</v>
      </c>
      <c r="P796" t="s">
        <v>5038</v>
      </c>
      <c r="Q796">
        <v>2</v>
      </c>
      <c r="R796" t="s">
        <v>5038</v>
      </c>
      <c r="S796" t="s">
        <v>5038</v>
      </c>
      <c r="T796">
        <v>36</v>
      </c>
      <c r="U796" t="s">
        <v>8379</v>
      </c>
      <c r="V796">
        <f>Tabla1[[#This Row],[Aboard]]-Tabla1[[#This Row],[Fatalities]]</f>
        <v>0</v>
      </c>
      <c r="W796" s="50">
        <f>IFERROR(Tabla1[[#This Row],[Fatalities]]/Tabla1[[#This Row],[Aboard]],0)</f>
        <v>1</v>
      </c>
      <c r="X796" s="51" t="str" cm="1">
        <f t="array" ref="X796">_xlfn.IFS(Tabla1[[#This Row],[Porcentaje de muertes]]&lt;0.35,"LEVE",AND(Tabla1[[#This Row],[Porcentaje de muertes]]&gt;0.35,Tabla1[[#This Row],[Porcentaje de muertes]]&lt;0.65),"MEDIO",Tabla1[[#This Row],[Porcentaje de muertes]]&gt;0.65,"GRAVE")</f>
        <v>GRAVE</v>
      </c>
    </row>
    <row r="797" spans="2:24" x14ac:dyDescent="0.3">
      <c r="B797" s="9">
        <v>795</v>
      </c>
      <c r="C797" s="49">
        <v>16618</v>
      </c>
      <c r="D797" s="9">
        <f>YEAR(Tabla1[[#This Row],[Date]])</f>
        <v>1945</v>
      </c>
      <c r="E797" s="9" t="str" cm="1">
        <f t="array" ref="E797">IFERROR(_xlfn.IFS(AND(D797&lt;1980,D797&gt;=1970),"70",AND(D797&lt;1990,D797&gt;=1980),"80",AND(D797&lt;2000,D797&gt;=1990),"90",AND(D797&lt;2010,D797&gt;=2000),"00",AND(D797&lt;=2019,D797&gt;=2010),"10"),"1908-1970")</f>
        <v>1908-1970</v>
      </c>
      <c r="F797" s="3" t="s">
        <v>28931</v>
      </c>
      <c r="G797" t="s">
        <v>8380</v>
      </c>
      <c r="H797" t="s">
        <v>7987</v>
      </c>
      <c r="I797" t="s">
        <v>28931</v>
      </c>
      <c r="J797" t="s">
        <v>28931</v>
      </c>
      <c r="K797" t="s">
        <v>8381</v>
      </c>
      <c r="L797" s="7" t="s">
        <v>8382</v>
      </c>
      <c r="M797" t="s">
        <v>28931</v>
      </c>
      <c r="N797">
        <v>12</v>
      </c>
      <c r="O797" t="s">
        <v>5038</v>
      </c>
      <c r="P797" t="s">
        <v>5038</v>
      </c>
      <c r="Q797">
        <v>12</v>
      </c>
      <c r="R797" t="s">
        <v>5038</v>
      </c>
      <c r="S797" t="s">
        <v>5038</v>
      </c>
      <c r="T797">
        <v>0</v>
      </c>
      <c r="U797" t="s">
        <v>28927</v>
      </c>
      <c r="V797">
        <f>Tabla1[[#This Row],[Aboard]]-Tabla1[[#This Row],[Fatalities]]</f>
        <v>0</v>
      </c>
      <c r="W797" s="50">
        <f>IFERROR(Tabla1[[#This Row],[Fatalities]]/Tabla1[[#This Row],[Aboard]],0)</f>
        <v>1</v>
      </c>
      <c r="X797" s="51" t="str" cm="1">
        <f t="array" ref="X797">_xlfn.IFS(Tabla1[[#This Row],[Porcentaje de muertes]]&lt;0.35,"LEVE",AND(Tabla1[[#This Row],[Porcentaje de muertes]]&gt;0.35,Tabla1[[#This Row],[Porcentaje de muertes]]&lt;0.65),"MEDIO",Tabla1[[#This Row],[Porcentaje de muertes]]&gt;0.65,"GRAVE")</f>
        <v>GRAVE</v>
      </c>
    </row>
    <row r="798" spans="2:24" x14ac:dyDescent="0.3">
      <c r="B798" s="9">
        <v>796</v>
      </c>
      <c r="C798" s="49">
        <v>16534</v>
      </c>
      <c r="D798" s="9">
        <f>YEAR(Tabla1[[#This Row],[Date]])</f>
        <v>1945</v>
      </c>
      <c r="E798" s="9" t="str" cm="1">
        <f t="array" ref="E798">IFERROR(_xlfn.IFS(AND(D798&lt;1980,D798&gt;=1970),"70",AND(D798&lt;1990,D798&gt;=1980),"80",AND(D798&lt;2000,D798&gt;=1990),"90",AND(D798&lt;2010,D798&gt;=2000),"00",AND(D798&lt;=2019,D798&gt;=2010),"10"),"1908-1970")</f>
        <v>1908-1970</v>
      </c>
      <c r="F798" s="3" t="s">
        <v>28931</v>
      </c>
      <c r="G798" t="s">
        <v>5231</v>
      </c>
      <c r="H798" t="s">
        <v>7660</v>
      </c>
      <c r="I798" t="s">
        <v>28931</v>
      </c>
      <c r="J798" t="s">
        <v>8383</v>
      </c>
      <c r="K798" t="s">
        <v>7661</v>
      </c>
      <c r="L798" s="7" t="s">
        <v>8384</v>
      </c>
      <c r="M798">
        <v>90030</v>
      </c>
      <c r="N798">
        <v>15</v>
      </c>
      <c r="O798" t="s">
        <v>5038</v>
      </c>
      <c r="P798" t="s">
        <v>5038</v>
      </c>
      <c r="Q798">
        <v>15</v>
      </c>
      <c r="R798" t="s">
        <v>5038</v>
      </c>
      <c r="S798" t="s">
        <v>5038</v>
      </c>
      <c r="T798">
        <v>0</v>
      </c>
      <c r="U798" t="s">
        <v>8385</v>
      </c>
      <c r="V798">
        <f>Tabla1[[#This Row],[Aboard]]-Tabla1[[#This Row],[Fatalities]]</f>
        <v>0</v>
      </c>
      <c r="W798" s="50">
        <f>IFERROR(Tabla1[[#This Row],[Fatalities]]/Tabla1[[#This Row],[Aboard]],0)</f>
        <v>1</v>
      </c>
      <c r="X798" s="51" t="str" cm="1">
        <f t="array" ref="X798">_xlfn.IFS(Tabla1[[#This Row],[Porcentaje de muertes]]&lt;0.35,"LEVE",AND(Tabla1[[#This Row],[Porcentaje de muertes]]&gt;0.35,Tabla1[[#This Row],[Porcentaje de muertes]]&lt;0.65),"MEDIO",Tabla1[[#This Row],[Porcentaje de muertes]]&gt;0.65,"GRAVE")</f>
        <v>GRAVE</v>
      </c>
    </row>
    <row r="799" spans="2:24" x14ac:dyDescent="0.3">
      <c r="B799" s="9">
        <v>797</v>
      </c>
      <c r="C799" s="49">
        <v>16748</v>
      </c>
      <c r="D799" s="9">
        <f>YEAR(Tabla1[[#This Row],[Date]])</f>
        <v>1945</v>
      </c>
      <c r="E799" s="9" t="str" cm="1">
        <f t="array" ref="E799">IFERROR(_xlfn.IFS(AND(D799&lt;1980,D799&gt;=1970),"70",AND(D799&lt;1990,D799&gt;=1980),"80",AND(D799&lt;2000,D799&gt;=1990),"90",AND(D799&lt;2010,D799&gt;=2000),"00",AND(D799&lt;=2019,D799&gt;=2010),"10"),"1908-1970")</f>
        <v>1908-1970</v>
      </c>
      <c r="F799" s="3" t="s">
        <v>28931</v>
      </c>
      <c r="G799" t="s">
        <v>8386</v>
      </c>
      <c r="H799" t="s">
        <v>8387</v>
      </c>
      <c r="I799" t="s">
        <v>28931</v>
      </c>
      <c r="J799" t="s">
        <v>8388</v>
      </c>
      <c r="K799" t="s">
        <v>7826</v>
      </c>
      <c r="L799" s="7">
        <v>6812</v>
      </c>
      <c r="M799">
        <v>6812</v>
      </c>
      <c r="N799">
        <v>28</v>
      </c>
      <c r="O799">
        <v>24</v>
      </c>
      <c r="P799">
        <v>4</v>
      </c>
      <c r="Q799">
        <v>28</v>
      </c>
      <c r="R799">
        <v>24</v>
      </c>
      <c r="S799">
        <v>4</v>
      </c>
      <c r="T799">
        <v>0</v>
      </c>
      <c r="U799" t="s">
        <v>8389</v>
      </c>
      <c r="V799">
        <f>Tabla1[[#This Row],[Aboard]]-Tabla1[[#This Row],[Fatalities]]</f>
        <v>0</v>
      </c>
      <c r="W799" s="50">
        <f>IFERROR(Tabla1[[#This Row],[Fatalities]]/Tabla1[[#This Row],[Aboard]],0)</f>
        <v>1</v>
      </c>
      <c r="X799" s="51" t="str" cm="1">
        <f t="array" ref="X799">_xlfn.IFS(Tabla1[[#This Row],[Porcentaje de muertes]]&lt;0.35,"LEVE",AND(Tabla1[[#This Row],[Porcentaje de muertes]]&gt;0.35,Tabla1[[#This Row],[Porcentaje de muertes]]&lt;0.65),"MEDIO",Tabla1[[#This Row],[Porcentaje de muertes]]&gt;0.65,"GRAVE")</f>
        <v>GRAVE</v>
      </c>
    </row>
    <row r="800" spans="2:24" x14ac:dyDescent="0.3">
      <c r="B800" s="9">
        <v>798</v>
      </c>
      <c r="C800" s="49">
        <v>16778</v>
      </c>
      <c r="D800" s="9">
        <f>YEAR(Tabla1[[#This Row],[Date]])</f>
        <v>1945</v>
      </c>
      <c r="E800" s="9" t="str" cm="1">
        <f t="array" ref="E800">IFERROR(_xlfn.IFS(AND(D800&lt;1980,D800&gt;=1970),"70",AND(D800&lt;1990,D800&gt;=1980),"80",AND(D800&lt;2000,D800&gt;=1990),"90",AND(D800&lt;2010,D800&gt;=2000),"00",AND(D800&lt;=2019,D800&gt;=2010),"10"),"1908-1970")</f>
        <v>1908-1970</v>
      </c>
      <c r="F800" s="3">
        <v>0.60833333333333328</v>
      </c>
      <c r="G800" t="s">
        <v>8390</v>
      </c>
      <c r="H800" t="s">
        <v>8391</v>
      </c>
      <c r="I800">
        <v>45</v>
      </c>
      <c r="J800" t="s">
        <v>8392</v>
      </c>
      <c r="K800" t="s">
        <v>28952</v>
      </c>
      <c r="L800" s="7" t="s">
        <v>8393</v>
      </c>
      <c r="M800">
        <v>2235</v>
      </c>
      <c r="N800">
        <v>10</v>
      </c>
      <c r="O800">
        <v>4</v>
      </c>
      <c r="P800">
        <v>6</v>
      </c>
      <c r="Q800">
        <v>3</v>
      </c>
      <c r="R800">
        <v>1</v>
      </c>
      <c r="S800">
        <v>2</v>
      </c>
      <c r="T800">
        <v>0</v>
      </c>
      <c r="U800" t="s">
        <v>8394</v>
      </c>
      <c r="V800">
        <f>Tabla1[[#This Row],[Aboard]]-Tabla1[[#This Row],[Fatalities]]</f>
        <v>7</v>
      </c>
      <c r="W800" s="50">
        <f>IFERROR(Tabla1[[#This Row],[Fatalities]]/Tabla1[[#This Row],[Aboard]],0)</f>
        <v>0.3</v>
      </c>
      <c r="X800" s="51" t="str" cm="1">
        <f t="array" ref="X800">_xlfn.IFS(Tabla1[[#This Row],[Porcentaje de muertes]]&lt;0.35,"LEVE",AND(Tabla1[[#This Row],[Porcentaje de muertes]]&gt;0.35,Tabla1[[#This Row],[Porcentaje de muertes]]&lt;0.65),"MEDIO",Tabla1[[#This Row],[Porcentaje de muertes]]&gt;0.65,"GRAVE")</f>
        <v>LEVE</v>
      </c>
    </row>
    <row r="801" spans="2:24" x14ac:dyDescent="0.3">
      <c r="B801" s="9">
        <v>799</v>
      </c>
      <c r="C801" s="49">
        <v>16646</v>
      </c>
      <c r="D801" s="9">
        <f>YEAR(Tabla1[[#This Row],[Date]])</f>
        <v>1945</v>
      </c>
      <c r="E801" s="9" t="str" cm="1">
        <f t="array" ref="E801">IFERROR(_xlfn.IFS(AND(D801&lt;1980,D801&gt;=1970),"70",AND(D801&lt;1990,D801&gt;=1980),"80",AND(D801&lt;2000,D801&gt;=1990),"90",AND(D801&lt;2010,D801&gt;=2000),"00",AND(D801&lt;=2019,D801&gt;=2010),"10"),"1908-1970")</f>
        <v>1908-1970</v>
      </c>
      <c r="F801" s="3">
        <v>0.40902777777777777</v>
      </c>
      <c r="G801" t="s">
        <v>5425</v>
      </c>
      <c r="H801" t="s">
        <v>7782</v>
      </c>
      <c r="I801" t="s">
        <v>28931</v>
      </c>
      <c r="J801" t="s">
        <v>8395</v>
      </c>
      <c r="K801" t="s">
        <v>8396</v>
      </c>
      <c r="L801" s="7" t="s">
        <v>8397</v>
      </c>
      <c r="M801" t="s">
        <v>8398</v>
      </c>
      <c r="N801">
        <v>3</v>
      </c>
      <c r="O801">
        <v>1</v>
      </c>
      <c r="P801">
        <v>2</v>
      </c>
      <c r="Q801">
        <v>3</v>
      </c>
      <c r="R801">
        <v>1</v>
      </c>
      <c r="S801">
        <v>2</v>
      </c>
      <c r="T801">
        <v>11</v>
      </c>
      <c r="U801" t="s">
        <v>8399</v>
      </c>
      <c r="V801">
        <f>Tabla1[[#This Row],[Aboard]]-Tabla1[[#This Row],[Fatalities]]</f>
        <v>0</v>
      </c>
      <c r="W801" s="50">
        <f>IFERROR(Tabla1[[#This Row],[Fatalities]]/Tabla1[[#This Row],[Aboard]],0)</f>
        <v>1</v>
      </c>
      <c r="X801" s="51" t="str" cm="1">
        <f t="array" ref="X801">_xlfn.IFS(Tabla1[[#This Row],[Porcentaje de muertes]]&lt;0.35,"LEVE",AND(Tabla1[[#This Row],[Porcentaje de muertes]]&gt;0.35,Tabla1[[#This Row],[Porcentaje de muertes]]&lt;0.65),"MEDIO",Tabla1[[#This Row],[Porcentaje de muertes]]&gt;0.65,"GRAVE")</f>
        <v>GRAVE</v>
      </c>
    </row>
    <row r="802" spans="2:24" x14ac:dyDescent="0.3">
      <c r="B802" s="9">
        <v>800</v>
      </c>
      <c r="C802" s="49">
        <v>16445</v>
      </c>
      <c r="D802" s="9">
        <f>YEAR(Tabla1[[#This Row],[Date]])</f>
        <v>1945</v>
      </c>
      <c r="E802" s="9" t="str" cm="1">
        <f t="array" ref="E802">IFERROR(_xlfn.IFS(AND(D802&lt;1980,D802&gt;=1970),"70",AND(D802&lt;1990,D802&gt;=1980),"80",AND(D802&lt;2000,D802&gt;=1990),"90",AND(D802&lt;2010,D802&gt;=2000),"00",AND(D802&lt;=2019,D802&gt;=2010),"10"),"1908-1970")</f>
        <v>1908-1970</v>
      </c>
      <c r="F802" s="3">
        <v>0.40972222222222227</v>
      </c>
      <c r="G802" t="s">
        <v>8400</v>
      </c>
      <c r="H802" t="s">
        <v>8401</v>
      </c>
      <c r="I802" t="s">
        <v>28931</v>
      </c>
      <c r="J802" t="s">
        <v>8402</v>
      </c>
      <c r="K802" t="s">
        <v>6688</v>
      </c>
      <c r="L802" s="7" t="s">
        <v>8403</v>
      </c>
      <c r="M802">
        <v>1723</v>
      </c>
      <c r="N802">
        <v>12</v>
      </c>
      <c r="O802">
        <v>9</v>
      </c>
      <c r="P802">
        <v>3</v>
      </c>
      <c r="Q802">
        <v>12</v>
      </c>
      <c r="R802">
        <v>9</v>
      </c>
      <c r="S802">
        <v>3</v>
      </c>
      <c r="T802">
        <v>0</v>
      </c>
      <c r="U802" t="s">
        <v>8404</v>
      </c>
      <c r="V802">
        <f>Tabla1[[#This Row],[Aboard]]-Tabla1[[#This Row],[Fatalities]]</f>
        <v>0</v>
      </c>
      <c r="W802" s="50">
        <f>IFERROR(Tabla1[[#This Row],[Fatalities]]/Tabla1[[#This Row],[Aboard]],0)</f>
        <v>1</v>
      </c>
      <c r="X802" s="51" t="str" cm="1">
        <f t="array" ref="X802">_xlfn.IFS(Tabla1[[#This Row],[Porcentaje de muertes]]&lt;0.35,"LEVE",AND(Tabla1[[#This Row],[Porcentaje de muertes]]&gt;0.35,Tabla1[[#This Row],[Porcentaje de muertes]]&lt;0.65),"MEDIO",Tabla1[[#This Row],[Porcentaje de muertes]]&gt;0.65,"GRAVE")</f>
        <v>GRAVE</v>
      </c>
    </row>
    <row r="803" spans="2:24" x14ac:dyDescent="0.3">
      <c r="B803" s="9">
        <v>801</v>
      </c>
      <c r="C803" s="49">
        <v>16504</v>
      </c>
      <c r="D803" s="9">
        <f>YEAR(Tabla1[[#This Row],[Date]])</f>
        <v>1945</v>
      </c>
      <c r="E803" s="9" t="str" cm="1">
        <f t="array" ref="E803">IFERROR(_xlfn.IFS(AND(D803&lt;1980,D803&gt;=1970),"70",AND(D803&lt;1990,D803&gt;=1980),"80",AND(D803&lt;2000,D803&gt;=1990),"90",AND(D803&lt;2010,D803&gt;=2000),"00",AND(D803&lt;=2019,D803&gt;=2010),"10"),"1908-1970")</f>
        <v>1908-1970</v>
      </c>
      <c r="F803" s="3">
        <v>0.42430555555555555</v>
      </c>
      <c r="G803" t="s">
        <v>8405</v>
      </c>
      <c r="H803" t="s">
        <v>7121</v>
      </c>
      <c r="I803">
        <v>216</v>
      </c>
      <c r="J803" t="s">
        <v>8406</v>
      </c>
      <c r="K803" t="s">
        <v>8407</v>
      </c>
      <c r="L803" s="7" t="s">
        <v>8408</v>
      </c>
      <c r="M803">
        <v>4306</v>
      </c>
      <c r="N803">
        <v>14</v>
      </c>
      <c r="O803">
        <v>10</v>
      </c>
      <c r="P803">
        <v>4</v>
      </c>
      <c r="Q803">
        <v>4</v>
      </c>
      <c r="R803">
        <v>4</v>
      </c>
      <c r="S803">
        <v>0</v>
      </c>
      <c r="T803">
        <v>0</v>
      </c>
      <c r="U803" t="s">
        <v>8409</v>
      </c>
      <c r="V803">
        <f>Tabla1[[#This Row],[Aboard]]-Tabla1[[#This Row],[Fatalities]]</f>
        <v>10</v>
      </c>
      <c r="W803" s="50">
        <f>IFERROR(Tabla1[[#This Row],[Fatalities]]/Tabla1[[#This Row],[Aboard]],0)</f>
        <v>0.2857142857142857</v>
      </c>
      <c r="X803" s="51" t="str" cm="1">
        <f t="array" ref="X803">_xlfn.IFS(Tabla1[[#This Row],[Porcentaje de muertes]]&lt;0.35,"LEVE",AND(Tabla1[[#This Row],[Porcentaje de muertes]]&gt;0.35,Tabla1[[#This Row],[Porcentaje de muertes]]&lt;0.65),"MEDIO",Tabla1[[#This Row],[Porcentaje de muertes]]&gt;0.65,"GRAVE")</f>
        <v>LEVE</v>
      </c>
    </row>
    <row r="804" spans="2:24" x14ac:dyDescent="0.3">
      <c r="B804" s="9">
        <v>802</v>
      </c>
      <c r="C804" s="49">
        <v>16749</v>
      </c>
      <c r="D804" s="9">
        <f>YEAR(Tabla1[[#This Row],[Date]])</f>
        <v>1945</v>
      </c>
      <c r="E804" s="9" t="str" cm="1">
        <f t="array" ref="E804">IFERROR(_xlfn.IFS(AND(D804&lt;1980,D804&gt;=1970),"70",AND(D804&lt;1990,D804&gt;=1980),"80",AND(D804&lt;2000,D804&gt;=1990),"90",AND(D804&lt;2010,D804&gt;=2000),"00",AND(D804&lt;=2019,D804&gt;=2010),"10"),"1908-1970")</f>
        <v>1908-1970</v>
      </c>
      <c r="F804" s="3">
        <v>0.66666666666666663</v>
      </c>
      <c r="G804" t="s">
        <v>8410</v>
      </c>
      <c r="H804" t="s">
        <v>5740</v>
      </c>
      <c r="I804" t="s">
        <v>28931</v>
      </c>
      <c r="J804" t="s">
        <v>8411</v>
      </c>
      <c r="K804" t="s">
        <v>8412</v>
      </c>
      <c r="L804" s="7" t="s">
        <v>8413</v>
      </c>
      <c r="M804">
        <v>2075</v>
      </c>
      <c r="N804">
        <v>16</v>
      </c>
      <c r="O804">
        <v>12</v>
      </c>
      <c r="P804">
        <v>4</v>
      </c>
      <c r="Q804">
        <v>16</v>
      </c>
      <c r="R804">
        <v>12</v>
      </c>
      <c r="S804">
        <v>4</v>
      </c>
      <c r="T804">
        <v>0</v>
      </c>
      <c r="U804" t="s">
        <v>8414</v>
      </c>
      <c r="V804">
        <f>Tabla1[[#This Row],[Aboard]]-Tabla1[[#This Row],[Fatalities]]</f>
        <v>0</v>
      </c>
      <c r="W804" s="50">
        <f>IFERROR(Tabla1[[#This Row],[Fatalities]]/Tabla1[[#This Row],[Aboard]],0)</f>
        <v>1</v>
      </c>
      <c r="X804" s="51" t="str" cm="1">
        <f t="array" ref="X804">_xlfn.IFS(Tabla1[[#This Row],[Porcentaje de muertes]]&lt;0.35,"LEVE",AND(Tabla1[[#This Row],[Porcentaje de muertes]]&gt;0.35,Tabla1[[#This Row],[Porcentaje de muertes]]&lt;0.65),"MEDIO",Tabla1[[#This Row],[Porcentaje de muertes]]&gt;0.65,"GRAVE")</f>
        <v>GRAVE</v>
      </c>
    </row>
    <row r="805" spans="2:24" x14ac:dyDescent="0.3">
      <c r="B805" s="9">
        <v>803</v>
      </c>
      <c r="C805" s="49">
        <v>16627</v>
      </c>
      <c r="D805" s="9">
        <f>YEAR(Tabla1[[#This Row],[Date]])</f>
        <v>1945</v>
      </c>
      <c r="E805" s="9" t="str" cm="1">
        <f t="array" ref="E805">IFERROR(_xlfn.IFS(AND(D805&lt;1980,D805&gt;=1970),"70",AND(D805&lt;1990,D805&gt;=1980),"80",AND(D805&lt;2000,D805&gt;=1990),"90",AND(D805&lt;2010,D805&gt;=2000),"00",AND(D805&lt;=2019,D805&gt;=2010),"10"),"1908-1970")</f>
        <v>1908-1970</v>
      </c>
      <c r="F805" s="3">
        <v>9.2361111111111116E-2</v>
      </c>
      <c r="G805" t="s">
        <v>8415</v>
      </c>
      <c r="H805" t="s">
        <v>6941</v>
      </c>
      <c r="I805">
        <v>42</v>
      </c>
      <c r="J805" t="s">
        <v>8416</v>
      </c>
      <c r="K805" t="s">
        <v>7057</v>
      </c>
      <c r="L805" s="7" t="s">
        <v>8417</v>
      </c>
      <c r="M805">
        <v>4137</v>
      </c>
      <c r="N805">
        <v>22</v>
      </c>
      <c r="O805">
        <v>19</v>
      </c>
      <c r="P805">
        <v>3</v>
      </c>
      <c r="Q805">
        <v>22</v>
      </c>
      <c r="R805">
        <v>19</v>
      </c>
      <c r="S805">
        <v>3</v>
      </c>
      <c r="T805">
        <v>0</v>
      </c>
      <c r="U805" t="s">
        <v>8418</v>
      </c>
      <c r="V805">
        <f>Tabla1[[#This Row],[Aboard]]-Tabla1[[#This Row],[Fatalities]]</f>
        <v>0</v>
      </c>
      <c r="W805" s="50">
        <f>IFERROR(Tabla1[[#This Row],[Fatalities]]/Tabla1[[#This Row],[Aboard]],0)</f>
        <v>1</v>
      </c>
      <c r="X805" s="51" t="str" cm="1">
        <f t="array" ref="X805">_xlfn.IFS(Tabla1[[#This Row],[Porcentaje de muertes]]&lt;0.35,"LEVE",AND(Tabla1[[#This Row],[Porcentaje de muertes]]&gt;0.35,Tabla1[[#This Row],[Porcentaje de muertes]]&lt;0.65),"MEDIO",Tabla1[[#This Row],[Porcentaje de muertes]]&gt;0.65,"GRAVE")</f>
        <v>GRAVE</v>
      </c>
    </row>
    <row r="806" spans="2:24" x14ac:dyDescent="0.3">
      <c r="B806" s="9">
        <v>804</v>
      </c>
      <c r="C806" s="49">
        <v>16750</v>
      </c>
      <c r="D806" s="9">
        <f>YEAR(Tabla1[[#This Row],[Date]])</f>
        <v>1945</v>
      </c>
      <c r="E806" s="9" t="str" cm="1">
        <f t="array" ref="E806">IFERROR(_xlfn.IFS(AND(D806&lt;1980,D806&gt;=1970),"70",AND(D806&lt;1990,D806&gt;=1980),"80",AND(D806&lt;2000,D806&gt;=1990),"90",AND(D806&lt;2010,D806&gt;=2000),"00",AND(D806&lt;=2019,D806&gt;=2010),"10"),"1908-1970")</f>
        <v>1908-1970</v>
      </c>
      <c r="F806" s="3">
        <v>0.42708333333333331</v>
      </c>
      <c r="G806" t="s">
        <v>8419</v>
      </c>
      <c r="H806" t="s">
        <v>5195</v>
      </c>
      <c r="I806" t="s">
        <v>28931</v>
      </c>
      <c r="J806" t="s">
        <v>8420</v>
      </c>
      <c r="K806" t="s">
        <v>8105</v>
      </c>
      <c r="L806" s="7" t="s">
        <v>8421</v>
      </c>
      <c r="M806">
        <v>25365</v>
      </c>
      <c r="N806">
        <v>11</v>
      </c>
      <c r="O806">
        <v>7</v>
      </c>
      <c r="P806">
        <v>4</v>
      </c>
      <c r="Q806">
        <v>11</v>
      </c>
      <c r="R806">
        <v>7</v>
      </c>
      <c r="S806">
        <v>4</v>
      </c>
      <c r="T806">
        <v>0</v>
      </c>
      <c r="U806" t="s">
        <v>8422</v>
      </c>
      <c r="V806">
        <f>Tabla1[[#This Row],[Aboard]]-Tabla1[[#This Row],[Fatalities]]</f>
        <v>0</v>
      </c>
      <c r="W806" s="50">
        <f>IFERROR(Tabla1[[#This Row],[Fatalities]]/Tabla1[[#This Row],[Aboard]],0)</f>
        <v>1</v>
      </c>
      <c r="X806" s="51" t="str" cm="1">
        <f t="array" ref="X806">_xlfn.IFS(Tabla1[[#This Row],[Porcentaje de muertes]]&lt;0.35,"LEVE",AND(Tabla1[[#This Row],[Porcentaje de muertes]]&gt;0.35,Tabla1[[#This Row],[Porcentaje de muertes]]&lt;0.65),"MEDIO",Tabla1[[#This Row],[Porcentaje de muertes]]&gt;0.65,"GRAVE")</f>
        <v>GRAVE</v>
      </c>
    </row>
    <row r="807" spans="2:24" x14ac:dyDescent="0.3">
      <c r="B807" s="9">
        <v>805</v>
      </c>
      <c r="C807" s="49">
        <v>16695</v>
      </c>
      <c r="D807" s="9">
        <f>YEAR(Tabla1[[#This Row],[Date]])</f>
        <v>1945</v>
      </c>
      <c r="E807" s="9" t="str" cm="1">
        <f t="array" ref="E807">IFERROR(_xlfn.IFS(AND(D807&lt;1980,D807&gt;=1970),"70",AND(D807&lt;1990,D807&gt;=1980),"80",AND(D807&lt;2000,D807&gt;=1990),"90",AND(D807&lt;2010,D807&gt;=2000),"00",AND(D807&lt;=2019,D807&gt;=2010),"10"),"1908-1970")</f>
        <v>1908-1970</v>
      </c>
      <c r="F807" s="3">
        <v>5.5555555555555558E-3</v>
      </c>
      <c r="G807" t="s">
        <v>8423</v>
      </c>
      <c r="H807" t="s">
        <v>7782</v>
      </c>
      <c r="I807" t="s">
        <v>28931</v>
      </c>
      <c r="J807" t="s">
        <v>28931</v>
      </c>
      <c r="K807" t="s">
        <v>8359</v>
      </c>
      <c r="L807" s="7" t="s">
        <v>8424</v>
      </c>
      <c r="M807">
        <v>34277</v>
      </c>
      <c r="N807">
        <v>24</v>
      </c>
      <c r="O807">
        <v>21</v>
      </c>
      <c r="P807">
        <v>3</v>
      </c>
      <c r="Q807">
        <v>23</v>
      </c>
      <c r="R807">
        <v>20</v>
      </c>
      <c r="S807">
        <v>3</v>
      </c>
      <c r="T807">
        <v>0</v>
      </c>
      <c r="U807" t="s">
        <v>8425</v>
      </c>
      <c r="V807">
        <f>Tabla1[[#This Row],[Aboard]]-Tabla1[[#This Row],[Fatalities]]</f>
        <v>1</v>
      </c>
      <c r="W807" s="50">
        <f>IFERROR(Tabla1[[#This Row],[Fatalities]]/Tabla1[[#This Row],[Aboard]],0)</f>
        <v>0.95833333333333337</v>
      </c>
      <c r="X807" s="51" t="str" cm="1">
        <f t="array" ref="X807">_xlfn.IFS(Tabla1[[#This Row],[Porcentaje de muertes]]&lt;0.35,"LEVE",AND(Tabla1[[#This Row],[Porcentaje de muertes]]&gt;0.35,Tabla1[[#This Row],[Porcentaje de muertes]]&lt;0.65),"MEDIO",Tabla1[[#This Row],[Porcentaje de muertes]]&gt;0.65,"GRAVE")</f>
        <v>GRAVE</v>
      </c>
    </row>
    <row r="808" spans="2:24" x14ac:dyDescent="0.3">
      <c r="B808" s="9">
        <v>806</v>
      </c>
      <c r="C808" s="49">
        <v>16698</v>
      </c>
      <c r="D808" s="9">
        <f>YEAR(Tabla1[[#This Row],[Date]])</f>
        <v>1945</v>
      </c>
      <c r="E808" s="9" t="str" cm="1">
        <f t="array" ref="E808">IFERROR(_xlfn.IFS(AND(D808&lt;1980,D808&gt;=1970),"70",AND(D808&lt;1990,D808&gt;=1980),"80",AND(D808&lt;2000,D808&gt;=1990),"90",AND(D808&lt;2010,D808&gt;=2000),"00",AND(D808&lt;=2019,D808&gt;=2010),"10"),"1908-1970")</f>
        <v>1908-1970</v>
      </c>
      <c r="F808" s="3" t="s">
        <v>28931</v>
      </c>
      <c r="G808" t="s">
        <v>8426</v>
      </c>
      <c r="H808" t="s">
        <v>5195</v>
      </c>
      <c r="I808" t="s">
        <v>28931</v>
      </c>
      <c r="J808" t="s">
        <v>8427</v>
      </c>
      <c r="K808" t="s">
        <v>8428</v>
      </c>
      <c r="L808" s="7" t="s">
        <v>8429</v>
      </c>
      <c r="M808" t="s">
        <v>8430</v>
      </c>
      <c r="N808">
        <v>29</v>
      </c>
      <c r="O808">
        <v>26</v>
      </c>
      <c r="P808">
        <v>3</v>
      </c>
      <c r="Q808">
        <v>29</v>
      </c>
      <c r="R808">
        <v>26</v>
      </c>
      <c r="S808">
        <v>3</v>
      </c>
      <c r="T808">
        <v>0</v>
      </c>
      <c r="U808" t="s">
        <v>8431</v>
      </c>
      <c r="V808">
        <f>Tabla1[[#This Row],[Aboard]]-Tabla1[[#This Row],[Fatalities]]</f>
        <v>0</v>
      </c>
      <c r="W808" s="50">
        <f>IFERROR(Tabla1[[#This Row],[Fatalities]]/Tabla1[[#This Row],[Aboard]],0)</f>
        <v>1</v>
      </c>
      <c r="X808" s="51" t="str" cm="1">
        <f t="array" ref="X808">_xlfn.IFS(Tabla1[[#This Row],[Porcentaje de muertes]]&lt;0.35,"LEVE",AND(Tabla1[[#This Row],[Porcentaje de muertes]]&gt;0.35,Tabla1[[#This Row],[Porcentaje de muertes]]&lt;0.65),"MEDIO",Tabla1[[#This Row],[Porcentaje de muertes]]&gt;0.65,"GRAVE")</f>
        <v>GRAVE</v>
      </c>
    </row>
    <row r="809" spans="2:24" x14ac:dyDescent="0.3">
      <c r="B809" s="9">
        <v>807</v>
      </c>
      <c r="C809" s="49">
        <v>16708</v>
      </c>
      <c r="D809" s="9">
        <f>YEAR(Tabla1[[#This Row],[Date]])</f>
        <v>1945</v>
      </c>
      <c r="E809" s="9" t="str" cm="1">
        <f t="array" ref="E809">IFERROR(_xlfn.IFS(AND(D809&lt;1980,D809&gt;=1970),"70",AND(D809&lt;1990,D809&gt;=1980),"80",AND(D809&lt;2000,D809&gt;=1990),"90",AND(D809&lt;2010,D809&gt;=2000),"00",AND(D809&lt;=2019,D809&gt;=2010),"10"),"1908-1970")</f>
        <v>1908-1970</v>
      </c>
      <c r="F809" s="3" t="s">
        <v>28931</v>
      </c>
      <c r="G809" t="s">
        <v>8432</v>
      </c>
      <c r="H809" t="s">
        <v>8304</v>
      </c>
      <c r="I809" t="s">
        <v>28931</v>
      </c>
      <c r="J809" t="s">
        <v>28931</v>
      </c>
      <c r="K809" t="s">
        <v>8433</v>
      </c>
      <c r="L809" s="7" t="s">
        <v>8434</v>
      </c>
      <c r="M809">
        <v>30638</v>
      </c>
      <c r="N809">
        <v>20</v>
      </c>
      <c r="O809">
        <v>17</v>
      </c>
      <c r="P809">
        <v>3</v>
      </c>
      <c r="Q809">
        <v>20</v>
      </c>
      <c r="R809">
        <v>17</v>
      </c>
      <c r="S809">
        <v>3</v>
      </c>
      <c r="T809">
        <v>0</v>
      </c>
      <c r="U809" t="s">
        <v>8435</v>
      </c>
      <c r="V809">
        <f>Tabla1[[#This Row],[Aboard]]-Tabla1[[#This Row],[Fatalities]]</f>
        <v>0</v>
      </c>
      <c r="W809" s="50">
        <f>IFERROR(Tabla1[[#This Row],[Fatalities]]/Tabla1[[#This Row],[Aboard]],0)</f>
        <v>1</v>
      </c>
      <c r="X809" s="51" t="str" cm="1">
        <f t="array" ref="X809">_xlfn.IFS(Tabla1[[#This Row],[Porcentaje de muertes]]&lt;0.35,"LEVE",AND(Tabla1[[#This Row],[Porcentaje de muertes]]&gt;0.35,Tabla1[[#This Row],[Porcentaje de muertes]]&lt;0.65),"MEDIO",Tabla1[[#This Row],[Porcentaje de muertes]]&gt;0.65,"GRAVE")</f>
        <v>GRAVE</v>
      </c>
    </row>
    <row r="810" spans="2:24" x14ac:dyDescent="0.3">
      <c r="B810" s="9">
        <v>808</v>
      </c>
      <c r="C810" s="49">
        <v>16567</v>
      </c>
      <c r="D810" s="9">
        <f>YEAR(Tabla1[[#This Row],[Date]])</f>
        <v>1945</v>
      </c>
      <c r="E810" s="9" t="str" cm="1">
        <f t="array" ref="E810">IFERROR(_xlfn.IFS(AND(D810&lt;1980,D810&gt;=1970),"70",AND(D810&lt;1990,D810&gt;=1980),"80",AND(D810&lt;2000,D810&gt;=1990),"90",AND(D810&lt;2010,D810&gt;=2000),"00",AND(D810&lt;=2019,D810&gt;=2010),"10"),"1908-1970")</f>
        <v>1908-1970</v>
      </c>
      <c r="F810" s="3">
        <v>4.5138888888888888E-2</v>
      </c>
      <c r="G810" t="s">
        <v>8436</v>
      </c>
      <c r="H810" t="s">
        <v>8437</v>
      </c>
      <c r="I810">
        <v>16</v>
      </c>
      <c r="J810" t="s">
        <v>8438</v>
      </c>
      <c r="K810" t="s">
        <v>7640</v>
      </c>
      <c r="L810" s="7" t="s">
        <v>8439</v>
      </c>
      <c r="M810">
        <v>2265</v>
      </c>
      <c r="N810">
        <v>15</v>
      </c>
      <c r="O810">
        <v>12</v>
      </c>
      <c r="P810">
        <v>3</v>
      </c>
      <c r="Q810">
        <v>2</v>
      </c>
      <c r="R810">
        <v>2</v>
      </c>
      <c r="S810">
        <v>0</v>
      </c>
      <c r="T810">
        <v>0</v>
      </c>
      <c r="U810" t="s">
        <v>8440</v>
      </c>
      <c r="V810">
        <f>Tabla1[[#This Row],[Aboard]]-Tabla1[[#This Row],[Fatalities]]</f>
        <v>13</v>
      </c>
      <c r="W810" s="50">
        <f>IFERROR(Tabla1[[#This Row],[Fatalities]]/Tabla1[[#This Row],[Aboard]],0)</f>
        <v>0.13333333333333333</v>
      </c>
      <c r="X810" s="51" t="str" cm="1">
        <f t="array" ref="X810">_xlfn.IFS(Tabla1[[#This Row],[Porcentaje de muertes]]&lt;0.35,"LEVE",AND(Tabla1[[#This Row],[Porcentaje de muertes]]&gt;0.35,Tabla1[[#This Row],[Porcentaje de muertes]]&lt;0.65),"MEDIO",Tabla1[[#This Row],[Porcentaje de muertes]]&gt;0.65,"GRAVE")</f>
        <v>LEVE</v>
      </c>
    </row>
    <row r="811" spans="2:24" x14ac:dyDescent="0.3">
      <c r="B811" s="9">
        <v>809</v>
      </c>
      <c r="C811" s="49">
        <v>16567</v>
      </c>
      <c r="D811" s="9">
        <f>YEAR(Tabla1[[#This Row],[Date]])</f>
        <v>1945</v>
      </c>
      <c r="E811" s="9" t="str" cm="1">
        <f t="array" ref="E811">IFERROR(_xlfn.IFS(AND(D811&lt;1980,D811&gt;=1970),"70",AND(D811&lt;1990,D811&gt;=1980),"80",AND(D811&lt;2000,D811&gt;=1990),"90",AND(D811&lt;2010,D811&gt;=2000),"00",AND(D811&lt;=2019,D811&gt;=2010),"10"),"1908-1970")</f>
        <v>1908-1970</v>
      </c>
      <c r="F811" s="3">
        <v>0.53472222222222221</v>
      </c>
      <c r="G811" t="s">
        <v>8441</v>
      </c>
      <c r="H811" t="s">
        <v>7660</v>
      </c>
      <c r="I811" t="s">
        <v>28931</v>
      </c>
      <c r="J811" t="s">
        <v>8442</v>
      </c>
      <c r="K811" t="s">
        <v>8443</v>
      </c>
      <c r="L811" s="7" t="s">
        <v>28931</v>
      </c>
      <c r="M811" t="s">
        <v>28931</v>
      </c>
      <c r="N811">
        <v>23</v>
      </c>
      <c r="O811">
        <v>18</v>
      </c>
      <c r="P811">
        <v>5</v>
      </c>
      <c r="Q811">
        <v>23</v>
      </c>
      <c r="R811">
        <v>18</v>
      </c>
      <c r="S811">
        <v>5</v>
      </c>
      <c r="T811">
        <v>0</v>
      </c>
      <c r="U811" t="s">
        <v>8444</v>
      </c>
      <c r="V811">
        <f>Tabla1[[#This Row],[Aboard]]-Tabla1[[#This Row],[Fatalities]]</f>
        <v>0</v>
      </c>
      <c r="W811" s="50">
        <f>IFERROR(Tabla1[[#This Row],[Fatalities]]/Tabla1[[#This Row],[Aboard]],0)</f>
        <v>1</v>
      </c>
      <c r="X811" s="51" t="str" cm="1">
        <f t="array" ref="X811">_xlfn.IFS(Tabla1[[#This Row],[Porcentaje de muertes]]&lt;0.35,"LEVE",AND(Tabla1[[#This Row],[Porcentaje de muertes]]&gt;0.35,Tabla1[[#This Row],[Porcentaje de muertes]]&lt;0.65),"MEDIO",Tabla1[[#This Row],[Porcentaje de muertes]]&gt;0.65,"GRAVE")</f>
        <v>GRAVE</v>
      </c>
    </row>
    <row r="812" spans="2:24" x14ac:dyDescent="0.3">
      <c r="B812" s="9">
        <v>810</v>
      </c>
      <c r="C812" s="49">
        <v>16628</v>
      </c>
      <c r="D812" s="9">
        <f>YEAR(Tabla1[[#This Row],[Date]])</f>
        <v>1945</v>
      </c>
      <c r="E812" s="9" t="str" cm="1">
        <f t="array" ref="E812">IFERROR(_xlfn.IFS(AND(D812&lt;1980,D812&gt;=1970),"70",AND(D812&lt;1990,D812&gt;=1980),"80",AND(D812&lt;2000,D812&gt;=1990),"90",AND(D812&lt;2010,D812&gt;=2000),"00",AND(D812&lt;=2019,D812&gt;=2010),"10"),"1908-1970")</f>
        <v>1908-1970</v>
      </c>
      <c r="F812" s="3">
        <v>2.0833333333333332E-2</v>
      </c>
      <c r="G812" t="s">
        <v>8445</v>
      </c>
      <c r="H812" t="s">
        <v>7665</v>
      </c>
      <c r="I812" t="s">
        <v>28931</v>
      </c>
      <c r="J812" t="s">
        <v>8446</v>
      </c>
      <c r="K812" t="s">
        <v>8447</v>
      </c>
      <c r="L812" s="7" t="s">
        <v>8448</v>
      </c>
      <c r="M812" t="s">
        <v>28931</v>
      </c>
      <c r="N812">
        <v>26</v>
      </c>
      <c r="O812">
        <v>20</v>
      </c>
      <c r="P812">
        <v>6</v>
      </c>
      <c r="Q812">
        <v>26</v>
      </c>
      <c r="R812">
        <v>20</v>
      </c>
      <c r="S812">
        <v>6</v>
      </c>
      <c r="T812">
        <v>0</v>
      </c>
      <c r="U812" t="s">
        <v>8449</v>
      </c>
      <c r="V812">
        <f>Tabla1[[#This Row],[Aboard]]-Tabla1[[#This Row],[Fatalities]]</f>
        <v>0</v>
      </c>
      <c r="W812" s="50">
        <f>IFERROR(Tabla1[[#This Row],[Fatalities]]/Tabla1[[#This Row],[Aboard]],0)</f>
        <v>1</v>
      </c>
      <c r="X812" s="51" t="str" cm="1">
        <f t="array" ref="X812">_xlfn.IFS(Tabla1[[#This Row],[Porcentaje de muertes]]&lt;0.35,"LEVE",AND(Tabla1[[#This Row],[Porcentaje de muertes]]&gt;0.35,Tabla1[[#This Row],[Porcentaje de muertes]]&lt;0.65),"MEDIO",Tabla1[[#This Row],[Porcentaje de muertes]]&gt;0.65,"GRAVE")</f>
        <v>GRAVE</v>
      </c>
    </row>
    <row r="813" spans="2:24" x14ac:dyDescent="0.3">
      <c r="B813" s="9">
        <v>811</v>
      </c>
      <c r="C813" s="49">
        <v>16723</v>
      </c>
      <c r="D813" s="9">
        <f>YEAR(Tabla1[[#This Row],[Date]])</f>
        <v>1945</v>
      </c>
      <c r="E813" s="9" t="str" cm="1">
        <f t="array" ref="E813">IFERROR(_xlfn.IFS(AND(D813&lt;1980,D813&gt;=1970),"70",AND(D813&lt;1990,D813&gt;=1980),"80",AND(D813&lt;2000,D813&gt;=1990),"90",AND(D813&lt;2010,D813&gt;=2000),"00",AND(D813&lt;=2019,D813&gt;=2010),"10"),"1908-1970")</f>
        <v>1908-1970</v>
      </c>
      <c r="F813" s="3">
        <v>0.86458333333333337</v>
      </c>
      <c r="G813" t="s">
        <v>8450</v>
      </c>
      <c r="H813" t="s">
        <v>7660</v>
      </c>
      <c r="I813" t="s">
        <v>28931</v>
      </c>
      <c r="J813" t="s">
        <v>8451</v>
      </c>
      <c r="K813" t="s">
        <v>8452</v>
      </c>
      <c r="L813" s="7" t="s">
        <v>8453</v>
      </c>
      <c r="M813" t="s">
        <v>28931</v>
      </c>
      <c r="N813">
        <v>31</v>
      </c>
      <c r="O813">
        <v>25</v>
      </c>
      <c r="P813">
        <v>6</v>
      </c>
      <c r="Q813">
        <v>31</v>
      </c>
      <c r="R813">
        <v>25</v>
      </c>
      <c r="S813">
        <v>6</v>
      </c>
      <c r="T813">
        <v>0</v>
      </c>
      <c r="U813" t="s">
        <v>8454</v>
      </c>
      <c r="V813">
        <f>Tabla1[[#This Row],[Aboard]]-Tabla1[[#This Row],[Fatalities]]</f>
        <v>0</v>
      </c>
      <c r="W813" s="50">
        <f>IFERROR(Tabla1[[#This Row],[Fatalities]]/Tabla1[[#This Row],[Aboard]],0)</f>
        <v>1</v>
      </c>
      <c r="X813" s="51" t="str" cm="1">
        <f t="array" ref="X813">_xlfn.IFS(Tabla1[[#This Row],[Porcentaje de muertes]]&lt;0.35,"LEVE",AND(Tabla1[[#This Row],[Porcentaje de muertes]]&gt;0.35,Tabla1[[#This Row],[Porcentaje de muertes]]&lt;0.65),"MEDIO",Tabla1[[#This Row],[Porcentaje de muertes]]&gt;0.65,"GRAVE")</f>
        <v>GRAVE</v>
      </c>
    </row>
    <row r="814" spans="2:24" x14ac:dyDescent="0.3">
      <c r="B814" s="9">
        <v>812</v>
      </c>
      <c r="C814" s="49">
        <v>16726</v>
      </c>
      <c r="D814" s="9">
        <f>YEAR(Tabla1[[#This Row],[Date]])</f>
        <v>1945</v>
      </c>
      <c r="E814" s="9" t="str" cm="1">
        <f t="array" ref="E814">IFERROR(_xlfn.IFS(AND(D814&lt;1980,D814&gt;=1970),"70",AND(D814&lt;1990,D814&gt;=1980),"80",AND(D814&lt;2000,D814&gt;=1990),"90",AND(D814&lt;2010,D814&gt;=2000),"00",AND(D814&lt;=2019,D814&gt;=2010),"10"),"1908-1970")</f>
        <v>1908-1970</v>
      </c>
      <c r="F814" s="3">
        <v>0.47916666666666669</v>
      </c>
      <c r="G814" t="s">
        <v>8455</v>
      </c>
      <c r="H814" t="s">
        <v>7782</v>
      </c>
      <c r="I814" t="s">
        <v>28931</v>
      </c>
      <c r="J814" t="s">
        <v>8456</v>
      </c>
      <c r="K814" t="s">
        <v>8457</v>
      </c>
      <c r="L814" s="7" t="s">
        <v>8458</v>
      </c>
      <c r="M814">
        <v>22414</v>
      </c>
      <c r="N814">
        <v>59</v>
      </c>
      <c r="O814">
        <v>55</v>
      </c>
      <c r="P814">
        <v>4</v>
      </c>
      <c r="Q814">
        <v>59</v>
      </c>
      <c r="R814">
        <v>55</v>
      </c>
      <c r="S814">
        <v>4</v>
      </c>
      <c r="T814">
        <v>0</v>
      </c>
      <c r="U814" t="s">
        <v>8459</v>
      </c>
      <c r="V814">
        <f>Tabla1[[#This Row],[Aboard]]-Tabla1[[#This Row],[Fatalities]]</f>
        <v>0</v>
      </c>
      <c r="W814" s="50">
        <f>IFERROR(Tabla1[[#This Row],[Fatalities]]/Tabla1[[#This Row],[Aboard]],0)</f>
        <v>1</v>
      </c>
      <c r="X814" s="51" t="str" cm="1">
        <f t="array" ref="X814">_xlfn.IFS(Tabla1[[#This Row],[Porcentaje de muertes]]&lt;0.35,"LEVE",AND(Tabla1[[#This Row],[Porcentaje de muertes]]&gt;0.35,Tabla1[[#This Row],[Porcentaje de muertes]]&lt;0.65),"MEDIO",Tabla1[[#This Row],[Porcentaje de muertes]]&gt;0.65,"GRAVE")</f>
        <v>GRAVE</v>
      </c>
    </row>
    <row r="815" spans="2:24" x14ac:dyDescent="0.3">
      <c r="B815" s="9">
        <v>813</v>
      </c>
      <c r="C815" s="49">
        <v>16730</v>
      </c>
      <c r="D815" s="9">
        <f>YEAR(Tabla1[[#This Row],[Date]])</f>
        <v>1945</v>
      </c>
      <c r="E815" s="9" t="str" cm="1">
        <f t="array" ref="E815">IFERROR(_xlfn.IFS(AND(D815&lt;1980,D815&gt;=1970),"70",AND(D815&lt;1990,D815&gt;=1980),"80",AND(D815&lt;2000,D815&gt;=1990),"90",AND(D815&lt;2010,D815&gt;=2000),"00",AND(D815&lt;=2019,D815&gt;=2010),"10"),"1908-1970")</f>
        <v>1908-1970</v>
      </c>
      <c r="F815" s="3" t="s">
        <v>28931</v>
      </c>
      <c r="G815" t="s">
        <v>8460</v>
      </c>
      <c r="H815" t="s">
        <v>6010</v>
      </c>
      <c r="I815" t="s">
        <v>28931</v>
      </c>
      <c r="J815" t="s">
        <v>8461</v>
      </c>
      <c r="K815" t="s">
        <v>7826</v>
      </c>
      <c r="L815" s="7" t="s">
        <v>28931</v>
      </c>
      <c r="M815" t="s">
        <v>28931</v>
      </c>
      <c r="N815">
        <v>31</v>
      </c>
      <c r="O815">
        <v>28</v>
      </c>
      <c r="P815">
        <v>3</v>
      </c>
      <c r="Q815">
        <v>31</v>
      </c>
      <c r="R815">
        <v>28</v>
      </c>
      <c r="S815">
        <v>3</v>
      </c>
      <c r="T815">
        <v>0</v>
      </c>
      <c r="U815" t="s">
        <v>8462</v>
      </c>
      <c r="V815">
        <f>Tabla1[[#This Row],[Aboard]]-Tabla1[[#This Row],[Fatalities]]</f>
        <v>0</v>
      </c>
      <c r="W815" s="50">
        <f>IFERROR(Tabla1[[#This Row],[Fatalities]]/Tabla1[[#This Row],[Aboard]],0)</f>
        <v>1</v>
      </c>
      <c r="X815" s="51" t="str" cm="1">
        <f t="array" ref="X815">_xlfn.IFS(Tabla1[[#This Row],[Porcentaje de muertes]]&lt;0.35,"LEVE",AND(Tabla1[[#This Row],[Porcentaje de muertes]]&gt;0.35,Tabla1[[#This Row],[Porcentaje de muertes]]&lt;0.65),"MEDIO",Tabla1[[#This Row],[Porcentaje de muertes]]&gt;0.65,"GRAVE")</f>
        <v>GRAVE</v>
      </c>
    </row>
    <row r="816" spans="2:24" x14ac:dyDescent="0.3">
      <c r="B816" s="9">
        <v>814</v>
      </c>
      <c r="C816" s="49">
        <v>16730</v>
      </c>
      <c r="D816" s="9">
        <f>YEAR(Tabla1[[#This Row],[Date]])</f>
        <v>1945</v>
      </c>
      <c r="E816" s="9" t="str" cm="1">
        <f t="array" ref="E816">IFERROR(_xlfn.IFS(AND(D816&lt;1980,D816&gt;=1970),"70",AND(D816&lt;1990,D816&gt;=1980),"80",AND(D816&lt;2000,D816&gt;=1990),"90",AND(D816&lt;2010,D816&gt;=2000),"00",AND(D816&lt;=2019,D816&gt;=2010),"10"),"1908-1970")</f>
        <v>1908-1970</v>
      </c>
      <c r="F816" s="3" t="s">
        <v>28931</v>
      </c>
      <c r="G816" t="s">
        <v>8463</v>
      </c>
      <c r="H816" t="s">
        <v>5195</v>
      </c>
      <c r="I816" t="s">
        <v>28931</v>
      </c>
      <c r="J816" t="s">
        <v>8464</v>
      </c>
      <c r="K816" t="s">
        <v>8465</v>
      </c>
      <c r="L816" s="7" t="s">
        <v>8466</v>
      </c>
      <c r="M816" t="s">
        <v>8467</v>
      </c>
      <c r="N816">
        <v>25</v>
      </c>
      <c r="O816">
        <v>21</v>
      </c>
      <c r="P816">
        <v>4</v>
      </c>
      <c r="Q816">
        <v>25</v>
      </c>
      <c r="R816">
        <v>21</v>
      </c>
      <c r="S816">
        <v>4</v>
      </c>
      <c r="T816">
        <v>0</v>
      </c>
      <c r="U816" t="s">
        <v>8314</v>
      </c>
      <c r="V816">
        <f>Tabla1[[#This Row],[Aboard]]-Tabla1[[#This Row],[Fatalities]]</f>
        <v>0</v>
      </c>
      <c r="W816" s="50">
        <f>IFERROR(Tabla1[[#This Row],[Fatalities]]/Tabla1[[#This Row],[Aboard]],0)</f>
        <v>1</v>
      </c>
      <c r="X816" s="51" t="str" cm="1">
        <f t="array" ref="X816">_xlfn.IFS(Tabla1[[#This Row],[Porcentaje de muertes]]&lt;0.35,"LEVE",AND(Tabla1[[#This Row],[Porcentaje de muertes]]&gt;0.35,Tabla1[[#This Row],[Porcentaje de muertes]]&lt;0.65),"MEDIO",Tabla1[[#This Row],[Porcentaje de muertes]]&gt;0.65,"GRAVE")</f>
        <v>GRAVE</v>
      </c>
    </row>
    <row r="817" spans="2:24" x14ac:dyDescent="0.3">
      <c r="B817" s="9">
        <v>815</v>
      </c>
      <c r="C817" s="49">
        <v>16733</v>
      </c>
      <c r="D817" s="9">
        <f>YEAR(Tabla1[[#This Row],[Date]])</f>
        <v>1945</v>
      </c>
      <c r="E817" s="9" t="str" cm="1">
        <f t="array" ref="E817">IFERROR(_xlfn.IFS(AND(D817&lt;1980,D817&gt;=1970),"70",AND(D817&lt;1990,D817&gt;=1980),"80",AND(D817&lt;2000,D817&gt;=1990),"90",AND(D817&lt;2010,D817&gt;=2000),"00",AND(D817&lt;=2019,D817&gt;=2010),"10"),"1908-1970")</f>
        <v>1908-1970</v>
      </c>
      <c r="F817" s="3" t="s">
        <v>28931</v>
      </c>
      <c r="G817" t="s">
        <v>8468</v>
      </c>
      <c r="H817" t="s">
        <v>7665</v>
      </c>
      <c r="I817" t="s">
        <v>28931</v>
      </c>
      <c r="J817" t="s">
        <v>28931</v>
      </c>
      <c r="K817" t="s">
        <v>8465</v>
      </c>
      <c r="L817" s="7" t="s">
        <v>8469</v>
      </c>
      <c r="M817" t="s">
        <v>8470</v>
      </c>
      <c r="N817">
        <v>14</v>
      </c>
      <c r="O817">
        <v>12</v>
      </c>
      <c r="P817">
        <v>2</v>
      </c>
      <c r="Q817">
        <v>14</v>
      </c>
      <c r="R817">
        <v>12</v>
      </c>
      <c r="S817">
        <v>2</v>
      </c>
      <c r="T817">
        <v>0</v>
      </c>
      <c r="U817" t="s">
        <v>8471</v>
      </c>
      <c r="V817">
        <f>Tabla1[[#This Row],[Aboard]]-Tabla1[[#This Row],[Fatalities]]</f>
        <v>0</v>
      </c>
      <c r="W817" s="50">
        <f>IFERROR(Tabla1[[#This Row],[Fatalities]]/Tabla1[[#This Row],[Aboard]],0)</f>
        <v>1</v>
      </c>
      <c r="X817" s="51" t="str" cm="1">
        <f t="array" ref="X817">_xlfn.IFS(Tabla1[[#This Row],[Porcentaje de muertes]]&lt;0.35,"LEVE",AND(Tabla1[[#This Row],[Porcentaje de muertes]]&gt;0.35,Tabla1[[#This Row],[Porcentaje de muertes]]&lt;0.65),"MEDIO",Tabla1[[#This Row],[Porcentaje de muertes]]&gt;0.65,"GRAVE")</f>
        <v>GRAVE</v>
      </c>
    </row>
    <row r="818" spans="2:24" x14ac:dyDescent="0.3">
      <c r="B818" s="9">
        <v>816</v>
      </c>
      <c r="C818" s="49">
        <v>16734</v>
      </c>
      <c r="D818" s="9">
        <f>YEAR(Tabla1[[#This Row],[Date]])</f>
        <v>1945</v>
      </c>
      <c r="E818" s="9" t="str" cm="1">
        <f t="array" ref="E818">IFERROR(_xlfn.IFS(AND(D818&lt;1980,D818&gt;=1970),"70",AND(D818&lt;1990,D818&gt;=1980),"80",AND(D818&lt;2000,D818&gt;=1990),"90",AND(D818&lt;2010,D818&gt;=2000),"00",AND(D818&lt;=2019,D818&gt;=2010),"10"),"1908-1970")</f>
        <v>1908-1970</v>
      </c>
      <c r="F818" s="3" t="s">
        <v>28931</v>
      </c>
      <c r="G818" t="s">
        <v>8472</v>
      </c>
      <c r="H818" t="s">
        <v>7716</v>
      </c>
      <c r="I818" t="s">
        <v>28931</v>
      </c>
      <c r="J818" t="s">
        <v>8473</v>
      </c>
      <c r="K818" t="s">
        <v>7959</v>
      </c>
      <c r="L818" s="7" t="s">
        <v>8474</v>
      </c>
      <c r="M818">
        <v>10097</v>
      </c>
      <c r="N818">
        <v>16</v>
      </c>
      <c r="O818">
        <v>13</v>
      </c>
      <c r="P818">
        <v>3</v>
      </c>
      <c r="Q818">
        <v>9</v>
      </c>
      <c r="R818">
        <v>9</v>
      </c>
      <c r="S818">
        <v>0</v>
      </c>
      <c r="T818">
        <v>0</v>
      </c>
      <c r="U818" t="s">
        <v>8475</v>
      </c>
      <c r="V818">
        <f>Tabla1[[#This Row],[Aboard]]-Tabla1[[#This Row],[Fatalities]]</f>
        <v>7</v>
      </c>
      <c r="W818" s="50">
        <f>IFERROR(Tabla1[[#This Row],[Fatalities]]/Tabla1[[#This Row],[Aboard]],0)</f>
        <v>0.5625</v>
      </c>
      <c r="X818" s="51" t="str" cm="1">
        <f t="array" ref="X818">_xlfn.IFS(Tabla1[[#This Row],[Porcentaje de muertes]]&lt;0.35,"LEVE",AND(Tabla1[[#This Row],[Porcentaje de muertes]]&gt;0.35,Tabla1[[#This Row],[Porcentaje de muertes]]&lt;0.65),"MEDIO",Tabla1[[#This Row],[Porcentaje de muertes]]&gt;0.65,"GRAVE")</f>
        <v>MEDIO</v>
      </c>
    </row>
    <row r="819" spans="2:24" x14ac:dyDescent="0.3">
      <c r="B819" s="9">
        <v>817</v>
      </c>
      <c r="C819" s="49">
        <v>16734</v>
      </c>
      <c r="D819" s="9">
        <f>YEAR(Tabla1[[#This Row],[Date]])</f>
        <v>1945</v>
      </c>
      <c r="E819" s="9" t="str" cm="1">
        <f t="array" ref="E819">IFERROR(_xlfn.IFS(AND(D819&lt;1980,D819&gt;=1970),"70",AND(D819&lt;1990,D819&gt;=1980),"80",AND(D819&lt;2000,D819&gt;=1990),"90",AND(D819&lt;2010,D819&gt;=2000),"00",AND(D819&lt;=2019,D819&gt;=2010),"10"),"1908-1970")</f>
        <v>1908-1970</v>
      </c>
      <c r="F819" s="3" t="s">
        <v>28931</v>
      </c>
      <c r="G819" t="s">
        <v>8476</v>
      </c>
      <c r="H819" t="s">
        <v>8477</v>
      </c>
      <c r="I819" t="s">
        <v>28931</v>
      </c>
      <c r="J819" t="s">
        <v>28931</v>
      </c>
      <c r="K819" t="s">
        <v>8478</v>
      </c>
      <c r="L819" s="7" t="s">
        <v>8479</v>
      </c>
      <c r="M819">
        <v>24</v>
      </c>
      <c r="N819">
        <v>5</v>
      </c>
      <c r="O819">
        <v>4</v>
      </c>
      <c r="P819">
        <v>1</v>
      </c>
      <c r="Q819">
        <v>5</v>
      </c>
      <c r="R819">
        <v>4</v>
      </c>
      <c r="S819">
        <v>1</v>
      </c>
      <c r="T819">
        <v>0</v>
      </c>
      <c r="U819" t="s">
        <v>8480</v>
      </c>
      <c r="V819">
        <f>Tabla1[[#This Row],[Aboard]]-Tabla1[[#This Row],[Fatalities]]</f>
        <v>0</v>
      </c>
      <c r="W819" s="50">
        <f>IFERROR(Tabla1[[#This Row],[Fatalities]]/Tabla1[[#This Row],[Aboard]],0)</f>
        <v>1</v>
      </c>
      <c r="X819" s="51" t="str" cm="1">
        <f t="array" ref="X819">_xlfn.IFS(Tabla1[[#This Row],[Porcentaje de muertes]]&lt;0.35,"LEVE",AND(Tabla1[[#This Row],[Porcentaje de muertes]]&gt;0.35,Tabla1[[#This Row],[Porcentaje de muertes]]&lt;0.65),"MEDIO",Tabla1[[#This Row],[Porcentaje de muertes]]&gt;0.65,"GRAVE")</f>
        <v>GRAVE</v>
      </c>
    </row>
    <row r="820" spans="2:24" x14ac:dyDescent="0.3">
      <c r="B820" s="9">
        <v>818</v>
      </c>
      <c r="C820" s="49">
        <v>16740</v>
      </c>
      <c r="D820" s="9">
        <f>YEAR(Tabla1[[#This Row],[Date]])</f>
        <v>1945</v>
      </c>
      <c r="E820" s="9" t="str" cm="1">
        <f t="array" ref="E820">IFERROR(_xlfn.IFS(AND(D820&lt;1980,D820&gt;=1970),"70",AND(D820&lt;1990,D820&gt;=1980),"80",AND(D820&lt;2000,D820&gt;=1990),"90",AND(D820&lt;2010,D820&gt;=2000),"00",AND(D820&lt;=2019,D820&gt;=2010),"10"),"1908-1970")</f>
        <v>1908-1970</v>
      </c>
      <c r="F820" s="3">
        <v>0.80208333333333337</v>
      </c>
      <c r="G820" t="s">
        <v>8481</v>
      </c>
      <c r="H820" t="s">
        <v>7782</v>
      </c>
      <c r="I820" t="s">
        <v>28931</v>
      </c>
      <c r="J820" t="s">
        <v>8482</v>
      </c>
      <c r="K820" t="s">
        <v>8483</v>
      </c>
      <c r="L820" s="7" t="s">
        <v>8484</v>
      </c>
      <c r="M820">
        <v>299</v>
      </c>
      <c r="N820">
        <v>50</v>
      </c>
      <c r="O820">
        <v>46</v>
      </c>
      <c r="P820">
        <v>4</v>
      </c>
      <c r="Q820">
        <v>45</v>
      </c>
      <c r="R820">
        <v>44</v>
      </c>
      <c r="S820">
        <v>1</v>
      </c>
      <c r="T820">
        <v>0</v>
      </c>
      <c r="U820" t="s">
        <v>8485</v>
      </c>
      <c r="V820">
        <f>Tabla1[[#This Row],[Aboard]]-Tabla1[[#This Row],[Fatalities]]</f>
        <v>5</v>
      </c>
      <c r="W820" s="50">
        <f>IFERROR(Tabla1[[#This Row],[Fatalities]]/Tabla1[[#This Row],[Aboard]],0)</f>
        <v>0.9</v>
      </c>
      <c r="X820" s="51" t="str" cm="1">
        <f t="array" ref="X820">_xlfn.IFS(Tabla1[[#This Row],[Porcentaje de muertes]]&lt;0.35,"LEVE",AND(Tabla1[[#This Row],[Porcentaje de muertes]]&gt;0.35,Tabla1[[#This Row],[Porcentaje de muertes]]&lt;0.65),"MEDIO",Tabla1[[#This Row],[Porcentaje de muertes]]&gt;0.65,"GRAVE")</f>
        <v>GRAVE</v>
      </c>
    </row>
    <row r="821" spans="2:24" x14ac:dyDescent="0.3">
      <c r="B821" s="9">
        <v>819</v>
      </c>
      <c r="C821" s="49">
        <v>16448</v>
      </c>
      <c r="D821" s="9">
        <f>YEAR(Tabla1[[#This Row],[Date]])</f>
        <v>1945</v>
      </c>
      <c r="E821" s="9" t="str" cm="1">
        <f t="array" ref="E821">IFERROR(_xlfn.IFS(AND(D821&lt;1980,D821&gt;=1970),"70",AND(D821&lt;1990,D821&gt;=1980),"80",AND(D821&lt;2000,D821&gt;=1990),"90",AND(D821&lt;2010,D821&gt;=2000),"00",AND(D821&lt;=2019,D821&gt;=2010),"10"),"1908-1970")</f>
        <v>1908-1970</v>
      </c>
      <c r="F821" s="3">
        <v>0.64583333333333337</v>
      </c>
      <c r="G821" t="s">
        <v>8486</v>
      </c>
      <c r="H821" t="s">
        <v>7782</v>
      </c>
      <c r="I821" t="s">
        <v>28931</v>
      </c>
      <c r="J821" t="s">
        <v>8487</v>
      </c>
      <c r="K821" t="s">
        <v>8137</v>
      </c>
      <c r="L821" s="7" t="s">
        <v>8488</v>
      </c>
      <c r="M821">
        <v>12909</v>
      </c>
      <c r="N821">
        <v>30</v>
      </c>
      <c r="O821">
        <v>26</v>
      </c>
      <c r="P821">
        <v>4</v>
      </c>
      <c r="Q821">
        <v>26</v>
      </c>
      <c r="R821">
        <v>22</v>
      </c>
      <c r="S821">
        <v>4</v>
      </c>
      <c r="T821">
        <v>0</v>
      </c>
      <c r="U821" t="s">
        <v>8489</v>
      </c>
      <c r="V821">
        <f>Tabla1[[#This Row],[Aboard]]-Tabla1[[#This Row],[Fatalities]]</f>
        <v>4</v>
      </c>
      <c r="W821" s="50">
        <f>IFERROR(Tabla1[[#This Row],[Fatalities]]/Tabla1[[#This Row],[Aboard]],0)</f>
        <v>0.8666666666666667</v>
      </c>
      <c r="X821" s="51" t="str" cm="1">
        <f t="array" ref="X821">_xlfn.IFS(Tabla1[[#This Row],[Porcentaje de muertes]]&lt;0.35,"LEVE",AND(Tabla1[[#This Row],[Porcentaje de muertes]]&gt;0.35,Tabla1[[#This Row],[Porcentaje de muertes]]&lt;0.65),"MEDIO",Tabla1[[#This Row],[Porcentaje de muertes]]&gt;0.65,"GRAVE")</f>
        <v>GRAVE</v>
      </c>
    </row>
    <row r="822" spans="2:24" x14ac:dyDescent="0.3">
      <c r="B822" s="9">
        <v>820</v>
      </c>
      <c r="C822" s="49">
        <v>16507</v>
      </c>
      <c r="D822" s="9">
        <f>YEAR(Tabla1[[#This Row],[Date]])</f>
        <v>1945</v>
      </c>
      <c r="E822" s="9" t="str" cm="1">
        <f t="array" ref="E822">IFERROR(_xlfn.IFS(AND(D822&lt;1980,D822&gt;=1970),"70",AND(D822&lt;1990,D822&gt;=1980),"80",AND(D822&lt;2000,D822&gt;=1990),"90",AND(D822&lt;2010,D822&gt;=2000),"00",AND(D822&lt;=2019,D822&gt;=2010),"10"),"1908-1970")</f>
        <v>1908-1970</v>
      </c>
      <c r="F822" s="3">
        <v>8.3333333333333329E-2</v>
      </c>
      <c r="G822" t="s">
        <v>8490</v>
      </c>
      <c r="H822" t="s">
        <v>7782</v>
      </c>
      <c r="I822" t="s">
        <v>28931</v>
      </c>
      <c r="J822" t="s">
        <v>8491</v>
      </c>
      <c r="K822" t="s">
        <v>8492</v>
      </c>
      <c r="L822" s="7" t="s">
        <v>8493</v>
      </c>
      <c r="M822">
        <v>35981</v>
      </c>
      <c r="N822">
        <v>44</v>
      </c>
      <c r="O822">
        <v>40</v>
      </c>
      <c r="P822">
        <v>4</v>
      </c>
      <c r="Q822">
        <v>44</v>
      </c>
      <c r="R822">
        <v>40</v>
      </c>
      <c r="S822">
        <v>4</v>
      </c>
      <c r="T822">
        <v>0</v>
      </c>
      <c r="U822" t="s">
        <v>8494</v>
      </c>
      <c r="V822">
        <f>Tabla1[[#This Row],[Aboard]]-Tabla1[[#This Row],[Fatalities]]</f>
        <v>0</v>
      </c>
      <c r="W822" s="50">
        <f>IFERROR(Tabla1[[#This Row],[Fatalities]]/Tabla1[[#This Row],[Aboard]],0)</f>
        <v>1</v>
      </c>
      <c r="X822" s="51" t="str" cm="1">
        <f t="array" ref="X822">_xlfn.IFS(Tabla1[[#This Row],[Porcentaje de muertes]]&lt;0.35,"LEVE",AND(Tabla1[[#This Row],[Porcentaje de muertes]]&gt;0.35,Tabla1[[#This Row],[Porcentaje de muertes]]&lt;0.65),"MEDIO",Tabla1[[#This Row],[Porcentaje de muertes]]&gt;0.65,"GRAVE")</f>
        <v>GRAVE</v>
      </c>
    </row>
    <row r="823" spans="2:24" x14ac:dyDescent="0.3">
      <c r="B823" s="9">
        <v>821</v>
      </c>
      <c r="C823" s="49">
        <v>16629</v>
      </c>
      <c r="D823" s="9">
        <f>YEAR(Tabla1[[#This Row],[Date]])</f>
        <v>1945</v>
      </c>
      <c r="E823" s="9" t="str" cm="1">
        <f t="array" ref="E823">IFERROR(_xlfn.IFS(AND(D823&lt;1980,D823&gt;=1970),"70",AND(D823&lt;1990,D823&gt;=1980),"80",AND(D823&lt;2000,D823&gt;=1990),"90",AND(D823&lt;2010,D823&gt;=2000),"00",AND(D823&lt;=2019,D823&gt;=2010),"10"),"1908-1970")</f>
        <v>1908-1970</v>
      </c>
      <c r="F823" s="3">
        <v>0.46875</v>
      </c>
      <c r="G823" t="s">
        <v>8495</v>
      </c>
      <c r="H823" t="s">
        <v>8496</v>
      </c>
      <c r="I823" t="s">
        <v>28931</v>
      </c>
      <c r="J823" t="s">
        <v>8497</v>
      </c>
      <c r="K823" t="s">
        <v>8498</v>
      </c>
      <c r="L823" s="7" t="s">
        <v>28931</v>
      </c>
      <c r="M823" t="s">
        <v>28931</v>
      </c>
      <c r="N823">
        <v>3</v>
      </c>
      <c r="O823">
        <v>0</v>
      </c>
      <c r="P823">
        <v>3</v>
      </c>
      <c r="Q823">
        <v>1</v>
      </c>
      <c r="R823">
        <v>0</v>
      </c>
      <c r="S823">
        <v>1</v>
      </c>
      <c r="T823">
        <v>0</v>
      </c>
      <c r="U823" t="s">
        <v>8499</v>
      </c>
      <c r="V823">
        <f>Tabla1[[#This Row],[Aboard]]-Tabla1[[#This Row],[Fatalities]]</f>
        <v>2</v>
      </c>
      <c r="W823" s="50">
        <f>IFERROR(Tabla1[[#This Row],[Fatalities]]/Tabla1[[#This Row],[Aboard]],0)</f>
        <v>0.33333333333333331</v>
      </c>
      <c r="X823" s="51" t="str" cm="1">
        <f t="array" ref="X823">_xlfn.IFS(Tabla1[[#This Row],[Porcentaje de muertes]]&lt;0.35,"LEVE",AND(Tabla1[[#This Row],[Porcentaje de muertes]]&gt;0.35,Tabla1[[#This Row],[Porcentaje de muertes]]&lt;0.65),"MEDIO",Tabla1[[#This Row],[Porcentaje de muertes]]&gt;0.65,"GRAVE")</f>
        <v>LEVE</v>
      </c>
    </row>
    <row r="824" spans="2:24" x14ac:dyDescent="0.3">
      <c r="B824" s="9">
        <v>822</v>
      </c>
      <c r="C824" s="49">
        <v>16660</v>
      </c>
      <c r="D824" s="9">
        <f>YEAR(Tabla1[[#This Row],[Date]])</f>
        <v>1945</v>
      </c>
      <c r="E824" s="9" t="str" cm="1">
        <f t="array" ref="E824">IFERROR(_xlfn.IFS(AND(D824&lt;1980,D824&gt;=1970),"70",AND(D824&lt;1990,D824&gt;=1980),"80",AND(D824&lt;2000,D824&gt;=1990),"90",AND(D824&lt;2010,D824&gt;=2000),"00",AND(D824&lt;=2019,D824&gt;=2010),"10"),"1908-1970")</f>
        <v>1908-1970</v>
      </c>
      <c r="F824" s="3">
        <v>0.83333333333333337</v>
      </c>
      <c r="G824" t="s">
        <v>8500</v>
      </c>
      <c r="H824" t="s">
        <v>7134</v>
      </c>
      <c r="I824" t="s">
        <v>28931</v>
      </c>
      <c r="J824" t="s">
        <v>28931</v>
      </c>
      <c r="K824" t="s">
        <v>28957</v>
      </c>
      <c r="L824" s="7" t="s">
        <v>8501</v>
      </c>
      <c r="M824" t="s">
        <v>28931</v>
      </c>
      <c r="N824">
        <v>27</v>
      </c>
      <c r="O824" t="s">
        <v>5038</v>
      </c>
      <c r="P824" t="s">
        <v>5038</v>
      </c>
      <c r="Q824">
        <v>22</v>
      </c>
      <c r="R824" t="s">
        <v>5038</v>
      </c>
      <c r="S824" t="s">
        <v>5038</v>
      </c>
      <c r="T824">
        <v>0</v>
      </c>
      <c r="U824" t="s">
        <v>8502</v>
      </c>
      <c r="V824">
        <f>Tabla1[[#This Row],[Aboard]]-Tabla1[[#This Row],[Fatalities]]</f>
        <v>5</v>
      </c>
      <c r="W824" s="50">
        <f>IFERROR(Tabla1[[#This Row],[Fatalities]]/Tabla1[[#This Row],[Aboard]],0)</f>
        <v>0.81481481481481477</v>
      </c>
      <c r="X824" s="51" t="str" cm="1">
        <f t="array" ref="X824">_xlfn.IFS(Tabla1[[#This Row],[Porcentaje de muertes]]&lt;0.35,"LEVE",AND(Tabla1[[#This Row],[Porcentaje de muertes]]&gt;0.35,Tabla1[[#This Row],[Porcentaje de muertes]]&lt;0.65),"MEDIO",Tabla1[[#This Row],[Porcentaje de muertes]]&gt;0.65,"GRAVE")</f>
        <v>GRAVE</v>
      </c>
    </row>
    <row r="825" spans="2:24" x14ac:dyDescent="0.3">
      <c r="B825" s="9">
        <v>823</v>
      </c>
      <c r="C825" s="49">
        <v>16691</v>
      </c>
      <c r="D825" s="9">
        <f>YEAR(Tabla1[[#This Row],[Date]])</f>
        <v>1945</v>
      </c>
      <c r="E825" s="9" t="str" cm="1">
        <f t="array" ref="E825">IFERROR(_xlfn.IFS(AND(D825&lt;1980,D825&gt;=1970),"70",AND(D825&lt;1990,D825&gt;=1980),"80",AND(D825&lt;2000,D825&gt;=1990),"90",AND(D825&lt;2010,D825&gt;=2000),"00",AND(D825&lt;=2019,D825&gt;=2010),"10"),"1908-1970")</f>
        <v>1908-1970</v>
      </c>
      <c r="F825" s="3">
        <v>0.83333333333333337</v>
      </c>
      <c r="G825" t="s">
        <v>8503</v>
      </c>
      <c r="H825" t="s">
        <v>7782</v>
      </c>
      <c r="I825" t="s">
        <v>28931</v>
      </c>
      <c r="J825" t="s">
        <v>8504</v>
      </c>
      <c r="K825" t="s">
        <v>7953</v>
      </c>
      <c r="L825" s="7" t="s">
        <v>8505</v>
      </c>
      <c r="M825">
        <v>10225</v>
      </c>
      <c r="N825">
        <v>24</v>
      </c>
      <c r="O825">
        <v>20</v>
      </c>
      <c r="P825">
        <v>4</v>
      </c>
      <c r="Q825">
        <v>24</v>
      </c>
      <c r="R825">
        <v>20</v>
      </c>
      <c r="S825">
        <v>4</v>
      </c>
      <c r="T825">
        <v>0</v>
      </c>
      <c r="U825" t="s">
        <v>8506</v>
      </c>
      <c r="V825">
        <f>Tabla1[[#This Row],[Aboard]]-Tabla1[[#This Row],[Fatalities]]</f>
        <v>0</v>
      </c>
      <c r="W825" s="50">
        <f>IFERROR(Tabla1[[#This Row],[Fatalities]]/Tabla1[[#This Row],[Aboard]],0)</f>
        <v>1</v>
      </c>
      <c r="X825" s="51" t="str" cm="1">
        <f t="array" ref="X825">_xlfn.IFS(Tabla1[[#This Row],[Porcentaje de muertes]]&lt;0.35,"LEVE",AND(Tabla1[[#This Row],[Porcentaje de muertes]]&gt;0.35,Tabla1[[#This Row],[Porcentaje de muertes]]&lt;0.65),"MEDIO",Tabla1[[#This Row],[Porcentaje de muertes]]&gt;0.65,"GRAVE")</f>
        <v>GRAVE</v>
      </c>
    </row>
    <row r="826" spans="2:24" x14ac:dyDescent="0.3">
      <c r="B826" s="9">
        <v>824</v>
      </c>
      <c r="C826" s="49">
        <v>16752</v>
      </c>
      <c r="D826" s="9">
        <f>YEAR(Tabla1[[#This Row],[Date]])</f>
        <v>1945</v>
      </c>
      <c r="E826" s="9" t="str" cm="1">
        <f t="array" ref="E826">IFERROR(_xlfn.IFS(AND(D826&lt;1980,D826&gt;=1970),"70",AND(D826&lt;1990,D826&gt;=1980),"80",AND(D826&lt;2000,D826&gt;=1990),"90",AND(D826&lt;2010,D826&gt;=2000),"00",AND(D826&lt;=2019,D826&gt;=2010),"10"),"1908-1970")</f>
        <v>1908-1970</v>
      </c>
      <c r="F826" s="3">
        <v>0.98958333333333337</v>
      </c>
      <c r="G826" t="s">
        <v>8507</v>
      </c>
      <c r="H826" t="s">
        <v>7660</v>
      </c>
      <c r="I826" t="s">
        <v>28931</v>
      </c>
      <c r="J826" t="s">
        <v>28931</v>
      </c>
      <c r="K826" t="s">
        <v>8508</v>
      </c>
      <c r="L826" s="7" t="s">
        <v>8509</v>
      </c>
      <c r="M826" t="s">
        <v>28931</v>
      </c>
      <c r="N826">
        <v>29</v>
      </c>
      <c r="O826">
        <v>22</v>
      </c>
      <c r="P826">
        <v>7</v>
      </c>
      <c r="Q826">
        <v>29</v>
      </c>
      <c r="R826">
        <v>22</v>
      </c>
      <c r="S826">
        <v>7</v>
      </c>
      <c r="T826">
        <v>0</v>
      </c>
      <c r="U826" t="s">
        <v>8510</v>
      </c>
      <c r="V826">
        <f>Tabla1[[#This Row],[Aboard]]-Tabla1[[#This Row],[Fatalities]]</f>
        <v>0</v>
      </c>
      <c r="W826" s="50">
        <f>IFERROR(Tabla1[[#This Row],[Fatalities]]/Tabla1[[#This Row],[Aboard]],0)</f>
        <v>1</v>
      </c>
      <c r="X826" s="51" t="str" cm="1">
        <f t="array" ref="X826">_xlfn.IFS(Tabla1[[#This Row],[Porcentaje de muertes]]&lt;0.35,"LEVE",AND(Tabla1[[#This Row],[Porcentaje de muertes]]&gt;0.35,Tabla1[[#This Row],[Porcentaje de muertes]]&lt;0.65),"MEDIO",Tabla1[[#This Row],[Porcentaje de muertes]]&gt;0.65,"GRAVE")</f>
        <v>GRAVE</v>
      </c>
    </row>
    <row r="827" spans="2:24" x14ac:dyDescent="0.3">
      <c r="B827" s="9">
        <v>825</v>
      </c>
      <c r="C827" s="49">
        <v>16752</v>
      </c>
      <c r="D827" s="9">
        <f>YEAR(Tabla1[[#This Row],[Date]])</f>
        <v>1945</v>
      </c>
      <c r="E827" s="9" t="str" cm="1">
        <f t="array" ref="E827">IFERROR(_xlfn.IFS(AND(D827&lt;1980,D827&gt;=1970),"70",AND(D827&lt;1990,D827&gt;=1980),"80",AND(D827&lt;2000,D827&gt;=1990),"90",AND(D827&lt;2010,D827&gt;=2000),"00",AND(D827&lt;=2019,D827&gt;=2010),"10"),"1908-1970")</f>
        <v>1908-1970</v>
      </c>
      <c r="F827" s="3" t="s">
        <v>28931</v>
      </c>
      <c r="G827" t="s">
        <v>8511</v>
      </c>
      <c r="H827" t="s">
        <v>5017</v>
      </c>
      <c r="I827" t="s">
        <v>28931</v>
      </c>
      <c r="J827" t="s">
        <v>8512</v>
      </c>
      <c r="K827" t="s">
        <v>8513</v>
      </c>
      <c r="L827" s="7" t="s">
        <v>28931</v>
      </c>
      <c r="M827" t="s">
        <v>28931</v>
      </c>
      <c r="N827">
        <v>44</v>
      </c>
      <c r="O827" t="s">
        <v>5038</v>
      </c>
      <c r="P827" t="s">
        <v>5038</v>
      </c>
      <c r="Q827">
        <v>44</v>
      </c>
      <c r="R827" t="s">
        <v>5038</v>
      </c>
      <c r="S827" t="s">
        <v>5038</v>
      </c>
      <c r="T827">
        <v>0</v>
      </c>
      <c r="U827" t="s">
        <v>8514</v>
      </c>
      <c r="V827">
        <f>Tabla1[[#This Row],[Aboard]]-Tabla1[[#This Row],[Fatalities]]</f>
        <v>0</v>
      </c>
      <c r="W827" s="50">
        <f>IFERROR(Tabla1[[#This Row],[Fatalities]]/Tabla1[[#This Row],[Aboard]],0)</f>
        <v>1</v>
      </c>
      <c r="X827" s="51" t="str" cm="1">
        <f t="array" ref="X827">_xlfn.IFS(Tabla1[[#This Row],[Porcentaje de muertes]]&lt;0.35,"LEVE",AND(Tabla1[[#This Row],[Porcentaje de muertes]]&gt;0.35,Tabla1[[#This Row],[Porcentaje de muertes]]&lt;0.65),"MEDIO",Tabla1[[#This Row],[Porcentaje de muertes]]&gt;0.65,"GRAVE")</f>
        <v>GRAVE</v>
      </c>
    </row>
    <row r="828" spans="2:24" x14ac:dyDescent="0.3">
      <c r="B828" s="9">
        <v>826</v>
      </c>
      <c r="C828" s="49">
        <v>16752</v>
      </c>
      <c r="D828" s="9">
        <f>YEAR(Tabla1[[#This Row],[Date]])</f>
        <v>1945</v>
      </c>
      <c r="E828" s="9" t="str" cm="1">
        <f t="array" ref="E828">IFERROR(_xlfn.IFS(AND(D828&lt;1980,D828&gt;=1970),"70",AND(D828&lt;1990,D828&gt;=1980),"80",AND(D828&lt;2000,D828&gt;=1990),"90",AND(D828&lt;2010,D828&gt;=2000),"00",AND(D828&lt;=2019,D828&gt;=2010),"10"),"1908-1970")</f>
        <v>1908-1970</v>
      </c>
      <c r="F828" s="3">
        <v>0.5</v>
      </c>
      <c r="G828" t="s">
        <v>8515</v>
      </c>
      <c r="H828" t="s">
        <v>7782</v>
      </c>
      <c r="I828" t="s">
        <v>28931</v>
      </c>
      <c r="J828" t="s">
        <v>8516</v>
      </c>
      <c r="K828" t="s">
        <v>8517</v>
      </c>
      <c r="L828" s="7" t="s">
        <v>8518</v>
      </c>
      <c r="M828">
        <v>10175</v>
      </c>
      <c r="N828">
        <v>20</v>
      </c>
      <c r="O828">
        <v>16</v>
      </c>
      <c r="P828">
        <v>4</v>
      </c>
      <c r="Q828">
        <v>20</v>
      </c>
      <c r="R828">
        <v>16</v>
      </c>
      <c r="S828">
        <v>4</v>
      </c>
      <c r="T828">
        <v>0</v>
      </c>
      <c r="U828" t="s">
        <v>8519</v>
      </c>
      <c r="V828">
        <f>Tabla1[[#This Row],[Aboard]]-Tabla1[[#This Row],[Fatalities]]</f>
        <v>0</v>
      </c>
      <c r="W828" s="50">
        <f>IFERROR(Tabla1[[#This Row],[Fatalities]]/Tabla1[[#This Row],[Aboard]],0)</f>
        <v>1</v>
      </c>
      <c r="X828" s="51" t="str" cm="1">
        <f t="array" ref="X828">_xlfn.IFS(Tabla1[[#This Row],[Porcentaje de muertes]]&lt;0.35,"LEVE",AND(Tabla1[[#This Row],[Porcentaje de muertes]]&gt;0.35,Tabla1[[#This Row],[Porcentaje de muertes]]&lt;0.65),"MEDIO",Tabla1[[#This Row],[Porcentaje de muertes]]&gt;0.65,"GRAVE")</f>
        <v>GRAVE</v>
      </c>
    </row>
    <row r="829" spans="2:24" x14ac:dyDescent="0.3">
      <c r="B829" s="9">
        <v>827</v>
      </c>
      <c r="C829" s="49">
        <v>16754</v>
      </c>
      <c r="D829" s="9">
        <f>YEAR(Tabla1[[#This Row],[Date]])</f>
        <v>1945</v>
      </c>
      <c r="E829" s="9" t="str" cm="1">
        <f t="array" ref="E829">IFERROR(_xlfn.IFS(AND(D829&lt;1980,D829&gt;=1970),"70",AND(D829&lt;1990,D829&gt;=1980),"80",AND(D829&lt;2000,D829&gt;=1990),"90",AND(D829&lt;2010,D829&gt;=2000),"00",AND(D829&lt;=2019,D829&gt;=2010),"10"),"1908-1970")</f>
        <v>1908-1970</v>
      </c>
      <c r="F829" s="3">
        <v>0.84375</v>
      </c>
      <c r="G829" t="s">
        <v>8520</v>
      </c>
      <c r="H829" t="s">
        <v>6038</v>
      </c>
      <c r="I829" t="s">
        <v>28931</v>
      </c>
      <c r="J829" t="s">
        <v>28931</v>
      </c>
      <c r="K829" t="s">
        <v>8521</v>
      </c>
      <c r="L829" s="7" t="s">
        <v>8522</v>
      </c>
      <c r="M829" t="s">
        <v>28931</v>
      </c>
      <c r="N829">
        <v>17</v>
      </c>
      <c r="O829">
        <v>14</v>
      </c>
      <c r="P829">
        <v>3</v>
      </c>
      <c r="Q829">
        <v>16</v>
      </c>
      <c r="R829">
        <v>13</v>
      </c>
      <c r="S829">
        <v>3</v>
      </c>
      <c r="T829" t="s">
        <v>5038</v>
      </c>
      <c r="U829" t="s">
        <v>8523</v>
      </c>
      <c r="V829">
        <f>Tabla1[[#This Row],[Aboard]]-Tabla1[[#This Row],[Fatalities]]</f>
        <v>1</v>
      </c>
      <c r="W829" s="50">
        <f>IFERROR(Tabla1[[#This Row],[Fatalities]]/Tabla1[[#This Row],[Aboard]],0)</f>
        <v>0.94117647058823528</v>
      </c>
      <c r="X829" s="51" t="str" cm="1">
        <f t="array" ref="X829">_xlfn.IFS(Tabla1[[#This Row],[Porcentaje de muertes]]&lt;0.35,"LEVE",AND(Tabla1[[#This Row],[Porcentaje de muertes]]&gt;0.35,Tabla1[[#This Row],[Porcentaje de muertes]]&lt;0.65),"MEDIO",Tabla1[[#This Row],[Porcentaje de muertes]]&gt;0.65,"GRAVE")</f>
        <v>GRAVE</v>
      </c>
    </row>
    <row r="830" spans="2:24" x14ac:dyDescent="0.3">
      <c r="B830" s="9">
        <v>828</v>
      </c>
      <c r="C830" s="49">
        <v>16756</v>
      </c>
      <c r="D830" s="9">
        <f>YEAR(Tabla1[[#This Row],[Date]])</f>
        <v>1945</v>
      </c>
      <c r="E830" s="9" t="str" cm="1">
        <f t="array" ref="E830">IFERROR(_xlfn.IFS(AND(D830&lt;1980,D830&gt;=1970),"70",AND(D830&lt;1990,D830&gt;=1980),"80",AND(D830&lt;2000,D830&gt;=1990),"90",AND(D830&lt;2010,D830&gt;=2000),"00",AND(D830&lt;=2019,D830&gt;=2010),"10"),"1908-1970")</f>
        <v>1908-1970</v>
      </c>
      <c r="F830" s="3">
        <v>0.38472222222222219</v>
      </c>
      <c r="G830" t="s">
        <v>8524</v>
      </c>
      <c r="H830" t="s">
        <v>5195</v>
      </c>
      <c r="I830" t="s">
        <v>28931</v>
      </c>
      <c r="J830" t="s">
        <v>8525</v>
      </c>
      <c r="K830" t="s">
        <v>8526</v>
      </c>
      <c r="L830" s="7" t="s">
        <v>8527</v>
      </c>
      <c r="M830">
        <v>26640</v>
      </c>
      <c r="N830">
        <v>28</v>
      </c>
      <c r="O830">
        <v>25</v>
      </c>
      <c r="P830">
        <v>3</v>
      </c>
      <c r="Q830">
        <v>28</v>
      </c>
      <c r="R830">
        <v>25</v>
      </c>
      <c r="S830">
        <v>3</v>
      </c>
      <c r="T830">
        <v>0</v>
      </c>
      <c r="U830" t="s">
        <v>8528</v>
      </c>
      <c r="V830">
        <f>Tabla1[[#This Row],[Aboard]]-Tabla1[[#This Row],[Fatalities]]</f>
        <v>0</v>
      </c>
      <c r="W830" s="50">
        <f>IFERROR(Tabla1[[#This Row],[Fatalities]]/Tabla1[[#This Row],[Aboard]],0)</f>
        <v>1</v>
      </c>
      <c r="X830" s="51" t="str" cm="1">
        <f t="array" ref="X830">_xlfn.IFS(Tabla1[[#This Row],[Porcentaje de muertes]]&lt;0.35,"LEVE",AND(Tabla1[[#This Row],[Porcentaje de muertes]]&gt;0.35,Tabla1[[#This Row],[Porcentaje de muertes]]&lt;0.65),"MEDIO",Tabla1[[#This Row],[Porcentaje de muertes]]&gt;0.65,"GRAVE")</f>
        <v>GRAVE</v>
      </c>
    </row>
    <row r="831" spans="2:24" x14ac:dyDescent="0.3">
      <c r="B831" s="9">
        <v>829</v>
      </c>
      <c r="C831" s="49">
        <v>16763</v>
      </c>
      <c r="D831" s="9">
        <f>YEAR(Tabla1[[#This Row],[Date]])</f>
        <v>1945</v>
      </c>
      <c r="E831" s="9" t="str" cm="1">
        <f t="array" ref="E831">IFERROR(_xlfn.IFS(AND(D831&lt;1980,D831&gt;=1970),"70",AND(D831&lt;1990,D831&gt;=1980),"80",AND(D831&lt;2000,D831&gt;=1990),"90",AND(D831&lt;2010,D831&gt;=2000),"00",AND(D831&lt;=2019,D831&gt;=2010),"10"),"1908-1970")</f>
        <v>1908-1970</v>
      </c>
      <c r="F831" s="3">
        <v>0.41666666666666669</v>
      </c>
      <c r="G831" t="s">
        <v>8529</v>
      </c>
      <c r="H831" t="s">
        <v>7660</v>
      </c>
      <c r="I831" t="s">
        <v>28931</v>
      </c>
      <c r="J831" t="s">
        <v>8530</v>
      </c>
      <c r="K831" t="s">
        <v>7661</v>
      </c>
      <c r="L831" s="7" t="s">
        <v>8531</v>
      </c>
      <c r="M831" t="s">
        <v>28931</v>
      </c>
      <c r="N831">
        <v>27</v>
      </c>
      <c r="O831">
        <v>22</v>
      </c>
      <c r="P831">
        <v>5</v>
      </c>
      <c r="Q831">
        <v>27</v>
      </c>
      <c r="R831">
        <v>22</v>
      </c>
      <c r="S831">
        <v>5</v>
      </c>
      <c r="T831">
        <v>0</v>
      </c>
      <c r="U831" t="s">
        <v>8532</v>
      </c>
      <c r="V831">
        <f>Tabla1[[#This Row],[Aboard]]-Tabla1[[#This Row],[Fatalities]]</f>
        <v>0</v>
      </c>
      <c r="W831" s="50">
        <f>IFERROR(Tabla1[[#This Row],[Fatalities]]/Tabla1[[#This Row],[Aboard]],0)</f>
        <v>1</v>
      </c>
      <c r="X831" s="51" t="str" cm="1">
        <f t="array" ref="X831">_xlfn.IFS(Tabla1[[#This Row],[Porcentaje de muertes]]&lt;0.35,"LEVE",AND(Tabla1[[#This Row],[Porcentaje de muertes]]&gt;0.35,Tabla1[[#This Row],[Porcentaje de muertes]]&lt;0.65),"MEDIO",Tabla1[[#This Row],[Porcentaje de muertes]]&gt;0.65,"GRAVE")</f>
        <v>GRAVE</v>
      </c>
    </row>
    <row r="832" spans="2:24" x14ac:dyDescent="0.3">
      <c r="B832" s="9">
        <v>830</v>
      </c>
      <c r="C832" s="49">
        <v>16508</v>
      </c>
      <c r="D832" s="9">
        <f>YEAR(Tabla1[[#This Row],[Date]])</f>
        <v>1945</v>
      </c>
      <c r="E832" s="9" t="str" cm="1">
        <f t="array" ref="E832">IFERROR(_xlfn.IFS(AND(D832&lt;1980,D832&gt;=1970),"70",AND(D832&lt;1990,D832&gt;=1980),"80",AND(D832&lt;2000,D832&gt;=1990),"90",AND(D832&lt;2010,D832&gt;=2000),"00",AND(D832&lt;=2019,D832&gt;=2010),"10"),"1908-1970")</f>
        <v>1908-1970</v>
      </c>
      <c r="F832" s="3">
        <v>0.5625</v>
      </c>
      <c r="G832" t="s">
        <v>8533</v>
      </c>
      <c r="H832" t="s">
        <v>7660</v>
      </c>
      <c r="I832" t="s">
        <v>28931</v>
      </c>
      <c r="J832" t="s">
        <v>8534</v>
      </c>
      <c r="K832" t="s">
        <v>7661</v>
      </c>
      <c r="L832" s="7" t="s">
        <v>8535</v>
      </c>
      <c r="M832" t="s">
        <v>28931</v>
      </c>
      <c r="N832">
        <v>28</v>
      </c>
      <c r="O832">
        <v>23</v>
      </c>
      <c r="P832">
        <v>5</v>
      </c>
      <c r="Q832">
        <v>28</v>
      </c>
      <c r="R832">
        <v>23</v>
      </c>
      <c r="S832">
        <v>5</v>
      </c>
      <c r="T832">
        <v>0</v>
      </c>
      <c r="U832" t="s">
        <v>8536</v>
      </c>
      <c r="V832">
        <f>Tabla1[[#This Row],[Aboard]]-Tabla1[[#This Row],[Fatalities]]</f>
        <v>0</v>
      </c>
      <c r="W832" s="50">
        <f>IFERROR(Tabla1[[#This Row],[Fatalities]]/Tabla1[[#This Row],[Aboard]],0)</f>
        <v>1</v>
      </c>
      <c r="X832" s="51" t="str" cm="1">
        <f t="array" ref="X832">_xlfn.IFS(Tabla1[[#This Row],[Porcentaje de muertes]]&lt;0.35,"LEVE",AND(Tabla1[[#This Row],[Porcentaje de muertes]]&gt;0.35,Tabla1[[#This Row],[Porcentaje de muertes]]&lt;0.65),"MEDIO",Tabla1[[#This Row],[Porcentaje de muertes]]&gt;0.65,"GRAVE")</f>
        <v>GRAVE</v>
      </c>
    </row>
    <row r="833" spans="2:24" x14ac:dyDescent="0.3">
      <c r="B833" s="9">
        <v>831</v>
      </c>
      <c r="C833" s="49">
        <v>16569</v>
      </c>
      <c r="D833" s="9">
        <f>YEAR(Tabla1[[#This Row],[Date]])</f>
        <v>1945</v>
      </c>
      <c r="E833" s="9" t="str" cm="1">
        <f t="array" ref="E833">IFERROR(_xlfn.IFS(AND(D833&lt;1980,D833&gt;=1970),"70",AND(D833&lt;1990,D833&gt;=1980),"80",AND(D833&lt;2000,D833&gt;=1990),"90",AND(D833&lt;2010,D833&gt;=2000),"00",AND(D833&lt;=2019,D833&gt;=2010),"10"),"1908-1970")</f>
        <v>1908-1970</v>
      </c>
      <c r="F833" s="3">
        <v>0.83333333333333337</v>
      </c>
      <c r="G833" t="s">
        <v>8537</v>
      </c>
      <c r="H833" t="s">
        <v>5027</v>
      </c>
      <c r="I833">
        <v>19</v>
      </c>
      <c r="J833" t="s">
        <v>28931</v>
      </c>
      <c r="K833" t="s">
        <v>8538</v>
      </c>
      <c r="L833" s="7" t="s">
        <v>28931</v>
      </c>
      <c r="M833" t="s">
        <v>28931</v>
      </c>
      <c r="N833">
        <v>14</v>
      </c>
      <c r="O833">
        <v>0</v>
      </c>
      <c r="P833">
        <v>14</v>
      </c>
      <c r="Q833">
        <v>14</v>
      </c>
      <c r="R833">
        <v>0</v>
      </c>
      <c r="S833">
        <v>14</v>
      </c>
      <c r="T833">
        <v>0</v>
      </c>
      <c r="U833" t="s">
        <v>8539</v>
      </c>
      <c r="V833">
        <f>Tabla1[[#This Row],[Aboard]]-Tabla1[[#This Row],[Fatalities]]</f>
        <v>0</v>
      </c>
      <c r="W833" s="50">
        <f>IFERROR(Tabla1[[#This Row],[Fatalities]]/Tabla1[[#This Row],[Aboard]],0)</f>
        <v>1</v>
      </c>
      <c r="X833" s="51" t="str" cm="1">
        <f t="array" ref="X833">_xlfn.IFS(Tabla1[[#This Row],[Porcentaje de muertes]]&lt;0.35,"LEVE",AND(Tabla1[[#This Row],[Porcentaje de muertes]]&gt;0.35,Tabla1[[#This Row],[Porcentaje de muertes]]&lt;0.65),"MEDIO",Tabla1[[#This Row],[Porcentaje de muertes]]&gt;0.65,"GRAVE")</f>
        <v>GRAVE</v>
      </c>
    </row>
    <row r="834" spans="2:24" x14ac:dyDescent="0.3">
      <c r="B834" s="9">
        <v>832</v>
      </c>
      <c r="C834" s="49">
        <v>16661</v>
      </c>
      <c r="D834" s="9">
        <f>YEAR(Tabla1[[#This Row],[Date]])</f>
        <v>1945</v>
      </c>
      <c r="E834" s="9" t="str" cm="1">
        <f t="array" ref="E834">IFERROR(_xlfn.IFS(AND(D834&lt;1980,D834&gt;=1970),"70",AND(D834&lt;1990,D834&gt;=1980),"80",AND(D834&lt;2000,D834&gt;=1990),"90",AND(D834&lt;2010,D834&gt;=2000),"00",AND(D834&lt;=2019,D834&gt;=2010),"10"),"1908-1970")</f>
        <v>1908-1970</v>
      </c>
      <c r="F834" s="3">
        <v>5.0694444444444452E-2</v>
      </c>
      <c r="G834" t="s">
        <v>8540</v>
      </c>
      <c r="H834" t="s">
        <v>5017</v>
      </c>
      <c r="I834" t="s">
        <v>28931</v>
      </c>
      <c r="J834" t="s">
        <v>8541</v>
      </c>
      <c r="K834" t="s">
        <v>7826</v>
      </c>
      <c r="L834" s="7" t="s">
        <v>8542</v>
      </c>
      <c r="M834" t="s">
        <v>8543</v>
      </c>
      <c r="N834">
        <v>21</v>
      </c>
      <c r="O834">
        <v>19</v>
      </c>
      <c r="P834">
        <v>2</v>
      </c>
      <c r="Q834">
        <v>17</v>
      </c>
      <c r="R834">
        <v>15</v>
      </c>
      <c r="S834">
        <v>2</v>
      </c>
      <c r="T834">
        <v>0</v>
      </c>
      <c r="U834" t="s">
        <v>8544</v>
      </c>
      <c r="V834">
        <f>Tabla1[[#This Row],[Aboard]]-Tabla1[[#This Row],[Fatalities]]</f>
        <v>4</v>
      </c>
      <c r="W834" s="50">
        <f>IFERROR(Tabla1[[#This Row],[Fatalities]]/Tabla1[[#This Row],[Aboard]],0)</f>
        <v>0.80952380952380953</v>
      </c>
      <c r="X834" s="51" t="str" cm="1">
        <f t="array" ref="X834">_xlfn.IFS(Tabla1[[#This Row],[Porcentaje de muertes]]&lt;0.35,"LEVE",AND(Tabla1[[#This Row],[Porcentaje de muertes]]&gt;0.35,Tabla1[[#This Row],[Porcentaje de muertes]]&lt;0.65),"MEDIO",Tabla1[[#This Row],[Porcentaje de muertes]]&gt;0.65,"GRAVE")</f>
        <v>GRAVE</v>
      </c>
    </row>
    <row r="835" spans="2:24" x14ac:dyDescent="0.3">
      <c r="B835" s="9">
        <v>833</v>
      </c>
      <c r="C835" s="49">
        <v>16789</v>
      </c>
      <c r="D835" s="9">
        <f>YEAR(Tabla1[[#This Row],[Date]])</f>
        <v>1945</v>
      </c>
      <c r="E835" s="9" t="str" cm="1">
        <f t="array" ref="E835">IFERROR(_xlfn.IFS(AND(D835&lt;1980,D835&gt;=1970),"70",AND(D835&lt;1990,D835&gt;=1980),"80",AND(D835&lt;2000,D835&gt;=1990),"90",AND(D835&lt;2010,D835&gt;=2000),"00",AND(D835&lt;=2019,D835&gt;=2010),"10"),"1908-1970")</f>
        <v>1908-1970</v>
      </c>
      <c r="F835" s="3">
        <v>0.4236111111111111</v>
      </c>
      <c r="G835" t="s">
        <v>8545</v>
      </c>
      <c r="H835" t="s">
        <v>7665</v>
      </c>
      <c r="I835" t="s">
        <v>28931</v>
      </c>
      <c r="J835" t="s">
        <v>8546</v>
      </c>
      <c r="K835" t="s">
        <v>8465</v>
      </c>
      <c r="L835" s="7" t="s">
        <v>8547</v>
      </c>
      <c r="M835" t="s">
        <v>8548</v>
      </c>
      <c r="N835">
        <v>17</v>
      </c>
      <c r="O835">
        <v>13</v>
      </c>
      <c r="P835">
        <v>4</v>
      </c>
      <c r="Q835">
        <v>17</v>
      </c>
      <c r="R835">
        <v>13</v>
      </c>
      <c r="S835">
        <v>4</v>
      </c>
      <c r="T835">
        <v>0</v>
      </c>
      <c r="U835" t="s">
        <v>8549</v>
      </c>
      <c r="V835">
        <f>Tabla1[[#This Row],[Aboard]]-Tabla1[[#This Row],[Fatalities]]</f>
        <v>0</v>
      </c>
      <c r="W835" s="50">
        <f>IFERROR(Tabla1[[#This Row],[Fatalities]]/Tabla1[[#This Row],[Aboard]],0)</f>
        <v>1</v>
      </c>
      <c r="X835" s="51" t="str" cm="1">
        <f t="array" ref="X835">_xlfn.IFS(Tabla1[[#This Row],[Porcentaje de muertes]]&lt;0.35,"LEVE",AND(Tabla1[[#This Row],[Porcentaje de muertes]]&gt;0.35,Tabla1[[#This Row],[Porcentaje de muertes]]&lt;0.65),"MEDIO",Tabla1[[#This Row],[Porcentaje de muertes]]&gt;0.65,"GRAVE")</f>
        <v>GRAVE</v>
      </c>
    </row>
    <row r="836" spans="2:24" x14ac:dyDescent="0.3">
      <c r="B836" s="9">
        <v>834</v>
      </c>
      <c r="C836" s="49">
        <v>16796</v>
      </c>
      <c r="D836" s="9">
        <f>YEAR(Tabla1[[#This Row],[Date]])</f>
        <v>1945</v>
      </c>
      <c r="E836" s="9" t="str" cm="1">
        <f t="array" ref="E836">IFERROR(_xlfn.IFS(AND(D836&lt;1980,D836&gt;=1970),"70",AND(D836&lt;1990,D836&gt;=1980),"80",AND(D836&lt;2000,D836&gt;=1990),"90",AND(D836&lt;2010,D836&gt;=2000),"00",AND(D836&lt;=2019,D836&gt;=2010),"10"),"1908-1970")</f>
        <v>1908-1970</v>
      </c>
      <c r="F836" s="3">
        <v>0.8125</v>
      </c>
      <c r="G836" t="s">
        <v>8550</v>
      </c>
      <c r="H836" t="s">
        <v>6375</v>
      </c>
      <c r="I836" t="s">
        <v>28931</v>
      </c>
      <c r="J836" t="s">
        <v>8551</v>
      </c>
      <c r="K836" t="s">
        <v>7640</v>
      </c>
      <c r="L836" s="7" t="s">
        <v>8552</v>
      </c>
      <c r="M836">
        <v>2380</v>
      </c>
      <c r="N836">
        <v>8</v>
      </c>
      <c r="O836">
        <v>5</v>
      </c>
      <c r="P836">
        <v>3</v>
      </c>
      <c r="Q836">
        <v>8</v>
      </c>
      <c r="R836">
        <v>5</v>
      </c>
      <c r="S836">
        <v>3</v>
      </c>
      <c r="T836">
        <v>0</v>
      </c>
      <c r="U836" t="s">
        <v>8553</v>
      </c>
      <c r="V836">
        <f>Tabla1[[#This Row],[Aboard]]-Tabla1[[#This Row],[Fatalities]]</f>
        <v>0</v>
      </c>
      <c r="W836" s="50">
        <f>IFERROR(Tabla1[[#This Row],[Fatalities]]/Tabla1[[#This Row],[Aboard]],0)</f>
        <v>1</v>
      </c>
      <c r="X836" s="51" t="str" cm="1">
        <f t="array" ref="X836">_xlfn.IFS(Tabla1[[#This Row],[Porcentaje de muertes]]&lt;0.35,"LEVE",AND(Tabla1[[#This Row],[Porcentaje de muertes]]&gt;0.35,Tabla1[[#This Row],[Porcentaje de muertes]]&lt;0.65),"MEDIO",Tabla1[[#This Row],[Porcentaje de muertes]]&gt;0.65,"GRAVE")</f>
        <v>GRAVE</v>
      </c>
    </row>
    <row r="837" spans="2:24" x14ac:dyDescent="0.3">
      <c r="B837" s="9">
        <v>835</v>
      </c>
      <c r="C837" s="49">
        <v>16796</v>
      </c>
      <c r="D837" s="9">
        <f>YEAR(Tabla1[[#This Row],[Date]])</f>
        <v>1945</v>
      </c>
      <c r="E837" s="9" t="str" cm="1">
        <f t="array" ref="E837">IFERROR(_xlfn.IFS(AND(D837&lt;1980,D837&gt;=1970),"70",AND(D837&lt;1990,D837&gt;=1980),"80",AND(D837&lt;2000,D837&gt;=1990),"90",AND(D837&lt;2010,D837&gt;=2000),"00",AND(D837&lt;=2019,D837&gt;=2010),"10"),"1908-1970")</f>
        <v>1908-1970</v>
      </c>
      <c r="F837" s="3" t="s">
        <v>28931</v>
      </c>
      <c r="G837" t="s">
        <v>8554</v>
      </c>
      <c r="H837" t="s">
        <v>8555</v>
      </c>
      <c r="I837" t="s">
        <v>28931</v>
      </c>
      <c r="J837" t="s">
        <v>28931</v>
      </c>
      <c r="K837" t="s">
        <v>7057</v>
      </c>
      <c r="L837" s="7" t="s">
        <v>28931</v>
      </c>
      <c r="M837" t="s">
        <v>28931</v>
      </c>
      <c r="N837">
        <v>10</v>
      </c>
      <c r="O837">
        <v>6</v>
      </c>
      <c r="P837">
        <v>4</v>
      </c>
      <c r="Q837">
        <v>10</v>
      </c>
      <c r="R837">
        <v>6</v>
      </c>
      <c r="S837">
        <v>4</v>
      </c>
      <c r="T837">
        <v>0</v>
      </c>
      <c r="U837" t="s">
        <v>8556</v>
      </c>
      <c r="V837">
        <f>Tabla1[[#This Row],[Aboard]]-Tabla1[[#This Row],[Fatalities]]</f>
        <v>0</v>
      </c>
      <c r="W837" s="50">
        <f>IFERROR(Tabla1[[#This Row],[Fatalities]]/Tabla1[[#This Row],[Aboard]],0)</f>
        <v>1</v>
      </c>
      <c r="X837" s="51" t="str" cm="1">
        <f t="array" ref="X837">_xlfn.IFS(Tabla1[[#This Row],[Porcentaje de muertes]]&lt;0.35,"LEVE",AND(Tabla1[[#This Row],[Porcentaje de muertes]]&gt;0.35,Tabla1[[#This Row],[Porcentaje de muertes]]&lt;0.65),"MEDIO",Tabla1[[#This Row],[Porcentaje de muertes]]&gt;0.65,"GRAVE")</f>
        <v>GRAVE</v>
      </c>
    </row>
    <row r="838" spans="2:24" x14ac:dyDescent="0.3">
      <c r="B838" s="9">
        <v>836</v>
      </c>
      <c r="C838" s="49">
        <v>16801</v>
      </c>
      <c r="D838" s="9">
        <f>YEAR(Tabla1[[#This Row],[Date]])</f>
        <v>1945</v>
      </c>
      <c r="E838" s="9" t="str" cm="1">
        <f t="array" ref="E838">IFERROR(_xlfn.IFS(AND(D838&lt;1980,D838&gt;=1970),"70",AND(D838&lt;1990,D838&gt;=1980),"80",AND(D838&lt;2000,D838&gt;=1990),"90",AND(D838&lt;2010,D838&gt;=2000),"00",AND(D838&lt;=2019,D838&gt;=2010),"10"),"1908-1970")</f>
        <v>1908-1970</v>
      </c>
      <c r="F838" s="3">
        <v>0.88402777777777775</v>
      </c>
      <c r="G838" t="s">
        <v>8557</v>
      </c>
      <c r="H838" t="s">
        <v>6941</v>
      </c>
      <c r="I838">
        <v>14</v>
      </c>
      <c r="J838" t="s">
        <v>8558</v>
      </c>
      <c r="K838" t="s">
        <v>7057</v>
      </c>
      <c r="L838" s="7" t="s">
        <v>8559</v>
      </c>
      <c r="M838">
        <v>1999</v>
      </c>
      <c r="N838">
        <v>12</v>
      </c>
      <c r="O838">
        <v>9</v>
      </c>
      <c r="P838">
        <v>3</v>
      </c>
      <c r="Q838">
        <v>1</v>
      </c>
      <c r="R838">
        <v>1</v>
      </c>
      <c r="S838">
        <v>0</v>
      </c>
      <c r="T838">
        <v>0</v>
      </c>
      <c r="U838" t="s">
        <v>8560</v>
      </c>
      <c r="V838">
        <f>Tabla1[[#This Row],[Aboard]]-Tabla1[[#This Row],[Fatalities]]</f>
        <v>11</v>
      </c>
      <c r="W838" s="50">
        <f>IFERROR(Tabla1[[#This Row],[Fatalities]]/Tabla1[[#This Row],[Aboard]],0)</f>
        <v>8.3333333333333329E-2</v>
      </c>
      <c r="X838" s="51" t="str" cm="1">
        <f t="array" ref="X838">_xlfn.IFS(Tabla1[[#This Row],[Porcentaje de muertes]]&lt;0.35,"LEVE",AND(Tabla1[[#This Row],[Porcentaje de muertes]]&gt;0.35,Tabla1[[#This Row],[Porcentaje de muertes]]&lt;0.65),"MEDIO",Tabla1[[#This Row],[Porcentaje de muertes]]&gt;0.65,"GRAVE")</f>
        <v>LEVE</v>
      </c>
    </row>
    <row r="839" spans="2:24" x14ac:dyDescent="0.3">
      <c r="B839" s="9">
        <v>837</v>
      </c>
      <c r="C839" s="49">
        <v>16954</v>
      </c>
      <c r="D839" s="9">
        <f>YEAR(Tabla1[[#This Row],[Date]])</f>
        <v>1946</v>
      </c>
      <c r="E839" s="9" t="str" cm="1">
        <f t="array" ref="E839">IFERROR(_xlfn.IFS(AND(D839&lt;1980,D839&gt;=1970),"70",AND(D839&lt;1990,D839&gt;=1980),"80",AND(D839&lt;2000,D839&gt;=1990),"90",AND(D839&lt;2010,D839&gt;=2000),"00",AND(D839&lt;=2019,D839&gt;=2010),"10"),"1908-1970")</f>
        <v>1908-1970</v>
      </c>
      <c r="F839" s="3">
        <v>0.16597222222222222</v>
      </c>
      <c r="G839" t="s">
        <v>8561</v>
      </c>
      <c r="H839" t="s">
        <v>7557</v>
      </c>
      <c r="I839">
        <v>105</v>
      </c>
      <c r="J839" t="s">
        <v>8562</v>
      </c>
      <c r="K839" t="s">
        <v>7057</v>
      </c>
      <c r="L839" s="7" t="s">
        <v>8563</v>
      </c>
      <c r="M839">
        <v>4131</v>
      </c>
      <c r="N839">
        <v>11</v>
      </c>
      <c r="O839">
        <v>7</v>
      </c>
      <c r="P839">
        <v>4</v>
      </c>
      <c r="Q839">
        <v>3</v>
      </c>
      <c r="R839">
        <v>0</v>
      </c>
      <c r="S839">
        <v>3</v>
      </c>
      <c r="T839">
        <v>0</v>
      </c>
      <c r="U839" t="s">
        <v>8564</v>
      </c>
      <c r="V839">
        <f>Tabla1[[#This Row],[Aboard]]-Tabla1[[#This Row],[Fatalities]]</f>
        <v>8</v>
      </c>
      <c r="W839" s="50">
        <f>IFERROR(Tabla1[[#This Row],[Fatalities]]/Tabla1[[#This Row],[Aboard]],0)</f>
        <v>0.27272727272727271</v>
      </c>
      <c r="X839" s="51" t="str" cm="1">
        <f t="array" ref="X839">_xlfn.IFS(Tabla1[[#This Row],[Porcentaje de muertes]]&lt;0.35,"LEVE",AND(Tabla1[[#This Row],[Porcentaje de muertes]]&gt;0.35,Tabla1[[#This Row],[Porcentaje de muertes]]&lt;0.65),"MEDIO",Tabla1[[#This Row],[Porcentaje de muertes]]&gt;0.65,"GRAVE")</f>
        <v>LEVE</v>
      </c>
    </row>
    <row r="840" spans="2:24" x14ac:dyDescent="0.3">
      <c r="B840" s="9">
        <v>838</v>
      </c>
      <c r="C840" s="49">
        <v>17046</v>
      </c>
      <c r="D840" s="9">
        <f>YEAR(Tabla1[[#This Row],[Date]])</f>
        <v>1946</v>
      </c>
      <c r="E840" s="9" t="str" cm="1">
        <f t="array" ref="E840">IFERROR(_xlfn.IFS(AND(D840&lt;1980,D840&gt;=1970),"70",AND(D840&lt;1990,D840&gt;=1980),"80",AND(D840&lt;2000,D840&gt;=1990),"90",AND(D840&lt;2010,D840&gt;=2000),"00",AND(D840&lt;=2019,D840&gt;=2010),"10"),"1908-1970")</f>
        <v>1908-1970</v>
      </c>
      <c r="F840" s="3" t="s">
        <v>28931</v>
      </c>
      <c r="G840" t="s">
        <v>8565</v>
      </c>
      <c r="H840" t="s">
        <v>8566</v>
      </c>
      <c r="I840" t="s">
        <v>28931</v>
      </c>
      <c r="J840" t="s">
        <v>28931</v>
      </c>
      <c r="K840" t="s">
        <v>7826</v>
      </c>
      <c r="L840" s="7" t="s">
        <v>28931</v>
      </c>
      <c r="M840" t="s">
        <v>28931</v>
      </c>
      <c r="N840">
        <v>18</v>
      </c>
      <c r="O840" t="s">
        <v>5038</v>
      </c>
      <c r="P840" t="s">
        <v>5038</v>
      </c>
      <c r="Q840">
        <v>18</v>
      </c>
      <c r="R840" t="s">
        <v>5038</v>
      </c>
      <c r="S840" t="s">
        <v>5038</v>
      </c>
      <c r="T840">
        <v>0</v>
      </c>
      <c r="U840" t="s">
        <v>28927</v>
      </c>
      <c r="V840">
        <f>Tabla1[[#This Row],[Aboard]]-Tabla1[[#This Row],[Fatalities]]</f>
        <v>0</v>
      </c>
      <c r="W840" s="50">
        <f>IFERROR(Tabla1[[#This Row],[Fatalities]]/Tabla1[[#This Row],[Aboard]],0)</f>
        <v>1</v>
      </c>
      <c r="X840" s="51" t="str" cm="1">
        <f t="array" ref="X840">_xlfn.IFS(Tabla1[[#This Row],[Porcentaje de muertes]]&lt;0.35,"LEVE",AND(Tabla1[[#This Row],[Porcentaje de muertes]]&gt;0.35,Tabla1[[#This Row],[Porcentaje de muertes]]&lt;0.65),"MEDIO",Tabla1[[#This Row],[Porcentaje de muertes]]&gt;0.65,"GRAVE")</f>
        <v>GRAVE</v>
      </c>
    </row>
    <row r="841" spans="2:24" x14ac:dyDescent="0.3">
      <c r="B841" s="9">
        <v>839</v>
      </c>
      <c r="C841" s="49">
        <v>16816</v>
      </c>
      <c r="D841" s="9">
        <f>YEAR(Tabla1[[#This Row],[Date]])</f>
        <v>1946</v>
      </c>
      <c r="E841" s="9" t="str" cm="1">
        <f t="array" ref="E841">IFERROR(_xlfn.IFS(AND(D841&lt;1980,D841&gt;=1970),"70",AND(D841&lt;1990,D841&gt;=1980),"80",AND(D841&lt;2000,D841&gt;=1990),"90",AND(D841&lt;2010,D841&gt;=2000),"00",AND(D841&lt;=2019,D841&gt;=2010),"10"),"1908-1970")</f>
        <v>1908-1970</v>
      </c>
      <c r="F841" s="3" t="s">
        <v>28931</v>
      </c>
      <c r="G841" t="s">
        <v>8567</v>
      </c>
      <c r="H841" t="s">
        <v>6541</v>
      </c>
      <c r="I841" t="s">
        <v>28931</v>
      </c>
      <c r="J841" t="s">
        <v>8568</v>
      </c>
      <c r="K841" t="s">
        <v>8569</v>
      </c>
      <c r="L841" s="7" t="s">
        <v>8570</v>
      </c>
      <c r="M841" t="s">
        <v>28931</v>
      </c>
      <c r="N841">
        <v>22</v>
      </c>
      <c r="O841">
        <v>17</v>
      </c>
      <c r="P841">
        <v>5</v>
      </c>
      <c r="Q841">
        <v>22</v>
      </c>
      <c r="R841">
        <v>17</v>
      </c>
      <c r="S841">
        <v>5</v>
      </c>
      <c r="T841">
        <v>0</v>
      </c>
      <c r="U841" t="s">
        <v>8571</v>
      </c>
      <c r="V841">
        <f>Tabla1[[#This Row],[Aboard]]-Tabla1[[#This Row],[Fatalities]]</f>
        <v>0</v>
      </c>
      <c r="W841" s="50">
        <f>IFERROR(Tabla1[[#This Row],[Fatalities]]/Tabla1[[#This Row],[Aboard]],0)</f>
        <v>1</v>
      </c>
      <c r="X841" s="51" t="str" cm="1">
        <f t="array" ref="X841">_xlfn.IFS(Tabla1[[#This Row],[Porcentaje de muertes]]&lt;0.35,"LEVE",AND(Tabla1[[#This Row],[Porcentaje de muertes]]&gt;0.35,Tabla1[[#This Row],[Porcentaje de muertes]]&lt;0.65),"MEDIO",Tabla1[[#This Row],[Porcentaje de muertes]]&gt;0.65,"GRAVE")</f>
        <v>GRAVE</v>
      </c>
    </row>
    <row r="842" spans="2:24" x14ac:dyDescent="0.3">
      <c r="B842" s="9">
        <v>840</v>
      </c>
      <c r="C842" s="49">
        <v>16817</v>
      </c>
      <c r="D842" s="9">
        <f>YEAR(Tabla1[[#This Row],[Date]])</f>
        <v>1946</v>
      </c>
      <c r="E842" s="9" t="str" cm="1">
        <f t="array" ref="E842">IFERROR(_xlfn.IFS(AND(D842&lt;1980,D842&gt;=1970),"70",AND(D842&lt;1990,D842&gt;=1980),"80",AND(D842&lt;2000,D842&gt;=1990),"90",AND(D842&lt;2010,D842&gt;=2000),"00",AND(D842&lt;=2019,D842&gt;=2010),"10"),"1908-1970")</f>
        <v>1908-1970</v>
      </c>
      <c r="F842" s="3">
        <v>0.76736111111111116</v>
      </c>
      <c r="G842" t="s">
        <v>8572</v>
      </c>
      <c r="H842" t="s">
        <v>7660</v>
      </c>
      <c r="I842" t="s">
        <v>28931</v>
      </c>
      <c r="J842" t="s">
        <v>28931</v>
      </c>
      <c r="K842" t="s">
        <v>8289</v>
      </c>
      <c r="L842" s="7" t="s">
        <v>8573</v>
      </c>
      <c r="M842">
        <v>33171</v>
      </c>
      <c r="N842">
        <v>25</v>
      </c>
      <c r="O842">
        <v>21</v>
      </c>
      <c r="P842">
        <v>4</v>
      </c>
      <c r="Q842">
        <v>23</v>
      </c>
      <c r="R842">
        <v>19</v>
      </c>
      <c r="S842">
        <v>4</v>
      </c>
      <c r="T842">
        <v>0</v>
      </c>
      <c r="U842" t="s">
        <v>8574</v>
      </c>
      <c r="V842">
        <f>Tabla1[[#This Row],[Aboard]]-Tabla1[[#This Row],[Fatalities]]</f>
        <v>2</v>
      </c>
      <c r="W842" s="50">
        <f>IFERROR(Tabla1[[#This Row],[Fatalities]]/Tabla1[[#This Row],[Aboard]],0)</f>
        <v>0.92</v>
      </c>
      <c r="X842" s="51" t="str" cm="1">
        <f t="array" ref="X842">_xlfn.IFS(Tabla1[[#This Row],[Porcentaje de muertes]]&lt;0.35,"LEVE",AND(Tabla1[[#This Row],[Porcentaje de muertes]]&gt;0.35,Tabla1[[#This Row],[Porcentaje de muertes]]&lt;0.65),"MEDIO",Tabla1[[#This Row],[Porcentaje de muertes]]&gt;0.65,"GRAVE")</f>
        <v>GRAVE</v>
      </c>
    </row>
    <row r="843" spans="2:24" x14ac:dyDescent="0.3">
      <c r="B843" s="9">
        <v>841</v>
      </c>
      <c r="C843" s="49">
        <v>16820</v>
      </c>
      <c r="D843" s="9">
        <f>YEAR(Tabla1[[#This Row],[Date]])</f>
        <v>1946</v>
      </c>
      <c r="E843" s="9" t="str" cm="1">
        <f t="array" ref="E843">IFERROR(_xlfn.IFS(AND(D843&lt;1980,D843&gt;=1970),"70",AND(D843&lt;1990,D843&gt;=1980),"80",AND(D843&lt;2000,D843&gt;=1990),"90",AND(D843&lt;2010,D843&gt;=2000),"00",AND(D843&lt;=2019,D843&gt;=2010),"10"),"1908-1970")</f>
        <v>1908-1970</v>
      </c>
      <c r="F843" s="3">
        <v>0.4604166666666667</v>
      </c>
      <c r="G843" t="s">
        <v>8575</v>
      </c>
      <c r="H843" t="s">
        <v>6941</v>
      </c>
      <c r="I843" t="s">
        <v>8576</v>
      </c>
      <c r="J843" t="s">
        <v>8577</v>
      </c>
      <c r="K843" t="s">
        <v>8578</v>
      </c>
      <c r="L843" s="7" t="s">
        <v>8579</v>
      </c>
      <c r="M843">
        <v>3254</v>
      </c>
      <c r="N843">
        <v>17</v>
      </c>
      <c r="O843">
        <v>14</v>
      </c>
      <c r="P843">
        <v>3</v>
      </c>
      <c r="Q843">
        <v>17</v>
      </c>
      <c r="R843">
        <v>14</v>
      </c>
      <c r="S843">
        <v>3</v>
      </c>
      <c r="T843">
        <v>0</v>
      </c>
      <c r="U843" t="s">
        <v>8580</v>
      </c>
      <c r="V843">
        <f>Tabla1[[#This Row],[Aboard]]-Tabla1[[#This Row],[Fatalities]]</f>
        <v>0</v>
      </c>
      <c r="W843" s="50">
        <f>IFERROR(Tabla1[[#This Row],[Fatalities]]/Tabla1[[#This Row],[Aboard]],0)</f>
        <v>1</v>
      </c>
      <c r="X843" s="51" t="str" cm="1">
        <f t="array" ref="X843">_xlfn.IFS(Tabla1[[#This Row],[Porcentaje de muertes]]&lt;0.35,"LEVE",AND(Tabla1[[#This Row],[Porcentaje de muertes]]&gt;0.35,Tabla1[[#This Row],[Porcentaje de muertes]]&lt;0.65),"MEDIO",Tabla1[[#This Row],[Porcentaje de muertes]]&gt;0.65,"GRAVE")</f>
        <v>GRAVE</v>
      </c>
    </row>
    <row r="844" spans="2:24" x14ac:dyDescent="0.3">
      <c r="B844" s="9">
        <v>842</v>
      </c>
      <c r="C844" s="49">
        <v>16821</v>
      </c>
      <c r="D844" s="9">
        <f>YEAR(Tabla1[[#This Row],[Date]])</f>
        <v>1946</v>
      </c>
      <c r="E844" s="9" t="str" cm="1">
        <f t="array" ref="E844">IFERROR(_xlfn.IFS(AND(D844&lt;1980,D844&gt;=1970),"70",AND(D844&lt;1990,D844&gt;=1980),"80",AND(D844&lt;2000,D844&gt;=1990),"90",AND(D844&lt;2010,D844&gt;=2000),"00",AND(D844&lt;=2019,D844&gt;=2010),"10"),"1908-1970")</f>
        <v>1908-1970</v>
      </c>
      <c r="F844" s="3" t="s">
        <v>28931</v>
      </c>
      <c r="G844" t="s">
        <v>8581</v>
      </c>
      <c r="H844" t="s">
        <v>8582</v>
      </c>
      <c r="I844" t="s">
        <v>28931</v>
      </c>
      <c r="J844" t="s">
        <v>8583</v>
      </c>
      <c r="K844" t="s">
        <v>8584</v>
      </c>
      <c r="L844" s="7" t="s">
        <v>28931</v>
      </c>
      <c r="M844" t="s">
        <v>28931</v>
      </c>
      <c r="N844">
        <v>7</v>
      </c>
      <c r="O844">
        <v>0</v>
      </c>
      <c r="P844">
        <v>7</v>
      </c>
      <c r="Q844">
        <v>7</v>
      </c>
      <c r="R844">
        <v>0</v>
      </c>
      <c r="S844">
        <v>7</v>
      </c>
      <c r="T844">
        <v>0</v>
      </c>
      <c r="U844" t="s">
        <v>8585</v>
      </c>
      <c r="V844">
        <f>Tabla1[[#This Row],[Aboard]]-Tabla1[[#This Row],[Fatalities]]</f>
        <v>0</v>
      </c>
      <c r="W844" s="50">
        <f>IFERROR(Tabla1[[#This Row],[Fatalities]]/Tabla1[[#This Row],[Aboard]],0)</f>
        <v>1</v>
      </c>
      <c r="X844" s="51" t="str" cm="1">
        <f t="array" ref="X844">_xlfn.IFS(Tabla1[[#This Row],[Porcentaje de muertes]]&lt;0.35,"LEVE",AND(Tabla1[[#This Row],[Porcentaje de muertes]]&gt;0.35,Tabla1[[#This Row],[Porcentaje de muertes]]&lt;0.65),"MEDIO",Tabla1[[#This Row],[Porcentaje de muertes]]&gt;0.65,"GRAVE")</f>
        <v>GRAVE</v>
      </c>
    </row>
    <row r="845" spans="2:24" x14ac:dyDescent="0.3">
      <c r="B845" s="9">
        <v>843</v>
      </c>
      <c r="C845" s="49">
        <v>16832</v>
      </c>
      <c r="D845" s="9">
        <f>YEAR(Tabla1[[#This Row],[Date]])</f>
        <v>1946</v>
      </c>
      <c r="E845" s="9" t="str" cm="1">
        <f t="array" ref="E845">IFERROR(_xlfn.IFS(AND(D845&lt;1980,D845&gt;=1970),"70",AND(D845&lt;1990,D845&gt;=1980),"80",AND(D845&lt;2000,D845&gt;=1990),"90",AND(D845&lt;2010,D845&gt;=2000),"00",AND(D845&lt;=2019,D845&gt;=2010),"10"),"1908-1970")</f>
        <v>1908-1970</v>
      </c>
      <c r="F845" s="3" t="s">
        <v>28931</v>
      </c>
      <c r="G845" t="s">
        <v>8586</v>
      </c>
      <c r="H845" t="s">
        <v>7665</v>
      </c>
      <c r="I845" t="s">
        <v>28931</v>
      </c>
      <c r="J845" t="s">
        <v>28931</v>
      </c>
      <c r="K845" t="s">
        <v>8465</v>
      </c>
      <c r="L845" s="7" t="s">
        <v>8587</v>
      </c>
      <c r="M845" t="s">
        <v>8588</v>
      </c>
      <c r="N845">
        <v>11</v>
      </c>
      <c r="O845" t="s">
        <v>5038</v>
      </c>
      <c r="P845" t="s">
        <v>5038</v>
      </c>
      <c r="Q845">
        <v>11</v>
      </c>
      <c r="R845" t="s">
        <v>5038</v>
      </c>
      <c r="S845" t="s">
        <v>5038</v>
      </c>
      <c r="T845">
        <v>0</v>
      </c>
      <c r="U845" t="s">
        <v>28927</v>
      </c>
      <c r="V845">
        <f>Tabla1[[#This Row],[Aboard]]-Tabla1[[#This Row],[Fatalities]]</f>
        <v>0</v>
      </c>
      <c r="W845" s="50">
        <f>IFERROR(Tabla1[[#This Row],[Fatalities]]/Tabla1[[#This Row],[Aboard]],0)</f>
        <v>1</v>
      </c>
      <c r="X845" s="51" t="str" cm="1">
        <f t="array" ref="X845">_xlfn.IFS(Tabla1[[#This Row],[Porcentaje de muertes]]&lt;0.35,"LEVE",AND(Tabla1[[#This Row],[Porcentaje de muertes]]&gt;0.35,Tabla1[[#This Row],[Porcentaje de muertes]]&lt;0.65),"MEDIO",Tabla1[[#This Row],[Porcentaje de muertes]]&gt;0.65,"GRAVE")</f>
        <v>GRAVE</v>
      </c>
    </row>
    <row r="846" spans="2:24" x14ac:dyDescent="0.3">
      <c r="B846" s="9">
        <v>844</v>
      </c>
      <c r="C846" s="49">
        <v>16833</v>
      </c>
      <c r="D846" s="9">
        <f>YEAR(Tabla1[[#This Row],[Date]])</f>
        <v>1946</v>
      </c>
      <c r="E846" s="9" t="str" cm="1">
        <f t="array" ref="E846">IFERROR(_xlfn.IFS(AND(D846&lt;1980,D846&gt;=1970),"70",AND(D846&lt;1990,D846&gt;=1980),"80",AND(D846&lt;2000,D846&gt;=1990),"90",AND(D846&lt;2010,D846&gt;=2000),"00",AND(D846&lt;=2019,D846&gt;=2010),"10"),"1908-1970")</f>
        <v>1908-1970</v>
      </c>
      <c r="F846" s="3">
        <v>0.11597222222222221</v>
      </c>
      <c r="G846" t="s">
        <v>8589</v>
      </c>
      <c r="H846" t="s">
        <v>6369</v>
      </c>
      <c r="I846">
        <v>14</v>
      </c>
      <c r="J846" t="s">
        <v>8590</v>
      </c>
      <c r="K846" t="s">
        <v>8591</v>
      </c>
      <c r="L846" s="7" t="s">
        <v>8592</v>
      </c>
      <c r="M846">
        <v>2147</v>
      </c>
      <c r="N846">
        <v>21</v>
      </c>
      <c r="O846">
        <v>18</v>
      </c>
      <c r="P846">
        <v>3</v>
      </c>
      <c r="Q846">
        <v>21</v>
      </c>
      <c r="R846">
        <v>18</v>
      </c>
      <c r="S846">
        <v>3</v>
      </c>
      <c r="T846">
        <v>0</v>
      </c>
      <c r="U846" t="s">
        <v>8593</v>
      </c>
      <c r="V846">
        <f>Tabla1[[#This Row],[Aboard]]-Tabla1[[#This Row],[Fatalities]]</f>
        <v>0</v>
      </c>
      <c r="W846" s="50">
        <f>IFERROR(Tabla1[[#This Row],[Fatalities]]/Tabla1[[#This Row],[Aboard]],0)</f>
        <v>1</v>
      </c>
      <c r="X846" s="51" t="str" cm="1">
        <f t="array" ref="X846">_xlfn.IFS(Tabla1[[#This Row],[Porcentaje de muertes]]&lt;0.35,"LEVE",AND(Tabla1[[#This Row],[Porcentaje de muertes]]&gt;0.35,Tabla1[[#This Row],[Porcentaje de muertes]]&lt;0.65),"MEDIO",Tabla1[[#This Row],[Porcentaje de muertes]]&gt;0.65,"GRAVE")</f>
        <v>GRAVE</v>
      </c>
    </row>
    <row r="847" spans="2:24" x14ac:dyDescent="0.3">
      <c r="B847" s="9">
        <v>845</v>
      </c>
      <c r="C847" s="49">
        <v>16924</v>
      </c>
      <c r="D847" s="9">
        <f>YEAR(Tabla1[[#This Row],[Date]])</f>
        <v>1946</v>
      </c>
      <c r="E847" s="9" t="str" cm="1">
        <f t="array" ref="E847">IFERROR(_xlfn.IFS(AND(D847&lt;1980,D847&gt;=1970),"70",AND(D847&lt;1990,D847&gt;=1980),"80",AND(D847&lt;2000,D847&gt;=1990),"90",AND(D847&lt;2010,D847&gt;=2000),"00",AND(D847&lt;=2019,D847&gt;=2010),"10"),"1908-1970")</f>
        <v>1908-1970</v>
      </c>
      <c r="F847" s="3" t="s">
        <v>28931</v>
      </c>
      <c r="G847" t="s">
        <v>8594</v>
      </c>
      <c r="H847" t="s">
        <v>7782</v>
      </c>
      <c r="I847" t="s">
        <v>28931</v>
      </c>
      <c r="J847" t="s">
        <v>8595</v>
      </c>
      <c r="K847" t="s">
        <v>7826</v>
      </c>
      <c r="L847" s="7" t="s">
        <v>28931</v>
      </c>
      <c r="M847" t="s">
        <v>28931</v>
      </c>
      <c r="N847">
        <v>20</v>
      </c>
      <c r="O847">
        <v>16</v>
      </c>
      <c r="P847">
        <v>4</v>
      </c>
      <c r="Q847">
        <v>20</v>
      </c>
      <c r="R847">
        <v>16</v>
      </c>
      <c r="S847">
        <v>4</v>
      </c>
      <c r="T847">
        <v>0</v>
      </c>
      <c r="U847" t="s">
        <v>8596</v>
      </c>
      <c r="V847">
        <f>Tabla1[[#This Row],[Aboard]]-Tabla1[[#This Row],[Fatalities]]</f>
        <v>0</v>
      </c>
      <c r="W847" s="50">
        <f>IFERROR(Tabla1[[#This Row],[Fatalities]]/Tabla1[[#This Row],[Aboard]],0)</f>
        <v>1</v>
      </c>
      <c r="X847" s="51" t="str" cm="1">
        <f t="array" ref="X847">_xlfn.IFS(Tabla1[[#This Row],[Porcentaje de muertes]]&lt;0.35,"LEVE",AND(Tabla1[[#This Row],[Porcentaje de muertes]]&gt;0.35,Tabla1[[#This Row],[Porcentaje de muertes]]&lt;0.65),"MEDIO",Tabla1[[#This Row],[Porcentaje de muertes]]&gt;0.65,"GRAVE")</f>
        <v>GRAVE</v>
      </c>
    </row>
    <row r="848" spans="2:24" x14ac:dyDescent="0.3">
      <c r="B848" s="9">
        <v>846</v>
      </c>
      <c r="C848" s="49">
        <v>16854</v>
      </c>
      <c r="D848" s="9">
        <f>YEAR(Tabla1[[#This Row],[Date]])</f>
        <v>1946</v>
      </c>
      <c r="E848" s="9" t="str" cm="1">
        <f t="array" ref="E848">IFERROR(_xlfn.IFS(AND(D848&lt;1980,D848&gt;=1970),"70",AND(D848&lt;1990,D848&gt;=1980),"80",AND(D848&lt;2000,D848&gt;=1990),"90",AND(D848&lt;2010,D848&gt;=2000),"00",AND(D848&lt;=2019,D848&gt;=2010),"10"),"1908-1970")</f>
        <v>1908-1970</v>
      </c>
      <c r="F848" s="3" t="s">
        <v>28931</v>
      </c>
      <c r="G848" t="s">
        <v>8597</v>
      </c>
      <c r="H848" t="s">
        <v>7521</v>
      </c>
      <c r="I848" t="s">
        <v>28931</v>
      </c>
      <c r="J848" t="s">
        <v>28931</v>
      </c>
      <c r="K848" t="s">
        <v>8598</v>
      </c>
      <c r="L848" s="7" t="s">
        <v>8599</v>
      </c>
      <c r="M848">
        <v>26</v>
      </c>
      <c r="N848">
        <v>14</v>
      </c>
      <c r="O848" t="s">
        <v>5038</v>
      </c>
      <c r="P848" t="s">
        <v>5038</v>
      </c>
      <c r="Q848">
        <v>1</v>
      </c>
      <c r="R848" t="s">
        <v>5038</v>
      </c>
      <c r="S848" t="s">
        <v>5038</v>
      </c>
      <c r="T848">
        <v>0</v>
      </c>
      <c r="U848" t="s">
        <v>8600</v>
      </c>
      <c r="V848">
        <f>Tabla1[[#This Row],[Aboard]]-Tabla1[[#This Row],[Fatalities]]</f>
        <v>13</v>
      </c>
      <c r="W848" s="50">
        <f>IFERROR(Tabla1[[#This Row],[Fatalities]]/Tabla1[[#This Row],[Aboard]],0)</f>
        <v>7.1428571428571425E-2</v>
      </c>
      <c r="X848" s="51" t="str" cm="1">
        <f t="array" ref="X848">_xlfn.IFS(Tabla1[[#This Row],[Porcentaje de muertes]]&lt;0.35,"LEVE",AND(Tabla1[[#This Row],[Porcentaje de muertes]]&gt;0.35,Tabla1[[#This Row],[Porcentaje de muertes]]&lt;0.65),"MEDIO",Tabla1[[#This Row],[Porcentaje de muertes]]&gt;0.65,"GRAVE")</f>
        <v>LEVE</v>
      </c>
    </row>
    <row r="849" spans="2:24" x14ac:dyDescent="0.3">
      <c r="B849" s="9">
        <v>847</v>
      </c>
      <c r="C849" s="49">
        <v>16864</v>
      </c>
      <c r="D849" s="9">
        <f>YEAR(Tabla1[[#This Row],[Date]])</f>
        <v>1946</v>
      </c>
      <c r="E849" s="9" t="str" cm="1">
        <f t="array" ref="E849">IFERROR(_xlfn.IFS(AND(D849&lt;1980,D849&gt;=1970),"70",AND(D849&lt;1990,D849&gt;=1980),"80",AND(D849&lt;2000,D849&gt;=1990),"90",AND(D849&lt;2010,D849&gt;=2000),"00",AND(D849&lt;=2019,D849&gt;=2010),"10"),"1908-1970")</f>
        <v>1908-1970</v>
      </c>
      <c r="F849" s="3">
        <v>0.34166666666666662</v>
      </c>
      <c r="G849" t="s">
        <v>8601</v>
      </c>
      <c r="H849" t="s">
        <v>6536</v>
      </c>
      <c r="I849" t="s">
        <v>8602</v>
      </c>
      <c r="J849" t="s">
        <v>8603</v>
      </c>
      <c r="K849" t="s">
        <v>8604</v>
      </c>
      <c r="L849" s="7" t="s">
        <v>8605</v>
      </c>
      <c r="M849">
        <v>2203</v>
      </c>
      <c r="N849">
        <v>27</v>
      </c>
      <c r="O849">
        <v>24</v>
      </c>
      <c r="P849">
        <v>3</v>
      </c>
      <c r="Q849">
        <v>27</v>
      </c>
      <c r="R849">
        <v>24</v>
      </c>
      <c r="S849">
        <v>3</v>
      </c>
      <c r="T849">
        <v>0</v>
      </c>
      <c r="U849" t="s">
        <v>8606</v>
      </c>
      <c r="V849">
        <f>Tabla1[[#This Row],[Aboard]]-Tabla1[[#This Row],[Fatalities]]</f>
        <v>0</v>
      </c>
      <c r="W849" s="50">
        <f>IFERROR(Tabla1[[#This Row],[Fatalities]]/Tabla1[[#This Row],[Aboard]],0)</f>
        <v>1</v>
      </c>
      <c r="X849" s="51" t="str" cm="1">
        <f t="array" ref="X849">_xlfn.IFS(Tabla1[[#This Row],[Porcentaje de muertes]]&lt;0.35,"LEVE",AND(Tabla1[[#This Row],[Porcentaje de muertes]]&gt;0.35,Tabla1[[#This Row],[Porcentaje de muertes]]&lt;0.65),"MEDIO",Tabla1[[#This Row],[Porcentaje de muertes]]&gt;0.65,"GRAVE")</f>
        <v>GRAVE</v>
      </c>
    </row>
    <row r="850" spans="2:24" x14ac:dyDescent="0.3">
      <c r="B850" s="9">
        <v>848</v>
      </c>
      <c r="C850" s="49">
        <v>16925</v>
      </c>
      <c r="D850" s="9">
        <f>YEAR(Tabla1[[#This Row],[Date]])</f>
        <v>1946</v>
      </c>
      <c r="E850" s="9" t="str" cm="1">
        <f t="array" ref="E850">IFERROR(_xlfn.IFS(AND(D850&lt;1980,D850&gt;=1970),"70",AND(D850&lt;1990,D850&gt;=1980),"80",AND(D850&lt;2000,D850&gt;=1990),"90",AND(D850&lt;2010,D850&gt;=2000),"00",AND(D850&lt;=2019,D850&gt;=2010),"10"),"1908-1970")</f>
        <v>1908-1970</v>
      </c>
      <c r="F850" s="3">
        <v>0.70833333333333337</v>
      </c>
      <c r="G850" t="s">
        <v>8607</v>
      </c>
      <c r="H850" t="s">
        <v>5951</v>
      </c>
      <c r="I850" t="s">
        <v>28931</v>
      </c>
      <c r="J850" t="s">
        <v>8608</v>
      </c>
      <c r="K850" t="s">
        <v>6555</v>
      </c>
      <c r="L850" s="7" t="s">
        <v>8609</v>
      </c>
      <c r="M850" t="s">
        <v>28931</v>
      </c>
      <c r="N850">
        <v>15</v>
      </c>
      <c r="O850">
        <v>11</v>
      </c>
      <c r="P850">
        <v>4</v>
      </c>
      <c r="Q850">
        <v>12</v>
      </c>
      <c r="R850">
        <v>10</v>
      </c>
      <c r="S850">
        <v>2</v>
      </c>
      <c r="T850">
        <v>0</v>
      </c>
      <c r="U850" t="s">
        <v>8610</v>
      </c>
      <c r="V850">
        <f>Tabla1[[#This Row],[Aboard]]-Tabla1[[#This Row],[Fatalities]]</f>
        <v>3</v>
      </c>
      <c r="W850" s="50">
        <f>IFERROR(Tabla1[[#This Row],[Fatalities]]/Tabla1[[#This Row],[Aboard]],0)</f>
        <v>0.8</v>
      </c>
      <c r="X850" s="51" t="str" cm="1">
        <f t="array" ref="X850">_xlfn.IFS(Tabla1[[#This Row],[Porcentaje de muertes]]&lt;0.35,"LEVE",AND(Tabla1[[#This Row],[Porcentaje de muertes]]&gt;0.35,Tabla1[[#This Row],[Porcentaje de muertes]]&lt;0.65),"MEDIO",Tabla1[[#This Row],[Porcentaje de muertes]]&gt;0.65,"GRAVE")</f>
        <v>GRAVE</v>
      </c>
    </row>
    <row r="851" spans="2:24" x14ac:dyDescent="0.3">
      <c r="B851" s="9">
        <v>849</v>
      </c>
      <c r="C851" s="49">
        <v>17078</v>
      </c>
      <c r="D851" s="9">
        <f>YEAR(Tabla1[[#This Row],[Date]])</f>
        <v>1946</v>
      </c>
      <c r="E851" s="9" t="str" cm="1">
        <f t="array" ref="E851">IFERROR(_xlfn.IFS(AND(D851&lt;1980,D851&gt;=1970),"70",AND(D851&lt;1990,D851&gt;=1980),"80",AND(D851&lt;2000,D851&gt;=1990),"90",AND(D851&lt;2010,D851&gt;=2000),"00",AND(D851&lt;=2019,D851&gt;=2010),"10"),"1908-1970")</f>
        <v>1908-1970</v>
      </c>
      <c r="F851" s="3">
        <v>0.87152777777777779</v>
      </c>
      <c r="G851" t="s">
        <v>8611</v>
      </c>
      <c r="H851" t="s">
        <v>6038</v>
      </c>
      <c r="I851" t="s">
        <v>28931</v>
      </c>
      <c r="J851" t="s">
        <v>8612</v>
      </c>
      <c r="K851" t="s">
        <v>8613</v>
      </c>
      <c r="L851" s="7" t="s">
        <v>8614</v>
      </c>
      <c r="M851">
        <v>6013</v>
      </c>
      <c r="N851">
        <v>25</v>
      </c>
      <c r="O851">
        <v>21</v>
      </c>
      <c r="P851">
        <v>4</v>
      </c>
      <c r="Q851">
        <v>25</v>
      </c>
      <c r="R851">
        <v>21</v>
      </c>
      <c r="S851">
        <v>4</v>
      </c>
      <c r="T851">
        <v>0</v>
      </c>
      <c r="U851" t="s">
        <v>8615</v>
      </c>
      <c r="V851">
        <f>Tabla1[[#This Row],[Aboard]]-Tabla1[[#This Row],[Fatalities]]</f>
        <v>0</v>
      </c>
      <c r="W851" s="50">
        <f>IFERROR(Tabla1[[#This Row],[Fatalities]]/Tabla1[[#This Row],[Aboard]],0)</f>
        <v>1</v>
      </c>
      <c r="X851" s="51" t="str" cm="1">
        <f t="array" ref="X851">_xlfn.IFS(Tabla1[[#This Row],[Porcentaje de muertes]]&lt;0.35,"LEVE",AND(Tabla1[[#This Row],[Porcentaje de muertes]]&gt;0.35,Tabla1[[#This Row],[Porcentaje de muertes]]&lt;0.65),"MEDIO",Tabla1[[#This Row],[Porcentaje de muertes]]&gt;0.65,"GRAVE")</f>
        <v>GRAVE</v>
      </c>
    </row>
    <row r="852" spans="2:24" x14ac:dyDescent="0.3">
      <c r="B852" s="9">
        <v>850</v>
      </c>
      <c r="C852" s="49">
        <v>16878</v>
      </c>
      <c r="D852" s="9">
        <f>YEAR(Tabla1[[#This Row],[Date]])</f>
        <v>1946</v>
      </c>
      <c r="E852" s="9" t="str" cm="1">
        <f t="array" ref="E852">IFERROR(_xlfn.IFS(AND(D852&lt;1980,D852&gt;=1970),"70",AND(D852&lt;1990,D852&gt;=1980),"80",AND(D852&lt;2000,D852&gt;=1990),"90",AND(D852&lt;2010,D852&gt;=2000),"00",AND(D852&lt;=2019,D852&gt;=2010),"10"),"1908-1970")</f>
        <v>1908-1970</v>
      </c>
      <c r="F852" s="3" t="s">
        <v>28931</v>
      </c>
      <c r="G852" t="s">
        <v>8616</v>
      </c>
      <c r="H852" t="s">
        <v>8566</v>
      </c>
      <c r="I852" t="s">
        <v>28931</v>
      </c>
      <c r="J852" t="s">
        <v>8617</v>
      </c>
      <c r="K852" t="s">
        <v>5038</v>
      </c>
      <c r="L852" s="7" t="s">
        <v>28931</v>
      </c>
      <c r="M852" t="s">
        <v>28931</v>
      </c>
      <c r="N852">
        <v>20</v>
      </c>
      <c r="O852" t="s">
        <v>5038</v>
      </c>
      <c r="P852" t="s">
        <v>5038</v>
      </c>
      <c r="Q852">
        <v>20</v>
      </c>
      <c r="R852" t="s">
        <v>5038</v>
      </c>
      <c r="S852" t="s">
        <v>5038</v>
      </c>
      <c r="T852">
        <v>0</v>
      </c>
      <c r="U852" t="s">
        <v>8618</v>
      </c>
      <c r="V852">
        <f>Tabla1[[#This Row],[Aboard]]-Tabla1[[#This Row],[Fatalities]]</f>
        <v>0</v>
      </c>
      <c r="W852" s="50">
        <f>IFERROR(Tabla1[[#This Row],[Fatalities]]/Tabla1[[#This Row],[Aboard]],0)</f>
        <v>1</v>
      </c>
      <c r="X852" s="51" t="str" cm="1">
        <f t="array" ref="X852">_xlfn.IFS(Tabla1[[#This Row],[Porcentaje de muertes]]&lt;0.35,"LEVE",AND(Tabla1[[#This Row],[Porcentaje de muertes]]&gt;0.35,Tabla1[[#This Row],[Porcentaje de muertes]]&lt;0.65),"MEDIO",Tabla1[[#This Row],[Porcentaje de muertes]]&gt;0.65,"GRAVE")</f>
        <v>GRAVE</v>
      </c>
    </row>
    <row r="853" spans="2:24" x14ac:dyDescent="0.3">
      <c r="B853" s="9">
        <v>851</v>
      </c>
      <c r="C853" s="49">
        <v>16879</v>
      </c>
      <c r="D853" s="9">
        <f>YEAR(Tabla1[[#This Row],[Date]])</f>
        <v>1946</v>
      </c>
      <c r="E853" s="9" t="str" cm="1">
        <f t="array" ref="E853">IFERROR(_xlfn.IFS(AND(D853&lt;1980,D853&gt;=1970),"70",AND(D853&lt;1990,D853&gt;=1980),"80",AND(D853&lt;2000,D853&gt;=1990),"90",AND(D853&lt;2010,D853&gt;=2000),"00",AND(D853&lt;=2019,D853&gt;=2010),"10"),"1908-1970")</f>
        <v>1908-1970</v>
      </c>
      <c r="F853" s="3" t="s">
        <v>28931</v>
      </c>
      <c r="G853" t="s">
        <v>8619</v>
      </c>
      <c r="H853" t="s">
        <v>6010</v>
      </c>
      <c r="I853" t="s">
        <v>28931</v>
      </c>
      <c r="J853" t="s">
        <v>8620</v>
      </c>
      <c r="K853" t="s">
        <v>5038</v>
      </c>
      <c r="L853" s="7">
        <v>139</v>
      </c>
      <c r="M853" t="s">
        <v>28931</v>
      </c>
      <c r="N853" t="s">
        <v>5038</v>
      </c>
      <c r="O853" t="s">
        <v>5038</v>
      </c>
      <c r="P853" t="s">
        <v>5038</v>
      </c>
      <c r="Q853" t="s">
        <v>5038</v>
      </c>
      <c r="R853" t="s">
        <v>5038</v>
      </c>
      <c r="S853" t="s">
        <v>5038</v>
      </c>
      <c r="T853" t="s">
        <v>5038</v>
      </c>
      <c r="U853" t="s">
        <v>8621</v>
      </c>
      <c r="V853" t="s">
        <v>5038</v>
      </c>
      <c r="W853" s="50">
        <f>IFERROR(Tabla1[[#This Row],[Fatalities]]/Tabla1[[#This Row],[Aboard]],0)</f>
        <v>0</v>
      </c>
      <c r="X853" s="51" t="str" cm="1">
        <f t="array" ref="X853">_xlfn.IFS(Tabla1[[#This Row],[Porcentaje de muertes]]&lt;0.35,"LEVE",AND(Tabla1[[#This Row],[Porcentaje de muertes]]&gt;0.35,Tabla1[[#This Row],[Porcentaje de muertes]]&lt;0.65),"MEDIO",Tabla1[[#This Row],[Porcentaje de muertes]]&gt;0.65,"GRAVE")</f>
        <v>LEVE</v>
      </c>
    </row>
    <row r="854" spans="2:24" x14ac:dyDescent="0.3">
      <c r="B854" s="9">
        <v>852</v>
      </c>
      <c r="C854" s="49">
        <v>16880</v>
      </c>
      <c r="D854" s="9">
        <f>YEAR(Tabla1[[#This Row],[Date]])</f>
        <v>1946</v>
      </c>
      <c r="E854" s="9" t="str" cm="1">
        <f t="array" ref="E854">IFERROR(_xlfn.IFS(AND(D854&lt;1980,D854&gt;=1970),"70",AND(D854&lt;1990,D854&gt;=1980),"80",AND(D854&lt;2000,D854&gt;=1990),"90",AND(D854&lt;2010,D854&gt;=2000),"00",AND(D854&lt;=2019,D854&gt;=2010),"10"),"1908-1970")</f>
        <v>1908-1970</v>
      </c>
      <c r="F854" s="3">
        <v>0.48958333333333331</v>
      </c>
      <c r="G854" t="s">
        <v>8622</v>
      </c>
      <c r="H854" t="s">
        <v>7782</v>
      </c>
      <c r="I854" t="s">
        <v>28931</v>
      </c>
      <c r="J854" t="s">
        <v>8623</v>
      </c>
      <c r="K854" t="s">
        <v>8465</v>
      </c>
      <c r="L854" s="7" t="s">
        <v>8624</v>
      </c>
      <c r="M854" t="s">
        <v>28931</v>
      </c>
      <c r="N854">
        <v>26</v>
      </c>
      <c r="O854">
        <v>23</v>
      </c>
      <c r="P854">
        <v>3</v>
      </c>
      <c r="Q854">
        <v>26</v>
      </c>
      <c r="R854">
        <v>23</v>
      </c>
      <c r="S854">
        <v>3</v>
      </c>
      <c r="T854">
        <v>0</v>
      </c>
      <c r="U854" t="s">
        <v>8625</v>
      </c>
      <c r="V854">
        <f>Tabla1[[#This Row],[Aboard]]-Tabla1[[#This Row],[Fatalities]]</f>
        <v>0</v>
      </c>
      <c r="W854" s="50">
        <f>IFERROR(Tabla1[[#This Row],[Fatalities]]/Tabla1[[#This Row],[Aboard]],0)</f>
        <v>1</v>
      </c>
      <c r="X854" s="51" t="str" cm="1">
        <f t="array" ref="X854">_xlfn.IFS(Tabla1[[#This Row],[Porcentaje de muertes]]&lt;0.35,"LEVE",AND(Tabla1[[#This Row],[Porcentaje de muertes]]&gt;0.35,Tabla1[[#This Row],[Porcentaje de muertes]]&lt;0.65),"MEDIO",Tabla1[[#This Row],[Porcentaje de muertes]]&gt;0.65,"GRAVE")</f>
        <v>GRAVE</v>
      </c>
    </row>
    <row r="855" spans="2:24" x14ac:dyDescent="0.3">
      <c r="B855" s="9">
        <v>853</v>
      </c>
      <c r="C855" s="49">
        <v>16884</v>
      </c>
      <c r="D855" s="9">
        <f>YEAR(Tabla1[[#This Row],[Date]])</f>
        <v>1946</v>
      </c>
      <c r="E855" s="9" t="str" cm="1">
        <f t="array" ref="E855">IFERROR(_xlfn.IFS(AND(D855&lt;1980,D855&gt;=1970),"70",AND(D855&lt;1990,D855&gt;=1980),"80",AND(D855&lt;2000,D855&gt;=1990),"90",AND(D855&lt;2010,D855&gt;=2000),"00",AND(D855&lt;=2019,D855&gt;=2010),"10"),"1908-1970")</f>
        <v>1908-1970</v>
      </c>
      <c r="F855" s="3" t="s">
        <v>28931</v>
      </c>
      <c r="G855" t="s">
        <v>8626</v>
      </c>
      <c r="H855" t="s">
        <v>8627</v>
      </c>
      <c r="I855" t="s">
        <v>28931</v>
      </c>
      <c r="J855" t="s">
        <v>8628</v>
      </c>
      <c r="K855" t="s">
        <v>8629</v>
      </c>
      <c r="L855" s="7" t="s">
        <v>8630</v>
      </c>
      <c r="M855">
        <v>1178</v>
      </c>
      <c r="N855">
        <v>10</v>
      </c>
      <c r="O855">
        <v>5</v>
      </c>
      <c r="P855">
        <v>5</v>
      </c>
      <c r="Q855">
        <v>10</v>
      </c>
      <c r="R855">
        <v>5</v>
      </c>
      <c r="S855">
        <v>5</v>
      </c>
      <c r="T855">
        <v>0</v>
      </c>
      <c r="U855" t="s">
        <v>8631</v>
      </c>
      <c r="V855">
        <f>Tabla1[[#This Row],[Aboard]]-Tabla1[[#This Row],[Fatalities]]</f>
        <v>0</v>
      </c>
      <c r="W855" s="50">
        <f>IFERROR(Tabla1[[#This Row],[Fatalities]]/Tabla1[[#This Row],[Aboard]],0)</f>
        <v>1</v>
      </c>
      <c r="X855" s="51" t="str" cm="1">
        <f t="array" ref="X855">_xlfn.IFS(Tabla1[[#This Row],[Porcentaje de muertes]]&lt;0.35,"LEVE",AND(Tabla1[[#This Row],[Porcentaje de muertes]]&gt;0.35,Tabla1[[#This Row],[Porcentaje de muertes]]&lt;0.65),"MEDIO",Tabla1[[#This Row],[Porcentaje de muertes]]&gt;0.65,"GRAVE")</f>
        <v>GRAVE</v>
      </c>
    </row>
    <row r="856" spans="2:24" x14ac:dyDescent="0.3">
      <c r="B856" s="9">
        <v>854</v>
      </c>
      <c r="C856" s="49">
        <v>16806</v>
      </c>
      <c r="D856" s="9">
        <f>YEAR(Tabla1[[#This Row],[Date]])</f>
        <v>1946</v>
      </c>
      <c r="E856" s="9" t="str" cm="1">
        <f t="array" ref="E856">IFERROR(_xlfn.IFS(AND(D856&lt;1980,D856&gt;=1970),"70",AND(D856&lt;1990,D856&gt;=1980),"80",AND(D856&lt;2000,D856&gt;=1990),"90",AND(D856&lt;2010,D856&gt;=2000),"00",AND(D856&lt;=2019,D856&gt;=2010),"10"),"1908-1970")</f>
        <v>1908-1970</v>
      </c>
      <c r="F856" s="3">
        <v>0.41666666666666669</v>
      </c>
      <c r="G856" t="s">
        <v>8632</v>
      </c>
      <c r="H856" t="s">
        <v>8633</v>
      </c>
      <c r="I856" t="s">
        <v>28931</v>
      </c>
      <c r="J856" t="s">
        <v>8634</v>
      </c>
      <c r="K856" t="s">
        <v>8635</v>
      </c>
      <c r="L856" s="7" t="s">
        <v>8636</v>
      </c>
      <c r="M856" t="s">
        <v>28931</v>
      </c>
      <c r="N856">
        <v>6</v>
      </c>
      <c r="O856">
        <v>4</v>
      </c>
      <c r="P856">
        <v>2</v>
      </c>
      <c r="Q856">
        <v>6</v>
      </c>
      <c r="R856">
        <v>4</v>
      </c>
      <c r="S856">
        <v>2</v>
      </c>
      <c r="T856">
        <v>0</v>
      </c>
      <c r="U856" t="s">
        <v>8637</v>
      </c>
      <c r="V856">
        <f>Tabla1[[#This Row],[Aboard]]-Tabla1[[#This Row],[Fatalities]]</f>
        <v>0</v>
      </c>
      <c r="W856" s="50">
        <f>IFERROR(Tabla1[[#This Row],[Fatalities]]/Tabla1[[#This Row],[Aboard]],0)</f>
        <v>1</v>
      </c>
      <c r="X856" s="51" t="str" cm="1">
        <f t="array" ref="X856">_xlfn.IFS(Tabla1[[#This Row],[Porcentaje de muertes]]&lt;0.35,"LEVE",AND(Tabla1[[#This Row],[Porcentaje de muertes]]&gt;0.35,Tabla1[[#This Row],[Porcentaje de muertes]]&lt;0.65),"MEDIO",Tabla1[[#This Row],[Porcentaje de muertes]]&gt;0.65,"GRAVE")</f>
        <v>GRAVE</v>
      </c>
    </row>
    <row r="857" spans="2:24" x14ac:dyDescent="0.3">
      <c r="B857" s="9">
        <v>855</v>
      </c>
      <c r="C857" s="49">
        <v>16926</v>
      </c>
      <c r="D857" s="9">
        <f>YEAR(Tabla1[[#This Row],[Date]])</f>
        <v>1946</v>
      </c>
      <c r="E857" s="9" t="str" cm="1">
        <f t="array" ref="E857">IFERROR(_xlfn.IFS(AND(D857&lt;1980,D857&gt;=1970),"70",AND(D857&lt;1990,D857&gt;=1980),"80",AND(D857&lt;2000,D857&gt;=1990),"90",AND(D857&lt;2010,D857&gt;=2000),"00",AND(D857&lt;=2019,D857&gt;=2010),"10"),"1908-1970")</f>
        <v>1908-1970</v>
      </c>
      <c r="F857" s="3">
        <v>0.46875</v>
      </c>
      <c r="G857" t="s">
        <v>8638</v>
      </c>
      <c r="H857" t="s">
        <v>8639</v>
      </c>
      <c r="I857" t="s">
        <v>28931</v>
      </c>
      <c r="J857" t="s">
        <v>28931</v>
      </c>
      <c r="K857" t="s">
        <v>8640</v>
      </c>
      <c r="L857" s="7" t="s">
        <v>8641</v>
      </c>
      <c r="M857" t="s">
        <v>28931</v>
      </c>
      <c r="N857">
        <v>4</v>
      </c>
      <c r="O857">
        <v>0</v>
      </c>
      <c r="P857">
        <v>4</v>
      </c>
      <c r="Q857">
        <v>4</v>
      </c>
      <c r="R857">
        <v>0</v>
      </c>
      <c r="S857">
        <v>4</v>
      </c>
      <c r="T857">
        <v>16</v>
      </c>
      <c r="U857" t="s">
        <v>8642</v>
      </c>
      <c r="V857">
        <f>Tabla1[[#This Row],[Aboard]]-Tabla1[[#This Row],[Fatalities]]</f>
        <v>0</v>
      </c>
      <c r="W857" s="50">
        <f>IFERROR(Tabla1[[#This Row],[Fatalities]]/Tabla1[[#This Row],[Aboard]],0)</f>
        <v>1</v>
      </c>
      <c r="X857" s="51" t="str" cm="1">
        <f t="array" ref="X857">_xlfn.IFS(Tabla1[[#This Row],[Porcentaje de muertes]]&lt;0.35,"LEVE",AND(Tabla1[[#This Row],[Porcentaje de muertes]]&gt;0.35,Tabla1[[#This Row],[Porcentaje de muertes]]&lt;0.65),"MEDIO",Tabla1[[#This Row],[Porcentaje de muertes]]&gt;0.65,"GRAVE")</f>
        <v>GRAVE</v>
      </c>
    </row>
    <row r="858" spans="2:24" x14ac:dyDescent="0.3">
      <c r="B858" s="9">
        <v>856</v>
      </c>
      <c r="C858" s="49">
        <v>17018</v>
      </c>
      <c r="D858" s="9">
        <f>YEAR(Tabla1[[#This Row],[Date]])</f>
        <v>1946</v>
      </c>
      <c r="E858" s="9" t="str" cm="1">
        <f t="array" ref="E858">IFERROR(_xlfn.IFS(AND(D858&lt;1980,D858&gt;=1970),"70",AND(D858&lt;1990,D858&gt;=1980),"80",AND(D858&lt;2000,D858&gt;=1990),"90",AND(D858&lt;2010,D858&gt;=2000),"00",AND(D858&lt;=2019,D858&gt;=2010),"10"),"1908-1970")</f>
        <v>1908-1970</v>
      </c>
      <c r="F858" s="3" t="s">
        <v>28931</v>
      </c>
      <c r="G858" t="s">
        <v>8643</v>
      </c>
      <c r="H858" t="s">
        <v>28931</v>
      </c>
      <c r="I858" t="s">
        <v>28931</v>
      </c>
      <c r="J858" t="s">
        <v>8644</v>
      </c>
      <c r="K858" t="s">
        <v>5038</v>
      </c>
      <c r="L858" s="7" t="s">
        <v>28931</v>
      </c>
      <c r="M858" t="s">
        <v>28931</v>
      </c>
      <c r="N858">
        <v>14</v>
      </c>
      <c r="O858">
        <v>11</v>
      </c>
      <c r="P858">
        <v>3</v>
      </c>
      <c r="Q858">
        <v>14</v>
      </c>
      <c r="R858">
        <v>11</v>
      </c>
      <c r="S858">
        <v>3</v>
      </c>
      <c r="T858">
        <v>0</v>
      </c>
      <c r="U858" t="s">
        <v>28927</v>
      </c>
      <c r="V858">
        <f>Tabla1[[#This Row],[Aboard]]-Tabla1[[#This Row],[Fatalities]]</f>
        <v>0</v>
      </c>
      <c r="W858" s="50">
        <f>IFERROR(Tabla1[[#This Row],[Fatalities]]/Tabla1[[#This Row],[Aboard]],0)</f>
        <v>1</v>
      </c>
      <c r="X858" s="51" t="str" cm="1">
        <f t="array" ref="X858">_xlfn.IFS(Tabla1[[#This Row],[Porcentaje de muertes]]&lt;0.35,"LEVE",AND(Tabla1[[#This Row],[Porcentaje de muertes]]&gt;0.35,Tabla1[[#This Row],[Porcentaje de muertes]]&lt;0.65),"MEDIO",Tabla1[[#This Row],[Porcentaje de muertes]]&gt;0.65,"GRAVE")</f>
        <v>GRAVE</v>
      </c>
    </row>
    <row r="859" spans="2:24" x14ac:dyDescent="0.3">
      <c r="B859" s="9">
        <v>857</v>
      </c>
      <c r="C859" s="49">
        <v>16914</v>
      </c>
      <c r="D859" s="9">
        <f>YEAR(Tabla1[[#This Row],[Date]])</f>
        <v>1946</v>
      </c>
      <c r="E859" s="9" t="str" cm="1">
        <f t="array" ref="E859">IFERROR(_xlfn.IFS(AND(D859&lt;1980,D859&gt;=1970),"70",AND(D859&lt;1990,D859&gt;=1980),"80",AND(D859&lt;2000,D859&gt;=1990),"90",AND(D859&lt;2010,D859&gt;=2000),"00",AND(D859&lt;=2019,D859&gt;=2010),"10"),"1908-1970")</f>
        <v>1908-1970</v>
      </c>
      <c r="F859" s="3" t="s">
        <v>28931</v>
      </c>
      <c r="G859" t="s">
        <v>8645</v>
      </c>
      <c r="H859" t="s">
        <v>8239</v>
      </c>
      <c r="I859" t="s">
        <v>28931</v>
      </c>
      <c r="J859" t="s">
        <v>8646</v>
      </c>
      <c r="K859" t="s">
        <v>7226</v>
      </c>
      <c r="L859" s="7" t="s">
        <v>8647</v>
      </c>
      <c r="M859" t="s">
        <v>28931</v>
      </c>
      <c r="N859">
        <v>21</v>
      </c>
      <c r="O859">
        <v>18</v>
      </c>
      <c r="P859">
        <v>3</v>
      </c>
      <c r="Q859">
        <v>20</v>
      </c>
      <c r="R859">
        <v>17</v>
      </c>
      <c r="S859">
        <v>3</v>
      </c>
      <c r="T859">
        <v>0</v>
      </c>
      <c r="U859" t="s">
        <v>8480</v>
      </c>
      <c r="V859">
        <f>Tabla1[[#This Row],[Aboard]]-Tabla1[[#This Row],[Fatalities]]</f>
        <v>1</v>
      </c>
      <c r="W859" s="50">
        <f>IFERROR(Tabla1[[#This Row],[Fatalities]]/Tabla1[[#This Row],[Aboard]],0)</f>
        <v>0.95238095238095233</v>
      </c>
      <c r="X859" s="51" t="str" cm="1">
        <f t="array" ref="X859">_xlfn.IFS(Tabla1[[#This Row],[Porcentaje de muertes]]&lt;0.35,"LEVE",AND(Tabla1[[#This Row],[Porcentaje de muertes]]&gt;0.35,Tabla1[[#This Row],[Porcentaje de muertes]]&lt;0.65),"MEDIO",Tabla1[[#This Row],[Porcentaje de muertes]]&gt;0.65,"GRAVE")</f>
        <v>GRAVE</v>
      </c>
    </row>
    <row r="860" spans="2:24" x14ac:dyDescent="0.3">
      <c r="B860" s="9">
        <v>858</v>
      </c>
      <c r="C860" s="49">
        <v>16922</v>
      </c>
      <c r="D860" s="9">
        <f>YEAR(Tabla1[[#This Row],[Date]])</f>
        <v>1946</v>
      </c>
      <c r="E860" s="9" t="str" cm="1">
        <f t="array" ref="E860">IFERROR(_xlfn.IFS(AND(D860&lt;1980,D860&gt;=1970),"70",AND(D860&lt;1990,D860&gt;=1980),"80",AND(D860&lt;2000,D860&gt;=1990),"90",AND(D860&lt;2010,D860&gt;=2000),"00",AND(D860&lt;=2019,D860&gt;=2010),"10"),"1908-1970")</f>
        <v>1908-1970</v>
      </c>
      <c r="F860" s="3" t="s">
        <v>28931</v>
      </c>
      <c r="G860" t="s">
        <v>8648</v>
      </c>
      <c r="H860" t="s">
        <v>7665</v>
      </c>
      <c r="I860" t="s">
        <v>28931</v>
      </c>
      <c r="J860" t="s">
        <v>28931</v>
      </c>
      <c r="K860" t="s">
        <v>8105</v>
      </c>
      <c r="L860" s="7" t="s">
        <v>8649</v>
      </c>
      <c r="M860">
        <v>12094</v>
      </c>
      <c r="N860">
        <v>12</v>
      </c>
      <c r="O860" t="s">
        <v>5038</v>
      </c>
      <c r="P860" t="s">
        <v>5038</v>
      </c>
      <c r="Q860">
        <v>12</v>
      </c>
      <c r="R860" t="s">
        <v>5038</v>
      </c>
      <c r="S860" t="s">
        <v>5038</v>
      </c>
      <c r="T860">
        <v>0</v>
      </c>
      <c r="U860" t="s">
        <v>8650</v>
      </c>
      <c r="V860">
        <f>Tabla1[[#This Row],[Aboard]]-Tabla1[[#This Row],[Fatalities]]</f>
        <v>0</v>
      </c>
      <c r="W860" s="50">
        <f>IFERROR(Tabla1[[#This Row],[Fatalities]]/Tabla1[[#This Row],[Aboard]],0)</f>
        <v>1</v>
      </c>
      <c r="X860" s="51" t="str" cm="1">
        <f t="array" ref="X860">_xlfn.IFS(Tabla1[[#This Row],[Porcentaje de muertes]]&lt;0.35,"LEVE",AND(Tabla1[[#This Row],[Porcentaje de muertes]]&gt;0.35,Tabla1[[#This Row],[Porcentaje de muertes]]&lt;0.65),"MEDIO",Tabla1[[#This Row],[Porcentaje de muertes]]&gt;0.65,"GRAVE")</f>
        <v>GRAVE</v>
      </c>
    </row>
    <row r="861" spans="2:24" x14ac:dyDescent="0.3">
      <c r="B861" s="9">
        <v>859</v>
      </c>
      <c r="C861" s="49">
        <v>17080</v>
      </c>
      <c r="D861" s="9">
        <f>YEAR(Tabla1[[#This Row],[Date]])</f>
        <v>1946</v>
      </c>
      <c r="E861" s="9" t="str" cm="1">
        <f t="array" ref="E861">IFERROR(_xlfn.IFS(AND(D861&lt;1980,D861&gt;=1970),"70",AND(D861&lt;1990,D861&gt;=1980),"80",AND(D861&lt;2000,D861&gt;=1990),"90",AND(D861&lt;2010,D861&gt;=2000),"00",AND(D861&lt;=2019,D861&gt;=2010),"10"),"1908-1970")</f>
        <v>1908-1970</v>
      </c>
      <c r="F861" s="3" t="s">
        <v>28931</v>
      </c>
      <c r="G861" t="s">
        <v>8651</v>
      </c>
      <c r="H861" t="s">
        <v>8652</v>
      </c>
      <c r="I861" t="s">
        <v>28931</v>
      </c>
      <c r="J861" t="s">
        <v>28931</v>
      </c>
      <c r="K861" t="s">
        <v>8653</v>
      </c>
      <c r="L861" s="7" t="s">
        <v>28931</v>
      </c>
      <c r="M861" t="s">
        <v>28931</v>
      </c>
      <c r="N861">
        <v>28</v>
      </c>
      <c r="O861" t="s">
        <v>5038</v>
      </c>
      <c r="P861" t="s">
        <v>5038</v>
      </c>
      <c r="Q861">
        <v>28</v>
      </c>
      <c r="R861" t="s">
        <v>5038</v>
      </c>
      <c r="S861" t="s">
        <v>5038</v>
      </c>
      <c r="T861">
        <v>0</v>
      </c>
      <c r="U861" t="s">
        <v>8654</v>
      </c>
      <c r="V861">
        <f>Tabla1[[#This Row],[Aboard]]-Tabla1[[#This Row],[Fatalities]]</f>
        <v>0</v>
      </c>
      <c r="W861" s="50">
        <f>IFERROR(Tabla1[[#This Row],[Fatalities]]/Tabla1[[#This Row],[Aboard]],0)</f>
        <v>1</v>
      </c>
      <c r="X861" s="51" t="str" cm="1">
        <f t="array" ref="X861">_xlfn.IFS(Tabla1[[#This Row],[Porcentaje de muertes]]&lt;0.35,"LEVE",AND(Tabla1[[#This Row],[Porcentaje de muertes]]&gt;0.35,Tabla1[[#This Row],[Porcentaje de muertes]]&lt;0.65),"MEDIO",Tabla1[[#This Row],[Porcentaje de muertes]]&gt;0.65,"GRAVE")</f>
        <v>GRAVE</v>
      </c>
    </row>
    <row r="862" spans="2:24" x14ac:dyDescent="0.3">
      <c r="B862" s="9">
        <v>860</v>
      </c>
      <c r="C862" s="49">
        <v>16938</v>
      </c>
      <c r="D862" s="9">
        <f>YEAR(Tabla1[[#This Row],[Date]])</f>
        <v>1946</v>
      </c>
      <c r="E862" s="9" t="str" cm="1">
        <f t="array" ref="E862">IFERROR(_xlfn.IFS(AND(D862&lt;1980,D862&gt;=1970),"70",AND(D862&lt;1990,D862&gt;=1980),"80",AND(D862&lt;2000,D862&gt;=1990),"90",AND(D862&lt;2010,D862&gt;=2000),"00",AND(D862&lt;=2019,D862&gt;=2010),"10"),"1908-1970")</f>
        <v>1908-1970</v>
      </c>
      <c r="F862" s="3">
        <v>4.1666666666666664E-2</v>
      </c>
      <c r="G862" t="s">
        <v>8655</v>
      </c>
      <c r="H862" t="s">
        <v>8656</v>
      </c>
      <c r="I862" t="s">
        <v>28931</v>
      </c>
      <c r="J862" t="s">
        <v>8657</v>
      </c>
      <c r="K862" t="s">
        <v>7057</v>
      </c>
      <c r="L862" s="7" t="s">
        <v>8658</v>
      </c>
      <c r="M862">
        <v>19626</v>
      </c>
      <c r="N862">
        <v>27</v>
      </c>
      <c r="O862">
        <v>25</v>
      </c>
      <c r="P862">
        <v>2</v>
      </c>
      <c r="Q862">
        <v>27</v>
      </c>
      <c r="R862">
        <v>25</v>
      </c>
      <c r="S862">
        <v>2</v>
      </c>
      <c r="T862">
        <v>0</v>
      </c>
      <c r="U862" t="s">
        <v>8659</v>
      </c>
      <c r="V862">
        <f>Tabla1[[#This Row],[Aboard]]-Tabla1[[#This Row],[Fatalities]]</f>
        <v>0</v>
      </c>
      <c r="W862" s="50">
        <f>IFERROR(Tabla1[[#This Row],[Fatalities]]/Tabla1[[#This Row],[Aboard]],0)</f>
        <v>1</v>
      </c>
      <c r="X862" s="51" t="str" cm="1">
        <f t="array" ref="X862">_xlfn.IFS(Tabla1[[#This Row],[Porcentaje de muertes]]&lt;0.35,"LEVE",AND(Tabla1[[#This Row],[Porcentaje de muertes]]&gt;0.35,Tabla1[[#This Row],[Porcentaje de muertes]]&lt;0.65),"MEDIO",Tabla1[[#This Row],[Porcentaje de muertes]]&gt;0.65,"GRAVE")</f>
        <v>GRAVE</v>
      </c>
    </row>
    <row r="863" spans="2:24" x14ac:dyDescent="0.3">
      <c r="B863" s="9">
        <v>861</v>
      </c>
      <c r="C863" s="49">
        <v>16944</v>
      </c>
      <c r="D863" s="9">
        <f>YEAR(Tabla1[[#This Row],[Date]])</f>
        <v>1946</v>
      </c>
      <c r="E863" s="9" t="str" cm="1">
        <f t="array" ref="E863">IFERROR(_xlfn.IFS(AND(D863&lt;1980,D863&gt;=1970),"70",AND(D863&lt;1990,D863&gt;=1980),"80",AND(D863&lt;2000,D863&gt;=1990),"90",AND(D863&lt;2010,D863&gt;=2000),"00",AND(D863&lt;=2019,D863&gt;=2010),"10"),"1908-1970")</f>
        <v>1908-1970</v>
      </c>
      <c r="F863" s="3">
        <v>0.54166666666666663</v>
      </c>
      <c r="G863" t="s">
        <v>8660</v>
      </c>
      <c r="H863" t="s">
        <v>8661</v>
      </c>
      <c r="I863" t="s">
        <v>28931</v>
      </c>
      <c r="J863" t="s">
        <v>8662</v>
      </c>
      <c r="K863" t="s">
        <v>6555</v>
      </c>
      <c r="L863" s="7" t="s">
        <v>8663</v>
      </c>
      <c r="M863">
        <v>6048</v>
      </c>
      <c r="N863">
        <v>14</v>
      </c>
      <c r="O863">
        <v>11</v>
      </c>
      <c r="P863">
        <v>3</v>
      </c>
      <c r="Q863">
        <v>13</v>
      </c>
      <c r="R863">
        <v>10</v>
      </c>
      <c r="S863">
        <v>3</v>
      </c>
      <c r="T863">
        <v>0</v>
      </c>
      <c r="U863" t="s">
        <v>8664</v>
      </c>
      <c r="V863">
        <f>Tabla1[[#This Row],[Aboard]]-Tabla1[[#This Row],[Fatalities]]</f>
        <v>1</v>
      </c>
      <c r="W863" s="50">
        <f>IFERROR(Tabla1[[#This Row],[Fatalities]]/Tabla1[[#This Row],[Aboard]],0)</f>
        <v>0.9285714285714286</v>
      </c>
      <c r="X863" s="51" t="str" cm="1">
        <f t="array" ref="X863">_xlfn.IFS(Tabla1[[#This Row],[Porcentaje de muertes]]&lt;0.35,"LEVE",AND(Tabla1[[#This Row],[Porcentaje de muertes]]&gt;0.35,Tabla1[[#This Row],[Porcentaje de muertes]]&lt;0.65),"MEDIO",Tabla1[[#This Row],[Porcentaje de muertes]]&gt;0.65,"GRAVE")</f>
        <v>GRAVE</v>
      </c>
    </row>
    <row r="864" spans="2:24" x14ac:dyDescent="0.3">
      <c r="B864" s="9">
        <v>862</v>
      </c>
      <c r="C864" s="49">
        <v>16808</v>
      </c>
      <c r="D864" s="9">
        <f>YEAR(Tabla1[[#This Row],[Date]])</f>
        <v>1946</v>
      </c>
      <c r="E864" s="9" t="str" cm="1">
        <f t="array" ref="E864">IFERROR(_xlfn.IFS(AND(D864&lt;1980,D864&gt;=1970),"70",AND(D864&lt;1990,D864&gt;=1980),"80",AND(D864&lt;2000,D864&gt;=1990),"90",AND(D864&lt;2010,D864&gt;=2000),"00",AND(D864&lt;=2019,D864&gt;=2010),"10"),"1908-1970")</f>
        <v>1908-1970</v>
      </c>
      <c r="F864" s="3">
        <v>0.31944444444444448</v>
      </c>
      <c r="G864" t="s">
        <v>8665</v>
      </c>
      <c r="H864" t="s">
        <v>7782</v>
      </c>
      <c r="I864" t="s">
        <v>28931</v>
      </c>
      <c r="J864" t="s">
        <v>8666</v>
      </c>
      <c r="K864" t="s">
        <v>8667</v>
      </c>
      <c r="L864" s="7" t="s">
        <v>8668</v>
      </c>
      <c r="M864">
        <v>27304</v>
      </c>
      <c r="N864">
        <v>38</v>
      </c>
      <c r="O864">
        <v>30</v>
      </c>
      <c r="P864">
        <v>8</v>
      </c>
      <c r="Q864">
        <v>30</v>
      </c>
      <c r="R864">
        <v>26</v>
      </c>
      <c r="S864">
        <v>4</v>
      </c>
      <c r="T864">
        <v>0</v>
      </c>
      <c r="U864" t="s">
        <v>8669</v>
      </c>
      <c r="V864">
        <f>Tabla1[[#This Row],[Aboard]]-Tabla1[[#This Row],[Fatalities]]</f>
        <v>8</v>
      </c>
      <c r="W864" s="50">
        <f>IFERROR(Tabla1[[#This Row],[Fatalities]]/Tabla1[[#This Row],[Aboard]],0)</f>
        <v>0.78947368421052633</v>
      </c>
      <c r="X864" s="51" t="str" cm="1">
        <f t="array" ref="X864">_xlfn.IFS(Tabla1[[#This Row],[Porcentaje de muertes]]&lt;0.35,"LEVE",AND(Tabla1[[#This Row],[Porcentaje de muertes]]&gt;0.35,Tabla1[[#This Row],[Porcentaje de muertes]]&lt;0.65),"MEDIO",Tabla1[[#This Row],[Porcentaje de muertes]]&gt;0.65,"GRAVE")</f>
        <v>GRAVE</v>
      </c>
    </row>
    <row r="865" spans="2:24" x14ac:dyDescent="0.3">
      <c r="B865" s="9">
        <v>863</v>
      </c>
      <c r="C865" s="49">
        <v>17051</v>
      </c>
      <c r="D865" s="9">
        <f>YEAR(Tabla1[[#This Row],[Date]])</f>
        <v>1946</v>
      </c>
      <c r="E865" s="9" t="str" cm="1">
        <f t="array" ref="E865">IFERROR(_xlfn.IFS(AND(D865&lt;1980,D865&gt;=1970),"70",AND(D865&lt;1990,D865&gt;=1980),"80",AND(D865&lt;2000,D865&gt;=1990),"90",AND(D865&lt;2010,D865&gt;=2000),"00",AND(D865&lt;=2019,D865&gt;=2010),"10"),"1908-1970")</f>
        <v>1908-1970</v>
      </c>
      <c r="F865" s="3">
        <v>0.4375</v>
      </c>
      <c r="G865" t="s">
        <v>8670</v>
      </c>
      <c r="H865" t="s">
        <v>7782</v>
      </c>
      <c r="I865" t="s">
        <v>28931</v>
      </c>
      <c r="J865" t="s">
        <v>28931</v>
      </c>
      <c r="K865" t="s">
        <v>8671</v>
      </c>
      <c r="L865" s="7" t="s">
        <v>8672</v>
      </c>
      <c r="M865">
        <v>22181</v>
      </c>
      <c r="N865">
        <v>23</v>
      </c>
      <c r="O865">
        <v>17</v>
      </c>
      <c r="P865">
        <v>6</v>
      </c>
      <c r="Q865">
        <v>23</v>
      </c>
      <c r="R865">
        <v>17</v>
      </c>
      <c r="S865">
        <v>6</v>
      </c>
      <c r="T865">
        <v>0</v>
      </c>
      <c r="U865" t="s">
        <v>8673</v>
      </c>
      <c r="V865">
        <f>Tabla1[[#This Row],[Aboard]]-Tabla1[[#This Row],[Fatalities]]</f>
        <v>0</v>
      </c>
      <c r="W865" s="50">
        <f>IFERROR(Tabla1[[#This Row],[Fatalities]]/Tabla1[[#This Row],[Aboard]],0)</f>
        <v>1</v>
      </c>
      <c r="X865" s="51" t="str" cm="1">
        <f t="array" ref="X865">_xlfn.IFS(Tabla1[[#This Row],[Porcentaje de muertes]]&lt;0.35,"LEVE",AND(Tabla1[[#This Row],[Porcentaje de muertes]]&gt;0.35,Tabla1[[#This Row],[Porcentaje de muertes]]&lt;0.65),"MEDIO",Tabla1[[#This Row],[Porcentaje de muertes]]&gt;0.65,"GRAVE")</f>
        <v>GRAVE</v>
      </c>
    </row>
    <row r="866" spans="2:24" x14ac:dyDescent="0.3">
      <c r="B866" s="9">
        <v>864</v>
      </c>
      <c r="C866" s="49">
        <v>17051</v>
      </c>
      <c r="D866" s="9">
        <f>YEAR(Tabla1[[#This Row],[Date]])</f>
        <v>1946</v>
      </c>
      <c r="E866" s="9" t="str" cm="1">
        <f t="array" ref="E866">IFERROR(_xlfn.IFS(AND(D866&lt;1980,D866&gt;=1970),"70",AND(D866&lt;1990,D866&gt;=1980),"80",AND(D866&lt;2000,D866&gt;=1990),"90",AND(D866&lt;2010,D866&gt;=2000),"00",AND(D866&lt;=2019,D866&gt;=2010),"10"),"1908-1970")</f>
        <v>1908-1970</v>
      </c>
      <c r="F866" s="3">
        <v>0.55208333333333337</v>
      </c>
      <c r="G866" t="s">
        <v>8674</v>
      </c>
      <c r="H866" t="s">
        <v>7660</v>
      </c>
      <c r="I866" t="s">
        <v>28931</v>
      </c>
      <c r="J866" t="s">
        <v>8675</v>
      </c>
      <c r="K866" t="s">
        <v>8289</v>
      </c>
      <c r="L866" s="7" t="s">
        <v>8676</v>
      </c>
      <c r="M866">
        <v>25291</v>
      </c>
      <c r="N866">
        <v>18</v>
      </c>
      <c r="O866">
        <v>12</v>
      </c>
      <c r="P866">
        <v>6</v>
      </c>
      <c r="Q866">
        <v>18</v>
      </c>
      <c r="R866">
        <v>12</v>
      </c>
      <c r="S866">
        <v>6</v>
      </c>
      <c r="T866">
        <v>0</v>
      </c>
      <c r="U866" t="s">
        <v>8677</v>
      </c>
      <c r="V866">
        <f>Tabla1[[#This Row],[Aboard]]-Tabla1[[#This Row],[Fatalities]]</f>
        <v>0</v>
      </c>
      <c r="W866" s="50">
        <f>IFERROR(Tabla1[[#This Row],[Fatalities]]/Tabla1[[#This Row],[Aboard]],0)</f>
        <v>1</v>
      </c>
      <c r="X866" s="51" t="str" cm="1">
        <f t="array" ref="X866">_xlfn.IFS(Tabla1[[#This Row],[Porcentaje de muertes]]&lt;0.35,"LEVE",AND(Tabla1[[#This Row],[Porcentaje de muertes]]&gt;0.35,Tabla1[[#This Row],[Porcentaje de muertes]]&lt;0.65),"MEDIO",Tabla1[[#This Row],[Porcentaje de muertes]]&gt;0.65,"GRAVE")</f>
        <v>GRAVE</v>
      </c>
    </row>
    <row r="867" spans="2:24" x14ac:dyDescent="0.3">
      <c r="B867" s="9">
        <v>865</v>
      </c>
      <c r="C867" s="49">
        <v>16982</v>
      </c>
      <c r="D867" s="9">
        <f>YEAR(Tabla1[[#This Row],[Date]])</f>
        <v>1946</v>
      </c>
      <c r="E867" s="9" t="str" cm="1">
        <f t="array" ref="E867">IFERROR(_xlfn.IFS(AND(D867&lt;1980,D867&gt;=1970),"70",AND(D867&lt;1990,D867&gt;=1980),"80",AND(D867&lt;2000,D867&gt;=1990),"90",AND(D867&lt;2010,D867&gt;=2000),"00",AND(D867&lt;=2019,D867&gt;=2010),"10"),"1908-1970")</f>
        <v>1908-1970</v>
      </c>
      <c r="F867" s="3" t="s">
        <v>28931</v>
      </c>
      <c r="G867" t="s">
        <v>8678</v>
      </c>
      <c r="H867" t="s">
        <v>7665</v>
      </c>
      <c r="I867" t="s">
        <v>28931</v>
      </c>
      <c r="J867" t="s">
        <v>28931</v>
      </c>
      <c r="K867" t="s">
        <v>8465</v>
      </c>
      <c r="L867" s="7" t="s">
        <v>8679</v>
      </c>
      <c r="M867" t="s">
        <v>8680</v>
      </c>
      <c r="N867">
        <v>18</v>
      </c>
      <c r="O867" t="s">
        <v>5038</v>
      </c>
      <c r="P867" t="s">
        <v>5038</v>
      </c>
      <c r="Q867">
        <v>18</v>
      </c>
      <c r="R867" t="s">
        <v>5038</v>
      </c>
      <c r="S867" t="s">
        <v>5038</v>
      </c>
      <c r="T867">
        <v>0</v>
      </c>
      <c r="U867" t="s">
        <v>8681</v>
      </c>
      <c r="V867">
        <f>Tabla1[[#This Row],[Aboard]]-Tabla1[[#This Row],[Fatalities]]</f>
        <v>0</v>
      </c>
      <c r="W867" s="50">
        <f>IFERROR(Tabla1[[#This Row],[Fatalities]]/Tabla1[[#This Row],[Aboard]],0)</f>
        <v>1</v>
      </c>
      <c r="X867" s="51" t="str" cm="1">
        <f t="array" ref="X867">_xlfn.IFS(Tabla1[[#This Row],[Porcentaje de muertes]]&lt;0.35,"LEVE",AND(Tabla1[[#This Row],[Porcentaje de muertes]]&gt;0.35,Tabla1[[#This Row],[Porcentaje de muertes]]&lt;0.65),"MEDIO",Tabla1[[#This Row],[Porcentaje de muertes]]&gt;0.65,"GRAVE")</f>
        <v>GRAVE</v>
      </c>
    </row>
    <row r="868" spans="2:24" x14ac:dyDescent="0.3">
      <c r="B868" s="9">
        <v>866</v>
      </c>
      <c r="C868" s="49">
        <v>16982</v>
      </c>
      <c r="D868" s="9">
        <f>YEAR(Tabla1[[#This Row],[Date]])</f>
        <v>1946</v>
      </c>
      <c r="E868" s="9" t="str" cm="1">
        <f t="array" ref="E868">IFERROR(_xlfn.IFS(AND(D868&lt;1980,D868&gt;=1970),"70",AND(D868&lt;1990,D868&gt;=1980),"80",AND(D868&lt;2000,D868&gt;=1990),"90",AND(D868&lt;2010,D868&gt;=2000),"00",AND(D868&lt;=2019,D868&gt;=2010),"10"),"1908-1970")</f>
        <v>1908-1970</v>
      </c>
      <c r="F868" s="3" t="s">
        <v>28931</v>
      </c>
      <c r="G868" t="s">
        <v>8682</v>
      </c>
      <c r="H868" t="s">
        <v>6375</v>
      </c>
      <c r="I868" t="s">
        <v>28931</v>
      </c>
      <c r="J868" t="s">
        <v>28931</v>
      </c>
      <c r="K868" t="s">
        <v>7574</v>
      </c>
      <c r="L868" s="7" t="s">
        <v>8683</v>
      </c>
      <c r="M868" t="s">
        <v>8684</v>
      </c>
      <c r="N868">
        <v>3</v>
      </c>
      <c r="O868">
        <v>0</v>
      </c>
      <c r="P868">
        <v>3</v>
      </c>
      <c r="Q868">
        <v>2</v>
      </c>
      <c r="R868">
        <v>0</v>
      </c>
      <c r="S868">
        <v>2</v>
      </c>
      <c r="T868">
        <v>0</v>
      </c>
      <c r="U868" t="s">
        <v>8685</v>
      </c>
      <c r="V868">
        <f>Tabla1[[#This Row],[Aboard]]-Tabla1[[#This Row],[Fatalities]]</f>
        <v>1</v>
      </c>
      <c r="W868" s="50">
        <f>IFERROR(Tabla1[[#This Row],[Fatalities]]/Tabla1[[#This Row],[Aboard]],0)</f>
        <v>0.66666666666666663</v>
      </c>
      <c r="X868" s="51" t="str" cm="1">
        <f t="array" ref="X868">_xlfn.IFS(Tabla1[[#This Row],[Porcentaje de muertes]]&lt;0.35,"LEVE",AND(Tabla1[[#This Row],[Porcentaje de muertes]]&gt;0.35,Tabla1[[#This Row],[Porcentaje de muertes]]&lt;0.65),"MEDIO",Tabla1[[#This Row],[Porcentaje de muertes]]&gt;0.65,"GRAVE")</f>
        <v>GRAVE</v>
      </c>
    </row>
    <row r="869" spans="2:24" x14ac:dyDescent="0.3">
      <c r="B869" s="9">
        <v>867</v>
      </c>
      <c r="C869" s="49">
        <v>17052</v>
      </c>
      <c r="D869" s="9">
        <f>YEAR(Tabla1[[#This Row],[Date]])</f>
        <v>1946</v>
      </c>
      <c r="E869" s="9" t="str" cm="1">
        <f t="array" ref="E869">IFERROR(_xlfn.IFS(AND(D869&lt;1980,D869&gt;=1970),"70",AND(D869&lt;1990,D869&gt;=1980),"80",AND(D869&lt;2000,D869&gt;=1990),"90",AND(D869&lt;2010,D869&gt;=2000),"00",AND(D869&lt;=2019,D869&gt;=2010),"10"),"1908-1970")</f>
        <v>1908-1970</v>
      </c>
      <c r="F869" s="3">
        <v>0.84027777777777779</v>
      </c>
      <c r="G869" t="s">
        <v>8686</v>
      </c>
      <c r="H869" t="s">
        <v>7782</v>
      </c>
      <c r="I869" t="s">
        <v>28931</v>
      </c>
      <c r="J869" t="s">
        <v>28931</v>
      </c>
      <c r="K869" t="s">
        <v>8687</v>
      </c>
      <c r="L869" s="7" t="s">
        <v>8688</v>
      </c>
      <c r="M869" t="s">
        <v>28931</v>
      </c>
      <c r="N869">
        <v>25</v>
      </c>
      <c r="O869">
        <v>21</v>
      </c>
      <c r="P869">
        <v>4</v>
      </c>
      <c r="Q869">
        <v>25</v>
      </c>
      <c r="R869">
        <v>21</v>
      </c>
      <c r="S869">
        <v>4</v>
      </c>
      <c r="T869">
        <v>0</v>
      </c>
      <c r="U869" t="s">
        <v>8689</v>
      </c>
      <c r="V869">
        <f>Tabla1[[#This Row],[Aboard]]-Tabla1[[#This Row],[Fatalities]]</f>
        <v>0</v>
      </c>
      <c r="W869" s="50">
        <f>IFERROR(Tabla1[[#This Row],[Fatalities]]/Tabla1[[#This Row],[Aboard]],0)</f>
        <v>1</v>
      </c>
      <c r="X869" s="51" t="str" cm="1">
        <f t="array" ref="X869">_xlfn.IFS(Tabla1[[#This Row],[Porcentaje de muertes]]&lt;0.35,"LEVE",AND(Tabla1[[#This Row],[Porcentaje de muertes]]&gt;0.35,Tabla1[[#This Row],[Porcentaje de muertes]]&lt;0.65),"MEDIO",Tabla1[[#This Row],[Porcentaje de muertes]]&gt;0.65,"GRAVE")</f>
        <v>GRAVE</v>
      </c>
    </row>
    <row r="870" spans="2:24" x14ac:dyDescent="0.3">
      <c r="B870" s="9">
        <v>868</v>
      </c>
      <c r="C870" s="49">
        <v>17113</v>
      </c>
      <c r="D870" s="9">
        <f>YEAR(Tabla1[[#This Row],[Date]])</f>
        <v>1946</v>
      </c>
      <c r="E870" s="9" t="str" cm="1">
        <f t="array" ref="E870">IFERROR(_xlfn.IFS(AND(D870&lt;1980,D870&gt;=1970),"70",AND(D870&lt;1990,D870&gt;=1980),"80",AND(D870&lt;2000,D870&gt;=1990),"90",AND(D870&lt;2010,D870&gt;=2000),"00",AND(D870&lt;=2019,D870&gt;=2010),"10"),"1908-1970")</f>
        <v>1908-1970</v>
      </c>
      <c r="F870" s="3" t="s">
        <v>28931</v>
      </c>
      <c r="G870" t="s">
        <v>8690</v>
      </c>
      <c r="H870" t="s">
        <v>6044</v>
      </c>
      <c r="I870">
        <v>513</v>
      </c>
      <c r="J870" t="s">
        <v>8691</v>
      </c>
      <c r="K870" t="s">
        <v>8692</v>
      </c>
      <c r="L870" s="7" t="s">
        <v>8693</v>
      </c>
      <c r="M870">
        <v>2040</v>
      </c>
      <c r="N870">
        <v>6</v>
      </c>
      <c r="O870">
        <v>0</v>
      </c>
      <c r="P870">
        <v>6</v>
      </c>
      <c r="Q870">
        <v>5</v>
      </c>
      <c r="R870">
        <v>0</v>
      </c>
      <c r="S870">
        <v>5</v>
      </c>
      <c r="T870">
        <v>0</v>
      </c>
      <c r="U870" t="s">
        <v>8694</v>
      </c>
      <c r="V870">
        <f>Tabla1[[#This Row],[Aboard]]-Tabla1[[#This Row],[Fatalities]]</f>
        <v>1</v>
      </c>
      <c r="W870" s="50">
        <f>IFERROR(Tabla1[[#This Row],[Fatalities]]/Tabla1[[#This Row],[Aboard]],0)</f>
        <v>0.83333333333333337</v>
      </c>
      <c r="X870" s="51" t="str" cm="1">
        <f t="array" ref="X870">_xlfn.IFS(Tabla1[[#This Row],[Porcentaje de muertes]]&lt;0.35,"LEVE",AND(Tabla1[[#This Row],[Porcentaje de muertes]]&gt;0.35,Tabla1[[#This Row],[Porcentaje de muertes]]&lt;0.65),"MEDIO",Tabla1[[#This Row],[Porcentaje de muertes]]&gt;0.65,"GRAVE")</f>
        <v>GRAVE</v>
      </c>
    </row>
    <row r="871" spans="2:24" x14ac:dyDescent="0.3">
      <c r="B871" s="9">
        <v>869</v>
      </c>
      <c r="C871" s="49">
        <v>16996</v>
      </c>
      <c r="D871" s="9">
        <f>YEAR(Tabla1[[#This Row],[Date]])</f>
        <v>1946</v>
      </c>
      <c r="E871" s="9" t="str" cm="1">
        <f t="array" ref="E871">IFERROR(_xlfn.IFS(AND(D871&lt;1980,D871&gt;=1970),"70",AND(D871&lt;1990,D871&gt;=1980),"80",AND(D871&lt;2000,D871&gt;=1990),"90",AND(D871&lt;2010,D871&gt;=2000),"00",AND(D871&lt;=2019,D871&gt;=2010),"10"),"1908-1970")</f>
        <v>1908-1970</v>
      </c>
      <c r="F871" s="3" t="s">
        <v>28931</v>
      </c>
      <c r="G871" t="s">
        <v>8695</v>
      </c>
      <c r="H871" t="s">
        <v>8696</v>
      </c>
      <c r="I871" t="s">
        <v>28931</v>
      </c>
      <c r="J871" t="s">
        <v>28931</v>
      </c>
      <c r="K871" t="s">
        <v>8697</v>
      </c>
      <c r="L871" s="7" t="s">
        <v>28931</v>
      </c>
      <c r="M871" t="s">
        <v>28931</v>
      </c>
      <c r="N871">
        <v>49</v>
      </c>
      <c r="O871">
        <v>47</v>
      </c>
      <c r="P871">
        <v>2</v>
      </c>
      <c r="Q871">
        <v>13</v>
      </c>
      <c r="R871">
        <v>11</v>
      </c>
      <c r="S871">
        <v>2</v>
      </c>
      <c r="T871">
        <v>0</v>
      </c>
      <c r="U871" t="s">
        <v>8698</v>
      </c>
      <c r="V871">
        <f>Tabla1[[#This Row],[Aboard]]-Tabla1[[#This Row],[Fatalities]]</f>
        <v>36</v>
      </c>
      <c r="W871" s="50">
        <f>IFERROR(Tabla1[[#This Row],[Fatalities]]/Tabla1[[#This Row],[Aboard]],0)</f>
        <v>0.26530612244897961</v>
      </c>
      <c r="X871" s="51" t="str" cm="1">
        <f t="array" ref="X871">_xlfn.IFS(Tabla1[[#This Row],[Porcentaje de muertes]]&lt;0.35,"LEVE",AND(Tabla1[[#This Row],[Porcentaje de muertes]]&gt;0.35,Tabla1[[#This Row],[Porcentaje de muertes]]&lt;0.65),"MEDIO",Tabla1[[#This Row],[Porcentaje de muertes]]&gt;0.65,"GRAVE")</f>
        <v>LEVE</v>
      </c>
    </row>
    <row r="872" spans="2:24" x14ac:dyDescent="0.3">
      <c r="B872" s="9">
        <v>870</v>
      </c>
      <c r="C872" s="49">
        <v>17000</v>
      </c>
      <c r="D872" s="9">
        <f>YEAR(Tabla1[[#This Row],[Date]])</f>
        <v>1946</v>
      </c>
      <c r="E872" s="9" t="str" cm="1">
        <f t="array" ref="E872">IFERROR(_xlfn.IFS(AND(D872&lt;1980,D872&gt;=1970),"70",AND(D872&lt;1990,D872&gt;=1980),"80",AND(D872&lt;2000,D872&gt;=1990),"90",AND(D872&lt;2010,D872&gt;=2000),"00",AND(D872&lt;=2019,D872&gt;=2010),"10"),"1908-1970")</f>
        <v>1908-1970</v>
      </c>
      <c r="F872" s="3" t="s">
        <v>28931</v>
      </c>
      <c r="G872" t="s">
        <v>8699</v>
      </c>
      <c r="H872" t="s">
        <v>8700</v>
      </c>
      <c r="I872" t="s">
        <v>28931</v>
      </c>
      <c r="J872" t="s">
        <v>8701</v>
      </c>
      <c r="K872" t="s">
        <v>8702</v>
      </c>
      <c r="L872" s="7" t="s">
        <v>8703</v>
      </c>
      <c r="M872">
        <v>32982</v>
      </c>
      <c r="N872">
        <v>30</v>
      </c>
      <c r="O872">
        <v>27</v>
      </c>
      <c r="P872">
        <v>3</v>
      </c>
      <c r="Q872">
        <v>30</v>
      </c>
      <c r="R872">
        <v>27</v>
      </c>
      <c r="S872">
        <v>3</v>
      </c>
      <c r="T872">
        <v>0</v>
      </c>
      <c r="U872" t="s">
        <v>8704</v>
      </c>
      <c r="V872">
        <f>Tabla1[[#This Row],[Aboard]]-Tabla1[[#This Row],[Fatalities]]</f>
        <v>0</v>
      </c>
      <c r="W872" s="50">
        <f>IFERROR(Tabla1[[#This Row],[Fatalities]]/Tabla1[[#This Row],[Aboard]],0)</f>
        <v>1</v>
      </c>
      <c r="X872" s="51" t="str" cm="1">
        <f t="array" ref="X872">_xlfn.IFS(Tabla1[[#This Row],[Porcentaje de muertes]]&lt;0.35,"LEVE",AND(Tabla1[[#This Row],[Porcentaje de muertes]]&gt;0.35,Tabla1[[#This Row],[Porcentaje de muertes]]&lt;0.65),"MEDIO",Tabla1[[#This Row],[Porcentaje de muertes]]&gt;0.65,"GRAVE")</f>
        <v>GRAVE</v>
      </c>
    </row>
    <row r="873" spans="2:24" x14ac:dyDescent="0.3">
      <c r="B873" s="9">
        <v>871</v>
      </c>
      <c r="C873" s="49">
        <v>17001</v>
      </c>
      <c r="D873" s="9">
        <f>YEAR(Tabla1[[#This Row],[Date]])</f>
        <v>1946</v>
      </c>
      <c r="E873" s="9" t="str" cm="1">
        <f t="array" ref="E873">IFERROR(_xlfn.IFS(AND(D873&lt;1980,D873&gt;=1970),"70",AND(D873&lt;1990,D873&gt;=1980),"80",AND(D873&lt;2000,D873&gt;=1990),"90",AND(D873&lt;2010,D873&gt;=2000),"00",AND(D873&lt;=2019,D873&gt;=2010),"10"),"1908-1970")</f>
        <v>1908-1970</v>
      </c>
      <c r="F873" s="3">
        <v>0.88194444444444453</v>
      </c>
      <c r="G873" t="s">
        <v>8705</v>
      </c>
      <c r="H873" t="s">
        <v>8226</v>
      </c>
      <c r="I873" t="s">
        <v>28931</v>
      </c>
      <c r="J873" t="s">
        <v>8706</v>
      </c>
      <c r="K873" t="s">
        <v>7826</v>
      </c>
      <c r="L873" s="7" t="s">
        <v>28931</v>
      </c>
      <c r="M873" t="s">
        <v>28931</v>
      </c>
      <c r="N873">
        <v>13</v>
      </c>
      <c r="O873">
        <v>10</v>
      </c>
      <c r="P873">
        <v>3</v>
      </c>
      <c r="Q873">
        <v>13</v>
      </c>
      <c r="R873">
        <v>10</v>
      </c>
      <c r="S873">
        <v>3</v>
      </c>
      <c r="T873">
        <v>0</v>
      </c>
      <c r="U873" t="s">
        <v>8707</v>
      </c>
      <c r="V873">
        <f>Tabla1[[#This Row],[Aboard]]-Tabla1[[#This Row],[Fatalities]]</f>
        <v>0</v>
      </c>
      <c r="W873" s="50">
        <f>IFERROR(Tabla1[[#This Row],[Fatalities]]/Tabla1[[#This Row],[Aboard]],0)</f>
        <v>1</v>
      </c>
      <c r="X873" s="51" t="str" cm="1">
        <f t="array" ref="X873">_xlfn.IFS(Tabla1[[#This Row],[Porcentaje de muertes]]&lt;0.35,"LEVE",AND(Tabla1[[#This Row],[Porcentaje de muertes]]&gt;0.35,Tabla1[[#This Row],[Porcentaje de muertes]]&lt;0.65),"MEDIO",Tabla1[[#This Row],[Porcentaje de muertes]]&gt;0.65,"GRAVE")</f>
        <v>GRAVE</v>
      </c>
    </row>
    <row r="874" spans="2:24" x14ac:dyDescent="0.3">
      <c r="B874" s="9">
        <v>872</v>
      </c>
      <c r="C874" s="49">
        <v>17003</v>
      </c>
      <c r="D874" s="9">
        <f>YEAR(Tabla1[[#This Row],[Date]])</f>
        <v>1946</v>
      </c>
      <c r="E874" s="9" t="str" cm="1">
        <f t="array" ref="E874">IFERROR(_xlfn.IFS(AND(D874&lt;1980,D874&gt;=1970),"70",AND(D874&lt;1990,D874&gt;=1980),"80",AND(D874&lt;2000,D874&gt;=1990),"90",AND(D874&lt;2010,D874&gt;=2000),"00",AND(D874&lt;=2019,D874&gt;=2010),"10"),"1908-1970")</f>
        <v>1908-1970</v>
      </c>
      <c r="F874" s="3">
        <v>0.51041666666666663</v>
      </c>
      <c r="G874" t="s">
        <v>8708</v>
      </c>
      <c r="H874" t="s">
        <v>8709</v>
      </c>
      <c r="I874" t="s">
        <v>28931</v>
      </c>
      <c r="J874" t="s">
        <v>28931</v>
      </c>
      <c r="K874" t="s">
        <v>8710</v>
      </c>
      <c r="L874" s="7" t="s">
        <v>8711</v>
      </c>
      <c r="M874" t="s">
        <v>28931</v>
      </c>
      <c r="N874">
        <v>20</v>
      </c>
      <c r="O874" t="s">
        <v>5038</v>
      </c>
      <c r="P874" t="s">
        <v>5038</v>
      </c>
      <c r="Q874">
        <v>20</v>
      </c>
      <c r="R874" t="s">
        <v>5038</v>
      </c>
      <c r="S874" t="s">
        <v>5038</v>
      </c>
      <c r="T874">
        <v>0</v>
      </c>
      <c r="U874" t="s">
        <v>8712</v>
      </c>
      <c r="V874">
        <f>Tabla1[[#This Row],[Aboard]]-Tabla1[[#This Row],[Fatalities]]</f>
        <v>0</v>
      </c>
      <c r="W874" s="50">
        <f>IFERROR(Tabla1[[#This Row],[Fatalities]]/Tabla1[[#This Row],[Aboard]],0)</f>
        <v>1</v>
      </c>
      <c r="X874" s="51" t="str" cm="1">
        <f t="array" ref="X874">_xlfn.IFS(Tabla1[[#This Row],[Porcentaje de muertes]]&lt;0.35,"LEVE",AND(Tabla1[[#This Row],[Porcentaje de muertes]]&gt;0.35,Tabla1[[#This Row],[Porcentaje de muertes]]&lt;0.65),"MEDIO",Tabla1[[#This Row],[Porcentaje de muertes]]&gt;0.65,"GRAVE")</f>
        <v>GRAVE</v>
      </c>
    </row>
    <row r="875" spans="2:24" x14ac:dyDescent="0.3">
      <c r="B875" s="9">
        <v>873</v>
      </c>
      <c r="C875" s="49">
        <v>17008</v>
      </c>
      <c r="D875" s="9">
        <f>YEAR(Tabla1[[#This Row],[Date]])</f>
        <v>1946</v>
      </c>
      <c r="E875" s="9" t="str" cm="1">
        <f t="array" ref="E875">IFERROR(_xlfn.IFS(AND(D875&lt;1980,D875&gt;=1970),"70",AND(D875&lt;1990,D875&gt;=1980),"80",AND(D875&lt;2000,D875&gt;=1990),"90",AND(D875&lt;2010,D875&gt;=2000),"00",AND(D875&lt;=2019,D875&gt;=2010),"10"),"1908-1970")</f>
        <v>1908-1970</v>
      </c>
      <c r="F875" s="3" t="s">
        <v>28931</v>
      </c>
      <c r="G875" t="s">
        <v>8713</v>
      </c>
      <c r="H875" t="s">
        <v>7660</v>
      </c>
      <c r="I875" t="s">
        <v>28931</v>
      </c>
      <c r="J875" t="s">
        <v>28931</v>
      </c>
      <c r="K875" t="s">
        <v>8289</v>
      </c>
      <c r="L875" s="7" t="s">
        <v>8714</v>
      </c>
      <c r="M875">
        <v>33219</v>
      </c>
      <c r="N875">
        <v>22</v>
      </c>
      <c r="O875">
        <v>18</v>
      </c>
      <c r="P875">
        <v>4</v>
      </c>
      <c r="Q875">
        <v>22</v>
      </c>
      <c r="R875">
        <v>18</v>
      </c>
      <c r="S875">
        <v>4</v>
      </c>
      <c r="T875">
        <v>0</v>
      </c>
      <c r="U875" t="s">
        <v>8715</v>
      </c>
      <c r="V875">
        <f>Tabla1[[#This Row],[Aboard]]-Tabla1[[#This Row],[Fatalities]]</f>
        <v>0</v>
      </c>
      <c r="W875" s="50">
        <f>IFERROR(Tabla1[[#This Row],[Fatalities]]/Tabla1[[#This Row],[Aboard]],0)</f>
        <v>1</v>
      </c>
      <c r="X875" s="51" t="str" cm="1">
        <f t="array" ref="X875">_xlfn.IFS(Tabla1[[#This Row],[Porcentaje de muertes]]&lt;0.35,"LEVE",AND(Tabla1[[#This Row],[Porcentaje de muertes]]&gt;0.35,Tabla1[[#This Row],[Porcentaje de muertes]]&lt;0.65),"MEDIO",Tabla1[[#This Row],[Porcentaje de muertes]]&gt;0.65,"GRAVE")</f>
        <v>GRAVE</v>
      </c>
    </row>
    <row r="876" spans="2:24" x14ac:dyDescent="0.3">
      <c r="B876" s="9">
        <v>874</v>
      </c>
      <c r="C876" s="49">
        <v>17009</v>
      </c>
      <c r="D876" s="9">
        <f>YEAR(Tabla1[[#This Row],[Date]])</f>
        <v>1946</v>
      </c>
      <c r="E876" s="9" t="str" cm="1">
        <f t="array" ref="E876">IFERROR(_xlfn.IFS(AND(D876&lt;1980,D876&gt;=1970),"70",AND(D876&lt;1990,D876&gt;=1980),"80",AND(D876&lt;2000,D876&gt;=1990),"90",AND(D876&lt;2010,D876&gt;=2000),"00",AND(D876&lt;=2019,D876&gt;=2010),"10"),"1908-1970")</f>
        <v>1908-1970</v>
      </c>
      <c r="F876" s="3">
        <v>0.35416666666666669</v>
      </c>
      <c r="G876" t="s">
        <v>8716</v>
      </c>
      <c r="H876" t="s">
        <v>8717</v>
      </c>
      <c r="I876" t="s">
        <v>28931</v>
      </c>
      <c r="J876" t="s">
        <v>8718</v>
      </c>
      <c r="K876" t="s">
        <v>6158</v>
      </c>
      <c r="L876" s="7" t="s">
        <v>8719</v>
      </c>
      <c r="M876" t="s">
        <v>28931</v>
      </c>
      <c r="N876">
        <v>9</v>
      </c>
      <c r="O876" t="s">
        <v>5038</v>
      </c>
      <c r="P876" t="s">
        <v>5038</v>
      </c>
      <c r="Q876">
        <v>9</v>
      </c>
      <c r="R876" t="s">
        <v>5038</v>
      </c>
      <c r="S876" t="s">
        <v>5038</v>
      </c>
      <c r="T876">
        <v>0</v>
      </c>
      <c r="U876" t="s">
        <v>8720</v>
      </c>
      <c r="V876">
        <f>Tabla1[[#This Row],[Aboard]]-Tabla1[[#This Row],[Fatalities]]</f>
        <v>0</v>
      </c>
      <c r="W876" s="50">
        <f>IFERROR(Tabla1[[#This Row],[Fatalities]]/Tabla1[[#This Row],[Aboard]],0)</f>
        <v>1</v>
      </c>
      <c r="X876" s="51" t="str" cm="1">
        <f t="array" ref="X876">_xlfn.IFS(Tabla1[[#This Row],[Porcentaje de muertes]]&lt;0.35,"LEVE",AND(Tabla1[[#This Row],[Porcentaje de muertes]]&gt;0.35,Tabla1[[#This Row],[Porcentaje de muertes]]&lt;0.65),"MEDIO",Tabla1[[#This Row],[Porcentaje de muertes]]&gt;0.65,"GRAVE")</f>
        <v>GRAVE</v>
      </c>
    </row>
    <row r="877" spans="2:24" x14ac:dyDescent="0.3">
      <c r="B877" s="9">
        <v>875</v>
      </c>
      <c r="C877" s="49">
        <v>16991</v>
      </c>
      <c r="D877" s="9">
        <f>YEAR(Tabla1[[#This Row],[Date]])</f>
        <v>1946</v>
      </c>
      <c r="E877" s="9" t="str" cm="1">
        <f t="array" ref="E877">IFERROR(_xlfn.IFS(AND(D877&lt;1980,D877&gt;=1970),"70",AND(D877&lt;1990,D877&gt;=1980),"80",AND(D877&lt;2000,D877&gt;=1990),"90",AND(D877&lt;2010,D877&gt;=2000),"00",AND(D877&lt;=2019,D877&gt;=2010),"10"),"1908-1970")</f>
        <v>1908-1970</v>
      </c>
      <c r="F877" s="3" t="s">
        <v>28931</v>
      </c>
      <c r="G877" t="s">
        <v>8660</v>
      </c>
      <c r="H877" t="s">
        <v>8721</v>
      </c>
      <c r="I877" t="s">
        <v>28931</v>
      </c>
      <c r="J877" t="s">
        <v>8722</v>
      </c>
      <c r="K877" t="s">
        <v>8723</v>
      </c>
      <c r="L877" s="7" t="s">
        <v>8724</v>
      </c>
      <c r="M877">
        <v>12348</v>
      </c>
      <c r="N877">
        <v>16</v>
      </c>
      <c r="O877">
        <v>11</v>
      </c>
      <c r="P877">
        <v>5</v>
      </c>
      <c r="Q877">
        <v>3</v>
      </c>
      <c r="R877">
        <v>0</v>
      </c>
      <c r="S877">
        <v>3</v>
      </c>
      <c r="T877">
        <v>0</v>
      </c>
      <c r="U877" t="s">
        <v>8725</v>
      </c>
      <c r="V877">
        <f>Tabla1[[#This Row],[Aboard]]-Tabla1[[#This Row],[Fatalities]]</f>
        <v>13</v>
      </c>
      <c r="W877" s="50">
        <f>IFERROR(Tabla1[[#This Row],[Fatalities]]/Tabla1[[#This Row],[Aboard]],0)</f>
        <v>0.1875</v>
      </c>
      <c r="X877" s="51" t="str" cm="1">
        <f t="array" ref="X877">_xlfn.IFS(Tabla1[[#This Row],[Porcentaje de muertes]]&lt;0.35,"LEVE",AND(Tabla1[[#This Row],[Porcentaje de muertes]]&gt;0.35,Tabla1[[#This Row],[Porcentaje de muertes]]&lt;0.65),"MEDIO",Tabla1[[#This Row],[Porcentaje de muertes]]&gt;0.65,"GRAVE")</f>
        <v>LEVE</v>
      </c>
    </row>
    <row r="878" spans="2:24" x14ac:dyDescent="0.3">
      <c r="B878" s="9">
        <v>876</v>
      </c>
      <c r="C878" s="49">
        <v>17053</v>
      </c>
      <c r="D878" s="9">
        <f>YEAR(Tabla1[[#This Row],[Date]])</f>
        <v>1946</v>
      </c>
      <c r="E878" s="9" t="str" cm="1">
        <f t="array" ref="E878">IFERROR(_xlfn.IFS(AND(D878&lt;1980,D878&gt;=1970),"70",AND(D878&lt;1990,D878&gt;=1980),"80",AND(D878&lt;2000,D878&gt;=1990),"90",AND(D878&lt;2010,D878&gt;=2000),"00",AND(D878&lt;=2019,D878&gt;=2010),"10"),"1908-1970")</f>
        <v>1908-1970</v>
      </c>
      <c r="F878" s="3" t="s">
        <v>28931</v>
      </c>
      <c r="G878" t="s">
        <v>6996</v>
      </c>
      <c r="H878" t="s">
        <v>8726</v>
      </c>
      <c r="I878" t="s">
        <v>28931</v>
      </c>
      <c r="J878" t="s">
        <v>8727</v>
      </c>
      <c r="K878" t="s">
        <v>8047</v>
      </c>
      <c r="L878" s="7" t="s">
        <v>28931</v>
      </c>
      <c r="M878" t="s">
        <v>28931</v>
      </c>
      <c r="N878">
        <v>6</v>
      </c>
      <c r="O878">
        <v>4</v>
      </c>
      <c r="P878">
        <v>2</v>
      </c>
      <c r="Q878">
        <v>4</v>
      </c>
      <c r="R878">
        <v>2</v>
      </c>
      <c r="S878">
        <v>2</v>
      </c>
      <c r="T878">
        <v>0</v>
      </c>
      <c r="U878" t="s">
        <v>8728</v>
      </c>
      <c r="V878">
        <f>Tabla1[[#This Row],[Aboard]]-Tabla1[[#This Row],[Fatalities]]</f>
        <v>2</v>
      </c>
      <c r="W878" s="50">
        <f>IFERROR(Tabla1[[#This Row],[Fatalities]]/Tabla1[[#This Row],[Aboard]],0)</f>
        <v>0.66666666666666663</v>
      </c>
      <c r="X878" s="51" t="str" cm="1">
        <f t="array" ref="X878">_xlfn.IFS(Tabla1[[#This Row],[Porcentaje de muertes]]&lt;0.35,"LEVE",AND(Tabla1[[#This Row],[Porcentaje de muertes]]&gt;0.35,Tabla1[[#This Row],[Porcentaje de muertes]]&lt;0.65),"MEDIO",Tabla1[[#This Row],[Porcentaje de muertes]]&gt;0.65,"GRAVE")</f>
        <v>GRAVE</v>
      </c>
    </row>
    <row r="879" spans="2:24" x14ac:dyDescent="0.3">
      <c r="B879" s="9">
        <v>877</v>
      </c>
      <c r="C879" s="49">
        <v>17028</v>
      </c>
      <c r="D879" s="9">
        <f>YEAR(Tabla1[[#This Row],[Date]])</f>
        <v>1946</v>
      </c>
      <c r="E879" s="9" t="str" cm="1">
        <f t="array" ref="E879">IFERROR(_xlfn.IFS(AND(D879&lt;1980,D879&gt;=1970),"70",AND(D879&lt;1990,D879&gt;=1980),"80",AND(D879&lt;2000,D879&gt;=1990),"90",AND(D879&lt;2010,D879&gt;=2000),"00",AND(D879&lt;=2019,D879&gt;=2010),"10"),"1908-1970")</f>
        <v>1908-1970</v>
      </c>
      <c r="F879" s="3" t="s">
        <v>28931</v>
      </c>
      <c r="G879" t="s">
        <v>8729</v>
      </c>
      <c r="H879" t="s">
        <v>7716</v>
      </c>
      <c r="I879" t="s">
        <v>28931</v>
      </c>
      <c r="J879" t="s">
        <v>28931</v>
      </c>
      <c r="K879" t="s">
        <v>8105</v>
      </c>
      <c r="L879" s="7" t="s">
        <v>8730</v>
      </c>
      <c r="M879">
        <v>10103</v>
      </c>
      <c r="N879">
        <v>5</v>
      </c>
      <c r="O879">
        <v>0</v>
      </c>
      <c r="P879">
        <v>5</v>
      </c>
      <c r="Q879">
        <v>1</v>
      </c>
      <c r="R879">
        <v>0</v>
      </c>
      <c r="S879">
        <v>1</v>
      </c>
      <c r="T879">
        <v>0</v>
      </c>
      <c r="U879" t="s">
        <v>8731</v>
      </c>
      <c r="V879">
        <f>Tabla1[[#This Row],[Aboard]]-Tabla1[[#This Row],[Fatalities]]</f>
        <v>4</v>
      </c>
      <c r="W879" s="50">
        <f>IFERROR(Tabla1[[#This Row],[Fatalities]]/Tabla1[[#This Row],[Aboard]],0)</f>
        <v>0.2</v>
      </c>
      <c r="X879" s="51" t="str" cm="1">
        <f t="array" ref="X879">_xlfn.IFS(Tabla1[[#This Row],[Porcentaje de muertes]]&lt;0.35,"LEVE",AND(Tabla1[[#This Row],[Porcentaje de muertes]]&gt;0.35,Tabla1[[#This Row],[Porcentaje de muertes]]&lt;0.65),"MEDIO",Tabla1[[#This Row],[Porcentaje de muertes]]&gt;0.65,"GRAVE")</f>
        <v>LEVE</v>
      </c>
    </row>
    <row r="880" spans="2:24" x14ac:dyDescent="0.3">
      <c r="B880" s="9">
        <v>878</v>
      </c>
      <c r="C880" s="49">
        <v>17034</v>
      </c>
      <c r="D880" s="9">
        <f>YEAR(Tabla1[[#This Row],[Date]])</f>
        <v>1946</v>
      </c>
      <c r="E880" s="9" t="str" cm="1">
        <f t="array" ref="E880">IFERROR(_xlfn.IFS(AND(D880&lt;1980,D880&gt;=1970),"70",AND(D880&lt;1990,D880&gt;=1980),"80",AND(D880&lt;2000,D880&gt;=1990),"90",AND(D880&lt;2010,D880&gt;=2000),"00",AND(D880&lt;=2019,D880&gt;=2010),"10"),"1908-1970")</f>
        <v>1908-1970</v>
      </c>
      <c r="F880" s="3">
        <v>0.26041666666666669</v>
      </c>
      <c r="G880" t="s">
        <v>8732</v>
      </c>
      <c r="H880" t="s">
        <v>7521</v>
      </c>
      <c r="I880" t="s">
        <v>28931</v>
      </c>
      <c r="J880" t="s">
        <v>8733</v>
      </c>
      <c r="K880" t="s">
        <v>8629</v>
      </c>
      <c r="L880" s="7" t="s">
        <v>8734</v>
      </c>
      <c r="M880">
        <v>1186</v>
      </c>
      <c r="N880">
        <v>9</v>
      </c>
      <c r="O880">
        <v>0</v>
      </c>
      <c r="P880">
        <v>9</v>
      </c>
      <c r="Q880">
        <v>8</v>
      </c>
      <c r="R880">
        <v>0</v>
      </c>
      <c r="S880">
        <v>8</v>
      </c>
      <c r="T880">
        <v>0</v>
      </c>
      <c r="U880" t="s">
        <v>8735</v>
      </c>
      <c r="V880">
        <f>Tabla1[[#This Row],[Aboard]]-Tabla1[[#This Row],[Fatalities]]</f>
        <v>1</v>
      </c>
      <c r="W880" s="50">
        <f>IFERROR(Tabla1[[#This Row],[Fatalities]]/Tabla1[[#This Row],[Aboard]],0)</f>
        <v>0.88888888888888884</v>
      </c>
      <c r="X880" s="51" t="str" cm="1">
        <f t="array" ref="X880">_xlfn.IFS(Tabla1[[#This Row],[Porcentaje de muertes]]&lt;0.35,"LEVE",AND(Tabla1[[#This Row],[Porcentaje de muertes]]&gt;0.35,Tabla1[[#This Row],[Porcentaje de muertes]]&lt;0.65),"MEDIO",Tabla1[[#This Row],[Porcentaje de muertes]]&gt;0.65,"GRAVE")</f>
        <v>GRAVE</v>
      </c>
    </row>
    <row r="881" spans="2:24" x14ac:dyDescent="0.3">
      <c r="B881" s="9">
        <v>879</v>
      </c>
      <c r="C881" s="49">
        <v>17035</v>
      </c>
      <c r="D881" s="9">
        <f>YEAR(Tabla1[[#This Row],[Date]])</f>
        <v>1946</v>
      </c>
      <c r="E881" s="9" t="str" cm="1">
        <f t="array" ref="E881">IFERROR(_xlfn.IFS(AND(D881&lt;1980,D881&gt;=1970),"70",AND(D881&lt;1990,D881&gt;=1980),"80",AND(D881&lt;2000,D881&gt;=1990),"90",AND(D881&lt;2010,D881&gt;=2000),"00",AND(D881&lt;=2019,D881&gt;=2010),"10"),"1908-1970")</f>
        <v>1908-1970</v>
      </c>
      <c r="F881" s="3">
        <v>0.17986111111111111</v>
      </c>
      <c r="G881" t="s">
        <v>8736</v>
      </c>
      <c r="H881" t="s">
        <v>8737</v>
      </c>
      <c r="I881">
        <v>878</v>
      </c>
      <c r="J881" t="s">
        <v>8738</v>
      </c>
      <c r="K881" t="s">
        <v>7934</v>
      </c>
      <c r="L881" s="7" t="s">
        <v>8739</v>
      </c>
      <c r="M881">
        <v>4542</v>
      </c>
      <c r="N881">
        <v>25</v>
      </c>
      <c r="O881">
        <v>22</v>
      </c>
      <c r="P881">
        <v>3</v>
      </c>
      <c r="Q881">
        <v>2</v>
      </c>
      <c r="R881">
        <v>0</v>
      </c>
      <c r="S881">
        <v>2</v>
      </c>
      <c r="T881">
        <v>0</v>
      </c>
      <c r="U881" t="s">
        <v>8740</v>
      </c>
      <c r="V881">
        <f>Tabla1[[#This Row],[Aboard]]-Tabla1[[#This Row],[Fatalities]]</f>
        <v>23</v>
      </c>
      <c r="W881" s="50">
        <f>IFERROR(Tabla1[[#This Row],[Fatalities]]/Tabla1[[#This Row],[Aboard]],0)</f>
        <v>0.08</v>
      </c>
      <c r="X881" s="51" t="str" cm="1">
        <f t="array" ref="X881">_xlfn.IFS(Tabla1[[#This Row],[Porcentaje de muertes]]&lt;0.35,"LEVE",AND(Tabla1[[#This Row],[Porcentaje de muertes]]&gt;0.35,Tabla1[[#This Row],[Porcentaje de muertes]]&lt;0.65),"MEDIO",Tabla1[[#This Row],[Porcentaje de muertes]]&gt;0.65,"GRAVE")</f>
        <v>LEVE</v>
      </c>
    </row>
    <row r="882" spans="2:24" x14ac:dyDescent="0.3">
      <c r="B882" s="9">
        <v>880</v>
      </c>
      <c r="C882" s="49">
        <v>17038</v>
      </c>
      <c r="D882" s="9">
        <f>YEAR(Tabla1[[#This Row],[Date]])</f>
        <v>1946</v>
      </c>
      <c r="E882" s="9" t="str" cm="1">
        <f t="array" ref="E882">IFERROR(_xlfn.IFS(AND(D882&lt;1980,D882&gt;=1970),"70",AND(D882&lt;1990,D882&gt;=1980),"80",AND(D882&lt;2000,D882&gt;=1990),"90",AND(D882&lt;2010,D882&gt;=2000),"00",AND(D882&lt;=2019,D882&gt;=2010),"10"),"1908-1970")</f>
        <v>1908-1970</v>
      </c>
      <c r="F882" s="3" t="s">
        <v>28931</v>
      </c>
      <c r="G882" t="s">
        <v>6648</v>
      </c>
      <c r="H882" t="s">
        <v>6563</v>
      </c>
      <c r="I882" t="s">
        <v>28931</v>
      </c>
      <c r="J882" t="s">
        <v>28931</v>
      </c>
      <c r="K882" t="s">
        <v>8741</v>
      </c>
      <c r="L882" s="7" t="s">
        <v>8742</v>
      </c>
      <c r="M882">
        <v>1272</v>
      </c>
      <c r="N882">
        <v>9</v>
      </c>
      <c r="O882" t="s">
        <v>5038</v>
      </c>
      <c r="P882" t="s">
        <v>5038</v>
      </c>
      <c r="Q882">
        <v>6</v>
      </c>
      <c r="R882" t="s">
        <v>5038</v>
      </c>
      <c r="S882" t="s">
        <v>5038</v>
      </c>
      <c r="T882">
        <v>0</v>
      </c>
      <c r="U882" t="s">
        <v>8743</v>
      </c>
      <c r="V882">
        <f>Tabla1[[#This Row],[Aboard]]-Tabla1[[#This Row],[Fatalities]]</f>
        <v>3</v>
      </c>
      <c r="W882" s="50">
        <f>IFERROR(Tabla1[[#This Row],[Fatalities]]/Tabla1[[#This Row],[Aboard]],0)</f>
        <v>0.66666666666666663</v>
      </c>
      <c r="X882" s="51" t="str" cm="1">
        <f t="array" ref="X882">_xlfn.IFS(Tabla1[[#This Row],[Porcentaje de muertes]]&lt;0.35,"LEVE",AND(Tabla1[[#This Row],[Porcentaje de muertes]]&gt;0.35,Tabla1[[#This Row],[Porcentaje de muertes]]&lt;0.65),"MEDIO",Tabla1[[#This Row],[Porcentaje de muertes]]&gt;0.65,"GRAVE")</f>
        <v>GRAVE</v>
      </c>
    </row>
    <row r="883" spans="2:24" x14ac:dyDescent="0.3">
      <c r="B883" s="9">
        <v>881</v>
      </c>
      <c r="C883" s="49">
        <v>17045</v>
      </c>
      <c r="D883" s="9">
        <f>YEAR(Tabla1[[#This Row],[Date]])</f>
        <v>1946</v>
      </c>
      <c r="E883" s="9" t="str" cm="1">
        <f t="array" ref="E883">IFERROR(_xlfn.IFS(AND(D883&lt;1980,D883&gt;=1970),"70",AND(D883&lt;1990,D883&gt;=1980),"80",AND(D883&lt;2000,D883&gt;=1990),"90",AND(D883&lt;2010,D883&gt;=2000),"00",AND(D883&lt;=2019,D883&gt;=2010),"10"),"1908-1970")</f>
        <v>1908-1970</v>
      </c>
      <c r="F883" s="3" t="s">
        <v>28931</v>
      </c>
      <c r="G883" t="s">
        <v>8744</v>
      </c>
      <c r="H883" t="s">
        <v>8745</v>
      </c>
      <c r="I883" t="s">
        <v>28931</v>
      </c>
      <c r="J883" t="s">
        <v>8746</v>
      </c>
      <c r="K883" t="s">
        <v>8747</v>
      </c>
      <c r="L883" s="7" t="s">
        <v>8748</v>
      </c>
      <c r="M883" t="s">
        <v>28931</v>
      </c>
      <c r="N883">
        <v>7</v>
      </c>
      <c r="O883">
        <v>3</v>
      </c>
      <c r="P883">
        <v>4</v>
      </c>
      <c r="Q883">
        <v>7</v>
      </c>
      <c r="R883">
        <v>3</v>
      </c>
      <c r="S883">
        <v>4</v>
      </c>
      <c r="T883">
        <v>0</v>
      </c>
      <c r="U883" t="s">
        <v>8749</v>
      </c>
      <c r="V883">
        <f>Tabla1[[#This Row],[Aboard]]-Tabla1[[#This Row],[Fatalities]]</f>
        <v>0</v>
      </c>
      <c r="W883" s="50">
        <f>IFERROR(Tabla1[[#This Row],[Fatalities]]/Tabla1[[#This Row],[Aboard]],0)</f>
        <v>1</v>
      </c>
      <c r="X883" s="51" t="str" cm="1">
        <f t="array" ref="X883">_xlfn.IFS(Tabla1[[#This Row],[Porcentaje de muertes]]&lt;0.35,"LEVE",AND(Tabla1[[#This Row],[Porcentaje de muertes]]&gt;0.35,Tabla1[[#This Row],[Porcentaje de muertes]]&lt;0.65),"MEDIO",Tabla1[[#This Row],[Porcentaje de muertes]]&gt;0.65,"GRAVE")</f>
        <v>GRAVE</v>
      </c>
    </row>
    <row r="884" spans="2:24" x14ac:dyDescent="0.3">
      <c r="B884" s="9">
        <v>882</v>
      </c>
      <c r="C884" s="49">
        <v>16870</v>
      </c>
      <c r="D884" s="9">
        <f>YEAR(Tabla1[[#This Row],[Date]])</f>
        <v>1946</v>
      </c>
      <c r="E884" s="9" t="str" cm="1">
        <f t="array" ref="E884">IFERROR(_xlfn.IFS(AND(D884&lt;1980,D884&gt;=1970),"70",AND(D884&lt;1990,D884&gt;=1980),"80",AND(D884&lt;2000,D884&gt;=1990),"90",AND(D884&lt;2010,D884&gt;=2000),"00",AND(D884&lt;=2019,D884&gt;=2010),"10"),"1908-1970")</f>
        <v>1908-1970</v>
      </c>
      <c r="F884" s="3">
        <v>0.70833333333333337</v>
      </c>
      <c r="G884" t="s">
        <v>8750</v>
      </c>
      <c r="H884" t="s">
        <v>6375</v>
      </c>
      <c r="I884" t="s">
        <v>28931</v>
      </c>
      <c r="J884" t="s">
        <v>8751</v>
      </c>
      <c r="K884" t="s">
        <v>8752</v>
      </c>
      <c r="L884" s="7" t="s">
        <v>8753</v>
      </c>
      <c r="M884">
        <v>11714</v>
      </c>
      <c r="N884">
        <v>22</v>
      </c>
      <c r="O884">
        <v>17</v>
      </c>
      <c r="P884">
        <v>5</v>
      </c>
      <c r="Q884">
        <v>22</v>
      </c>
      <c r="R884">
        <v>17</v>
      </c>
      <c r="S884">
        <v>5</v>
      </c>
      <c r="T884">
        <v>0</v>
      </c>
      <c r="U884" t="s">
        <v>8754</v>
      </c>
      <c r="V884">
        <f>Tabla1[[#This Row],[Aboard]]-Tabla1[[#This Row],[Fatalities]]</f>
        <v>0</v>
      </c>
      <c r="W884" s="50">
        <f>IFERROR(Tabla1[[#This Row],[Fatalities]]/Tabla1[[#This Row],[Aboard]],0)</f>
        <v>1</v>
      </c>
      <c r="X884" s="51" t="str" cm="1">
        <f t="array" ref="X884">_xlfn.IFS(Tabla1[[#This Row],[Porcentaje de muertes]]&lt;0.35,"LEVE",AND(Tabla1[[#This Row],[Porcentaje de muertes]]&gt;0.35,Tabla1[[#This Row],[Porcentaje de muertes]]&lt;0.65),"MEDIO",Tabla1[[#This Row],[Porcentaje de muertes]]&gt;0.65,"GRAVE")</f>
        <v>GRAVE</v>
      </c>
    </row>
    <row r="885" spans="2:24" x14ac:dyDescent="0.3">
      <c r="B885" s="9">
        <v>883</v>
      </c>
      <c r="C885" s="49">
        <v>16901</v>
      </c>
      <c r="D885" s="9">
        <f>YEAR(Tabla1[[#This Row],[Date]])</f>
        <v>1946</v>
      </c>
      <c r="E885" s="9" t="str" cm="1">
        <f t="array" ref="E885">IFERROR(_xlfn.IFS(AND(D885&lt;1980,D885&gt;=1970),"70",AND(D885&lt;1990,D885&gt;=1980),"80",AND(D885&lt;2000,D885&gt;=1990),"90",AND(D885&lt;2010,D885&gt;=2000),"00",AND(D885&lt;=2019,D885&gt;=2010),"10"),"1908-1970")</f>
        <v>1908-1970</v>
      </c>
      <c r="F885" s="3">
        <v>0.38541666666666669</v>
      </c>
      <c r="G885" t="s">
        <v>8755</v>
      </c>
      <c r="H885" t="s">
        <v>6375</v>
      </c>
      <c r="I885" t="s">
        <v>28931</v>
      </c>
      <c r="J885" t="s">
        <v>5562</v>
      </c>
      <c r="K885" t="s">
        <v>7057</v>
      </c>
      <c r="L885" s="7" t="s">
        <v>8756</v>
      </c>
      <c r="M885">
        <v>42975</v>
      </c>
      <c r="N885">
        <v>26</v>
      </c>
      <c r="O885">
        <v>21</v>
      </c>
      <c r="P885">
        <v>5</v>
      </c>
      <c r="Q885">
        <v>20</v>
      </c>
      <c r="R885">
        <v>18</v>
      </c>
      <c r="S885">
        <v>2</v>
      </c>
      <c r="T885">
        <v>1</v>
      </c>
      <c r="U885" t="s">
        <v>8757</v>
      </c>
      <c r="V885">
        <f>Tabla1[[#This Row],[Aboard]]-Tabla1[[#This Row],[Fatalities]]</f>
        <v>6</v>
      </c>
      <c r="W885" s="50">
        <f>IFERROR(Tabla1[[#This Row],[Fatalities]]/Tabla1[[#This Row],[Aboard]],0)</f>
        <v>0.76923076923076927</v>
      </c>
      <c r="X885" s="51" t="str" cm="1">
        <f t="array" ref="X885">_xlfn.IFS(Tabla1[[#This Row],[Porcentaje de muertes]]&lt;0.35,"LEVE",AND(Tabla1[[#This Row],[Porcentaje de muertes]]&gt;0.35,Tabla1[[#This Row],[Porcentaje de muertes]]&lt;0.65),"MEDIO",Tabla1[[#This Row],[Porcentaje de muertes]]&gt;0.65,"GRAVE")</f>
        <v>GRAVE</v>
      </c>
    </row>
    <row r="886" spans="2:24" x14ac:dyDescent="0.3">
      <c r="B886" s="9">
        <v>884</v>
      </c>
      <c r="C886" s="49">
        <v>16931</v>
      </c>
      <c r="D886" s="9">
        <f>YEAR(Tabla1[[#This Row],[Date]])</f>
        <v>1946</v>
      </c>
      <c r="E886" s="9" t="str" cm="1">
        <f t="array" ref="E886">IFERROR(_xlfn.IFS(AND(D886&lt;1980,D886&gt;=1970),"70",AND(D886&lt;1990,D886&gt;=1980),"80",AND(D886&lt;2000,D886&gt;=1990),"90",AND(D886&lt;2010,D886&gt;=2000),"00",AND(D886&lt;=2019,D886&gt;=2010),"10"),"1908-1970")</f>
        <v>1908-1970</v>
      </c>
      <c r="F886" s="3">
        <v>8.3333333333333329E-2</v>
      </c>
      <c r="G886" t="s">
        <v>5192</v>
      </c>
      <c r="H886" t="s">
        <v>8758</v>
      </c>
      <c r="I886">
        <v>850</v>
      </c>
      <c r="J886" t="s">
        <v>8759</v>
      </c>
      <c r="K886" t="s">
        <v>8760</v>
      </c>
      <c r="L886" s="7" t="s">
        <v>8761</v>
      </c>
      <c r="M886">
        <v>9214</v>
      </c>
      <c r="N886">
        <v>22</v>
      </c>
      <c r="O886">
        <v>19</v>
      </c>
      <c r="P886">
        <v>3</v>
      </c>
      <c r="Q886">
        <v>21</v>
      </c>
      <c r="R886">
        <v>18</v>
      </c>
      <c r="S886">
        <v>3</v>
      </c>
      <c r="T886">
        <v>0</v>
      </c>
      <c r="U886" t="s">
        <v>8762</v>
      </c>
      <c r="V886">
        <f>Tabla1[[#This Row],[Aboard]]-Tabla1[[#This Row],[Fatalities]]</f>
        <v>1</v>
      </c>
      <c r="W886" s="50">
        <f>IFERROR(Tabla1[[#This Row],[Fatalities]]/Tabla1[[#This Row],[Aboard]],0)</f>
        <v>0.95454545454545459</v>
      </c>
      <c r="X886" s="51" t="str" cm="1">
        <f t="array" ref="X886">_xlfn.IFS(Tabla1[[#This Row],[Porcentaje de muertes]]&lt;0.35,"LEVE",AND(Tabla1[[#This Row],[Porcentaje de muertes]]&gt;0.35,Tabla1[[#This Row],[Porcentaje de muertes]]&lt;0.65),"MEDIO",Tabla1[[#This Row],[Porcentaje de muertes]]&gt;0.65,"GRAVE")</f>
        <v>GRAVE</v>
      </c>
    </row>
    <row r="887" spans="2:24" x14ac:dyDescent="0.3">
      <c r="B887" s="9">
        <v>885</v>
      </c>
      <c r="C887" s="49">
        <v>16992</v>
      </c>
      <c r="D887" s="9">
        <f>YEAR(Tabla1[[#This Row],[Date]])</f>
        <v>1946</v>
      </c>
      <c r="E887" s="9" t="str" cm="1">
        <f t="array" ref="E887">IFERROR(_xlfn.IFS(AND(D887&lt;1980,D887&gt;=1970),"70",AND(D887&lt;1990,D887&gt;=1980),"80",AND(D887&lt;2000,D887&gt;=1990),"90",AND(D887&lt;2010,D887&gt;=2000),"00",AND(D887&lt;=2019,D887&gt;=2010),"10"),"1908-1970")</f>
        <v>1908-1970</v>
      </c>
      <c r="F887" s="3" t="s">
        <v>28931</v>
      </c>
      <c r="G887" t="s">
        <v>6978</v>
      </c>
      <c r="H887" t="s">
        <v>8763</v>
      </c>
      <c r="I887" t="s">
        <v>28931</v>
      </c>
      <c r="J887" t="s">
        <v>8764</v>
      </c>
      <c r="K887" t="s">
        <v>8765</v>
      </c>
      <c r="L887" s="7" t="s">
        <v>8766</v>
      </c>
      <c r="M887">
        <v>1300</v>
      </c>
      <c r="N887">
        <v>24</v>
      </c>
      <c r="O887">
        <v>20</v>
      </c>
      <c r="P887">
        <v>4</v>
      </c>
      <c r="Q887">
        <v>24</v>
      </c>
      <c r="R887">
        <v>20</v>
      </c>
      <c r="S887">
        <v>4</v>
      </c>
      <c r="T887">
        <v>0</v>
      </c>
      <c r="U887" t="s">
        <v>8767</v>
      </c>
      <c r="V887">
        <f>Tabla1[[#This Row],[Aboard]]-Tabla1[[#This Row],[Fatalities]]</f>
        <v>0</v>
      </c>
      <c r="W887" s="50">
        <f>IFERROR(Tabla1[[#This Row],[Fatalities]]/Tabla1[[#This Row],[Aboard]],0)</f>
        <v>1</v>
      </c>
      <c r="X887" s="51" t="str" cm="1">
        <f t="array" ref="X887">_xlfn.IFS(Tabla1[[#This Row],[Porcentaje de muertes]]&lt;0.35,"LEVE",AND(Tabla1[[#This Row],[Porcentaje de muertes]]&gt;0.35,Tabla1[[#This Row],[Porcentaje de muertes]]&lt;0.65),"MEDIO",Tabla1[[#This Row],[Porcentaje de muertes]]&gt;0.65,"GRAVE")</f>
        <v>GRAVE</v>
      </c>
    </row>
    <row r="888" spans="2:24" x14ac:dyDescent="0.3">
      <c r="B888" s="9">
        <v>886</v>
      </c>
      <c r="C888" s="49">
        <v>16992</v>
      </c>
      <c r="D888" s="9">
        <f>YEAR(Tabla1[[#This Row],[Date]])</f>
        <v>1946</v>
      </c>
      <c r="E888" s="9" t="str" cm="1">
        <f t="array" ref="E888">IFERROR(_xlfn.IFS(AND(D888&lt;1980,D888&gt;=1970),"70",AND(D888&lt;1990,D888&gt;=1980),"80",AND(D888&lt;2000,D888&gt;=1990),"90",AND(D888&lt;2010,D888&gt;=2000),"00",AND(D888&lt;=2019,D888&gt;=2010),"10"),"1908-1970")</f>
        <v>1908-1970</v>
      </c>
      <c r="F888" s="3" t="s">
        <v>28931</v>
      </c>
      <c r="G888" t="s">
        <v>8768</v>
      </c>
      <c r="H888" t="s">
        <v>8769</v>
      </c>
      <c r="I888" t="s">
        <v>28931</v>
      </c>
      <c r="J888" t="s">
        <v>28931</v>
      </c>
      <c r="K888" t="s">
        <v>8105</v>
      </c>
      <c r="L888" s="7" t="s">
        <v>28931</v>
      </c>
      <c r="M888" t="s">
        <v>28931</v>
      </c>
      <c r="N888">
        <v>4</v>
      </c>
      <c r="O888">
        <v>2</v>
      </c>
      <c r="P888">
        <v>2</v>
      </c>
      <c r="Q888">
        <v>4</v>
      </c>
      <c r="R888">
        <v>2</v>
      </c>
      <c r="S888">
        <v>2</v>
      </c>
      <c r="T888">
        <v>0</v>
      </c>
      <c r="U888" t="s">
        <v>8770</v>
      </c>
      <c r="V888">
        <f>Tabla1[[#This Row],[Aboard]]-Tabla1[[#This Row],[Fatalities]]</f>
        <v>0</v>
      </c>
      <c r="W888" s="50">
        <f>IFERROR(Tabla1[[#This Row],[Fatalities]]/Tabla1[[#This Row],[Aboard]],0)</f>
        <v>1</v>
      </c>
      <c r="X888" s="51" t="str" cm="1">
        <f t="array" ref="X888">_xlfn.IFS(Tabla1[[#This Row],[Porcentaje de muertes]]&lt;0.35,"LEVE",AND(Tabla1[[#This Row],[Porcentaje de muertes]]&gt;0.35,Tabla1[[#This Row],[Porcentaje de muertes]]&lt;0.65),"MEDIO",Tabla1[[#This Row],[Porcentaje de muertes]]&gt;0.65,"GRAVE")</f>
        <v>GRAVE</v>
      </c>
    </row>
    <row r="889" spans="2:24" x14ac:dyDescent="0.3">
      <c r="B889" s="9">
        <v>887</v>
      </c>
      <c r="C889" s="49">
        <v>17060</v>
      </c>
      <c r="D889" s="9">
        <f>YEAR(Tabla1[[#This Row],[Date]])</f>
        <v>1946</v>
      </c>
      <c r="E889" s="9" t="str" cm="1">
        <f t="array" ref="E889">IFERROR(_xlfn.IFS(AND(D889&lt;1980,D889&gt;=1970),"70",AND(D889&lt;1990,D889&gt;=1980),"80",AND(D889&lt;2000,D889&gt;=1990),"90",AND(D889&lt;2010,D889&gt;=2000),"00",AND(D889&lt;=2019,D889&gt;=2010),"10"),"1908-1970")</f>
        <v>1908-1970</v>
      </c>
      <c r="F889" s="3" t="s">
        <v>28931</v>
      </c>
      <c r="G889" t="s">
        <v>8771</v>
      </c>
      <c r="H889" t="s">
        <v>8021</v>
      </c>
      <c r="I889" t="s">
        <v>28931</v>
      </c>
      <c r="J889" t="s">
        <v>28931</v>
      </c>
      <c r="K889" t="s">
        <v>8772</v>
      </c>
      <c r="L889" s="7">
        <v>962</v>
      </c>
      <c r="M889">
        <v>12544</v>
      </c>
      <c r="N889">
        <v>21</v>
      </c>
      <c r="O889" t="s">
        <v>5038</v>
      </c>
      <c r="P889" t="s">
        <v>5038</v>
      </c>
      <c r="Q889">
        <v>21</v>
      </c>
      <c r="R889" t="s">
        <v>5038</v>
      </c>
      <c r="S889" t="s">
        <v>5038</v>
      </c>
      <c r="T889">
        <v>0</v>
      </c>
      <c r="U889" t="s">
        <v>8773</v>
      </c>
      <c r="V889">
        <f>Tabla1[[#This Row],[Aboard]]-Tabla1[[#This Row],[Fatalities]]</f>
        <v>0</v>
      </c>
      <c r="W889" s="50">
        <f>IFERROR(Tabla1[[#This Row],[Fatalities]]/Tabla1[[#This Row],[Aboard]],0)</f>
        <v>1</v>
      </c>
      <c r="X889" s="51" t="str" cm="1">
        <f t="array" ref="X889">_xlfn.IFS(Tabla1[[#This Row],[Porcentaje de muertes]]&lt;0.35,"LEVE",AND(Tabla1[[#This Row],[Porcentaje de muertes]]&gt;0.35,Tabla1[[#This Row],[Porcentaje de muertes]]&lt;0.65),"MEDIO",Tabla1[[#This Row],[Porcentaje de muertes]]&gt;0.65,"GRAVE")</f>
        <v>GRAVE</v>
      </c>
    </row>
    <row r="890" spans="2:24" x14ac:dyDescent="0.3">
      <c r="B890" s="9">
        <v>888</v>
      </c>
      <c r="C890" s="49">
        <v>17062</v>
      </c>
      <c r="D890" s="9">
        <f>YEAR(Tabla1[[#This Row],[Date]])</f>
        <v>1946</v>
      </c>
      <c r="E890" s="9" t="str" cm="1">
        <f t="array" ref="E890">IFERROR(_xlfn.IFS(AND(D890&lt;1980,D890&gt;=1970),"70",AND(D890&lt;1990,D890&gt;=1980),"80",AND(D890&lt;2000,D890&gt;=1990),"90",AND(D890&lt;2010,D890&gt;=2000),"00",AND(D890&lt;=2019,D890&gt;=2010),"10"),"1908-1970")</f>
        <v>1908-1970</v>
      </c>
      <c r="F890" s="3">
        <v>5.347222222222222E-2</v>
      </c>
      <c r="G890" t="s">
        <v>8774</v>
      </c>
      <c r="H890" t="s">
        <v>5957</v>
      </c>
      <c r="I890" t="s">
        <v>28931</v>
      </c>
      <c r="J890" t="s">
        <v>8775</v>
      </c>
      <c r="K890" t="s">
        <v>7934</v>
      </c>
      <c r="L890" s="7" t="s">
        <v>8776</v>
      </c>
      <c r="M890">
        <v>4549</v>
      </c>
      <c r="N890">
        <v>7</v>
      </c>
      <c r="O890">
        <v>4</v>
      </c>
      <c r="P890">
        <v>3</v>
      </c>
      <c r="Q890">
        <v>1</v>
      </c>
      <c r="R890">
        <v>0</v>
      </c>
      <c r="S890">
        <v>1</v>
      </c>
      <c r="T890">
        <v>0</v>
      </c>
      <c r="U890" t="s">
        <v>8777</v>
      </c>
      <c r="V890">
        <f>Tabla1[[#This Row],[Aboard]]-Tabla1[[#This Row],[Fatalities]]</f>
        <v>6</v>
      </c>
      <c r="W890" s="50">
        <f>IFERROR(Tabla1[[#This Row],[Fatalities]]/Tabla1[[#This Row],[Aboard]],0)</f>
        <v>0.14285714285714285</v>
      </c>
      <c r="X890" s="51" t="str" cm="1">
        <f t="array" ref="X890">_xlfn.IFS(Tabla1[[#This Row],[Porcentaje de muertes]]&lt;0.35,"LEVE",AND(Tabla1[[#This Row],[Porcentaje de muertes]]&gt;0.35,Tabla1[[#This Row],[Porcentaje de muertes]]&lt;0.65),"MEDIO",Tabla1[[#This Row],[Porcentaje de muertes]]&gt;0.65,"GRAVE")</f>
        <v>LEVE</v>
      </c>
    </row>
    <row r="891" spans="2:24" x14ac:dyDescent="0.3">
      <c r="B891" s="9">
        <v>889</v>
      </c>
      <c r="C891" s="49">
        <v>17063</v>
      </c>
      <c r="D891" s="9">
        <f>YEAR(Tabla1[[#This Row],[Date]])</f>
        <v>1946</v>
      </c>
      <c r="E891" s="9" t="str" cm="1">
        <f t="array" ref="E891">IFERROR(_xlfn.IFS(AND(D891&lt;1980,D891&gt;=1970),"70",AND(D891&lt;1990,D891&gt;=1980),"80",AND(D891&lt;2000,D891&gt;=1990),"90",AND(D891&lt;2010,D891&gt;=2000),"00",AND(D891&lt;=2019,D891&gt;=2010),"10"),"1908-1970")</f>
        <v>1908-1970</v>
      </c>
      <c r="F891" s="3">
        <v>0.17708333333333334</v>
      </c>
      <c r="G891" t="s">
        <v>7911</v>
      </c>
      <c r="H891" t="s">
        <v>5957</v>
      </c>
      <c r="I891" t="s">
        <v>28931</v>
      </c>
      <c r="J891" t="s">
        <v>8778</v>
      </c>
      <c r="K891" t="s">
        <v>8779</v>
      </c>
      <c r="L891" s="7" t="s">
        <v>8780</v>
      </c>
      <c r="M891">
        <v>42986</v>
      </c>
      <c r="N891">
        <v>44</v>
      </c>
      <c r="O891">
        <v>37</v>
      </c>
      <c r="P891">
        <v>7</v>
      </c>
      <c r="Q891">
        <v>27</v>
      </c>
      <c r="R891">
        <v>21</v>
      </c>
      <c r="S891">
        <v>6</v>
      </c>
      <c r="T891">
        <v>0</v>
      </c>
      <c r="U891" t="s">
        <v>8781</v>
      </c>
      <c r="V891">
        <f>Tabla1[[#This Row],[Aboard]]-Tabla1[[#This Row],[Fatalities]]</f>
        <v>17</v>
      </c>
      <c r="W891" s="50">
        <f>IFERROR(Tabla1[[#This Row],[Fatalities]]/Tabla1[[#This Row],[Aboard]],0)</f>
        <v>0.61363636363636365</v>
      </c>
      <c r="X891" s="51" t="str" cm="1">
        <f t="array" ref="X891">_xlfn.IFS(Tabla1[[#This Row],[Porcentaje de muertes]]&lt;0.35,"LEVE",AND(Tabla1[[#This Row],[Porcentaje de muertes]]&gt;0.35,Tabla1[[#This Row],[Porcentaje de muertes]]&lt;0.65),"MEDIO",Tabla1[[#This Row],[Porcentaje de muertes]]&gt;0.65,"GRAVE")</f>
        <v>MEDIO</v>
      </c>
    </row>
    <row r="892" spans="2:24" x14ac:dyDescent="0.3">
      <c r="B892" s="9">
        <v>890</v>
      </c>
      <c r="C892" s="49">
        <v>17064</v>
      </c>
      <c r="D892" s="9">
        <f>YEAR(Tabla1[[#This Row],[Date]])</f>
        <v>1946</v>
      </c>
      <c r="E892" s="9" t="str" cm="1">
        <f t="array" ref="E892">IFERROR(_xlfn.IFS(AND(D892&lt;1980,D892&gt;=1970),"70",AND(D892&lt;1990,D892&gt;=1980),"80",AND(D892&lt;2000,D892&gt;=1990),"90",AND(D892&lt;2010,D892&gt;=2000),"00",AND(D892&lt;=2019,D892&gt;=2010),"10"),"1908-1970")</f>
        <v>1908-1970</v>
      </c>
      <c r="F892" s="3" t="s">
        <v>28931</v>
      </c>
      <c r="G892" t="s">
        <v>8782</v>
      </c>
      <c r="H892" t="s">
        <v>7660</v>
      </c>
      <c r="I892" t="s">
        <v>28931</v>
      </c>
      <c r="J892" t="s">
        <v>8783</v>
      </c>
      <c r="K892" t="s">
        <v>8355</v>
      </c>
      <c r="L892" s="7" t="s">
        <v>8784</v>
      </c>
      <c r="M892" t="s">
        <v>28931</v>
      </c>
      <c r="N892">
        <v>25</v>
      </c>
      <c r="O892">
        <v>19</v>
      </c>
      <c r="P892">
        <v>6</v>
      </c>
      <c r="Q892">
        <v>25</v>
      </c>
      <c r="R892">
        <v>19</v>
      </c>
      <c r="S892">
        <v>6</v>
      </c>
      <c r="T892">
        <v>0</v>
      </c>
      <c r="U892" t="s">
        <v>8785</v>
      </c>
      <c r="V892">
        <f>Tabla1[[#This Row],[Aboard]]-Tabla1[[#This Row],[Fatalities]]</f>
        <v>0</v>
      </c>
      <c r="W892" s="50">
        <f>IFERROR(Tabla1[[#This Row],[Fatalities]]/Tabla1[[#This Row],[Aboard]],0)</f>
        <v>1</v>
      </c>
      <c r="X892" s="51" t="str" cm="1">
        <f t="array" ref="X892">_xlfn.IFS(Tabla1[[#This Row],[Porcentaje de muertes]]&lt;0.35,"LEVE",AND(Tabla1[[#This Row],[Porcentaje de muertes]]&gt;0.35,Tabla1[[#This Row],[Porcentaje de muertes]]&lt;0.65),"MEDIO",Tabla1[[#This Row],[Porcentaje de muertes]]&gt;0.65,"GRAVE")</f>
        <v>GRAVE</v>
      </c>
    </row>
    <row r="893" spans="2:24" x14ac:dyDescent="0.3">
      <c r="B893" s="9">
        <v>891</v>
      </c>
      <c r="C893" s="49">
        <v>17065</v>
      </c>
      <c r="D893" s="9">
        <f>YEAR(Tabla1[[#This Row],[Date]])</f>
        <v>1946</v>
      </c>
      <c r="E893" s="9" t="str" cm="1">
        <f t="array" ref="E893">IFERROR(_xlfn.IFS(AND(D893&lt;1980,D893&gt;=1970),"70",AND(D893&lt;1990,D893&gt;=1980),"80",AND(D893&lt;2000,D893&gt;=1990),"90",AND(D893&lt;2010,D893&gt;=2000),"00",AND(D893&lt;=2019,D893&gt;=2010),"10"),"1908-1970")</f>
        <v>1908-1970</v>
      </c>
      <c r="F893" s="3" t="s">
        <v>28931</v>
      </c>
      <c r="G893" t="s">
        <v>8786</v>
      </c>
      <c r="H893" t="s">
        <v>6010</v>
      </c>
      <c r="I893" t="s">
        <v>28931</v>
      </c>
      <c r="J893" t="s">
        <v>8787</v>
      </c>
      <c r="K893" t="s">
        <v>8788</v>
      </c>
      <c r="L893" s="7" t="s">
        <v>28931</v>
      </c>
      <c r="M893" t="s">
        <v>28931</v>
      </c>
      <c r="N893">
        <v>28</v>
      </c>
      <c r="O893">
        <v>25</v>
      </c>
      <c r="P893">
        <v>3</v>
      </c>
      <c r="Q893">
        <v>28</v>
      </c>
      <c r="R893">
        <v>25</v>
      </c>
      <c r="S893">
        <v>3</v>
      </c>
      <c r="T893">
        <v>0</v>
      </c>
      <c r="U893" t="s">
        <v>8789</v>
      </c>
      <c r="V893">
        <f>Tabla1[[#This Row],[Aboard]]-Tabla1[[#This Row],[Fatalities]]</f>
        <v>0</v>
      </c>
      <c r="W893" s="50">
        <f>IFERROR(Tabla1[[#This Row],[Fatalities]]/Tabla1[[#This Row],[Aboard]],0)</f>
        <v>1</v>
      </c>
      <c r="X893" s="51" t="str" cm="1">
        <f t="array" ref="X893">_xlfn.IFS(Tabla1[[#This Row],[Porcentaje de muertes]]&lt;0.35,"LEVE",AND(Tabla1[[#This Row],[Porcentaje de muertes]]&gt;0.35,Tabla1[[#This Row],[Porcentaje de muertes]]&lt;0.65),"MEDIO",Tabla1[[#This Row],[Porcentaje de muertes]]&gt;0.65,"GRAVE")</f>
        <v>GRAVE</v>
      </c>
    </row>
    <row r="894" spans="2:24" x14ac:dyDescent="0.3">
      <c r="B894" s="9">
        <v>892</v>
      </c>
      <c r="C894" s="49">
        <v>17070</v>
      </c>
      <c r="D894" s="9">
        <f>YEAR(Tabla1[[#This Row],[Date]])</f>
        <v>1946</v>
      </c>
      <c r="E894" s="9" t="str" cm="1">
        <f t="array" ref="E894">IFERROR(_xlfn.IFS(AND(D894&lt;1980,D894&gt;=1970),"70",AND(D894&lt;1990,D894&gt;=1980),"80",AND(D894&lt;2000,D894&gt;=1990),"90",AND(D894&lt;2010,D894&gt;=2000),"00",AND(D894&lt;=2019,D894&gt;=2010),"10"),"1908-1970")</f>
        <v>1908-1970</v>
      </c>
      <c r="F894" s="3">
        <v>0.39652777777777781</v>
      </c>
      <c r="G894" t="s">
        <v>8790</v>
      </c>
      <c r="H894" t="s">
        <v>7665</v>
      </c>
      <c r="I894" t="s">
        <v>28931</v>
      </c>
      <c r="J894" t="s">
        <v>8791</v>
      </c>
      <c r="K894" t="s">
        <v>8792</v>
      </c>
      <c r="L894" s="7" t="s">
        <v>8793</v>
      </c>
      <c r="M894" t="s">
        <v>8794</v>
      </c>
      <c r="N894">
        <v>19</v>
      </c>
      <c r="O894">
        <v>14</v>
      </c>
      <c r="P894">
        <v>5</v>
      </c>
      <c r="Q894">
        <v>19</v>
      </c>
      <c r="R894">
        <v>14</v>
      </c>
      <c r="S894">
        <v>5</v>
      </c>
      <c r="T894">
        <v>0</v>
      </c>
      <c r="U894" t="s">
        <v>8795</v>
      </c>
      <c r="V894">
        <f>Tabla1[[#This Row],[Aboard]]-Tabla1[[#This Row],[Fatalities]]</f>
        <v>0</v>
      </c>
      <c r="W894" s="50">
        <f>IFERROR(Tabla1[[#This Row],[Fatalities]]/Tabla1[[#This Row],[Aboard]],0)</f>
        <v>1</v>
      </c>
      <c r="X894" s="51" t="str" cm="1">
        <f t="array" ref="X894">_xlfn.IFS(Tabla1[[#This Row],[Porcentaje de muertes]]&lt;0.35,"LEVE",AND(Tabla1[[#This Row],[Porcentaje de muertes]]&gt;0.35,Tabla1[[#This Row],[Porcentaje de muertes]]&lt;0.65),"MEDIO",Tabla1[[#This Row],[Porcentaje de muertes]]&gt;0.65,"GRAVE")</f>
        <v>GRAVE</v>
      </c>
    </row>
    <row r="895" spans="2:24" x14ac:dyDescent="0.3">
      <c r="B895" s="9">
        <v>893</v>
      </c>
      <c r="C895" s="49">
        <v>17072</v>
      </c>
      <c r="D895" s="9">
        <f>YEAR(Tabla1[[#This Row],[Date]])</f>
        <v>1946</v>
      </c>
      <c r="E895" s="9" t="str" cm="1">
        <f t="array" ref="E895">IFERROR(_xlfn.IFS(AND(D895&lt;1980,D895&gt;=1970),"70",AND(D895&lt;1990,D895&gt;=1980),"80",AND(D895&lt;2000,D895&gt;=1990),"90",AND(D895&lt;2010,D895&gt;=2000),"00",AND(D895&lt;=2019,D895&gt;=2010),"10"),"1908-1970")</f>
        <v>1908-1970</v>
      </c>
      <c r="F895" s="3" t="s">
        <v>28931</v>
      </c>
      <c r="G895" t="s">
        <v>8796</v>
      </c>
      <c r="H895" t="s">
        <v>8797</v>
      </c>
      <c r="I895" t="s">
        <v>28931</v>
      </c>
      <c r="J895" t="s">
        <v>8798</v>
      </c>
      <c r="K895" t="s">
        <v>8799</v>
      </c>
      <c r="L895" s="7" t="s">
        <v>8800</v>
      </c>
      <c r="M895" t="s">
        <v>28931</v>
      </c>
      <c r="N895">
        <v>7</v>
      </c>
      <c r="O895">
        <v>5</v>
      </c>
      <c r="P895">
        <v>2</v>
      </c>
      <c r="Q895">
        <v>7</v>
      </c>
      <c r="R895">
        <v>5</v>
      </c>
      <c r="S895">
        <v>2</v>
      </c>
      <c r="T895">
        <v>0</v>
      </c>
      <c r="U895" t="s">
        <v>8801</v>
      </c>
      <c r="V895">
        <f>Tabla1[[#This Row],[Aboard]]-Tabla1[[#This Row],[Fatalities]]</f>
        <v>0</v>
      </c>
      <c r="W895" s="50">
        <f>IFERROR(Tabla1[[#This Row],[Fatalities]]/Tabla1[[#This Row],[Aboard]],0)</f>
        <v>1</v>
      </c>
      <c r="X895" s="51" t="str" cm="1">
        <f t="array" ref="X895">_xlfn.IFS(Tabla1[[#This Row],[Porcentaje de muertes]]&lt;0.35,"LEVE",AND(Tabla1[[#This Row],[Porcentaje de muertes]]&gt;0.35,Tabla1[[#This Row],[Porcentaje de muertes]]&lt;0.65),"MEDIO",Tabla1[[#This Row],[Porcentaje de muertes]]&gt;0.65,"GRAVE")</f>
        <v>GRAVE</v>
      </c>
    </row>
    <row r="896" spans="2:24" x14ac:dyDescent="0.3">
      <c r="B896" s="9">
        <v>894</v>
      </c>
      <c r="C896" s="49">
        <v>17072</v>
      </c>
      <c r="D896" s="9">
        <f>YEAR(Tabla1[[#This Row],[Date]])</f>
        <v>1946</v>
      </c>
      <c r="E896" s="9" t="str" cm="1">
        <f t="array" ref="E896">IFERROR(_xlfn.IFS(AND(D896&lt;1980,D896&gt;=1970),"70",AND(D896&lt;1990,D896&gt;=1980),"80",AND(D896&lt;2000,D896&gt;=1990),"90",AND(D896&lt;2010,D896&gt;=2000),"00",AND(D896&lt;=2019,D896&gt;=2010),"10"),"1908-1970")</f>
        <v>1908-1970</v>
      </c>
      <c r="F896" s="3">
        <v>0.72916666666666663</v>
      </c>
      <c r="G896" t="s">
        <v>8187</v>
      </c>
      <c r="H896" t="s">
        <v>7669</v>
      </c>
      <c r="I896" t="s">
        <v>28931</v>
      </c>
      <c r="J896" t="s">
        <v>8802</v>
      </c>
      <c r="K896" t="s">
        <v>8803</v>
      </c>
      <c r="L896" s="7" t="s">
        <v>8804</v>
      </c>
      <c r="M896">
        <v>4087</v>
      </c>
      <c r="N896">
        <v>25</v>
      </c>
      <c r="O896">
        <v>22</v>
      </c>
      <c r="P896">
        <v>3</v>
      </c>
      <c r="Q896">
        <v>25</v>
      </c>
      <c r="R896">
        <v>22</v>
      </c>
      <c r="S896">
        <v>3</v>
      </c>
      <c r="T896">
        <v>0</v>
      </c>
      <c r="U896" t="s">
        <v>8805</v>
      </c>
      <c r="V896">
        <f>Tabla1[[#This Row],[Aboard]]-Tabla1[[#This Row],[Fatalities]]</f>
        <v>0</v>
      </c>
      <c r="W896" s="50">
        <f>IFERROR(Tabla1[[#This Row],[Fatalities]]/Tabla1[[#This Row],[Aboard]],0)</f>
        <v>1</v>
      </c>
      <c r="X896" s="51" t="str" cm="1">
        <f t="array" ref="X896">_xlfn.IFS(Tabla1[[#This Row],[Porcentaje de muertes]]&lt;0.35,"LEVE",AND(Tabla1[[#This Row],[Porcentaje de muertes]]&gt;0.35,Tabla1[[#This Row],[Porcentaje de muertes]]&lt;0.65),"MEDIO",Tabla1[[#This Row],[Porcentaje de muertes]]&gt;0.65,"GRAVE")</f>
        <v>GRAVE</v>
      </c>
    </row>
    <row r="897" spans="2:24" x14ac:dyDescent="0.3">
      <c r="B897" s="9">
        <v>895</v>
      </c>
      <c r="C897" s="49">
        <v>16871</v>
      </c>
      <c r="D897" s="9">
        <f>YEAR(Tabla1[[#This Row],[Date]])</f>
        <v>1946</v>
      </c>
      <c r="E897" s="9" t="str" cm="1">
        <f t="array" ref="E897">IFERROR(_xlfn.IFS(AND(D897&lt;1980,D897&gt;=1970),"70",AND(D897&lt;1990,D897&gt;=1980),"80",AND(D897&lt;2000,D897&gt;=1990),"90",AND(D897&lt;2010,D897&gt;=2000),"00",AND(D897&lt;=2019,D897&gt;=2010),"10"),"1908-1970")</f>
        <v>1908-1970</v>
      </c>
      <c r="F897" s="3">
        <v>0.14583333333333334</v>
      </c>
      <c r="G897" t="s">
        <v>8806</v>
      </c>
      <c r="H897" t="s">
        <v>8807</v>
      </c>
      <c r="I897" t="s">
        <v>28931</v>
      </c>
      <c r="J897" t="s">
        <v>8808</v>
      </c>
      <c r="K897" t="s">
        <v>8809</v>
      </c>
      <c r="L897" s="7" t="s">
        <v>8810</v>
      </c>
      <c r="M897">
        <v>27290</v>
      </c>
      <c r="N897">
        <v>39</v>
      </c>
      <c r="O897">
        <v>31</v>
      </c>
      <c r="P897">
        <v>8</v>
      </c>
      <c r="Q897">
        <v>39</v>
      </c>
      <c r="R897">
        <v>31</v>
      </c>
      <c r="S897">
        <v>8</v>
      </c>
      <c r="T897">
        <v>0</v>
      </c>
      <c r="U897" t="s">
        <v>8811</v>
      </c>
      <c r="V897">
        <f>Tabla1[[#This Row],[Aboard]]-Tabla1[[#This Row],[Fatalities]]</f>
        <v>0</v>
      </c>
      <c r="W897" s="50">
        <f>IFERROR(Tabla1[[#This Row],[Fatalities]]/Tabla1[[#This Row],[Aboard]],0)</f>
        <v>1</v>
      </c>
      <c r="X897" s="51" t="str" cm="1">
        <f t="array" ref="X897">_xlfn.IFS(Tabla1[[#This Row],[Porcentaje de muertes]]&lt;0.35,"LEVE",AND(Tabla1[[#This Row],[Porcentaje de muertes]]&gt;0.35,Tabla1[[#This Row],[Porcentaje de muertes]]&lt;0.65),"MEDIO",Tabla1[[#This Row],[Porcentaje de muertes]]&gt;0.65,"GRAVE")</f>
        <v>GRAVE</v>
      </c>
    </row>
    <row r="898" spans="2:24" x14ac:dyDescent="0.3">
      <c r="B898" s="9">
        <v>896</v>
      </c>
      <c r="C898" s="49">
        <v>16963</v>
      </c>
      <c r="D898" s="9">
        <f>YEAR(Tabla1[[#This Row],[Date]])</f>
        <v>1946</v>
      </c>
      <c r="E898" s="9" t="str" cm="1">
        <f t="array" ref="E898">IFERROR(_xlfn.IFS(AND(D898&lt;1980,D898&gt;=1970),"70",AND(D898&lt;1990,D898&gt;=1980),"80",AND(D898&lt;2000,D898&gt;=1990),"90",AND(D898&lt;2010,D898&gt;=2000),"00",AND(D898&lt;=2019,D898&gt;=2010),"10"),"1908-1970")</f>
        <v>1908-1970</v>
      </c>
      <c r="F898" s="3">
        <v>0.3125</v>
      </c>
      <c r="G898" t="s">
        <v>8812</v>
      </c>
      <c r="H898" t="s">
        <v>7660</v>
      </c>
      <c r="I898" t="s">
        <v>28931</v>
      </c>
      <c r="J898" t="s">
        <v>28931</v>
      </c>
      <c r="K898" t="s">
        <v>8813</v>
      </c>
      <c r="L898" s="7" t="s">
        <v>8814</v>
      </c>
      <c r="M898" t="s">
        <v>28931</v>
      </c>
      <c r="N898">
        <v>21</v>
      </c>
      <c r="O898">
        <v>15</v>
      </c>
      <c r="P898">
        <v>6</v>
      </c>
      <c r="Q898">
        <v>21</v>
      </c>
      <c r="R898">
        <v>15</v>
      </c>
      <c r="S898">
        <v>6</v>
      </c>
      <c r="T898">
        <v>0</v>
      </c>
      <c r="U898" t="s">
        <v>8815</v>
      </c>
      <c r="V898">
        <f>Tabla1[[#This Row],[Aboard]]-Tabla1[[#This Row],[Fatalities]]</f>
        <v>0</v>
      </c>
      <c r="W898" s="50">
        <f>IFERROR(Tabla1[[#This Row],[Fatalities]]/Tabla1[[#This Row],[Aboard]],0)</f>
        <v>1</v>
      </c>
      <c r="X898" s="51" t="str" cm="1">
        <f t="array" ref="X898">_xlfn.IFS(Tabla1[[#This Row],[Porcentaje de muertes]]&lt;0.35,"LEVE",AND(Tabla1[[#This Row],[Porcentaje de muertes]]&gt;0.35,Tabla1[[#This Row],[Porcentaje de muertes]]&lt;0.65),"MEDIO",Tabla1[[#This Row],[Porcentaje de muertes]]&gt;0.65,"GRAVE")</f>
        <v>GRAVE</v>
      </c>
    </row>
    <row r="899" spans="2:24" x14ac:dyDescent="0.3">
      <c r="B899" s="9">
        <v>897</v>
      </c>
      <c r="C899" s="49">
        <v>16993</v>
      </c>
      <c r="D899" s="9">
        <f>YEAR(Tabla1[[#This Row],[Date]])</f>
        <v>1946</v>
      </c>
      <c r="E899" s="9" t="str" cm="1">
        <f t="array" ref="E899">IFERROR(_xlfn.IFS(AND(D899&lt;1980,D899&gt;=1970),"70",AND(D899&lt;1990,D899&gt;=1980),"80",AND(D899&lt;2000,D899&gt;=1990),"90",AND(D899&lt;2010,D899&gt;=2000),"00",AND(D899&lt;=2019,D899&gt;=2010),"10"),"1908-1970")</f>
        <v>1908-1970</v>
      </c>
      <c r="F899" s="3">
        <v>0.47222222222222227</v>
      </c>
      <c r="G899" t="s">
        <v>8816</v>
      </c>
      <c r="H899" t="s">
        <v>8817</v>
      </c>
      <c r="I899" t="s">
        <v>28931</v>
      </c>
      <c r="J899" t="s">
        <v>28931</v>
      </c>
      <c r="K899" t="s">
        <v>8818</v>
      </c>
      <c r="L899" s="7" t="s">
        <v>8819</v>
      </c>
      <c r="M899" t="s">
        <v>28931</v>
      </c>
      <c r="N899">
        <v>1</v>
      </c>
      <c r="O899">
        <v>0</v>
      </c>
      <c r="P899">
        <v>1</v>
      </c>
      <c r="Q899">
        <v>1</v>
      </c>
      <c r="R899">
        <v>0</v>
      </c>
      <c r="S899">
        <v>1</v>
      </c>
      <c r="T899">
        <v>22</v>
      </c>
      <c r="U899" t="s">
        <v>8820</v>
      </c>
      <c r="V899">
        <f>Tabla1[[#This Row],[Aboard]]-Tabla1[[#This Row],[Fatalities]]</f>
        <v>0</v>
      </c>
      <c r="W899" s="50">
        <f>IFERROR(Tabla1[[#This Row],[Fatalities]]/Tabla1[[#This Row],[Aboard]],0)</f>
        <v>1</v>
      </c>
      <c r="X899" s="51" t="str" cm="1">
        <f t="array" ref="X899">_xlfn.IFS(Tabla1[[#This Row],[Porcentaje de muertes]]&lt;0.35,"LEVE",AND(Tabla1[[#This Row],[Porcentaje de muertes]]&gt;0.35,Tabla1[[#This Row],[Porcentaje de muertes]]&lt;0.65),"MEDIO",Tabla1[[#This Row],[Porcentaje de muertes]]&gt;0.65,"GRAVE")</f>
        <v>GRAVE</v>
      </c>
    </row>
    <row r="900" spans="2:24" x14ac:dyDescent="0.3">
      <c r="B900" s="9">
        <v>898</v>
      </c>
      <c r="C900" s="49">
        <v>17024</v>
      </c>
      <c r="D900" s="9">
        <f>YEAR(Tabla1[[#This Row],[Date]])</f>
        <v>1946</v>
      </c>
      <c r="E900" s="9" t="str" cm="1">
        <f t="array" ref="E900">IFERROR(_xlfn.IFS(AND(D900&lt;1980,D900&gt;=1970),"70",AND(D900&lt;1990,D900&gt;=1980),"80",AND(D900&lt;2000,D900&gt;=1990),"90",AND(D900&lt;2010,D900&gt;=2000),"00",AND(D900&lt;=2019,D900&gt;=2010),"10"),"1908-1970")</f>
        <v>1908-1970</v>
      </c>
      <c r="F900" s="3">
        <v>0.18958333333333333</v>
      </c>
      <c r="G900" t="s">
        <v>5287</v>
      </c>
      <c r="H900" t="s">
        <v>6369</v>
      </c>
      <c r="I900">
        <v>28</v>
      </c>
      <c r="J900" t="s">
        <v>8821</v>
      </c>
      <c r="K900" t="s">
        <v>8822</v>
      </c>
      <c r="L900" s="7" t="s">
        <v>8823</v>
      </c>
      <c r="M900">
        <v>10471</v>
      </c>
      <c r="N900">
        <v>41</v>
      </c>
      <c r="O900">
        <v>37</v>
      </c>
      <c r="P900">
        <v>4</v>
      </c>
      <c r="Q900">
        <v>2</v>
      </c>
      <c r="R900">
        <v>2</v>
      </c>
      <c r="S900">
        <v>0</v>
      </c>
      <c r="T900">
        <v>0</v>
      </c>
      <c r="U900" t="s">
        <v>8824</v>
      </c>
      <c r="V900">
        <f>Tabla1[[#This Row],[Aboard]]-Tabla1[[#This Row],[Fatalities]]</f>
        <v>39</v>
      </c>
      <c r="W900" s="50">
        <f>IFERROR(Tabla1[[#This Row],[Fatalities]]/Tabla1[[#This Row],[Aboard]],0)</f>
        <v>4.878048780487805E-2</v>
      </c>
      <c r="X900" s="51" t="str" cm="1">
        <f t="array" ref="X900">_xlfn.IFS(Tabla1[[#This Row],[Porcentaje de muertes]]&lt;0.35,"LEVE",AND(Tabla1[[#This Row],[Porcentaje de muertes]]&gt;0.35,Tabla1[[#This Row],[Porcentaje de muertes]]&lt;0.65),"MEDIO",Tabla1[[#This Row],[Porcentaje de muertes]]&gt;0.65,"GRAVE")</f>
        <v>LEVE</v>
      </c>
    </row>
    <row r="901" spans="2:24" x14ac:dyDescent="0.3">
      <c r="B901" s="9">
        <v>899</v>
      </c>
      <c r="C901" s="49">
        <v>17085</v>
      </c>
      <c r="D901" s="9">
        <f>YEAR(Tabla1[[#This Row],[Date]])</f>
        <v>1946</v>
      </c>
      <c r="E901" s="9" t="str" cm="1">
        <f t="array" ref="E901">IFERROR(_xlfn.IFS(AND(D901&lt;1980,D901&gt;=1970),"70",AND(D901&lt;1990,D901&gt;=1980),"80",AND(D901&lt;2000,D901&gt;=1990),"90",AND(D901&lt;2010,D901&gt;=2000),"00",AND(D901&lt;=2019,D901&gt;=2010),"10"),"1908-1970")</f>
        <v>1908-1970</v>
      </c>
      <c r="F901" s="3">
        <v>0.83333333333333337</v>
      </c>
      <c r="G901" t="s">
        <v>8825</v>
      </c>
      <c r="H901" t="s">
        <v>8826</v>
      </c>
      <c r="I901" t="s">
        <v>28931</v>
      </c>
      <c r="J901" t="s">
        <v>8827</v>
      </c>
      <c r="K901" t="s">
        <v>7574</v>
      </c>
      <c r="L901" s="7" t="s">
        <v>8828</v>
      </c>
      <c r="M901" t="s">
        <v>8829</v>
      </c>
      <c r="N901">
        <v>16</v>
      </c>
      <c r="O901">
        <v>11</v>
      </c>
      <c r="P901">
        <v>5</v>
      </c>
      <c r="Q901">
        <v>16</v>
      </c>
      <c r="R901">
        <v>11</v>
      </c>
      <c r="S901">
        <v>5</v>
      </c>
      <c r="T901">
        <v>0</v>
      </c>
      <c r="U901" t="s">
        <v>8830</v>
      </c>
      <c r="V901">
        <f>Tabla1[[#This Row],[Aboard]]-Tabla1[[#This Row],[Fatalities]]</f>
        <v>0</v>
      </c>
      <c r="W901" s="50">
        <f>IFERROR(Tabla1[[#This Row],[Fatalities]]/Tabla1[[#This Row],[Aboard]],0)</f>
        <v>1</v>
      </c>
      <c r="X901" s="51" t="str" cm="1">
        <f t="array" ref="X901">_xlfn.IFS(Tabla1[[#This Row],[Porcentaje de muertes]]&lt;0.35,"LEVE",AND(Tabla1[[#This Row],[Porcentaje de muertes]]&gt;0.35,Tabla1[[#This Row],[Porcentaje de muertes]]&lt;0.65),"MEDIO",Tabla1[[#This Row],[Porcentaje de muertes]]&gt;0.65,"GRAVE")</f>
        <v>GRAVE</v>
      </c>
    </row>
    <row r="902" spans="2:24" x14ac:dyDescent="0.3">
      <c r="B902" s="9">
        <v>900</v>
      </c>
      <c r="C902" s="49">
        <v>17092</v>
      </c>
      <c r="D902" s="9">
        <f>YEAR(Tabla1[[#This Row],[Date]])</f>
        <v>1946</v>
      </c>
      <c r="E902" s="9" t="str" cm="1">
        <f t="array" ref="E902">IFERROR(_xlfn.IFS(AND(D902&lt;1980,D902&gt;=1970),"70",AND(D902&lt;1990,D902&gt;=1980),"80",AND(D902&lt;2000,D902&gt;=1990),"90",AND(D902&lt;2010,D902&gt;=2000),"00",AND(D902&lt;=2019,D902&gt;=2010),"10"),"1908-1970")</f>
        <v>1908-1970</v>
      </c>
      <c r="F902" s="3">
        <v>3.9583333333333331E-2</v>
      </c>
      <c r="G902" t="s">
        <v>8831</v>
      </c>
      <c r="H902" t="s">
        <v>8832</v>
      </c>
      <c r="I902">
        <v>942</v>
      </c>
      <c r="J902" t="s">
        <v>8833</v>
      </c>
      <c r="K902" t="s">
        <v>7057</v>
      </c>
      <c r="L902" s="7" t="s">
        <v>8834</v>
      </c>
      <c r="M902">
        <v>12971</v>
      </c>
      <c r="N902">
        <v>13</v>
      </c>
      <c r="O902">
        <v>10</v>
      </c>
      <c r="P902">
        <v>3</v>
      </c>
      <c r="Q902">
        <v>13</v>
      </c>
      <c r="R902">
        <v>10</v>
      </c>
      <c r="S902">
        <v>3</v>
      </c>
      <c r="T902">
        <v>0</v>
      </c>
      <c r="U902" t="s">
        <v>8835</v>
      </c>
      <c r="V902">
        <f>Tabla1[[#This Row],[Aboard]]-Tabla1[[#This Row],[Fatalities]]</f>
        <v>0</v>
      </c>
      <c r="W902" s="50">
        <f>IFERROR(Tabla1[[#This Row],[Fatalities]]/Tabla1[[#This Row],[Aboard]],0)</f>
        <v>1</v>
      </c>
      <c r="X902" s="51" t="str" cm="1">
        <f t="array" ref="X902">_xlfn.IFS(Tabla1[[#This Row],[Porcentaje de muertes]]&lt;0.35,"LEVE",AND(Tabla1[[#This Row],[Porcentaje de muertes]]&gt;0.35,Tabla1[[#This Row],[Porcentaje de muertes]]&lt;0.65),"MEDIO",Tabla1[[#This Row],[Porcentaje de muertes]]&gt;0.65,"GRAVE")</f>
        <v>GRAVE</v>
      </c>
    </row>
    <row r="903" spans="2:24" x14ac:dyDescent="0.3">
      <c r="B903" s="9">
        <v>901</v>
      </c>
      <c r="C903" s="49">
        <v>17092</v>
      </c>
      <c r="D903" s="9">
        <f>YEAR(Tabla1[[#This Row],[Date]])</f>
        <v>1946</v>
      </c>
      <c r="E903" s="9" t="str" cm="1">
        <f t="array" ref="E903">IFERROR(_xlfn.IFS(AND(D903&lt;1980,D903&gt;=1970),"70",AND(D903&lt;1990,D903&gt;=1980),"80",AND(D903&lt;2000,D903&gt;=1990),"90",AND(D903&lt;2010,D903&gt;=2000),"00",AND(D903&lt;=2019,D903&gt;=2010),"10"),"1908-1970")</f>
        <v>1908-1970</v>
      </c>
      <c r="F903" s="3" t="s">
        <v>28931</v>
      </c>
      <c r="G903" t="s">
        <v>8836</v>
      </c>
      <c r="H903" t="s">
        <v>7665</v>
      </c>
      <c r="I903" t="s">
        <v>28931</v>
      </c>
      <c r="J903" t="s">
        <v>28931</v>
      </c>
      <c r="K903" t="s">
        <v>8465</v>
      </c>
      <c r="L903" s="7" t="s">
        <v>8837</v>
      </c>
      <c r="M903" t="s">
        <v>8838</v>
      </c>
      <c r="N903">
        <v>11</v>
      </c>
      <c r="O903" t="s">
        <v>5038</v>
      </c>
      <c r="P903" t="s">
        <v>5038</v>
      </c>
      <c r="Q903">
        <v>11</v>
      </c>
      <c r="R903" t="s">
        <v>5038</v>
      </c>
      <c r="S903" t="s">
        <v>5038</v>
      </c>
      <c r="T903">
        <v>0</v>
      </c>
      <c r="U903" t="s">
        <v>8839</v>
      </c>
      <c r="V903">
        <f>Tabla1[[#This Row],[Aboard]]-Tabla1[[#This Row],[Fatalities]]</f>
        <v>0</v>
      </c>
      <c r="W903" s="50">
        <f>IFERROR(Tabla1[[#This Row],[Fatalities]]/Tabla1[[#This Row],[Aboard]],0)</f>
        <v>1</v>
      </c>
      <c r="X903" s="51" t="str" cm="1">
        <f t="array" ref="X903">_xlfn.IFS(Tabla1[[#This Row],[Porcentaje de muertes]]&lt;0.35,"LEVE",AND(Tabla1[[#This Row],[Porcentaje de muertes]]&gt;0.35,Tabla1[[#This Row],[Porcentaje de muertes]]&lt;0.65),"MEDIO",Tabla1[[#This Row],[Porcentaje de muertes]]&gt;0.65,"GRAVE")</f>
        <v>GRAVE</v>
      </c>
    </row>
    <row r="904" spans="2:24" x14ac:dyDescent="0.3">
      <c r="B904" s="9">
        <v>902</v>
      </c>
      <c r="C904" s="49">
        <v>17098</v>
      </c>
      <c r="D904" s="9">
        <f>YEAR(Tabla1[[#This Row],[Date]])</f>
        <v>1946</v>
      </c>
      <c r="E904" s="9" t="str" cm="1">
        <f t="array" ref="E904">IFERROR(_xlfn.IFS(AND(D904&lt;1980,D904&gt;=1970),"70",AND(D904&lt;1990,D904&gt;=1980),"80",AND(D904&lt;2000,D904&gt;=1990),"90",AND(D904&lt;2010,D904&gt;=2000),"00",AND(D904&lt;=2019,D904&gt;=2010),"10"),"1908-1970")</f>
        <v>1908-1970</v>
      </c>
      <c r="F904" s="3" t="s">
        <v>28931</v>
      </c>
      <c r="G904" t="s">
        <v>8840</v>
      </c>
      <c r="H904" t="s">
        <v>8841</v>
      </c>
      <c r="I904" t="s">
        <v>28931</v>
      </c>
      <c r="J904" t="s">
        <v>8842</v>
      </c>
      <c r="K904" t="s">
        <v>6555</v>
      </c>
      <c r="L904" s="7" t="s">
        <v>8843</v>
      </c>
      <c r="M904" t="s">
        <v>8844</v>
      </c>
      <c r="N904">
        <v>24</v>
      </c>
      <c r="O904">
        <v>22</v>
      </c>
      <c r="P904">
        <v>2</v>
      </c>
      <c r="Q904">
        <v>1</v>
      </c>
      <c r="R904">
        <v>1</v>
      </c>
      <c r="S904">
        <v>0</v>
      </c>
      <c r="T904">
        <v>0</v>
      </c>
      <c r="U904" t="s">
        <v>8845</v>
      </c>
      <c r="V904">
        <f>Tabla1[[#This Row],[Aboard]]-Tabla1[[#This Row],[Fatalities]]</f>
        <v>23</v>
      </c>
      <c r="W904" s="50">
        <f>IFERROR(Tabla1[[#This Row],[Fatalities]]/Tabla1[[#This Row],[Aboard]],0)</f>
        <v>4.1666666666666664E-2</v>
      </c>
      <c r="X904" s="51" t="str" cm="1">
        <f t="array" ref="X904">_xlfn.IFS(Tabla1[[#This Row],[Porcentaje de muertes]]&lt;0.35,"LEVE",AND(Tabla1[[#This Row],[Porcentaje de muertes]]&gt;0.35,Tabla1[[#This Row],[Porcentaje de muertes]]&lt;0.65),"MEDIO",Tabla1[[#This Row],[Porcentaje de muertes]]&gt;0.65,"GRAVE")</f>
        <v>LEVE</v>
      </c>
    </row>
    <row r="905" spans="2:24" x14ac:dyDescent="0.3">
      <c r="B905" s="9">
        <v>903</v>
      </c>
      <c r="C905" s="49">
        <v>16813</v>
      </c>
      <c r="D905" s="9">
        <f>YEAR(Tabla1[[#This Row],[Date]])</f>
        <v>1946</v>
      </c>
      <c r="E905" s="9" t="str" cm="1">
        <f t="array" ref="E905">IFERROR(_xlfn.IFS(AND(D905&lt;1980,D905&gt;=1970),"70",AND(D905&lt;1990,D905&gt;=1980),"80",AND(D905&lt;2000,D905&gt;=1990),"90",AND(D905&lt;2010,D905&gt;=2000),"00",AND(D905&lt;=2019,D905&gt;=2010),"10"),"1908-1970")</f>
        <v>1908-1970</v>
      </c>
      <c r="F905" s="3" t="s">
        <v>28931</v>
      </c>
      <c r="G905" t="s">
        <v>8846</v>
      </c>
      <c r="H905" t="s">
        <v>8847</v>
      </c>
      <c r="I905" t="s">
        <v>28931</v>
      </c>
      <c r="J905" t="s">
        <v>8848</v>
      </c>
      <c r="K905" t="s">
        <v>8849</v>
      </c>
      <c r="L905" s="7" t="s">
        <v>8850</v>
      </c>
      <c r="M905">
        <v>284</v>
      </c>
      <c r="N905">
        <v>27</v>
      </c>
      <c r="O905">
        <v>24</v>
      </c>
      <c r="P905">
        <v>3</v>
      </c>
      <c r="Q905">
        <v>23</v>
      </c>
      <c r="R905">
        <v>20</v>
      </c>
      <c r="S905">
        <v>3</v>
      </c>
      <c r="T905">
        <v>0</v>
      </c>
      <c r="U905" t="s">
        <v>8851</v>
      </c>
      <c r="V905">
        <f>Tabla1[[#This Row],[Aboard]]-Tabla1[[#This Row],[Fatalities]]</f>
        <v>4</v>
      </c>
      <c r="W905" s="50">
        <f>IFERROR(Tabla1[[#This Row],[Fatalities]]/Tabla1[[#This Row],[Aboard]],0)</f>
        <v>0.85185185185185186</v>
      </c>
      <c r="X905" s="51" t="str" cm="1">
        <f t="array" ref="X905">_xlfn.IFS(Tabla1[[#This Row],[Porcentaje de muertes]]&lt;0.35,"LEVE",AND(Tabla1[[#This Row],[Porcentaje de muertes]]&gt;0.35,Tabla1[[#This Row],[Porcentaje de muertes]]&lt;0.65),"MEDIO",Tabla1[[#This Row],[Porcentaje de muertes]]&gt;0.65,"GRAVE")</f>
        <v>GRAVE</v>
      </c>
    </row>
    <row r="906" spans="2:24" x14ac:dyDescent="0.3">
      <c r="B906" s="9">
        <v>904</v>
      </c>
      <c r="C906" s="49">
        <v>16933</v>
      </c>
      <c r="D906" s="9">
        <f>YEAR(Tabla1[[#This Row],[Date]])</f>
        <v>1946</v>
      </c>
      <c r="E906" s="9" t="str" cm="1">
        <f t="array" ref="E906">IFERROR(_xlfn.IFS(AND(D906&lt;1980,D906&gt;=1970),"70",AND(D906&lt;1990,D906&gt;=1980),"80",AND(D906&lt;2000,D906&gt;=1990),"90",AND(D906&lt;2010,D906&gt;=2000),"00",AND(D906&lt;=2019,D906&gt;=2010),"10"),"1908-1970")</f>
        <v>1908-1970</v>
      </c>
      <c r="F906" s="3">
        <v>0.77083333333333337</v>
      </c>
      <c r="G906" t="s">
        <v>6590</v>
      </c>
      <c r="H906" t="s">
        <v>6541</v>
      </c>
      <c r="I906" t="s">
        <v>28931</v>
      </c>
      <c r="J906" t="s">
        <v>8852</v>
      </c>
      <c r="K906" t="s">
        <v>7826</v>
      </c>
      <c r="L906" s="7" t="s">
        <v>8853</v>
      </c>
      <c r="M906" t="s">
        <v>28931</v>
      </c>
      <c r="N906">
        <v>26</v>
      </c>
      <c r="O906" t="s">
        <v>5038</v>
      </c>
      <c r="P906" t="s">
        <v>5038</v>
      </c>
      <c r="Q906">
        <v>13</v>
      </c>
      <c r="R906" t="s">
        <v>5038</v>
      </c>
      <c r="S906" t="s">
        <v>5038</v>
      </c>
      <c r="T906" t="s">
        <v>5038</v>
      </c>
      <c r="U906" t="s">
        <v>8854</v>
      </c>
      <c r="V906">
        <f>Tabla1[[#This Row],[Aboard]]-Tabla1[[#This Row],[Fatalities]]</f>
        <v>13</v>
      </c>
      <c r="W906" s="50">
        <f>IFERROR(Tabla1[[#This Row],[Fatalities]]/Tabla1[[#This Row],[Aboard]],0)</f>
        <v>0.5</v>
      </c>
      <c r="X906" s="51" t="str" cm="1">
        <f t="array" ref="X906">_xlfn.IFS(Tabla1[[#This Row],[Porcentaje de muertes]]&lt;0.35,"LEVE",AND(Tabla1[[#This Row],[Porcentaje de muertes]]&gt;0.35,Tabla1[[#This Row],[Porcentaje de muertes]]&lt;0.65),"MEDIO",Tabla1[[#This Row],[Porcentaje de muertes]]&gt;0.65,"GRAVE")</f>
        <v>MEDIO</v>
      </c>
    </row>
    <row r="907" spans="2:24" x14ac:dyDescent="0.3">
      <c r="B907" s="9">
        <v>905</v>
      </c>
      <c r="C907" s="49">
        <v>17117</v>
      </c>
      <c r="D907" s="9">
        <f>YEAR(Tabla1[[#This Row],[Date]])</f>
        <v>1946</v>
      </c>
      <c r="E907" s="9" t="str" cm="1">
        <f t="array" ref="E907">IFERROR(_xlfn.IFS(AND(D907&lt;1980,D907&gt;=1970),"70",AND(D907&lt;1990,D907&gt;=1980),"80",AND(D907&lt;2000,D907&gt;=1990),"90",AND(D907&lt;2010,D907&gt;=2000),"00",AND(D907&lt;=2019,D907&gt;=2010),"10"),"1908-1970")</f>
        <v>1908-1970</v>
      </c>
      <c r="F907" s="3">
        <v>0.14583333333333334</v>
      </c>
      <c r="G907" t="s">
        <v>5099</v>
      </c>
      <c r="H907" t="s">
        <v>6369</v>
      </c>
      <c r="I907">
        <v>404</v>
      </c>
      <c r="J907" t="s">
        <v>8855</v>
      </c>
      <c r="K907" t="s">
        <v>8752</v>
      </c>
      <c r="L907" s="7" t="s">
        <v>8856</v>
      </c>
      <c r="M907">
        <v>4873</v>
      </c>
      <c r="N907">
        <v>20</v>
      </c>
      <c r="O907">
        <v>17</v>
      </c>
      <c r="P907">
        <v>3</v>
      </c>
      <c r="Q907">
        <v>2</v>
      </c>
      <c r="R907">
        <v>0</v>
      </c>
      <c r="S907">
        <v>2</v>
      </c>
      <c r="T907">
        <v>0</v>
      </c>
      <c r="U907" t="s">
        <v>8857</v>
      </c>
      <c r="V907">
        <f>Tabla1[[#This Row],[Aboard]]-Tabla1[[#This Row],[Fatalities]]</f>
        <v>18</v>
      </c>
      <c r="W907" s="50">
        <f>IFERROR(Tabla1[[#This Row],[Fatalities]]/Tabla1[[#This Row],[Aboard]],0)</f>
        <v>0.1</v>
      </c>
      <c r="X907" s="51" t="str" cm="1">
        <f t="array" ref="X907">_xlfn.IFS(Tabla1[[#This Row],[Porcentaje de muertes]]&lt;0.35,"LEVE",AND(Tabla1[[#This Row],[Porcentaje de muertes]]&gt;0.35,Tabla1[[#This Row],[Porcentaje de muertes]]&lt;0.65),"MEDIO",Tabla1[[#This Row],[Porcentaje de muertes]]&gt;0.65,"GRAVE")</f>
        <v>LEVE</v>
      </c>
    </row>
    <row r="908" spans="2:24" x14ac:dyDescent="0.3">
      <c r="B908" s="9">
        <v>906</v>
      </c>
      <c r="C908" s="49">
        <v>17119</v>
      </c>
      <c r="D908" s="9">
        <f>YEAR(Tabla1[[#This Row],[Date]])</f>
        <v>1946</v>
      </c>
      <c r="E908" s="9" t="str" cm="1">
        <f t="array" ref="E908">IFERROR(_xlfn.IFS(AND(D908&lt;1980,D908&gt;=1970),"70",AND(D908&lt;1990,D908&gt;=1980),"80",AND(D908&lt;2000,D908&gt;=1990),"90",AND(D908&lt;2010,D908&gt;=2000),"00",AND(D908&lt;=2019,D908&gt;=2010),"10"),"1908-1970")</f>
        <v>1908-1970</v>
      </c>
      <c r="F908" s="3">
        <v>0.15347222222222223</v>
      </c>
      <c r="G908" t="s">
        <v>6166</v>
      </c>
      <c r="H908" t="s">
        <v>7873</v>
      </c>
      <c r="I908">
        <v>23</v>
      </c>
      <c r="J908" t="s">
        <v>8858</v>
      </c>
      <c r="K908" t="s">
        <v>8859</v>
      </c>
      <c r="L908" s="7" t="s">
        <v>8860</v>
      </c>
      <c r="M908">
        <v>11662</v>
      </c>
      <c r="N908">
        <v>11</v>
      </c>
      <c r="O908">
        <v>8</v>
      </c>
      <c r="P908">
        <v>3</v>
      </c>
      <c r="Q908">
        <v>11</v>
      </c>
      <c r="R908">
        <v>8</v>
      </c>
      <c r="S908">
        <v>3</v>
      </c>
      <c r="T908">
        <v>0</v>
      </c>
      <c r="U908" t="s">
        <v>8861</v>
      </c>
      <c r="V908">
        <f>Tabla1[[#This Row],[Aboard]]-Tabla1[[#This Row],[Fatalities]]</f>
        <v>0</v>
      </c>
      <c r="W908" s="50">
        <f>IFERROR(Tabla1[[#This Row],[Fatalities]]/Tabla1[[#This Row],[Aboard]],0)</f>
        <v>1</v>
      </c>
      <c r="X908" s="51" t="str" cm="1">
        <f t="array" ref="X908">_xlfn.IFS(Tabla1[[#This Row],[Porcentaje de muertes]]&lt;0.35,"LEVE",AND(Tabla1[[#This Row],[Porcentaje de muertes]]&gt;0.35,Tabla1[[#This Row],[Porcentaje de muertes]]&lt;0.65),"MEDIO",Tabla1[[#This Row],[Porcentaje de muertes]]&gt;0.65,"GRAVE")</f>
        <v>GRAVE</v>
      </c>
    </row>
    <row r="909" spans="2:24" x14ac:dyDescent="0.3">
      <c r="B909" s="9">
        <v>907</v>
      </c>
      <c r="C909" s="49">
        <v>17119</v>
      </c>
      <c r="D909" s="9">
        <f>YEAR(Tabla1[[#This Row],[Date]])</f>
        <v>1946</v>
      </c>
      <c r="E909" s="9" t="str" cm="1">
        <f t="array" ref="E909">IFERROR(_xlfn.IFS(AND(D909&lt;1980,D909&gt;=1970),"70",AND(D909&lt;1990,D909&gt;=1980),"80",AND(D909&lt;2000,D909&gt;=1990),"90",AND(D909&lt;2010,D909&gt;=2000),"00",AND(D909&lt;=2019,D909&gt;=2010),"10"),"1908-1970")</f>
        <v>1908-1970</v>
      </c>
      <c r="F909" s="3">
        <v>0.34583333333333338</v>
      </c>
      <c r="G909" t="s">
        <v>8862</v>
      </c>
      <c r="H909" t="s">
        <v>8863</v>
      </c>
      <c r="I909" t="s">
        <v>28931</v>
      </c>
      <c r="J909" t="s">
        <v>8864</v>
      </c>
      <c r="K909" t="s">
        <v>7057</v>
      </c>
      <c r="L909" s="7" t="s">
        <v>8865</v>
      </c>
      <c r="M909" t="s">
        <v>28931</v>
      </c>
      <c r="N909">
        <v>15</v>
      </c>
      <c r="O909">
        <v>12</v>
      </c>
      <c r="P909">
        <v>3</v>
      </c>
      <c r="Q909">
        <v>15</v>
      </c>
      <c r="R909">
        <v>12</v>
      </c>
      <c r="S909">
        <v>3</v>
      </c>
      <c r="T909">
        <v>0</v>
      </c>
      <c r="U909" t="s">
        <v>8866</v>
      </c>
      <c r="V909">
        <f>Tabla1[[#This Row],[Aboard]]-Tabla1[[#This Row],[Fatalities]]</f>
        <v>0</v>
      </c>
      <c r="W909" s="50">
        <f>IFERROR(Tabla1[[#This Row],[Fatalities]]/Tabla1[[#This Row],[Aboard]],0)</f>
        <v>1</v>
      </c>
      <c r="X909" s="51" t="str" cm="1">
        <f t="array" ref="X909">_xlfn.IFS(Tabla1[[#This Row],[Porcentaje de muertes]]&lt;0.35,"LEVE",AND(Tabla1[[#This Row],[Porcentaje de muertes]]&gt;0.35,Tabla1[[#This Row],[Porcentaje de muertes]]&lt;0.65),"MEDIO",Tabla1[[#This Row],[Porcentaje de muertes]]&gt;0.65,"GRAVE")</f>
        <v>GRAVE</v>
      </c>
    </row>
    <row r="910" spans="2:24" x14ac:dyDescent="0.3">
      <c r="B910" s="9">
        <v>908</v>
      </c>
      <c r="C910" s="49">
        <v>17120</v>
      </c>
      <c r="D910" s="9">
        <f>YEAR(Tabla1[[#This Row],[Date]])</f>
        <v>1946</v>
      </c>
      <c r="E910" s="9" t="str" cm="1">
        <f t="array" ref="E910">IFERROR(_xlfn.IFS(AND(D910&lt;1980,D910&gt;=1970),"70",AND(D910&lt;1990,D910&gt;=1980),"80",AND(D910&lt;2000,D910&gt;=1990),"90",AND(D910&lt;2010,D910&gt;=2000),"00",AND(D910&lt;=2019,D910&gt;=2010),"10"),"1908-1970")</f>
        <v>1908-1970</v>
      </c>
      <c r="F910" s="3">
        <v>0.84375</v>
      </c>
      <c r="G910" t="s">
        <v>6622</v>
      </c>
      <c r="H910" t="s">
        <v>5332</v>
      </c>
      <c r="I910" t="s">
        <v>28931</v>
      </c>
      <c r="J910" t="s">
        <v>8867</v>
      </c>
      <c r="K910" t="s">
        <v>8868</v>
      </c>
      <c r="L910" s="7" t="s">
        <v>8869</v>
      </c>
      <c r="M910">
        <v>20122</v>
      </c>
      <c r="N910">
        <v>26</v>
      </c>
      <c r="O910">
        <v>21</v>
      </c>
      <c r="P910">
        <v>5</v>
      </c>
      <c r="Q910">
        <v>26</v>
      </c>
      <c r="R910">
        <v>21</v>
      </c>
      <c r="S910">
        <v>5</v>
      </c>
      <c r="T910">
        <v>0</v>
      </c>
      <c r="U910" t="s">
        <v>8870</v>
      </c>
      <c r="V910">
        <f>Tabla1[[#This Row],[Aboard]]-Tabla1[[#This Row],[Fatalities]]</f>
        <v>0</v>
      </c>
      <c r="W910" s="50">
        <f>IFERROR(Tabla1[[#This Row],[Fatalities]]/Tabla1[[#This Row],[Aboard]],0)</f>
        <v>1</v>
      </c>
      <c r="X910" s="51" t="str" cm="1">
        <f t="array" ref="X910">_xlfn.IFS(Tabla1[[#This Row],[Porcentaje de muertes]]&lt;0.35,"LEVE",AND(Tabla1[[#This Row],[Porcentaje de muertes]]&gt;0.35,Tabla1[[#This Row],[Porcentaje de muertes]]&lt;0.65),"MEDIO",Tabla1[[#This Row],[Porcentaje de muertes]]&gt;0.65,"GRAVE")</f>
        <v>GRAVE</v>
      </c>
    </row>
    <row r="911" spans="2:24" x14ac:dyDescent="0.3">
      <c r="B911" s="9">
        <v>909</v>
      </c>
      <c r="C911" s="49">
        <v>17122</v>
      </c>
      <c r="D911" s="9">
        <f>YEAR(Tabla1[[#This Row],[Date]])</f>
        <v>1946</v>
      </c>
      <c r="E911" s="9" t="str" cm="1">
        <f t="array" ref="E911">IFERROR(_xlfn.IFS(AND(D911&lt;1980,D911&gt;=1970),"70",AND(D911&lt;1990,D911&gt;=1980),"80",AND(D911&lt;2000,D911&gt;=1990),"90",AND(D911&lt;2010,D911&gt;=2000),"00",AND(D911&lt;=2019,D911&gt;=2010),"10"),"1908-1970")</f>
        <v>1908-1970</v>
      </c>
      <c r="F911" s="3">
        <v>0.97916666666666663</v>
      </c>
      <c r="G911" t="s">
        <v>8871</v>
      </c>
      <c r="H911" t="s">
        <v>7782</v>
      </c>
      <c r="I911" t="s">
        <v>28931</v>
      </c>
      <c r="J911" t="s">
        <v>8872</v>
      </c>
      <c r="K911" t="s">
        <v>7826</v>
      </c>
      <c r="L911" s="7" t="s">
        <v>28931</v>
      </c>
      <c r="M911" t="s">
        <v>28931</v>
      </c>
      <c r="N911">
        <v>23</v>
      </c>
      <c r="O911">
        <v>15</v>
      </c>
      <c r="P911">
        <v>8</v>
      </c>
      <c r="Q911">
        <v>23</v>
      </c>
      <c r="R911">
        <v>15</v>
      </c>
      <c r="S911">
        <v>8</v>
      </c>
      <c r="T911">
        <v>0</v>
      </c>
      <c r="U911" t="s">
        <v>8873</v>
      </c>
      <c r="V911">
        <f>Tabla1[[#This Row],[Aboard]]-Tabla1[[#This Row],[Fatalities]]</f>
        <v>0</v>
      </c>
      <c r="W911" s="50">
        <f>IFERROR(Tabla1[[#This Row],[Fatalities]]/Tabla1[[#This Row],[Aboard]],0)</f>
        <v>1</v>
      </c>
      <c r="X911" s="51" t="str" cm="1">
        <f t="array" ref="X911">_xlfn.IFS(Tabla1[[#This Row],[Porcentaje de muertes]]&lt;0.35,"LEVE",AND(Tabla1[[#This Row],[Porcentaje de muertes]]&gt;0.35,Tabla1[[#This Row],[Porcentaje de muertes]]&lt;0.65),"MEDIO",Tabla1[[#This Row],[Porcentaje de muertes]]&gt;0.65,"GRAVE")</f>
        <v>GRAVE</v>
      </c>
    </row>
    <row r="912" spans="2:24" x14ac:dyDescent="0.3">
      <c r="B912" s="9">
        <v>910</v>
      </c>
      <c r="C912" s="49">
        <v>17132</v>
      </c>
      <c r="D912" s="9">
        <f>YEAR(Tabla1[[#This Row],[Date]])</f>
        <v>1946</v>
      </c>
      <c r="E912" s="9" t="str" cm="1">
        <f t="array" ref="E912">IFERROR(_xlfn.IFS(AND(D912&lt;1980,D912&gt;=1970),"70",AND(D912&lt;1990,D912&gt;=1980),"80",AND(D912&lt;2000,D912&gt;=1990),"90",AND(D912&lt;2010,D912&gt;=2000),"00",AND(D912&lt;=2019,D912&gt;=2010),"10"),"1908-1970")</f>
        <v>1908-1970</v>
      </c>
      <c r="F912" s="3">
        <v>0.4375</v>
      </c>
      <c r="G912" t="s">
        <v>8874</v>
      </c>
      <c r="H912" t="s">
        <v>8875</v>
      </c>
      <c r="I912" t="s">
        <v>28931</v>
      </c>
      <c r="J912" t="s">
        <v>28931</v>
      </c>
      <c r="K912" t="s">
        <v>8876</v>
      </c>
      <c r="L912" s="7" t="s">
        <v>8877</v>
      </c>
      <c r="M912">
        <v>20590</v>
      </c>
      <c r="N912">
        <v>22</v>
      </c>
      <c r="O912">
        <v>20</v>
      </c>
      <c r="P912">
        <v>2</v>
      </c>
      <c r="Q912">
        <v>22</v>
      </c>
      <c r="R912">
        <v>20</v>
      </c>
      <c r="S912">
        <v>2</v>
      </c>
      <c r="T912">
        <v>0</v>
      </c>
      <c r="U912" t="s">
        <v>8878</v>
      </c>
      <c r="V912">
        <f>Tabla1[[#This Row],[Aboard]]-Tabla1[[#This Row],[Fatalities]]</f>
        <v>0</v>
      </c>
      <c r="W912" s="50">
        <f>IFERROR(Tabla1[[#This Row],[Fatalities]]/Tabla1[[#This Row],[Aboard]],0)</f>
        <v>1</v>
      </c>
      <c r="X912" s="51" t="str" cm="1">
        <f t="array" ref="X912">_xlfn.IFS(Tabla1[[#This Row],[Porcentaje de muertes]]&lt;0.35,"LEVE",AND(Tabla1[[#This Row],[Porcentaje de muertes]]&gt;0.35,Tabla1[[#This Row],[Porcentaje de muertes]]&lt;0.65),"MEDIO",Tabla1[[#This Row],[Porcentaje de muertes]]&gt;0.65,"GRAVE")</f>
        <v>GRAVE</v>
      </c>
    </row>
    <row r="913" spans="2:24" x14ac:dyDescent="0.3">
      <c r="B913" s="9">
        <v>911</v>
      </c>
      <c r="C913" s="49">
        <v>17136</v>
      </c>
      <c r="D913" s="9">
        <f>YEAR(Tabla1[[#This Row],[Date]])</f>
        <v>1946</v>
      </c>
      <c r="E913" s="9" t="str" cm="1">
        <f t="array" ref="E913">IFERROR(_xlfn.IFS(AND(D913&lt;1980,D913&gt;=1970),"70",AND(D913&lt;1990,D913&gt;=1980),"80",AND(D913&lt;2000,D913&gt;=1990),"90",AND(D913&lt;2010,D913&gt;=2000),"00",AND(D913&lt;=2019,D913&gt;=2010),"10"),"1908-1970")</f>
        <v>1908-1970</v>
      </c>
      <c r="F913" s="3" t="s">
        <v>28931</v>
      </c>
      <c r="G913" t="s">
        <v>8879</v>
      </c>
      <c r="H913" t="s">
        <v>8880</v>
      </c>
      <c r="I913" t="s">
        <v>28931</v>
      </c>
      <c r="J913" t="s">
        <v>28931</v>
      </c>
      <c r="K913" t="s">
        <v>8881</v>
      </c>
      <c r="L913" s="7" t="s">
        <v>8882</v>
      </c>
      <c r="M913">
        <v>113</v>
      </c>
      <c r="N913">
        <v>18</v>
      </c>
      <c r="O913">
        <v>15</v>
      </c>
      <c r="P913">
        <v>3</v>
      </c>
      <c r="Q913">
        <v>5</v>
      </c>
      <c r="R913">
        <v>2</v>
      </c>
      <c r="S913">
        <v>3</v>
      </c>
      <c r="T913">
        <v>0</v>
      </c>
      <c r="U913" t="s">
        <v>8883</v>
      </c>
      <c r="V913">
        <f>Tabla1[[#This Row],[Aboard]]-Tabla1[[#This Row],[Fatalities]]</f>
        <v>13</v>
      </c>
      <c r="W913" s="50">
        <f>IFERROR(Tabla1[[#This Row],[Fatalities]]/Tabla1[[#This Row],[Aboard]],0)</f>
        <v>0.27777777777777779</v>
      </c>
      <c r="X913" s="51" t="str" cm="1">
        <f t="array" ref="X913">_xlfn.IFS(Tabla1[[#This Row],[Porcentaje de muertes]]&lt;0.35,"LEVE",AND(Tabla1[[#This Row],[Porcentaje de muertes]]&gt;0.35,Tabla1[[#This Row],[Porcentaje de muertes]]&lt;0.65),"MEDIO",Tabla1[[#This Row],[Porcentaje de muertes]]&gt;0.65,"GRAVE")</f>
        <v>LEVE</v>
      </c>
    </row>
    <row r="914" spans="2:24" x14ac:dyDescent="0.3">
      <c r="B914" s="9">
        <v>912</v>
      </c>
      <c r="C914" s="49">
        <v>16904</v>
      </c>
      <c r="D914" s="9">
        <f>YEAR(Tabla1[[#This Row],[Date]])</f>
        <v>1946</v>
      </c>
      <c r="E914" s="9" t="str" cm="1">
        <f t="array" ref="E914">IFERROR(_xlfn.IFS(AND(D914&lt;1980,D914&gt;=1970),"70",AND(D914&lt;1990,D914&gt;=1980),"80",AND(D914&lt;2000,D914&gt;=1990),"90",AND(D914&lt;2010,D914&gt;=2000),"00",AND(D914&lt;=2019,D914&gt;=2010),"10"),"1908-1970")</f>
        <v>1908-1970</v>
      </c>
      <c r="F914" s="3" t="s">
        <v>28931</v>
      </c>
      <c r="G914" t="s">
        <v>8884</v>
      </c>
      <c r="H914" t="s">
        <v>6541</v>
      </c>
      <c r="I914" t="s">
        <v>28931</v>
      </c>
      <c r="J914" t="s">
        <v>8885</v>
      </c>
      <c r="K914" t="s">
        <v>8569</v>
      </c>
      <c r="L914" s="7" t="s">
        <v>28931</v>
      </c>
      <c r="M914" t="s">
        <v>28931</v>
      </c>
      <c r="N914">
        <v>24</v>
      </c>
      <c r="O914" t="s">
        <v>5038</v>
      </c>
      <c r="P914" t="s">
        <v>5038</v>
      </c>
      <c r="Q914">
        <v>24</v>
      </c>
      <c r="R914" t="s">
        <v>5038</v>
      </c>
      <c r="S914" t="s">
        <v>5038</v>
      </c>
      <c r="T914">
        <v>0</v>
      </c>
      <c r="U914" t="s">
        <v>8886</v>
      </c>
      <c r="V914">
        <f>Tabla1[[#This Row],[Aboard]]-Tabla1[[#This Row],[Fatalities]]</f>
        <v>0</v>
      </c>
      <c r="W914" s="50">
        <f>IFERROR(Tabla1[[#This Row],[Fatalities]]/Tabla1[[#This Row],[Aboard]],0)</f>
        <v>1</v>
      </c>
      <c r="X914" s="51" t="str" cm="1">
        <f t="array" ref="X914">_xlfn.IFS(Tabla1[[#This Row],[Porcentaje de muertes]]&lt;0.35,"LEVE",AND(Tabla1[[#This Row],[Porcentaje de muertes]]&gt;0.35,Tabla1[[#This Row],[Porcentaje de muertes]]&lt;0.65),"MEDIO",Tabla1[[#This Row],[Porcentaje de muertes]]&gt;0.65,"GRAVE")</f>
        <v>GRAVE</v>
      </c>
    </row>
    <row r="915" spans="2:24" x14ac:dyDescent="0.3">
      <c r="B915" s="9">
        <v>913</v>
      </c>
      <c r="C915" s="49">
        <v>17087</v>
      </c>
      <c r="D915" s="9">
        <f>YEAR(Tabla1[[#This Row],[Date]])</f>
        <v>1946</v>
      </c>
      <c r="E915" s="9" t="str" cm="1">
        <f t="array" ref="E915">IFERROR(_xlfn.IFS(AND(D915&lt;1980,D915&gt;=1970),"70",AND(D915&lt;1990,D915&gt;=1980),"80",AND(D915&lt;2000,D915&gt;=1990),"90",AND(D915&lt;2010,D915&gt;=2000),"00",AND(D915&lt;=2019,D915&gt;=2010),"10"),"1908-1970")</f>
        <v>1908-1970</v>
      </c>
      <c r="F915" s="3">
        <v>0.54861111111111105</v>
      </c>
      <c r="G915" t="s">
        <v>8887</v>
      </c>
      <c r="H915" t="s">
        <v>7782</v>
      </c>
      <c r="I915" t="s">
        <v>28931</v>
      </c>
      <c r="J915" t="s">
        <v>28931</v>
      </c>
      <c r="K915" t="s">
        <v>8457</v>
      </c>
      <c r="L915" s="7" t="s">
        <v>8888</v>
      </c>
      <c r="M915">
        <v>22427</v>
      </c>
      <c r="N915">
        <v>24</v>
      </c>
      <c r="O915">
        <v>19</v>
      </c>
      <c r="P915">
        <v>5</v>
      </c>
      <c r="Q915">
        <v>24</v>
      </c>
      <c r="R915">
        <v>19</v>
      </c>
      <c r="S915">
        <v>5</v>
      </c>
      <c r="T915">
        <v>0</v>
      </c>
      <c r="U915" t="s">
        <v>8889</v>
      </c>
      <c r="V915">
        <f>Tabla1[[#This Row],[Aboard]]-Tabla1[[#This Row],[Fatalities]]</f>
        <v>0</v>
      </c>
      <c r="W915" s="50">
        <f>IFERROR(Tabla1[[#This Row],[Fatalities]]/Tabla1[[#This Row],[Aboard]],0)</f>
        <v>1</v>
      </c>
      <c r="X915" s="51" t="str" cm="1">
        <f t="array" ref="X915">_xlfn.IFS(Tabla1[[#This Row],[Porcentaje de muertes]]&lt;0.35,"LEVE",AND(Tabla1[[#This Row],[Porcentaje de muertes]]&gt;0.35,Tabla1[[#This Row],[Porcentaje de muertes]]&lt;0.65),"MEDIO",Tabla1[[#This Row],[Porcentaje de muertes]]&gt;0.65,"GRAVE")</f>
        <v>GRAVE</v>
      </c>
    </row>
    <row r="916" spans="2:24" x14ac:dyDescent="0.3">
      <c r="B916" s="9">
        <v>914</v>
      </c>
      <c r="C916" s="49">
        <v>17087</v>
      </c>
      <c r="D916" s="9">
        <f>YEAR(Tabla1[[#This Row],[Date]])</f>
        <v>1946</v>
      </c>
      <c r="E916" s="9" t="str" cm="1">
        <f t="array" ref="E916">IFERROR(_xlfn.IFS(AND(D916&lt;1980,D916&gt;=1970),"70",AND(D916&lt;1990,D916&gt;=1980),"80",AND(D916&lt;2000,D916&gt;=1990),"90",AND(D916&lt;2010,D916&gt;=2000),"00",AND(D916&lt;=2019,D916&gt;=2010),"10"),"1908-1970")</f>
        <v>1908-1970</v>
      </c>
      <c r="F916" s="3" t="s">
        <v>28931</v>
      </c>
      <c r="G916" t="s">
        <v>8890</v>
      </c>
      <c r="H916" t="s">
        <v>8891</v>
      </c>
      <c r="I916" t="s">
        <v>28931</v>
      </c>
      <c r="J916" t="s">
        <v>8892</v>
      </c>
      <c r="K916" t="s">
        <v>8893</v>
      </c>
      <c r="L916" s="7">
        <v>39528</v>
      </c>
      <c r="M916" t="s">
        <v>28931</v>
      </c>
      <c r="N916">
        <v>32</v>
      </c>
      <c r="O916">
        <v>29</v>
      </c>
      <c r="P916">
        <v>3</v>
      </c>
      <c r="Q916">
        <v>32</v>
      </c>
      <c r="R916">
        <v>29</v>
      </c>
      <c r="S916">
        <v>3</v>
      </c>
      <c r="T916">
        <v>0</v>
      </c>
      <c r="U916" t="s">
        <v>8894</v>
      </c>
      <c r="V916">
        <f>Tabla1[[#This Row],[Aboard]]-Tabla1[[#This Row],[Fatalities]]</f>
        <v>0</v>
      </c>
      <c r="W916" s="50">
        <f>IFERROR(Tabla1[[#This Row],[Fatalities]]/Tabla1[[#This Row],[Aboard]],0)</f>
        <v>1</v>
      </c>
      <c r="X916" s="51" t="str" cm="1">
        <f t="array" ref="X916">_xlfn.IFS(Tabla1[[#This Row],[Porcentaje de muertes]]&lt;0.35,"LEVE",AND(Tabla1[[#This Row],[Porcentaje de muertes]]&gt;0.35,Tabla1[[#This Row],[Porcentaje de muertes]]&lt;0.65),"MEDIO",Tabla1[[#This Row],[Porcentaje de muertes]]&gt;0.65,"GRAVE")</f>
        <v>GRAVE</v>
      </c>
    </row>
    <row r="917" spans="2:24" x14ac:dyDescent="0.3">
      <c r="B917" s="9">
        <v>915</v>
      </c>
      <c r="C917" s="49">
        <v>17150</v>
      </c>
      <c r="D917" s="9">
        <f>YEAR(Tabla1[[#This Row],[Date]])</f>
        <v>1946</v>
      </c>
      <c r="E917" s="9" t="str" cm="1">
        <f t="array" ref="E917">IFERROR(_xlfn.IFS(AND(D917&lt;1980,D917&gt;=1970),"70",AND(D917&lt;1990,D917&gt;=1980),"80",AND(D917&lt;2000,D917&gt;=1990),"90",AND(D917&lt;2010,D917&gt;=2000),"00",AND(D917&lt;=2019,D917&gt;=2010),"10"),"1908-1970")</f>
        <v>1908-1970</v>
      </c>
      <c r="F917" s="3" t="s">
        <v>28931</v>
      </c>
      <c r="G917" t="s">
        <v>8895</v>
      </c>
      <c r="H917" t="s">
        <v>8896</v>
      </c>
      <c r="I917" t="s">
        <v>28931</v>
      </c>
      <c r="J917" t="s">
        <v>8897</v>
      </c>
      <c r="K917" t="s">
        <v>8898</v>
      </c>
      <c r="L917" s="7" t="s">
        <v>8899</v>
      </c>
      <c r="M917" t="s">
        <v>8900</v>
      </c>
      <c r="N917">
        <v>14</v>
      </c>
      <c r="O917">
        <v>10</v>
      </c>
      <c r="P917">
        <v>4</v>
      </c>
      <c r="Q917">
        <v>12</v>
      </c>
      <c r="R917">
        <v>9</v>
      </c>
      <c r="S917">
        <v>3</v>
      </c>
      <c r="T917">
        <v>0</v>
      </c>
      <c r="U917" t="s">
        <v>8901</v>
      </c>
      <c r="V917">
        <f>Tabla1[[#This Row],[Aboard]]-Tabla1[[#This Row],[Fatalities]]</f>
        <v>2</v>
      </c>
      <c r="W917" s="50">
        <f>IFERROR(Tabla1[[#This Row],[Fatalities]]/Tabla1[[#This Row],[Aboard]],0)</f>
        <v>0.8571428571428571</v>
      </c>
      <c r="X917" s="51" t="str" cm="1">
        <f t="array" ref="X917">_xlfn.IFS(Tabla1[[#This Row],[Porcentaje de muertes]]&lt;0.35,"LEVE",AND(Tabla1[[#This Row],[Porcentaje de muertes]]&gt;0.35,Tabla1[[#This Row],[Porcentaje de muertes]]&lt;0.65),"MEDIO",Tabla1[[#This Row],[Porcentaje de muertes]]&gt;0.65,"GRAVE")</f>
        <v>GRAVE</v>
      </c>
    </row>
    <row r="918" spans="2:24" x14ac:dyDescent="0.3">
      <c r="B918" s="9">
        <v>916</v>
      </c>
      <c r="C918" s="49">
        <v>17153</v>
      </c>
      <c r="D918" s="9">
        <f>YEAR(Tabla1[[#This Row],[Date]])</f>
        <v>1946</v>
      </c>
      <c r="E918" s="9" t="str" cm="1">
        <f t="array" ref="E918">IFERROR(_xlfn.IFS(AND(D918&lt;1980,D918&gt;=1970),"70",AND(D918&lt;1990,D918&gt;=1980),"80",AND(D918&lt;2000,D918&gt;=1990),"90",AND(D918&lt;2010,D918&gt;=2000),"00",AND(D918&lt;=2019,D918&gt;=2010),"10"),"1908-1970")</f>
        <v>1908-1970</v>
      </c>
      <c r="F918" s="3" t="s">
        <v>28931</v>
      </c>
      <c r="G918" t="s">
        <v>8902</v>
      </c>
      <c r="H918" t="s">
        <v>8903</v>
      </c>
      <c r="I918" t="s">
        <v>28931</v>
      </c>
      <c r="J918" t="s">
        <v>8904</v>
      </c>
      <c r="K918" t="s">
        <v>8105</v>
      </c>
      <c r="L918" s="7" t="s">
        <v>8905</v>
      </c>
      <c r="M918">
        <v>9249</v>
      </c>
      <c r="N918">
        <v>7</v>
      </c>
      <c r="O918">
        <v>5</v>
      </c>
      <c r="P918">
        <v>2</v>
      </c>
      <c r="Q918">
        <v>7</v>
      </c>
      <c r="R918">
        <v>5</v>
      </c>
      <c r="S918">
        <v>2</v>
      </c>
      <c r="T918">
        <v>0</v>
      </c>
      <c r="U918" t="s">
        <v>8906</v>
      </c>
      <c r="V918">
        <f>Tabla1[[#This Row],[Aboard]]-Tabla1[[#This Row],[Fatalities]]</f>
        <v>0</v>
      </c>
      <c r="W918" s="50">
        <f>IFERROR(Tabla1[[#This Row],[Fatalities]]/Tabla1[[#This Row],[Aboard]],0)</f>
        <v>1</v>
      </c>
      <c r="X918" s="51" t="str" cm="1">
        <f t="array" ref="X918">_xlfn.IFS(Tabla1[[#This Row],[Porcentaje de muertes]]&lt;0.35,"LEVE",AND(Tabla1[[#This Row],[Porcentaje de muertes]]&gt;0.35,Tabla1[[#This Row],[Porcentaje de muertes]]&lt;0.65),"MEDIO",Tabla1[[#This Row],[Porcentaje de muertes]]&gt;0.65,"GRAVE")</f>
        <v>GRAVE</v>
      </c>
    </row>
    <row r="919" spans="2:24" x14ac:dyDescent="0.3">
      <c r="B919" s="9">
        <v>917</v>
      </c>
      <c r="C919" s="49">
        <v>17159</v>
      </c>
      <c r="D919" s="9">
        <f>YEAR(Tabla1[[#This Row],[Date]])</f>
        <v>1946</v>
      </c>
      <c r="E919" s="9" t="str" cm="1">
        <f t="array" ref="E919">IFERROR(_xlfn.IFS(AND(D919&lt;1980,D919&gt;=1970),"70",AND(D919&lt;1990,D919&gt;=1980),"80",AND(D919&lt;2000,D919&gt;=1990),"90",AND(D919&lt;2010,D919&gt;=2000),"00",AND(D919&lt;=2019,D919&gt;=2010),"10"),"1908-1970")</f>
        <v>1908-1970</v>
      </c>
      <c r="F919" s="3">
        <v>0.60416666666666663</v>
      </c>
      <c r="G919" t="s">
        <v>8907</v>
      </c>
      <c r="H919" t="s">
        <v>8908</v>
      </c>
      <c r="I919" t="s">
        <v>28931</v>
      </c>
      <c r="J919" t="s">
        <v>8909</v>
      </c>
      <c r="K919" t="s">
        <v>8765</v>
      </c>
      <c r="L919" s="7" t="s">
        <v>8910</v>
      </c>
      <c r="M919">
        <v>1365</v>
      </c>
      <c r="N919">
        <v>21</v>
      </c>
      <c r="O919">
        <v>15</v>
      </c>
      <c r="P919">
        <v>6</v>
      </c>
      <c r="Q919">
        <v>21</v>
      </c>
      <c r="R919">
        <v>15</v>
      </c>
      <c r="S919">
        <v>6</v>
      </c>
      <c r="T919">
        <v>0</v>
      </c>
      <c r="U919" t="s">
        <v>8911</v>
      </c>
      <c r="V919">
        <f>Tabla1[[#This Row],[Aboard]]-Tabla1[[#This Row],[Fatalities]]</f>
        <v>0</v>
      </c>
      <c r="W919" s="50">
        <f>IFERROR(Tabla1[[#This Row],[Fatalities]]/Tabla1[[#This Row],[Aboard]],0)</f>
        <v>1</v>
      </c>
      <c r="X919" s="51" t="str" cm="1">
        <f t="array" ref="X919">_xlfn.IFS(Tabla1[[#This Row],[Porcentaje de muertes]]&lt;0.35,"LEVE",AND(Tabla1[[#This Row],[Porcentaje de muertes]]&gt;0.35,Tabla1[[#This Row],[Porcentaje de muertes]]&lt;0.65),"MEDIO",Tabla1[[#This Row],[Porcentaje de muertes]]&gt;0.65,"GRAVE")</f>
        <v>GRAVE</v>
      </c>
    </row>
    <row r="920" spans="2:24" x14ac:dyDescent="0.3">
      <c r="B920" s="9">
        <v>918</v>
      </c>
      <c r="C920" s="49">
        <v>17160</v>
      </c>
      <c r="D920" s="9">
        <f>YEAR(Tabla1[[#This Row],[Date]])</f>
        <v>1946</v>
      </c>
      <c r="E920" s="9" t="str" cm="1">
        <f t="array" ref="E920">IFERROR(_xlfn.IFS(AND(D920&lt;1980,D920&gt;=1970),"70",AND(D920&lt;1990,D920&gt;=1980),"80",AND(D920&lt;2000,D920&gt;=1990),"90",AND(D920&lt;2010,D920&gt;=2000),"00",AND(D920&lt;=2019,D920&gt;=2010),"10"),"1908-1970")</f>
        <v>1908-1970</v>
      </c>
      <c r="F920" s="3">
        <v>0.80486111111111114</v>
      </c>
      <c r="G920" t="s">
        <v>8912</v>
      </c>
      <c r="H920" t="s">
        <v>7873</v>
      </c>
      <c r="I920">
        <v>44</v>
      </c>
      <c r="J920" t="s">
        <v>8913</v>
      </c>
      <c r="K920" t="s">
        <v>8914</v>
      </c>
      <c r="L920" s="7" t="s">
        <v>8915</v>
      </c>
      <c r="M920" t="s">
        <v>8916</v>
      </c>
      <c r="N920">
        <v>12</v>
      </c>
      <c r="O920">
        <v>9</v>
      </c>
      <c r="P920">
        <v>3</v>
      </c>
      <c r="Q920">
        <v>12</v>
      </c>
      <c r="R920">
        <v>9</v>
      </c>
      <c r="S920">
        <v>3</v>
      </c>
      <c r="T920">
        <v>0</v>
      </c>
      <c r="U920" t="s">
        <v>8917</v>
      </c>
      <c r="V920">
        <f>Tabla1[[#This Row],[Aboard]]-Tabla1[[#This Row],[Fatalities]]</f>
        <v>0</v>
      </c>
      <c r="W920" s="50">
        <f>IFERROR(Tabla1[[#This Row],[Fatalities]]/Tabla1[[#This Row],[Aboard]],0)</f>
        <v>1</v>
      </c>
      <c r="X920" s="51" t="str" cm="1">
        <f t="array" ref="X920">_xlfn.IFS(Tabla1[[#This Row],[Porcentaje de muertes]]&lt;0.35,"LEVE",AND(Tabla1[[#This Row],[Porcentaje de muertes]]&gt;0.35,Tabla1[[#This Row],[Porcentaje de muertes]]&lt;0.65),"MEDIO",Tabla1[[#This Row],[Porcentaje de muertes]]&gt;0.65,"GRAVE")</f>
        <v>GRAVE</v>
      </c>
    </row>
    <row r="921" spans="2:24" x14ac:dyDescent="0.3">
      <c r="B921" s="9">
        <v>919</v>
      </c>
      <c r="C921" s="49">
        <v>17161</v>
      </c>
      <c r="D921" s="9">
        <f>YEAR(Tabla1[[#This Row],[Date]])</f>
        <v>1946</v>
      </c>
      <c r="E921" s="9" t="str" cm="1">
        <f t="array" ref="E921">IFERROR(_xlfn.IFS(AND(D921&lt;1980,D921&gt;=1970),"70",AND(D921&lt;1990,D921&gt;=1980),"80",AND(D921&lt;2000,D921&gt;=1990),"90",AND(D921&lt;2010,D921&gt;=2000),"00",AND(D921&lt;=2019,D921&gt;=2010),"10"),"1908-1970")</f>
        <v>1908-1970</v>
      </c>
      <c r="F921" s="3">
        <v>0.70833333333333337</v>
      </c>
      <c r="G921" t="s">
        <v>8918</v>
      </c>
      <c r="H921" t="s">
        <v>8919</v>
      </c>
      <c r="I921">
        <v>115</v>
      </c>
      <c r="J921" t="s">
        <v>8920</v>
      </c>
      <c r="K921" t="s">
        <v>8921</v>
      </c>
      <c r="L921" s="7" t="s">
        <v>28931</v>
      </c>
      <c r="M921" t="s">
        <v>28931</v>
      </c>
      <c r="N921">
        <v>34</v>
      </c>
      <c r="O921">
        <v>31</v>
      </c>
      <c r="P921">
        <v>3</v>
      </c>
      <c r="Q921">
        <v>13</v>
      </c>
      <c r="R921">
        <v>10</v>
      </c>
      <c r="S921">
        <v>3</v>
      </c>
      <c r="T921">
        <v>3</v>
      </c>
      <c r="U921" t="s">
        <v>8922</v>
      </c>
      <c r="V921">
        <f>Tabla1[[#This Row],[Aboard]]-Tabla1[[#This Row],[Fatalities]]</f>
        <v>21</v>
      </c>
      <c r="W921" s="50">
        <f>IFERROR(Tabla1[[#This Row],[Fatalities]]/Tabla1[[#This Row],[Aboard]],0)</f>
        <v>0.38235294117647056</v>
      </c>
      <c r="X921" s="51" t="str" cm="1">
        <f t="array" ref="X921">_xlfn.IFS(Tabla1[[#This Row],[Porcentaje de muertes]]&lt;0.35,"LEVE",AND(Tabla1[[#This Row],[Porcentaje de muertes]]&gt;0.35,Tabla1[[#This Row],[Porcentaje de muertes]]&lt;0.65),"MEDIO",Tabla1[[#This Row],[Porcentaje de muertes]]&gt;0.65,"GRAVE")</f>
        <v>MEDIO</v>
      </c>
    </row>
    <row r="922" spans="2:24" x14ac:dyDescent="0.3">
      <c r="B922" s="9">
        <v>920</v>
      </c>
      <c r="C922" s="49">
        <v>17161</v>
      </c>
      <c r="D922" s="9">
        <f>YEAR(Tabla1[[#This Row],[Date]])</f>
        <v>1946</v>
      </c>
      <c r="E922" s="9" t="str" cm="1">
        <f t="array" ref="E922">IFERROR(_xlfn.IFS(AND(D922&lt;1980,D922&gt;=1970),"70",AND(D922&lt;1990,D922&gt;=1980),"80",AND(D922&lt;2000,D922&gt;=1990),"90",AND(D922&lt;2010,D922&gt;=2000),"00",AND(D922&lt;=2019,D922&gt;=2010),"10"),"1908-1970")</f>
        <v>1908-1970</v>
      </c>
      <c r="F922" s="3">
        <v>0.70833333333333337</v>
      </c>
      <c r="G922" t="s">
        <v>8923</v>
      </c>
      <c r="H922" t="s">
        <v>8919</v>
      </c>
      <c r="I922">
        <v>140</v>
      </c>
      <c r="J922" t="s">
        <v>8920</v>
      </c>
      <c r="K922" t="s">
        <v>7057</v>
      </c>
      <c r="L922" s="7" t="s">
        <v>28931</v>
      </c>
      <c r="M922" t="s">
        <v>28931</v>
      </c>
      <c r="N922">
        <v>30</v>
      </c>
      <c r="O922">
        <v>27</v>
      </c>
      <c r="P922">
        <v>3</v>
      </c>
      <c r="Q922">
        <v>20</v>
      </c>
      <c r="R922">
        <v>17</v>
      </c>
      <c r="S922">
        <v>3</v>
      </c>
      <c r="T922">
        <v>0</v>
      </c>
      <c r="U922" t="s">
        <v>8924</v>
      </c>
      <c r="V922">
        <f>Tabla1[[#This Row],[Aboard]]-Tabla1[[#This Row],[Fatalities]]</f>
        <v>10</v>
      </c>
      <c r="W922" s="50">
        <f>IFERROR(Tabla1[[#This Row],[Fatalities]]/Tabla1[[#This Row],[Aboard]],0)</f>
        <v>0.66666666666666663</v>
      </c>
      <c r="X922" s="51" t="str" cm="1">
        <f t="array" ref="X922">_xlfn.IFS(Tabla1[[#This Row],[Porcentaje de muertes]]&lt;0.35,"LEVE",AND(Tabla1[[#This Row],[Porcentaje de muertes]]&gt;0.35,Tabla1[[#This Row],[Porcentaje de muertes]]&lt;0.65),"MEDIO",Tabla1[[#This Row],[Porcentaje de muertes]]&gt;0.65,"GRAVE")</f>
        <v>GRAVE</v>
      </c>
    </row>
    <row r="923" spans="2:24" x14ac:dyDescent="0.3">
      <c r="B923" s="9">
        <v>921</v>
      </c>
      <c r="C923" s="49">
        <v>17161</v>
      </c>
      <c r="D923" s="9">
        <f>YEAR(Tabla1[[#This Row],[Date]])</f>
        <v>1946</v>
      </c>
      <c r="E923" s="9" t="str" cm="1">
        <f t="array" ref="E923">IFERROR(_xlfn.IFS(AND(D923&lt;1980,D923&gt;=1970),"70",AND(D923&lt;1990,D923&gt;=1980),"80",AND(D923&lt;2000,D923&gt;=1990),"90",AND(D923&lt;2010,D923&gt;=2000),"00",AND(D923&lt;=2019,D923&gt;=2010),"10"),"1908-1970")</f>
        <v>1908-1970</v>
      </c>
      <c r="F923" s="3">
        <v>0.73958333333333337</v>
      </c>
      <c r="G923" t="s">
        <v>6009</v>
      </c>
      <c r="H923" t="s">
        <v>8925</v>
      </c>
      <c r="I923">
        <v>48</v>
      </c>
      <c r="J923" t="s">
        <v>8620</v>
      </c>
      <c r="K923" t="s">
        <v>7826</v>
      </c>
      <c r="L923" s="7" t="s">
        <v>28931</v>
      </c>
      <c r="M923" t="s">
        <v>28931</v>
      </c>
      <c r="N923">
        <v>11</v>
      </c>
      <c r="O923">
        <v>7</v>
      </c>
      <c r="P923">
        <v>4</v>
      </c>
      <c r="Q923">
        <v>11</v>
      </c>
      <c r="R923">
        <v>7</v>
      </c>
      <c r="S923">
        <v>4</v>
      </c>
      <c r="T923">
        <v>5</v>
      </c>
      <c r="U923" t="s">
        <v>8926</v>
      </c>
      <c r="V923">
        <f>Tabla1[[#This Row],[Aboard]]-Tabla1[[#This Row],[Fatalities]]</f>
        <v>0</v>
      </c>
      <c r="W923" s="50">
        <f>IFERROR(Tabla1[[#This Row],[Fatalities]]/Tabla1[[#This Row],[Aboard]],0)</f>
        <v>1</v>
      </c>
      <c r="X923" s="51" t="str" cm="1">
        <f t="array" ref="X923">_xlfn.IFS(Tabla1[[#This Row],[Porcentaje de muertes]]&lt;0.35,"LEVE",AND(Tabla1[[#This Row],[Porcentaje de muertes]]&gt;0.35,Tabla1[[#This Row],[Porcentaje de muertes]]&lt;0.65),"MEDIO",Tabla1[[#This Row],[Porcentaje de muertes]]&gt;0.65,"GRAVE")</f>
        <v>GRAVE</v>
      </c>
    </row>
    <row r="924" spans="2:24" x14ac:dyDescent="0.3">
      <c r="B924" s="9">
        <v>922</v>
      </c>
      <c r="C924" s="49">
        <v>17164</v>
      </c>
      <c r="D924" s="9">
        <f>YEAR(Tabla1[[#This Row],[Date]])</f>
        <v>1946</v>
      </c>
      <c r="E924" s="9" t="str" cm="1">
        <f t="array" ref="E924">IFERROR(_xlfn.IFS(AND(D924&lt;1980,D924&gt;=1970),"70",AND(D924&lt;1990,D924&gt;=1980),"80",AND(D924&lt;2000,D924&gt;=1990),"90",AND(D924&lt;2010,D924&gt;=2000),"00",AND(D924&lt;=2019,D924&gt;=2010),"10"),"1908-1970")</f>
        <v>1908-1970</v>
      </c>
      <c r="F924" s="3" t="s">
        <v>28931</v>
      </c>
      <c r="G924" t="s">
        <v>8927</v>
      </c>
      <c r="H924" t="s">
        <v>8928</v>
      </c>
      <c r="I924" t="s">
        <v>28931</v>
      </c>
      <c r="J924" t="s">
        <v>8929</v>
      </c>
      <c r="K924" t="s">
        <v>8105</v>
      </c>
      <c r="L924" s="7" t="s">
        <v>8930</v>
      </c>
      <c r="M924">
        <v>9378</v>
      </c>
      <c r="N924">
        <v>2</v>
      </c>
      <c r="O924">
        <v>0</v>
      </c>
      <c r="P924">
        <v>2</v>
      </c>
      <c r="Q924">
        <v>2</v>
      </c>
      <c r="R924">
        <v>0</v>
      </c>
      <c r="S924">
        <v>2</v>
      </c>
      <c r="T924">
        <v>0</v>
      </c>
      <c r="U924" t="s">
        <v>8931</v>
      </c>
      <c r="V924">
        <f>Tabla1[[#This Row],[Aboard]]-Tabla1[[#This Row],[Fatalities]]</f>
        <v>0</v>
      </c>
      <c r="W924" s="50">
        <f>IFERROR(Tabla1[[#This Row],[Fatalities]]/Tabla1[[#This Row],[Aboard]],0)</f>
        <v>1</v>
      </c>
      <c r="X924" s="51" t="str" cm="1">
        <f t="array" ref="X924">_xlfn.IFS(Tabla1[[#This Row],[Porcentaje de muertes]]&lt;0.35,"LEVE",AND(Tabla1[[#This Row],[Porcentaje de muertes]]&gt;0.35,Tabla1[[#This Row],[Porcentaje de muertes]]&lt;0.65),"MEDIO",Tabla1[[#This Row],[Porcentaje de muertes]]&gt;0.65,"GRAVE")</f>
        <v>GRAVE</v>
      </c>
    </row>
    <row r="925" spans="2:24" x14ac:dyDescent="0.3">
      <c r="B925" s="9">
        <v>923</v>
      </c>
      <c r="C925" s="49">
        <v>17164</v>
      </c>
      <c r="D925" s="9">
        <f>YEAR(Tabla1[[#This Row],[Date]])</f>
        <v>1946</v>
      </c>
      <c r="E925" s="9" t="str" cm="1">
        <f t="array" ref="E925">IFERROR(_xlfn.IFS(AND(D925&lt;1980,D925&gt;=1970),"70",AND(D925&lt;1990,D925&gt;=1980),"80",AND(D925&lt;2000,D925&gt;=1990),"90",AND(D925&lt;2010,D925&gt;=2000),"00",AND(D925&lt;=2019,D925&gt;=2010),"10"),"1908-1970")</f>
        <v>1908-1970</v>
      </c>
      <c r="F925" s="3">
        <v>8.9583333333333334E-2</v>
      </c>
      <c r="G925" t="s">
        <v>8932</v>
      </c>
      <c r="H925" t="s">
        <v>6044</v>
      </c>
      <c r="I925">
        <v>6963</v>
      </c>
      <c r="J925" t="s">
        <v>8933</v>
      </c>
      <c r="K925" t="s">
        <v>8934</v>
      </c>
      <c r="L925" s="7" t="s">
        <v>8935</v>
      </c>
      <c r="M925">
        <v>2026</v>
      </c>
      <c r="N925">
        <v>23</v>
      </c>
      <c r="O925">
        <v>14</v>
      </c>
      <c r="P925">
        <v>9</v>
      </c>
      <c r="Q925">
        <v>13</v>
      </c>
      <c r="R925">
        <v>9</v>
      </c>
      <c r="S925">
        <v>4</v>
      </c>
      <c r="T925">
        <v>0</v>
      </c>
      <c r="U925" t="s">
        <v>8936</v>
      </c>
      <c r="V925">
        <f>Tabla1[[#This Row],[Aboard]]-Tabla1[[#This Row],[Fatalities]]</f>
        <v>10</v>
      </c>
      <c r="W925" s="50">
        <f>IFERROR(Tabla1[[#This Row],[Fatalities]]/Tabla1[[#This Row],[Aboard]],0)</f>
        <v>0.56521739130434778</v>
      </c>
      <c r="X925" s="51" t="str" cm="1">
        <f t="array" ref="X925">_xlfn.IFS(Tabla1[[#This Row],[Porcentaje de muertes]]&lt;0.35,"LEVE",AND(Tabla1[[#This Row],[Porcentaje de muertes]]&gt;0.35,Tabla1[[#This Row],[Porcentaje de muertes]]&lt;0.65),"MEDIO",Tabla1[[#This Row],[Porcentaje de muertes]]&gt;0.65,"GRAVE")</f>
        <v>MEDIO</v>
      </c>
    </row>
    <row r="926" spans="2:24" x14ac:dyDescent="0.3">
      <c r="B926" s="9">
        <v>924</v>
      </c>
      <c r="C926" s="49">
        <v>17164</v>
      </c>
      <c r="D926" s="9">
        <f>YEAR(Tabla1[[#This Row],[Date]])</f>
        <v>1946</v>
      </c>
      <c r="E926" s="9" t="str" cm="1">
        <f t="array" ref="E926">IFERROR(_xlfn.IFS(AND(D926&lt;1980,D926&gt;=1970),"70",AND(D926&lt;1990,D926&gt;=1980),"80",AND(D926&lt;2000,D926&gt;=1990),"90",AND(D926&lt;2010,D926&gt;=2000),"00",AND(D926&lt;=2019,D926&gt;=2010),"10"),"1908-1970")</f>
        <v>1908-1970</v>
      </c>
      <c r="F926" s="3">
        <v>0.38819444444444445</v>
      </c>
      <c r="G926" t="s">
        <v>8937</v>
      </c>
      <c r="H926" t="s">
        <v>6536</v>
      </c>
      <c r="I926">
        <v>2207</v>
      </c>
      <c r="J926" t="s">
        <v>8938</v>
      </c>
      <c r="K926" t="s">
        <v>8939</v>
      </c>
      <c r="L926" s="7" t="s">
        <v>8940</v>
      </c>
      <c r="M926">
        <v>4805</v>
      </c>
      <c r="N926">
        <v>21</v>
      </c>
      <c r="O926">
        <v>18</v>
      </c>
      <c r="P926">
        <v>3</v>
      </c>
      <c r="Q926">
        <v>2</v>
      </c>
      <c r="R926">
        <v>0</v>
      </c>
      <c r="S926">
        <v>2</v>
      </c>
      <c r="T926">
        <v>0</v>
      </c>
      <c r="U926" t="s">
        <v>8941</v>
      </c>
      <c r="V926">
        <f>Tabla1[[#This Row],[Aboard]]-Tabla1[[#This Row],[Fatalities]]</f>
        <v>19</v>
      </c>
      <c r="W926" s="50">
        <f>IFERROR(Tabla1[[#This Row],[Fatalities]]/Tabla1[[#This Row],[Aboard]],0)</f>
        <v>9.5238095238095233E-2</v>
      </c>
      <c r="X926" s="51" t="str" cm="1">
        <f t="array" ref="X926">_xlfn.IFS(Tabla1[[#This Row],[Porcentaje de muertes]]&lt;0.35,"LEVE",AND(Tabla1[[#This Row],[Porcentaje de muertes]]&gt;0.35,Tabla1[[#This Row],[Porcentaje de muertes]]&lt;0.65),"MEDIO",Tabla1[[#This Row],[Porcentaje de muertes]]&gt;0.65,"GRAVE")</f>
        <v>LEVE</v>
      </c>
    </row>
    <row r="927" spans="2:24" x14ac:dyDescent="0.3">
      <c r="B927" s="9">
        <v>925</v>
      </c>
      <c r="C927" s="49">
        <v>17227</v>
      </c>
      <c r="D927" s="9">
        <f>YEAR(Tabla1[[#This Row],[Date]])</f>
        <v>1947</v>
      </c>
      <c r="E927" s="9" t="str" cm="1">
        <f t="array" ref="E927">IFERROR(_xlfn.IFS(AND(D927&lt;1980,D927&gt;=1970),"70",AND(D927&lt;1990,D927&gt;=1980),"80",AND(D927&lt;2000,D927&gt;=1990),"90",AND(D927&lt;2010,D927&gt;=2000),"00",AND(D927&lt;=2019,D927&gt;=2010),"10"),"1908-1970")</f>
        <v>1908-1970</v>
      </c>
      <c r="F927" s="3" t="s">
        <v>28931</v>
      </c>
      <c r="G927" t="s">
        <v>7197</v>
      </c>
      <c r="H927" t="s">
        <v>7669</v>
      </c>
      <c r="I927" t="s">
        <v>28931</v>
      </c>
      <c r="J927" t="s">
        <v>28931</v>
      </c>
      <c r="K927" t="s">
        <v>8942</v>
      </c>
      <c r="L927" s="7" t="s">
        <v>8943</v>
      </c>
      <c r="M927">
        <v>4315</v>
      </c>
      <c r="N927">
        <v>14</v>
      </c>
      <c r="O927">
        <v>11</v>
      </c>
      <c r="P927">
        <v>3</v>
      </c>
      <c r="Q927">
        <v>11</v>
      </c>
      <c r="R927">
        <v>8</v>
      </c>
      <c r="S927">
        <v>3</v>
      </c>
      <c r="T927">
        <v>0</v>
      </c>
      <c r="U927" t="s">
        <v>8944</v>
      </c>
      <c r="V927">
        <f>Tabla1[[#This Row],[Aboard]]-Tabla1[[#This Row],[Fatalities]]</f>
        <v>3</v>
      </c>
      <c r="W927" s="50">
        <f>IFERROR(Tabla1[[#This Row],[Fatalities]]/Tabla1[[#This Row],[Aboard]],0)</f>
        <v>0.7857142857142857</v>
      </c>
      <c r="X927" s="51" t="str" cm="1">
        <f t="array" ref="X927">_xlfn.IFS(Tabla1[[#This Row],[Porcentaje de muertes]]&lt;0.35,"LEVE",AND(Tabla1[[#This Row],[Porcentaje de muertes]]&gt;0.35,Tabla1[[#This Row],[Porcentaje de muertes]]&lt;0.65),"MEDIO",Tabla1[[#This Row],[Porcentaje de muertes]]&gt;0.65,"GRAVE")</f>
        <v>GRAVE</v>
      </c>
    </row>
    <row r="928" spans="2:24" x14ac:dyDescent="0.3">
      <c r="B928" s="9">
        <v>926</v>
      </c>
      <c r="C928" s="49">
        <v>17288</v>
      </c>
      <c r="D928" s="9">
        <f>YEAR(Tabla1[[#This Row],[Date]])</f>
        <v>1947</v>
      </c>
      <c r="E928" s="9" t="str" cm="1">
        <f t="array" ref="E928">IFERROR(_xlfn.IFS(AND(D928&lt;1980,D928&gt;=1970),"70",AND(D928&lt;1990,D928&gt;=1980),"80",AND(D928&lt;2000,D928&gt;=1990),"90",AND(D928&lt;2010,D928&gt;=2000),"00",AND(D928&lt;=2019,D928&gt;=2010),"10"),"1908-1970")</f>
        <v>1908-1970</v>
      </c>
      <c r="F928" s="3" t="s">
        <v>28931</v>
      </c>
      <c r="G928" t="s">
        <v>8945</v>
      </c>
      <c r="H928" t="s">
        <v>6010</v>
      </c>
      <c r="I928" t="s">
        <v>28931</v>
      </c>
      <c r="J928" t="s">
        <v>8946</v>
      </c>
      <c r="K928" t="s">
        <v>8947</v>
      </c>
      <c r="L928" s="7" t="s">
        <v>8948</v>
      </c>
      <c r="M928" t="s">
        <v>28931</v>
      </c>
      <c r="N928">
        <v>43</v>
      </c>
      <c r="O928">
        <v>38</v>
      </c>
      <c r="P928">
        <v>5</v>
      </c>
      <c r="Q928">
        <v>43</v>
      </c>
      <c r="R928">
        <v>38</v>
      </c>
      <c r="S928">
        <v>5</v>
      </c>
      <c r="T928">
        <v>0</v>
      </c>
      <c r="U928" t="s">
        <v>8949</v>
      </c>
      <c r="V928">
        <f>Tabla1[[#This Row],[Aboard]]-Tabla1[[#This Row],[Fatalities]]</f>
        <v>0</v>
      </c>
      <c r="W928" s="50">
        <f>IFERROR(Tabla1[[#This Row],[Fatalities]]/Tabla1[[#This Row],[Aboard]],0)</f>
        <v>1</v>
      </c>
      <c r="X928" s="51" t="str" cm="1">
        <f t="array" ref="X928">_xlfn.IFS(Tabla1[[#This Row],[Porcentaje de muertes]]&lt;0.35,"LEVE",AND(Tabla1[[#This Row],[Porcentaje de muertes]]&gt;0.35,Tabla1[[#This Row],[Porcentaje de muertes]]&lt;0.65),"MEDIO",Tabla1[[#This Row],[Porcentaje de muertes]]&gt;0.65,"GRAVE")</f>
        <v>GRAVE</v>
      </c>
    </row>
    <row r="929" spans="2:24" x14ac:dyDescent="0.3">
      <c r="B929" s="9">
        <v>927</v>
      </c>
      <c r="C929" s="49">
        <v>17288</v>
      </c>
      <c r="D929" s="9">
        <f>YEAR(Tabla1[[#This Row],[Date]])</f>
        <v>1947</v>
      </c>
      <c r="E929" s="9" t="str" cm="1">
        <f t="array" ref="E929">IFERROR(_xlfn.IFS(AND(D929&lt;1980,D929&gt;=1970),"70",AND(D929&lt;1990,D929&gt;=1980),"80",AND(D929&lt;2000,D929&gt;=1990),"90",AND(D929&lt;2010,D929&gt;=2000),"00",AND(D929&lt;=2019,D929&gt;=2010),"10"),"1908-1970")</f>
        <v>1908-1970</v>
      </c>
      <c r="F929" s="3">
        <v>0.83333333333333337</v>
      </c>
      <c r="G929" t="s">
        <v>8950</v>
      </c>
      <c r="H929" t="s">
        <v>8951</v>
      </c>
      <c r="I929" t="s">
        <v>28931</v>
      </c>
      <c r="J929" t="s">
        <v>8952</v>
      </c>
      <c r="K929" t="s">
        <v>7057</v>
      </c>
      <c r="L929" s="7" t="s">
        <v>8953</v>
      </c>
      <c r="M929">
        <v>34373</v>
      </c>
      <c r="N929">
        <v>23</v>
      </c>
      <c r="O929">
        <v>20</v>
      </c>
      <c r="P929">
        <v>3</v>
      </c>
      <c r="Q929">
        <v>3</v>
      </c>
      <c r="R929">
        <v>2</v>
      </c>
      <c r="S929">
        <v>1</v>
      </c>
      <c r="T929">
        <v>0</v>
      </c>
      <c r="U929" t="s">
        <v>8954</v>
      </c>
      <c r="V929">
        <f>Tabla1[[#This Row],[Aboard]]-Tabla1[[#This Row],[Fatalities]]</f>
        <v>20</v>
      </c>
      <c r="W929" s="50">
        <f>IFERROR(Tabla1[[#This Row],[Fatalities]]/Tabla1[[#This Row],[Aboard]],0)</f>
        <v>0.13043478260869565</v>
      </c>
      <c r="X929" s="51" t="str" cm="1">
        <f t="array" ref="X929">_xlfn.IFS(Tabla1[[#This Row],[Porcentaje de muertes]]&lt;0.35,"LEVE",AND(Tabla1[[#This Row],[Porcentaje de muertes]]&gt;0.35,Tabla1[[#This Row],[Porcentaje de muertes]]&lt;0.65),"MEDIO",Tabla1[[#This Row],[Porcentaje de muertes]]&gt;0.65,"GRAVE")</f>
        <v>LEVE</v>
      </c>
    </row>
    <row r="930" spans="2:24" x14ac:dyDescent="0.3">
      <c r="B930" s="9">
        <v>928</v>
      </c>
      <c r="C930" s="49">
        <v>17472</v>
      </c>
      <c r="D930" s="9">
        <f>YEAR(Tabla1[[#This Row],[Date]])</f>
        <v>1947</v>
      </c>
      <c r="E930" s="9" t="str" cm="1">
        <f t="array" ref="E930">IFERROR(_xlfn.IFS(AND(D930&lt;1980,D930&gt;=1970),"70",AND(D930&lt;1990,D930&gt;=1980),"80",AND(D930&lt;2000,D930&gt;=1990),"90",AND(D930&lt;2010,D930&gt;=2000),"00",AND(D930&lt;=2019,D930&gt;=2010),"10"),"1908-1970")</f>
        <v>1908-1970</v>
      </c>
      <c r="F930" s="3">
        <v>0.72916666666666663</v>
      </c>
      <c r="G930" t="s">
        <v>8955</v>
      </c>
      <c r="H930" t="s">
        <v>7521</v>
      </c>
      <c r="I930" t="s">
        <v>28931</v>
      </c>
      <c r="J930" t="s">
        <v>8956</v>
      </c>
      <c r="K930" t="s">
        <v>8957</v>
      </c>
      <c r="L930" s="7" t="s">
        <v>8958</v>
      </c>
      <c r="M930">
        <v>12014</v>
      </c>
      <c r="N930">
        <v>16</v>
      </c>
      <c r="O930">
        <v>11</v>
      </c>
      <c r="P930">
        <v>5</v>
      </c>
      <c r="Q930">
        <v>8</v>
      </c>
      <c r="R930">
        <v>4</v>
      </c>
      <c r="S930">
        <v>4</v>
      </c>
      <c r="T930">
        <v>0</v>
      </c>
      <c r="U930" t="s">
        <v>8959</v>
      </c>
      <c r="V930">
        <f>Tabla1[[#This Row],[Aboard]]-Tabla1[[#This Row],[Fatalities]]</f>
        <v>8</v>
      </c>
      <c r="W930" s="50">
        <f>IFERROR(Tabla1[[#This Row],[Fatalities]]/Tabla1[[#This Row],[Aboard]],0)</f>
        <v>0.5</v>
      </c>
      <c r="X930" s="51" t="str" cm="1">
        <f t="array" ref="X930">_xlfn.IFS(Tabla1[[#This Row],[Porcentaje de muertes]]&lt;0.35,"LEVE",AND(Tabla1[[#This Row],[Porcentaje de muertes]]&gt;0.35,Tabla1[[#This Row],[Porcentaje de muertes]]&lt;0.65),"MEDIO",Tabla1[[#This Row],[Porcentaje de muertes]]&gt;0.65,"GRAVE")</f>
        <v>MEDIO</v>
      </c>
    </row>
    <row r="931" spans="2:24" x14ac:dyDescent="0.3">
      <c r="B931" s="9">
        <v>929</v>
      </c>
      <c r="C931" s="49">
        <v>17472</v>
      </c>
      <c r="D931" s="9">
        <f>YEAR(Tabla1[[#This Row],[Date]])</f>
        <v>1947</v>
      </c>
      <c r="E931" s="9" t="str" cm="1">
        <f t="array" ref="E931">IFERROR(_xlfn.IFS(AND(D931&lt;1980,D931&gt;=1970),"70",AND(D931&lt;1990,D931&gt;=1980),"80",AND(D931&lt;2000,D931&gt;=1990),"90",AND(D931&lt;2010,D931&gt;=2000),"00",AND(D931&lt;=2019,D931&gt;=2010),"10"),"1908-1970")</f>
        <v>1908-1970</v>
      </c>
      <c r="F931" s="3" t="s">
        <v>28931</v>
      </c>
      <c r="G931" t="s">
        <v>8960</v>
      </c>
      <c r="H931" t="s">
        <v>8896</v>
      </c>
      <c r="I931" t="s">
        <v>28931</v>
      </c>
      <c r="J931" t="s">
        <v>8961</v>
      </c>
      <c r="K931" t="s">
        <v>8962</v>
      </c>
      <c r="L931" s="7" t="s">
        <v>8963</v>
      </c>
      <c r="M931">
        <v>3106</v>
      </c>
      <c r="N931">
        <v>42</v>
      </c>
      <c r="O931">
        <v>37</v>
      </c>
      <c r="P931">
        <v>5</v>
      </c>
      <c r="Q931">
        <v>7</v>
      </c>
      <c r="R931">
        <v>7</v>
      </c>
      <c r="S931">
        <v>0</v>
      </c>
      <c r="T931">
        <v>0</v>
      </c>
      <c r="U931" t="s">
        <v>8964</v>
      </c>
      <c r="V931">
        <f>Tabla1[[#This Row],[Aboard]]-Tabla1[[#This Row],[Fatalities]]</f>
        <v>35</v>
      </c>
      <c r="W931" s="50">
        <f>IFERROR(Tabla1[[#This Row],[Fatalities]]/Tabla1[[#This Row],[Aboard]],0)</f>
        <v>0.16666666666666666</v>
      </c>
      <c r="X931" s="51" t="str" cm="1">
        <f t="array" ref="X931">_xlfn.IFS(Tabla1[[#This Row],[Porcentaje de muertes]]&lt;0.35,"LEVE",AND(Tabla1[[#This Row],[Porcentaje de muertes]]&gt;0.35,Tabla1[[#This Row],[Porcentaje de muertes]]&lt;0.65),"MEDIO",Tabla1[[#This Row],[Porcentaje de muertes]]&gt;0.65,"GRAVE")</f>
        <v>LEVE</v>
      </c>
    </row>
    <row r="932" spans="2:24" x14ac:dyDescent="0.3">
      <c r="B932" s="9">
        <v>930</v>
      </c>
      <c r="C932" s="49">
        <v>17502</v>
      </c>
      <c r="D932" s="9">
        <f>YEAR(Tabla1[[#This Row],[Date]])</f>
        <v>1947</v>
      </c>
      <c r="E932" s="9" t="str" cm="1">
        <f t="array" ref="E932">IFERROR(_xlfn.IFS(AND(D932&lt;1980,D932&gt;=1970),"70",AND(D932&lt;1990,D932&gt;=1980),"80",AND(D932&lt;2000,D932&gt;=1990),"90",AND(D932&lt;2010,D932&gt;=2000),"00",AND(D932&lt;=2019,D932&gt;=2010),"10"),"1908-1970")</f>
        <v>1908-1970</v>
      </c>
      <c r="F932" s="3">
        <v>6.805555555555555E-2</v>
      </c>
      <c r="G932" t="s">
        <v>8965</v>
      </c>
      <c r="H932" t="s">
        <v>6941</v>
      </c>
      <c r="I932">
        <v>665</v>
      </c>
      <c r="J932" t="s">
        <v>8966</v>
      </c>
      <c r="K932" t="s">
        <v>7057</v>
      </c>
      <c r="L932" s="7" t="s">
        <v>8967</v>
      </c>
      <c r="M932">
        <v>3274</v>
      </c>
      <c r="N932">
        <v>19</v>
      </c>
      <c r="O932">
        <v>16</v>
      </c>
      <c r="P932">
        <v>3</v>
      </c>
      <c r="Q932">
        <v>18</v>
      </c>
      <c r="R932">
        <v>15</v>
      </c>
      <c r="S932">
        <v>3</v>
      </c>
      <c r="T932">
        <v>0</v>
      </c>
      <c r="U932" t="s">
        <v>8968</v>
      </c>
      <c r="V932">
        <f>Tabla1[[#This Row],[Aboard]]-Tabla1[[#This Row],[Fatalities]]</f>
        <v>1</v>
      </c>
      <c r="W932" s="50">
        <f>IFERROR(Tabla1[[#This Row],[Fatalities]]/Tabla1[[#This Row],[Aboard]],0)</f>
        <v>0.94736842105263153</v>
      </c>
      <c r="X932" s="51" t="str" cm="1">
        <f t="array" ref="X932">_xlfn.IFS(Tabla1[[#This Row],[Porcentaje de muertes]]&lt;0.35,"LEVE",AND(Tabla1[[#This Row],[Porcentaje de muertes]]&gt;0.35,Tabla1[[#This Row],[Porcentaje de muertes]]&lt;0.65),"MEDIO",Tabla1[[#This Row],[Porcentaje de muertes]]&gt;0.65,"GRAVE")</f>
        <v>GRAVE</v>
      </c>
    </row>
    <row r="933" spans="2:24" x14ac:dyDescent="0.3">
      <c r="B933" s="9">
        <v>931</v>
      </c>
      <c r="C933" s="49">
        <v>17181</v>
      </c>
      <c r="D933" s="9">
        <f>YEAR(Tabla1[[#This Row],[Date]])</f>
        <v>1947</v>
      </c>
      <c r="E933" s="9" t="str" cm="1">
        <f t="array" ref="E933">IFERROR(_xlfn.IFS(AND(D933&lt;1980,D933&gt;=1970),"70",AND(D933&lt;1990,D933&gt;=1980),"80",AND(D933&lt;2000,D933&gt;=1990),"90",AND(D933&lt;2010,D933&gt;=2000),"00",AND(D933&lt;=2019,D933&gt;=2010),"10"),"1908-1970")</f>
        <v>1908-1970</v>
      </c>
      <c r="F933" s="3">
        <v>0.375</v>
      </c>
      <c r="G933" t="s">
        <v>8969</v>
      </c>
      <c r="H933" t="s">
        <v>8970</v>
      </c>
      <c r="I933" t="s">
        <v>28931</v>
      </c>
      <c r="J933" t="s">
        <v>8971</v>
      </c>
      <c r="K933" t="s">
        <v>8972</v>
      </c>
      <c r="L933" s="7" t="s">
        <v>8973</v>
      </c>
      <c r="M933">
        <v>182607</v>
      </c>
      <c r="N933">
        <v>21</v>
      </c>
      <c r="O933">
        <v>17</v>
      </c>
      <c r="P933">
        <v>4</v>
      </c>
      <c r="Q933">
        <v>21</v>
      </c>
      <c r="R933">
        <v>17</v>
      </c>
      <c r="S933">
        <v>4</v>
      </c>
      <c r="T933">
        <v>0</v>
      </c>
      <c r="U933" t="s">
        <v>8974</v>
      </c>
      <c r="V933">
        <f>Tabla1[[#This Row],[Aboard]]-Tabla1[[#This Row],[Fatalities]]</f>
        <v>0</v>
      </c>
      <c r="W933" s="50">
        <f>IFERROR(Tabla1[[#This Row],[Fatalities]]/Tabla1[[#This Row],[Aboard]],0)</f>
        <v>1</v>
      </c>
      <c r="X933" s="51" t="str" cm="1">
        <f t="array" ref="X933">_xlfn.IFS(Tabla1[[#This Row],[Porcentaje de muertes]]&lt;0.35,"LEVE",AND(Tabla1[[#This Row],[Porcentaje de muertes]]&gt;0.35,Tabla1[[#This Row],[Porcentaje de muertes]]&lt;0.65),"MEDIO",Tabla1[[#This Row],[Porcentaje de muertes]]&gt;0.65,"GRAVE")</f>
        <v>GRAVE</v>
      </c>
    </row>
    <row r="934" spans="2:24" x14ac:dyDescent="0.3">
      <c r="B934" s="9">
        <v>932</v>
      </c>
      <c r="C934" s="49">
        <v>17189</v>
      </c>
      <c r="D934" s="9">
        <f>YEAR(Tabla1[[#This Row],[Date]])</f>
        <v>1947</v>
      </c>
      <c r="E934" s="9" t="str" cm="1">
        <f t="array" ref="E934">IFERROR(_xlfn.IFS(AND(D934&lt;1980,D934&gt;=1970),"70",AND(D934&lt;1990,D934&gt;=1980),"80",AND(D934&lt;2000,D934&gt;=1990),"90",AND(D934&lt;2010,D934&gt;=2000),"00",AND(D934&lt;=2019,D934&gt;=2010),"10"),"1908-1970")</f>
        <v>1908-1970</v>
      </c>
      <c r="F934" s="3" t="s">
        <v>28931</v>
      </c>
      <c r="G934" t="s">
        <v>8975</v>
      </c>
      <c r="H934" t="s">
        <v>8976</v>
      </c>
      <c r="I934" t="s">
        <v>28931</v>
      </c>
      <c r="J934" t="s">
        <v>8977</v>
      </c>
      <c r="K934" t="s">
        <v>8978</v>
      </c>
      <c r="L934" s="7" t="s">
        <v>8979</v>
      </c>
      <c r="M934">
        <v>4829</v>
      </c>
      <c r="N934">
        <v>17</v>
      </c>
      <c r="O934">
        <v>13</v>
      </c>
      <c r="P934">
        <v>4</v>
      </c>
      <c r="Q934">
        <v>17</v>
      </c>
      <c r="R934">
        <v>13</v>
      </c>
      <c r="S934">
        <v>4</v>
      </c>
      <c r="T934">
        <v>0</v>
      </c>
      <c r="U934" t="s">
        <v>8980</v>
      </c>
      <c r="V934">
        <f>Tabla1[[#This Row],[Aboard]]-Tabla1[[#This Row],[Fatalities]]</f>
        <v>0</v>
      </c>
      <c r="W934" s="50">
        <f>IFERROR(Tabla1[[#This Row],[Fatalities]]/Tabla1[[#This Row],[Aboard]],0)</f>
        <v>1</v>
      </c>
      <c r="X934" s="51" t="str" cm="1">
        <f t="array" ref="X934">_xlfn.IFS(Tabla1[[#This Row],[Porcentaje de muertes]]&lt;0.35,"LEVE",AND(Tabla1[[#This Row],[Porcentaje de muertes]]&gt;0.35,Tabla1[[#This Row],[Porcentaje de muertes]]&lt;0.65),"MEDIO",Tabla1[[#This Row],[Porcentaje de muertes]]&gt;0.65,"GRAVE")</f>
        <v>GRAVE</v>
      </c>
    </row>
    <row r="935" spans="2:24" x14ac:dyDescent="0.3">
      <c r="B935" s="9">
        <v>933</v>
      </c>
      <c r="C935" s="49">
        <v>17192</v>
      </c>
      <c r="D935" s="9">
        <f>YEAR(Tabla1[[#This Row],[Date]])</f>
        <v>1947</v>
      </c>
      <c r="E935" s="9" t="str" cm="1">
        <f t="array" ref="E935">IFERROR(_xlfn.IFS(AND(D935&lt;1980,D935&gt;=1970),"70",AND(D935&lt;1990,D935&gt;=1980),"80",AND(D935&lt;2000,D935&gt;=1990),"90",AND(D935&lt;2010,D935&gt;=2000),"00",AND(D935&lt;=2019,D935&gt;=2010),"10"),"1908-1970")</f>
        <v>1908-1970</v>
      </c>
      <c r="F935" s="3">
        <v>0.4861111111111111</v>
      </c>
      <c r="G935" t="s">
        <v>8981</v>
      </c>
      <c r="H935" t="s">
        <v>8982</v>
      </c>
      <c r="I935" t="s">
        <v>28931</v>
      </c>
      <c r="J935" t="s">
        <v>8983</v>
      </c>
      <c r="K935" t="s">
        <v>8984</v>
      </c>
      <c r="L935" s="7" t="s">
        <v>8985</v>
      </c>
      <c r="M935" t="s">
        <v>8986</v>
      </c>
      <c r="N935">
        <v>23</v>
      </c>
      <c r="O935">
        <v>18</v>
      </c>
      <c r="P935">
        <v>5</v>
      </c>
      <c r="Q935">
        <v>12</v>
      </c>
      <c r="R935">
        <v>11</v>
      </c>
      <c r="S935">
        <v>1</v>
      </c>
      <c r="T935">
        <v>0</v>
      </c>
      <c r="U935" t="s">
        <v>8987</v>
      </c>
      <c r="V935">
        <f>Tabla1[[#This Row],[Aboard]]-Tabla1[[#This Row],[Fatalities]]</f>
        <v>11</v>
      </c>
      <c r="W935" s="50">
        <f>IFERROR(Tabla1[[#This Row],[Fatalities]]/Tabla1[[#This Row],[Aboard]],0)</f>
        <v>0.52173913043478259</v>
      </c>
      <c r="X935" s="51" t="str" cm="1">
        <f t="array" ref="X935">_xlfn.IFS(Tabla1[[#This Row],[Porcentaje de muertes]]&lt;0.35,"LEVE",AND(Tabla1[[#This Row],[Porcentaje de muertes]]&gt;0.35,Tabla1[[#This Row],[Porcentaje de muertes]]&lt;0.65),"MEDIO",Tabla1[[#This Row],[Porcentaje de muertes]]&gt;0.65,"GRAVE")</f>
        <v>MEDIO</v>
      </c>
    </row>
    <row r="936" spans="2:24" x14ac:dyDescent="0.3">
      <c r="B936" s="9">
        <v>934</v>
      </c>
      <c r="C936" s="49">
        <v>17192</v>
      </c>
      <c r="D936" s="9">
        <f>YEAR(Tabla1[[#This Row],[Date]])</f>
        <v>1947</v>
      </c>
      <c r="E936" s="9" t="str" cm="1">
        <f t="array" ref="E936">IFERROR(_xlfn.IFS(AND(D936&lt;1980,D936&gt;=1970),"70",AND(D936&lt;1990,D936&gt;=1980),"80",AND(D936&lt;2000,D936&gt;=1990),"90",AND(D936&lt;2010,D936&gt;=2000),"00",AND(D936&lt;=2019,D936&gt;=2010),"10"),"1908-1970")</f>
        <v>1908-1970</v>
      </c>
      <c r="F936" s="3">
        <v>0.58333333333333337</v>
      </c>
      <c r="G936" t="s">
        <v>8988</v>
      </c>
      <c r="H936" t="s">
        <v>6010</v>
      </c>
      <c r="I936" t="s">
        <v>28931</v>
      </c>
      <c r="J936" t="s">
        <v>8989</v>
      </c>
      <c r="K936" t="s">
        <v>7057</v>
      </c>
      <c r="L936" s="7" t="s">
        <v>28931</v>
      </c>
      <c r="M936" t="s">
        <v>28931</v>
      </c>
      <c r="N936">
        <v>19</v>
      </c>
      <c r="O936">
        <v>16</v>
      </c>
      <c r="P936">
        <v>3</v>
      </c>
      <c r="Q936">
        <v>19</v>
      </c>
      <c r="R936">
        <v>16</v>
      </c>
      <c r="S936">
        <v>3</v>
      </c>
      <c r="T936">
        <v>0</v>
      </c>
      <c r="U936" t="s">
        <v>8990</v>
      </c>
      <c r="V936">
        <f>Tabla1[[#This Row],[Aboard]]-Tabla1[[#This Row],[Fatalities]]</f>
        <v>0</v>
      </c>
      <c r="W936" s="50">
        <f>IFERROR(Tabla1[[#This Row],[Fatalities]]/Tabla1[[#This Row],[Aboard]],0)</f>
        <v>1</v>
      </c>
      <c r="X936" s="51" t="str" cm="1">
        <f t="array" ref="X936">_xlfn.IFS(Tabla1[[#This Row],[Porcentaje de muertes]]&lt;0.35,"LEVE",AND(Tabla1[[#This Row],[Porcentaje de muertes]]&gt;0.35,Tabla1[[#This Row],[Porcentaje de muertes]]&lt;0.65),"MEDIO",Tabla1[[#This Row],[Porcentaje de muertes]]&gt;0.65,"GRAVE")</f>
        <v>GRAVE</v>
      </c>
    </row>
    <row r="937" spans="2:24" x14ac:dyDescent="0.3">
      <c r="B937" s="9">
        <v>935</v>
      </c>
      <c r="C937" s="49">
        <v>17192</v>
      </c>
      <c r="D937" s="9">
        <f>YEAR(Tabla1[[#This Row],[Date]])</f>
        <v>1947</v>
      </c>
      <c r="E937" s="9" t="str" cm="1">
        <f t="array" ref="E937">IFERROR(_xlfn.IFS(AND(D937&lt;1980,D937&gt;=1970),"70",AND(D937&lt;1990,D937&gt;=1980),"80",AND(D937&lt;2000,D937&gt;=1990),"90",AND(D937&lt;2010,D937&gt;=2000),"00",AND(D937&lt;=2019,D937&gt;=2010),"10"),"1908-1970")</f>
        <v>1908-1970</v>
      </c>
      <c r="F937" s="3" t="s">
        <v>28931</v>
      </c>
      <c r="G937" t="s">
        <v>8991</v>
      </c>
      <c r="H937" t="s">
        <v>8992</v>
      </c>
      <c r="I937" t="s">
        <v>28931</v>
      </c>
      <c r="J937" t="s">
        <v>28931</v>
      </c>
      <c r="K937" t="s">
        <v>8105</v>
      </c>
      <c r="L937" s="7" t="s">
        <v>8993</v>
      </c>
      <c r="M937">
        <v>13508</v>
      </c>
      <c r="N937">
        <v>4</v>
      </c>
      <c r="O937">
        <v>0</v>
      </c>
      <c r="P937">
        <v>4</v>
      </c>
      <c r="Q937">
        <v>4</v>
      </c>
      <c r="R937">
        <v>0</v>
      </c>
      <c r="S937">
        <v>4</v>
      </c>
      <c r="T937">
        <v>0</v>
      </c>
      <c r="U937" t="s">
        <v>8994</v>
      </c>
      <c r="V937">
        <f>Tabla1[[#This Row],[Aboard]]-Tabla1[[#This Row],[Fatalities]]</f>
        <v>0</v>
      </c>
      <c r="W937" s="50">
        <f>IFERROR(Tabla1[[#This Row],[Fatalities]]/Tabla1[[#This Row],[Aboard]],0)</f>
        <v>1</v>
      </c>
      <c r="X937" s="51" t="str" cm="1">
        <f t="array" ref="X937">_xlfn.IFS(Tabla1[[#This Row],[Porcentaje de muertes]]&lt;0.35,"LEVE",AND(Tabla1[[#This Row],[Porcentaje de muertes]]&gt;0.35,Tabla1[[#This Row],[Porcentaje de muertes]]&lt;0.65),"MEDIO",Tabla1[[#This Row],[Porcentaje de muertes]]&gt;0.65,"GRAVE")</f>
        <v>GRAVE</v>
      </c>
    </row>
    <row r="938" spans="2:24" x14ac:dyDescent="0.3">
      <c r="B938" s="9">
        <v>936</v>
      </c>
      <c r="C938" s="49">
        <v>17193</v>
      </c>
      <c r="D938" s="9">
        <f>YEAR(Tabla1[[#This Row],[Date]])</f>
        <v>1947</v>
      </c>
      <c r="E938" s="9" t="str" cm="1">
        <f t="array" ref="E938">IFERROR(_xlfn.IFS(AND(D938&lt;1980,D938&gt;=1970),"70",AND(D938&lt;1990,D938&gt;=1980),"80",AND(D938&lt;2000,D938&gt;=1990),"90",AND(D938&lt;2010,D938&gt;=2000),"00",AND(D938&lt;=2019,D938&gt;=2010),"10"),"1908-1970")</f>
        <v>1908-1970</v>
      </c>
      <c r="F938" s="3">
        <v>0.64583333333333337</v>
      </c>
      <c r="G938" t="s">
        <v>8995</v>
      </c>
      <c r="H938" t="s">
        <v>5332</v>
      </c>
      <c r="I938" t="s">
        <v>28931</v>
      </c>
      <c r="J938" t="s">
        <v>8996</v>
      </c>
      <c r="K938" t="s">
        <v>8997</v>
      </c>
      <c r="L938" s="7" t="s">
        <v>8998</v>
      </c>
      <c r="M938">
        <v>25479</v>
      </c>
      <c r="N938">
        <v>22</v>
      </c>
      <c r="O938">
        <v>18</v>
      </c>
      <c r="P938">
        <v>4</v>
      </c>
      <c r="Q938">
        <v>22</v>
      </c>
      <c r="R938">
        <v>18</v>
      </c>
      <c r="S938">
        <v>4</v>
      </c>
      <c r="T938">
        <v>0</v>
      </c>
      <c r="U938" t="s">
        <v>8999</v>
      </c>
      <c r="V938">
        <f>Tabla1[[#This Row],[Aboard]]-Tabla1[[#This Row],[Fatalities]]</f>
        <v>0</v>
      </c>
      <c r="W938" s="50">
        <f>IFERROR(Tabla1[[#This Row],[Fatalities]]/Tabla1[[#This Row],[Aboard]],0)</f>
        <v>1</v>
      </c>
      <c r="X938" s="51" t="str" cm="1">
        <f t="array" ref="X938">_xlfn.IFS(Tabla1[[#This Row],[Porcentaje de muertes]]&lt;0.35,"LEVE",AND(Tabla1[[#This Row],[Porcentaje de muertes]]&gt;0.35,Tabla1[[#This Row],[Porcentaje de muertes]]&lt;0.65),"MEDIO",Tabla1[[#This Row],[Porcentaje de muertes]]&gt;0.65,"GRAVE")</f>
        <v>GRAVE</v>
      </c>
    </row>
    <row r="939" spans="2:24" x14ac:dyDescent="0.3">
      <c r="B939" s="9">
        <v>937</v>
      </c>
      <c r="C939" s="49">
        <v>17195</v>
      </c>
      <c r="D939" s="9">
        <f>YEAR(Tabla1[[#This Row],[Date]])</f>
        <v>1947</v>
      </c>
      <c r="E939" s="9" t="str" cm="1">
        <f t="array" ref="E939">IFERROR(_xlfn.IFS(AND(D939&lt;1980,D939&gt;=1970),"70",AND(D939&lt;1990,D939&gt;=1980),"80",AND(D939&lt;2000,D939&gt;=1990),"90",AND(D939&lt;2010,D939&gt;=2000),"00",AND(D939&lt;=2019,D939&gt;=2010),"10"),"1908-1970")</f>
        <v>1908-1970</v>
      </c>
      <c r="F939" s="3">
        <v>0.5</v>
      </c>
      <c r="G939" t="s">
        <v>9000</v>
      </c>
      <c r="H939" t="s">
        <v>6010</v>
      </c>
      <c r="I939" t="s">
        <v>28931</v>
      </c>
      <c r="J939" t="s">
        <v>9001</v>
      </c>
      <c r="K939" t="s">
        <v>8697</v>
      </c>
      <c r="L939" s="7" t="s">
        <v>28931</v>
      </c>
      <c r="M939" t="s">
        <v>28931</v>
      </c>
      <c r="N939">
        <v>26</v>
      </c>
      <c r="O939">
        <v>24</v>
      </c>
      <c r="P939">
        <v>2</v>
      </c>
      <c r="Q939">
        <v>25</v>
      </c>
      <c r="R939">
        <v>23</v>
      </c>
      <c r="S939">
        <v>2</v>
      </c>
      <c r="T939">
        <v>0</v>
      </c>
      <c r="U939" t="s">
        <v>9002</v>
      </c>
      <c r="V939">
        <f>Tabla1[[#This Row],[Aboard]]-Tabla1[[#This Row],[Fatalities]]</f>
        <v>1</v>
      </c>
      <c r="W939" s="50">
        <f>IFERROR(Tabla1[[#This Row],[Fatalities]]/Tabla1[[#This Row],[Aboard]],0)</f>
        <v>0.96153846153846156</v>
      </c>
      <c r="X939" s="51" t="str" cm="1">
        <f t="array" ref="X939">_xlfn.IFS(Tabla1[[#This Row],[Porcentaje de muertes]]&lt;0.35,"LEVE",AND(Tabla1[[#This Row],[Porcentaje de muertes]]&gt;0.35,Tabla1[[#This Row],[Porcentaje de muertes]]&lt;0.65),"MEDIO",Tabla1[[#This Row],[Porcentaje de muertes]]&gt;0.65,"GRAVE")</f>
        <v>GRAVE</v>
      </c>
    </row>
    <row r="940" spans="2:24" x14ac:dyDescent="0.3">
      <c r="B940" s="9">
        <v>938</v>
      </c>
      <c r="C940" s="49">
        <v>17169</v>
      </c>
      <c r="D940" s="9">
        <f>YEAR(Tabla1[[#This Row],[Date]])</f>
        <v>1947</v>
      </c>
      <c r="E940" s="9" t="str" cm="1">
        <f t="array" ref="E940">IFERROR(_xlfn.IFS(AND(D940&lt;1980,D940&gt;=1970),"70",AND(D940&lt;1990,D940&gt;=1980),"80",AND(D940&lt;2000,D940&gt;=1990),"90",AND(D940&lt;2010,D940&gt;=2000),"00",AND(D940&lt;=2019,D940&gt;=2010),"10"),"1908-1970")</f>
        <v>1908-1970</v>
      </c>
      <c r="F940" s="3">
        <v>0.78125</v>
      </c>
      <c r="G940" t="s">
        <v>9003</v>
      </c>
      <c r="H940" t="s">
        <v>6375</v>
      </c>
      <c r="I940" t="s">
        <v>28931</v>
      </c>
      <c r="J940" t="s">
        <v>9004</v>
      </c>
      <c r="K940" t="s">
        <v>9005</v>
      </c>
      <c r="L940" s="7" t="s">
        <v>9006</v>
      </c>
      <c r="M940" t="s">
        <v>9007</v>
      </c>
      <c r="N940">
        <v>20</v>
      </c>
      <c r="O940">
        <v>15</v>
      </c>
      <c r="P940">
        <v>5</v>
      </c>
      <c r="Q940">
        <v>19</v>
      </c>
      <c r="R940">
        <v>14</v>
      </c>
      <c r="S940">
        <v>5</v>
      </c>
      <c r="T940">
        <v>0</v>
      </c>
      <c r="U940" t="s">
        <v>9008</v>
      </c>
      <c r="V940">
        <f>Tabla1[[#This Row],[Aboard]]-Tabla1[[#This Row],[Fatalities]]</f>
        <v>1</v>
      </c>
      <c r="W940" s="50">
        <f>IFERROR(Tabla1[[#This Row],[Fatalities]]/Tabla1[[#This Row],[Aboard]],0)</f>
        <v>0.95</v>
      </c>
      <c r="X940" s="51" t="str" cm="1">
        <f t="array" ref="X940">_xlfn.IFS(Tabla1[[#This Row],[Porcentaje de muertes]]&lt;0.35,"LEVE",AND(Tabla1[[#This Row],[Porcentaje de muertes]]&gt;0.35,Tabla1[[#This Row],[Porcentaje de muertes]]&lt;0.65),"MEDIO",Tabla1[[#This Row],[Porcentaje de muertes]]&gt;0.65,"GRAVE")</f>
        <v>GRAVE</v>
      </c>
    </row>
    <row r="941" spans="2:24" x14ac:dyDescent="0.3">
      <c r="B941" s="9">
        <v>939</v>
      </c>
      <c r="C941" s="49">
        <v>17289</v>
      </c>
      <c r="D941" s="9">
        <f>YEAR(Tabla1[[#This Row],[Date]])</f>
        <v>1947</v>
      </c>
      <c r="E941" s="9" t="str" cm="1">
        <f t="array" ref="E941">IFERROR(_xlfn.IFS(AND(D941&lt;1980,D941&gt;=1970),"70",AND(D941&lt;1990,D941&gt;=1980),"80",AND(D941&lt;2000,D941&gt;=1990),"90",AND(D941&lt;2010,D941&gt;=2000),"00",AND(D941&lt;=2019,D941&gt;=2010),"10"),"1908-1970")</f>
        <v>1908-1970</v>
      </c>
      <c r="F941" s="3" t="s">
        <v>28931</v>
      </c>
      <c r="G941" t="s">
        <v>9009</v>
      </c>
      <c r="H941" t="s">
        <v>9010</v>
      </c>
      <c r="I941" t="s">
        <v>28931</v>
      </c>
      <c r="J941" t="s">
        <v>9011</v>
      </c>
      <c r="K941" t="s">
        <v>7057</v>
      </c>
      <c r="L941" s="7" t="s">
        <v>9012</v>
      </c>
      <c r="M941" t="s">
        <v>9013</v>
      </c>
      <c r="N941">
        <v>3</v>
      </c>
      <c r="O941">
        <v>0</v>
      </c>
      <c r="P941">
        <v>3</v>
      </c>
      <c r="Q941">
        <v>1</v>
      </c>
      <c r="R941">
        <v>0</v>
      </c>
      <c r="S941">
        <v>1</v>
      </c>
      <c r="T941">
        <v>0</v>
      </c>
      <c r="U941" t="s">
        <v>9014</v>
      </c>
      <c r="V941">
        <f>Tabla1[[#This Row],[Aboard]]-Tabla1[[#This Row],[Fatalities]]</f>
        <v>2</v>
      </c>
      <c r="W941" s="50">
        <f>IFERROR(Tabla1[[#This Row],[Fatalities]]/Tabla1[[#This Row],[Aboard]],0)</f>
        <v>0.33333333333333331</v>
      </c>
      <c r="X941" s="51" t="str" cm="1">
        <f t="array" ref="X941">_xlfn.IFS(Tabla1[[#This Row],[Porcentaje de muertes]]&lt;0.35,"LEVE",AND(Tabla1[[#This Row],[Porcentaje de muertes]]&gt;0.35,Tabla1[[#This Row],[Porcentaje de muertes]]&lt;0.65),"MEDIO",Tabla1[[#This Row],[Porcentaje de muertes]]&gt;0.65,"GRAVE")</f>
        <v>LEVE</v>
      </c>
    </row>
    <row r="942" spans="2:24" x14ac:dyDescent="0.3">
      <c r="B942" s="9">
        <v>940</v>
      </c>
      <c r="C942" s="49">
        <v>17320</v>
      </c>
      <c r="D942" s="9">
        <f>YEAR(Tabla1[[#This Row],[Date]])</f>
        <v>1947</v>
      </c>
      <c r="E942" s="9" t="str" cm="1">
        <f t="array" ref="E942">IFERROR(_xlfn.IFS(AND(D942&lt;1980,D942&gt;=1970),"70",AND(D942&lt;1990,D942&gt;=1980),"80",AND(D942&lt;2000,D942&gt;=1990),"90",AND(D942&lt;2010,D942&gt;=2000),"00",AND(D942&lt;=2019,D942&gt;=2010),"10"),"1908-1970")</f>
        <v>1908-1970</v>
      </c>
      <c r="F942" s="3">
        <v>0.70833333333333337</v>
      </c>
      <c r="G942" t="s">
        <v>9015</v>
      </c>
      <c r="H942" t="s">
        <v>9016</v>
      </c>
      <c r="I942" t="s">
        <v>28931</v>
      </c>
      <c r="J942" t="s">
        <v>9017</v>
      </c>
      <c r="K942" t="s">
        <v>9018</v>
      </c>
      <c r="L942" s="7" t="s">
        <v>9019</v>
      </c>
      <c r="M942">
        <v>18386</v>
      </c>
      <c r="N942">
        <v>11</v>
      </c>
      <c r="O942">
        <v>8</v>
      </c>
      <c r="P942">
        <v>3</v>
      </c>
      <c r="Q942">
        <v>11</v>
      </c>
      <c r="R942">
        <v>8</v>
      </c>
      <c r="S942">
        <v>2</v>
      </c>
      <c r="T942">
        <v>0</v>
      </c>
      <c r="U942" t="s">
        <v>9020</v>
      </c>
      <c r="V942">
        <f>Tabla1[[#This Row],[Aboard]]-Tabla1[[#This Row],[Fatalities]]</f>
        <v>0</v>
      </c>
      <c r="W942" s="50">
        <f>IFERROR(Tabla1[[#This Row],[Fatalities]]/Tabla1[[#This Row],[Aboard]],0)</f>
        <v>1</v>
      </c>
      <c r="X942" s="51" t="str" cm="1">
        <f t="array" ref="X942">_xlfn.IFS(Tabla1[[#This Row],[Porcentaje de muertes]]&lt;0.35,"LEVE",AND(Tabla1[[#This Row],[Porcentaje de muertes]]&gt;0.35,Tabla1[[#This Row],[Porcentaje de muertes]]&lt;0.65),"MEDIO",Tabla1[[#This Row],[Porcentaje de muertes]]&gt;0.65,"GRAVE")</f>
        <v>GRAVE</v>
      </c>
    </row>
    <row r="943" spans="2:24" x14ac:dyDescent="0.3">
      <c r="B943" s="9">
        <v>941</v>
      </c>
      <c r="C943" s="49">
        <v>17212</v>
      </c>
      <c r="D943" s="9">
        <f>YEAR(Tabla1[[#This Row],[Date]])</f>
        <v>1947</v>
      </c>
      <c r="E943" s="9" t="str" cm="1">
        <f t="array" ref="E943">IFERROR(_xlfn.IFS(AND(D943&lt;1980,D943&gt;=1970),"70",AND(D943&lt;1990,D943&gt;=1980),"80",AND(D943&lt;2000,D943&gt;=1990),"90",AND(D943&lt;2010,D943&gt;=2000),"00",AND(D943&lt;=2019,D943&gt;=2010),"10"),"1908-1970")</f>
        <v>1908-1970</v>
      </c>
      <c r="F943" s="3">
        <v>0.18055555555555555</v>
      </c>
      <c r="G943" t="s">
        <v>9021</v>
      </c>
      <c r="H943" t="s">
        <v>9022</v>
      </c>
      <c r="I943" t="s">
        <v>28931</v>
      </c>
      <c r="J943" t="s">
        <v>9023</v>
      </c>
      <c r="K943" t="s">
        <v>9024</v>
      </c>
      <c r="L943" s="7" t="s">
        <v>9025</v>
      </c>
      <c r="M943">
        <v>2944</v>
      </c>
      <c r="N943">
        <v>2</v>
      </c>
      <c r="O943">
        <v>0</v>
      </c>
      <c r="P943">
        <v>2</v>
      </c>
      <c r="Q943">
        <v>2</v>
      </c>
      <c r="R943">
        <v>0</v>
      </c>
      <c r="S943">
        <v>2</v>
      </c>
      <c r="T943">
        <v>0</v>
      </c>
      <c r="U943" t="s">
        <v>9026</v>
      </c>
      <c r="V943">
        <f>Tabla1[[#This Row],[Aboard]]-Tabla1[[#This Row],[Fatalities]]</f>
        <v>0</v>
      </c>
      <c r="W943" s="50">
        <f>IFERROR(Tabla1[[#This Row],[Fatalities]]/Tabla1[[#This Row],[Aboard]],0)</f>
        <v>1</v>
      </c>
      <c r="X943" s="51" t="str" cm="1">
        <f t="array" ref="X943">_xlfn.IFS(Tabla1[[#This Row],[Porcentaje de muertes]]&lt;0.35,"LEVE",AND(Tabla1[[#This Row],[Porcentaje de muertes]]&gt;0.35,Tabla1[[#This Row],[Porcentaje de muertes]]&lt;0.65),"MEDIO",Tabla1[[#This Row],[Porcentaje de muertes]]&gt;0.65,"GRAVE")</f>
        <v>GRAVE</v>
      </c>
    </row>
    <row r="944" spans="2:24" x14ac:dyDescent="0.3">
      <c r="B944" s="9">
        <v>942</v>
      </c>
      <c r="C944" s="49">
        <v>17213</v>
      </c>
      <c r="D944" s="9">
        <f>YEAR(Tabla1[[#This Row],[Date]])</f>
        <v>1947</v>
      </c>
      <c r="E944" s="9" t="str" cm="1">
        <f t="array" ref="E944">IFERROR(_xlfn.IFS(AND(D944&lt;1980,D944&gt;=1970),"70",AND(D944&lt;1990,D944&gt;=1980),"80",AND(D944&lt;2000,D944&gt;=1990),"90",AND(D944&lt;2010,D944&gt;=2000),"00",AND(D944&lt;=2019,D944&gt;=2010),"10"),"1908-1970")</f>
        <v>1908-1970</v>
      </c>
      <c r="F944" s="3">
        <v>0.51250000000000007</v>
      </c>
      <c r="G944" t="s">
        <v>9027</v>
      </c>
      <c r="H944" t="s">
        <v>8976</v>
      </c>
      <c r="I944" t="s">
        <v>28931</v>
      </c>
      <c r="J944" t="s">
        <v>5339</v>
      </c>
      <c r="K944" t="s">
        <v>8822</v>
      </c>
      <c r="L944" s="7" t="s">
        <v>9028</v>
      </c>
      <c r="M944">
        <v>10439</v>
      </c>
      <c r="N944">
        <v>53</v>
      </c>
      <c r="O944">
        <v>49</v>
      </c>
      <c r="P944">
        <v>4</v>
      </c>
      <c r="Q944">
        <v>53</v>
      </c>
      <c r="R944">
        <v>49</v>
      </c>
      <c r="S944">
        <v>4</v>
      </c>
      <c r="T944">
        <v>0</v>
      </c>
      <c r="U944" t="s">
        <v>9029</v>
      </c>
      <c r="V944">
        <f>Tabla1[[#This Row],[Aboard]]-Tabla1[[#This Row],[Fatalities]]</f>
        <v>0</v>
      </c>
      <c r="W944" s="50">
        <f>IFERROR(Tabla1[[#This Row],[Fatalities]]/Tabla1[[#This Row],[Aboard]],0)</f>
        <v>1</v>
      </c>
      <c r="X944" s="51" t="str" cm="1">
        <f t="array" ref="X944">_xlfn.IFS(Tabla1[[#This Row],[Porcentaje de muertes]]&lt;0.35,"LEVE",AND(Tabla1[[#This Row],[Porcentaje de muertes]]&gt;0.35,Tabla1[[#This Row],[Porcentaje de muertes]]&lt;0.65),"MEDIO",Tabla1[[#This Row],[Porcentaje de muertes]]&gt;0.65,"GRAVE")</f>
        <v>GRAVE</v>
      </c>
    </row>
    <row r="945" spans="2:24" x14ac:dyDescent="0.3">
      <c r="B945" s="9">
        <v>943</v>
      </c>
      <c r="C945" s="49">
        <v>17213</v>
      </c>
      <c r="D945" s="9">
        <f>YEAR(Tabla1[[#This Row],[Date]])</f>
        <v>1947</v>
      </c>
      <c r="E945" s="9" t="str" cm="1">
        <f t="array" ref="E945">IFERROR(_xlfn.IFS(AND(D945&lt;1980,D945&gt;=1970),"70",AND(D945&lt;1990,D945&gt;=1980),"80",AND(D945&lt;2000,D945&gt;=1990),"90",AND(D945&lt;2010,D945&gt;=2000),"00",AND(D945&lt;=2019,D945&gt;=2010),"10"),"1908-1970")</f>
        <v>1908-1970</v>
      </c>
      <c r="F945" s="3">
        <v>0.39583333333333331</v>
      </c>
      <c r="G945" t="s">
        <v>9030</v>
      </c>
      <c r="H945" t="s">
        <v>9031</v>
      </c>
      <c r="I945" t="s">
        <v>28931</v>
      </c>
      <c r="J945" t="s">
        <v>9032</v>
      </c>
      <c r="K945" t="s">
        <v>9033</v>
      </c>
      <c r="L945" s="7" t="s">
        <v>9034</v>
      </c>
      <c r="M945">
        <v>41003</v>
      </c>
      <c r="N945">
        <v>16</v>
      </c>
      <c r="O945">
        <v>10</v>
      </c>
      <c r="P945">
        <v>6</v>
      </c>
      <c r="Q945">
        <v>16</v>
      </c>
      <c r="R945">
        <v>10</v>
      </c>
      <c r="S945">
        <v>6</v>
      </c>
      <c r="T945">
        <v>0</v>
      </c>
      <c r="U945" t="s">
        <v>9035</v>
      </c>
      <c r="V945">
        <f>Tabla1[[#This Row],[Aboard]]-Tabla1[[#This Row],[Fatalities]]</f>
        <v>0</v>
      </c>
      <c r="W945" s="50">
        <f>IFERROR(Tabla1[[#This Row],[Fatalities]]/Tabla1[[#This Row],[Aboard]],0)</f>
        <v>1</v>
      </c>
      <c r="X945" s="51" t="str" cm="1">
        <f t="array" ref="X945">_xlfn.IFS(Tabla1[[#This Row],[Porcentaje de muertes]]&lt;0.35,"LEVE",AND(Tabla1[[#This Row],[Porcentaje de muertes]]&gt;0.35,Tabla1[[#This Row],[Porcentaje de muertes]]&lt;0.65),"MEDIO",Tabla1[[#This Row],[Porcentaje de muertes]]&gt;0.65,"GRAVE")</f>
        <v>GRAVE</v>
      </c>
    </row>
    <row r="946" spans="2:24" x14ac:dyDescent="0.3">
      <c r="B946" s="9">
        <v>944</v>
      </c>
      <c r="C946" s="49">
        <v>17219</v>
      </c>
      <c r="D946" s="9">
        <f>YEAR(Tabla1[[#This Row],[Date]])</f>
        <v>1947</v>
      </c>
      <c r="E946" s="9" t="str" cm="1">
        <f t="array" ref="E946">IFERROR(_xlfn.IFS(AND(D946&lt;1980,D946&gt;=1970),"70",AND(D946&lt;1990,D946&gt;=1980),"80",AND(D946&lt;2000,D946&gt;=1990),"90",AND(D946&lt;2010,D946&gt;=2000),"00",AND(D946&lt;=2019,D946&gt;=2010),"10"),"1908-1970")</f>
        <v>1908-1970</v>
      </c>
      <c r="F946" s="3">
        <v>0.66666666666666663</v>
      </c>
      <c r="G946" t="s">
        <v>9036</v>
      </c>
      <c r="H946" t="s">
        <v>8566</v>
      </c>
      <c r="I946" t="s">
        <v>28931</v>
      </c>
      <c r="J946" t="s">
        <v>9037</v>
      </c>
      <c r="K946" t="s">
        <v>7826</v>
      </c>
      <c r="L946" s="7" t="s">
        <v>28931</v>
      </c>
      <c r="M946" t="s">
        <v>28931</v>
      </c>
      <c r="N946">
        <v>21</v>
      </c>
      <c r="O946">
        <v>17</v>
      </c>
      <c r="P946">
        <v>4</v>
      </c>
      <c r="Q946">
        <v>21</v>
      </c>
      <c r="R946">
        <v>17</v>
      </c>
      <c r="S946" t="s">
        <v>5038</v>
      </c>
      <c r="T946">
        <v>0</v>
      </c>
      <c r="U946" t="s">
        <v>9038</v>
      </c>
      <c r="V946">
        <f>Tabla1[[#This Row],[Aboard]]-Tabla1[[#This Row],[Fatalities]]</f>
        <v>0</v>
      </c>
      <c r="W946" s="50">
        <f>IFERROR(Tabla1[[#This Row],[Fatalities]]/Tabla1[[#This Row],[Aboard]],0)</f>
        <v>1</v>
      </c>
      <c r="X946" s="51" t="str" cm="1">
        <f t="array" ref="X946">_xlfn.IFS(Tabla1[[#This Row],[Porcentaje de muertes]]&lt;0.35,"LEVE",AND(Tabla1[[#This Row],[Porcentaje de muertes]]&gt;0.35,Tabla1[[#This Row],[Porcentaje de muertes]]&lt;0.65),"MEDIO",Tabla1[[#This Row],[Porcentaje de muertes]]&gt;0.65,"GRAVE")</f>
        <v>GRAVE</v>
      </c>
    </row>
    <row r="947" spans="2:24" x14ac:dyDescent="0.3">
      <c r="B947" s="9">
        <v>945</v>
      </c>
      <c r="C947" s="49">
        <v>17224</v>
      </c>
      <c r="D947" s="9">
        <f>YEAR(Tabla1[[#This Row],[Date]])</f>
        <v>1947</v>
      </c>
      <c r="E947" s="9" t="str" cm="1">
        <f t="array" ref="E947">IFERROR(_xlfn.IFS(AND(D947&lt;1980,D947&gt;=1970),"70",AND(D947&lt;1990,D947&gt;=1980),"80",AND(D947&lt;2000,D947&gt;=1990),"90",AND(D947&lt;2010,D947&gt;=2000),"00",AND(D947&lt;=2019,D947&gt;=2010),"10"),"1908-1970")</f>
        <v>1908-1970</v>
      </c>
      <c r="F947" s="3" t="s">
        <v>28931</v>
      </c>
      <c r="G947" t="s">
        <v>9039</v>
      </c>
      <c r="H947" t="s">
        <v>7665</v>
      </c>
      <c r="I947" t="s">
        <v>28931</v>
      </c>
      <c r="J947" t="s">
        <v>9040</v>
      </c>
      <c r="K947" t="s">
        <v>8465</v>
      </c>
      <c r="L947" s="7" t="s">
        <v>9041</v>
      </c>
      <c r="M947" t="s">
        <v>9042</v>
      </c>
      <c r="N947">
        <v>12</v>
      </c>
      <c r="O947">
        <v>9</v>
      </c>
      <c r="P947">
        <v>3</v>
      </c>
      <c r="Q947">
        <v>12</v>
      </c>
      <c r="R947">
        <v>9</v>
      </c>
      <c r="S947">
        <v>3</v>
      </c>
      <c r="T947">
        <v>0</v>
      </c>
      <c r="U947" t="s">
        <v>9043</v>
      </c>
      <c r="V947">
        <f>Tabla1[[#This Row],[Aboard]]-Tabla1[[#This Row],[Fatalities]]</f>
        <v>0</v>
      </c>
      <c r="W947" s="50">
        <f>IFERROR(Tabla1[[#This Row],[Fatalities]]/Tabla1[[#This Row],[Aboard]],0)</f>
        <v>1</v>
      </c>
      <c r="X947" s="51" t="str" cm="1">
        <f t="array" ref="X947">_xlfn.IFS(Tabla1[[#This Row],[Porcentaje de muertes]]&lt;0.35,"LEVE",AND(Tabla1[[#This Row],[Porcentaje de muertes]]&gt;0.35,Tabla1[[#This Row],[Porcentaje de muertes]]&lt;0.65),"MEDIO",Tabla1[[#This Row],[Porcentaje de muertes]]&gt;0.65,"GRAVE")</f>
        <v>GRAVE</v>
      </c>
    </row>
    <row r="948" spans="2:24" x14ac:dyDescent="0.3">
      <c r="B948" s="9">
        <v>946</v>
      </c>
      <c r="C948" s="49">
        <v>17290</v>
      </c>
      <c r="D948" s="9">
        <f>YEAR(Tabla1[[#This Row],[Date]])</f>
        <v>1947</v>
      </c>
      <c r="E948" s="9" t="str" cm="1">
        <f t="array" ref="E948">IFERROR(_xlfn.IFS(AND(D948&lt;1980,D948&gt;=1970),"70",AND(D948&lt;1990,D948&gt;=1980),"80",AND(D948&lt;2000,D948&gt;=1990),"90",AND(D948&lt;2010,D948&gt;=2000),"00",AND(D948&lt;=2019,D948&gt;=2010),"10"),"1908-1970")</f>
        <v>1908-1970</v>
      </c>
      <c r="F948" s="3">
        <v>0.41180555555555554</v>
      </c>
      <c r="G948" t="s">
        <v>9044</v>
      </c>
      <c r="H948" t="s">
        <v>6541</v>
      </c>
      <c r="I948" t="s">
        <v>28931</v>
      </c>
      <c r="J948" t="s">
        <v>9045</v>
      </c>
      <c r="K948" t="s">
        <v>9046</v>
      </c>
      <c r="L948" s="7" t="s">
        <v>9047</v>
      </c>
      <c r="M948" t="s">
        <v>9048</v>
      </c>
      <c r="N948">
        <v>23</v>
      </c>
      <c r="O948">
        <v>19</v>
      </c>
      <c r="P948">
        <v>4</v>
      </c>
      <c r="Q948">
        <v>23</v>
      </c>
      <c r="R948">
        <v>19</v>
      </c>
      <c r="S948">
        <v>4</v>
      </c>
      <c r="T948">
        <v>0</v>
      </c>
      <c r="U948" t="s">
        <v>9049</v>
      </c>
      <c r="V948">
        <f>Tabla1[[#This Row],[Aboard]]-Tabla1[[#This Row],[Fatalities]]</f>
        <v>0</v>
      </c>
      <c r="W948" s="50">
        <f>IFERROR(Tabla1[[#This Row],[Fatalities]]/Tabla1[[#This Row],[Aboard]],0)</f>
        <v>1</v>
      </c>
      <c r="X948" s="51" t="str" cm="1">
        <f t="array" ref="X948">_xlfn.IFS(Tabla1[[#This Row],[Porcentaje de muertes]]&lt;0.35,"LEVE",AND(Tabla1[[#This Row],[Porcentaje de muertes]]&gt;0.35,Tabla1[[#This Row],[Porcentaje de muertes]]&lt;0.65),"MEDIO",Tabla1[[#This Row],[Porcentaje de muertes]]&gt;0.65,"GRAVE")</f>
        <v>GRAVE</v>
      </c>
    </row>
    <row r="949" spans="2:24" x14ac:dyDescent="0.3">
      <c r="B949" s="9">
        <v>947</v>
      </c>
      <c r="C949" s="49">
        <v>17382</v>
      </c>
      <c r="D949" s="9">
        <f>YEAR(Tabla1[[#This Row],[Date]])</f>
        <v>1947</v>
      </c>
      <c r="E949" s="9" t="str" cm="1">
        <f t="array" ref="E949">IFERROR(_xlfn.IFS(AND(D949&lt;1980,D949&gt;=1970),"70",AND(D949&lt;1990,D949&gt;=1980),"80",AND(D949&lt;2000,D949&gt;=1990),"90",AND(D949&lt;2010,D949&gt;=2000),"00",AND(D949&lt;=2019,D949&gt;=2010),"10"),"1908-1970")</f>
        <v>1908-1970</v>
      </c>
      <c r="F949" s="3" t="s">
        <v>28931</v>
      </c>
      <c r="G949" t="s">
        <v>9050</v>
      </c>
      <c r="H949" t="s">
        <v>7665</v>
      </c>
      <c r="I949" t="s">
        <v>28931</v>
      </c>
      <c r="J949" t="s">
        <v>9051</v>
      </c>
      <c r="K949" t="s">
        <v>8465</v>
      </c>
      <c r="L949" s="7" t="s">
        <v>9052</v>
      </c>
      <c r="M949" t="s">
        <v>9053</v>
      </c>
      <c r="N949">
        <v>13</v>
      </c>
      <c r="O949">
        <v>10</v>
      </c>
      <c r="P949">
        <v>3</v>
      </c>
      <c r="Q949">
        <v>13</v>
      </c>
      <c r="R949">
        <v>10</v>
      </c>
      <c r="S949">
        <v>3</v>
      </c>
      <c r="T949">
        <v>0</v>
      </c>
      <c r="U949" t="s">
        <v>9054</v>
      </c>
      <c r="V949">
        <f>Tabla1[[#This Row],[Aboard]]-Tabla1[[#This Row],[Fatalities]]</f>
        <v>0</v>
      </c>
      <c r="W949" s="50">
        <f>IFERROR(Tabla1[[#This Row],[Fatalities]]/Tabla1[[#This Row],[Aboard]],0)</f>
        <v>1</v>
      </c>
      <c r="X949" s="51" t="str" cm="1">
        <f t="array" ref="X949">_xlfn.IFS(Tabla1[[#This Row],[Porcentaje de muertes]]&lt;0.35,"LEVE",AND(Tabla1[[#This Row],[Porcentaje de muertes]]&gt;0.35,Tabla1[[#This Row],[Porcentaje de muertes]]&lt;0.65),"MEDIO",Tabla1[[#This Row],[Porcentaje de muertes]]&gt;0.65,"GRAVE")</f>
        <v>GRAVE</v>
      </c>
    </row>
    <row r="950" spans="2:24" x14ac:dyDescent="0.3">
      <c r="B950" s="9">
        <v>948</v>
      </c>
      <c r="C950" s="49">
        <v>17382</v>
      </c>
      <c r="D950" s="9">
        <f>YEAR(Tabla1[[#This Row],[Date]])</f>
        <v>1947</v>
      </c>
      <c r="E950" s="9" t="str" cm="1">
        <f t="array" ref="E950">IFERROR(_xlfn.IFS(AND(D950&lt;1980,D950&gt;=1970),"70",AND(D950&lt;1990,D950&gt;=1980),"80",AND(D950&lt;2000,D950&gt;=1990),"90",AND(D950&lt;2010,D950&gt;=2000),"00",AND(D950&lt;=2019,D950&gt;=2010),"10"),"1908-1970")</f>
        <v>1908-1970</v>
      </c>
      <c r="F950" s="3">
        <v>0.62430555555555556</v>
      </c>
      <c r="G950" t="s">
        <v>9055</v>
      </c>
      <c r="H950" t="s">
        <v>9056</v>
      </c>
      <c r="I950" t="s">
        <v>28931</v>
      </c>
      <c r="J950" t="s">
        <v>9057</v>
      </c>
      <c r="K950" t="s">
        <v>7934</v>
      </c>
      <c r="L950" s="7" t="s">
        <v>9058</v>
      </c>
      <c r="M950">
        <v>4792</v>
      </c>
      <c r="N950">
        <v>9</v>
      </c>
      <c r="O950">
        <v>5</v>
      </c>
      <c r="P950">
        <v>4</v>
      </c>
      <c r="Q950">
        <v>9</v>
      </c>
      <c r="R950">
        <v>5</v>
      </c>
      <c r="S950">
        <v>4</v>
      </c>
      <c r="T950">
        <v>0</v>
      </c>
      <c r="U950" t="s">
        <v>9059</v>
      </c>
      <c r="V950">
        <f>Tabla1[[#This Row],[Aboard]]-Tabla1[[#This Row],[Fatalities]]</f>
        <v>0</v>
      </c>
      <c r="W950" s="50">
        <f>IFERROR(Tabla1[[#This Row],[Fatalities]]/Tabla1[[#This Row],[Aboard]],0)</f>
        <v>1</v>
      </c>
      <c r="X950" s="51" t="str" cm="1">
        <f t="array" ref="X950">_xlfn.IFS(Tabla1[[#This Row],[Porcentaje de muertes]]&lt;0.35,"LEVE",AND(Tabla1[[#This Row],[Porcentaje de muertes]]&gt;0.35,Tabla1[[#This Row],[Porcentaje de muertes]]&lt;0.65),"MEDIO",Tabla1[[#This Row],[Porcentaje de muertes]]&gt;0.65,"GRAVE")</f>
        <v>GRAVE</v>
      </c>
    </row>
    <row r="951" spans="2:24" x14ac:dyDescent="0.3">
      <c r="B951" s="9">
        <v>949</v>
      </c>
      <c r="C951" s="49">
        <v>17240</v>
      </c>
      <c r="D951" s="9">
        <f>YEAR(Tabla1[[#This Row],[Date]])</f>
        <v>1947</v>
      </c>
      <c r="E951" s="9" t="str" cm="1">
        <f t="array" ref="E951">IFERROR(_xlfn.IFS(AND(D951&lt;1980,D951&gt;=1970),"70",AND(D951&lt;1990,D951&gt;=1980),"80",AND(D951&lt;2000,D951&gt;=1990),"90",AND(D951&lt;2010,D951&gt;=2000),"00",AND(D951&lt;=2019,D951&gt;=2010),"10"),"1908-1970")</f>
        <v>1908-1970</v>
      </c>
      <c r="F951" s="3">
        <v>0.64583333333333337</v>
      </c>
      <c r="G951" t="s">
        <v>9060</v>
      </c>
      <c r="H951" t="s">
        <v>6375</v>
      </c>
      <c r="I951" t="s">
        <v>28931</v>
      </c>
      <c r="J951" t="s">
        <v>9061</v>
      </c>
      <c r="K951" t="s">
        <v>8876</v>
      </c>
      <c r="L951" s="7" t="s">
        <v>9062</v>
      </c>
      <c r="M951">
        <v>20488</v>
      </c>
      <c r="N951">
        <v>23</v>
      </c>
      <c r="O951">
        <v>18</v>
      </c>
      <c r="P951">
        <v>5</v>
      </c>
      <c r="Q951">
        <v>23</v>
      </c>
      <c r="R951">
        <v>18</v>
      </c>
      <c r="S951">
        <v>5</v>
      </c>
      <c r="T951">
        <v>0</v>
      </c>
      <c r="U951" t="s">
        <v>9063</v>
      </c>
      <c r="V951">
        <f>Tabla1[[#This Row],[Aboard]]-Tabla1[[#This Row],[Fatalities]]</f>
        <v>0</v>
      </c>
      <c r="W951" s="50">
        <f>IFERROR(Tabla1[[#This Row],[Fatalities]]/Tabla1[[#This Row],[Aboard]],0)</f>
        <v>1</v>
      </c>
      <c r="X951" s="51" t="str" cm="1">
        <f t="array" ref="X951">_xlfn.IFS(Tabla1[[#This Row],[Porcentaje de muertes]]&lt;0.35,"LEVE",AND(Tabla1[[#This Row],[Porcentaje de muertes]]&gt;0.35,Tabla1[[#This Row],[Porcentaje de muertes]]&lt;0.65),"MEDIO",Tabla1[[#This Row],[Porcentaje de muertes]]&gt;0.65,"GRAVE")</f>
        <v>GRAVE</v>
      </c>
    </row>
    <row r="952" spans="2:24" x14ac:dyDescent="0.3">
      <c r="B952" s="9">
        <v>950</v>
      </c>
      <c r="C952" s="49">
        <v>17243</v>
      </c>
      <c r="D952" s="9">
        <f>YEAR(Tabla1[[#This Row],[Date]])</f>
        <v>1947</v>
      </c>
      <c r="E952" s="9" t="str" cm="1">
        <f t="array" ref="E952">IFERROR(_xlfn.IFS(AND(D952&lt;1980,D952&gt;=1970),"70",AND(D952&lt;1990,D952&gt;=1980),"80",AND(D952&lt;2000,D952&gt;=1990),"90",AND(D952&lt;2010,D952&gt;=2000),"00",AND(D952&lt;=2019,D952&gt;=2010),"10"),"1908-1970")</f>
        <v>1908-1970</v>
      </c>
      <c r="F952" s="3">
        <v>0.33680555555555558</v>
      </c>
      <c r="G952" t="s">
        <v>9064</v>
      </c>
      <c r="H952" t="s">
        <v>8239</v>
      </c>
      <c r="I952" t="s">
        <v>28931</v>
      </c>
      <c r="J952" t="s">
        <v>9065</v>
      </c>
      <c r="K952" t="s">
        <v>7640</v>
      </c>
      <c r="L952" s="7" t="s">
        <v>9066</v>
      </c>
      <c r="M952">
        <v>2450</v>
      </c>
      <c r="N952">
        <v>8</v>
      </c>
      <c r="O952">
        <v>5</v>
      </c>
      <c r="P952">
        <v>3</v>
      </c>
      <c r="Q952">
        <v>8</v>
      </c>
      <c r="R952">
        <v>5</v>
      </c>
      <c r="S952">
        <v>3</v>
      </c>
      <c r="T952">
        <v>0</v>
      </c>
      <c r="U952" t="s">
        <v>9067</v>
      </c>
      <c r="V952">
        <f>Tabla1[[#This Row],[Aboard]]-Tabla1[[#This Row],[Fatalities]]</f>
        <v>0</v>
      </c>
      <c r="W952" s="50">
        <f>IFERROR(Tabla1[[#This Row],[Fatalities]]/Tabla1[[#This Row],[Aboard]],0)</f>
        <v>1</v>
      </c>
      <c r="X952" s="51" t="str" cm="1">
        <f t="array" ref="X952">_xlfn.IFS(Tabla1[[#This Row],[Porcentaje de muertes]]&lt;0.35,"LEVE",AND(Tabla1[[#This Row],[Porcentaje de muertes]]&gt;0.35,Tabla1[[#This Row],[Porcentaje de muertes]]&lt;0.65),"MEDIO",Tabla1[[#This Row],[Porcentaje de muertes]]&gt;0.65,"GRAVE")</f>
        <v>GRAVE</v>
      </c>
    </row>
    <row r="953" spans="2:24" x14ac:dyDescent="0.3">
      <c r="B953" s="9">
        <v>951</v>
      </c>
      <c r="C953" s="49">
        <v>17244</v>
      </c>
      <c r="D953" s="9">
        <f>YEAR(Tabla1[[#This Row],[Date]])</f>
        <v>1947</v>
      </c>
      <c r="E953" s="9" t="str" cm="1">
        <f t="array" ref="E953">IFERROR(_xlfn.IFS(AND(D953&lt;1980,D953&gt;=1970),"70",AND(D953&lt;1990,D953&gt;=1980),"80",AND(D953&lt;2000,D953&gt;=1990),"90",AND(D953&lt;2010,D953&gt;=2000),"00",AND(D953&lt;=2019,D953&gt;=2010),"10"),"1908-1970")</f>
        <v>1908-1970</v>
      </c>
      <c r="F953" s="3" t="s">
        <v>28931</v>
      </c>
      <c r="G953" t="s">
        <v>9068</v>
      </c>
      <c r="H953" t="s">
        <v>7665</v>
      </c>
      <c r="I953" t="s">
        <v>28931</v>
      </c>
      <c r="J953" t="s">
        <v>9069</v>
      </c>
      <c r="K953" t="s">
        <v>9070</v>
      </c>
      <c r="L953" s="7" t="s">
        <v>9071</v>
      </c>
      <c r="M953" t="s">
        <v>9071</v>
      </c>
      <c r="N953">
        <v>15</v>
      </c>
      <c r="O953">
        <v>9</v>
      </c>
      <c r="P953">
        <v>6</v>
      </c>
      <c r="Q953">
        <v>11</v>
      </c>
      <c r="R953">
        <v>7</v>
      </c>
      <c r="S953">
        <v>4</v>
      </c>
      <c r="T953">
        <v>0</v>
      </c>
      <c r="U953" t="s">
        <v>9072</v>
      </c>
      <c r="V953">
        <f>Tabla1[[#This Row],[Aboard]]-Tabla1[[#This Row],[Fatalities]]</f>
        <v>4</v>
      </c>
      <c r="W953" s="50">
        <f>IFERROR(Tabla1[[#This Row],[Fatalities]]/Tabla1[[#This Row],[Aboard]],0)</f>
        <v>0.73333333333333328</v>
      </c>
      <c r="X953" s="51" t="str" cm="1">
        <f t="array" ref="X953">_xlfn.IFS(Tabla1[[#This Row],[Porcentaje de muertes]]&lt;0.35,"LEVE",AND(Tabla1[[#This Row],[Porcentaje de muertes]]&gt;0.35,Tabla1[[#This Row],[Porcentaje de muertes]]&lt;0.65),"MEDIO",Tabla1[[#This Row],[Porcentaje de muertes]]&gt;0.65,"GRAVE")</f>
        <v>GRAVE</v>
      </c>
    </row>
    <row r="954" spans="2:24" x14ac:dyDescent="0.3">
      <c r="B954" s="9">
        <v>952</v>
      </c>
      <c r="C954" s="49">
        <v>17383</v>
      </c>
      <c r="D954" s="9">
        <f>YEAR(Tabla1[[#This Row],[Date]])</f>
        <v>1947</v>
      </c>
      <c r="E954" s="9" t="str" cm="1">
        <f t="array" ref="E954">IFERROR(_xlfn.IFS(AND(D954&lt;1980,D954&gt;=1970),"70",AND(D954&lt;1990,D954&gt;=1980),"80",AND(D954&lt;2000,D954&gt;=1990),"90",AND(D954&lt;2010,D954&gt;=2000),"00",AND(D954&lt;=2019,D954&gt;=2010),"10"),"1908-1970")</f>
        <v>1908-1970</v>
      </c>
      <c r="F954" s="3">
        <v>0.4375</v>
      </c>
      <c r="G954" t="s">
        <v>9073</v>
      </c>
      <c r="H954" t="s">
        <v>9074</v>
      </c>
      <c r="I954" t="s">
        <v>28931</v>
      </c>
      <c r="J954" t="s">
        <v>9075</v>
      </c>
      <c r="K954" t="s">
        <v>8105</v>
      </c>
      <c r="L954" s="7" t="s">
        <v>9076</v>
      </c>
      <c r="M954" t="s">
        <v>28931</v>
      </c>
      <c r="N954">
        <v>27</v>
      </c>
      <c r="O954">
        <v>24</v>
      </c>
      <c r="P954">
        <v>3</v>
      </c>
      <c r="Q954">
        <v>27</v>
      </c>
      <c r="R954">
        <v>24</v>
      </c>
      <c r="S954">
        <v>3</v>
      </c>
      <c r="T954">
        <v>0</v>
      </c>
      <c r="U954" t="s">
        <v>9077</v>
      </c>
      <c r="V954">
        <f>Tabla1[[#This Row],[Aboard]]-Tabla1[[#This Row],[Fatalities]]</f>
        <v>0</v>
      </c>
      <c r="W954" s="50">
        <f>IFERROR(Tabla1[[#This Row],[Fatalities]]/Tabla1[[#This Row],[Aboard]],0)</f>
        <v>1</v>
      </c>
      <c r="X954" s="51" t="str" cm="1">
        <f t="array" ref="X954">_xlfn.IFS(Tabla1[[#This Row],[Porcentaje de muertes]]&lt;0.35,"LEVE",AND(Tabla1[[#This Row],[Porcentaje de muertes]]&gt;0.35,Tabla1[[#This Row],[Porcentaje de muertes]]&lt;0.65),"MEDIO",Tabla1[[#This Row],[Porcentaje de muertes]]&gt;0.65,"GRAVE")</f>
        <v>GRAVE</v>
      </c>
    </row>
    <row r="955" spans="2:24" x14ac:dyDescent="0.3">
      <c r="B955" s="9">
        <v>953</v>
      </c>
      <c r="C955" s="49">
        <v>17270</v>
      </c>
      <c r="D955" s="9">
        <f>YEAR(Tabla1[[#This Row],[Date]])</f>
        <v>1947</v>
      </c>
      <c r="E955" s="9" t="str" cm="1">
        <f t="array" ref="E955">IFERROR(_xlfn.IFS(AND(D955&lt;1980,D955&gt;=1970),"70",AND(D955&lt;1990,D955&gt;=1980),"80",AND(D955&lt;2000,D955&gt;=1990),"90",AND(D955&lt;2010,D955&gt;=2000),"00",AND(D955&lt;=2019,D955&gt;=2010),"10"),"1908-1970")</f>
        <v>1908-1970</v>
      </c>
      <c r="F955" s="3">
        <v>0.1111111111111111</v>
      </c>
      <c r="G955" t="s">
        <v>9078</v>
      </c>
      <c r="H955" t="s">
        <v>8763</v>
      </c>
      <c r="I955" t="s">
        <v>28931</v>
      </c>
      <c r="J955" t="s">
        <v>9079</v>
      </c>
      <c r="K955" t="s">
        <v>8765</v>
      </c>
      <c r="L955" s="7" t="s">
        <v>9080</v>
      </c>
      <c r="M955">
        <v>1303</v>
      </c>
      <c r="N955">
        <v>15</v>
      </c>
      <c r="O955">
        <v>9</v>
      </c>
      <c r="P955">
        <v>6</v>
      </c>
      <c r="Q955">
        <v>6</v>
      </c>
      <c r="R955">
        <v>6</v>
      </c>
      <c r="S955">
        <v>0</v>
      </c>
      <c r="T955">
        <v>0</v>
      </c>
      <c r="U955" t="s">
        <v>9081</v>
      </c>
      <c r="V955">
        <f>Tabla1[[#This Row],[Aboard]]-Tabla1[[#This Row],[Fatalities]]</f>
        <v>9</v>
      </c>
      <c r="W955" s="50">
        <f>IFERROR(Tabla1[[#This Row],[Fatalities]]/Tabla1[[#This Row],[Aboard]],0)</f>
        <v>0.4</v>
      </c>
      <c r="X955" s="51" t="str" cm="1">
        <f t="array" ref="X955">_xlfn.IFS(Tabla1[[#This Row],[Porcentaje de muertes]]&lt;0.35,"LEVE",AND(Tabla1[[#This Row],[Porcentaje de muertes]]&gt;0.35,Tabla1[[#This Row],[Porcentaje de muertes]]&lt;0.65),"MEDIO",Tabla1[[#This Row],[Porcentaje de muertes]]&gt;0.65,"GRAVE")</f>
        <v>MEDIO</v>
      </c>
    </row>
    <row r="956" spans="2:24" x14ac:dyDescent="0.3">
      <c r="B956" s="9">
        <v>954</v>
      </c>
      <c r="C956" s="49">
        <v>17279</v>
      </c>
      <c r="D956" s="9">
        <f>YEAR(Tabla1[[#This Row],[Date]])</f>
        <v>1947</v>
      </c>
      <c r="E956" s="9" t="str" cm="1">
        <f t="array" ref="E956">IFERROR(_xlfn.IFS(AND(D956&lt;1980,D956&gt;=1970),"70",AND(D956&lt;1990,D956&gt;=1980),"80",AND(D956&lt;2000,D956&gt;=1990),"90",AND(D956&lt;2010,D956&gt;=2000),"00",AND(D956&lt;=2019,D956&gt;=2010),"10"),"1908-1970")</f>
        <v>1908-1970</v>
      </c>
      <c r="F956" s="3">
        <v>0.44444444444444442</v>
      </c>
      <c r="G956" t="s">
        <v>8027</v>
      </c>
      <c r="H956" t="s">
        <v>6658</v>
      </c>
      <c r="I956" t="s">
        <v>28931</v>
      </c>
      <c r="J956" t="s">
        <v>9082</v>
      </c>
      <c r="K956" t="s">
        <v>9083</v>
      </c>
      <c r="L956" s="7" t="s">
        <v>9084</v>
      </c>
      <c r="M956">
        <v>9066</v>
      </c>
      <c r="N956">
        <v>10</v>
      </c>
      <c r="O956">
        <v>8</v>
      </c>
      <c r="P956">
        <v>2</v>
      </c>
      <c r="Q956">
        <v>10</v>
      </c>
      <c r="R956">
        <v>8</v>
      </c>
      <c r="S956">
        <v>2</v>
      </c>
      <c r="T956">
        <v>0</v>
      </c>
      <c r="U956" t="s">
        <v>9085</v>
      </c>
      <c r="V956">
        <f>Tabla1[[#This Row],[Aboard]]-Tabla1[[#This Row],[Fatalities]]</f>
        <v>0</v>
      </c>
      <c r="W956" s="50">
        <f>IFERROR(Tabla1[[#This Row],[Fatalities]]/Tabla1[[#This Row],[Aboard]],0)</f>
        <v>1</v>
      </c>
      <c r="X956" s="51" t="str" cm="1">
        <f t="array" ref="X956">_xlfn.IFS(Tabla1[[#This Row],[Porcentaje de muertes]]&lt;0.35,"LEVE",AND(Tabla1[[#This Row],[Porcentaje de muertes]]&gt;0.35,Tabla1[[#This Row],[Porcentaje de muertes]]&lt;0.65),"MEDIO",Tabla1[[#This Row],[Porcentaje de muertes]]&gt;0.65,"GRAVE")</f>
        <v>GRAVE</v>
      </c>
    </row>
    <row r="957" spans="2:24" x14ac:dyDescent="0.3">
      <c r="B957" s="9">
        <v>955</v>
      </c>
      <c r="C957" s="49">
        <v>17285</v>
      </c>
      <c r="D957" s="9">
        <f>YEAR(Tabla1[[#This Row],[Date]])</f>
        <v>1947</v>
      </c>
      <c r="E957" s="9" t="str" cm="1">
        <f t="array" ref="E957">IFERROR(_xlfn.IFS(AND(D957&lt;1980,D957&gt;=1970),"70",AND(D957&lt;1990,D957&gt;=1980),"80",AND(D957&lt;2000,D957&gt;=1990),"90",AND(D957&lt;2010,D957&gt;=2000),"00",AND(D957&lt;=2019,D957&gt;=2010),"10"),"1908-1970")</f>
        <v>1908-1970</v>
      </c>
      <c r="F957" s="3">
        <v>0.96736111111111101</v>
      </c>
      <c r="G957" t="s">
        <v>9086</v>
      </c>
      <c r="H957" t="s">
        <v>7329</v>
      </c>
      <c r="I957">
        <v>3</v>
      </c>
      <c r="J957" t="s">
        <v>9087</v>
      </c>
      <c r="K957" t="s">
        <v>7823</v>
      </c>
      <c r="L957" s="7" t="s">
        <v>9088</v>
      </c>
      <c r="M957" t="s">
        <v>9089</v>
      </c>
      <c r="N957">
        <v>15</v>
      </c>
      <c r="O957">
        <v>12</v>
      </c>
      <c r="P957">
        <v>3</v>
      </c>
      <c r="Q957">
        <v>15</v>
      </c>
      <c r="R957">
        <v>12</v>
      </c>
      <c r="S957">
        <v>3</v>
      </c>
      <c r="T957">
        <v>0</v>
      </c>
      <c r="U957" t="s">
        <v>9090</v>
      </c>
      <c r="V957">
        <f>Tabla1[[#This Row],[Aboard]]-Tabla1[[#This Row],[Fatalities]]</f>
        <v>0</v>
      </c>
      <c r="W957" s="50">
        <f>IFERROR(Tabla1[[#This Row],[Fatalities]]/Tabla1[[#This Row],[Aboard]],0)</f>
        <v>1</v>
      </c>
      <c r="X957" s="51" t="str" cm="1">
        <f t="array" ref="X957">_xlfn.IFS(Tabla1[[#This Row],[Porcentaje de muertes]]&lt;0.35,"LEVE",AND(Tabla1[[#This Row],[Porcentaje de muertes]]&gt;0.35,Tabla1[[#This Row],[Porcentaje de muertes]]&lt;0.65),"MEDIO",Tabla1[[#This Row],[Porcentaje de muertes]]&gt;0.65,"GRAVE")</f>
        <v>GRAVE</v>
      </c>
    </row>
    <row r="958" spans="2:24" x14ac:dyDescent="0.3">
      <c r="B958" s="9">
        <v>956</v>
      </c>
      <c r="C958" s="49">
        <v>17262</v>
      </c>
      <c r="D958" s="9">
        <f>YEAR(Tabla1[[#This Row],[Date]])</f>
        <v>1947</v>
      </c>
      <c r="E958" s="9" t="str" cm="1">
        <f t="array" ref="E958">IFERROR(_xlfn.IFS(AND(D958&lt;1980,D958&gt;=1970),"70",AND(D958&lt;1990,D958&gt;=1980),"80",AND(D958&lt;2000,D958&gt;=1990),"90",AND(D958&lt;2010,D958&gt;=2000),"00",AND(D958&lt;=2019,D958&gt;=2010),"10"),"1908-1970")</f>
        <v>1908-1970</v>
      </c>
      <c r="F958" s="3" t="s">
        <v>28931</v>
      </c>
      <c r="G958" t="s">
        <v>9091</v>
      </c>
      <c r="H958" t="s">
        <v>8239</v>
      </c>
      <c r="I958" t="s">
        <v>28931</v>
      </c>
      <c r="J958" t="s">
        <v>9092</v>
      </c>
      <c r="K958" t="s">
        <v>7823</v>
      </c>
      <c r="L958" s="7" t="s">
        <v>9093</v>
      </c>
      <c r="M958" t="s">
        <v>9094</v>
      </c>
      <c r="N958">
        <v>11</v>
      </c>
      <c r="O958">
        <v>9</v>
      </c>
      <c r="P958">
        <v>2</v>
      </c>
      <c r="Q958">
        <v>11</v>
      </c>
      <c r="R958">
        <v>9</v>
      </c>
      <c r="S958">
        <v>2</v>
      </c>
      <c r="T958">
        <v>0</v>
      </c>
      <c r="U958" t="s">
        <v>9095</v>
      </c>
      <c r="V958">
        <f>Tabla1[[#This Row],[Aboard]]-Tabla1[[#This Row],[Fatalities]]</f>
        <v>0</v>
      </c>
      <c r="W958" s="50">
        <f>IFERROR(Tabla1[[#This Row],[Fatalities]]/Tabla1[[#This Row],[Aboard]],0)</f>
        <v>1</v>
      </c>
      <c r="X958" s="51" t="str" cm="1">
        <f t="array" ref="X958">_xlfn.IFS(Tabla1[[#This Row],[Porcentaje de muertes]]&lt;0.35,"LEVE",AND(Tabla1[[#This Row],[Porcentaje de muertes]]&gt;0.35,Tabla1[[#This Row],[Porcentaje de muertes]]&lt;0.65),"MEDIO",Tabla1[[#This Row],[Porcentaje de muertes]]&gt;0.65,"GRAVE")</f>
        <v>GRAVE</v>
      </c>
    </row>
    <row r="959" spans="2:24" x14ac:dyDescent="0.3">
      <c r="B959" s="9">
        <v>957</v>
      </c>
      <c r="C959" s="49">
        <v>17476</v>
      </c>
      <c r="D959" s="9">
        <f>YEAR(Tabla1[[#This Row],[Date]])</f>
        <v>1947</v>
      </c>
      <c r="E959" s="9" t="str" cm="1">
        <f t="array" ref="E959">IFERROR(_xlfn.IFS(AND(D959&lt;1980,D959&gt;=1970),"70",AND(D959&lt;1990,D959&gt;=1980),"80",AND(D959&lt;2000,D959&gt;=1990),"90",AND(D959&lt;2010,D959&gt;=2000),"00",AND(D959&lt;=2019,D959&gt;=2010),"10"),"1908-1970")</f>
        <v>1908-1970</v>
      </c>
      <c r="F959" s="3">
        <v>0.40208333333333335</v>
      </c>
      <c r="G959" t="s">
        <v>9096</v>
      </c>
      <c r="H959" t="s">
        <v>6044</v>
      </c>
      <c r="I959" t="s">
        <v>28931</v>
      </c>
      <c r="J959" t="s">
        <v>6190</v>
      </c>
      <c r="K959" t="s">
        <v>8692</v>
      </c>
      <c r="L959" s="7" t="s">
        <v>9097</v>
      </c>
      <c r="M959">
        <v>2029</v>
      </c>
      <c r="N959">
        <v>4</v>
      </c>
      <c r="O959">
        <v>0</v>
      </c>
      <c r="P959">
        <v>4</v>
      </c>
      <c r="Q959">
        <v>4</v>
      </c>
      <c r="R959">
        <v>0</v>
      </c>
      <c r="S959">
        <v>4</v>
      </c>
      <c r="T959">
        <v>0</v>
      </c>
      <c r="U959" t="s">
        <v>9098</v>
      </c>
      <c r="V959">
        <f>Tabla1[[#This Row],[Aboard]]-Tabla1[[#This Row],[Fatalities]]</f>
        <v>0</v>
      </c>
      <c r="W959" s="50">
        <f>IFERROR(Tabla1[[#This Row],[Fatalities]]/Tabla1[[#This Row],[Aboard]],0)</f>
        <v>1</v>
      </c>
      <c r="X959" s="51" t="str" cm="1">
        <f t="array" ref="X959">_xlfn.IFS(Tabla1[[#This Row],[Porcentaje de muertes]]&lt;0.35,"LEVE",AND(Tabla1[[#This Row],[Porcentaje de muertes]]&gt;0.35,Tabla1[[#This Row],[Porcentaje de muertes]]&lt;0.65),"MEDIO",Tabla1[[#This Row],[Porcentaje de muertes]]&gt;0.65,"GRAVE")</f>
        <v>GRAVE</v>
      </c>
    </row>
    <row r="960" spans="2:24" x14ac:dyDescent="0.3">
      <c r="B960" s="9">
        <v>958</v>
      </c>
      <c r="C960" s="49">
        <v>17303</v>
      </c>
      <c r="D960" s="9">
        <f>YEAR(Tabla1[[#This Row],[Date]])</f>
        <v>1947</v>
      </c>
      <c r="E960" s="9" t="str" cm="1">
        <f t="array" ref="E960">IFERROR(_xlfn.IFS(AND(D960&lt;1980,D960&gt;=1970),"70",AND(D960&lt;1990,D960&gt;=1980),"80",AND(D960&lt;2000,D960&gt;=1990),"90",AND(D960&lt;2010,D960&gt;=2000),"00",AND(D960&lt;=2019,D960&gt;=2010),"10"),"1908-1970")</f>
        <v>1908-1970</v>
      </c>
      <c r="F960" s="3">
        <v>0.68402777777777779</v>
      </c>
      <c r="G960" t="s">
        <v>9099</v>
      </c>
      <c r="H960" t="s">
        <v>6541</v>
      </c>
      <c r="I960" t="s">
        <v>28931</v>
      </c>
      <c r="J960" t="s">
        <v>9100</v>
      </c>
      <c r="K960" t="s">
        <v>9101</v>
      </c>
      <c r="L960" s="7" t="s">
        <v>9102</v>
      </c>
      <c r="M960">
        <v>11936</v>
      </c>
      <c r="N960">
        <v>22</v>
      </c>
      <c r="O960">
        <v>17</v>
      </c>
      <c r="P960">
        <v>5</v>
      </c>
      <c r="Q960">
        <v>22</v>
      </c>
      <c r="R960">
        <v>17</v>
      </c>
      <c r="S960">
        <v>5</v>
      </c>
      <c r="T960">
        <v>0</v>
      </c>
      <c r="U960" t="s">
        <v>9103</v>
      </c>
      <c r="V960">
        <f>Tabla1[[#This Row],[Aboard]]-Tabla1[[#This Row],[Fatalities]]</f>
        <v>0</v>
      </c>
      <c r="W960" s="50">
        <f>IFERROR(Tabla1[[#This Row],[Fatalities]]/Tabla1[[#This Row],[Aboard]],0)</f>
        <v>1</v>
      </c>
      <c r="X960" s="51" t="str" cm="1">
        <f t="array" ref="X960">_xlfn.IFS(Tabla1[[#This Row],[Porcentaje de muertes]]&lt;0.35,"LEVE",AND(Tabla1[[#This Row],[Porcentaje de muertes]]&gt;0.35,Tabla1[[#This Row],[Porcentaje de muertes]]&lt;0.65),"MEDIO",Tabla1[[#This Row],[Porcentaje de muertes]]&gt;0.65,"GRAVE")</f>
        <v>GRAVE</v>
      </c>
    </row>
    <row r="961" spans="2:24" x14ac:dyDescent="0.3">
      <c r="B961" s="9">
        <v>959</v>
      </c>
      <c r="C961" s="49">
        <v>17316</v>
      </c>
      <c r="D961" s="9">
        <f>YEAR(Tabla1[[#This Row],[Date]])</f>
        <v>1947</v>
      </c>
      <c r="E961" s="9" t="str" cm="1">
        <f t="array" ref="E961">IFERROR(_xlfn.IFS(AND(D961&lt;1980,D961&gt;=1970),"70",AND(D961&lt;1990,D961&gt;=1980),"80",AND(D961&lt;2000,D961&gt;=1990),"90",AND(D961&lt;2010,D961&gt;=2000),"00",AND(D961&lt;=2019,D961&gt;=2010),"10"),"1908-1970")</f>
        <v>1908-1970</v>
      </c>
      <c r="F961" s="3">
        <v>0.79513888888888884</v>
      </c>
      <c r="G961" t="s">
        <v>9104</v>
      </c>
      <c r="H961" t="s">
        <v>6369</v>
      </c>
      <c r="I961">
        <v>521</v>
      </c>
      <c r="J961" t="s">
        <v>9105</v>
      </c>
      <c r="K961" t="s">
        <v>9106</v>
      </c>
      <c r="L961" s="7" t="s">
        <v>9107</v>
      </c>
      <c r="M961">
        <v>18324</v>
      </c>
      <c r="N961">
        <v>48</v>
      </c>
      <c r="O961">
        <v>44</v>
      </c>
      <c r="P961">
        <v>4</v>
      </c>
      <c r="Q961">
        <v>43</v>
      </c>
      <c r="R961">
        <v>41</v>
      </c>
      <c r="S961">
        <v>2</v>
      </c>
      <c r="T961">
        <v>0</v>
      </c>
      <c r="U961" t="s">
        <v>9108</v>
      </c>
      <c r="V961">
        <f>Tabla1[[#This Row],[Aboard]]-Tabla1[[#This Row],[Fatalities]]</f>
        <v>5</v>
      </c>
      <c r="W961" s="50">
        <f>IFERROR(Tabla1[[#This Row],[Fatalities]]/Tabla1[[#This Row],[Aboard]],0)</f>
        <v>0.89583333333333337</v>
      </c>
      <c r="X961" s="51" t="str" cm="1">
        <f t="array" ref="X961">_xlfn.IFS(Tabla1[[#This Row],[Porcentaje de muertes]]&lt;0.35,"LEVE",AND(Tabla1[[#This Row],[Porcentaje de muertes]]&gt;0.35,Tabla1[[#This Row],[Porcentaje de muertes]]&lt;0.65),"MEDIO",Tabla1[[#This Row],[Porcentaje de muertes]]&gt;0.65,"GRAVE")</f>
        <v>GRAVE</v>
      </c>
    </row>
    <row r="962" spans="2:24" x14ac:dyDescent="0.3">
      <c r="B962" s="9">
        <v>960</v>
      </c>
      <c r="C962" s="49">
        <v>17316</v>
      </c>
      <c r="D962" s="9">
        <f>YEAR(Tabla1[[#This Row],[Date]])</f>
        <v>1947</v>
      </c>
      <c r="E962" s="9" t="str" cm="1">
        <f t="array" ref="E962">IFERROR(_xlfn.IFS(AND(D962&lt;1980,D962&gt;=1970),"70",AND(D962&lt;1990,D962&gt;=1980),"80",AND(D962&lt;2000,D962&gt;=1990),"90",AND(D962&lt;2010,D962&gt;=2000),"00",AND(D962&lt;=2019,D962&gt;=2010),"10"),"1908-1970")</f>
        <v>1908-1970</v>
      </c>
      <c r="F962" s="3">
        <v>0.94791666666666663</v>
      </c>
      <c r="G962" t="s">
        <v>9109</v>
      </c>
      <c r="H962" t="s">
        <v>7782</v>
      </c>
      <c r="I962" t="s">
        <v>28931</v>
      </c>
      <c r="J962" t="s">
        <v>9110</v>
      </c>
      <c r="K962" t="s">
        <v>8671</v>
      </c>
      <c r="L962" s="7" t="s">
        <v>9111</v>
      </c>
      <c r="M962">
        <v>10658</v>
      </c>
      <c r="N962">
        <v>40</v>
      </c>
      <c r="O962">
        <v>33</v>
      </c>
      <c r="P962">
        <v>7</v>
      </c>
      <c r="Q962">
        <v>40</v>
      </c>
      <c r="R962">
        <v>33</v>
      </c>
      <c r="S962">
        <v>7</v>
      </c>
      <c r="T962">
        <v>0</v>
      </c>
      <c r="U962" t="s">
        <v>9112</v>
      </c>
      <c r="V962">
        <f>Tabla1[[#This Row],[Aboard]]-Tabla1[[#This Row],[Fatalities]]</f>
        <v>0</v>
      </c>
      <c r="W962" s="50">
        <f>IFERROR(Tabla1[[#This Row],[Fatalities]]/Tabla1[[#This Row],[Aboard]],0)</f>
        <v>1</v>
      </c>
      <c r="X962" s="51" t="str" cm="1">
        <f t="array" ref="X962">_xlfn.IFS(Tabla1[[#This Row],[Porcentaje de muertes]]&lt;0.35,"LEVE",AND(Tabla1[[#This Row],[Porcentaje de muertes]]&gt;0.35,Tabla1[[#This Row],[Porcentaje de muertes]]&lt;0.65),"MEDIO",Tabla1[[#This Row],[Porcentaje de muertes]]&gt;0.65,"GRAVE")</f>
        <v>GRAVE</v>
      </c>
    </row>
    <row r="963" spans="2:24" x14ac:dyDescent="0.3">
      <c r="B963" s="9">
        <v>961</v>
      </c>
      <c r="C963" s="49">
        <v>17316</v>
      </c>
      <c r="D963" s="9">
        <f>YEAR(Tabla1[[#This Row],[Date]])</f>
        <v>1947</v>
      </c>
      <c r="E963" s="9" t="str" cm="1">
        <f t="array" ref="E963">IFERROR(_xlfn.IFS(AND(D963&lt;1980,D963&gt;=1970),"70",AND(D963&lt;1990,D963&gt;=1980),"80",AND(D963&lt;2000,D963&gt;=1990),"90",AND(D963&lt;2010,D963&gt;=2000),"00",AND(D963&lt;=2019,D963&gt;=2010),"10"),"1908-1970")</f>
        <v>1908-1970</v>
      </c>
      <c r="F963" s="3">
        <v>0.53333333333333333</v>
      </c>
      <c r="G963" t="s">
        <v>9113</v>
      </c>
      <c r="H963" t="s">
        <v>9114</v>
      </c>
      <c r="I963" t="s">
        <v>28931</v>
      </c>
      <c r="J963" t="s">
        <v>9115</v>
      </c>
      <c r="K963" t="s">
        <v>7057</v>
      </c>
      <c r="L963" s="7" t="s">
        <v>9116</v>
      </c>
      <c r="M963">
        <v>13389</v>
      </c>
      <c r="N963">
        <v>25</v>
      </c>
      <c r="O963">
        <v>21</v>
      </c>
      <c r="P963">
        <v>4</v>
      </c>
      <c r="Q963">
        <v>25</v>
      </c>
      <c r="R963">
        <v>21</v>
      </c>
      <c r="S963">
        <v>4</v>
      </c>
      <c r="T963">
        <v>0</v>
      </c>
      <c r="U963" t="s">
        <v>9117</v>
      </c>
      <c r="V963">
        <f>Tabla1[[#This Row],[Aboard]]-Tabla1[[#This Row],[Fatalities]]</f>
        <v>0</v>
      </c>
      <c r="W963" s="50">
        <f>IFERROR(Tabla1[[#This Row],[Fatalities]]/Tabla1[[#This Row],[Aboard]],0)</f>
        <v>1</v>
      </c>
      <c r="X963" s="51" t="str" cm="1">
        <f t="array" ref="X963">_xlfn.IFS(Tabla1[[#This Row],[Porcentaje de muertes]]&lt;0.35,"LEVE",AND(Tabla1[[#This Row],[Porcentaje de muertes]]&gt;0.35,Tabla1[[#This Row],[Porcentaje de muertes]]&lt;0.65),"MEDIO",Tabla1[[#This Row],[Porcentaje de muertes]]&gt;0.65,"GRAVE")</f>
        <v>GRAVE</v>
      </c>
    </row>
    <row r="964" spans="2:24" x14ac:dyDescent="0.3">
      <c r="B964" s="9">
        <v>962</v>
      </c>
      <c r="C964" s="49">
        <v>17317</v>
      </c>
      <c r="D964" s="9">
        <f>YEAR(Tabla1[[#This Row],[Date]])</f>
        <v>1947</v>
      </c>
      <c r="E964" s="9" t="str" cm="1">
        <f t="array" ref="E964">IFERROR(_xlfn.IFS(AND(D964&lt;1980,D964&gt;=1970),"70",AND(D964&lt;1990,D964&gt;=1980),"80",AND(D964&lt;2000,D964&gt;=1990),"90",AND(D964&lt;2010,D964&gt;=2000),"00",AND(D964&lt;=2019,D964&gt;=2010),"10"),"1908-1970")</f>
        <v>1908-1970</v>
      </c>
      <c r="F964" s="3">
        <v>0.7368055555555556</v>
      </c>
      <c r="G964" t="s">
        <v>9118</v>
      </c>
      <c r="H964" t="s">
        <v>6941</v>
      </c>
      <c r="I964">
        <v>605</v>
      </c>
      <c r="J964" t="s">
        <v>9119</v>
      </c>
      <c r="K964" t="s">
        <v>9018</v>
      </c>
      <c r="L964" s="7" t="s">
        <v>9120</v>
      </c>
      <c r="M964">
        <v>18380</v>
      </c>
      <c r="N964">
        <v>53</v>
      </c>
      <c r="O964">
        <v>49</v>
      </c>
      <c r="P964">
        <v>4</v>
      </c>
      <c r="Q964">
        <v>53</v>
      </c>
      <c r="R964">
        <v>49</v>
      </c>
      <c r="S964">
        <v>4</v>
      </c>
      <c r="T964">
        <v>0</v>
      </c>
      <c r="U964" t="s">
        <v>9121</v>
      </c>
      <c r="V964">
        <f>Tabla1[[#This Row],[Aboard]]-Tabla1[[#This Row],[Fatalities]]</f>
        <v>0</v>
      </c>
      <c r="W964" s="50">
        <f>IFERROR(Tabla1[[#This Row],[Fatalities]]/Tabla1[[#This Row],[Aboard]],0)</f>
        <v>1</v>
      </c>
      <c r="X964" s="51" t="str" cm="1">
        <f t="array" ref="X964">_xlfn.IFS(Tabla1[[#This Row],[Porcentaje de muertes]]&lt;0.35,"LEVE",AND(Tabla1[[#This Row],[Porcentaje de muertes]]&gt;0.35,Tabla1[[#This Row],[Porcentaje de muertes]]&lt;0.65),"MEDIO",Tabla1[[#This Row],[Porcentaje de muertes]]&gt;0.65,"GRAVE")</f>
        <v>GRAVE</v>
      </c>
    </row>
    <row r="965" spans="2:24" x14ac:dyDescent="0.3">
      <c r="B965" s="9">
        <v>963</v>
      </c>
      <c r="C965" s="49">
        <v>17263</v>
      </c>
      <c r="D965" s="9">
        <f>YEAR(Tabla1[[#This Row],[Date]])</f>
        <v>1947</v>
      </c>
      <c r="E965" s="9" t="str" cm="1">
        <f t="array" ref="E965">IFERROR(_xlfn.IFS(AND(D965&lt;1980,D965&gt;=1970),"70",AND(D965&lt;1990,D965&gt;=1980),"80",AND(D965&lt;2000,D965&gt;=1990),"90",AND(D965&lt;2010,D965&gt;=2000),"00",AND(D965&lt;=2019,D965&gt;=2010),"10"),"1908-1970")</f>
        <v>1908-1970</v>
      </c>
      <c r="F965" s="3">
        <v>0.95833333333333337</v>
      </c>
      <c r="G965" t="s">
        <v>9122</v>
      </c>
      <c r="H965" t="s">
        <v>6375</v>
      </c>
      <c r="I965" t="s">
        <v>28931</v>
      </c>
      <c r="J965" t="s">
        <v>9123</v>
      </c>
      <c r="K965" t="s">
        <v>9124</v>
      </c>
      <c r="L965" s="7" t="s">
        <v>9125</v>
      </c>
      <c r="M965" t="s">
        <v>9126</v>
      </c>
      <c r="N965">
        <v>2</v>
      </c>
      <c r="O965">
        <v>0</v>
      </c>
      <c r="P965">
        <v>2</v>
      </c>
      <c r="Q965">
        <v>2</v>
      </c>
      <c r="R965">
        <v>0</v>
      </c>
      <c r="S965">
        <v>2</v>
      </c>
      <c r="T965">
        <v>0</v>
      </c>
      <c r="U965" t="s">
        <v>9127</v>
      </c>
      <c r="V965">
        <f>Tabla1[[#This Row],[Aboard]]-Tabla1[[#This Row],[Fatalities]]</f>
        <v>0</v>
      </c>
      <c r="W965" s="50">
        <f>IFERROR(Tabla1[[#This Row],[Fatalities]]/Tabla1[[#This Row],[Aboard]],0)</f>
        <v>1</v>
      </c>
      <c r="X965" s="51" t="str" cm="1">
        <f t="array" ref="X965">_xlfn.IFS(Tabla1[[#This Row],[Porcentaje de muertes]]&lt;0.35,"LEVE",AND(Tabla1[[#This Row],[Porcentaje de muertes]]&gt;0.35,Tabla1[[#This Row],[Porcentaje de muertes]]&lt;0.65),"MEDIO",Tabla1[[#This Row],[Porcentaje de muertes]]&gt;0.65,"GRAVE")</f>
        <v>GRAVE</v>
      </c>
    </row>
    <row r="966" spans="2:24" x14ac:dyDescent="0.3">
      <c r="B966" s="9">
        <v>964</v>
      </c>
      <c r="C966" s="49">
        <v>17477</v>
      </c>
      <c r="D966" s="9">
        <f>YEAR(Tabla1[[#This Row],[Date]])</f>
        <v>1947</v>
      </c>
      <c r="E966" s="9" t="str" cm="1">
        <f t="array" ref="E966">IFERROR(_xlfn.IFS(AND(D966&lt;1980,D966&gt;=1970),"70",AND(D966&lt;1990,D966&gt;=1980),"80",AND(D966&lt;2000,D966&gt;=1990),"90",AND(D966&lt;2010,D966&gt;=2000),"00",AND(D966&lt;=2019,D966&gt;=2010),"10"),"1908-1970")</f>
        <v>1908-1970</v>
      </c>
      <c r="F966" s="3">
        <v>0.96319444444444446</v>
      </c>
      <c r="G966" t="s">
        <v>9128</v>
      </c>
      <c r="H966" t="s">
        <v>9129</v>
      </c>
      <c r="I966" t="s">
        <v>28931</v>
      </c>
      <c r="J966" t="s">
        <v>9130</v>
      </c>
      <c r="K966" t="s">
        <v>9131</v>
      </c>
      <c r="L966" s="7" t="s">
        <v>9132</v>
      </c>
      <c r="M966" t="s">
        <v>28931</v>
      </c>
      <c r="N966">
        <v>18</v>
      </c>
      <c r="O966">
        <v>13</v>
      </c>
      <c r="P966">
        <v>5</v>
      </c>
      <c r="Q966">
        <v>5</v>
      </c>
      <c r="R966">
        <v>3</v>
      </c>
      <c r="S966">
        <v>2</v>
      </c>
      <c r="T966">
        <v>0</v>
      </c>
      <c r="U966" t="s">
        <v>9133</v>
      </c>
      <c r="V966">
        <f>Tabla1[[#This Row],[Aboard]]-Tabla1[[#This Row],[Fatalities]]</f>
        <v>13</v>
      </c>
      <c r="W966" s="50">
        <f>IFERROR(Tabla1[[#This Row],[Fatalities]]/Tabla1[[#This Row],[Aboard]],0)</f>
        <v>0.27777777777777779</v>
      </c>
      <c r="X966" s="51" t="str" cm="1">
        <f t="array" ref="X966">_xlfn.IFS(Tabla1[[#This Row],[Porcentaje de muertes]]&lt;0.35,"LEVE",AND(Tabla1[[#This Row],[Porcentaje de muertes]]&gt;0.35,Tabla1[[#This Row],[Porcentaje de muertes]]&lt;0.65),"MEDIO",Tabla1[[#This Row],[Porcentaje de muertes]]&gt;0.65,"GRAVE")</f>
        <v>LEVE</v>
      </c>
    </row>
    <row r="967" spans="2:24" x14ac:dyDescent="0.3">
      <c r="B967" s="9">
        <v>965</v>
      </c>
      <c r="C967" s="49">
        <v>17331</v>
      </c>
      <c r="D967" s="9">
        <f>YEAR(Tabla1[[#This Row],[Date]])</f>
        <v>1947</v>
      </c>
      <c r="E967" s="9" t="str" cm="1">
        <f t="array" ref="E967">IFERROR(_xlfn.IFS(AND(D967&lt;1980,D967&gt;=1970),"70",AND(D967&lt;1990,D967&gt;=1980),"80",AND(D967&lt;2000,D967&gt;=1990),"90",AND(D967&lt;2010,D967&gt;=2000),"00",AND(D967&lt;=2019,D967&gt;=2010),"10"),"1908-1970")</f>
        <v>1908-1970</v>
      </c>
      <c r="F967" s="3">
        <v>0.76111111111111107</v>
      </c>
      <c r="G967" t="s">
        <v>9134</v>
      </c>
      <c r="H967" t="s">
        <v>7557</v>
      </c>
      <c r="I967">
        <v>410</v>
      </c>
      <c r="J967" t="s">
        <v>9135</v>
      </c>
      <c r="K967" t="s">
        <v>9136</v>
      </c>
      <c r="L967" s="7" t="s">
        <v>9137</v>
      </c>
      <c r="M967">
        <v>3112</v>
      </c>
      <c r="N967">
        <v>50</v>
      </c>
      <c r="O967">
        <v>47</v>
      </c>
      <c r="P967">
        <v>3</v>
      </c>
      <c r="Q967">
        <v>50</v>
      </c>
      <c r="R967">
        <v>47</v>
      </c>
      <c r="S967">
        <v>3</v>
      </c>
      <c r="T967">
        <v>0</v>
      </c>
      <c r="U967" t="s">
        <v>9138</v>
      </c>
      <c r="V967">
        <f>Tabla1[[#This Row],[Aboard]]-Tabla1[[#This Row],[Fatalities]]</f>
        <v>0</v>
      </c>
      <c r="W967" s="50">
        <f>IFERROR(Tabla1[[#This Row],[Fatalities]]/Tabla1[[#This Row],[Aboard]],0)</f>
        <v>1</v>
      </c>
      <c r="X967" s="51" t="str" cm="1">
        <f t="array" ref="X967">_xlfn.IFS(Tabla1[[#This Row],[Porcentaje de muertes]]&lt;0.35,"LEVE",AND(Tabla1[[#This Row],[Porcentaje de muertes]]&gt;0.35,Tabla1[[#This Row],[Porcentaje de muertes]]&lt;0.65),"MEDIO",Tabla1[[#This Row],[Porcentaje de muertes]]&gt;0.65,"GRAVE")</f>
        <v>GRAVE</v>
      </c>
    </row>
    <row r="968" spans="2:24" x14ac:dyDescent="0.3">
      <c r="B968" s="9">
        <v>966</v>
      </c>
      <c r="C968" s="49">
        <v>17337</v>
      </c>
      <c r="D968" s="9">
        <f>YEAR(Tabla1[[#This Row],[Date]])</f>
        <v>1947</v>
      </c>
      <c r="E968" s="9" t="str" cm="1">
        <f t="array" ref="E968">IFERROR(_xlfn.IFS(AND(D968&lt;1980,D968&gt;=1970),"70",AND(D968&lt;1990,D968&gt;=1980),"80",AND(D968&lt;2000,D968&gt;=1990),"90",AND(D968&lt;2010,D968&gt;=2000),"00",AND(D968&lt;=2019,D968&gt;=2010),"10"),"1908-1970")</f>
        <v>1908-1970</v>
      </c>
      <c r="F968" s="3">
        <v>0.98611111111111116</v>
      </c>
      <c r="G968" t="s">
        <v>9139</v>
      </c>
      <c r="H968" t="s">
        <v>7121</v>
      </c>
      <c r="I968">
        <v>121</v>
      </c>
      <c r="J968" t="s">
        <v>9140</v>
      </c>
      <c r="K968" t="s">
        <v>9141</v>
      </c>
      <c r="L968" s="7" t="s">
        <v>9142</v>
      </c>
      <c r="M968">
        <v>2045</v>
      </c>
      <c r="N968">
        <v>36</v>
      </c>
      <c r="O968">
        <v>27</v>
      </c>
      <c r="P968">
        <v>9</v>
      </c>
      <c r="Q968">
        <v>14</v>
      </c>
      <c r="R968">
        <v>7</v>
      </c>
      <c r="S968">
        <v>7</v>
      </c>
      <c r="T968">
        <v>0</v>
      </c>
      <c r="U968" t="s">
        <v>9143</v>
      </c>
      <c r="V968">
        <f>Tabla1[[#This Row],[Aboard]]-Tabla1[[#This Row],[Fatalities]]</f>
        <v>22</v>
      </c>
      <c r="W968" s="50">
        <f>IFERROR(Tabla1[[#This Row],[Fatalities]]/Tabla1[[#This Row],[Aboard]],0)</f>
        <v>0.3888888888888889</v>
      </c>
      <c r="X968" s="51" t="str" cm="1">
        <f t="array" ref="X968">_xlfn.IFS(Tabla1[[#This Row],[Porcentaje de muertes]]&lt;0.35,"LEVE",AND(Tabla1[[#This Row],[Porcentaje de muertes]]&gt;0.35,Tabla1[[#This Row],[Porcentaje de muertes]]&lt;0.65),"MEDIO",Tabla1[[#This Row],[Porcentaje de muertes]]&gt;0.65,"GRAVE")</f>
        <v>MEDIO</v>
      </c>
    </row>
    <row r="969" spans="2:24" x14ac:dyDescent="0.3">
      <c r="B969" s="9">
        <v>967</v>
      </c>
      <c r="C969" s="49">
        <v>17339</v>
      </c>
      <c r="D969" s="9">
        <f>YEAR(Tabla1[[#This Row],[Date]])</f>
        <v>1947</v>
      </c>
      <c r="E969" s="9" t="str" cm="1">
        <f t="array" ref="E969">IFERROR(_xlfn.IFS(AND(D969&lt;1980,D969&gt;=1970),"70",AND(D969&lt;1990,D969&gt;=1980),"80",AND(D969&lt;2000,D969&gt;=1990),"90",AND(D969&lt;2010,D969&gt;=2000),"00",AND(D969&lt;=2019,D969&gt;=2010),"10"),"1908-1970")</f>
        <v>1908-1970</v>
      </c>
      <c r="F969" s="3" t="s">
        <v>28931</v>
      </c>
      <c r="G969" t="s">
        <v>9144</v>
      </c>
      <c r="H969" t="s">
        <v>6541</v>
      </c>
      <c r="I969" t="s">
        <v>28931</v>
      </c>
      <c r="J969" t="s">
        <v>28931</v>
      </c>
      <c r="K969" t="s">
        <v>9145</v>
      </c>
      <c r="L969" s="7" t="s">
        <v>9146</v>
      </c>
      <c r="M969" t="s">
        <v>28931</v>
      </c>
      <c r="N969">
        <v>29</v>
      </c>
      <c r="O969">
        <v>25</v>
      </c>
      <c r="P969">
        <v>4</v>
      </c>
      <c r="Q969">
        <v>8</v>
      </c>
      <c r="R969">
        <v>6</v>
      </c>
      <c r="S969">
        <v>2</v>
      </c>
      <c r="T969">
        <v>0</v>
      </c>
      <c r="U969" t="s">
        <v>9147</v>
      </c>
      <c r="V969">
        <f>Tabla1[[#This Row],[Aboard]]-Tabla1[[#This Row],[Fatalities]]</f>
        <v>21</v>
      </c>
      <c r="W969" s="50">
        <f>IFERROR(Tabla1[[#This Row],[Fatalities]]/Tabla1[[#This Row],[Aboard]],0)</f>
        <v>0.27586206896551724</v>
      </c>
      <c r="X969" s="51" t="str" cm="1">
        <f t="array" ref="X969">_xlfn.IFS(Tabla1[[#This Row],[Porcentaje de muertes]]&lt;0.35,"LEVE",AND(Tabla1[[#This Row],[Porcentaje de muertes]]&gt;0.35,Tabla1[[#This Row],[Porcentaje de muertes]]&lt;0.65),"MEDIO",Tabla1[[#This Row],[Porcentaje de muertes]]&gt;0.65,"GRAVE")</f>
        <v>LEVE</v>
      </c>
    </row>
    <row r="970" spans="2:24" x14ac:dyDescent="0.3">
      <c r="B970" s="9">
        <v>968</v>
      </c>
      <c r="C970" s="49">
        <v>17174</v>
      </c>
      <c r="D970" s="9">
        <f>YEAR(Tabla1[[#This Row],[Date]])</f>
        <v>1947</v>
      </c>
      <c r="E970" s="9" t="str" cm="1">
        <f t="array" ref="E970">IFERROR(_xlfn.IFS(AND(D970&lt;1980,D970&gt;=1970),"70",AND(D970&lt;1990,D970&gt;=1980),"80",AND(D970&lt;2000,D970&gt;=1990),"90",AND(D970&lt;2010,D970&gt;=2000),"00",AND(D970&lt;=2019,D970&gt;=2010),"10"),"1908-1970")</f>
        <v>1908-1970</v>
      </c>
      <c r="F970" s="3" t="s">
        <v>28931</v>
      </c>
      <c r="G970" t="s">
        <v>9148</v>
      </c>
      <c r="H970" t="s">
        <v>6375</v>
      </c>
      <c r="I970" t="s">
        <v>28931</v>
      </c>
      <c r="J970" t="s">
        <v>9149</v>
      </c>
      <c r="K970" t="s">
        <v>6555</v>
      </c>
      <c r="L970" s="7" t="s">
        <v>9150</v>
      </c>
      <c r="M970">
        <v>91</v>
      </c>
      <c r="N970">
        <v>13</v>
      </c>
      <c r="O970">
        <v>10</v>
      </c>
      <c r="P970">
        <v>3</v>
      </c>
      <c r="Q970">
        <v>13</v>
      </c>
      <c r="R970">
        <v>10</v>
      </c>
      <c r="S970">
        <v>3</v>
      </c>
      <c r="T970">
        <v>0</v>
      </c>
      <c r="U970" t="s">
        <v>9151</v>
      </c>
      <c r="V970">
        <f>Tabla1[[#This Row],[Aboard]]-Tabla1[[#This Row],[Fatalities]]</f>
        <v>0</v>
      </c>
      <c r="W970" s="50">
        <f>IFERROR(Tabla1[[#This Row],[Fatalities]]/Tabla1[[#This Row],[Aboard]],0)</f>
        <v>1</v>
      </c>
      <c r="X970" s="51" t="str" cm="1">
        <f t="array" ref="X970">_xlfn.IFS(Tabla1[[#This Row],[Porcentaje de muertes]]&lt;0.35,"LEVE",AND(Tabla1[[#This Row],[Porcentaje de muertes]]&gt;0.35,Tabla1[[#This Row],[Porcentaje de muertes]]&lt;0.65),"MEDIO",Tabla1[[#This Row],[Porcentaje de muertes]]&gt;0.65,"GRAVE")</f>
        <v>GRAVE</v>
      </c>
    </row>
    <row r="971" spans="2:24" x14ac:dyDescent="0.3">
      <c r="B971" s="9">
        <v>969</v>
      </c>
      <c r="C971" s="49">
        <v>17361</v>
      </c>
      <c r="D971" s="9">
        <f>YEAR(Tabla1[[#This Row],[Date]])</f>
        <v>1947</v>
      </c>
      <c r="E971" s="9" t="str" cm="1">
        <f t="array" ref="E971">IFERROR(_xlfn.IFS(AND(D971&lt;1980,D971&gt;=1970),"70",AND(D971&lt;1990,D971&gt;=1980),"80",AND(D971&lt;2000,D971&gt;=1990),"90",AND(D971&lt;2010,D971&gt;=2000),"00",AND(D971&lt;=2019,D971&gt;=2010),"10"),"1908-1970")</f>
        <v>1908-1970</v>
      </c>
      <c r="F971" s="3">
        <v>0.1875</v>
      </c>
      <c r="G971" t="s">
        <v>9152</v>
      </c>
      <c r="H971" t="s">
        <v>9153</v>
      </c>
      <c r="I971" t="s">
        <v>28931</v>
      </c>
      <c r="J971" t="s">
        <v>9154</v>
      </c>
      <c r="K971" t="s">
        <v>7057</v>
      </c>
      <c r="L971" s="7" t="s">
        <v>9155</v>
      </c>
      <c r="M971">
        <v>9887</v>
      </c>
      <c r="N971">
        <v>36</v>
      </c>
      <c r="O971">
        <v>33</v>
      </c>
      <c r="P971">
        <v>3</v>
      </c>
      <c r="Q971">
        <v>14</v>
      </c>
      <c r="R971">
        <v>12</v>
      </c>
      <c r="S971">
        <v>2</v>
      </c>
      <c r="T971">
        <v>0</v>
      </c>
      <c r="U971" t="s">
        <v>9156</v>
      </c>
      <c r="V971">
        <f>Tabla1[[#This Row],[Aboard]]-Tabla1[[#This Row],[Fatalities]]</f>
        <v>22</v>
      </c>
      <c r="W971" s="50">
        <f>IFERROR(Tabla1[[#This Row],[Fatalities]]/Tabla1[[#This Row],[Aboard]],0)</f>
        <v>0.3888888888888889</v>
      </c>
      <c r="X971" s="51" t="str" cm="1">
        <f t="array" ref="X971">_xlfn.IFS(Tabla1[[#This Row],[Porcentaje de muertes]]&lt;0.35,"LEVE",AND(Tabla1[[#This Row],[Porcentaje de muertes]]&gt;0.35,Tabla1[[#This Row],[Porcentaje de muertes]]&lt;0.65),"MEDIO",Tabla1[[#This Row],[Porcentaje de muertes]]&gt;0.65,"GRAVE")</f>
        <v>MEDIO</v>
      </c>
    </row>
    <row r="972" spans="2:24" x14ac:dyDescent="0.3">
      <c r="B972" s="9">
        <v>970</v>
      </c>
      <c r="C972" s="49">
        <v>17363</v>
      </c>
      <c r="D972" s="9">
        <f>YEAR(Tabla1[[#This Row],[Date]])</f>
        <v>1947</v>
      </c>
      <c r="E972" s="9" t="str" cm="1">
        <f t="array" ref="E972">IFERROR(_xlfn.IFS(AND(D972&lt;1980,D972&gt;=1970),"70",AND(D972&lt;1990,D972&gt;=1980),"80",AND(D972&lt;2000,D972&gt;=1990),"90",AND(D972&lt;2010,D972&gt;=2000),"00",AND(D972&lt;=2019,D972&gt;=2010),"10"),"1908-1970")</f>
        <v>1908-1970</v>
      </c>
      <c r="F972" s="3" t="s">
        <v>28931</v>
      </c>
      <c r="G972" t="s">
        <v>9157</v>
      </c>
      <c r="H972" t="s">
        <v>9158</v>
      </c>
      <c r="I972" t="s">
        <v>28931</v>
      </c>
      <c r="J972" t="s">
        <v>9159</v>
      </c>
      <c r="K972" t="s">
        <v>7574</v>
      </c>
      <c r="L972" s="7" t="s">
        <v>9160</v>
      </c>
      <c r="M972" t="s">
        <v>9161</v>
      </c>
      <c r="N972">
        <v>19</v>
      </c>
      <c r="O972" t="s">
        <v>5038</v>
      </c>
      <c r="P972" t="s">
        <v>5038</v>
      </c>
      <c r="Q972">
        <v>1</v>
      </c>
      <c r="R972" t="s">
        <v>5038</v>
      </c>
      <c r="S972" t="s">
        <v>5038</v>
      </c>
      <c r="T972">
        <v>0</v>
      </c>
      <c r="U972" t="s">
        <v>9162</v>
      </c>
      <c r="V972">
        <f>Tabla1[[#This Row],[Aboard]]-Tabla1[[#This Row],[Fatalities]]</f>
        <v>18</v>
      </c>
      <c r="W972" s="50">
        <f>IFERROR(Tabla1[[#This Row],[Fatalities]]/Tabla1[[#This Row],[Aboard]],0)</f>
        <v>5.2631578947368418E-2</v>
      </c>
      <c r="X972" s="51" t="str" cm="1">
        <f t="array" ref="X972">_xlfn.IFS(Tabla1[[#This Row],[Porcentaje de muertes]]&lt;0.35,"LEVE",AND(Tabla1[[#This Row],[Porcentaje de muertes]]&gt;0.35,Tabla1[[#This Row],[Porcentaje de muertes]]&lt;0.65),"MEDIO",Tabla1[[#This Row],[Porcentaje de muertes]]&gt;0.65,"GRAVE")</f>
        <v>LEVE</v>
      </c>
    </row>
    <row r="973" spans="2:24" x14ac:dyDescent="0.3">
      <c r="B973" s="9">
        <v>971</v>
      </c>
      <c r="C973" s="49">
        <v>17364</v>
      </c>
      <c r="D973" s="9">
        <f>YEAR(Tabla1[[#This Row],[Date]])</f>
        <v>1947</v>
      </c>
      <c r="E973" s="9" t="str" cm="1">
        <f t="array" ref="E973">IFERROR(_xlfn.IFS(AND(D973&lt;1980,D973&gt;=1970),"70",AND(D973&lt;1990,D973&gt;=1980),"80",AND(D973&lt;2000,D973&gt;=1990),"90",AND(D973&lt;2010,D973&gt;=2000),"00",AND(D973&lt;=2019,D973&gt;=2010),"10"),"1908-1970")</f>
        <v>1908-1970</v>
      </c>
      <c r="F973" s="3">
        <v>0.94444444444444453</v>
      </c>
      <c r="G973" t="s">
        <v>9163</v>
      </c>
      <c r="H973" t="s">
        <v>7521</v>
      </c>
      <c r="I973" t="s">
        <v>28931</v>
      </c>
      <c r="J973" t="s">
        <v>9164</v>
      </c>
      <c r="K973" t="s">
        <v>9165</v>
      </c>
      <c r="L973" s="7" t="s">
        <v>9166</v>
      </c>
      <c r="M973">
        <v>1219</v>
      </c>
      <c r="N973">
        <v>6</v>
      </c>
      <c r="O973">
        <v>0</v>
      </c>
      <c r="P973">
        <v>6</v>
      </c>
      <c r="Q973">
        <v>6</v>
      </c>
      <c r="R973">
        <v>0</v>
      </c>
      <c r="S973">
        <v>6</v>
      </c>
      <c r="T973">
        <v>0</v>
      </c>
      <c r="U973" t="s">
        <v>9167</v>
      </c>
      <c r="V973">
        <f>Tabla1[[#This Row],[Aboard]]-Tabla1[[#This Row],[Fatalities]]</f>
        <v>0</v>
      </c>
      <c r="W973" s="50">
        <f>IFERROR(Tabla1[[#This Row],[Fatalities]]/Tabla1[[#This Row],[Aboard]],0)</f>
        <v>1</v>
      </c>
      <c r="X973" s="51" t="str" cm="1">
        <f t="array" ref="X973">_xlfn.IFS(Tabla1[[#This Row],[Porcentaje de muertes]]&lt;0.35,"LEVE",AND(Tabla1[[#This Row],[Porcentaje de muertes]]&gt;0.35,Tabla1[[#This Row],[Porcentaje de muertes]]&lt;0.65),"MEDIO",Tabla1[[#This Row],[Porcentaje de muertes]]&gt;0.65,"GRAVE")</f>
        <v>GRAVE</v>
      </c>
    </row>
    <row r="974" spans="2:24" x14ac:dyDescent="0.3">
      <c r="B974" s="9">
        <v>972</v>
      </c>
      <c r="C974" s="49">
        <v>17373</v>
      </c>
      <c r="D974" s="9">
        <f>YEAR(Tabla1[[#This Row],[Date]])</f>
        <v>1947</v>
      </c>
      <c r="E974" s="9" t="str" cm="1">
        <f t="array" ref="E974">IFERROR(_xlfn.IFS(AND(D974&lt;1980,D974&gt;=1970),"70",AND(D974&lt;1990,D974&gt;=1980),"80",AND(D974&lt;2000,D974&gt;=1990),"90",AND(D974&lt;2010,D974&gt;=2000),"00",AND(D974&lt;=2019,D974&gt;=2010),"10"),"1908-1970")</f>
        <v>1908-1970</v>
      </c>
      <c r="F974" s="3" t="s">
        <v>28931</v>
      </c>
      <c r="G974" t="s">
        <v>9168</v>
      </c>
      <c r="H974" t="s">
        <v>9129</v>
      </c>
      <c r="I974" t="s">
        <v>28931</v>
      </c>
      <c r="J974" t="s">
        <v>5028</v>
      </c>
      <c r="K974" t="s">
        <v>8765</v>
      </c>
      <c r="L974" s="7" t="s">
        <v>9169</v>
      </c>
      <c r="M974">
        <v>1366</v>
      </c>
      <c r="N974">
        <v>6</v>
      </c>
      <c r="O974">
        <v>0</v>
      </c>
      <c r="P974">
        <v>6</v>
      </c>
      <c r="Q974">
        <v>2</v>
      </c>
      <c r="R974">
        <v>0</v>
      </c>
      <c r="S974">
        <v>2</v>
      </c>
      <c r="T974">
        <v>2</v>
      </c>
      <c r="U974" t="s">
        <v>9170</v>
      </c>
      <c r="V974">
        <f>Tabla1[[#This Row],[Aboard]]-Tabla1[[#This Row],[Fatalities]]</f>
        <v>4</v>
      </c>
      <c r="W974" s="50">
        <f>IFERROR(Tabla1[[#This Row],[Fatalities]]/Tabla1[[#This Row],[Aboard]],0)</f>
        <v>0.33333333333333331</v>
      </c>
      <c r="X974" s="51" t="str" cm="1">
        <f t="array" ref="X974">_xlfn.IFS(Tabla1[[#This Row],[Porcentaje de muertes]]&lt;0.35,"LEVE",AND(Tabla1[[#This Row],[Porcentaje de muertes]]&gt;0.35,Tabla1[[#This Row],[Porcentaje de muertes]]&lt;0.65),"MEDIO",Tabla1[[#This Row],[Porcentaje de muertes]]&gt;0.65,"GRAVE")</f>
        <v>LEVE</v>
      </c>
    </row>
    <row r="975" spans="2:24" x14ac:dyDescent="0.3">
      <c r="B975" s="9">
        <v>973</v>
      </c>
      <c r="C975" s="49">
        <v>17379</v>
      </c>
      <c r="D975" s="9">
        <f>YEAR(Tabla1[[#This Row],[Date]])</f>
        <v>1947</v>
      </c>
      <c r="E975" s="9" t="str" cm="1">
        <f t="array" ref="E975">IFERROR(_xlfn.IFS(AND(D975&lt;1980,D975&gt;=1970),"70",AND(D975&lt;1990,D975&gt;=1980),"80",AND(D975&lt;2000,D975&gt;=1990),"90",AND(D975&lt;2010,D975&gt;=2000),"00",AND(D975&lt;=2019,D975&gt;=2010),"10"),"1908-1970")</f>
        <v>1908-1970</v>
      </c>
      <c r="F975" s="3" t="s">
        <v>28931</v>
      </c>
      <c r="G975" t="s">
        <v>9171</v>
      </c>
      <c r="H975" t="s">
        <v>8566</v>
      </c>
      <c r="I975" t="s">
        <v>28931</v>
      </c>
      <c r="J975" t="s">
        <v>9172</v>
      </c>
      <c r="K975" t="s">
        <v>7826</v>
      </c>
      <c r="L975" s="7" t="s">
        <v>28931</v>
      </c>
      <c r="M975" t="s">
        <v>28931</v>
      </c>
      <c r="N975">
        <v>26</v>
      </c>
      <c r="O975">
        <v>22</v>
      </c>
      <c r="P975">
        <v>4</v>
      </c>
      <c r="Q975">
        <v>26</v>
      </c>
      <c r="R975">
        <v>22</v>
      </c>
      <c r="S975">
        <v>4</v>
      </c>
      <c r="T975">
        <v>0</v>
      </c>
      <c r="U975" t="s">
        <v>9173</v>
      </c>
      <c r="V975">
        <f>Tabla1[[#This Row],[Aboard]]-Tabla1[[#This Row],[Fatalities]]</f>
        <v>0</v>
      </c>
      <c r="W975" s="50">
        <f>IFERROR(Tabla1[[#This Row],[Fatalities]]/Tabla1[[#This Row],[Aboard]],0)</f>
        <v>1</v>
      </c>
      <c r="X975" s="51" t="str" cm="1">
        <f t="array" ref="X975">_xlfn.IFS(Tabla1[[#This Row],[Porcentaje de muertes]]&lt;0.35,"LEVE",AND(Tabla1[[#This Row],[Porcentaje de muertes]]&gt;0.35,Tabla1[[#This Row],[Porcentaje de muertes]]&lt;0.65),"MEDIO",Tabla1[[#This Row],[Porcentaje de muertes]]&gt;0.65,"GRAVE")</f>
        <v>GRAVE</v>
      </c>
    </row>
    <row r="976" spans="2:24" x14ac:dyDescent="0.3">
      <c r="B976" s="9">
        <v>974</v>
      </c>
      <c r="C976" s="49">
        <v>17206</v>
      </c>
      <c r="D976" s="9">
        <f>YEAR(Tabla1[[#This Row],[Date]])</f>
        <v>1947</v>
      </c>
      <c r="E976" s="9" t="str" cm="1">
        <f t="array" ref="E976">IFERROR(_xlfn.IFS(AND(D976&lt;1980,D976&gt;=1970),"70",AND(D976&lt;1990,D976&gt;=1980),"80",AND(D976&lt;2000,D976&gt;=1990),"90",AND(D976&lt;2010,D976&gt;=2000),"00",AND(D976&lt;=2019,D976&gt;=2010),"10"),"1908-1970")</f>
        <v>1908-1970</v>
      </c>
      <c r="F976" s="3">
        <v>0.73611111111111116</v>
      </c>
      <c r="G976" t="s">
        <v>9174</v>
      </c>
      <c r="H976" t="s">
        <v>8763</v>
      </c>
      <c r="I976" t="s">
        <v>28931</v>
      </c>
      <c r="J976" t="s">
        <v>6454</v>
      </c>
      <c r="K976" t="s">
        <v>9175</v>
      </c>
      <c r="L976" s="7" t="s">
        <v>9176</v>
      </c>
      <c r="M976">
        <v>1280</v>
      </c>
      <c r="N976">
        <v>11</v>
      </c>
      <c r="O976">
        <v>6</v>
      </c>
      <c r="P976">
        <v>5</v>
      </c>
      <c r="Q976">
        <v>11</v>
      </c>
      <c r="R976">
        <v>6</v>
      </c>
      <c r="S976">
        <v>5</v>
      </c>
      <c r="T976">
        <v>0</v>
      </c>
      <c r="U976" t="s">
        <v>9177</v>
      </c>
      <c r="V976">
        <f>Tabla1[[#This Row],[Aboard]]-Tabla1[[#This Row],[Fatalities]]</f>
        <v>0</v>
      </c>
      <c r="W976" s="50">
        <f>IFERROR(Tabla1[[#This Row],[Fatalities]]/Tabla1[[#This Row],[Aboard]],0)</f>
        <v>1</v>
      </c>
      <c r="X976" s="51" t="str" cm="1">
        <f t="array" ref="X976">_xlfn.IFS(Tabla1[[#This Row],[Porcentaje de muertes]]&lt;0.35,"LEVE",AND(Tabla1[[#This Row],[Porcentaje de muertes]]&gt;0.35,Tabla1[[#This Row],[Porcentaje de muertes]]&lt;0.65),"MEDIO",Tabla1[[#This Row],[Porcentaje de muertes]]&gt;0.65,"GRAVE")</f>
        <v>GRAVE</v>
      </c>
    </row>
    <row r="977" spans="2:24" x14ac:dyDescent="0.3">
      <c r="B977" s="9">
        <v>975</v>
      </c>
      <c r="C977" s="49">
        <v>17326</v>
      </c>
      <c r="D977" s="9">
        <f>YEAR(Tabla1[[#This Row],[Date]])</f>
        <v>1947</v>
      </c>
      <c r="E977" s="9" t="str" cm="1">
        <f t="array" ref="E977">IFERROR(_xlfn.IFS(AND(D977&lt;1980,D977&gt;=1970),"70",AND(D977&lt;1990,D977&gt;=1980),"80",AND(D977&lt;2000,D977&gt;=1990),"90",AND(D977&lt;2010,D977&gt;=2000),"00",AND(D977&lt;=2019,D977&gt;=2010),"10"),"1908-1970")</f>
        <v>1908-1970</v>
      </c>
      <c r="F977" s="3" t="s">
        <v>28931</v>
      </c>
      <c r="G977" t="s">
        <v>8871</v>
      </c>
      <c r="H977" t="s">
        <v>5027</v>
      </c>
      <c r="I977" t="s">
        <v>28931</v>
      </c>
      <c r="J977" t="s">
        <v>9178</v>
      </c>
      <c r="K977" t="s">
        <v>9179</v>
      </c>
      <c r="L977" s="7">
        <v>34032</v>
      </c>
      <c r="M977" t="s">
        <v>28931</v>
      </c>
      <c r="N977">
        <v>20</v>
      </c>
      <c r="O977">
        <v>15</v>
      </c>
      <c r="P977">
        <v>5</v>
      </c>
      <c r="Q977">
        <v>20</v>
      </c>
      <c r="R977">
        <v>15</v>
      </c>
      <c r="S977">
        <v>5</v>
      </c>
      <c r="T977">
        <v>0</v>
      </c>
      <c r="U977" t="s">
        <v>9180</v>
      </c>
      <c r="V977">
        <f>Tabla1[[#This Row],[Aboard]]-Tabla1[[#This Row],[Fatalities]]</f>
        <v>0</v>
      </c>
      <c r="W977" s="50">
        <f>IFERROR(Tabla1[[#This Row],[Fatalities]]/Tabla1[[#This Row],[Aboard]],0)</f>
        <v>1</v>
      </c>
      <c r="X977" s="51" t="str" cm="1">
        <f t="array" ref="X977">_xlfn.IFS(Tabla1[[#This Row],[Porcentaje de muertes]]&lt;0.35,"LEVE",AND(Tabla1[[#This Row],[Porcentaje de muertes]]&gt;0.35,Tabla1[[#This Row],[Porcentaje de muertes]]&lt;0.65),"MEDIO",Tabla1[[#This Row],[Porcentaje de muertes]]&gt;0.65,"GRAVE")</f>
        <v>GRAVE</v>
      </c>
    </row>
    <row r="978" spans="2:24" x14ac:dyDescent="0.3">
      <c r="B978" s="9">
        <v>976</v>
      </c>
      <c r="C978" s="49">
        <v>17387</v>
      </c>
      <c r="D978" s="9">
        <f>YEAR(Tabla1[[#This Row],[Date]])</f>
        <v>1947</v>
      </c>
      <c r="E978" s="9" t="str" cm="1">
        <f t="array" ref="E978">IFERROR(_xlfn.IFS(AND(D978&lt;1980,D978&gt;=1970),"70",AND(D978&lt;1990,D978&gt;=1980),"80",AND(D978&lt;2000,D978&gt;=1990),"90",AND(D978&lt;2010,D978&gt;=2000),"00",AND(D978&lt;=2019,D978&gt;=2010),"10"),"1908-1970")</f>
        <v>1908-1970</v>
      </c>
      <c r="F978" s="3">
        <v>0.78402777777777777</v>
      </c>
      <c r="G978" t="s">
        <v>5425</v>
      </c>
      <c r="H978" t="s">
        <v>6536</v>
      </c>
      <c r="I978" t="s">
        <v>28931</v>
      </c>
      <c r="J978" t="s">
        <v>9181</v>
      </c>
      <c r="K978" t="s">
        <v>9005</v>
      </c>
      <c r="L978" s="7" t="s">
        <v>9182</v>
      </c>
      <c r="M978">
        <v>19639</v>
      </c>
      <c r="N978">
        <v>5</v>
      </c>
      <c r="O978">
        <v>3</v>
      </c>
      <c r="P978">
        <v>2</v>
      </c>
      <c r="Q978">
        <v>3</v>
      </c>
      <c r="R978">
        <v>1</v>
      </c>
      <c r="S978">
        <v>2</v>
      </c>
      <c r="T978">
        <v>0</v>
      </c>
      <c r="U978" t="s">
        <v>9183</v>
      </c>
      <c r="V978">
        <f>Tabla1[[#This Row],[Aboard]]-Tabla1[[#This Row],[Fatalities]]</f>
        <v>2</v>
      </c>
      <c r="W978" s="50">
        <f>IFERROR(Tabla1[[#This Row],[Fatalities]]/Tabla1[[#This Row],[Aboard]],0)</f>
        <v>0.6</v>
      </c>
      <c r="X978" s="51" t="str" cm="1">
        <f t="array" ref="X978">_xlfn.IFS(Tabla1[[#This Row],[Porcentaje de muertes]]&lt;0.35,"LEVE",AND(Tabla1[[#This Row],[Porcentaje de muertes]]&gt;0.35,Tabla1[[#This Row],[Porcentaje de muertes]]&lt;0.65),"MEDIO",Tabla1[[#This Row],[Porcentaje de muertes]]&gt;0.65,"GRAVE")</f>
        <v>MEDIO</v>
      </c>
    </row>
    <row r="979" spans="2:24" x14ac:dyDescent="0.3">
      <c r="B979" s="9">
        <v>977</v>
      </c>
      <c r="C979" s="49">
        <v>17418</v>
      </c>
      <c r="D979" s="9">
        <f>YEAR(Tabla1[[#This Row],[Date]])</f>
        <v>1947</v>
      </c>
      <c r="E979" s="9" t="str" cm="1">
        <f t="array" ref="E979">IFERROR(_xlfn.IFS(AND(D979&lt;1980,D979&gt;=1970),"70",AND(D979&lt;1990,D979&gt;=1980),"80",AND(D979&lt;2000,D979&gt;=1990),"90",AND(D979&lt;2010,D979&gt;=2000),"00",AND(D979&lt;=2019,D979&gt;=2010),"10"),"1908-1970")</f>
        <v>1908-1970</v>
      </c>
      <c r="F979" s="3" t="s">
        <v>28931</v>
      </c>
      <c r="G979" t="s">
        <v>6816</v>
      </c>
      <c r="H979" t="s">
        <v>7999</v>
      </c>
      <c r="I979" t="s">
        <v>28931</v>
      </c>
      <c r="J979" t="s">
        <v>9184</v>
      </c>
      <c r="K979" t="s">
        <v>9185</v>
      </c>
      <c r="L979" s="7" t="s">
        <v>9186</v>
      </c>
      <c r="M979">
        <v>19559</v>
      </c>
      <c r="N979">
        <v>5</v>
      </c>
      <c r="O979">
        <v>0</v>
      </c>
      <c r="P979">
        <v>5</v>
      </c>
      <c r="Q979">
        <v>1</v>
      </c>
      <c r="R979">
        <v>0</v>
      </c>
      <c r="S979">
        <v>1</v>
      </c>
      <c r="T979">
        <v>0</v>
      </c>
      <c r="U979" t="s">
        <v>9187</v>
      </c>
      <c r="V979">
        <f>Tabla1[[#This Row],[Aboard]]-Tabla1[[#This Row],[Fatalities]]</f>
        <v>4</v>
      </c>
      <c r="W979" s="50">
        <f>IFERROR(Tabla1[[#This Row],[Fatalities]]/Tabla1[[#This Row],[Aboard]],0)</f>
        <v>0.2</v>
      </c>
      <c r="X979" s="51" t="str" cm="1">
        <f t="array" ref="X979">_xlfn.IFS(Tabla1[[#This Row],[Porcentaje de muertes]]&lt;0.35,"LEVE",AND(Tabla1[[#This Row],[Porcentaje de muertes]]&gt;0.35,Tabla1[[#This Row],[Porcentaje de muertes]]&lt;0.65),"MEDIO",Tabla1[[#This Row],[Porcentaje de muertes]]&gt;0.65,"GRAVE")</f>
        <v>LEVE</v>
      </c>
    </row>
    <row r="980" spans="2:24" x14ac:dyDescent="0.3">
      <c r="B980" s="9">
        <v>978</v>
      </c>
      <c r="C980" s="49">
        <v>17392</v>
      </c>
      <c r="D980" s="9">
        <f>YEAR(Tabla1[[#This Row],[Date]])</f>
        <v>1947</v>
      </c>
      <c r="E980" s="9" t="str" cm="1">
        <f t="array" ref="E980">IFERROR(_xlfn.IFS(AND(D980&lt;1980,D980&gt;=1970),"70",AND(D980&lt;1990,D980&gt;=1980),"80",AND(D980&lt;2000,D980&gt;=1990),"90",AND(D980&lt;2010,D980&gt;=2000),"00",AND(D980&lt;=2019,D980&gt;=2010),"10"),"1908-1970")</f>
        <v>1908-1970</v>
      </c>
      <c r="F980" s="3" t="s">
        <v>28931</v>
      </c>
      <c r="G980" t="s">
        <v>5303</v>
      </c>
      <c r="H980" t="s">
        <v>9188</v>
      </c>
      <c r="I980" t="s">
        <v>28931</v>
      </c>
      <c r="J980" t="s">
        <v>9189</v>
      </c>
      <c r="K980" t="s">
        <v>8569</v>
      </c>
      <c r="L980" s="7" t="s">
        <v>9190</v>
      </c>
      <c r="M980">
        <v>18423801</v>
      </c>
      <c r="N980">
        <v>8</v>
      </c>
      <c r="O980">
        <v>5</v>
      </c>
      <c r="P980">
        <v>3</v>
      </c>
      <c r="Q980">
        <v>3</v>
      </c>
      <c r="R980">
        <v>3</v>
      </c>
      <c r="S980">
        <v>0</v>
      </c>
      <c r="T980">
        <v>0</v>
      </c>
      <c r="U980" t="s">
        <v>28927</v>
      </c>
      <c r="V980">
        <f>Tabla1[[#This Row],[Aboard]]-Tabla1[[#This Row],[Fatalities]]</f>
        <v>5</v>
      </c>
      <c r="W980" s="50">
        <f>IFERROR(Tabla1[[#This Row],[Fatalities]]/Tabla1[[#This Row],[Aboard]],0)</f>
        <v>0.375</v>
      </c>
      <c r="X980" s="51" t="str" cm="1">
        <f t="array" ref="X980">_xlfn.IFS(Tabla1[[#This Row],[Porcentaje de muertes]]&lt;0.35,"LEVE",AND(Tabla1[[#This Row],[Porcentaje de muertes]]&gt;0.35,Tabla1[[#This Row],[Porcentaje de muertes]]&lt;0.65),"MEDIO",Tabla1[[#This Row],[Porcentaje de muertes]]&gt;0.65,"GRAVE")</f>
        <v>MEDIO</v>
      </c>
    </row>
    <row r="981" spans="2:24" x14ac:dyDescent="0.3">
      <c r="B981" s="9">
        <v>979</v>
      </c>
      <c r="C981" s="49">
        <v>17400</v>
      </c>
      <c r="D981" s="9">
        <f>YEAR(Tabla1[[#This Row],[Date]])</f>
        <v>1947</v>
      </c>
      <c r="E981" s="9" t="str" cm="1">
        <f t="array" ref="E981">IFERROR(_xlfn.IFS(AND(D981&lt;1980,D981&gt;=1970),"70",AND(D981&lt;1990,D981&gt;=1980),"80",AND(D981&lt;2000,D981&gt;=1990),"90",AND(D981&lt;2010,D981&gt;=2000),"00",AND(D981&lt;=2019,D981&gt;=2010),"10"),"1908-1970")</f>
        <v>1908-1970</v>
      </c>
      <c r="F981" s="3">
        <v>0.25763888888888892</v>
      </c>
      <c r="G981" t="s">
        <v>9191</v>
      </c>
      <c r="H981" t="s">
        <v>9022</v>
      </c>
      <c r="I981" t="s">
        <v>28931</v>
      </c>
      <c r="J981" t="s">
        <v>28931</v>
      </c>
      <c r="K981" t="s">
        <v>9024</v>
      </c>
      <c r="L981" s="7" t="s">
        <v>9192</v>
      </c>
      <c r="M981">
        <v>2935</v>
      </c>
      <c r="N981">
        <v>3</v>
      </c>
      <c r="O981">
        <v>1</v>
      </c>
      <c r="P981">
        <v>2</v>
      </c>
      <c r="Q981">
        <v>3</v>
      </c>
      <c r="R981">
        <v>1</v>
      </c>
      <c r="S981">
        <v>2</v>
      </c>
      <c r="T981">
        <v>0</v>
      </c>
      <c r="U981" t="s">
        <v>9193</v>
      </c>
      <c r="V981">
        <f>Tabla1[[#This Row],[Aboard]]-Tabla1[[#This Row],[Fatalities]]</f>
        <v>0</v>
      </c>
      <c r="W981" s="50">
        <f>IFERROR(Tabla1[[#This Row],[Fatalities]]/Tabla1[[#This Row],[Aboard]],0)</f>
        <v>1</v>
      </c>
      <c r="X981" s="51" t="str" cm="1">
        <f t="array" ref="X981">_xlfn.IFS(Tabla1[[#This Row],[Porcentaje de muertes]]&lt;0.35,"LEVE",AND(Tabla1[[#This Row],[Porcentaje de muertes]]&gt;0.35,Tabla1[[#This Row],[Porcentaje de muertes]]&lt;0.65),"MEDIO",Tabla1[[#This Row],[Porcentaje de muertes]]&gt;0.65,"GRAVE")</f>
        <v>GRAVE</v>
      </c>
    </row>
    <row r="982" spans="2:24" x14ac:dyDescent="0.3">
      <c r="B982" s="9">
        <v>980</v>
      </c>
      <c r="C982" s="49">
        <v>17402</v>
      </c>
      <c r="D982" s="9">
        <f>YEAR(Tabla1[[#This Row],[Date]])</f>
        <v>1947</v>
      </c>
      <c r="E982" s="9" t="str" cm="1">
        <f t="array" ref="E982">IFERROR(_xlfn.IFS(AND(D982&lt;1980,D982&gt;=1970),"70",AND(D982&lt;1990,D982&gt;=1980),"80",AND(D982&lt;2000,D982&gt;=1990),"90",AND(D982&lt;2010,D982&gt;=2000),"00",AND(D982&lt;=2019,D982&gt;=2010),"10"),"1908-1970")</f>
        <v>1908-1970</v>
      </c>
      <c r="F982" s="3">
        <v>0.16666666666666666</v>
      </c>
      <c r="G982" t="s">
        <v>9194</v>
      </c>
      <c r="H982" t="s">
        <v>7521</v>
      </c>
      <c r="I982" t="s">
        <v>28931</v>
      </c>
      <c r="J982" t="s">
        <v>9195</v>
      </c>
      <c r="K982" t="s">
        <v>9196</v>
      </c>
      <c r="L982" s="7" t="s">
        <v>9197</v>
      </c>
      <c r="M982" t="s">
        <v>9198</v>
      </c>
      <c r="N982">
        <v>26</v>
      </c>
      <c r="O982">
        <v>18</v>
      </c>
      <c r="P982">
        <v>8</v>
      </c>
      <c r="Q982">
        <v>10</v>
      </c>
      <c r="R982">
        <v>7</v>
      </c>
      <c r="S982">
        <v>3</v>
      </c>
      <c r="T982">
        <v>0</v>
      </c>
      <c r="U982" t="s">
        <v>9199</v>
      </c>
      <c r="V982">
        <f>Tabla1[[#This Row],[Aboard]]-Tabla1[[#This Row],[Fatalities]]</f>
        <v>16</v>
      </c>
      <c r="W982" s="50">
        <f>IFERROR(Tabla1[[#This Row],[Fatalities]]/Tabla1[[#This Row],[Aboard]],0)</f>
        <v>0.38461538461538464</v>
      </c>
      <c r="X982" s="51" t="str" cm="1">
        <f t="array" ref="X982">_xlfn.IFS(Tabla1[[#This Row],[Porcentaje de muertes]]&lt;0.35,"LEVE",AND(Tabla1[[#This Row],[Porcentaje de muertes]]&gt;0.35,Tabla1[[#This Row],[Porcentaje de muertes]]&lt;0.65),"MEDIO",Tabla1[[#This Row],[Porcentaje de muertes]]&gt;0.65,"GRAVE")</f>
        <v>MEDIO</v>
      </c>
    </row>
    <row r="983" spans="2:24" x14ac:dyDescent="0.3">
      <c r="B983" s="9">
        <v>981</v>
      </c>
      <c r="C983" s="49">
        <v>17407</v>
      </c>
      <c r="D983" s="9">
        <f>YEAR(Tabla1[[#This Row],[Date]])</f>
        <v>1947</v>
      </c>
      <c r="E983" s="9" t="str" cm="1">
        <f t="array" ref="E983">IFERROR(_xlfn.IFS(AND(D983&lt;1980,D983&gt;=1970),"70",AND(D983&lt;1990,D983&gt;=1980),"80",AND(D983&lt;2000,D983&gt;=1990),"90",AND(D983&lt;2010,D983&gt;=2000),"00",AND(D983&lt;=2019,D983&gt;=2010),"10"),"1908-1970")</f>
        <v>1908-1970</v>
      </c>
      <c r="F983" s="3">
        <v>0.375</v>
      </c>
      <c r="G983" t="s">
        <v>9200</v>
      </c>
      <c r="H983" t="s">
        <v>9201</v>
      </c>
      <c r="I983" t="s">
        <v>28931</v>
      </c>
      <c r="J983" t="s">
        <v>9202</v>
      </c>
      <c r="K983" t="s">
        <v>9203</v>
      </c>
      <c r="L983" s="7" t="s">
        <v>9204</v>
      </c>
      <c r="M983" t="s">
        <v>9205</v>
      </c>
      <c r="N983">
        <v>35</v>
      </c>
      <c r="O983">
        <v>27</v>
      </c>
      <c r="P983">
        <v>8</v>
      </c>
      <c r="Q983">
        <v>35</v>
      </c>
      <c r="R983">
        <v>27</v>
      </c>
      <c r="S983">
        <v>8</v>
      </c>
      <c r="T983">
        <v>0</v>
      </c>
      <c r="U983" t="s">
        <v>9206</v>
      </c>
      <c r="V983">
        <f>Tabla1[[#This Row],[Aboard]]-Tabla1[[#This Row],[Fatalities]]</f>
        <v>0</v>
      </c>
      <c r="W983" s="50">
        <f>IFERROR(Tabla1[[#This Row],[Fatalities]]/Tabla1[[#This Row],[Aboard]],0)</f>
        <v>1</v>
      </c>
      <c r="X983" s="51" t="str" cm="1">
        <f t="array" ref="X983">_xlfn.IFS(Tabla1[[#This Row],[Porcentaje de muertes]]&lt;0.35,"LEVE",AND(Tabla1[[#This Row],[Porcentaje de muertes]]&gt;0.35,Tabla1[[#This Row],[Porcentaje de muertes]]&lt;0.65),"MEDIO",Tabla1[[#This Row],[Porcentaje de muertes]]&gt;0.65,"GRAVE")</f>
        <v>GRAVE</v>
      </c>
    </row>
    <row r="984" spans="2:24" x14ac:dyDescent="0.3">
      <c r="B984" s="9">
        <v>982</v>
      </c>
      <c r="C984" s="49">
        <v>17389</v>
      </c>
      <c r="D984" s="9">
        <f>YEAR(Tabla1[[#This Row],[Date]])</f>
        <v>1947</v>
      </c>
      <c r="E984" s="9" t="str" cm="1">
        <f t="array" ref="E984">IFERROR(_xlfn.IFS(AND(D984&lt;1980,D984&gt;=1970),"70",AND(D984&lt;1990,D984&gt;=1980),"80",AND(D984&lt;2000,D984&gt;=1990),"90",AND(D984&lt;2010,D984&gt;=2000),"00",AND(D984&lt;=2019,D984&gt;=2010),"10"),"1908-1970")</f>
        <v>1908-1970</v>
      </c>
      <c r="F984" s="3">
        <v>0.3298611111111111</v>
      </c>
      <c r="G984" t="s">
        <v>9207</v>
      </c>
      <c r="H984" t="s">
        <v>6536</v>
      </c>
      <c r="I984">
        <v>311</v>
      </c>
      <c r="J984" t="s">
        <v>9208</v>
      </c>
      <c r="K984" t="s">
        <v>8822</v>
      </c>
      <c r="L984" s="7" t="s">
        <v>9209</v>
      </c>
      <c r="M984" t="s">
        <v>9210</v>
      </c>
      <c r="N984">
        <v>54</v>
      </c>
      <c r="O984">
        <v>49</v>
      </c>
      <c r="P984">
        <v>5</v>
      </c>
      <c r="Q984">
        <v>0</v>
      </c>
      <c r="R984">
        <v>0</v>
      </c>
      <c r="S984">
        <v>0</v>
      </c>
      <c r="T984">
        <v>0</v>
      </c>
      <c r="U984" t="s">
        <v>9211</v>
      </c>
      <c r="V984">
        <f>Tabla1[[#This Row],[Aboard]]-Tabla1[[#This Row],[Fatalities]]</f>
        <v>54</v>
      </c>
      <c r="W984" s="50">
        <f>IFERROR(Tabla1[[#This Row],[Fatalities]]/Tabla1[[#This Row],[Aboard]],0)</f>
        <v>0</v>
      </c>
      <c r="X984" s="51" t="str" cm="1">
        <f t="array" ref="X984">_xlfn.IFS(Tabla1[[#This Row],[Porcentaje de muertes]]&lt;0.35,"LEVE",AND(Tabla1[[#This Row],[Porcentaje de muertes]]&gt;0.35,Tabla1[[#This Row],[Porcentaje de muertes]]&lt;0.65),"MEDIO",Tabla1[[#This Row],[Porcentaje de muertes]]&gt;0.65,"GRAVE")</f>
        <v>LEVE</v>
      </c>
    </row>
    <row r="985" spans="2:24" x14ac:dyDescent="0.3">
      <c r="B985" s="9">
        <v>983</v>
      </c>
      <c r="C985" s="49">
        <v>17454</v>
      </c>
      <c r="D985" s="9">
        <f>YEAR(Tabla1[[#This Row],[Date]])</f>
        <v>1947</v>
      </c>
      <c r="E985" s="9" t="str" cm="1">
        <f t="array" ref="E985">IFERROR(_xlfn.IFS(AND(D985&lt;1980,D985&gt;=1970),"70",AND(D985&lt;1990,D985&gt;=1980),"80",AND(D985&lt;2000,D985&gt;=1990),"90",AND(D985&lt;2010,D985&gt;=2000),"00",AND(D985&lt;=2019,D985&gt;=2010),"10"),"1908-1970")</f>
        <v>1908-1970</v>
      </c>
      <c r="F985" s="3">
        <v>0.41944444444444445</v>
      </c>
      <c r="G985" t="s">
        <v>9212</v>
      </c>
      <c r="H985" t="s">
        <v>9213</v>
      </c>
      <c r="I985" t="s">
        <v>28931</v>
      </c>
      <c r="J985" t="s">
        <v>9214</v>
      </c>
      <c r="K985" t="s">
        <v>9215</v>
      </c>
      <c r="L985" s="7" t="s">
        <v>9216</v>
      </c>
      <c r="M985">
        <v>2086</v>
      </c>
      <c r="N985">
        <v>69</v>
      </c>
      <c r="O985">
        <v>62</v>
      </c>
      <c r="P985">
        <v>7</v>
      </c>
      <c r="Q985">
        <v>0</v>
      </c>
      <c r="R985">
        <v>0</v>
      </c>
      <c r="S985">
        <v>0</v>
      </c>
      <c r="T985">
        <v>0</v>
      </c>
      <c r="U985" t="s">
        <v>9217</v>
      </c>
      <c r="V985">
        <f>Tabla1[[#This Row],[Aboard]]-Tabla1[[#This Row],[Fatalities]]</f>
        <v>69</v>
      </c>
      <c r="W985" s="50">
        <f>IFERROR(Tabla1[[#This Row],[Fatalities]]/Tabla1[[#This Row],[Aboard]],0)</f>
        <v>0</v>
      </c>
      <c r="X985" s="51" t="str" cm="1">
        <f t="array" ref="X985">_xlfn.IFS(Tabla1[[#This Row],[Porcentaje de muertes]]&lt;0.35,"LEVE",AND(Tabla1[[#This Row],[Porcentaje de muertes]]&gt;0.35,Tabla1[[#This Row],[Porcentaje de muertes]]&lt;0.65),"MEDIO",Tabla1[[#This Row],[Porcentaje de muertes]]&gt;0.65,"GRAVE")</f>
        <v>LEVE</v>
      </c>
    </row>
    <row r="986" spans="2:24" x14ac:dyDescent="0.3">
      <c r="B986" s="9">
        <v>984</v>
      </c>
      <c r="C986" s="49">
        <v>17456</v>
      </c>
      <c r="D986" s="9">
        <f>YEAR(Tabla1[[#This Row],[Date]])</f>
        <v>1947</v>
      </c>
      <c r="E986" s="9" t="str" cm="1">
        <f t="array" ref="E986">IFERROR(_xlfn.IFS(AND(D986&lt;1980,D986&gt;=1970),"70",AND(D986&lt;1990,D986&gt;=1980),"80",AND(D986&lt;2000,D986&gt;=1990),"90",AND(D986&lt;2010,D986&gt;=2000),"00",AND(D986&lt;=2019,D986&gt;=2010),"10"),"1908-1970")</f>
        <v>1908-1970</v>
      </c>
      <c r="F986" s="3">
        <v>0.61805555555555558</v>
      </c>
      <c r="G986" t="s">
        <v>9218</v>
      </c>
      <c r="H986" t="s">
        <v>9219</v>
      </c>
      <c r="I986" t="s">
        <v>28931</v>
      </c>
      <c r="J986" t="s">
        <v>9220</v>
      </c>
      <c r="K986" t="s">
        <v>9221</v>
      </c>
      <c r="L986" s="7" t="s">
        <v>9222</v>
      </c>
      <c r="M986">
        <v>12788</v>
      </c>
      <c r="N986">
        <v>43</v>
      </c>
      <c r="O986">
        <v>39</v>
      </c>
      <c r="P986">
        <v>4</v>
      </c>
      <c r="Q986">
        <v>41</v>
      </c>
      <c r="R986">
        <v>38</v>
      </c>
      <c r="S986">
        <v>4</v>
      </c>
      <c r="T986">
        <v>0</v>
      </c>
      <c r="U986" t="s">
        <v>9223</v>
      </c>
      <c r="V986">
        <f>Tabla1[[#This Row],[Aboard]]-Tabla1[[#This Row],[Fatalities]]</f>
        <v>2</v>
      </c>
      <c r="W986" s="50">
        <f>IFERROR(Tabla1[[#This Row],[Fatalities]]/Tabla1[[#This Row],[Aboard]],0)</f>
        <v>0.95348837209302328</v>
      </c>
      <c r="X986" s="51" t="str" cm="1">
        <f t="array" ref="X986">_xlfn.IFS(Tabla1[[#This Row],[Porcentaje de muertes]]&lt;0.35,"LEVE",AND(Tabla1[[#This Row],[Porcentaje de muertes]]&gt;0.35,Tabla1[[#This Row],[Porcentaje de muertes]]&lt;0.65),"MEDIO",Tabla1[[#This Row],[Porcentaje de muertes]]&gt;0.65,"GRAVE")</f>
        <v>GRAVE</v>
      </c>
    </row>
    <row r="987" spans="2:24" x14ac:dyDescent="0.3">
      <c r="B987" s="9">
        <v>985</v>
      </c>
      <c r="C987" s="49">
        <v>17456</v>
      </c>
      <c r="D987" s="9">
        <f>YEAR(Tabla1[[#This Row],[Date]])</f>
        <v>1947</v>
      </c>
      <c r="E987" s="9" t="str" cm="1">
        <f t="array" ref="E987">IFERROR(_xlfn.IFS(AND(D987&lt;1980,D987&gt;=1970),"70",AND(D987&lt;1990,D987&gt;=1980),"80",AND(D987&lt;2000,D987&gt;=1990),"90",AND(D987&lt;2010,D987&gt;=2000),"00",AND(D987&lt;=2019,D987&gt;=2010),"10"),"1908-1970")</f>
        <v>1908-1970</v>
      </c>
      <c r="F987" s="3" t="s">
        <v>28931</v>
      </c>
      <c r="G987" t="s">
        <v>9224</v>
      </c>
      <c r="H987" t="s">
        <v>9225</v>
      </c>
      <c r="I987" t="s">
        <v>28931</v>
      </c>
      <c r="J987" t="s">
        <v>9226</v>
      </c>
      <c r="K987" t="s">
        <v>7057</v>
      </c>
      <c r="L987" s="7" t="s">
        <v>28931</v>
      </c>
      <c r="M987" t="s">
        <v>28931</v>
      </c>
      <c r="N987">
        <v>3</v>
      </c>
      <c r="O987">
        <v>1</v>
      </c>
      <c r="P987">
        <v>2</v>
      </c>
      <c r="Q987">
        <v>3</v>
      </c>
      <c r="R987">
        <v>1</v>
      </c>
      <c r="S987">
        <v>2</v>
      </c>
      <c r="T987">
        <v>0</v>
      </c>
      <c r="U987" t="s">
        <v>9227</v>
      </c>
      <c r="V987">
        <f>Tabla1[[#This Row],[Aboard]]-Tabla1[[#This Row],[Fatalities]]</f>
        <v>0</v>
      </c>
      <c r="W987" s="50">
        <f>IFERROR(Tabla1[[#This Row],[Fatalities]]/Tabla1[[#This Row],[Aboard]],0)</f>
        <v>1</v>
      </c>
      <c r="X987" s="51" t="str" cm="1">
        <f t="array" ref="X987">_xlfn.IFS(Tabla1[[#This Row],[Porcentaje de muertes]]&lt;0.35,"LEVE",AND(Tabla1[[#This Row],[Porcentaje de muertes]]&gt;0.35,Tabla1[[#This Row],[Porcentaje de muertes]]&lt;0.65),"MEDIO",Tabla1[[#This Row],[Porcentaje de muertes]]&gt;0.65,"GRAVE")</f>
        <v>GRAVE</v>
      </c>
    </row>
    <row r="988" spans="2:24" x14ac:dyDescent="0.3">
      <c r="B988" s="9">
        <v>986</v>
      </c>
      <c r="C988" s="49">
        <v>17464</v>
      </c>
      <c r="D988" s="9">
        <f>YEAR(Tabla1[[#This Row],[Date]])</f>
        <v>1947</v>
      </c>
      <c r="E988" s="9" t="str" cm="1">
        <f t="array" ref="E988">IFERROR(_xlfn.IFS(AND(D988&lt;1980,D988&gt;=1970),"70",AND(D988&lt;1990,D988&gt;=1980),"80",AND(D988&lt;2000,D988&gt;=1990),"90",AND(D988&lt;2010,D988&gt;=2000),"00",AND(D988&lt;=2019,D988&gt;=2010),"10"),"1908-1970")</f>
        <v>1908-1970</v>
      </c>
      <c r="F988" s="3">
        <v>0.52013888888888882</v>
      </c>
      <c r="G988" t="s">
        <v>9228</v>
      </c>
      <c r="H988" t="s">
        <v>6369</v>
      </c>
      <c r="I988">
        <v>608</v>
      </c>
      <c r="J988" t="s">
        <v>9229</v>
      </c>
      <c r="K988" t="s">
        <v>9230</v>
      </c>
      <c r="L988" s="7" t="s">
        <v>9231</v>
      </c>
      <c r="M988" t="s">
        <v>9232</v>
      </c>
      <c r="N988">
        <v>53</v>
      </c>
      <c r="O988">
        <v>48</v>
      </c>
      <c r="P988">
        <v>5</v>
      </c>
      <c r="Q988">
        <v>53</v>
      </c>
      <c r="R988">
        <v>48</v>
      </c>
      <c r="S988">
        <v>5</v>
      </c>
      <c r="T988">
        <v>0</v>
      </c>
      <c r="U988" t="s">
        <v>9233</v>
      </c>
      <c r="V988">
        <f>Tabla1[[#This Row],[Aboard]]-Tabla1[[#This Row],[Fatalities]]</f>
        <v>0</v>
      </c>
      <c r="W988" s="50">
        <f>IFERROR(Tabla1[[#This Row],[Fatalities]]/Tabla1[[#This Row],[Aboard]],0)</f>
        <v>1</v>
      </c>
      <c r="X988" s="51" t="str" cm="1">
        <f t="array" ref="X988">_xlfn.IFS(Tabla1[[#This Row],[Porcentaje de muertes]]&lt;0.35,"LEVE",AND(Tabla1[[#This Row],[Porcentaje de muertes]]&gt;0.35,Tabla1[[#This Row],[Porcentaje de muertes]]&lt;0.65),"MEDIO",Tabla1[[#This Row],[Porcentaje de muertes]]&gt;0.65,"GRAVE")</f>
        <v>GRAVE</v>
      </c>
    </row>
    <row r="989" spans="2:24" x14ac:dyDescent="0.3">
      <c r="B989" s="9">
        <v>987</v>
      </c>
      <c r="C989" s="49">
        <v>17466</v>
      </c>
      <c r="D989" s="9">
        <f>YEAR(Tabla1[[#This Row],[Date]])</f>
        <v>1947</v>
      </c>
      <c r="E989" s="9" t="str" cm="1">
        <f t="array" ref="E989">IFERROR(_xlfn.IFS(AND(D989&lt;1980,D989&gt;=1970),"70",AND(D989&lt;1990,D989&gt;=1980),"80",AND(D989&lt;2000,D989&gt;=1990),"90",AND(D989&lt;2010,D989&gt;=2000),"00",AND(D989&lt;=2019,D989&gt;=2010),"10"),"1908-1970")</f>
        <v>1908-1970</v>
      </c>
      <c r="F989" s="3">
        <v>0.8125</v>
      </c>
      <c r="G989" t="s">
        <v>9234</v>
      </c>
      <c r="H989" t="s">
        <v>7999</v>
      </c>
      <c r="I989">
        <v>1629</v>
      </c>
      <c r="J989" t="s">
        <v>9235</v>
      </c>
      <c r="K989" t="s">
        <v>8779</v>
      </c>
      <c r="L989" s="7" t="s">
        <v>9236</v>
      </c>
      <c r="M989" t="s">
        <v>9237</v>
      </c>
      <c r="N989">
        <v>44</v>
      </c>
      <c r="O989">
        <v>36</v>
      </c>
      <c r="P989">
        <v>8</v>
      </c>
      <c r="Q989">
        <v>44</v>
      </c>
      <c r="R989">
        <v>36</v>
      </c>
      <c r="S989">
        <v>8</v>
      </c>
      <c r="T989">
        <v>0</v>
      </c>
      <c r="U989" t="s">
        <v>9238</v>
      </c>
      <c r="V989">
        <f>Tabla1[[#This Row],[Aboard]]-Tabla1[[#This Row],[Fatalities]]</f>
        <v>0</v>
      </c>
      <c r="W989" s="50">
        <f>IFERROR(Tabla1[[#This Row],[Fatalities]]/Tabla1[[#This Row],[Aboard]],0)</f>
        <v>1</v>
      </c>
      <c r="X989" s="51" t="str" cm="1">
        <f t="array" ref="X989">_xlfn.IFS(Tabla1[[#This Row],[Porcentaje de muertes]]&lt;0.35,"LEVE",AND(Tabla1[[#This Row],[Porcentaje de muertes]]&gt;0.35,Tabla1[[#This Row],[Porcentaje de muertes]]&lt;0.65),"MEDIO",Tabla1[[#This Row],[Porcentaje de muertes]]&gt;0.65,"GRAVE")</f>
        <v>GRAVE</v>
      </c>
    </row>
    <row r="990" spans="2:24" x14ac:dyDescent="0.3">
      <c r="B990" s="9">
        <v>988</v>
      </c>
      <c r="C990" s="49">
        <v>17466</v>
      </c>
      <c r="D990" s="9">
        <f>YEAR(Tabla1[[#This Row],[Date]])</f>
        <v>1947</v>
      </c>
      <c r="E990" s="9" t="str" cm="1">
        <f t="array" ref="E990">IFERROR(_xlfn.IFS(AND(D990&lt;1980,D990&gt;=1970),"70",AND(D990&lt;1990,D990&gt;=1980),"80",AND(D990&lt;2000,D990&gt;=1990),"90",AND(D990&lt;2010,D990&gt;=2000),"00",AND(D990&lt;=2019,D990&gt;=2010),"10"),"1908-1970")</f>
        <v>1908-1970</v>
      </c>
      <c r="F990" s="3">
        <v>0.57291666666666663</v>
      </c>
      <c r="G990" t="s">
        <v>9239</v>
      </c>
      <c r="H990" t="s">
        <v>7121</v>
      </c>
      <c r="I990">
        <v>923</v>
      </c>
      <c r="J990" t="s">
        <v>9240</v>
      </c>
      <c r="K990" t="s">
        <v>9241</v>
      </c>
      <c r="L990" s="7" t="s">
        <v>9242</v>
      </c>
      <c r="M990">
        <v>10317</v>
      </c>
      <c r="N990">
        <v>18</v>
      </c>
      <c r="O990">
        <v>13</v>
      </c>
      <c r="P990">
        <v>5</v>
      </c>
      <c r="Q990">
        <v>18</v>
      </c>
      <c r="R990">
        <v>13</v>
      </c>
      <c r="S990">
        <v>5</v>
      </c>
      <c r="T990">
        <v>0</v>
      </c>
      <c r="U990" t="s">
        <v>9243</v>
      </c>
      <c r="V990">
        <f>Tabla1[[#This Row],[Aboard]]-Tabla1[[#This Row],[Fatalities]]</f>
        <v>0</v>
      </c>
      <c r="W990" s="50">
        <f>IFERROR(Tabla1[[#This Row],[Fatalities]]/Tabla1[[#This Row],[Aboard]],0)</f>
        <v>1</v>
      </c>
      <c r="X990" s="51" t="str" cm="1">
        <f t="array" ref="X990">_xlfn.IFS(Tabla1[[#This Row],[Porcentaje de muertes]]&lt;0.35,"LEVE",AND(Tabla1[[#This Row],[Porcentaje de muertes]]&gt;0.35,Tabla1[[#This Row],[Porcentaje de muertes]]&lt;0.65),"MEDIO",Tabla1[[#This Row],[Porcentaje de muertes]]&gt;0.65,"GRAVE")</f>
        <v>GRAVE</v>
      </c>
    </row>
    <row r="991" spans="2:24" x14ac:dyDescent="0.3">
      <c r="B991" s="9">
        <v>989</v>
      </c>
      <c r="C991" s="49">
        <v>17471</v>
      </c>
      <c r="D991" s="9">
        <f>YEAR(Tabla1[[#This Row],[Date]])</f>
        <v>1947</v>
      </c>
      <c r="E991" s="9" t="str" cm="1">
        <f t="array" ref="E991">IFERROR(_xlfn.IFS(AND(D991&lt;1980,D991&gt;=1970),"70",AND(D991&lt;1990,D991&gt;=1980),"80",AND(D991&lt;2000,D991&gt;=1990),"90",AND(D991&lt;2010,D991&gt;=2000),"00",AND(D991&lt;=2019,D991&gt;=2010),"10"),"1908-1970")</f>
        <v>1908-1970</v>
      </c>
      <c r="F991" s="3" t="s">
        <v>28931</v>
      </c>
      <c r="G991" t="s">
        <v>9244</v>
      </c>
      <c r="H991" t="s">
        <v>8378</v>
      </c>
      <c r="I991" t="s">
        <v>28931</v>
      </c>
      <c r="J991" t="s">
        <v>28931</v>
      </c>
      <c r="K991" t="s">
        <v>8465</v>
      </c>
      <c r="L991" s="7" t="s">
        <v>9245</v>
      </c>
      <c r="M991">
        <v>12819</v>
      </c>
      <c r="N991">
        <v>25</v>
      </c>
      <c r="O991">
        <v>22</v>
      </c>
      <c r="P991">
        <v>3</v>
      </c>
      <c r="Q991">
        <v>25</v>
      </c>
      <c r="R991">
        <v>22</v>
      </c>
      <c r="S991">
        <v>3</v>
      </c>
      <c r="T991">
        <v>0</v>
      </c>
      <c r="U991" t="s">
        <v>9246</v>
      </c>
      <c r="V991">
        <f>Tabla1[[#This Row],[Aboard]]-Tabla1[[#This Row],[Fatalities]]</f>
        <v>0</v>
      </c>
      <c r="W991" s="50">
        <f>IFERROR(Tabla1[[#This Row],[Fatalities]]/Tabla1[[#This Row],[Aboard]],0)</f>
        <v>1</v>
      </c>
      <c r="X991" s="51" t="str" cm="1">
        <f t="array" ref="X991">_xlfn.IFS(Tabla1[[#This Row],[Porcentaje de muertes]]&lt;0.35,"LEVE",AND(Tabla1[[#This Row],[Porcentaje de muertes]]&gt;0.35,Tabla1[[#This Row],[Porcentaje de muertes]]&lt;0.65),"MEDIO",Tabla1[[#This Row],[Porcentaje de muertes]]&gt;0.65,"GRAVE")</f>
        <v>GRAVE</v>
      </c>
    </row>
    <row r="992" spans="2:24" x14ac:dyDescent="0.3">
      <c r="B992" s="9">
        <v>990</v>
      </c>
      <c r="C992" s="49">
        <v>17209</v>
      </c>
      <c r="D992" s="9">
        <f>YEAR(Tabla1[[#This Row],[Date]])</f>
        <v>1947</v>
      </c>
      <c r="E992" s="9" t="str" cm="1">
        <f t="array" ref="E992">IFERROR(_xlfn.IFS(AND(D992&lt;1980,D992&gt;=1970),"70",AND(D992&lt;1990,D992&gt;=1980),"80",AND(D992&lt;2000,D992&gt;=1990),"90",AND(D992&lt;2010,D992&gt;=2000),"00",AND(D992&lt;=2019,D992&gt;=2010),"10"),"1908-1970")</f>
        <v>1908-1970</v>
      </c>
      <c r="F992" s="3" t="s">
        <v>28931</v>
      </c>
      <c r="G992" t="s">
        <v>9247</v>
      </c>
      <c r="H992" t="s">
        <v>9248</v>
      </c>
      <c r="I992" t="s">
        <v>28931</v>
      </c>
      <c r="J992" t="s">
        <v>28931</v>
      </c>
      <c r="K992" t="s">
        <v>7057</v>
      </c>
      <c r="L992" s="7" t="s">
        <v>28931</v>
      </c>
      <c r="M992" t="s">
        <v>28931</v>
      </c>
      <c r="N992">
        <v>5</v>
      </c>
      <c r="O992">
        <v>3</v>
      </c>
      <c r="P992">
        <v>2</v>
      </c>
      <c r="Q992">
        <v>5</v>
      </c>
      <c r="R992">
        <v>3</v>
      </c>
      <c r="S992">
        <v>2</v>
      </c>
      <c r="T992">
        <v>0</v>
      </c>
      <c r="U992" t="s">
        <v>9249</v>
      </c>
      <c r="V992">
        <f>Tabla1[[#This Row],[Aboard]]-Tabla1[[#This Row],[Fatalities]]</f>
        <v>0</v>
      </c>
      <c r="W992" s="50">
        <f>IFERROR(Tabla1[[#This Row],[Fatalities]]/Tabla1[[#This Row],[Aboard]],0)</f>
        <v>1</v>
      </c>
      <c r="X992" s="51" t="str" cm="1">
        <f t="array" ref="X992">_xlfn.IFS(Tabla1[[#This Row],[Porcentaje de muertes]]&lt;0.35,"LEVE",AND(Tabla1[[#This Row],[Porcentaje de muertes]]&gt;0.35,Tabla1[[#This Row],[Porcentaje de muertes]]&lt;0.65),"MEDIO",Tabla1[[#This Row],[Porcentaje de muertes]]&gt;0.65,"GRAVE")</f>
        <v>GRAVE</v>
      </c>
    </row>
    <row r="993" spans="2:24" x14ac:dyDescent="0.3">
      <c r="B993" s="9">
        <v>991</v>
      </c>
      <c r="C993" s="49">
        <v>17482</v>
      </c>
      <c r="D993" s="9">
        <f>YEAR(Tabla1[[#This Row],[Date]])</f>
        <v>1947</v>
      </c>
      <c r="E993" s="9" t="str" cm="1">
        <f t="array" ref="E993">IFERROR(_xlfn.IFS(AND(D993&lt;1980,D993&gt;=1970),"70",AND(D993&lt;1990,D993&gt;=1980),"80",AND(D993&lt;2000,D993&gt;=1990),"90",AND(D993&lt;2010,D993&gt;=2000),"00",AND(D993&lt;=2019,D993&gt;=2010),"10"),"1908-1970")</f>
        <v>1908-1970</v>
      </c>
      <c r="F993" s="3" t="s">
        <v>28931</v>
      </c>
      <c r="G993" t="s">
        <v>9250</v>
      </c>
      <c r="H993" t="s">
        <v>6536</v>
      </c>
      <c r="I993">
        <v>10</v>
      </c>
      <c r="J993" t="s">
        <v>9251</v>
      </c>
      <c r="K993" t="s">
        <v>9230</v>
      </c>
      <c r="L993" s="7" t="s">
        <v>9252</v>
      </c>
      <c r="M993" t="s">
        <v>9253</v>
      </c>
      <c r="N993">
        <v>25</v>
      </c>
      <c r="O993">
        <v>21</v>
      </c>
      <c r="P993">
        <v>4</v>
      </c>
      <c r="Q993">
        <v>0</v>
      </c>
      <c r="R993" t="s">
        <v>5038</v>
      </c>
      <c r="S993" t="s">
        <v>5038</v>
      </c>
      <c r="T993">
        <v>0</v>
      </c>
      <c r="U993" t="s">
        <v>9254</v>
      </c>
      <c r="V993">
        <f>Tabla1[[#This Row],[Aboard]]-Tabla1[[#This Row],[Fatalities]]</f>
        <v>25</v>
      </c>
      <c r="W993" s="50">
        <f>IFERROR(Tabla1[[#This Row],[Fatalities]]/Tabla1[[#This Row],[Aboard]],0)</f>
        <v>0</v>
      </c>
      <c r="X993" s="51" t="str" cm="1">
        <f t="array" ref="X993">_xlfn.IFS(Tabla1[[#This Row],[Porcentaje de muertes]]&lt;0.35,"LEVE",AND(Tabla1[[#This Row],[Porcentaje de muertes]]&gt;0.35,Tabla1[[#This Row],[Porcentaje de muertes]]&lt;0.65),"MEDIO",Tabla1[[#This Row],[Porcentaje de muertes]]&gt;0.65,"GRAVE")</f>
        <v>LEVE</v>
      </c>
    </row>
    <row r="994" spans="2:24" x14ac:dyDescent="0.3">
      <c r="B994" s="9">
        <v>992</v>
      </c>
      <c r="C994" s="49">
        <v>17484</v>
      </c>
      <c r="D994" s="9">
        <f>YEAR(Tabla1[[#This Row],[Date]])</f>
        <v>1947</v>
      </c>
      <c r="E994" s="9" t="str" cm="1">
        <f t="array" ref="E994">IFERROR(_xlfn.IFS(AND(D994&lt;1980,D994&gt;=1970),"70",AND(D994&lt;1990,D994&gt;=1980),"80",AND(D994&lt;2000,D994&gt;=1990),"90",AND(D994&lt;2010,D994&gt;=2000),"00",AND(D994&lt;=2019,D994&gt;=2010),"10"),"1908-1970")</f>
        <v>1908-1970</v>
      </c>
      <c r="F994" s="3" t="s">
        <v>28931</v>
      </c>
      <c r="G994" t="s">
        <v>9255</v>
      </c>
      <c r="H994" t="s">
        <v>9256</v>
      </c>
      <c r="I994" t="s">
        <v>28931</v>
      </c>
      <c r="J994" t="s">
        <v>28931</v>
      </c>
      <c r="K994" t="s">
        <v>7574</v>
      </c>
      <c r="L994" s="7" t="s">
        <v>9257</v>
      </c>
      <c r="M994" t="s">
        <v>9258</v>
      </c>
      <c r="N994">
        <v>2</v>
      </c>
      <c r="O994">
        <v>0</v>
      </c>
      <c r="P994">
        <v>2</v>
      </c>
      <c r="Q994">
        <v>2</v>
      </c>
      <c r="R994">
        <v>0</v>
      </c>
      <c r="S994">
        <v>2</v>
      </c>
      <c r="T994">
        <v>0</v>
      </c>
      <c r="U994" t="s">
        <v>9227</v>
      </c>
      <c r="V994">
        <f>Tabla1[[#This Row],[Aboard]]-Tabla1[[#This Row],[Fatalities]]</f>
        <v>0</v>
      </c>
      <c r="W994" s="50">
        <f>IFERROR(Tabla1[[#This Row],[Fatalities]]/Tabla1[[#This Row],[Aboard]],0)</f>
        <v>1</v>
      </c>
      <c r="X994" s="51" t="str" cm="1">
        <f t="array" ref="X994">_xlfn.IFS(Tabla1[[#This Row],[Porcentaje de muertes]]&lt;0.35,"LEVE",AND(Tabla1[[#This Row],[Porcentaje de muertes]]&gt;0.35,Tabla1[[#This Row],[Porcentaje de muertes]]&lt;0.65),"MEDIO",Tabla1[[#This Row],[Porcentaje de muertes]]&gt;0.65,"GRAVE")</f>
        <v>GRAVE</v>
      </c>
    </row>
    <row r="995" spans="2:24" x14ac:dyDescent="0.3">
      <c r="B995" s="9">
        <v>993</v>
      </c>
      <c r="C995" s="49">
        <v>17489</v>
      </c>
      <c r="D995" s="9">
        <f>YEAR(Tabla1[[#This Row],[Date]])</f>
        <v>1947</v>
      </c>
      <c r="E995" s="9" t="str" cm="1">
        <f t="array" ref="E995">IFERROR(_xlfn.IFS(AND(D995&lt;1980,D995&gt;=1970),"70",AND(D995&lt;1990,D995&gt;=1980),"80",AND(D995&lt;2000,D995&gt;=1990),"90",AND(D995&lt;2010,D995&gt;=2000),"00",AND(D995&lt;=2019,D995&gt;=2010),"10"),"1908-1970")</f>
        <v>1908-1970</v>
      </c>
      <c r="F995" s="3">
        <v>0.54166666666666663</v>
      </c>
      <c r="G995" t="s">
        <v>9259</v>
      </c>
      <c r="H995" t="s">
        <v>6044</v>
      </c>
      <c r="I995" t="s">
        <v>28931</v>
      </c>
      <c r="J995" t="s">
        <v>6190</v>
      </c>
      <c r="K995" t="s">
        <v>9260</v>
      </c>
      <c r="L995" s="7" t="s">
        <v>9261</v>
      </c>
      <c r="M995">
        <v>2028</v>
      </c>
      <c r="N995">
        <v>5</v>
      </c>
      <c r="O995">
        <v>0</v>
      </c>
      <c r="P995">
        <v>5</v>
      </c>
      <c r="Q995">
        <v>5</v>
      </c>
      <c r="R995">
        <v>0</v>
      </c>
      <c r="S995">
        <v>5</v>
      </c>
      <c r="T995">
        <v>0</v>
      </c>
      <c r="U995" t="s">
        <v>9262</v>
      </c>
      <c r="V995">
        <f>Tabla1[[#This Row],[Aboard]]-Tabla1[[#This Row],[Fatalities]]</f>
        <v>0</v>
      </c>
      <c r="W995" s="50">
        <f>IFERROR(Tabla1[[#This Row],[Fatalities]]/Tabla1[[#This Row],[Aboard]],0)</f>
        <v>1</v>
      </c>
      <c r="X995" s="51" t="str" cm="1">
        <f t="array" ref="X995">_xlfn.IFS(Tabla1[[#This Row],[Porcentaje de muertes]]&lt;0.35,"LEVE",AND(Tabla1[[#This Row],[Porcentaje de muertes]]&gt;0.35,Tabla1[[#This Row],[Porcentaje de muertes]]&lt;0.65),"MEDIO",Tabla1[[#This Row],[Porcentaje de muertes]]&gt;0.65,"GRAVE")</f>
        <v>GRAVE</v>
      </c>
    </row>
    <row r="996" spans="2:24" x14ac:dyDescent="0.3">
      <c r="B996" s="9">
        <v>994</v>
      </c>
      <c r="C996" s="49">
        <v>17489</v>
      </c>
      <c r="D996" s="9">
        <f>YEAR(Tabla1[[#This Row],[Date]])</f>
        <v>1947</v>
      </c>
      <c r="E996" s="9" t="str" cm="1">
        <f t="array" ref="E996">IFERROR(_xlfn.IFS(AND(D996&lt;1980,D996&gt;=1970),"70",AND(D996&lt;1990,D996&gt;=1980),"80",AND(D996&lt;2000,D996&gt;=1990),"90",AND(D996&lt;2010,D996&gt;=2000),"00",AND(D996&lt;=2019,D996&gt;=2010),"10"),"1908-1970")</f>
        <v>1908-1970</v>
      </c>
      <c r="F996" s="3">
        <v>0.625</v>
      </c>
      <c r="G996" t="s">
        <v>9263</v>
      </c>
      <c r="H996" t="s">
        <v>9264</v>
      </c>
      <c r="I996" t="s">
        <v>28931</v>
      </c>
      <c r="J996" t="s">
        <v>7599</v>
      </c>
      <c r="K996" t="s">
        <v>9265</v>
      </c>
      <c r="L996" s="7" t="s">
        <v>9266</v>
      </c>
      <c r="M996">
        <v>12792</v>
      </c>
      <c r="N996">
        <v>25</v>
      </c>
      <c r="O996">
        <v>21</v>
      </c>
      <c r="P996">
        <v>4</v>
      </c>
      <c r="Q996">
        <v>20</v>
      </c>
      <c r="R996">
        <v>16</v>
      </c>
      <c r="S996">
        <v>4</v>
      </c>
      <c r="T996">
        <v>0</v>
      </c>
      <c r="U996" t="s">
        <v>9267</v>
      </c>
      <c r="V996">
        <f>Tabla1[[#This Row],[Aboard]]-Tabla1[[#This Row],[Fatalities]]</f>
        <v>5</v>
      </c>
      <c r="W996" s="50">
        <f>IFERROR(Tabla1[[#This Row],[Fatalities]]/Tabla1[[#This Row],[Aboard]],0)</f>
        <v>0.8</v>
      </c>
      <c r="X996" s="51" t="str" cm="1">
        <f t="array" ref="X996">_xlfn.IFS(Tabla1[[#This Row],[Porcentaje de muertes]]&lt;0.35,"LEVE",AND(Tabla1[[#This Row],[Porcentaje de muertes]]&gt;0.35,Tabla1[[#This Row],[Porcentaje de muertes]]&lt;0.65),"MEDIO",Tabla1[[#This Row],[Porcentaje de muertes]]&gt;0.65,"GRAVE")</f>
        <v>GRAVE</v>
      </c>
    </row>
    <row r="997" spans="2:24" x14ac:dyDescent="0.3">
      <c r="B997" s="9">
        <v>995</v>
      </c>
      <c r="C997" s="49">
        <v>17492</v>
      </c>
      <c r="D997" s="9">
        <f>YEAR(Tabla1[[#This Row],[Date]])</f>
        <v>1947</v>
      </c>
      <c r="E997" s="9" t="str" cm="1">
        <f t="array" ref="E997">IFERROR(_xlfn.IFS(AND(D997&lt;1980,D997&gt;=1970),"70",AND(D997&lt;1990,D997&gt;=1980),"80",AND(D997&lt;2000,D997&gt;=1990),"90",AND(D997&lt;2010,D997&gt;=2000),"00",AND(D997&lt;=2019,D997&gt;=2010),"10"),"1908-1970")</f>
        <v>1908-1970</v>
      </c>
      <c r="F997" s="3">
        <v>0.75</v>
      </c>
      <c r="G997" t="s">
        <v>9268</v>
      </c>
      <c r="H997" t="s">
        <v>9269</v>
      </c>
      <c r="I997" t="s">
        <v>28931</v>
      </c>
      <c r="J997" t="s">
        <v>9270</v>
      </c>
      <c r="K997" t="s">
        <v>8569</v>
      </c>
      <c r="L997" s="7" t="s">
        <v>9271</v>
      </c>
      <c r="M997">
        <v>18423509</v>
      </c>
      <c r="N997">
        <v>26</v>
      </c>
      <c r="O997">
        <v>21</v>
      </c>
      <c r="P997">
        <v>5</v>
      </c>
      <c r="Q997">
        <v>13</v>
      </c>
      <c r="R997">
        <v>8</v>
      </c>
      <c r="S997">
        <v>5</v>
      </c>
      <c r="T997">
        <v>0</v>
      </c>
      <c r="U997" t="s">
        <v>9272</v>
      </c>
      <c r="V997">
        <f>Tabla1[[#This Row],[Aboard]]-Tabla1[[#This Row],[Fatalities]]</f>
        <v>13</v>
      </c>
      <c r="W997" s="50">
        <f>IFERROR(Tabla1[[#This Row],[Fatalities]]/Tabla1[[#This Row],[Aboard]],0)</f>
        <v>0.5</v>
      </c>
      <c r="X997" s="51" t="str" cm="1">
        <f t="array" ref="X997">_xlfn.IFS(Tabla1[[#This Row],[Porcentaje de muertes]]&lt;0.35,"LEVE",AND(Tabla1[[#This Row],[Porcentaje de muertes]]&gt;0.35,Tabla1[[#This Row],[Porcentaje de muertes]]&lt;0.65),"MEDIO",Tabla1[[#This Row],[Porcentaje de muertes]]&gt;0.65,"GRAVE")</f>
        <v>MEDIO</v>
      </c>
    </row>
    <row r="998" spans="2:24" x14ac:dyDescent="0.3">
      <c r="B998" s="9">
        <v>996</v>
      </c>
      <c r="C998" s="49">
        <v>17498</v>
      </c>
      <c r="D998" s="9">
        <f>YEAR(Tabla1[[#This Row],[Date]])</f>
        <v>1947</v>
      </c>
      <c r="E998" s="9" t="str" cm="1">
        <f t="array" ref="E998">IFERROR(_xlfn.IFS(AND(D998&lt;1980,D998&gt;=1970),"70",AND(D998&lt;1990,D998&gt;=1980),"80",AND(D998&lt;2000,D998&gt;=1990),"90",AND(D998&lt;2010,D998&gt;=2000),"00",AND(D998&lt;=2019,D998&gt;=2010),"10"),"1908-1970")</f>
        <v>1908-1970</v>
      </c>
      <c r="F998" s="3" t="s">
        <v>28931</v>
      </c>
      <c r="H998" t="s">
        <v>6010</v>
      </c>
      <c r="I998" t="s">
        <v>28931</v>
      </c>
      <c r="J998" t="s">
        <v>28931</v>
      </c>
      <c r="K998" t="s">
        <v>7057</v>
      </c>
      <c r="L998" s="7" t="s">
        <v>28931</v>
      </c>
      <c r="M998" t="s">
        <v>28931</v>
      </c>
      <c r="N998">
        <v>3</v>
      </c>
      <c r="O998">
        <v>0</v>
      </c>
      <c r="P998">
        <v>3</v>
      </c>
      <c r="Q998">
        <v>2</v>
      </c>
      <c r="R998">
        <v>0</v>
      </c>
      <c r="S998">
        <v>2</v>
      </c>
      <c r="T998">
        <v>0</v>
      </c>
      <c r="U998" t="s">
        <v>9273</v>
      </c>
      <c r="V998">
        <f>Tabla1[[#This Row],[Aboard]]-Tabla1[[#This Row],[Fatalities]]</f>
        <v>1</v>
      </c>
      <c r="W998" s="50">
        <f>IFERROR(Tabla1[[#This Row],[Fatalities]]/Tabla1[[#This Row],[Aboard]],0)</f>
        <v>0.66666666666666663</v>
      </c>
      <c r="X998" s="51" t="str" cm="1">
        <f t="array" ref="X998">_xlfn.IFS(Tabla1[[#This Row],[Porcentaje de muertes]]&lt;0.35,"LEVE",AND(Tabla1[[#This Row],[Porcentaje de muertes]]&gt;0.35,Tabla1[[#This Row],[Porcentaje de muertes]]&lt;0.65),"MEDIO",Tabla1[[#This Row],[Porcentaje de muertes]]&gt;0.65,"GRAVE")</f>
        <v>GRAVE</v>
      </c>
    </row>
    <row r="999" spans="2:24" x14ac:dyDescent="0.3">
      <c r="B999" s="9">
        <v>997</v>
      </c>
      <c r="C999" s="49">
        <v>17498</v>
      </c>
      <c r="D999" s="9">
        <f>YEAR(Tabla1[[#This Row],[Date]])</f>
        <v>1947</v>
      </c>
      <c r="E999" s="9" t="str" cm="1">
        <f t="array" ref="E999">IFERROR(_xlfn.IFS(AND(D999&lt;1980,D999&gt;=1970),"70",AND(D999&lt;1990,D999&gt;=1980),"80",AND(D999&lt;2000,D999&gt;=1990),"90",AND(D999&lt;2010,D999&gt;=2000),"00",AND(D999&lt;=2019,D999&gt;=2010),"10"),"1908-1970")</f>
        <v>1908-1970</v>
      </c>
      <c r="F999" s="3" t="s">
        <v>28931</v>
      </c>
      <c r="G999" t="s">
        <v>9274</v>
      </c>
      <c r="H999" t="s">
        <v>9275</v>
      </c>
      <c r="I999" t="s">
        <v>28931</v>
      </c>
      <c r="J999" t="s">
        <v>9276</v>
      </c>
      <c r="K999" t="s">
        <v>9005</v>
      </c>
      <c r="L999" s="7" t="s">
        <v>9277</v>
      </c>
      <c r="M999">
        <v>6065</v>
      </c>
      <c r="N999">
        <v>13</v>
      </c>
      <c r="O999">
        <v>11</v>
      </c>
      <c r="P999">
        <v>2</v>
      </c>
      <c r="Q999">
        <v>13</v>
      </c>
      <c r="R999">
        <v>11</v>
      </c>
      <c r="S999">
        <v>2</v>
      </c>
      <c r="T999">
        <v>0</v>
      </c>
      <c r="U999" t="s">
        <v>9278</v>
      </c>
      <c r="V999">
        <f>Tabla1[[#This Row],[Aboard]]-Tabla1[[#This Row],[Fatalities]]</f>
        <v>0</v>
      </c>
      <c r="W999" s="50">
        <f>IFERROR(Tabla1[[#This Row],[Fatalities]]/Tabla1[[#This Row],[Aboard]],0)</f>
        <v>1</v>
      </c>
      <c r="X999" s="51" t="str" cm="1">
        <f t="array" ref="X999">_xlfn.IFS(Tabla1[[#This Row],[Porcentaje de muertes]]&lt;0.35,"LEVE",AND(Tabla1[[#This Row],[Porcentaje de muertes]]&gt;0.35,Tabla1[[#This Row],[Porcentaje de muertes]]&lt;0.65),"MEDIO",Tabla1[[#This Row],[Porcentaje de muertes]]&gt;0.65,"GRAVE")</f>
        <v>GRAVE</v>
      </c>
    </row>
    <row r="1000" spans="2:24" x14ac:dyDescent="0.3">
      <c r="B1000" s="9">
        <v>998</v>
      </c>
      <c r="C1000" s="49">
        <v>17498</v>
      </c>
      <c r="D1000" s="9">
        <f>YEAR(Tabla1[[#This Row],[Date]])</f>
        <v>1947</v>
      </c>
      <c r="E1000" s="9" t="str" cm="1">
        <f t="array" ref="E1000">IFERROR(_xlfn.IFS(AND(D1000&lt;1980,D1000&gt;=1970),"70",AND(D1000&lt;1990,D1000&gt;=1980),"80",AND(D1000&lt;2000,D1000&gt;=1990),"90",AND(D1000&lt;2010,D1000&gt;=2000),"00",AND(D1000&lt;=2019,D1000&gt;=2010),"10"),"1908-1970")</f>
        <v>1908-1970</v>
      </c>
      <c r="F1000" s="3">
        <v>0.18055555555555555</v>
      </c>
      <c r="G1000" t="s">
        <v>9279</v>
      </c>
      <c r="H1000" t="s">
        <v>9280</v>
      </c>
      <c r="I1000" t="s">
        <v>28931</v>
      </c>
      <c r="J1000" t="s">
        <v>9281</v>
      </c>
      <c r="K1000" t="s">
        <v>8258</v>
      </c>
      <c r="L1000" s="7" t="s">
        <v>9282</v>
      </c>
      <c r="M1000" t="s">
        <v>9283</v>
      </c>
      <c r="N1000">
        <v>22</v>
      </c>
      <c r="O1000">
        <v>19</v>
      </c>
      <c r="P1000">
        <v>3</v>
      </c>
      <c r="Q1000">
        <v>22</v>
      </c>
      <c r="R1000">
        <v>19</v>
      </c>
      <c r="S1000">
        <v>3</v>
      </c>
      <c r="T1000">
        <v>0</v>
      </c>
      <c r="U1000" t="s">
        <v>9284</v>
      </c>
      <c r="V1000">
        <f>Tabla1[[#This Row],[Aboard]]-Tabla1[[#This Row],[Fatalities]]</f>
        <v>0</v>
      </c>
      <c r="W1000" s="50">
        <f>IFERROR(Tabla1[[#This Row],[Fatalities]]/Tabla1[[#This Row],[Aboard]],0)</f>
        <v>1</v>
      </c>
      <c r="X1000" s="51" t="str" cm="1">
        <f t="array" ref="X1000">_xlfn.IFS(Tabla1[[#This Row],[Porcentaje de muertes]]&lt;0.35,"LEVE",AND(Tabla1[[#This Row],[Porcentaje de muertes]]&gt;0.35,Tabla1[[#This Row],[Porcentaje de muertes]]&lt;0.65),"MEDIO",Tabla1[[#This Row],[Porcentaje de muertes]]&gt;0.65,"GRAVE")</f>
        <v>GRAVE</v>
      </c>
    </row>
    <row r="1001" spans="2:24" x14ac:dyDescent="0.3">
      <c r="B1001" s="9">
        <v>999</v>
      </c>
      <c r="C1001" s="49">
        <v>17499</v>
      </c>
      <c r="D1001" s="9">
        <f>YEAR(Tabla1[[#This Row],[Date]])</f>
        <v>1947</v>
      </c>
      <c r="E1001" s="9" t="str" cm="1">
        <f t="array" ref="E1001">IFERROR(_xlfn.IFS(AND(D1001&lt;1980,D1001&gt;=1970),"70",AND(D1001&lt;1990,D1001&gt;=1980),"80",AND(D1001&lt;2000,D1001&gt;=1990),"90",AND(D1001&lt;2010,D1001&gt;=2000),"00",AND(D1001&lt;=2019,D1001&gt;=2010),"10"),"1908-1970")</f>
        <v>1908-1970</v>
      </c>
      <c r="F1001" s="3">
        <v>0.59027777777777779</v>
      </c>
      <c r="G1001" t="s">
        <v>9285</v>
      </c>
      <c r="H1001" t="s">
        <v>7987</v>
      </c>
      <c r="I1001" t="s">
        <v>28931</v>
      </c>
      <c r="J1001" t="s">
        <v>28931</v>
      </c>
      <c r="K1001" t="s">
        <v>8465</v>
      </c>
      <c r="L1001" s="7" t="s">
        <v>9286</v>
      </c>
      <c r="M1001" t="s">
        <v>9287</v>
      </c>
      <c r="N1001">
        <v>20</v>
      </c>
      <c r="O1001">
        <v>15</v>
      </c>
      <c r="P1001">
        <v>5</v>
      </c>
      <c r="Q1001">
        <v>20</v>
      </c>
      <c r="R1001">
        <v>15</v>
      </c>
      <c r="S1001">
        <v>5</v>
      </c>
      <c r="T1001">
        <v>0</v>
      </c>
      <c r="U1001" t="s">
        <v>9288</v>
      </c>
      <c r="V1001">
        <f>Tabla1[[#This Row],[Aboard]]-Tabla1[[#This Row],[Fatalities]]</f>
        <v>0</v>
      </c>
      <c r="W1001" s="50">
        <f>IFERROR(Tabla1[[#This Row],[Fatalities]]/Tabla1[[#This Row],[Aboard]],0)</f>
        <v>1</v>
      </c>
      <c r="X1001" s="51" t="str" cm="1">
        <f t="array" ref="X1001">_xlfn.IFS(Tabla1[[#This Row],[Porcentaje de muertes]]&lt;0.35,"LEVE",AND(Tabla1[[#This Row],[Porcentaje de muertes]]&gt;0.35,Tabla1[[#This Row],[Porcentaje de muertes]]&lt;0.65),"MEDIO",Tabla1[[#This Row],[Porcentaje de muertes]]&gt;0.65,"GRAVE")</f>
        <v>GRAVE</v>
      </c>
    </row>
    <row r="1002" spans="2:24" x14ac:dyDescent="0.3">
      <c r="B1002" s="9">
        <v>1000</v>
      </c>
      <c r="C1002" s="49">
        <v>17501</v>
      </c>
      <c r="D1002" s="9">
        <f>YEAR(Tabla1[[#This Row],[Date]])</f>
        <v>1947</v>
      </c>
      <c r="E1002" s="9" t="str" cm="1">
        <f t="array" ref="E1002">IFERROR(_xlfn.IFS(AND(D1002&lt;1980,D1002&gt;=1970),"70",AND(D1002&lt;1990,D1002&gt;=1980),"80",AND(D1002&lt;2000,D1002&gt;=1990),"90",AND(D1002&lt;2010,D1002&gt;=2000),"00",AND(D1002&lt;=2019,D1002&gt;=2010),"10"),"1908-1970")</f>
        <v>1908-1970</v>
      </c>
      <c r="F1002" s="3">
        <v>0.60069444444444442</v>
      </c>
      <c r="G1002" t="s">
        <v>7915</v>
      </c>
      <c r="H1002" t="s">
        <v>9289</v>
      </c>
      <c r="I1002">
        <v>9</v>
      </c>
      <c r="J1002" t="s">
        <v>9290</v>
      </c>
      <c r="K1002" t="s">
        <v>7894</v>
      </c>
      <c r="L1002" s="7" t="s">
        <v>9291</v>
      </c>
      <c r="M1002">
        <v>7453</v>
      </c>
      <c r="N1002">
        <v>28</v>
      </c>
      <c r="O1002">
        <v>25</v>
      </c>
      <c r="P1002">
        <v>3</v>
      </c>
      <c r="Q1002">
        <v>8</v>
      </c>
      <c r="R1002">
        <v>7</v>
      </c>
      <c r="S1002">
        <v>1</v>
      </c>
      <c r="T1002">
        <v>1</v>
      </c>
      <c r="U1002" t="s">
        <v>9292</v>
      </c>
      <c r="V1002">
        <f>Tabla1[[#This Row],[Aboard]]-Tabla1[[#This Row],[Fatalities]]</f>
        <v>20</v>
      </c>
      <c r="W1002" s="50">
        <f>IFERROR(Tabla1[[#This Row],[Fatalities]]/Tabla1[[#This Row],[Aboard]],0)</f>
        <v>0.2857142857142857</v>
      </c>
      <c r="X1002" s="51" t="str" cm="1">
        <f t="array" ref="X1002">_xlfn.IFS(Tabla1[[#This Row],[Porcentaje de muertes]]&lt;0.35,"LEVE",AND(Tabla1[[#This Row],[Porcentaje de muertes]]&gt;0.35,Tabla1[[#This Row],[Porcentaje de muertes]]&lt;0.65),"MEDIO",Tabla1[[#This Row],[Porcentaje de muertes]]&gt;0.65,"GRAVE")</f>
        <v>LEVE</v>
      </c>
    </row>
    <row r="1003" spans="2:24" x14ac:dyDescent="0.3">
      <c r="B1003" s="9">
        <v>1001</v>
      </c>
      <c r="C1003" s="49">
        <v>17452</v>
      </c>
      <c r="D1003" s="9">
        <f>YEAR(Tabla1[[#This Row],[Date]])</f>
        <v>1947</v>
      </c>
      <c r="E1003" s="9" t="str" cm="1">
        <f t="array" ref="E1003">IFERROR(_xlfn.IFS(AND(D1003&lt;1980,D1003&gt;=1970),"70",AND(D1003&lt;1990,D1003&gt;=1980),"80",AND(D1003&lt;2000,D1003&gt;=1990),"90",AND(D1003&lt;2010,D1003&gt;=2000),"00",AND(D1003&lt;=2019,D1003&gt;=2010),"10"),"1908-1970")</f>
        <v>1908-1970</v>
      </c>
      <c r="F1003" s="3">
        <v>1.3888888888888888E-2</v>
      </c>
      <c r="G1003" t="s">
        <v>9293</v>
      </c>
      <c r="H1003" t="s">
        <v>7987</v>
      </c>
      <c r="I1003" t="s">
        <v>28931</v>
      </c>
      <c r="J1003" t="s">
        <v>9294</v>
      </c>
      <c r="K1003" t="s">
        <v>8671</v>
      </c>
      <c r="L1003" s="7" t="s">
        <v>9295</v>
      </c>
      <c r="M1003">
        <v>10677</v>
      </c>
      <c r="N1003">
        <v>29</v>
      </c>
      <c r="O1003">
        <v>25</v>
      </c>
      <c r="P1003">
        <v>4</v>
      </c>
      <c r="Q1003">
        <v>23</v>
      </c>
      <c r="R1003">
        <v>22</v>
      </c>
      <c r="S1003">
        <v>1</v>
      </c>
      <c r="T1003">
        <v>0</v>
      </c>
      <c r="U1003" t="s">
        <v>9296</v>
      </c>
      <c r="V1003">
        <f>Tabla1[[#This Row],[Aboard]]-Tabla1[[#This Row],[Fatalities]]</f>
        <v>6</v>
      </c>
      <c r="W1003" s="50">
        <f>IFERROR(Tabla1[[#This Row],[Fatalities]]/Tabla1[[#This Row],[Aboard]],0)</f>
        <v>0.7931034482758621</v>
      </c>
      <c r="X1003" s="51" t="str" cm="1">
        <f t="array" ref="X1003">_xlfn.IFS(Tabla1[[#This Row],[Porcentaje de muertes]]&lt;0.35,"LEVE",AND(Tabla1[[#This Row],[Porcentaje de muertes]]&gt;0.35,Tabla1[[#This Row],[Porcentaje de muertes]]&lt;0.65),"MEDIO",Tabla1[[#This Row],[Porcentaje de muertes]]&gt;0.65,"GRAVE")</f>
        <v>GRAVE</v>
      </c>
    </row>
    <row r="1004" spans="2:24" x14ac:dyDescent="0.3">
      <c r="B1004" s="9">
        <v>1002</v>
      </c>
      <c r="C1004" s="49">
        <v>17483</v>
      </c>
      <c r="D1004" s="9">
        <f>YEAR(Tabla1[[#This Row],[Date]])</f>
        <v>1947</v>
      </c>
      <c r="E1004" s="9" t="str" cm="1">
        <f t="array" ref="E1004">IFERROR(_xlfn.IFS(AND(D1004&lt;1980,D1004&gt;=1970),"70",AND(D1004&lt;1990,D1004&gt;=1980),"80",AND(D1004&lt;2000,D1004&gt;=1990),"90",AND(D1004&lt;2010,D1004&gt;=2000),"00",AND(D1004&lt;=2019,D1004&gt;=2010),"10"),"1908-1970")</f>
        <v>1908-1970</v>
      </c>
      <c r="F1004" s="3">
        <v>0.75694444444444453</v>
      </c>
      <c r="G1004" t="s">
        <v>9297</v>
      </c>
      <c r="H1004" t="s">
        <v>7987</v>
      </c>
      <c r="I1004" t="s">
        <v>28931</v>
      </c>
      <c r="J1004" t="s">
        <v>9298</v>
      </c>
      <c r="K1004" t="s">
        <v>9299</v>
      </c>
      <c r="L1004" s="7" t="s">
        <v>9300</v>
      </c>
      <c r="M1004" t="s">
        <v>9301</v>
      </c>
      <c r="N1004">
        <v>20</v>
      </c>
      <c r="O1004">
        <v>16</v>
      </c>
      <c r="P1004">
        <v>4</v>
      </c>
      <c r="Q1004">
        <v>20</v>
      </c>
      <c r="R1004">
        <v>16</v>
      </c>
      <c r="S1004">
        <v>4</v>
      </c>
      <c r="T1004">
        <v>0</v>
      </c>
      <c r="U1004" t="s">
        <v>9302</v>
      </c>
      <c r="V1004">
        <f>Tabla1[[#This Row],[Aboard]]-Tabla1[[#This Row],[Fatalities]]</f>
        <v>0</v>
      </c>
      <c r="W1004" s="50">
        <f>IFERROR(Tabla1[[#This Row],[Fatalities]]/Tabla1[[#This Row],[Aboard]],0)</f>
        <v>1</v>
      </c>
      <c r="X1004" s="51" t="str" cm="1">
        <f t="array" ref="X1004">_xlfn.IFS(Tabla1[[#This Row],[Porcentaje de muertes]]&lt;0.35,"LEVE",AND(Tabla1[[#This Row],[Porcentaje de muertes]]&gt;0.35,Tabla1[[#This Row],[Porcentaje de muertes]]&lt;0.65),"MEDIO",Tabla1[[#This Row],[Porcentaje de muertes]]&gt;0.65,"GRAVE")</f>
        <v>GRAVE</v>
      </c>
    </row>
    <row r="1005" spans="2:24" x14ac:dyDescent="0.3">
      <c r="B1005" s="9">
        <v>1003</v>
      </c>
      <c r="C1005" s="49">
        <v>17519</v>
      </c>
      <c r="D1005" s="9">
        <f>YEAR(Tabla1[[#This Row],[Date]])</f>
        <v>1947</v>
      </c>
      <c r="E1005" s="9" t="str" cm="1">
        <f t="array" ref="E1005">IFERROR(_xlfn.IFS(AND(D1005&lt;1980,D1005&gt;=1970),"70",AND(D1005&lt;1990,D1005&gt;=1980),"80",AND(D1005&lt;2000,D1005&gt;=1990),"90",AND(D1005&lt;2010,D1005&gt;=2000),"00",AND(D1005&lt;=2019,D1005&gt;=2010),"10"),"1908-1970")</f>
        <v>1908-1970</v>
      </c>
      <c r="F1005" s="3">
        <v>0.39583333333333331</v>
      </c>
      <c r="G1005" t="s">
        <v>9303</v>
      </c>
      <c r="H1005" t="s">
        <v>6541</v>
      </c>
      <c r="I1005">
        <v>6</v>
      </c>
      <c r="J1005" t="s">
        <v>9304</v>
      </c>
      <c r="K1005" t="s">
        <v>9305</v>
      </c>
      <c r="L1005" s="7" t="s">
        <v>9306</v>
      </c>
      <c r="M1005" t="s">
        <v>9307</v>
      </c>
      <c r="N1005">
        <v>25</v>
      </c>
      <c r="O1005">
        <v>20</v>
      </c>
      <c r="P1005">
        <v>5</v>
      </c>
      <c r="Q1005">
        <v>9</v>
      </c>
      <c r="R1005">
        <v>3</v>
      </c>
      <c r="S1005">
        <v>4</v>
      </c>
      <c r="T1005">
        <v>0</v>
      </c>
      <c r="U1005" t="s">
        <v>9308</v>
      </c>
      <c r="V1005">
        <f>Tabla1[[#This Row],[Aboard]]-Tabla1[[#This Row],[Fatalities]]</f>
        <v>16</v>
      </c>
      <c r="W1005" s="50">
        <f>IFERROR(Tabla1[[#This Row],[Fatalities]]/Tabla1[[#This Row],[Aboard]],0)</f>
        <v>0.36</v>
      </c>
      <c r="X1005" s="51" t="str" cm="1">
        <f t="array" ref="X1005">_xlfn.IFS(Tabla1[[#This Row],[Porcentaje de muertes]]&lt;0.35,"LEVE",AND(Tabla1[[#This Row],[Porcentaje de muertes]]&gt;0.35,Tabla1[[#This Row],[Porcentaje de muertes]]&lt;0.65),"MEDIO",Tabla1[[#This Row],[Porcentaje de muertes]]&gt;0.65,"GRAVE")</f>
        <v>MEDIO</v>
      </c>
    </row>
    <row r="1006" spans="2:24" x14ac:dyDescent="0.3">
      <c r="B1006" s="9">
        <v>1004</v>
      </c>
      <c r="C1006" s="49">
        <v>17524</v>
      </c>
      <c r="D1006" s="9">
        <f>YEAR(Tabla1[[#This Row],[Date]])</f>
        <v>1947</v>
      </c>
      <c r="E1006" s="9" t="str" cm="1">
        <f t="array" ref="E1006">IFERROR(_xlfn.IFS(AND(D1006&lt;1980,D1006&gt;=1970),"70",AND(D1006&lt;1990,D1006&gt;=1980),"80",AND(D1006&lt;2000,D1006&gt;=1990),"90",AND(D1006&lt;2010,D1006&gt;=2000),"00",AND(D1006&lt;=2019,D1006&gt;=2010),"10"),"1908-1970")</f>
        <v>1908-1970</v>
      </c>
      <c r="F1006" s="3" t="s">
        <v>28931</v>
      </c>
      <c r="G1006" t="s">
        <v>7762</v>
      </c>
      <c r="H1006" t="s">
        <v>9309</v>
      </c>
      <c r="I1006" t="s">
        <v>28931</v>
      </c>
      <c r="J1006" t="s">
        <v>28931</v>
      </c>
      <c r="K1006" t="s">
        <v>28960</v>
      </c>
      <c r="L1006" s="7" t="s">
        <v>9310</v>
      </c>
      <c r="M1006" t="s">
        <v>28931</v>
      </c>
      <c r="N1006">
        <v>30</v>
      </c>
      <c r="O1006" t="s">
        <v>5038</v>
      </c>
      <c r="P1006" t="s">
        <v>5038</v>
      </c>
      <c r="Q1006">
        <v>25</v>
      </c>
      <c r="R1006" t="s">
        <v>5038</v>
      </c>
      <c r="S1006" t="s">
        <v>5038</v>
      </c>
      <c r="T1006">
        <v>0</v>
      </c>
      <c r="U1006" t="s">
        <v>28927</v>
      </c>
      <c r="V1006">
        <f>Tabla1[[#This Row],[Aboard]]-Tabla1[[#This Row],[Fatalities]]</f>
        <v>5</v>
      </c>
      <c r="W1006" s="50">
        <f>IFERROR(Tabla1[[#This Row],[Fatalities]]/Tabla1[[#This Row],[Aboard]],0)</f>
        <v>0.83333333333333337</v>
      </c>
      <c r="X1006" s="51" t="str" cm="1">
        <f t="array" ref="X1006">_xlfn.IFS(Tabla1[[#This Row],[Porcentaje de muertes]]&lt;0.35,"LEVE",AND(Tabla1[[#This Row],[Porcentaje de muertes]]&gt;0.35,Tabla1[[#This Row],[Porcentaje de muertes]]&lt;0.65),"MEDIO",Tabla1[[#This Row],[Porcentaje de muertes]]&gt;0.65,"GRAVE")</f>
        <v>GRAVE</v>
      </c>
    </row>
    <row r="1007" spans="2:24" x14ac:dyDescent="0.3">
      <c r="B1007" s="9">
        <v>1005</v>
      </c>
      <c r="C1007" s="49">
        <v>17528</v>
      </c>
      <c r="D1007" s="9">
        <f>YEAR(Tabla1[[#This Row],[Date]])</f>
        <v>1947</v>
      </c>
      <c r="E1007" s="9" t="str" cm="1">
        <f t="array" ref="E1007">IFERROR(_xlfn.IFS(AND(D1007&lt;1980,D1007&gt;=1970),"70",AND(D1007&lt;1990,D1007&gt;=1980),"80",AND(D1007&lt;2000,D1007&gt;=1990),"90",AND(D1007&lt;2010,D1007&gt;=2000),"00",AND(D1007&lt;=2019,D1007&gt;=2010),"10"),"1908-1970")</f>
        <v>1908-1970</v>
      </c>
      <c r="F1007" s="3" t="s">
        <v>28931</v>
      </c>
      <c r="G1007" t="s">
        <v>9311</v>
      </c>
      <c r="H1007" t="s">
        <v>9312</v>
      </c>
      <c r="I1007" t="s">
        <v>28931</v>
      </c>
      <c r="J1007" t="s">
        <v>9313</v>
      </c>
      <c r="K1007" t="s">
        <v>9314</v>
      </c>
      <c r="L1007" s="7" t="s">
        <v>9315</v>
      </c>
      <c r="M1007">
        <v>4175</v>
      </c>
      <c r="N1007">
        <v>23</v>
      </c>
      <c r="O1007">
        <v>19</v>
      </c>
      <c r="P1007">
        <v>4</v>
      </c>
      <c r="Q1007">
        <v>23</v>
      </c>
      <c r="R1007">
        <v>19</v>
      </c>
      <c r="S1007">
        <v>4</v>
      </c>
      <c r="T1007">
        <v>0</v>
      </c>
      <c r="U1007" t="s">
        <v>9316</v>
      </c>
      <c r="V1007">
        <f>Tabla1[[#This Row],[Aboard]]-Tabla1[[#This Row],[Fatalities]]</f>
        <v>0</v>
      </c>
      <c r="W1007" s="50">
        <f>IFERROR(Tabla1[[#This Row],[Fatalities]]/Tabla1[[#This Row],[Aboard]],0)</f>
        <v>1</v>
      </c>
      <c r="X1007" s="51" t="str" cm="1">
        <f t="array" ref="X1007">_xlfn.IFS(Tabla1[[#This Row],[Porcentaje de muertes]]&lt;0.35,"LEVE",AND(Tabla1[[#This Row],[Porcentaje de muertes]]&gt;0.35,Tabla1[[#This Row],[Porcentaje de muertes]]&lt;0.65),"MEDIO",Tabla1[[#This Row],[Porcentaje de muertes]]&gt;0.65,"GRAVE")</f>
        <v>GRAVE</v>
      </c>
    </row>
    <row r="1008" spans="2:24" x14ac:dyDescent="0.3">
      <c r="B1008" s="9">
        <v>1006</v>
      </c>
      <c r="C1008" s="49">
        <v>17529</v>
      </c>
      <c r="D1008" s="9">
        <f>YEAR(Tabla1[[#This Row],[Date]])</f>
        <v>1947</v>
      </c>
      <c r="E1008" s="9" t="str" cm="1">
        <f t="array" ref="E1008">IFERROR(_xlfn.IFS(AND(D1008&lt;1980,D1008&gt;=1970),"70",AND(D1008&lt;1990,D1008&gt;=1980),"80",AND(D1008&lt;2000,D1008&gt;=1990),"90",AND(D1008&lt;2010,D1008&gt;=2000),"00",AND(D1008&lt;=2019,D1008&gt;=2010),"10"),"1908-1970")</f>
        <v>1908-1970</v>
      </c>
      <c r="F1008" s="3" t="s">
        <v>28931</v>
      </c>
      <c r="G1008" t="s">
        <v>9317</v>
      </c>
      <c r="H1008" t="s">
        <v>9318</v>
      </c>
      <c r="I1008" t="s">
        <v>28931</v>
      </c>
      <c r="J1008" t="s">
        <v>9319</v>
      </c>
      <c r="K1008" t="s">
        <v>9320</v>
      </c>
      <c r="L1008" s="7" t="s">
        <v>9321</v>
      </c>
      <c r="M1008">
        <v>1408</v>
      </c>
      <c r="N1008">
        <v>10</v>
      </c>
      <c r="O1008">
        <v>7</v>
      </c>
      <c r="P1008">
        <v>3</v>
      </c>
      <c r="Q1008">
        <v>5</v>
      </c>
      <c r="R1008">
        <v>3</v>
      </c>
      <c r="S1008">
        <v>2</v>
      </c>
      <c r="T1008">
        <v>3</v>
      </c>
      <c r="U1008" t="s">
        <v>9322</v>
      </c>
      <c r="V1008">
        <f>Tabla1[[#This Row],[Aboard]]-Tabla1[[#This Row],[Fatalities]]</f>
        <v>5</v>
      </c>
      <c r="W1008" s="50">
        <f>IFERROR(Tabla1[[#This Row],[Fatalities]]/Tabla1[[#This Row],[Aboard]],0)</f>
        <v>0.5</v>
      </c>
      <c r="X1008" s="51" t="str" cm="1">
        <f t="array" ref="X1008">_xlfn.IFS(Tabla1[[#This Row],[Porcentaje de muertes]]&lt;0.35,"LEVE",AND(Tabla1[[#This Row],[Porcentaje de muertes]]&gt;0.35,Tabla1[[#This Row],[Porcentaje de muertes]]&lt;0.65),"MEDIO",Tabla1[[#This Row],[Porcentaje de muertes]]&gt;0.65,"GRAVE")</f>
        <v>MEDIO</v>
      </c>
    </row>
    <row r="1009" spans="2:24" x14ac:dyDescent="0.3">
      <c r="B1009" s="9">
        <v>1007</v>
      </c>
      <c r="C1009" s="49">
        <v>17685</v>
      </c>
      <c r="D1009" s="9">
        <f>YEAR(Tabla1[[#This Row],[Date]])</f>
        <v>1948</v>
      </c>
      <c r="E1009" s="9" t="str" cm="1">
        <f t="array" ref="E1009">IFERROR(_xlfn.IFS(AND(D1009&lt;1980,D1009&gt;=1970),"70",AND(D1009&lt;1990,D1009&gt;=1980),"80",AND(D1009&lt;2000,D1009&gt;=1990),"90",AND(D1009&lt;2010,D1009&gt;=2000),"00",AND(D1009&lt;=2019,D1009&gt;=2010),"10"),"1908-1970")</f>
        <v>1908-1970</v>
      </c>
      <c r="F1009" s="3">
        <v>0.8125</v>
      </c>
      <c r="G1009" t="s">
        <v>5211</v>
      </c>
      <c r="H1009" t="s">
        <v>6375</v>
      </c>
      <c r="I1009" t="s">
        <v>28931</v>
      </c>
      <c r="J1009" t="s">
        <v>9323</v>
      </c>
      <c r="K1009" t="s">
        <v>9324</v>
      </c>
      <c r="L1009" s="7" t="s">
        <v>9325</v>
      </c>
      <c r="M1009">
        <v>42972</v>
      </c>
      <c r="N1009">
        <v>16</v>
      </c>
      <c r="O1009">
        <v>11</v>
      </c>
      <c r="P1009">
        <v>5</v>
      </c>
      <c r="Q1009">
        <v>16</v>
      </c>
      <c r="R1009">
        <v>11</v>
      </c>
      <c r="S1009">
        <v>5</v>
      </c>
      <c r="T1009">
        <v>0</v>
      </c>
      <c r="U1009" t="s">
        <v>9326</v>
      </c>
      <c r="V1009">
        <f>Tabla1[[#This Row],[Aboard]]-Tabla1[[#This Row],[Fatalities]]</f>
        <v>0</v>
      </c>
      <c r="W1009" s="50">
        <f>IFERROR(Tabla1[[#This Row],[Fatalities]]/Tabla1[[#This Row],[Aboard]],0)</f>
        <v>1</v>
      </c>
      <c r="X1009" s="51" t="str" cm="1">
        <f t="array" ref="X1009">_xlfn.IFS(Tabla1[[#This Row],[Porcentaje de muertes]]&lt;0.35,"LEVE",AND(Tabla1[[#This Row],[Porcentaje de muertes]]&gt;0.35,Tabla1[[#This Row],[Porcentaje de muertes]]&lt;0.65),"MEDIO",Tabla1[[#This Row],[Porcentaje de muertes]]&gt;0.65,"GRAVE")</f>
        <v>GRAVE</v>
      </c>
    </row>
    <row r="1010" spans="2:24" x14ac:dyDescent="0.3">
      <c r="B1010" s="9">
        <v>1008</v>
      </c>
      <c r="C1010" s="49">
        <v>17685</v>
      </c>
      <c r="D1010" s="9">
        <f>YEAR(Tabla1[[#This Row],[Date]])</f>
        <v>1948</v>
      </c>
      <c r="E1010" s="9" t="str" cm="1">
        <f t="array" ref="E1010">IFERROR(_xlfn.IFS(AND(D1010&lt;1980,D1010&gt;=1970),"70",AND(D1010&lt;1990,D1010&gt;=1980),"80",AND(D1010&lt;2000,D1010&gt;=1990),"90",AND(D1010&lt;2010,D1010&gt;=2000),"00",AND(D1010&lt;=2019,D1010&gt;=2010),"10"),"1908-1970")</f>
        <v>1908-1970</v>
      </c>
      <c r="F1010" s="3" t="s">
        <v>28931</v>
      </c>
      <c r="G1010" t="s">
        <v>9327</v>
      </c>
      <c r="H1010" t="s">
        <v>8721</v>
      </c>
      <c r="I1010" t="s">
        <v>28931</v>
      </c>
      <c r="J1010" t="s">
        <v>9328</v>
      </c>
      <c r="K1010" t="s">
        <v>9329</v>
      </c>
      <c r="L1010" s="7" t="s">
        <v>9330</v>
      </c>
      <c r="M1010">
        <v>148</v>
      </c>
      <c r="N1010">
        <v>18</v>
      </c>
      <c r="O1010">
        <v>14</v>
      </c>
      <c r="P1010">
        <v>4</v>
      </c>
      <c r="Q1010">
        <v>1</v>
      </c>
      <c r="R1010">
        <v>0</v>
      </c>
      <c r="S1010">
        <v>1</v>
      </c>
      <c r="T1010">
        <v>0</v>
      </c>
      <c r="U1010" t="s">
        <v>9331</v>
      </c>
      <c r="V1010">
        <f>Tabla1[[#This Row],[Aboard]]-Tabla1[[#This Row],[Fatalities]]</f>
        <v>17</v>
      </c>
      <c r="W1010" s="50">
        <f>IFERROR(Tabla1[[#This Row],[Fatalities]]/Tabla1[[#This Row],[Aboard]],0)</f>
        <v>5.5555555555555552E-2</v>
      </c>
      <c r="X1010" s="51" t="str" cm="1">
        <f t="array" ref="X1010">_xlfn.IFS(Tabla1[[#This Row],[Porcentaje de muertes]]&lt;0.35,"LEVE",AND(Tabla1[[#This Row],[Porcentaje de muertes]]&gt;0.35,Tabla1[[#This Row],[Porcentaje de muertes]]&lt;0.65),"MEDIO",Tabla1[[#This Row],[Porcentaje de muertes]]&gt;0.65,"GRAVE")</f>
        <v>LEVE</v>
      </c>
    </row>
    <row r="1011" spans="2:24" x14ac:dyDescent="0.3">
      <c r="B1011" s="9">
        <v>1009</v>
      </c>
      <c r="C1011" s="49">
        <v>17715</v>
      </c>
      <c r="D1011" s="9">
        <f>YEAR(Tabla1[[#This Row],[Date]])</f>
        <v>1948</v>
      </c>
      <c r="E1011" s="9" t="str" cm="1">
        <f t="array" ref="E1011">IFERROR(_xlfn.IFS(AND(D1011&lt;1980,D1011&gt;=1970),"70",AND(D1011&lt;1990,D1011&gt;=1980),"80",AND(D1011&lt;2000,D1011&gt;=1990),"90",AND(D1011&lt;2010,D1011&gt;=2000),"00",AND(D1011&lt;=2019,D1011&gt;=2010),"10"),"1908-1970")</f>
        <v>1908-1970</v>
      </c>
      <c r="F1011" s="3">
        <v>0.32291666666666669</v>
      </c>
      <c r="G1011" t="s">
        <v>9332</v>
      </c>
      <c r="H1011" t="s">
        <v>9333</v>
      </c>
      <c r="I1011" t="s">
        <v>28931</v>
      </c>
      <c r="J1011" t="s">
        <v>9334</v>
      </c>
      <c r="K1011" t="s">
        <v>7057</v>
      </c>
      <c r="L1011" s="7" t="s">
        <v>9335</v>
      </c>
      <c r="M1011">
        <v>12968</v>
      </c>
      <c r="N1011">
        <v>27</v>
      </c>
      <c r="O1011">
        <v>25</v>
      </c>
      <c r="P1011">
        <v>2</v>
      </c>
      <c r="Q1011">
        <v>18</v>
      </c>
      <c r="R1011">
        <v>17</v>
      </c>
      <c r="S1011">
        <v>1</v>
      </c>
      <c r="T1011">
        <v>0</v>
      </c>
      <c r="U1011" t="s">
        <v>9336</v>
      </c>
      <c r="V1011">
        <f>Tabla1[[#This Row],[Aboard]]-Tabla1[[#This Row],[Fatalities]]</f>
        <v>9</v>
      </c>
      <c r="W1011" s="50">
        <f>IFERROR(Tabla1[[#This Row],[Fatalities]]/Tabla1[[#This Row],[Aboard]],0)</f>
        <v>0.66666666666666663</v>
      </c>
      <c r="X1011" s="51" t="str" cm="1">
        <f t="array" ref="X1011">_xlfn.IFS(Tabla1[[#This Row],[Porcentaje de muertes]]&lt;0.35,"LEVE",AND(Tabla1[[#This Row],[Porcentaje de muertes]]&gt;0.35,Tabla1[[#This Row],[Porcentaje de muertes]]&lt;0.65),"MEDIO",Tabla1[[#This Row],[Porcentaje de muertes]]&gt;0.65,"GRAVE")</f>
        <v>GRAVE</v>
      </c>
    </row>
    <row r="1012" spans="2:24" x14ac:dyDescent="0.3">
      <c r="B1012" s="9">
        <v>1010</v>
      </c>
      <c r="C1012" s="49">
        <v>17746</v>
      </c>
      <c r="D1012" s="9">
        <f>YEAR(Tabla1[[#This Row],[Date]])</f>
        <v>1948</v>
      </c>
      <c r="E1012" s="9" t="str" cm="1">
        <f t="array" ref="E1012">IFERROR(_xlfn.IFS(AND(D1012&lt;1980,D1012&gt;=1970),"70",AND(D1012&lt;1990,D1012&gt;=1980),"80",AND(D1012&lt;2000,D1012&gt;=1990),"90",AND(D1012&lt;2010,D1012&gt;=2000),"00",AND(D1012&lt;=2019,D1012&gt;=2010),"10"),"1908-1970")</f>
        <v>1908-1970</v>
      </c>
      <c r="F1012" s="3" t="s">
        <v>28931</v>
      </c>
      <c r="G1012" t="s">
        <v>9337</v>
      </c>
      <c r="H1012" t="s">
        <v>9338</v>
      </c>
      <c r="I1012" t="s">
        <v>28931</v>
      </c>
      <c r="J1012" t="s">
        <v>9339</v>
      </c>
      <c r="K1012" t="s">
        <v>7057</v>
      </c>
      <c r="L1012" s="7" t="s">
        <v>9340</v>
      </c>
      <c r="M1012">
        <v>275</v>
      </c>
      <c r="N1012">
        <v>9</v>
      </c>
      <c r="O1012">
        <v>7</v>
      </c>
      <c r="P1012">
        <v>2</v>
      </c>
      <c r="Q1012">
        <v>9</v>
      </c>
      <c r="R1012">
        <v>7</v>
      </c>
      <c r="S1012">
        <v>2</v>
      </c>
      <c r="T1012">
        <v>0</v>
      </c>
      <c r="U1012" t="s">
        <v>9341</v>
      </c>
      <c r="V1012">
        <f>Tabla1[[#This Row],[Aboard]]-Tabla1[[#This Row],[Fatalities]]</f>
        <v>0</v>
      </c>
      <c r="W1012" s="50">
        <f>IFERROR(Tabla1[[#This Row],[Fatalities]]/Tabla1[[#This Row],[Aboard]],0)</f>
        <v>1</v>
      </c>
      <c r="X1012" s="51" t="str" cm="1">
        <f t="array" ref="X1012">_xlfn.IFS(Tabla1[[#This Row],[Porcentaje de muertes]]&lt;0.35,"LEVE",AND(Tabla1[[#This Row],[Porcentaje de muertes]]&gt;0.35,Tabla1[[#This Row],[Porcentaje de muertes]]&lt;0.65),"MEDIO",Tabla1[[#This Row],[Porcentaje de muertes]]&gt;0.65,"GRAVE")</f>
        <v>GRAVE</v>
      </c>
    </row>
    <row r="1013" spans="2:24" x14ac:dyDescent="0.3">
      <c r="B1013" s="9">
        <v>1011</v>
      </c>
      <c r="C1013" s="49">
        <v>17838</v>
      </c>
      <c r="D1013" s="9">
        <f>YEAR(Tabla1[[#This Row],[Date]])</f>
        <v>1948</v>
      </c>
      <c r="E1013" s="9" t="str" cm="1">
        <f t="array" ref="E1013">IFERROR(_xlfn.IFS(AND(D1013&lt;1980,D1013&gt;=1970),"70",AND(D1013&lt;1990,D1013&gt;=1980),"80",AND(D1013&lt;2000,D1013&gt;=1990),"90",AND(D1013&lt;2010,D1013&gt;=2000),"00",AND(D1013&lt;=2019,D1013&gt;=2010),"10"),"1908-1970")</f>
        <v>1908-1970</v>
      </c>
      <c r="F1013" s="3" t="s">
        <v>28931</v>
      </c>
      <c r="G1013" t="s">
        <v>9342</v>
      </c>
      <c r="H1013" t="s">
        <v>9343</v>
      </c>
      <c r="I1013" t="s">
        <v>28931</v>
      </c>
      <c r="J1013" t="s">
        <v>9344</v>
      </c>
      <c r="K1013" t="s">
        <v>7057</v>
      </c>
      <c r="L1013" s="7" t="s">
        <v>9345</v>
      </c>
      <c r="M1013">
        <v>4735</v>
      </c>
      <c r="N1013">
        <v>32</v>
      </c>
      <c r="O1013">
        <v>29</v>
      </c>
      <c r="P1013">
        <v>3</v>
      </c>
      <c r="Q1013">
        <v>32</v>
      </c>
      <c r="R1013">
        <v>29</v>
      </c>
      <c r="S1013">
        <v>3</v>
      </c>
      <c r="T1013">
        <v>0</v>
      </c>
      <c r="U1013" t="s">
        <v>9346</v>
      </c>
      <c r="V1013">
        <f>Tabla1[[#This Row],[Aboard]]-Tabla1[[#This Row],[Fatalities]]</f>
        <v>0</v>
      </c>
      <c r="W1013" s="50">
        <f>IFERROR(Tabla1[[#This Row],[Fatalities]]/Tabla1[[#This Row],[Aboard]],0)</f>
        <v>1</v>
      </c>
      <c r="X1013" s="51" t="str" cm="1">
        <f t="array" ref="X1013">_xlfn.IFS(Tabla1[[#This Row],[Porcentaje de muertes]]&lt;0.35,"LEVE",AND(Tabla1[[#This Row],[Porcentaje de muertes]]&gt;0.35,Tabla1[[#This Row],[Porcentaje de muertes]]&lt;0.65),"MEDIO",Tabla1[[#This Row],[Porcentaje de muertes]]&gt;0.65,"GRAVE")</f>
        <v>GRAVE</v>
      </c>
    </row>
    <row r="1014" spans="2:24" x14ac:dyDescent="0.3">
      <c r="B1014" s="9">
        <v>1012</v>
      </c>
      <c r="C1014" s="49">
        <v>17545</v>
      </c>
      <c r="D1014" s="9">
        <f>YEAR(Tabla1[[#This Row],[Date]])</f>
        <v>1948</v>
      </c>
      <c r="E1014" s="9" t="str" cm="1">
        <f t="array" ref="E1014">IFERROR(_xlfn.IFS(AND(D1014&lt;1980,D1014&gt;=1970),"70",AND(D1014&lt;1990,D1014&gt;=1980),"80",AND(D1014&lt;2000,D1014&gt;=1990),"90",AND(D1014&lt;2010,D1014&gt;=2000),"00",AND(D1014&lt;=2019,D1014&gt;=2010),"10"),"1908-1970")</f>
        <v>1908-1970</v>
      </c>
      <c r="F1014" s="3">
        <v>0.19166666666666665</v>
      </c>
      <c r="G1014" t="s">
        <v>9347</v>
      </c>
      <c r="H1014" t="s">
        <v>6941</v>
      </c>
      <c r="I1014">
        <v>572</v>
      </c>
      <c r="J1014" t="s">
        <v>9348</v>
      </c>
      <c r="K1014" t="s">
        <v>9349</v>
      </c>
      <c r="L1014" s="7" t="s">
        <v>9350</v>
      </c>
      <c r="M1014">
        <v>4092</v>
      </c>
      <c r="N1014">
        <v>9</v>
      </c>
      <c r="O1014">
        <v>6</v>
      </c>
      <c r="P1014">
        <v>3</v>
      </c>
      <c r="Q1014">
        <v>5</v>
      </c>
      <c r="R1014">
        <v>3</v>
      </c>
      <c r="S1014">
        <v>2</v>
      </c>
      <c r="T1014">
        <v>0</v>
      </c>
      <c r="U1014" t="s">
        <v>9351</v>
      </c>
      <c r="V1014">
        <f>Tabla1[[#This Row],[Aboard]]-Tabla1[[#This Row],[Fatalities]]</f>
        <v>4</v>
      </c>
      <c r="W1014" s="50">
        <f>IFERROR(Tabla1[[#This Row],[Fatalities]]/Tabla1[[#This Row],[Aboard]],0)</f>
        <v>0.55555555555555558</v>
      </c>
      <c r="X1014" s="51" t="str" cm="1">
        <f t="array" ref="X1014">_xlfn.IFS(Tabla1[[#This Row],[Porcentaje de muertes]]&lt;0.35,"LEVE",AND(Tabla1[[#This Row],[Porcentaje de muertes]]&gt;0.35,Tabla1[[#This Row],[Porcentaje de muertes]]&lt;0.65),"MEDIO",Tabla1[[#This Row],[Porcentaje de muertes]]&gt;0.65,"GRAVE")</f>
        <v>MEDIO</v>
      </c>
    </row>
    <row r="1015" spans="2:24" x14ac:dyDescent="0.3">
      <c r="B1015" s="9">
        <v>1013</v>
      </c>
      <c r="C1015" s="49">
        <v>17552</v>
      </c>
      <c r="D1015" s="9">
        <f>YEAR(Tabla1[[#This Row],[Date]])</f>
        <v>1948</v>
      </c>
      <c r="E1015" s="9" t="str" cm="1">
        <f t="array" ref="E1015">IFERROR(_xlfn.IFS(AND(D1015&lt;1980,D1015&gt;=1970),"70",AND(D1015&lt;1990,D1015&gt;=1980),"80",AND(D1015&lt;2000,D1015&gt;=1990),"90",AND(D1015&lt;2010,D1015&gt;=2000),"00",AND(D1015&lt;=2019,D1015&gt;=2010),"10"),"1908-1970")</f>
        <v>1908-1970</v>
      </c>
      <c r="F1015" s="3" t="s">
        <v>28931</v>
      </c>
      <c r="G1015" t="s">
        <v>9352</v>
      </c>
      <c r="H1015" t="s">
        <v>6010</v>
      </c>
      <c r="I1015" t="s">
        <v>28931</v>
      </c>
      <c r="J1015" t="s">
        <v>28931</v>
      </c>
      <c r="K1015" t="s">
        <v>8697</v>
      </c>
      <c r="L1015" s="7" t="s">
        <v>28931</v>
      </c>
      <c r="M1015" t="s">
        <v>28931</v>
      </c>
      <c r="N1015">
        <v>54</v>
      </c>
      <c r="O1015">
        <v>51</v>
      </c>
      <c r="P1015">
        <v>3</v>
      </c>
      <c r="Q1015">
        <v>11</v>
      </c>
      <c r="R1015">
        <v>11</v>
      </c>
      <c r="S1015">
        <v>0</v>
      </c>
      <c r="T1015">
        <v>0</v>
      </c>
      <c r="U1015" t="s">
        <v>9353</v>
      </c>
      <c r="V1015">
        <f>Tabla1[[#This Row],[Aboard]]-Tabla1[[#This Row],[Fatalities]]</f>
        <v>43</v>
      </c>
      <c r="W1015" s="50">
        <f>IFERROR(Tabla1[[#This Row],[Fatalities]]/Tabla1[[#This Row],[Aboard]],0)</f>
        <v>0.20370370370370369</v>
      </c>
      <c r="X1015" s="51" t="str" cm="1">
        <f t="array" ref="X1015">_xlfn.IFS(Tabla1[[#This Row],[Porcentaje de muertes]]&lt;0.35,"LEVE",AND(Tabla1[[#This Row],[Porcentaje de muertes]]&gt;0.35,Tabla1[[#This Row],[Porcentaje de muertes]]&lt;0.65),"MEDIO",Tabla1[[#This Row],[Porcentaje de muertes]]&gt;0.65,"GRAVE")</f>
        <v>LEVE</v>
      </c>
    </row>
    <row r="1016" spans="2:24" x14ac:dyDescent="0.3">
      <c r="B1016" s="9">
        <v>1014</v>
      </c>
      <c r="C1016" s="49">
        <v>17560</v>
      </c>
      <c r="D1016" s="9">
        <f>YEAR(Tabla1[[#This Row],[Date]])</f>
        <v>1948</v>
      </c>
      <c r="E1016" s="9" t="str" cm="1">
        <f t="array" ref="E1016">IFERROR(_xlfn.IFS(AND(D1016&lt;1980,D1016&gt;=1970),"70",AND(D1016&lt;1990,D1016&gt;=1980),"80",AND(D1016&lt;2000,D1016&gt;=1990),"90",AND(D1016&lt;2010,D1016&gt;=2000),"00",AND(D1016&lt;=2019,D1016&gt;=2010),"10"),"1908-1970")</f>
        <v>1908-1970</v>
      </c>
      <c r="F1016" s="3">
        <v>0.4513888888888889</v>
      </c>
      <c r="G1016" t="s">
        <v>9354</v>
      </c>
      <c r="H1016" t="s">
        <v>9355</v>
      </c>
      <c r="I1016" t="s">
        <v>28931</v>
      </c>
      <c r="J1016" t="s">
        <v>9356</v>
      </c>
      <c r="K1016" t="s">
        <v>9357</v>
      </c>
      <c r="L1016" s="7" t="s">
        <v>9358</v>
      </c>
      <c r="M1016" t="s">
        <v>9359</v>
      </c>
      <c r="N1016">
        <v>32</v>
      </c>
      <c r="O1016">
        <v>29</v>
      </c>
      <c r="P1016">
        <v>3</v>
      </c>
      <c r="Q1016">
        <v>32</v>
      </c>
      <c r="R1016">
        <v>29</v>
      </c>
      <c r="S1016">
        <v>3</v>
      </c>
      <c r="T1016">
        <v>0</v>
      </c>
      <c r="U1016" t="s">
        <v>9360</v>
      </c>
      <c r="V1016">
        <f>Tabla1[[#This Row],[Aboard]]-Tabla1[[#This Row],[Fatalities]]</f>
        <v>0</v>
      </c>
      <c r="W1016" s="50">
        <f>IFERROR(Tabla1[[#This Row],[Fatalities]]/Tabla1[[#This Row],[Aboard]],0)</f>
        <v>1</v>
      </c>
      <c r="X1016" s="51" t="str" cm="1">
        <f t="array" ref="X1016">_xlfn.IFS(Tabla1[[#This Row],[Porcentaje de muertes]]&lt;0.35,"LEVE",AND(Tabla1[[#This Row],[Porcentaje de muertes]]&gt;0.35,Tabla1[[#This Row],[Porcentaje de muertes]]&lt;0.65),"MEDIO",Tabla1[[#This Row],[Porcentaje de muertes]]&gt;0.65,"GRAVE")</f>
        <v>GRAVE</v>
      </c>
    </row>
    <row r="1017" spans="2:24" x14ac:dyDescent="0.3">
      <c r="B1017" s="9">
        <v>1015</v>
      </c>
      <c r="C1017" s="49">
        <v>17562</v>
      </c>
      <c r="D1017" s="9">
        <f>YEAR(Tabla1[[#This Row],[Date]])</f>
        <v>1948</v>
      </c>
      <c r="E1017" s="9" t="str" cm="1">
        <f t="array" ref="E1017">IFERROR(_xlfn.IFS(AND(D1017&lt;1980,D1017&gt;=1970),"70",AND(D1017&lt;1990,D1017&gt;=1980),"80",AND(D1017&lt;2000,D1017&gt;=1990),"90",AND(D1017&lt;2010,D1017&gt;=2000),"00",AND(D1017&lt;=2019,D1017&gt;=2010),"10"),"1908-1970")</f>
        <v>1908-1970</v>
      </c>
      <c r="F1017" s="3">
        <v>0.125</v>
      </c>
      <c r="G1017" t="s">
        <v>9361</v>
      </c>
      <c r="H1017" t="s">
        <v>8763</v>
      </c>
      <c r="I1017" t="s">
        <v>28931</v>
      </c>
      <c r="J1017" t="s">
        <v>9362</v>
      </c>
      <c r="K1017" t="s">
        <v>9363</v>
      </c>
      <c r="L1017" s="7" t="s">
        <v>9364</v>
      </c>
      <c r="M1017">
        <v>1349</v>
      </c>
      <c r="N1017">
        <v>31</v>
      </c>
      <c r="O1017">
        <v>25</v>
      </c>
      <c r="P1017">
        <v>6</v>
      </c>
      <c r="Q1017">
        <v>31</v>
      </c>
      <c r="R1017">
        <v>25</v>
      </c>
      <c r="S1017">
        <v>6</v>
      </c>
      <c r="T1017">
        <v>0</v>
      </c>
      <c r="U1017" t="s">
        <v>9365</v>
      </c>
      <c r="V1017">
        <f>Tabla1[[#This Row],[Aboard]]-Tabla1[[#This Row],[Fatalities]]</f>
        <v>0</v>
      </c>
      <c r="W1017" s="50">
        <f>IFERROR(Tabla1[[#This Row],[Fatalities]]/Tabla1[[#This Row],[Aboard]],0)</f>
        <v>1</v>
      </c>
      <c r="X1017" s="51" t="str" cm="1">
        <f t="array" ref="X1017">_xlfn.IFS(Tabla1[[#This Row],[Porcentaje de muertes]]&lt;0.35,"LEVE",AND(Tabla1[[#This Row],[Porcentaje de muertes]]&gt;0.35,Tabla1[[#This Row],[Porcentaje de muertes]]&lt;0.65),"MEDIO",Tabla1[[#This Row],[Porcentaje de muertes]]&gt;0.65,"GRAVE")</f>
        <v>GRAVE</v>
      </c>
    </row>
    <row r="1018" spans="2:24" x14ac:dyDescent="0.3">
      <c r="B1018" s="9">
        <v>1016</v>
      </c>
      <c r="C1018" s="49">
        <v>17716</v>
      </c>
      <c r="D1018" s="9">
        <f>YEAR(Tabla1[[#This Row],[Date]])</f>
        <v>1948</v>
      </c>
      <c r="E1018" s="9" t="str" cm="1">
        <f t="array" ref="E1018">IFERROR(_xlfn.IFS(AND(D1018&lt;1980,D1018&gt;=1970),"70",AND(D1018&lt;1990,D1018&gt;=1980),"80",AND(D1018&lt;2000,D1018&gt;=1990),"90",AND(D1018&lt;2010,D1018&gt;=2000),"00",AND(D1018&lt;=2019,D1018&gt;=2010),"10"),"1908-1970")</f>
        <v>1908-1970</v>
      </c>
      <c r="F1018" s="3">
        <v>0.56041666666666667</v>
      </c>
      <c r="G1018" t="s">
        <v>9366</v>
      </c>
      <c r="H1018" t="s">
        <v>6941</v>
      </c>
      <c r="I1018">
        <v>611</v>
      </c>
      <c r="J1018" t="s">
        <v>28931</v>
      </c>
      <c r="K1018" t="s">
        <v>9367</v>
      </c>
      <c r="L1018" s="7" t="s">
        <v>9368</v>
      </c>
      <c r="M1018">
        <v>2533</v>
      </c>
      <c r="N1018">
        <v>69</v>
      </c>
      <c r="O1018">
        <v>63</v>
      </c>
      <c r="P1018">
        <v>6</v>
      </c>
      <c r="Q1018">
        <v>1</v>
      </c>
      <c r="R1018">
        <v>0</v>
      </c>
      <c r="S1018">
        <v>1</v>
      </c>
      <c r="T1018">
        <v>0</v>
      </c>
      <c r="U1018" t="s">
        <v>9369</v>
      </c>
      <c r="V1018">
        <f>Tabla1[[#This Row],[Aboard]]-Tabla1[[#This Row],[Fatalities]]</f>
        <v>68</v>
      </c>
      <c r="W1018" s="50">
        <f>IFERROR(Tabla1[[#This Row],[Fatalities]]/Tabla1[[#This Row],[Aboard]],0)</f>
        <v>1.4492753623188406E-2</v>
      </c>
      <c r="X1018" s="51" t="str" cm="1">
        <f t="array" ref="X1018">_xlfn.IFS(Tabla1[[#This Row],[Porcentaje de muertes]]&lt;0.35,"LEVE",AND(Tabla1[[#This Row],[Porcentaje de muertes]]&gt;0.35,Tabla1[[#This Row],[Porcentaje de muertes]]&lt;0.65),"MEDIO",Tabla1[[#This Row],[Porcentaje de muertes]]&gt;0.65,"GRAVE")</f>
        <v>LEVE</v>
      </c>
    </row>
    <row r="1019" spans="2:24" x14ac:dyDescent="0.3">
      <c r="B1019" s="9">
        <v>1017</v>
      </c>
      <c r="C1019" s="49">
        <v>17808</v>
      </c>
      <c r="D1019" s="9">
        <f>YEAR(Tabla1[[#This Row],[Date]])</f>
        <v>1948</v>
      </c>
      <c r="E1019" s="9" t="str" cm="1">
        <f t="array" ref="E1019">IFERROR(_xlfn.IFS(AND(D1019&lt;1980,D1019&gt;=1970),"70",AND(D1019&lt;1990,D1019&gt;=1980),"80",AND(D1019&lt;2000,D1019&gt;=1990),"90",AND(D1019&lt;2010,D1019&gt;=2000),"00",AND(D1019&lt;=2019,D1019&gt;=2010),"10"),"1908-1970")</f>
        <v>1908-1970</v>
      </c>
      <c r="F1019" s="3">
        <v>0.6875</v>
      </c>
      <c r="G1019" t="s">
        <v>9370</v>
      </c>
      <c r="H1019" t="s">
        <v>5332</v>
      </c>
      <c r="I1019" t="s">
        <v>28931</v>
      </c>
      <c r="J1019" t="s">
        <v>9371</v>
      </c>
      <c r="K1019" t="s">
        <v>7057</v>
      </c>
      <c r="L1019" s="7" t="s">
        <v>9372</v>
      </c>
      <c r="M1019" t="s">
        <v>9373</v>
      </c>
      <c r="N1019">
        <v>19</v>
      </c>
      <c r="O1019">
        <v>15</v>
      </c>
      <c r="P1019">
        <v>4</v>
      </c>
      <c r="Q1019">
        <v>19</v>
      </c>
      <c r="R1019">
        <v>15</v>
      </c>
      <c r="S1019">
        <v>4</v>
      </c>
      <c r="T1019">
        <v>0</v>
      </c>
      <c r="U1019" t="s">
        <v>9374</v>
      </c>
      <c r="V1019">
        <f>Tabla1[[#This Row],[Aboard]]-Tabla1[[#This Row],[Fatalities]]</f>
        <v>0</v>
      </c>
      <c r="W1019" s="50">
        <f>IFERROR(Tabla1[[#This Row],[Fatalities]]/Tabla1[[#This Row],[Aboard]],0)</f>
        <v>1</v>
      </c>
      <c r="X1019" s="51" t="str" cm="1">
        <f t="array" ref="X1019">_xlfn.IFS(Tabla1[[#This Row],[Porcentaje de muertes]]&lt;0.35,"LEVE",AND(Tabla1[[#This Row],[Porcentaje de muertes]]&gt;0.35,Tabla1[[#This Row],[Porcentaje de muertes]]&lt;0.65),"MEDIO",Tabla1[[#This Row],[Porcentaje de muertes]]&gt;0.65,"GRAVE")</f>
        <v>GRAVE</v>
      </c>
    </row>
    <row r="1020" spans="2:24" x14ac:dyDescent="0.3">
      <c r="B1020" s="9">
        <v>1018</v>
      </c>
      <c r="C1020" s="49">
        <v>17869</v>
      </c>
      <c r="D1020" s="9">
        <f>YEAR(Tabla1[[#This Row],[Date]])</f>
        <v>1948</v>
      </c>
      <c r="E1020" s="9" t="str" cm="1">
        <f t="array" ref="E1020">IFERROR(_xlfn.IFS(AND(D1020&lt;1980,D1020&gt;=1970),"70",AND(D1020&lt;1990,D1020&gt;=1980),"80",AND(D1020&lt;2000,D1020&gt;=1990),"90",AND(D1020&lt;2010,D1020&gt;=2000),"00",AND(D1020&lt;=2019,D1020&gt;=2010),"10"),"1908-1970")</f>
        <v>1908-1970</v>
      </c>
      <c r="F1020" s="3">
        <v>0.55902777777777779</v>
      </c>
      <c r="G1020" t="s">
        <v>9375</v>
      </c>
      <c r="H1020" t="s">
        <v>9376</v>
      </c>
      <c r="I1020" t="s">
        <v>28931</v>
      </c>
      <c r="J1020" t="s">
        <v>9377</v>
      </c>
      <c r="K1020" t="s">
        <v>7057</v>
      </c>
      <c r="L1020" s="7" t="s">
        <v>9378</v>
      </c>
      <c r="M1020">
        <v>7330</v>
      </c>
      <c r="N1020">
        <v>21</v>
      </c>
      <c r="O1020">
        <v>17</v>
      </c>
      <c r="P1020">
        <v>4</v>
      </c>
      <c r="Q1020">
        <v>12</v>
      </c>
      <c r="R1020">
        <v>8</v>
      </c>
      <c r="S1020">
        <v>4</v>
      </c>
      <c r="T1020">
        <v>0</v>
      </c>
      <c r="U1020" t="s">
        <v>9379</v>
      </c>
      <c r="V1020">
        <f>Tabla1[[#This Row],[Aboard]]-Tabla1[[#This Row],[Fatalities]]</f>
        <v>9</v>
      </c>
      <c r="W1020" s="50">
        <f>IFERROR(Tabla1[[#This Row],[Fatalities]]/Tabla1[[#This Row],[Aboard]],0)</f>
        <v>0.5714285714285714</v>
      </c>
      <c r="X1020" s="51" t="str" cm="1">
        <f t="array" ref="X1020">_xlfn.IFS(Tabla1[[#This Row],[Porcentaje de muertes]]&lt;0.35,"LEVE",AND(Tabla1[[#This Row],[Porcentaje de muertes]]&gt;0.35,Tabla1[[#This Row],[Porcentaje de muertes]]&lt;0.65),"MEDIO",Tabla1[[#This Row],[Porcentaje de muertes]]&gt;0.65,"GRAVE")</f>
        <v>MEDIO</v>
      </c>
    </row>
    <row r="1021" spans="2:24" x14ac:dyDescent="0.3">
      <c r="B1021" s="9">
        <v>1019</v>
      </c>
      <c r="C1021" s="49">
        <v>17583</v>
      </c>
      <c r="D1021" s="9">
        <f>YEAR(Tabla1[[#This Row],[Date]])</f>
        <v>1948</v>
      </c>
      <c r="E1021" s="9" t="str" cm="1">
        <f t="array" ref="E1021">IFERROR(_xlfn.IFS(AND(D1021&lt;1980,D1021&gt;=1970),"70",AND(D1021&lt;1990,D1021&gt;=1980),"80",AND(D1021&lt;2000,D1021&gt;=1990),"90",AND(D1021&lt;2010,D1021&gt;=2000),"00",AND(D1021&lt;=2019,D1021&gt;=2010),"10"),"1908-1970")</f>
        <v>1908-1970</v>
      </c>
      <c r="F1021" s="3">
        <v>0.56944444444444442</v>
      </c>
      <c r="G1021" t="s">
        <v>9380</v>
      </c>
      <c r="H1021" t="s">
        <v>9381</v>
      </c>
      <c r="I1021" t="s">
        <v>28931</v>
      </c>
      <c r="J1021" t="s">
        <v>9382</v>
      </c>
      <c r="K1021" t="s">
        <v>7934</v>
      </c>
      <c r="L1021" s="7" t="s">
        <v>9383</v>
      </c>
      <c r="M1021">
        <v>4312</v>
      </c>
      <c r="N1021">
        <v>10</v>
      </c>
      <c r="O1021">
        <v>7</v>
      </c>
      <c r="P1021">
        <v>3</v>
      </c>
      <c r="Q1021">
        <v>7</v>
      </c>
      <c r="R1021">
        <v>4</v>
      </c>
      <c r="S1021">
        <v>3</v>
      </c>
      <c r="T1021">
        <v>0</v>
      </c>
      <c r="U1021" t="s">
        <v>9384</v>
      </c>
      <c r="V1021">
        <f>Tabla1[[#This Row],[Aboard]]-Tabla1[[#This Row],[Fatalities]]</f>
        <v>3</v>
      </c>
      <c r="W1021" s="50">
        <f>IFERROR(Tabla1[[#This Row],[Fatalities]]/Tabla1[[#This Row],[Aboard]],0)</f>
        <v>0.7</v>
      </c>
      <c r="X1021" s="51" t="str" cm="1">
        <f t="array" ref="X1021">_xlfn.IFS(Tabla1[[#This Row],[Porcentaje de muertes]]&lt;0.35,"LEVE",AND(Tabla1[[#This Row],[Porcentaje de muertes]]&gt;0.35,Tabla1[[#This Row],[Porcentaje de muertes]]&lt;0.65),"MEDIO",Tabla1[[#This Row],[Porcentaje de muertes]]&gt;0.65,"GRAVE")</f>
        <v>GRAVE</v>
      </c>
    </row>
    <row r="1022" spans="2:24" x14ac:dyDescent="0.3">
      <c r="B1022" s="9">
        <v>1020</v>
      </c>
      <c r="C1022" s="49">
        <v>17584</v>
      </c>
      <c r="D1022" s="9">
        <f>YEAR(Tabla1[[#This Row],[Date]])</f>
        <v>1948</v>
      </c>
      <c r="E1022" s="9" t="str" cm="1">
        <f t="array" ref="E1022">IFERROR(_xlfn.IFS(AND(D1022&lt;1980,D1022&gt;=1970),"70",AND(D1022&lt;1990,D1022&gt;=1980),"80",AND(D1022&lt;2000,D1022&gt;=1990),"90",AND(D1022&lt;2010,D1022&gt;=2000),"00",AND(D1022&lt;=2019,D1022&gt;=2010),"10"),"1908-1970")</f>
        <v>1908-1970</v>
      </c>
      <c r="F1022" s="3">
        <v>0.58333333333333337</v>
      </c>
      <c r="G1022" t="s">
        <v>9385</v>
      </c>
      <c r="H1022" t="s">
        <v>5162</v>
      </c>
      <c r="I1022" t="s">
        <v>28931</v>
      </c>
      <c r="J1022" t="s">
        <v>28931</v>
      </c>
      <c r="K1022" t="s">
        <v>9386</v>
      </c>
      <c r="L1022" s="7" t="s">
        <v>9387</v>
      </c>
      <c r="M1022">
        <v>7</v>
      </c>
      <c r="N1022">
        <v>14</v>
      </c>
      <c r="O1022">
        <v>7</v>
      </c>
      <c r="P1022">
        <v>7</v>
      </c>
      <c r="Q1022">
        <v>14</v>
      </c>
      <c r="R1022">
        <v>7</v>
      </c>
      <c r="S1022">
        <v>7</v>
      </c>
      <c r="T1022">
        <v>0</v>
      </c>
      <c r="U1022" t="s">
        <v>9388</v>
      </c>
      <c r="V1022">
        <f>Tabla1[[#This Row],[Aboard]]-Tabla1[[#This Row],[Fatalities]]</f>
        <v>0</v>
      </c>
      <c r="W1022" s="50">
        <f>IFERROR(Tabla1[[#This Row],[Fatalities]]/Tabla1[[#This Row],[Aboard]],0)</f>
        <v>1</v>
      </c>
      <c r="X1022" s="51" t="str" cm="1">
        <f t="array" ref="X1022">_xlfn.IFS(Tabla1[[#This Row],[Porcentaje de muertes]]&lt;0.35,"LEVE",AND(Tabla1[[#This Row],[Porcentaje de muertes]]&gt;0.35,Tabla1[[#This Row],[Porcentaje de muertes]]&lt;0.65),"MEDIO",Tabla1[[#This Row],[Porcentaje de muertes]]&gt;0.65,"GRAVE")</f>
        <v>GRAVE</v>
      </c>
    </row>
    <row r="1023" spans="2:24" x14ac:dyDescent="0.3">
      <c r="B1023" s="9">
        <v>1021</v>
      </c>
      <c r="C1023" s="49">
        <v>17586</v>
      </c>
      <c r="D1023" s="9">
        <f>YEAR(Tabla1[[#This Row],[Date]])</f>
        <v>1948</v>
      </c>
      <c r="E1023" s="9" t="str" cm="1">
        <f t="array" ref="E1023">IFERROR(_xlfn.IFS(AND(D1023&lt;1980,D1023&gt;=1970),"70",AND(D1023&lt;1990,D1023&gt;=1980),"80",AND(D1023&lt;2000,D1023&gt;=1990),"90",AND(D1023&lt;2010,D1023&gt;=2000),"00",AND(D1023&lt;=2019,D1023&gt;=2010),"10"),"1908-1970")</f>
        <v>1908-1970</v>
      </c>
      <c r="F1023" s="3" t="s">
        <v>28931</v>
      </c>
      <c r="G1023" t="s">
        <v>9389</v>
      </c>
      <c r="H1023" t="s">
        <v>9390</v>
      </c>
      <c r="I1023" t="s">
        <v>28931</v>
      </c>
      <c r="J1023" t="s">
        <v>28931</v>
      </c>
      <c r="K1023" t="s">
        <v>7057</v>
      </c>
      <c r="L1023" s="7" t="s">
        <v>9391</v>
      </c>
      <c r="M1023" t="s">
        <v>28931</v>
      </c>
      <c r="N1023">
        <v>12</v>
      </c>
      <c r="O1023">
        <v>9</v>
      </c>
      <c r="P1023">
        <v>3</v>
      </c>
      <c r="Q1023">
        <v>12</v>
      </c>
      <c r="R1023">
        <v>9</v>
      </c>
      <c r="S1023">
        <v>3</v>
      </c>
      <c r="T1023">
        <v>0</v>
      </c>
      <c r="U1023" t="s">
        <v>9392</v>
      </c>
      <c r="V1023">
        <f>Tabla1[[#This Row],[Aboard]]-Tabla1[[#This Row],[Fatalities]]</f>
        <v>0</v>
      </c>
      <c r="W1023" s="50">
        <f>IFERROR(Tabla1[[#This Row],[Fatalities]]/Tabla1[[#This Row],[Aboard]],0)</f>
        <v>1</v>
      </c>
      <c r="X1023" s="51" t="str" cm="1">
        <f t="array" ref="X1023">_xlfn.IFS(Tabla1[[#This Row],[Porcentaje de muertes]]&lt;0.35,"LEVE",AND(Tabla1[[#This Row],[Porcentaje de muertes]]&gt;0.35,Tabla1[[#This Row],[Porcentaje de muertes]]&lt;0.65),"MEDIO",Tabla1[[#This Row],[Porcentaje de muertes]]&gt;0.65,"GRAVE")</f>
        <v>GRAVE</v>
      </c>
    </row>
    <row r="1024" spans="2:24" x14ac:dyDescent="0.3">
      <c r="B1024" s="9">
        <v>1022</v>
      </c>
      <c r="C1024" s="49">
        <v>17588</v>
      </c>
      <c r="D1024" s="9">
        <f>YEAR(Tabla1[[#This Row],[Date]])</f>
        <v>1948</v>
      </c>
      <c r="E1024" s="9" t="str" cm="1">
        <f t="array" ref="E1024">IFERROR(_xlfn.IFS(AND(D1024&lt;1980,D1024&gt;=1970),"70",AND(D1024&lt;1990,D1024&gt;=1980),"80",AND(D1024&lt;2000,D1024&gt;=1990),"90",AND(D1024&lt;2010,D1024&gt;=2000),"00",AND(D1024&lt;=2019,D1024&gt;=2010),"10"),"1908-1970")</f>
        <v>1908-1970</v>
      </c>
      <c r="F1024" s="3">
        <v>0.25</v>
      </c>
      <c r="G1024" t="s">
        <v>5780</v>
      </c>
      <c r="H1024" t="s">
        <v>9393</v>
      </c>
      <c r="I1024" t="s">
        <v>28931</v>
      </c>
      <c r="J1024" t="s">
        <v>9394</v>
      </c>
      <c r="K1024" t="s">
        <v>8105</v>
      </c>
      <c r="L1024" s="7" t="s">
        <v>9395</v>
      </c>
      <c r="M1024">
        <v>12527</v>
      </c>
      <c r="N1024">
        <v>2</v>
      </c>
      <c r="O1024">
        <v>0</v>
      </c>
      <c r="P1024">
        <v>2</v>
      </c>
      <c r="Q1024">
        <v>2</v>
      </c>
      <c r="R1024">
        <v>0</v>
      </c>
      <c r="S1024">
        <v>2</v>
      </c>
      <c r="T1024">
        <v>0</v>
      </c>
      <c r="U1024" t="s">
        <v>9396</v>
      </c>
      <c r="V1024">
        <f>Tabla1[[#This Row],[Aboard]]-Tabla1[[#This Row],[Fatalities]]</f>
        <v>0</v>
      </c>
      <c r="W1024" s="50">
        <f>IFERROR(Tabla1[[#This Row],[Fatalities]]/Tabla1[[#This Row],[Aboard]],0)</f>
        <v>1</v>
      </c>
      <c r="X1024" s="51" t="str" cm="1">
        <f t="array" ref="X1024">_xlfn.IFS(Tabla1[[#This Row],[Porcentaje de muertes]]&lt;0.35,"LEVE",AND(Tabla1[[#This Row],[Porcentaje de muertes]]&gt;0.35,Tabla1[[#This Row],[Porcentaje de muertes]]&lt;0.65),"MEDIO",Tabla1[[#This Row],[Porcentaje de muertes]]&gt;0.65,"GRAVE")</f>
        <v>GRAVE</v>
      </c>
    </row>
    <row r="1025" spans="2:24" x14ac:dyDescent="0.3">
      <c r="B1025" s="9">
        <v>1023</v>
      </c>
      <c r="C1025" s="49">
        <v>17590</v>
      </c>
      <c r="D1025" s="9">
        <f>YEAR(Tabla1[[#This Row],[Date]])</f>
        <v>1948</v>
      </c>
      <c r="E1025" s="9" t="str" cm="1">
        <f t="array" ref="E1025">IFERROR(_xlfn.IFS(AND(D1025&lt;1980,D1025&gt;=1970),"70",AND(D1025&lt;1990,D1025&gt;=1980),"80",AND(D1025&lt;2000,D1025&gt;=1990),"90",AND(D1025&lt;2010,D1025&gt;=2000),"00",AND(D1025&lt;=2019,D1025&gt;=2010),"10"),"1908-1970")</f>
        <v>1908-1970</v>
      </c>
      <c r="F1025" s="3" t="s">
        <v>28931</v>
      </c>
      <c r="G1025" t="s">
        <v>9397</v>
      </c>
      <c r="H1025" t="s">
        <v>9398</v>
      </c>
      <c r="I1025" t="s">
        <v>28931</v>
      </c>
      <c r="J1025" t="s">
        <v>9399</v>
      </c>
      <c r="K1025" t="s">
        <v>7826</v>
      </c>
      <c r="L1025" s="7">
        <v>2040</v>
      </c>
      <c r="M1025">
        <v>20048</v>
      </c>
      <c r="N1025">
        <v>26</v>
      </c>
      <c r="O1025">
        <v>20</v>
      </c>
      <c r="P1025">
        <v>6</v>
      </c>
      <c r="Q1025">
        <v>23</v>
      </c>
      <c r="R1025">
        <v>17</v>
      </c>
      <c r="S1025">
        <v>6</v>
      </c>
      <c r="T1025">
        <v>0</v>
      </c>
      <c r="U1025" t="s">
        <v>9400</v>
      </c>
      <c r="V1025">
        <f>Tabla1[[#This Row],[Aboard]]-Tabla1[[#This Row],[Fatalities]]</f>
        <v>3</v>
      </c>
      <c r="W1025" s="50">
        <f>IFERROR(Tabla1[[#This Row],[Fatalities]]/Tabla1[[#This Row],[Aboard]],0)</f>
        <v>0.88461538461538458</v>
      </c>
      <c r="X1025" s="51" t="str" cm="1">
        <f t="array" ref="X1025">_xlfn.IFS(Tabla1[[#This Row],[Porcentaje de muertes]]&lt;0.35,"LEVE",AND(Tabla1[[#This Row],[Porcentaje de muertes]]&gt;0.35,Tabla1[[#This Row],[Porcentaje de muertes]]&lt;0.65),"MEDIO",Tabla1[[#This Row],[Porcentaje de muertes]]&gt;0.65,"GRAVE")</f>
        <v>GRAVE</v>
      </c>
    </row>
    <row r="1026" spans="2:24" x14ac:dyDescent="0.3">
      <c r="B1026" s="9">
        <v>1024</v>
      </c>
      <c r="C1026" s="49">
        <v>17566</v>
      </c>
      <c r="D1026" s="9">
        <f>YEAR(Tabla1[[#This Row],[Date]])</f>
        <v>1948</v>
      </c>
      <c r="E1026" s="9" t="str" cm="1">
        <f t="array" ref="E1026">IFERROR(_xlfn.IFS(AND(D1026&lt;1980,D1026&gt;=1970),"70",AND(D1026&lt;1990,D1026&gt;=1980),"80",AND(D1026&lt;2000,D1026&gt;=1990),"90",AND(D1026&lt;2010,D1026&gt;=2000),"00",AND(D1026&lt;=2019,D1026&gt;=2010),"10"),"1908-1970")</f>
        <v>1908-1970</v>
      </c>
      <c r="F1026" s="3" t="s">
        <v>28931</v>
      </c>
      <c r="G1026" t="s">
        <v>9401</v>
      </c>
      <c r="H1026" t="s">
        <v>9402</v>
      </c>
      <c r="I1026" t="s">
        <v>28931</v>
      </c>
      <c r="J1026" t="s">
        <v>9403</v>
      </c>
      <c r="K1026" t="s">
        <v>7574</v>
      </c>
      <c r="L1026" s="7" t="s">
        <v>9404</v>
      </c>
      <c r="M1026" t="s">
        <v>9405</v>
      </c>
      <c r="N1026">
        <v>4</v>
      </c>
      <c r="O1026">
        <v>0</v>
      </c>
      <c r="P1026">
        <v>4</v>
      </c>
      <c r="Q1026">
        <v>4</v>
      </c>
      <c r="R1026">
        <v>0</v>
      </c>
      <c r="S1026">
        <v>4</v>
      </c>
      <c r="T1026">
        <v>0</v>
      </c>
      <c r="U1026" t="s">
        <v>9406</v>
      </c>
      <c r="V1026">
        <f>Tabla1[[#This Row],[Aboard]]-Tabla1[[#This Row],[Fatalities]]</f>
        <v>0</v>
      </c>
      <c r="W1026" s="50">
        <f>IFERROR(Tabla1[[#This Row],[Fatalities]]/Tabla1[[#This Row],[Aboard]],0)</f>
        <v>1</v>
      </c>
      <c r="X1026" s="51" t="str" cm="1">
        <f t="array" ref="X1026">_xlfn.IFS(Tabla1[[#This Row],[Porcentaje de muertes]]&lt;0.35,"LEVE",AND(Tabla1[[#This Row],[Porcentaje de muertes]]&gt;0.35,Tabla1[[#This Row],[Porcentaje de muertes]]&lt;0.65),"MEDIO",Tabla1[[#This Row],[Porcentaje de muertes]]&gt;0.65,"GRAVE")</f>
        <v>GRAVE</v>
      </c>
    </row>
    <row r="1027" spans="2:24" x14ac:dyDescent="0.3">
      <c r="B1027" s="9">
        <v>1025</v>
      </c>
      <c r="C1027" s="49">
        <v>17566</v>
      </c>
      <c r="D1027" s="9">
        <f>YEAR(Tabla1[[#This Row],[Date]])</f>
        <v>1948</v>
      </c>
      <c r="E1027" s="9" t="str" cm="1">
        <f t="array" ref="E1027">IFERROR(_xlfn.IFS(AND(D1027&lt;1980,D1027&gt;=1970),"70",AND(D1027&lt;1990,D1027&gt;=1980),"80",AND(D1027&lt;2000,D1027&gt;=1990),"90",AND(D1027&lt;2010,D1027&gt;=2000),"00",AND(D1027&lt;=2019,D1027&gt;=2010),"10"),"1908-1970")</f>
        <v>1908-1970</v>
      </c>
      <c r="F1027" s="3">
        <v>0.8847222222222223</v>
      </c>
      <c r="G1027" t="s">
        <v>9407</v>
      </c>
      <c r="H1027" t="s">
        <v>5957</v>
      </c>
      <c r="I1027" t="s">
        <v>28931</v>
      </c>
      <c r="J1027" t="s">
        <v>6015</v>
      </c>
      <c r="K1027" t="s">
        <v>7057</v>
      </c>
      <c r="L1027" s="7" t="s">
        <v>9408</v>
      </c>
      <c r="M1027">
        <v>43154</v>
      </c>
      <c r="N1027">
        <v>22</v>
      </c>
      <c r="O1027">
        <v>19</v>
      </c>
      <c r="P1027">
        <v>3</v>
      </c>
      <c r="Q1027">
        <v>20</v>
      </c>
      <c r="R1027">
        <v>17</v>
      </c>
      <c r="S1027">
        <v>3</v>
      </c>
      <c r="T1027">
        <v>0</v>
      </c>
      <c r="U1027" t="s">
        <v>9409</v>
      </c>
      <c r="V1027">
        <f>Tabla1[[#This Row],[Aboard]]-Tabla1[[#This Row],[Fatalities]]</f>
        <v>2</v>
      </c>
      <c r="W1027" s="50">
        <f>IFERROR(Tabla1[[#This Row],[Fatalities]]/Tabla1[[#This Row],[Aboard]],0)</f>
        <v>0.90909090909090906</v>
      </c>
      <c r="X1027" s="51" t="str" cm="1">
        <f t="array" ref="X1027">_xlfn.IFS(Tabla1[[#This Row],[Porcentaje de muertes]]&lt;0.35,"LEVE",AND(Tabla1[[#This Row],[Porcentaje de muertes]]&gt;0.35,Tabla1[[#This Row],[Porcentaje de muertes]]&lt;0.65),"MEDIO",Tabla1[[#This Row],[Porcentaje de muertes]]&gt;0.65,"GRAVE")</f>
        <v>GRAVE</v>
      </c>
    </row>
    <row r="1028" spans="2:24" x14ac:dyDescent="0.3">
      <c r="B1028" s="9">
        <v>1026</v>
      </c>
      <c r="C1028" s="49">
        <v>17717</v>
      </c>
      <c r="D1028" s="9">
        <f>YEAR(Tabla1[[#This Row],[Date]])</f>
        <v>1948</v>
      </c>
      <c r="E1028" s="9" t="str" cm="1">
        <f t="array" ref="E1028">IFERROR(_xlfn.IFS(AND(D1028&lt;1980,D1028&gt;=1970),"70",AND(D1028&lt;1990,D1028&gt;=1980),"80",AND(D1028&lt;2000,D1028&gt;=1990),"90",AND(D1028&lt;2010,D1028&gt;=2000),"00",AND(D1028&lt;=2019,D1028&gt;=2010),"10"),"1908-1970")</f>
        <v>1908-1970</v>
      </c>
      <c r="F1028" s="3" t="s">
        <v>28931</v>
      </c>
      <c r="G1028" t="s">
        <v>9410</v>
      </c>
      <c r="H1028" t="s">
        <v>9411</v>
      </c>
      <c r="I1028" t="s">
        <v>28931</v>
      </c>
      <c r="J1028" t="s">
        <v>9412</v>
      </c>
      <c r="K1028" t="s">
        <v>8741</v>
      </c>
      <c r="L1028" s="7" t="s">
        <v>9413</v>
      </c>
      <c r="M1028">
        <v>4185</v>
      </c>
      <c r="N1028">
        <v>4</v>
      </c>
      <c r="O1028">
        <v>2</v>
      </c>
      <c r="P1028">
        <v>2</v>
      </c>
      <c r="Q1028">
        <v>4</v>
      </c>
      <c r="R1028">
        <v>2</v>
      </c>
      <c r="S1028">
        <v>2</v>
      </c>
      <c r="T1028">
        <v>0</v>
      </c>
      <c r="U1028" t="s">
        <v>9414</v>
      </c>
      <c r="V1028">
        <f>Tabla1[[#This Row],[Aboard]]-Tabla1[[#This Row],[Fatalities]]</f>
        <v>0</v>
      </c>
      <c r="W1028" s="50">
        <f>IFERROR(Tabla1[[#This Row],[Fatalities]]/Tabla1[[#This Row],[Aboard]],0)</f>
        <v>1</v>
      </c>
      <c r="X1028" s="51" t="str" cm="1">
        <f t="array" ref="X1028">_xlfn.IFS(Tabla1[[#This Row],[Porcentaje de muertes]]&lt;0.35,"LEVE",AND(Tabla1[[#This Row],[Porcentaje de muertes]]&gt;0.35,Tabla1[[#This Row],[Porcentaje de muertes]]&lt;0.65),"MEDIO",Tabla1[[#This Row],[Porcentaje de muertes]]&gt;0.65,"GRAVE")</f>
        <v>GRAVE</v>
      </c>
    </row>
    <row r="1029" spans="2:24" x14ac:dyDescent="0.3">
      <c r="B1029" s="9">
        <v>1027</v>
      </c>
      <c r="C1029" s="49">
        <v>17809</v>
      </c>
      <c r="D1029" s="9">
        <f>YEAR(Tabla1[[#This Row],[Date]])</f>
        <v>1948</v>
      </c>
      <c r="E1029" s="9" t="str" cm="1">
        <f t="array" ref="E1029">IFERROR(_xlfn.IFS(AND(D1029&lt;1980,D1029&gt;=1970),"70",AND(D1029&lt;1990,D1029&gt;=1980),"80",AND(D1029&lt;2000,D1029&gt;=1990),"90",AND(D1029&lt;2010,D1029&gt;=2000),"00",AND(D1029&lt;=2019,D1029&gt;=2010),"10"),"1908-1970")</f>
        <v>1908-1970</v>
      </c>
      <c r="F1029" s="3">
        <v>0.95694444444444438</v>
      </c>
      <c r="G1029" t="s">
        <v>5103</v>
      </c>
      <c r="H1029" t="s">
        <v>6658</v>
      </c>
      <c r="I1029">
        <v>700</v>
      </c>
      <c r="J1029" t="s">
        <v>9415</v>
      </c>
      <c r="K1029" t="s">
        <v>8822</v>
      </c>
      <c r="L1029" s="7" t="s">
        <v>9416</v>
      </c>
      <c r="M1029">
        <v>18390</v>
      </c>
      <c r="N1029">
        <v>13</v>
      </c>
      <c r="O1029">
        <v>9</v>
      </c>
      <c r="P1029">
        <v>4</v>
      </c>
      <c r="Q1029">
        <v>12</v>
      </c>
      <c r="R1029">
        <v>8</v>
      </c>
      <c r="S1029">
        <v>4</v>
      </c>
      <c r="T1029">
        <v>0</v>
      </c>
      <c r="U1029" t="s">
        <v>9417</v>
      </c>
      <c r="V1029">
        <f>Tabla1[[#This Row],[Aboard]]-Tabla1[[#This Row],[Fatalities]]</f>
        <v>1</v>
      </c>
      <c r="W1029" s="50">
        <f>IFERROR(Tabla1[[#This Row],[Fatalities]]/Tabla1[[#This Row],[Aboard]],0)</f>
        <v>0.92307692307692313</v>
      </c>
      <c r="X1029" s="51" t="str" cm="1">
        <f t="array" ref="X1029">_xlfn.IFS(Tabla1[[#This Row],[Porcentaje de muertes]]&lt;0.35,"LEVE",AND(Tabla1[[#This Row],[Porcentaje de muertes]]&gt;0.35,Tabla1[[#This Row],[Porcentaje de muertes]]&lt;0.65),"MEDIO",Tabla1[[#This Row],[Porcentaje de muertes]]&gt;0.65,"GRAVE")</f>
        <v>GRAVE</v>
      </c>
    </row>
    <row r="1030" spans="2:24" x14ac:dyDescent="0.3">
      <c r="B1030" s="9">
        <v>1028</v>
      </c>
      <c r="C1030" s="49">
        <v>17870</v>
      </c>
      <c r="D1030" s="9">
        <f>YEAR(Tabla1[[#This Row],[Date]])</f>
        <v>1948</v>
      </c>
      <c r="E1030" s="9" t="str" cm="1">
        <f t="array" ref="E1030">IFERROR(_xlfn.IFS(AND(D1030&lt;1980,D1030&gt;=1970),"70",AND(D1030&lt;1990,D1030&gt;=1980),"80",AND(D1030&lt;2000,D1030&gt;=1990),"90",AND(D1030&lt;2010,D1030&gt;=2000),"00",AND(D1030&lt;=2019,D1030&gt;=2010),"10"),"1908-1970")</f>
        <v>1908-1970</v>
      </c>
      <c r="F1030" s="3">
        <v>0.8847222222222223</v>
      </c>
      <c r="G1030" t="s">
        <v>9418</v>
      </c>
      <c r="H1030" t="s">
        <v>5769</v>
      </c>
      <c r="I1030">
        <v>4422</v>
      </c>
      <c r="J1030" t="s">
        <v>9419</v>
      </c>
      <c r="K1030" t="s">
        <v>9420</v>
      </c>
      <c r="L1030" s="7" t="s">
        <v>9421</v>
      </c>
      <c r="M1030" t="s">
        <v>9422</v>
      </c>
      <c r="N1030">
        <v>30</v>
      </c>
      <c r="O1030">
        <v>24</v>
      </c>
      <c r="P1030">
        <v>6</v>
      </c>
      <c r="Q1030">
        <v>30</v>
      </c>
      <c r="R1030">
        <v>24</v>
      </c>
      <c r="S1030">
        <v>6</v>
      </c>
      <c r="T1030">
        <v>0</v>
      </c>
      <c r="U1030" t="s">
        <v>9423</v>
      </c>
      <c r="V1030">
        <f>Tabla1[[#This Row],[Aboard]]-Tabla1[[#This Row],[Fatalities]]</f>
        <v>0</v>
      </c>
      <c r="W1030" s="50">
        <f>IFERROR(Tabla1[[#This Row],[Fatalities]]/Tabla1[[#This Row],[Aboard]],0)</f>
        <v>1</v>
      </c>
      <c r="X1030" s="51" t="str" cm="1">
        <f t="array" ref="X1030">_xlfn.IFS(Tabla1[[#This Row],[Porcentaje de muertes]]&lt;0.35,"LEVE",AND(Tabla1[[#This Row],[Porcentaje de muertes]]&gt;0.35,Tabla1[[#This Row],[Porcentaje de muertes]]&lt;0.65),"MEDIO",Tabla1[[#This Row],[Porcentaje de muertes]]&gt;0.65,"GRAVE")</f>
        <v>GRAVE</v>
      </c>
    </row>
    <row r="1031" spans="2:24" x14ac:dyDescent="0.3">
      <c r="B1031" s="9">
        <v>1029</v>
      </c>
      <c r="C1031" s="49">
        <v>17605</v>
      </c>
      <c r="D1031" s="9">
        <f>YEAR(Tabla1[[#This Row],[Date]])</f>
        <v>1948</v>
      </c>
      <c r="E1031" s="9" t="str" cm="1">
        <f t="array" ref="E1031">IFERROR(_xlfn.IFS(AND(D1031&lt;1980,D1031&gt;=1970),"70",AND(D1031&lt;1990,D1031&gt;=1980),"80",AND(D1031&lt;2000,D1031&gt;=1990),"90",AND(D1031&lt;2010,D1031&gt;=2000),"00",AND(D1031&lt;=2019,D1031&gt;=2010),"10"),"1908-1970")</f>
        <v>1908-1970</v>
      </c>
      <c r="F1031" s="3" t="s">
        <v>28931</v>
      </c>
      <c r="G1031" t="s">
        <v>9424</v>
      </c>
      <c r="H1031" t="s">
        <v>9425</v>
      </c>
      <c r="I1031" t="s">
        <v>28931</v>
      </c>
      <c r="J1031" t="s">
        <v>28931</v>
      </c>
      <c r="K1031" t="s">
        <v>7057</v>
      </c>
      <c r="L1031" s="7" t="s">
        <v>9426</v>
      </c>
      <c r="M1031">
        <v>11658</v>
      </c>
      <c r="N1031">
        <v>6</v>
      </c>
      <c r="O1031">
        <v>3</v>
      </c>
      <c r="P1031">
        <v>3</v>
      </c>
      <c r="Q1031">
        <v>6</v>
      </c>
      <c r="R1031">
        <v>3</v>
      </c>
      <c r="S1031">
        <v>3</v>
      </c>
      <c r="T1031">
        <v>0</v>
      </c>
      <c r="U1031" t="s">
        <v>9427</v>
      </c>
      <c r="V1031">
        <f>Tabla1[[#This Row],[Aboard]]-Tabla1[[#This Row],[Fatalities]]</f>
        <v>0</v>
      </c>
      <c r="W1031" s="50">
        <f>IFERROR(Tabla1[[#This Row],[Fatalities]]/Tabla1[[#This Row],[Aboard]],0)</f>
        <v>1</v>
      </c>
      <c r="X1031" s="51" t="str" cm="1">
        <f t="array" ref="X1031">_xlfn.IFS(Tabla1[[#This Row],[Porcentaje de muertes]]&lt;0.35,"LEVE",AND(Tabla1[[#This Row],[Porcentaje de muertes]]&gt;0.35,Tabla1[[#This Row],[Porcentaje de muertes]]&lt;0.65),"MEDIO",Tabla1[[#This Row],[Porcentaje de muertes]]&gt;0.65,"GRAVE")</f>
        <v>GRAVE</v>
      </c>
    </row>
    <row r="1032" spans="2:24" x14ac:dyDescent="0.3">
      <c r="B1032" s="9">
        <v>1030</v>
      </c>
      <c r="C1032" s="49">
        <v>17607</v>
      </c>
      <c r="D1032" s="9">
        <f>YEAR(Tabla1[[#This Row],[Date]])</f>
        <v>1948</v>
      </c>
      <c r="E1032" s="9" t="str" cm="1">
        <f t="array" ref="E1032">IFERROR(_xlfn.IFS(AND(D1032&lt;1980,D1032&gt;=1970),"70",AND(D1032&lt;1990,D1032&gt;=1980),"80",AND(D1032&lt;2000,D1032&gt;=1990),"90",AND(D1032&lt;2010,D1032&gt;=2000),"00",AND(D1032&lt;=2019,D1032&gt;=2010),"10"),"1908-1970")</f>
        <v>1908-1970</v>
      </c>
      <c r="F1032" s="3" t="s">
        <v>28931</v>
      </c>
      <c r="G1032" t="s">
        <v>9428</v>
      </c>
      <c r="H1032" t="s">
        <v>9429</v>
      </c>
      <c r="I1032" t="s">
        <v>28931</v>
      </c>
      <c r="J1032" t="s">
        <v>9430</v>
      </c>
      <c r="K1032" t="s">
        <v>9431</v>
      </c>
      <c r="L1032" s="7" t="s">
        <v>9432</v>
      </c>
      <c r="M1032">
        <v>6252</v>
      </c>
      <c r="N1032">
        <v>14</v>
      </c>
      <c r="O1032">
        <v>10</v>
      </c>
      <c r="P1032">
        <v>4</v>
      </c>
      <c r="Q1032">
        <v>14</v>
      </c>
      <c r="R1032">
        <v>10</v>
      </c>
      <c r="S1032">
        <v>4</v>
      </c>
      <c r="T1032">
        <v>0</v>
      </c>
      <c r="U1032" t="s">
        <v>9433</v>
      </c>
      <c r="V1032">
        <f>Tabla1[[#This Row],[Aboard]]-Tabla1[[#This Row],[Fatalities]]</f>
        <v>0</v>
      </c>
      <c r="W1032" s="50">
        <f>IFERROR(Tabla1[[#This Row],[Fatalities]]/Tabla1[[#This Row],[Aboard]],0)</f>
        <v>1</v>
      </c>
      <c r="X1032" s="51" t="str" cm="1">
        <f t="array" ref="X1032">_xlfn.IFS(Tabla1[[#This Row],[Porcentaje de muertes]]&lt;0.35,"LEVE",AND(Tabla1[[#This Row],[Porcentaje de muertes]]&gt;0.35,Tabla1[[#This Row],[Porcentaje de muertes]]&lt;0.65),"MEDIO",Tabla1[[#This Row],[Porcentaje de muertes]]&gt;0.65,"GRAVE")</f>
        <v>GRAVE</v>
      </c>
    </row>
    <row r="1033" spans="2:24" x14ac:dyDescent="0.3">
      <c r="B1033" s="9">
        <v>1031</v>
      </c>
      <c r="C1033" s="49">
        <v>17619</v>
      </c>
      <c r="D1033" s="9">
        <f>YEAR(Tabla1[[#This Row],[Date]])</f>
        <v>1948</v>
      </c>
      <c r="E1033" s="9" t="str" cm="1">
        <f t="array" ref="E1033">IFERROR(_xlfn.IFS(AND(D1033&lt;1980,D1033&gt;=1970),"70",AND(D1033&lt;1990,D1033&gt;=1980),"80",AND(D1033&lt;2000,D1033&gt;=1990),"90",AND(D1033&lt;2010,D1033&gt;=2000),"00",AND(D1033&lt;=2019,D1033&gt;=2010),"10"),"1908-1970")</f>
        <v>1908-1970</v>
      </c>
      <c r="F1033" s="3">
        <v>0.3125</v>
      </c>
      <c r="G1033" t="s">
        <v>9434</v>
      </c>
      <c r="H1033" t="s">
        <v>9435</v>
      </c>
      <c r="I1033" t="s">
        <v>28931</v>
      </c>
      <c r="J1033" t="s">
        <v>9436</v>
      </c>
      <c r="K1033" t="s">
        <v>9437</v>
      </c>
      <c r="L1033" s="7" t="s">
        <v>9438</v>
      </c>
      <c r="M1033">
        <v>166</v>
      </c>
      <c r="N1033">
        <v>19</v>
      </c>
      <c r="O1033">
        <v>15</v>
      </c>
      <c r="P1033">
        <v>4</v>
      </c>
      <c r="Q1033">
        <v>19</v>
      </c>
      <c r="R1033">
        <v>15</v>
      </c>
      <c r="S1033">
        <v>4</v>
      </c>
      <c r="T1033">
        <v>0</v>
      </c>
      <c r="U1033" t="s">
        <v>9439</v>
      </c>
      <c r="V1033">
        <f>Tabla1[[#This Row],[Aboard]]-Tabla1[[#This Row],[Fatalities]]</f>
        <v>0</v>
      </c>
      <c r="W1033" s="50">
        <f>IFERROR(Tabla1[[#This Row],[Fatalities]]/Tabla1[[#This Row],[Aboard]],0)</f>
        <v>1</v>
      </c>
      <c r="X1033" s="51" t="str" cm="1">
        <f t="array" ref="X1033">_xlfn.IFS(Tabla1[[#This Row],[Porcentaje de muertes]]&lt;0.35,"LEVE",AND(Tabla1[[#This Row],[Porcentaje de muertes]]&gt;0.35,Tabla1[[#This Row],[Porcentaje de muertes]]&lt;0.65),"MEDIO",Tabla1[[#This Row],[Porcentaje de muertes]]&gt;0.65,"GRAVE")</f>
        <v>GRAVE</v>
      </c>
    </row>
    <row r="1034" spans="2:24" x14ac:dyDescent="0.3">
      <c r="B1034" s="9">
        <v>1032</v>
      </c>
      <c r="C1034" s="49">
        <v>17657</v>
      </c>
      <c r="D1034" s="9">
        <f>YEAR(Tabla1[[#This Row],[Date]])</f>
        <v>1948</v>
      </c>
      <c r="E1034" s="9" t="str" cm="1">
        <f t="array" ref="E1034">IFERROR(_xlfn.IFS(AND(D1034&lt;1980,D1034&gt;=1970),"70",AND(D1034&lt;1990,D1034&gt;=1980),"80",AND(D1034&lt;2000,D1034&gt;=1990),"90",AND(D1034&lt;2010,D1034&gt;=2000),"00",AND(D1034&lt;=2019,D1034&gt;=2010),"10"),"1908-1970")</f>
        <v>1908-1970</v>
      </c>
      <c r="F1034" s="3">
        <v>0.60416666666666663</v>
      </c>
      <c r="G1034" t="s">
        <v>5876</v>
      </c>
      <c r="H1034" t="s">
        <v>9440</v>
      </c>
      <c r="I1034" t="s">
        <v>28931</v>
      </c>
      <c r="J1034" t="s">
        <v>9441</v>
      </c>
      <c r="K1034" t="s">
        <v>9442</v>
      </c>
      <c r="L1034" s="7" t="s">
        <v>9443</v>
      </c>
      <c r="M1034">
        <v>229</v>
      </c>
      <c r="N1034">
        <v>14</v>
      </c>
      <c r="O1034">
        <v>10</v>
      </c>
      <c r="P1034">
        <v>4</v>
      </c>
      <c r="Q1034">
        <v>14</v>
      </c>
      <c r="R1034">
        <v>10</v>
      </c>
      <c r="S1034">
        <v>4</v>
      </c>
      <c r="T1034">
        <v>0</v>
      </c>
      <c r="U1034" t="s">
        <v>9444</v>
      </c>
      <c r="V1034">
        <f>Tabla1[[#This Row],[Aboard]]-Tabla1[[#This Row],[Fatalities]]</f>
        <v>0</v>
      </c>
      <c r="W1034" s="50">
        <f>IFERROR(Tabla1[[#This Row],[Fatalities]]/Tabla1[[#This Row],[Aboard]],0)</f>
        <v>1</v>
      </c>
      <c r="X1034" s="51" t="str" cm="1">
        <f t="array" ref="X1034">_xlfn.IFS(Tabla1[[#This Row],[Porcentaje de muertes]]&lt;0.35,"LEVE",AND(Tabla1[[#This Row],[Porcentaje de muertes]]&gt;0.35,Tabla1[[#This Row],[Porcentaje de muertes]]&lt;0.65),"MEDIO",Tabla1[[#This Row],[Porcentaje de muertes]]&gt;0.65,"GRAVE")</f>
        <v>GRAVE</v>
      </c>
    </row>
    <row r="1035" spans="2:24" x14ac:dyDescent="0.3">
      <c r="B1035" s="9">
        <v>1033</v>
      </c>
      <c r="C1035" s="49">
        <v>17638</v>
      </c>
      <c r="D1035" s="9">
        <f>YEAR(Tabla1[[#This Row],[Date]])</f>
        <v>1948</v>
      </c>
      <c r="E1035" s="9" t="str" cm="1">
        <f t="array" ref="E1035">IFERROR(_xlfn.IFS(AND(D1035&lt;1980,D1035&gt;=1970),"70",AND(D1035&lt;1990,D1035&gt;=1980),"80",AND(D1035&lt;2000,D1035&gt;=1990),"90",AND(D1035&lt;2010,D1035&gt;=2000),"00",AND(D1035&lt;=2019,D1035&gt;=2010),"10"),"1908-1970")</f>
        <v>1908-1970</v>
      </c>
      <c r="F1035" s="3">
        <v>0.1076388888888889</v>
      </c>
      <c r="G1035" t="s">
        <v>9445</v>
      </c>
      <c r="H1035" t="s">
        <v>7121</v>
      </c>
      <c r="I1035" s="5">
        <v>44835</v>
      </c>
      <c r="J1035" t="s">
        <v>9446</v>
      </c>
      <c r="K1035" t="s">
        <v>9447</v>
      </c>
      <c r="L1035" s="7" t="s">
        <v>9448</v>
      </c>
      <c r="M1035">
        <v>2058</v>
      </c>
      <c r="N1035">
        <v>31</v>
      </c>
      <c r="O1035">
        <v>21</v>
      </c>
      <c r="P1035">
        <v>10</v>
      </c>
      <c r="Q1035">
        <v>30</v>
      </c>
      <c r="R1035">
        <v>20</v>
      </c>
      <c r="S1035">
        <v>10</v>
      </c>
      <c r="T1035">
        <v>0</v>
      </c>
      <c r="U1035" t="s">
        <v>9449</v>
      </c>
      <c r="V1035">
        <f>Tabla1[[#This Row],[Aboard]]-Tabla1[[#This Row],[Fatalities]]</f>
        <v>1</v>
      </c>
      <c r="W1035" s="50">
        <f>IFERROR(Tabla1[[#This Row],[Fatalities]]/Tabla1[[#This Row],[Aboard]],0)</f>
        <v>0.967741935483871</v>
      </c>
      <c r="X1035" s="51" t="str" cm="1">
        <f t="array" ref="X1035">_xlfn.IFS(Tabla1[[#This Row],[Porcentaje de muertes]]&lt;0.35,"LEVE",AND(Tabla1[[#This Row],[Porcentaje de muertes]]&gt;0.35,Tabla1[[#This Row],[Porcentaje de muertes]]&lt;0.65),"MEDIO",Tabla1[[#This Row],[Porcentaje de muertes]]&gt;0.65,"GRAVE")</f>
        <v>GRAVE</v>
      </c>
    </row>
    <row r="1036" spans="2:24" x14ac:dyDescent="0.3">
      <c r="B1036" s="9">
        <v>1034</v>
      </c>
      <c r="C1036" s="49">
        <v>17641</v>
      </c>
      <c r="D1036" s="9">
        <f>YEAR(Tabla1[[#This Row],[Date]])</f>
        <v>1948</v>
      </c>
      <c r="E1036" s="9" t="str" cm="1">
        <f t="array" ref="E1036">IFERROR(_xlfn.IFS(AND(D1036&lt;1980,D1036&gt;=1970),"70",AND(D1036&lt;1990,D1036&gt;=1980),"80",AND(D1036&lt;2000,D1036&gt;=1990),"90",AND(D1036&lt;2010,D1036&gt;=2000),"00",AND(D1036&lt;=2019,D1036&gt;=2010),"10"),"1908-1970")</f>
        <v>1908-1970</v>
      </c>
      <c r="F1036" s="3">
        <v>0.3888888888888889</v>
      </c>
      <c r="G1036" t="s">
        <v>9450</v>
      </c>
      <c r="H1036" t="s">
        <v>9451</v>
      </c>
      <c r="I1036" t="s">
        <v>28931</v>
      </c>
      <c r="J1036" t="s">
        <v>9452</v>
      </c>
      <c r="K1036" t="s">
        <v>9453</v>
      </c>
      <c r="L1036" s="7" t="s">
        <v>9454</v>
      </c>
      <c r="M1036">
        <v>4146460</v>
      </c>
      <c r="N1036">
        <v>37</v>
      </c>
      <c r="O1036">
        <v>33</v>
      </c>
      <c r="P1036">
        <v>4</v>
      </c>
      <c r="Q1036">
        <v>37</v>
      </c>
      <c r="R1036">
        <v>33</v>
      </c>
      <c r="S1036">
        <v>4</v>
      </c>
      <c r="T1036">
        <v>0</v>
      </c>
      <c r="U1036" t="s">
        <v>9455</v>
      </c>
      <c r="V1036">
        <f>Tabla1[[#This Row],[Aboard]]-Tabla1[[#This Row],[Fatalities]]</f>
        <v>0</v>
      </c>
      <c r="W1036" s="50">
        <f>IFERROR(Tabla1[[#This Row],[Fatalities]]/Tabla1[[#This Row],[Aboard]],0)</f>
        <v>1</v>
      </c>
      <c r="X1036" s="51" t="str" cm="1">
        <f t="array" ref="X1036">_xlfn.IFS(Tabla1[[#This Row],[Porcentaje de muertes]]&lt;0.35,"LEVE",AND(Tabla1[[#This Row],[Porcentaje de muertes]]&gt;0.35,Tabla1[[#This Row],[Porcentaje de muertes]]&lt;0.65),"MEDIO",Tabla1[[#This Row],[Porcentaje de muertes]]&gt;0.65,"GRAVE")</f>
        <v>GRAVE</v>
      </c>
    </row>
    <row r="1037" spans="2:24" x14ac:dyDescent="0.3">
      <c r="B1037" s="9">
        <v>1035</v>
      </c>
      <c r="C1037" s="49">
        <v>17647</v>
      </c>
      <c r="D1037" s="9">
        <f>YEAR(Tabla1[[#This Row],[Date]])</f>
        <v>1948</v>
      </c>
      <c r="E1037" s="9" t="str" cm="1">
        <f t="array" ref="E1037">IFERROR(_xlfn.IFS(AND(D1037&lt;1980,D1037&gt;=1970),"70",AND(D1037&lt;1990,D1037&gt;=1980),"80",AND(D1037&lt;2000,D1037&gt;=1990),"90",AND(D1037&lt;2010,D1037&gt;=2000),"00",AND(D1037&lt;=2019,D1037&gt;=2010),"10"),"1908-1970")</f>
        <v>1908-1970</v>
      </c>
      <c r="F1037" s="3">
        <v>0.39583333333333331</v>
      </c>
      <c r="G1037" t="s">
        <v>9456</v>
      </c>
      <c r="H1037" t="s">
        <v>6541</v>
      </c>
      <c r="I1037" t="s">
        <v>28931</v>
      </c>
      <c r="J1037" t="s">
        <v>9457</v>
      </c>
      <c r="K1037" t="s">
        <v>9458</v>
      </c>
      <c r="L1037" s="7" t="s">
        <v>9459</v>
      </c>
      <c r="M1037">
        <v>3704</v>
      </c>
      <c r="N1037">
        <v>29</v>
      </c>
      <c r="O1037">
        <v>25</v>
      </c>
      <c r="P1037">
        <v>4</v>
      </c>
      <c r="Q1037">
        <v>28</v>
      </c>
      <c r="R1037">
        <v>24</v>
      </c>
      <c r="S1037">
        <v>4</v>
      </c>
      <c r="T1037">
        <v>0</v>
      </c>
      <c r="U1037" t="s">
        <v>9460</v>
      </c>
      <c r="V1037">
        <f>Tabla1[[#This Row],[Aboard]]-Tabla1[[#This Row],[Fatalities]]</f>
        <v>1</v>
      </c>
      <c r="W1037" s="50">
        <f>IFERROR(Tabla1[[#This Row],[Fatalities]]/Tabla1[[#This Row],[Aboard]],0)</f>
        <v>0.96551724137931039</v>
      </c>
      <c r="X1037" s="51" t="str" cm="1">
        <f t="array" ref="X1037">_xlfn.IFS(Tabla1[[#This Row],[Porcentaje de muertes]]&lt;0.35,"LEVE",AND(Tabla1[[#This Row],[Porcentaje de muertes]]&gt;0.35,Tabla1[[#This Row],[Porcentaje de muertes]]&lt;0.65),"MEDIO",Tabla1[[#This Row],[Porcentaje de muertes]]&gt;0.65,"GRAVE")</f>
        <v>GRAVE</v>
      </c>
    </row>
    <row r="1038" spans="2:24" x14ac:dyDescent="0.3">
      <c r="B1038" s="9">
        <v>1036</v>
      </c>
      <c r="C1038" s="49">
        <v>17666</v>
      </c>
      <c r="D1038" s="9">
        <f>YEAR(Tabla1[[#This Row],[Date]])</f>
        <v>1948</v>
      </c>
      <c r="E1038" s="9" t="str" cm="1">
        <f t="array" ref="E1038">IFERROR(_xlfn.IFS(AND(D1038&lt;1980,D1038&gt;=1970),"70",AND(D1038&lt;1990,D1038&gt;=1980),"80",AND(D1038&lt;2000,D1038&gt;=1990),"90",AND(D1038&lt;2010,D1038&gt;=2000),"00",AND(D1038&lt;=2019,D1038&gt;=2010),"10"),"1908-1970")</f>
        <v>1908-1970</v>
      </c>
      <c r="F1038" s="3">
        <v>0.72916666666666663</v>
      </c>
      <c r="G1038" t="s">
        <v>9461</v>
      </c>
      <c r="H1038" t="s">
        <v>9462</v>
      </c>
      <c r="I1038" t="s">
        <v>28931</v>
      </c>
      <c r="J1038" t="s">
        <v>9463</v>
      </c>
      <c r="K1038" t="s">
        <v>9464</v>
      </c>
      <c r="L1038" s="7" t="s">
        <v>9465</v>
      </c>
      <c r="M1038">
        <v>4058</v>
      </c>
      <c r="N1038">
        <v>4</v>
      </c>
      <c r="O1038">
        <v>2</v>
      </c>
      <c r="P1038">
        <v>2</v>
      </c>
      <c r="Q1038">
        <v>4</v>
      </c>
      <c r="R1038">
        <v>2</v>
      </c>
      <c r="S1038">
        <v>2</v>
      </c>
      <c r="T1038">
        <v>0</v>
      </c>
      <c r="U1038" t="s">
        <v>9466</v>
      </c>
      <c r="V1038">
        <f>Tabla1[[#This Row],[Aboard]]-Tabla1[[#This Row],[Fatalities]]</f>
        <v>0</v>
      </c>
      <c r="W1038" s="50">
        <f>IFERROR(Tabla1[[#This Row],[Fatalities]]/Tabla1[[#This Row],[Aboard]],0)</f>
        <v>1</v>
      </c>
      <c r="X1038" s="51" t="str" cm="1">
        <f t="array" ref="X1038">_xlfn.IFS(Tabla1[[#This Row],[Porcentaje de muertes]]&lt;0.35,"LEVE",AND(Tabla1[[#This Row],[Porcentaje de muertes]]&gt;0.35,Tabla1[[#This Row],[Porcentaje de muertes]]&lt;0.65),"MEDIO",Tabla1[[#This Row],[Porcentaje de muertes]]&gt;0.65,"GRAVE")</f>
        <v>GRAVE</v>
      </c>
    </row>
    <row r="1039" spans="2:24" x14ac:dyDescent="0.3">
      <c r="B1039" s="9">
        <v>1037</v>
      </c>
      <c r="C1039" s="49">
        <v>17666</v>
      </c>
      <c r="D1039" s="9">
        <f>YEAR(Tabla1[[#This Row],[Date]])</f>
        <v>1948</v>
      </c>
      <c r="E1039" s="9" t="str" cm="1">
        <f t="array" ref="E1039">IFERROR(_xlfn.IFS(AND(D1039&lt;1980,D1039&gt;=1970),"70",AND(D1039&lt;1990,D1039&gt;=1980),"80",AND(D1039&lt;2000,D1039&gt;=1990),"90",AND(D1039&lt;2010,D1039&gt;=2000),"00",AND(D1039&lt;=2019,D1039&gt;=2010),"10"),"1908-1970")</f>
        <v>1908-1970</v>
      </c>
      <c r="F1039" s="3">
        <v>0.45833333333333331</v>
      </c>
      <c r="G1039" t="s">
        <v>9467</v>
      </c>
      <c r="H1039" t="s">
        <v>5957</v>
      </c>
      <c r="I1039" t="s">
        <v>28931</v>
      </c>
      <c r="J1039" t="s">
        <v>9468</v>
      </c>
      <c r="K1039" t="s">
        <v>8779</v>
      </c>
      <c r="L1039" s="7" t="s">
        <v>9469</v>
      </c>
      <c r="M1039">
        <v>42932</v>
      </c>
      <c r="N1039">
        <v>32</v>
      </c>
      <c r="O1039">
        <v>25</v>
      </c>
      <c r="P1039">
        <v>7</v>
      </c>
      <c r="Q1039">
        <v>31</v>
      </c>
      <c r="R1039">
        <v>24</v>
      </c>
      <c r="S1039">
        <v>7</v>
      </c>
      <c r="T1039">
        <v>0</v>
      </c>
      <c r="U1039" t="s">
        <v>9470</v>
      </c>
      <c r="V1039">
        <f>Tabla1[[#This Row],[Aboard]]-Tabla1[[#This Row],[Fatalities]]</f>
        <v>1</v>
      </c>
      <c r="W1039" s="50">
        <f>IFERROR(Tabla1[[#This Row],[Fatalities]]/Tabla1[[#This Row],[Aboard]],0)</f>
        <v>0.96875</v>
      </c>
      <c r="X1039" s="51" t="str" cm="1">
        <f t="array" ref="X1039">_xlfn.IFS(Tabla1[[#This Row],[Porcentaje de muertes]]&lt;0.35,"LEVE",AND(Tabla1[[#This Row],[Porcentaje de muertes]]&gt;0.35,Tabla1[[#This Row],[Porcentaje de muertes]]&lt;0.65),"MEDIO",Tabla1[[#This Row],[Porcentaje de muertes]]&gt;0.65,"GRAVE")</f>
        <v>GRAVE</v>
      </c>
    </row>
    <row r="1040" spans="2:24" x14ac:dyDescent="0.3">
      <c r="B1040" s="9">
        <v>1038</v>
      </c>
      <c r="C1040" s="49">
        <v>17668</v>
      </c>
      <c r="D1040" s="9">
        <f>YEAR(Tabla1[[#This Row],[Date]])</f>
        <v>1948</v>
      </c>
      <c r="E1040" s="9" t="str" cm="1">
        <f t="array" ref="E1040">IFERROR(_xlfn.IFS(AND(D1040&lt;1980,D1040&gt;=1970),"70",AND(D1040&lt;1990,D1040&gt;=1980),"80",AND(D1040&lt;2000,D1040&gt;=1990),"90",AND(D1040&lt;2010,D1040&gt;=2000),"00",AND(D1040&lt;=2019,D1040&gt;=2010),"10"),"1908-1970")</f>
        <v>1908-1970</v>
      </c>
      <c r="F1040" s="3">
        <v>0.30555555555555552</v>
      </c>
      <c r="G1040" t="s">
        <v>9471</v>
      </c>
      <c r="H1040" t="s">
        <v>9472</v>
      </c>
      <c r="I1040" t="s">
        <v>28931</v>
      </c>
      <c r="J1040" t="s">
        <v>9473</v>
      </c>
      <c r="K1040" t="s">
        <v>9474</v>
      </c>
      <c r="L1040" s="7" t="s">
        <v>9475</v>
      </c>
      <c r="M1040">
        <v>6341</v>
      </c>
      <c r="N1040">
        <v>13</v>
      </c>
      <c r="O1040">
        <v>8</v>
      </c>
      <c r="P1040">
        <v>5</v>
      </c>
      <c r="Q1040">
        <v>13</v>
      </c>
      <c r="R1040">
        <v>8</v>
      </c>
      <c r="S1040">
        <v>5</v>
      </c>
      <c r="T1040">
        <v>0</v>
      </c>
      <c r="U1040" t="s">
        <v>9476</v>
      </c>
      <c r="V1040">
        <f>Tabla1[[#This Row],[Aboard]]-Tabla1[[#This Row],[Fatalities]]</f>
        <v>0</v>
      </c>
      <c r="W1040" s="50">
        <f>IFERROR(Tabla1[[#This Row],[Fatalities]]/Tabla1[[#This Row],[Aboard]],0)</f>
        <v>1</v>
      </c>
      <c r="X1040" s="51" t="str" cm="1">
        <f t="array" ref="X1040">_xlfn.IFS(Tabla1[[#This Row],[Porcentaje de muertes]]&lt;0.35,"LEVE",AND(Tabla1[[#This Row],[Porcentaje de muertes]]&gt;0.35,Tabla1[[#This Row],[Porcentaje de muertes]]&lt;0.65),"MEDIO",Tabla1[[#This Row],[Porcentaje de muertes]]&gt;0.65,"GRAVE")</f>
        <v>GRAVE</v>
      </c>
    </row>
    <row r="1041" spans="2:24" x14ac:dyDescent="0.3">
      <c r="B1041" s="9">
        <v>1039</v>
      </c>
      <c r="C1041" s="49">
        <v>17669</v>
      </c>
      <c r="D1041" s="9">
        <f>YEAR(Tabla1[[#This Row],[Date]])</f>
        <v>1948</v>
      </c>
      <c r="E1041" s="9" t="str" cm="1">
        <f t="array" ref="E1041">IFERROR(_xlfn.IFS(AND(D1041&lt;1980,D1041&gt;=1970),"70",AND(D1041&lt;1990,D1041&gt;=1980),"80",AND(D1041&lt;2000,D1041&gt;=1990),"90",AND(D1041&lt;2010,D1041&gt;=2000),"00",AND(D1041&lt;=2019,D1041&gt;=2010),"10"),"1908-1970")</f>
        <v>1908-1970</v>
      </c>
      <c r="F1041" s="3">
        <v>0.86249999999999993</v>
      </c>
      <c r="G1041" t="s">
        <v>5780</v>
      </c>
      <c r="H1041" t="s">
        <v>9022</v>
      </c>
      <c r="I1041" t="s">
        <v>28931</v>
      </c>
      <c r="J1041" t="s">
        <v>9477</v>
      </c>
      <c r="K1041" t="s">
        <v>9024</v>
      </c>
      <c r="L1041" s="7" t="s">
        <v>9478</v>
      </c>
      <c r="M1041">
        <v>2938</v>
      </c>
      <c r="N1041">
        <v>2</v>
      </c>
      <c r="O1041">
        <v>0</v>
      </c>
      <c r="P1041">
        <v>2</v>
      </c>
      <c r="Q1041">
        <v>2</v>
      </c>
      <c r="R1041">
        <v>0</v>
      </c>
      <c r="S1041">
        <v>2</v>
      </c>
      <c r="T1041">
        <v>0</v>
      </c>
      <c r="U1041" t="s">
        <v>9479</v>
      </c>
      <c r="V1041">
        <f>Tabla1[[#This Row],[Aboard]]-Tabla1[[#This Row],[Fatalities]]</f>
        <v>0</v>
      </c>
      <c r="W1041" s="50">
        <f>IFERROR(Tabla1[[#This Row],[Fatalities]]/Tabla1[[#This Row],[Aboard]],0)</f>
        <v>1</v>
      </c>
      <c r="X1041" s="51" t="str" cm="1">
        <f t="array" ref="X1041">_xlfn.IFS(Tabla1[[#This Row],[Porcentaje de muertes]]&lt;0.35,"LEVE",AND(Tabla1[[#This Row],[Porcentaje de muertes]]&gt;0.35,Tabla1[[#This Row],[Porcentaje de muertes]]&lt;0.65),"MEDIO",Tabla1[[#This Row],[Porcentaje de muertes]]&gt;0.65,"GRAVE")</f>
        <v>GRAVE</v>
      </c>
    </row>
    <row r="1042" spans="2:24" x14ac:dyDescent="0.3">
      <c r="B1042" s="9">
        <v>1040</v>
      </c>
      <c r="C1042" s="49">
        <v>17673</v>
      </c>
      <c r="D1042" s="9">
        <f>YEAR(Tabla1[[#This Row],[Date]])</f>
        <v>1948</v>
      </c>
      <c r="E1042" s="9" t="str" cm="1">
        <f t="array" ref="E1042">IFERROR(_xlfn.IFS(AND(D1042&lt;1980,D1042&gt;=1970),"70",AND(D1042&lt;1990,D1042&gt;=1980),"80",AND(D1042&lt;2000,D1042&gt;=1990),"90",AND(D1042&lt;2010,D1042&gt;=2000),"00",AND(D1042&lt;=2019,D1042&gt;=2010),"10"),"1908-1970")</f>
        <v>1908-1970</v>
      </c>
      <c r="F1042" s="3">
        <v>0.97916666666666663</v>
      </c>
      <c r="G1042" t="s">
        <v>9480</v>
      </c>
      <c r="H1042" t="s">
        <v>9481</v>
      </c>
      <c r="I1042" t="s">
        <v>28931</v>
      </c>
      <c r="J1042" t="s">
        <v>9482</v>
      </c>
      <c r="K1042" t="s">
        <v>8105</v>
      </c>
      <c r="L1042" s="7" t="s">
        <v>9483</v>
      </c>
      <c r="M1042" t="s">
        <v>9484</v>
      </c>
      <c r="N1042">
        <v>4</v>
      </c>
      <c r="O1042">
        <v>0</v>
      </c>
      <c r="P1042">
        <v>4</v>
      </c>
      <c r="Q1042">
        <v>3</v>
      </c>
      <c r="R1042">
        <v>0</v>
      </c>
      <c r="S1042">
        <v>3</v>
      </c>
      <c r="T1042">
        <v>0</v>
      </c>
      <c r="U1042" t="s">
        <v>9485</v>
      </c>
      <c r="V1042">
        <f>Tabla1[[#This Row],[Aboard]]-Tabla1[[#This Row],[Fatalities]]</f>
        <v>1</v>
      </c>
      <c r="W1042" s="50">
        <f>IFERROR(Tabla1[[#This Row],[Fatalities]]/Tabla1[[#This Row],[Aboard]],0)</f>
        <v>0.75</v>
      </c>
      <c r="X1042" s="51" t="str" cm="1">
        <f t="array" ref="X1042">_xlfn.IFS(Tabla1[[#This Row],[Porcentaje de muertes]]&lt;0.35,"LEVE",AND(Tabla1[[#This Row],[Porcentaje de muertes]]&gt;0.35,Tabla1[[#This Row],[Porcentaje de muertes]]&lt;0.65),"MEDIO",Tabla1[[#This Row],[Porcentaje de muertes]]&gt;0.65,"GRAVE")</f>
        <v>GRAVE</v>
      </c>
    </row>
    <row r="1043" spans="2:24" x14ac:dyDescent="0.3">
      <c r="B1043" s="9">
        <v>1041</v>
      </c>
      <c r="C1043" s="49">
        <v>17675</v>
      </c>
      <c r="D1043" s="9">
        <f>YEAR(Tabla1[[#This Row],[Date]])</f>
        <v>1948</v>
      </c>
      <c r="E1043" s="9" t="str" cm="1">
        <f t="array" ref="E1043">IFERROR(_xlfn.IFS(AND(D1043&lt;1980,D1043&gt;=1970),"70",AND(D1043&lt;1990,D1043&gt;=1980),"80",AND(D1043&lt;2000,D1043&gt;=1990),"90",AND(D1043&lt;2010,D1043&gt;=2000),"00",AND(D1043&lt;=2019,D1043&gt;=2010),"10"),"1908-1970")</f>
        <v>1908-1970</v>
      </c>
      <c r="F1043" s="3">
        <v>0.77777777777777779</v>
      </c>
      <c r="G1043" t="s">
        <v>9486</v>
      </c>
      <c r="H1043" t="s">
        <v>6541</v>
      </c>
      <c r="I1043" t="s">
        <v>28931</v>
      </c>
      <c r="J1043" t="s">
        <v>9487</v>
      </c>
      <c r="K1043" t="s">
        <v>7826</v>
      </c>
      <c r="L1043" s="7" t="s">
        <v>9488</v>
      </c>
      <c r="M1043" t="s">
        <v>9489</v>
      </c>
      <c r="N1043">
        <v>9</v>
      </c>
      <c r="O1043">
        <v>5</v>
      </c>
      <c r="P1043">
        <v>4</v>
      </c>
      <c r="Q1043">
        <v>8</v>
      </c>
      <c r="R1043">
        <v>4</v>
      </c>
      <c r="S1043">
        <v>4</v>
      </c>
      <c r="T1043">
        <v>0</v>
      </c>
      <c r="U1043" t="s">
        <v>9490</v>
      </c>
      <c r="V1043">
        <f>Tabla1[[#This Row],[Aboard]]-Tabla1[[#This Row],[Fatalities]]</f>
        <v>1</v>
      </c>
      <c r="W1043" s="50">
        <f>IFERROR(Tabla1[[#This Row],[Fatalities]]/Tabla1[[#This Row],[Aboard]],0)</f>
        <v>0.88888888888888884</v>
      </c>
      <c r="X1043" s="51" t="str" cm="1">
        <f t="array" ref="X1043">_xlfn.IFS(Tabla1[[#This Row],[Porcentaje de muertes]]&lt;0.35,"LEVE",AND(Tabla1[[#This Row],[Porcentaje de muertes]]&gt;0.35,Tabla1[[#This Row],[Porcentaje de muertes]]&lt;0.65),"MEDIO",Tabla1[[#This Row],[Porcentaje de muertes]]&gt;0.65,"GRAVE")</f>
        <v>GRAVE</v>
      </c>
    </row>
    <row r="1044" spans="2:24" x14ac:dyDescent="0.3">
      <c r="B1044" s="9">
        <v>1042</v>
      </c>
      <c r="C1044" s="49">
        <v>17678</v>
      </c>
      <c r="D1044" s="9">
        <f>YEAR(Tabla1[[#This Row],[Date]])</f>
        <v>1948</v>
      </c>
      <c r="E1044" s="9" t="str" cm="1">
        <f t="array" ref="E1044">IFERROR(_xlfn.IFS(AND(D1044&lt;1980,D1044&gt;=1970),"70",AND(D1044&lt;1990,D1044&gt;=1980),"80",AND(D1044&lt;2000,D1044&gt;=1990),"90",AND(D1044&lt;2010,D1044&gt;=2000),"00",AND(D1044&lt;=2019,D1044&gt;=2010),"10"),"1908-1970")</f>
        <v>1908-1970</v>
      </c>
      <c r="F1044" s="3" t="s">
        <v>28931</v>
      </c>
      <c r="G1044" t="s">
        <v>9491</v>
      </c>
      <c r="H1044" t="s">
        <v>9492</v>
      </c>
      <c r="I1044" t="s">
        <v>28931</v>
      </c>
      <c r="J1044" t="s">
        <v>9493</v>
      </c>
      <c r="K1044" t="s">
        <v>9494</v>
      </c>
      <c r="L1044" s="7" t="s">
        <v>9495</v>
      </c>
      <c r="M1044">
        <v>1303</v>
      </c>
      <c r="N1044">
        <v>4</v>
      </c>
      <c r="O1044">
        <v>0</v>
      </c>
      <c r="P1044">
        <v>4</v>
      </c>
      <c r="Q1044">
        <v>4</v>
      </c>
      <c r="R1044">
        <v>0</v>
      </c>
      <c r="S1044">
        <v>4</v>
      </c>
      <c r="T1044">
        <v>1</v>
      </c>
      <c r="U1044" t="s">
        <v>9496</v>
      </c>
      <c r="V1044">
        <f>Tabla1[[#This Row],[Aboard]]-Tabla1[[#This Row],[Fatalities]]</f>
        <v>0</v>
      </c>
      <c r="W1044" s="50">
        <f>IFERROR(Tabla1[[#This Row],[Fatalities]]/Tabla1[[#This Row],[Aboard]],0)</f>
        <v>1</v>
      </c>
      <c r="X1044" s="51" t="str" cm="1">
        <f t="array" ref="X1044">_xlfn.IFS(Tabla1[[#This Row],[Porcentaje de muertes]]&lt;0.35,"LEVE",AND(Tabla1[[#This Row],[Porcentaje de muertes]]&gt;0.35,Tabla1[[#This Row],[Porcentaje de muertes]]&lt;0.65),"MEDIO",Tabla1[[#This Row],[Porcentaje de muertes]]&gt;0.65,"GRAVE")</f>
        <v>GRAVE</v>
      </c>
    </row>
    <row r="1045" spans="2:24" x14ac:dyDescent="0.3">
      <c r="B1045" s="9">
        <v>1043</v>
      </c>
      <c r="C1045" s="49">
        <v>17812</v>
      </c>
      <c r="D1045" s="9">
        <f>YEAR(Tabla1[[#This Row],[Date]])</f>
        <v>1948</v>
      </c>
      <c r="E1045" s="9" t="str" cm="1">
        <f t="array" ref="E1045">IFERROR(_xlfn.IFS(AND(D1045&lt;1980,D1045&gt;=1970),"70",AND(D1045&lt;1990,D1045&gt;=1980),"80",AND(D1045&lt;2000,D1045&gt;=1990),"90",AND(D1045&lt;2010,D1045&gt;=2000),"00",AND(D1045&lt;=2019,D1045&gt;=2010),"10"),"1908-1970")</f>
        <v>1908-1970</v>
      </c>
      <c r="F1045" s="3">
        <v>0.83333333333333337</v>
      </c>
      <c r="G1045" t="s">
        <v>9497</v>
      </c>
      <c r="H1045" t="s">
        <v>9498</v>
      </c>
      <c r="I1045" t="s">
        <v>28931</v>
      </c>
      <c r="J1045" t="s">
        <v>9499</v>
      </c>
      <c r="K1045" t="s">
        <v>9500</v>
      </c>
      <c r="L1045" s="7" t="s">
        <v>9501</v>
      </c>
      <c r="M1045">
        <v>6675</v>
      </c>
      <c r="N1045">
        <v>8</v>
      </c>
      <c r="O1045">
        <v>7</v>
      </c>
      <c r="P1045">
        <v>1</v>
      </c>
      <c r="Q1045">
        <v>6</v>
      </c>
      <c r="R1045">
        <v>5</v>
      </c>
      <c r="S1045">
        <v>1</v>
      </c>
      <c r="T1045">
        <v>0</v>
      </c>
      <c r="U1045" t="s">
        <v>9502</v>
      </c>
      <c r="V1045">
        <f>Tabla1[[#This Row],[Aboard]]-Tabla1[[#This Row],[Fatalities]]</f>
        <v>2</v>
      </c>
      <c r="W1045" s="50">
        <f>IFERROR(Tabla1[[#This Row],[Fatalities]]/Tabla1[[#This Row],[Aboard]],0)</f>
        <v>0.75</v>
      </c>
      <c r="X1045" s="51" t="str" cm="1">
        <f t="array" ref="X1045">_xlfn.IFS(Tabla1[[#This Row],[Porcentaje de muertes]]&lt;0.35,"LEVE",AND(Tabla1[[#This Row],[Porcentaje de muertes]]&gt;0.35,Tabla1[[#This Row],[Porcentaje de muertes]]&lt;0.65),"MEDIO",Tabla1[[#This Row],[Porcentaje de muertes]]&gt;0.65,"GRAVE")</f>
        <v>GRAVE</v>
      </c>
    </row>
    <row r="1046" spans="2:24" x14ac:dyDescent="0.3">
      <c r="B1046" s="9">
        <v>1044</v>
      </c>
      <c r="C1046" s="49">
        <v>17701</v>
      </c>
      <c r="D1046" s="9">
        <f>YEAR(Tabla1[[#This Row],[Date]])</f>
        <v>1948</v>
      </c>
      <c r="E1046" s="9" t="str" cm="1">
        <f t="array" ref="E1046">IFERROR(_xlfn.IFS(AND(D1046&lt;1980,D1046&gt;=1970),"70",AND(D1046&lt;1990,D1046&gt;=1980),"80",AND(D1046&lt;2000,D1046&gt;=1990),"90",AND(D1046&lt;2010,D1046&gt;=2000),"00",AND(D1046&lt;=2019,D1046&gt;=2010),"10"),"1908-1970")</f>
        <v>1908-1970</v>
      </c>
      <c r="F1046" s="3">
        <v>0.52847222222222223</v>
      </c>
      <c r="G1046" t="s">
        <v>9503</v>
      </c>
      <c r="H1046" t="s">
        <v>6369</v>
      </c>
      <c r="I1046">
        <v>624</v>
      </c>
      <c r="J1046" t="s">
        <v>9504</v>
      </c>
      <c r="K1046" t="s">
        <v>9230</v>
      </c>
      <c r="L1046" s="7" t="s">
        <v>9505</v>
      </c>
      <c r="M1046" t="s">
        <v>9506</v>
      </c>
      <c r="N1046">
        <v>43</v>
      </c>
      <c r="O1046">
        <v>39</v>
      </c>
      <c r="P1046">
        <v>4</v>
      </c>
      <c r="Q1046">
        <v>43</v>
      </c>
      <c r="R1046">
        <v>39</v>
      </c>
      <c r="S1046">
        <v>4</v>
      </c>
      <c r="T1046">
        <v>0</v>
      </c>
      <c r="U1046" t="s">
        <v>9507</v>
      </c>
      <c r="V1046">
        <f>Tabla1[[#This Row],[Aboard]]-Tabla1[[#This Row],[Fatalities]]</f>
        <v>0</v>
      </c>
      <c r="W1046" s="50">
        <f>IFERROR(Tabla1[[#This Row],[Fatalities]]/Tabla1[[#This Row],[Aboard]],0)</f>
        <v>1</v>
      </c>
      <c r="X1046" s="51" t="str" cm="1">
        <f t="array" ref="X1046">_xlfn.IFS(Tabla1[[#This Row],[Porcentaje de muertes]]&lt;0.35,"LEVE",AND(Tabla1[[#This Row],[Porcentaje de muertes]]&gt;0.35,Tabla1[[#This Row],[Porcentaje de muertes]]&lt;0.65),"MEDIO",Tabla1[[#This Row],[Porcentaje de muertes]]&gt;0.65,"GRAVE")</f>
        <v>GRAVE</v>
      </c>
    </row>
    <row r="1047" spans="2:24" x14ac:dyDescent="0.3">
      <c r="B1047" s="9">
        <v>1045</v>
      </c>
      <c r="C1047" s="49">
        <v>17701</v>
      </c>
      <c r="D1047" s="9">
        <f>YEAR(Tabla1[[#This Row],[Date]])</f>
        <v>1948</v>
      </c>
      <c r="E1047" s="9" t="str" cm="1">
        <f t="array" ref="E1047">IFERROR(_xlfn.IFS(AND(D1047&lt;1980,D1047&gt;=1970),"70",AND(D1047&lt;1990,D1047&gt;=1980),"80",AND(D1047&lt;2000,D1047&gt;=1990),"90",AND(D1047&lt;2010,D1047&gt;=2000),"00",AND(D1047&lt;=2019,D1047&gt;=2010),"10"),"1908-1970")</f>
        <v>1908-1970</v>
      </c>
      <c r="F1047" s="3" t="s">
        <v>28931</v>
      </c>
      <c r="G1047" t="s">
        <v>9508</v>
      </c>
      <c r="H1047" t="s">
        <v>9509</v>
      </c>
      <c r="I1047" t="s">
        <v>28931</v>
      </c>
      <c r="J1047" t="s">
        <v>9510</v>
      </c>
      <c r="K1047" t="s">
        <v>9511</v>
      </c>
      <c r="L1047" s="7" t="s">
        <v>28931</v>
      </c>
      <c r="M1047" t="s">
        <v>28931</v>
      </c>
      <c r="N1047">
        <v>26</v>
      </c>
      <c r="O1047">
        <v>23</v>
      </c>
      <c r="P1047">
        <v>3</v>
      </c>
      <c r="Q1047">
        <v>25</v>
      </c>
      <c r="R1047">
        <v>22</v>
      </c>
      <c r="S1047">
        <v>3</v>
      </c>
      <c r="T1047">
        <v>0</v>
      </c>
      <c r="U1047" t="s">
        <v>9512</v>
      </c>
      <c r="V1047">
        <f>Tabla1[[#This Row],[Aboard]]-Tabla1[[#This Row],[Fatalities]]</f>
        <v>1</v>
      </c>
      <c r="W1047" s="50">
        <f>IFERROR(Tabla1[[#This Row],[Fatalities]]/Tabla1[[#This Row],[Aboard]],0)</f>
        <v>0.96153846153846156</v>
      </c>
      <c r="X1047" s="51" t="str" cm="1">
        <f t="array" ref="X1047">_xlfn.IFS(Tabla1[[#This Row],[Porcentaje de muertes]]&lt;0.35,"LEVE",AND(Tabla1[[#This Row],[Porcentaje de muertes]]&gt;0.35,Tabla1[[#This Row],[Porcentaje de muertes]]&lt;0.65),"MEDIO",Tabla1[[#This Row],[Porcentaje de muertes]]&gt;0.65,"GRAVE")</f>
        <v>GRAVE</v>
      </c>
    </row>
    <row r="1048" spans="2:24" x14ac:dyDescent="0.3">
      <c r="B1048" s="9">
        <v>1046</v>
      </c>
      <c r="C1048" s="49">
        <v>17710</v>
      </c>
      <c r="D1048" s="9">
        <f>YEAR(Tabla1[[#This Row],[Date]])</f>
        <v>1948</v>
      </c>
      <c r="E1048" s="9" t="str" cm="1">
        <f t="array" ref="E1048">IFERROR(_xlfn.IFS(AND(D1048&lt;1980,D1048&gt;=1970),"70",AND(D1048&lt;1990,D1048&gt;=1980),"80",AND(D1048&lt;2000,D1048&gt;=1990),"90",AND(D1048&lt;2010,D1048&gt;=2000),"00",AND(D1048&lt;=2019,D1048&gt;=2010),"10"),"1908-1970")</f>
        <v>1908-1970</v>
      </c>
      <c r="F1048" s="3" t="s">
        <v>28931</v>
      </c>
      <c r="G1048" t="s">
        <v>9513</v>
      </c>
      <c r="H1048" t="s">
        <v>9074</v>
      </c>
      <c r="I1048" t="s">
        <v>28931</v>
      </c>
      <c r="J1048" t="s">
        <v>28931</v>
      </c>
      <c r="K1048" t="s">
        <v>7057</v>
      </c>
      <c r="L1048" s="7" t="s">
        <v>9514</v>
      </c>
      <c r="M1048" t="s">
        <v>9515</v>
      </c>
      <c r="N1048">
        <v>17</v>
      </c>
      <c r="O1048">
        <v>14</v>
      </c>
      <c r="P1048">
        <v>3</v>
      </c>
      <c r="Q1048">
        <v>1</v>
      </c>
      <c r="R1048">
        <v>0</v>
      </c>
      <c r="S1048">
        <v>1</v>
      </c>
      <c r="T1048">
        <v>0</v>
      </c>
      <c r="U1048" t="s">
        <v>9516</v>
      </c>
      <c r="V1048">
        <f>Tabla1[[#This Row],[Aboard]]-Tabla1[[#This Row],[Fatalities]]</f>
        <v>16</v>
      </c>
      <c r="W1048" s="50">
        <f>IFERROR(Tabla1[[#This Row],[Fatalities]]/Tabla1[[#This Row],[Aboard]],0)</f>
        <v>5.8823529411764705E-2</v>
      </c>
      <c r="X1048" s="51" t="str" cm="1">
        <f t="array" ref="X1048">_xlfn.IFS(Tabla1[[#This Row],[Porcentaje de muertes]]&lt;0.35,"LEVE",AND(Tabla1[[#This Row],[Porcentaje de muertes]]&gt;0.35,Tabla1[[#This Row],[Porcentaje de muertes]]&lt;0.65),"MEDIO",Tabla1[[#This Row],[Porcentaje de muertes]]&gt;0.65,"GRAVE")</f>
        <v>LEVE</v>
      </c>
    </row>
    <row r="1049" spans="2:24" x14ac:dyDescent="0.3">
      <c r="B1049" s="9">
        <v>1047</v>
      </c>
      <c r="C1049" s="49">
        <v>17539</v>
      </c>
      <c r="D1049" s="9">
        <f>YEAR(Tabla1[[#This Row],[Date]])</f>
        <v>1948</v>
      </c>
      <c r="E1049" s="9" t="str" cm="1">
        <f t="array" ref="E1049">IFERROR(_xlfn.IFS(AND(D1049&lt;1980,D1049&gt;=1970),"70",AND(D1049&lt;1990,D1049&gt;=1980),"80",AND(D1049&lt;2000,D1049&gt;=1990),"90",AND(D1049&lt;2010,D1049&gt;=2000),"00",AND(D1049&lt;=2019,D1049&gt;=2010),"10"),"1908-1970")</f>
        <v>1908-1970</v>
      </c>
      <c r="F1049" s="3">
        <v>0.5</v>
      </c>
      <c r="G1049" t="s">
        <v>9517</v>
      </c>
      <c r="H1049" t="s">
        <v>6796</v>
      </c>
      <c r="I1049" t="s">
        <v>28931</v>
      </c>
      <c r="J1049" t="s">
        <v>9518</v>
      </c>
      <c r="K1049" t="s">
        <v>9519</v>
      </c>
      <c r="L1049" s="7" t="s">
        <v>9520</v>
      </c>
      <c r="M1049">
        <v>4</v>
      </c>
      <c r="N1049">
        <v>12</v>
      </c>
      <c r="O1049">
        <v>7</v>
      </c>
      <c r="P1049">
        <v>5</v>
      </c>
      <c r="Q1049">
        <v>8</v>
      </c>
      <c r="R1049">
        <v>4</v>
      </c>
      <c r="S1049">
        <v>4</v>
      </c>
      <c r="T1049">
        <v>0</v>
      </c>
      <c r="U1049" t="s">
        <v>9521</v>
      </c>
      <c r="V1049">
        <f>Tabla1[[#This Row],[Aboard]]-Tabla1[[#This Row],[Fatalities]]</f>
        <v>4</v>
      </c>
      <c r="W1049" s="50">
        <f>IFERROR(Tabla1[[#This Row],[Fatalities]]/Tabla1[[#This Row],[Aboard]],0)</f>
        <v>0.66666666666666663</v>
      </c>
      <c r="X1049" s="51" t="str" cm="1">
        <f t="array" ref="X1049">_xlfn.IFS(Tabla1[[#This Row],[Porcentaje de muertes]]&lt;0.35,"LEVE",AND(Tabla1[[#This Row],[Porcentaje de muertes]]&gt;0.35,Tabla1[[#This Row],[Porcentaje de muertes]]&lt;0.65),"MEDIO",Tabla1[[#This Row],[Porcentaje de muertes]]&gt;0.65,"GRAVE")</f>
        <v>GRAVE</v>
      </c>
    </row>
    <row r="1050" spans="2:24" x14ac:dyDescent="0.3">
      <c r="B1050" s="9">
        <v>1048</v>
      </c>
      <c r="C1050" s="49">
        <v>17630</v>
      </c>
      <c r="D1050" s="9">
        <f>YEAR(Tabla1[[#This Row],[Date]])</f>
        <v>1948</v>
      </c>
      <c r="E1050" s="9" t="str" cm="1">
        <f t="array" ref="E1050">IFERROR(_xlfn.IFS(AND(D1050&lt;1980,D1050&gt;=1970),"70",AND(D1050&lt;1990,D1050&gt;=1980),"80",AND(D1050&lt;2000,D1050&gt;=1990),"90",AND(D1050&lt;2010,D1050&gt;=2000),"00",AND(D1050&lt;=2019,D1050&gt;=2010),"10"),"1908-1970")</f>
        <v>1908-1970</v>
      </c>
      <c r="F1050" s="3">
        <v>0.66666666666666663</v>
      </c>
      <c r="G1050" t="s">
        <v>9522</v>
      </c>
      <c r="H1050" t="s">
        <v>9523</v>
      </c>
      <c r="I1050" t="s">
        <v>28931</v>
      </c>
      <c r="J1050" t="s">
        <v>9524</v>
      </c>
      <c r="K1050" t="s">
        <v>9525</v>
      </c>
      <c r="L1050" s="7" t="s">
        <v>9526</v>
      </c>
      <c r="M1050" t="s">
        <v>9527</v>
      </c>
      <c r="N1050">
        <v>39</v>
      </c>
      <c r="O1050">
        <v>26</v>
      </c>
      <c r="P1050">
        <v>13</v>
      </c>
      <c r="Q1050">
        <v>39</v>
      </c>
      <c r="R1050">
        <v>26</v>
      </c>
      <c r="S1050">
        <v>13</v>
      </c>
      <c r="T1050">
        <v>0</v>
      </c>
      <c r="U1050" t="s">
        <v>9528</v>
      </c>
      <c r="V1050">
        <f>Tabla1[[#This Row],[Aboard]]-Tabla1[[#This Row],[Fatalities]]</f>
        <v>0</v>
      </c>
      <c r="W1050" s="50">
        <f>IFERROR(Tabla1[[#This Row],[Fatalities]]/Tabla1[[#This Row],[Aboard]],0)</f>
        <v>1</v>
      </c>
      <c r="X1050" s="51" t="str" cm="1">
        <f t="array" ref="X1050">_xlfn.IFS(Tabla1[[#This Row],[Porcentaje de muertes]]&lt;0.35,"LEVE",AND(Tabla1[[#This Row],[Porcentaje de muertes]]&gt;0.35,Tabla1[[#This Row],[Porcentaje de muertes]]&lt;0.65),"MEDIO",Tabla1[[#This Row],[Porcentaje de muertes]]&gt;0.65,"GRAVE")</f>
        <v>GRAVE</v>
      </c>
    </row>
    <row r="1051" spans="2:24" x14ac:dyDescent="0.3">
      <c r="B1051" s="9">
        <v>1049</v>
      </c>
      <c r="C1051" s="49">
        <v>17721</v>
      </c>
      <c r="D1051" s="9">
        <f>YEAR(Tabla1[[#This Row],[Date]])</f>
        <v>1948</v>
      </c>
      <c r="E1051" s="9" t="str" cm="1">
        <f t="array" ref="E1051">IFERROR(_xlfn.IFS(AND(D1051&lt;1980,D1051&gt;=1970),"70",AND(D1051&lt;1990,D1051&gt;=1980),"80",AND(D1051&lt;2000,D1051&gt;=1990),"90",AND(D1051&lt;2010,D1051&gt;=2000),"00",AND(D1051&lt;=2019,D1051&gt;=2010),"10"),"1908-1970")</f>
        <v>1908-1970</v>
      </c>
      <c r="F1051" s="3">
        <v>0.40972222222222227</v>
      </c>
      <c r="G1051" t="s">
        <v>9529</v>
      </c>
      <c r="H1051" t="s">
        <v>9530</v>
      </c>
      <c r="I1051" t="s">
        <v>28931</v>
      </c>
      <c r="J1051" t="s">
        <v>9531</v>
      </c>
      <c r="K1051" t="s">
        <v>7057</v>
      </c>
      <c r="L1051" s="7" t="s">
        <v>9532</v>
      </c>
      <c r="M1051">
        <v>9158</v>
      </c>
      <c r="N1051">
        <v>16</v>
      </c>
      <c r="O1051">
        <v>13</v>
      </c>
      <c r="P1051">
        <v>3</v>
      </c>
      <c r="Q1051">
        <v>16</v>
      </c>
      <c r="R1051">
        <v>13</v>
      </c>
      <c r="S1051">
        <v>3</v>
      </c>
      <c r="T1051">
        <v>0</v>
      </c>
      <c r="U1051" t="s">
        <v>9533</v>
      </c>
      <c r="V1051">
        <f>Tabla1[[#This Row],[Aboard]]-Tabla1[[#This Row],[Fatalities]]</f>
        <v>0</v>
      </c>
      <c r="W1051" s="50">
        <f>IFERROR(Tabla1[[#This Row],[Fatalities]]/Tabla1[[#This Row],[Aboard]],0)</f>
        <v>1</v>
      </c>
      <c r="X1051" s="51" t="str" cm="1">
        <f t="array" ref="X1051">_xlfn.IFS(Tabla1[[#This Row],[Porcentaje de muertes]]&lt;0.35,"LEVE",AND(Tabla1[[#This Row],[Porcentaje de muertes]]&gt;0.35,Tabla1[[#This Row],[Porcentaje de muertes]]&lt;0.65),"MEDIO",Tabla1[[#This Row],[Porcentaje de muertes]]&gt;0.65,"GRAVE")</f>
        <v>GRAVE</v>
      </c>
    </row>
    <row r="1052" spans="2:24" x14ac:dyDescent="0.3">
      <c r="B1052" s="9">
        <v>1050</v>
      </c>
      <c r="C1052" s="49">
        <v>17728</v>
      </c>
      <c r="D1052" s="9">
        <f>YEAR(Tabla1[[#This Row],[Date]])</f>
        <v>1948</v>
      </c>
      <c r="E1052" s="9" t="str" cm="1">
        <f t="array" ref="E1052">IFERROR(_xlfn.IFS(AND(D1052&lt;1980,D1052&gt;=1970),"70",AND(D1052&lt;1990,D1052&gt;=1980),"80",AND(D1052&lt;2000,D1052&gt;=1990),"90",AND(D1052&lt;2010,D1052&gt;=2000),"00",AND(D1052&lt;=2019,D1052&gt;=2010),"10"),"1908-1970")</f>
        <v>1908-1970</v>
      </c>
      <c r="F1052" s="3" t="s">
        <v>28931</v>
      </c>
      <c r="G1052" t="s">
        <v>9534</v>
      </c>
      <c r="H1052" t="s">
        <v>9535</v>
      </c>
      <c r="I1052" t="s">
        <v>28931</v>
      </c>
      <c r="J1052" t="s">
        <v>28931</v>
      </c>
      <c r="K1052" t="s">
        <v>8105</v>
      </c>
      <c r="L1052" s="7" t="s">
        <v>9536</v>
      </c>
      <c r="M1052">
        <v>19113</v>
      </c>
      <c r="N1052">
        <v>5</v>
      </c>
      <c r="O1052">
        <v>2</v>
      </c>
      <c r="P1052">
        <v>3</v>
      </c>
      <c r="Q1052">
        <v>5</v>
      </c>
      <c r="R1052">
        <v>2</v>
      </c>
      <c r="S1052">
        <v>3</v>
      </c>
      <c r="T1052">
        <v>0</v>
      </c>
      <c r="U1052" t="s">
        <v>9537</v>
      </c>
      <c r="V1052">
        <f>Tabla1[[#This Row],[Aboard]]-Tabla1[[#This Row],[Fatalities]]</f>
        <v>0</v>
      </c>
      <c r="W1052" s="50">
        <f>IFERROR(Tabla1[[#This Row],[Fatalities]]/Tabla1[[#This Row],[Aboard]],0)</f>
        <v>1</v>
      </c>
      <c r="X1052" s="51" t="str" cm="1">
        <f t="array" ref="X1052">_xlfn.IFS(Tabla1[[#This Row],[Porcentaje de muertes]]&lt;0.35,"LEVE",AND(Tabla1[[#This Row],[Porcentaje de muertes]]&gt;0.35,Tabla1[[#This Row],[Porcentaje de muertes]]&lt;0.65),"MEDIO",Tabla1[[#This Row],[Porcentaje de muertes]]&gt;0.65,"GRAVE")</f>
        <v>GRAVE</v>
      </c>
    </row>
    <row r="1053" spans="2:24" x14ac:dyDescent="0.3">
      <c r="B1053" s="9">
        <v>1051</v>
      </c>
      <c r="C1053" s="49">
        <v>17730</v>
      </c>
      <c r="D1053" s="9">
        <f>YEAR(Tabla1[[#This Row],[Date]])</f>
        <v>1948</v>
      </c>
      <c r="E1053" s="9" t="str" cm="1">
        <f t="array" ref="E1053">IFERROR(_xlfn.IFS(AND(D1053&lt;1980,D1053&gt;=1970),"70",AND(D1053&lt;1990,D1053&gt;=1980),"80",AND(D1053&lt;2000,D1053&gt;=1990),"90",AND(D1053&lt;2010,D1053&gt;=2000),"00",AND(D1053&lt;=2019,D1053&gt;=2010),"10"),"1908-1970")</f>
        <v>1908-1970</v>
      </c>
      <c r="F1053" s="3">
        <v>0.75</v>
      </c>
      <c r="G1053" t="s">
        <v>9538</v>
      </c>
      <c r="H1053" t="s">
        <v>9539</v>
      </c>
      <c r="I1053" t="s">
        <v>28931</v>
      </c>
      <c r="J1053" t="s">
        <v>9510</v>
      </c>
      <c r="K1053" t="s">
        <v>9540</v>
      </c>
      <c r="L1053" s="7" t="s">
        <v>9541</v>
      </c>
      <c r="M1053" t="s">
        <v>28931</v>
      </c>
      <c r="N1053">
        <v>26</v>
      </c>
      <c r="O1053">
        <v>23</v>
      </c>
      <c r="P1053">
        <v>3</v>
      </c>
      <c r="Q1053">
        <v>25</v>
      </c>
      <c r="R1053">
        <v>22</v>
      </c>
      <c r="S1053">
        <v>3</v>
      </c>
      <c r="T1053">
        <v>0</v>
      </c>
      <c r="U1053" t="s">
        <v>9542</v>
      </c>
      <c r="V1053">
        <f>Tabla1[[#This Row],[Aboard]]-Tabla1[[#This Row],[Fatalities]]</f>
        <v>1</v>
      </c>
      <c r="W1053" s="50">
        <f>IFERROR(Tabla1[[#This Row],[Fatalities]]/Tabla1[[#This Row],[Aboard]],0)</f>
        <v>0.96153846153846156</v>
      </c>
      <c r="X1053" s="51" t="str" cm="1">
        <f t="array" ref="X1053">_xlfn.IFS(Tabla1[[#This Row],[Porcentaje de muertes]]&lt;0.35,"LEVE",AND(Tabla1[[#This Row],[Porcentaje de muertes]]&gt;0.35,Tabla1[[#This Row],[Porcentaje de muertes]]&lt;0.65),"MEDIO",Tabla1[[#This Row],[Porcentaje de muertes]]&gt;0.65,"GRAVE")</f>
        <v>GRAVE</v>
      </c>
    </row>
    <row r="1054" spans="2:24" x14ac:dyDescent="0.3">
      <c r="B1054" s="9">
        <v>1052</v>
      </c>
      <c r="C1054" s="49">
        <v>17738</v>
      </c>
      <c r="D1054" s="9">
        <f>YEAR(Tabla1[[#This Row],[Date]])</f>
        <v>1948</v>
      </c>
      <c r="E1054" s="9" t="str" cm="1">
        <f t="array" ref="E1054">IFERROR(_xlfn.IFS(AND(D1054&lt;1980,D1054&gt;=1970),"70",AND(D1054&lt;1990,D1054&gt;=1980),"80",AND(D1054&lt;2000,D1054&gt;=1990),"90",AND(D1054&lt;2010,D1054&gt;=2000),"00",AND(D1054&lt;=2019,D1054&gt;=2010),"10"),"1908-1970")</f>
        <v>1908-1970</v>
      </c>
      <c r="F1054" s="3">
        <v>0.72916666666666663</v>
      </c>
      <c r="G1054" t="s">
        <v>9543</v>
      </c>
      <c r="H1054" t="s">
        <v>9544</v>
      </c>
      <c r="I1054" t="s">
        <v>28931</v>
      </c>
      <c r="J1054" t="s">
        <v>9545</v>
      </c>
      <c r="K1054" t="s">
        <v>7057</v>
      </c>
      <c r="L1054" s="7" t="s">
        <v>9546</v>
      </c>
      <c r="M1054">
        <v>6246</v>
      </c>
      <c r="N1054">
        <v>29</v>
      </c>
      <c r="O1054">
        <v>27</v>
      </c>
      <c r="P1054">
        <v>2</v>
      </c>
      <c r="Q1054">
        <v>29</v>
      </c>
      <c r="R1054">
        <v>27</v>
      </c>
      <c r="S1054">
        <v>2</v>
      </c>
      <c r="T1054">
        <v>0</v>
      </c>
      <c r="U1054" t="s">
        <v>9547</v>
      </c>
      <c r="V1054">
        <f>Tabla1[[#This Row],[Aboard]]-Tabla1[[#This Row],[Fatalities]]</f>
        <v>0</v>
      </c>
      <c r="W1054" s="50">
        <f>IFERROR(Tabla1[[#This Row],[Fatalities]]/Tabla1[[#This Row],[Aboard]],0)</f>
        <v>1</v>
      </c>
      <c r="X1054" s="51" t="str" cm="1">
        <f t="array" ref="X1054">_xlfn.IFS(Tabla1[[#This Row],[Porcentaje de muertes]]&lt;0.35,"LEVE",AND(Tabla1[[#This Row],[Porcentaje de muertes]]&gt;0.35,Tabla1[[#This Row],[Porcentaje de muertes]]&lt;0.65),"MEDIO",Tabla1[[#This Row],[Porcentaje de muertes]]&gt;0.65,"GRAVE")</f>
        <v>GRAVE</v>
      </c>
    </row>
    <row r="1055" spans="2:24" x14ac:dyDescent="0.3">
      <c r="B1055" s="9">
        <v>1053</v>
      </c>
      <c r="C1055" s="49">
        <v>17743</v>
      </c>
      <c r="D1055" s="9">
        <f>YEAR(Tabla1[[#This Row],[Date]])</f>
        <v>1948</v>
      </c>
      <c r="E1055" s="9" t="str" cm="1">
        <f t="array" ref="E1055">IFERROR(_xlfn.IFS(AND(D1055&lt;1980,D1055&gt;=1970),"70",AND(D1055&lt;1990,D1055&gt;=1980),"80",AND(D1055&lt;2000,D1055&gt;=1990),"90",AND(D1055&lt;2010,D1055&gt;=2000),"00",AND(D1055&lt;=2019,D1055&gt;=2010),"10"),"1908-1970")</f>
        <v>1908-1970</v>
      </c>
      <c r="F1055" s="3" t="s">
        <v>28931</v>
      </c>
      <c r="G1055" t="s">
        <v>8945</v>
      </c>
      <c r="H1055" t="s">
        <v>9548</v>
      </c>
      <c r="I1055" t="s">
        <v>28931</v>
      </c>
      <c r="J1055" t="s">
        <v>9549</v>
      </c>
      <c r="K1055" t="s">
        <v>9550</v>
      </c>
      <c r="L1055" s="7" t="s">
        <v>9551</v>
      </c>
      <c r="M1055">
        <v>22355</v>
      </c>
      <c r="N1055">
        <v>19</v>
      </c>
      <c r="O1055">
        <v>16</v>
      </c>
      <c r="P1055">
        <v>3</v>
      </c>
      <c r="Q1055">
        <v>19</v>
      </c>
      <c r="R1055">
        <v>16</v>
      </c>
      <c r="S1055">
        <v>3</v>
      </c>
      <c r="T1055">
        <v>0</v>
      </c>
      <c r="U1055" t="s">
        <v>9552</v>
      </c>
      <c r="V1055">
        <f>Tabla1[[#This Row],[Aboard]]-Tabla1[[#This Row],[Fatalities]]</f>
        <v>0</v>
      </c>
      <c r="W1055" s="50">
        <f>IFERROR(Tabla1[[#This Row],[Fatalities]]/Tabla1[[#This Row],[Aboard]],0)</f>
        <v>1</v>
      </c>
      <c r="X1055" s="51" t="str" cm="1">
        <f t="array" ref="X1055">_xlfn.IFS(Tabla1[[#This Row],[Porcentaje de muertes]]&lt;0.35,"LEVE",AND(Tabla1[[#This Row],[Porcentaje de muertes]]&gt;0.35,Tabla1[[#This Row],[Porcentaje de muertes]]&lt;0.65),"MEDIO",Tabla1[[#This Row],[Porcentaje de muertes]]&gt;0.65,"GRAVE")</f>
        <v>GRAVE</v>
      </c>
    </row>
    <row r="1056" spans="2:24" x14ac:dyDescent="0.3">
      <c r="B1056" s="9">
        <v>1054</v>
      </c>
      <c r="C1056" s="49">
        <v>17743</v>
      </c>
      <c r="D1056" s="9">
        <f>YEAR(Tabla1[[#This Row],[Date]])</f>
        <v>1948</v>
      </c>
      <c r="E1056" s="9" t="str" cm="1">
        <f t="array" ref="E1056">IFERROR(_xlfn.IFS(AND(D1056&lt;1980,D1056&gt;=1970),"70",AND(D1056&lt;1990,D1056&gt;=1980),"80",AND(D1056&lt;2000,D1056&gt;=1990),"90",AND(D1056&lt;2010,D1056&gt;=2000),"00",AND(D1056&lt;=2019,D1056&gt;=2010),"10"),"1908-1970")</f>
        <v>1908-1970</v>
      </c>
      <c r="F1056" s="3">
        <v>0.38541666666666669</v>
      </c>
      <c r="G1056" t="s">
        <v>5925</v>
      </c>
      <c r="H1056" t="s">
        <v>9553</v>
      </c>
      <c r="I1056">
        <v>343</v>
      </c>
      <c r="J1056" t="s">
        <v>9554</v>
      </c>
      <c r="K1056" t="s">
        <v>9555</v>
      </c>
      <c r="L1056" s="7" t="s">
        <v>9556</v>
      </c>
      <c r="M1056" t="s">
        <v>9557</v>
      </c>
      <c r="N1056">
        <v>24</v>
      </c>
      <c r="O1056">
        <v>18</v>
      </c>
      <c r="P1056">
        <v>6</v>
      </c>
      <c r="Q1056">
        <v>18</v>
      </c>
      <c r="R1056">
        <v>16</v>
      </c>
      <c r="S1056">
        <v>2</v>
      </c>
      <c r="T1056">
        <v>0</v>
      </c>
      <c r="U1056" t="s">
        <v>9558</v>
      </c>
      <c r="V1056">
        <f>Tabla1[[#This Row],[Aboard]]-Tabla1[[#This Row],[Fatalities]]</f>
        <v>6</v>
      </c>
      <c r="W1056" s="50">
        <f>IFERROR(Tabla1[[#This Row],[Fatalities]]/Tabla1[[#This Row],[Aboard]],0)</f>
        <v>0.75</v>
      </c>
      <c r="X1056" s="51" t="str" cm="1">
        <f t="array" ref="X1056">_xlfn.IFS(Tabla1[[#This Row],[Porcentaje de muertes]]&lt;0.35,"LEVE",AND(Tabla1[[#This Row],[Porcentaje de muertes]]&gt;0.35,Tabla1[[#This Row],[Porcentaje de muertes]]&lt;0.65),"MEDIO",Tabla1[[#This Row],[Porcentaje de muertes]]&gt;0.65,"GRAVE")</f>
        <v>GRAVE</v>
      </c>
    </row>
    <row r="1057" spans="2:24" x14ac:dyDescent="0.3">
      <c r="B1057" s="9">
        <v>1055</v>
      </c>
      <c r="C1057" s="49">
        <v>17540</v>
      </c>
      <c r="D1057" s="9">
        <f>YEAR(Tabla1[[#This Row],[Date]])</f>
        <v>1948</v>
      </c>
      <c r="E1057" s="9" t="str" cm="1">
        <f t="array" ref="E1057">IFERROR(_xlfn.IFS(AND(D1057&lt;1980,D1057&gt;=1970),"70",AND(D1057&lt;1990,D1057&gt;=1980),"80",AND(D1057&lt;2000,D1057&gt;=1990),"90",AND(D1057&lt;2010,D1057&gt;=2000),"00",AND(D1057&lt;=2019,D1057&gt;=2010),"10"),"1908-1970")</f>
        <v>1908-1970</v>
      </c>
      <c r="F1057" s="3">
        <v>0.40277777777777773</v>
      </c>
      <c r="G1057" t="s">
        <v>9559</v>
      </c>
      <c r="H1057" t="s">
        <v>9560</v>
      </c>
      <c r="I1057" t="s">
        <v>28931</v>
      </c>
      <c r="J1057" t="s">
        <v>9561</v>
      </c>
      <c r="K1057" t="s">
        <v>9562</v>
      </c>
      <c r="L1057" s="7" t="s">
        <v>9563</v>
      </c>
      <c r="M1057">
        <v>37031</v>
      </c>
      <c r="N1057">
        <v>4</v>
      </c>
      <c r="O1057">
        <v>0</v>
      </c>
      <c r="P1057">
        <v>4</v>
      </c>
      <c r="Q1057">
        <v>4</v>
      </c>
      <c r="R1057">
        <v>0</v>
      </c>
      <c r="S1057">
        <v>4</v>
      </c>
      <c r="T1057">
        <v>0</v>
      </c>
      <c r="U1057" t="s">
        <v>9564</v>
      </c>
      <c r="V1057">
        <f>Tabla1[[#This Row],[Aboard]]-Tabla1[[#This Row],[Fatalities]]</f>
        <v>0</v>
      </c>
      <c r="W1057" s="50">
        <f>IFERROR(Tabla1[[#This Row],[Fatalities]]/Tabla1[[#This Row],[Aboard]],0)</f>
        <v>1</v>
      </c>
      <c r="X1057" s="51" t="str" cm="1">
        <f t="array" ref="X1057">_xlfn.IFS(Tabla1[[#This Row],[Porcentaje de muertes]]&lt;0.35,"LEVE",AND(Tabla1[[#This Row],[Porcentaje de muertes]]&gt;0.35,Tabla1[[#This Row],[Porcentaje de muertes]]&lt;0.65),"MEDIO",Tabla1[[#This Row],[Porcentaje de muertes]]&gt;0.65,"GRAVE")</f>
        <v>GRAVE</v>
      </c>
    </row>
    <row r="1058" spans="2:24" x14ac:dyDescent="0.3">
      <c r="B1058" s="9">
        <v>1056</v>
      </c>
      <c r="C1058" s="49">
        <v>17540</v>
      </c>
      <c r="D1058" s="9">
        <f>YEAR(Tabla1[[#This Row],[Date]])</f>
        <v>1948</v>
      </c>
      <c r="E1058" s="9" t="str" cm="1">
        <f t="array" ref="E1058">IFERROR(_xlfn.IFS(AND(D1058&lt;1980,D1058&gt;=1970),"70",AND(D1058&lt;1990,D1058&gt;=1980),"80",AND(D1058&lt;2000,D1058&gt;=1990),"90",AND(D1058&lt;2010,D1058&gt;=2000),"00",AND(D1058&lt;=2019,D1058&gt;=2010),"10"),"1908-1970")</f>
        <v>1908-1970</v>
      </c>
      <c r="F1058" s="3">
        <v>0.99652777777777779</v>
      </c>
      <c r="G1058" t="s">
        <v>9565</v>
      </c>
      <c r="H1058" t="s">
        <v>6375</v>
      </c>
      <c r="I1058">
        <v>72</v>
      </c>
      <c r="J1058" t="s">
        <v>9566</v>
      </c>
      <c r="K1058" t="s">
        <v>9386</v>
      </c>
      <c r="L1058" s="7" t="s">
        <v>9567</v>
      </c>
      <c r="M1058">
        <v>6</v>
      </c>
      <c r="N1058">
        <v>52</v>
      </c>
      <c r="O1058">
        <v>40</v>
      </c>
      <c r="P1058">
        <v>12</v>
      </c>
      <c r="Q1058">
        <v>52</v>
      </c>
      <c r="R1058">
        <v>40</v>
      </c>
      <c r="S1058">
        <v>12</v>
      </c>
      <c r="T1058">
        <v>0</v>
      </c>
      <c r="U1058" t="s">
        <v>9568</v>
      </c>
      <c r="V1058">
        <f>Tabla1[[#This Row],[Aboard]]-Tabla1[[#This Row],[Fatalities]]</f>
        <v>0</v>
      </c>
      <c r="W1058" s="50">
        <f>IFERROR(Tabla1[[#This Row],[Fatalities]]/Tabla1[[#This Row],[Aboard]],0)</f>
        <v>1</v>
      </c>
      <c r="X1058" s="51" t="str" cm="1">
        <f t="array" ref="X1058">_xlfn.IFS(Tabla1[[#This Row],[Porcentaje de muertes]]&lt;0.35,"LEVE",AND(Tabla1[[#This Row],[Porcentaje de muertes]]&gt;0.35,Tabla1[[#This Row],[Porcentaje de muertes]]&lt;0.65),"MEDIO",Tabla1[[#This Row],[Porcentaje de muertes]]&gt;0.65,"GRAVE")</f>
        <v>GRAVE</v>
      </c>
    </row>
    <row r="1059" spans="2:24" x14ac:dyDescent="0.3">
      <c r="B1059" s="9">
        <v>1057</v>
      </c>
      <c r="C1059" s="49">
        <v>17784</v>
      </c>
      <c r="D1059" s="9">
        <f>YEAR(Tabla1[[#This Row],[Date]])</f>
        <v>1948</v>
      </c>
      <c r="E1059" s="9" t="str" cm="1">
        <f t="array" ref="E1059">IFERROR(_xlfn.IFS(AND(D1059&lt;1980,D1059&gt;=1970),"70",AND(D1059&lt;1990,D1059&gt;=1980),"80",AND(D1059&lt;2000,D1059&gt;=1990),"90",AND(D1059&lt;2010,D1059&gt;=2000),"00",AND(D1059&lt;=2019,D1059&gt;=2010),"10"),"1908-1970")</f>
        <v>1908-1970</v>
      </c>
      <c r="F1059" s="3">
        <v>0.36458333333333331</v>
      </c>
      <c r="G1059" t="s">
        <v>9569</v>
      </c>
      <c r="H1059" t="s">
        <v>9570</v>
      </c>
      <c r="I1059" t="s">
        <v>28931</v>
      </c>
      <c r="J1059" t="s">
        <v>9571</v>
      </c>
      <c r="K1059" t="s">
        <v>8465</v>
      </c>
      <c r="L1059" s="7" t="s">
        <v>9572</v>
      </c>
      <c r="M1059" t="s">
        <v>9573</v>
      </c>
      <c r="N1059">
        <v>2</v>
      </c>
      <c r="O1059">
        <v>0</v>
      </c>
      <c r="P1059">
        <v>2</v>
      </c>
      <c r="Q1059">
        <v>2</v>
      </c>
      <c r="R1059">
        <v>0</v>
      </c>
      <c r="S1059">
        <v>2</v>
      </c>
      <c r="T1059">
        <v>0</v>
      </c>
      <c r="U1059" t="s">
        <v>9574</v>
      </c>
      <c r="V1059">
        <f>Tabla1[[#This Row],[Aboard]]-Tabla1[[#This Row],[Fatalities]]</f>
        <v>0</v>
      </c>
      <c r="W1059" s="50">
        <f>IFERROR(Tabla1[[#This Row],[Fatalities]]/Tabla1[[#This Row],[Aboard]],0)</f>
        <v>1</v>
      </c>
      <c r="X1059" s="51" t="str" cm="1">
        <f t="array" ref="X1059">_xlfn.IFS(Tabla1[[#This Row],[Porcentaje de muertes]]&lt;0.35,"LEVE",AND(Tabla1[[#This Row],[Porcentaje de muertes]]&gt;0.35,Tabla1[[#This Row],[Porcentaje de muertes]]&lt;0.65),"MEDIO",Tabla1[[#This Row],[Porcentaje de muertes]]&gt;0.65,"GRAVE")</f>
        <v>GRAVE</v>
      </c>
    </row>
    <row r="1060" spans="2:24" x14ac:dyDescent="0.3">
      <c r="B1060" s="9">
        <v>1058</v>
      </c>
      <c r="C1060" s="49">
        <v>17765</v>
      </c>
      <c r="D1060" s="9">
        <f>YEAR(Tabla1[[#This Row],[Date]])</f>
        <v>1948</v>
      </c>
      <c r="E1060" s="9" t="str" cm="1">
        <f t="array" ref="E1060">IFERROR(_xlfn.IFS(AND(D1060&lt;1980,D1060&gt;=1970),"70",AND(D1060&lt;1990,D1060&gt;=1980),"80",AND(D1060&lt;2000,D1060&gt;=1990),"90",AND(D1060&lt;2010,D1060&gt;=2000),"00",AND(D1060&lt;=2019,D1060&gt;=2010),"10"),"1908-1970")</f>
        <v>1908-1970</v>
      </c>
      <c r="F1060" s="3" t="s">
        <v>28931</v>
      </c>
      <c r="G1060" t="s">
        <v>9575</v>
      </c>
      <c r="H1060" t="s">
        <v>9576</v>
      </c>
      <c r="I1060" t="s">
        <v>28931</v>
      </c>
      <c r="J1060" t="s">
        <v>9577</v>
      </c>
      <c r="K1060" t="s">
        <v>8105</v>
      </c>
      <c r="L1060" s="7" t="s">
        <v>9578</v>
      </c>
      <c r="M1060">
        <v>19985</v>
      </c>
      <c r="N1060">
        <v>3</v>
      </c>
      <c r="O1060">
        <v>0</v>
      </c>
      <c r="P1060">
        <v>3</v>
      </c>
      <c r="Q1060">
        <v>3</v>
      </c>
      <c r="R1060">
        <v>0</v>
      </c>
      <c r="S1060">
        <v>3</v>
      </c>
      <c r="T1060">
        <v>0</v>
      </c>
      <c r="U1060" t="s">
        <v>9579</v>
      </c>
      <c r="V1060">
        <f>Tabla1[[#This Row],[Aboard]]-Tabla1[[#This Row],[Fatalities]]</f>
        <v>0</v>
      </c>
      <c r="W1060" s="50">
        <f>IFERROR(Tabla1[[#This Row],[Fatalities]]/Tabla1[[#This Row],[Aboard]],0)</f>
        <v>1</v>
      </c>
      <c r="X1060" s="51" t="str" cm="1">
        <f t="array" ref="X1060">_xlfn.IFS(Tabla1[[#This Row],[Porcentaje de muertes]]&lt;0.35,"LEVE",AND(Tabla1[[#This Row],[Porcentaje de muertes]]&gt;0.35,Tabla1[[#This Row],[Porcentaje de muertes]]&lt;0.65),"MEDIO",Tabla1[[#This Row],[Porcentaje de muertes]]&gt;0.65,"GRAVE")</f>
        <v>GRAVE</v>
      </c>
    </row>
    <row r="1061" spans="2:24" x14ac:dyDescent="0.3">
      <c r="B1061" s="9">
        <v>1059</v>
      </c>
      <c r="C1061" s="49">
        <v>17774</v>
      </c>
      <c r="D1061" s="9">
        <f>YEAR(Tabla1[[#This Row],[Date]])</f>
        <v>1948</v>
      </c>
      <c r="E1061" s="9" t="str" cm="1">
        <f t="array" ref="E1061">IFERROR(_xlfn.IFS(AND(D1061&lt;1980,D1061&gt;=1970),"70",AND(D1061&lt;1990,D1061&gt;=1980),"80",AND(D1061&lt;2000,D1061&gt;=1990),"90",AND(D1061&lt;2010,D1061&gt;=2000),"00",AND(D1061&lt;=2019,D1061&gt;=2010),"10"),"1908-1970")</f>
        <v>1908-1970</v>
      </c>
      <c r="F1061" s="3">
        <v>0.71180555555555547</v>
      </c>
      <c r="G1061" t="s">
        <v>9580</v>
      </c>
      <c r="H1061" t="s">
        <v>5769</v>
      </c>
      <c r="I1061">
        <v>421</v>
      </c>
      <c r="J1061" t="s">
        <v>9581</v>
      </c>
      <c r="K1061" t="s">
        <v>9582</v>
      </c>
      <c r="L1061" s="7" t="s">
        <v>9583</v>
      </c>
      <c r="M1061">
        <v>9165</v>
      </c>
      <c r="N1061">
        <v>37</v>
      </c>
      <c r="O1061">
        <v>33</v>
      </c>
      <c r="P1061">
        <v>4</v>
      </c>
      <c r="Q1061">
        <v>37</v>
      </c>
      <c r="R1061">
        <v>33</v>
      </c>
      <c r="S1061">
        <v>4</v>
      </c>
      <c r="T1061">
        <v>0</v>
      </c>
      <c r="U1061" t="s">
        <v>9584</v>
      </c>
      <c r="V1061">
        <f>Tabla1[[#This Row],[Aboard]]-Tabla1[[#This Row],[Fatalities]]</f>
        <v>0</v>
      </c>
      <c r="W1061" s="50">
        <f>IFERROR(Tabla1[[#This Row],[Fatalities]]/Tabla1[[#This Row],[Aboard]],0)</f>
        <v>1</v>
      </c>
      <c r="X1061" s="51" t="str" cm="1">
        <f t="array" ref="X1061">_xlfn.IFS(Tabla1[[#This Row],[Porcentaje de muertes]]&lt;0.35,"LEVE",AND(Tabla1[[#This Row],[Porcentaje de muertes]]&gt;0.35,Tabla1[[#This Row],[Porcentaje de muertes]]&lt;0.65),"MEDIO",Tabla1[[#This Row],[Porcentaje de muertes]]&gt;0.65,"GRAVE")</f>
        <v>GRAVE</v>
      </c>
    </row>
    <row r="1062" spans="2:24" x14ac:dyDescent="0.3">
      <c r="B1062" s="9">
        <v>1060</v>
      </c>
      <c r="C1062" s="49">
        <v>17776</v>
      </c>
      <c r="D1062" s="9">
        <f>YEAR(Tabla1[[#This Row],[Date]])</f>
        <v>1948</v>
      </c>
      <c r="E1062" s="9" t="str" cm="1">
        <f t="array" ref="E1062">IFERROR(_xlfn.IFS(AND(D1062&lt;1980,D1062&gt;=1970),"70",AND(D1062&lt;1990,D1062&gt;=1980),"80",AND(D1062&lt;2000,D1062&gt;=1990),"90",AND(D1062&lt;2010,D1062&gt;=2000),"00",AND(D1062&lt;=2019,D1062&gt;=2010),"10"),"1908-1970")</f>
        <v>1908-1970</v>
      </c>
      <c r="F1062" s="3" t="s">
        <v>28931</v>
      </c>
      <c r="G1062" t="s">
        <v>9585</v>
      </c>
      <c r="H1062" t="s">
        <v>5957</v>
      </c>
      <c r="I1062" t="s">
        <v>28931</v>
      </c>
      <c r="J1062" t="s">
        <v>9586</v>
      </c>
      <c r="K1062" t="s">
        <v>9587</v>
      </c>
      <c r="L1062" s="7" t="s">
        <v>9588</v>
      </c>
      <c r="M1062">
        <v>12420</v>
      </c>
      <c r="N1062">
        <v>13</v>
      </c>
      <c r="O1062">
        <v>10</v>
      </c>
      <c r="P1062">
        <v>3</v>
      </c>
      <c r="Q1062">
        <v>13</v>
      </c>
      <c r="R1062">
        <v>10</v>
      </c>
      <c r="S1062">
        <v>3</v>
      </c>
      <c r="T1062">
        <v>0</v>
      </c>
      <c r="U1062" t="s">
        <v>9589</v>
      </c>
      <c r="V1062">
        <f>Tabla1[[#This Row],[Aboard]]-Tabla1[[#This Row],[Fatalities]]</f>
        <v>0</v>
      </c>
      <c r="W1062" s="50">
        <f>IFERROR(Tabla1[[#This Row],[Fatalities]]/Tabla1[[#This Row],[Aboard]],0)</f>
        <v>1</v>
      </c>
      <c r="X1062" s="51" t="str" cm="1">
        <f t="array" ref="X1062">_xlfn.IFS(Tabla1[[#This Row],[Porcentaje de muertes]]&lt;0.35,"LEVE",AND(Tabla1[[#This Row],[Porcentaje de muertes]]&gt;0.35,Tabla1[[#This Row],[Porcentaje de muertes]]&lt;0.65),"MEDIO",Tabla1[[#This Row],[Porcentaje de muertes]]&gt;0.65,"GRAVE")</f>
        <v>GRAVE</v>
      </c>
    </row>
    <row r="1063" spans="2:24" x14ac:dyDescent="0.3">
      <c r="B1063" s="9">
        <v>1061</v>
      </c>
      <c r="C1063" s="49">
        <v>17572</v>
      </c>
      <c r="D1063" s="9">
        <f>YEAR(Tabla1[[#This Row],[Date]])</f>
        <v>1948</v>
      </c>
      <c r="E1063" s="9" t="str" cm="1">
        <f t="array" ref="E1063">IFERROR(_xlfn.IFS(AND(D1063&lt;1980,D1063&gt;=1970),"70",AND(D1063&lt;1990,D1063&gt;=1980),"80",AND(D1063&lt;2000,D1063&gt;=1990),"90",AND(D1063&lt;2010,D1063&gt;=2000),"00",AND(D1063&lt;=2019,D1063&gt;=2010),"10"),"1908-1970")</f>
        <v>1908-1970</v>
      </c>
      <c r="F1063" s="3">
        <v>0.84375</v>
      </c>
      <c r="G1063" t="s">
        <v>9590</v>
      </c>
      <c r="H1063" t="s">
        <v>6038</v>
      </c>
      <c r="I1063">
        <v>331</v>
      </c>
      <c r="J1063" t="s">
        <v>6975</v>
      </c>
      <c r="K1063" t="s">
        <v>7057</v>
      </c>
      <c r="L1063" s="7" t="s">
        <v>9591</v>
      </c>
      <c r="M1063">
        <v>9999</v>
      </c>
      <c r="N1063">
        <v>13</v>
      </c>
      <c r="O1063">
        <v>10</v>
      </c>
      <c r="P1063">
        <v>3</v>
      </c>
      <c r="Q1063">
        <v>13</v>
      </c>
      <c r="R1063">
        <v>10</v>
      </c>
      <c r="S1063">
        <v>3</v>
      </c>
      <c r="T1063">
        <v>0</v>
      </c>
      <c r="U1063" t="s">
        <v>9592</v>
      </c>
      <c r="V1063">
        <f>Tabla1[[#This Row],[Aboard]]-Tabla1[[#This Row],[Fatalities]]</f>
        <v>0</v>
      </c>
      <c r="W1063" s="50">
        <f>IFERROR(Tabla1[[#This Row],[Fatalities]]/Tabla1[[#This Row],[Aboard]],0)</f>
        <v>1</v>
      </c>
      <c r="X1063" s="51" t="str" cm="1">
        <f t="array" ref="X1063">_xlfn.IFS(Tabla1[[#This Row],[Porcentaje de muertes]]&lt;0.35,"LEVE",AND(Tabla1[[#This Row],[Porcentaje de muertes]]&gt;0.35,Tabla1[[#This Row],[Porcentaje de muertes]]&lt;0.65),"MEDIO",Tabla1[[#This Row],[Porcentaje de muertes]]&gt;0.65,"GRAVE")</f>
        <v>GRAVE</v>
      </c>
    </row>
    <row r="1064" spans="2:24" x14ac:dyDescent="0.3">
      <c r="B1064" s="9">
        <v>1062</v>
      </c>
      <c r="C1064" s="49">
        <v>17806</v>
      </c>
      <c r="D1064" s="9">
        <f>YEAR(Tabla1[[#This Row],[Date]])</f>
        <v>1948</v>
      </c>
      <c r="E1064" s="9" t="str" cm="1">
        <f t="array" ref="E1064">IFERROR(_xlfn.IFS(AND(D1064&lt;1980,D1064&gt;=1970),"70",AND(D1064&lt;1990,D1064&gt;=1980),"80",AND(D1064&lt;2000,D1064&gt;=1990),"90",AND(D1064&lt;2010,D1064&gt;=2000),"00",AND(D1064&lt;=2019,D1064&gt;=2010),"10"),"1908-1970")</f>
        <v>1908-1970</v>
      </c>
      <c r="F1064" s="3">
        <v>0.53472222222222221</v>
      </c>
      <c r="G1064" t="s">
        <v>9593</v>
      </c>
      <c r="H1064" t="s">
        <v>6541</v>
      </c>
      <c r="I1064">
        <v>60</v>
      </c>
      <c r="J1064" t="s">
        <v>9594</v>
      </c>
      <c r="K1064" t="s">
        <v>8258</v>
      </c>
      <c r="L1064" s="7" t="s">
        <v>9595</v>
      </c>
      <c r="M1064">
        <v>18423902</v>
      </c>
      <c r="N1064">
        <v>15</v>
      </c>
      <c r="O1064">
        <v>11</v>
      </c>
      <c r="P1064">
        <v>4</v>
      </c>
      <c r="Q1064">
        <v>15</v>
      </c>
      <c r="R1064">
        <v>11</v>
      </c>
      <c r="S1064">
        <v>4</v>
      </c>
      <c r="T1064">
        <v>0</v>
      </c>
      <c r="U1064" t="s">
        <v>9596</v>
      </c>
      <c r="V1064">
        <f>Tabla1[[#This Row],[Aboard]]-Tabla1[[#This Row],[Fatalities]]</f>
        <v>0</v>
      </c>
      <c r="W1064" s="50">
        <f>IFERROR(Tabla1[[#This Row],[Fatalities]]/Tabla1[[#This Row],[Aboard]],0)</f>
        <v>1</v>
      </c>
      <c r="X1064" s="51" t="str" cm="1">
        <f t="array" ref="X1064">_xlfn.IFS(Tabla1[[#This Row],[Porcentaje de muertes]]&lt;0.35,"LEVE",AND(Tabla1[[#This Row],[Porcentaje de muertes]]&gt;0.35,Tabla1[[#This Row],[Porcentaje de muertes]]&lt;0.65),"MEDIO",Tabla1[[#This Row],[Porcentaje de muertes]]&gt;0.65,"GRAVE")</f>
        <v>GRAVE</v>
      </c>
    </row>
    <row r="1065" spans="2:24" x14ac:dyDescent="0.3">
      <c r="B1065" s="9">
        <v>1063</v>
      </c>
      <c r="C1065" s="49">
        <v>17573</v>
      </c>
      <c r="D1065" s="9">
        <f>YEAR(Tabla1[[#This Row],[Date]])</f>
        <v>1948</v>
      </c>
      <c r="E1065" s="9" t="str" cm="1">
        <f t="array" ref="E1065">IFERROR(_xlfn.IFS(AND(D1065&lt;1980,D1065&gt;=1970),"70",AND(D1065&lt;1990,D1065&gt;=1980),"80",AND(D1065&lt;2000,D1065&gt;=1990),"90",AND(D1065&lt;2010,D1065&gt;=2000),"00",AND(D1065&lt;=2019,D1065&gt;=2010),"10"),"1908-1970")</f>
        <v>1908-1970</v>
      </c>
      <c r="F1065" s="3">
        <v>0.4375</v>
      </c>
      <c r="G1065" t="s">
        <v>9597</v>
      </c>
      <c r="H1065" t="s">
        <v>9201</v>
      </c>
      <c r="I1065" t="s">
        <v>28931</v>
      </c>
      <c r="J1065" t="s">
        <v>9598</v>
      </c>
      <c r="K1065" t="s">
        <v>9599</v>
      </c>
      <c r="L1065" s="7" t="s">
        <v>9600</v>
      </c>
      <c r="M1065" t="s">
        <v>9601</v>
      </c>
      <c r="N1065">
        <v>45</v>
      </c>
      <c r="O1065">
        <v>38</v>
      </c>
      <c r="P1065">
        <v>7</v>
      </c>
      <c r="Q1065">
        <v>19</v>
      </c>
      <c r="R1065">
        <v>16</v>
      </c>
      <c r="S1065">
        <v>3</v>
      </c>
      <c r="T1065">
        <v>0</v>
      </c>
      <c r="U1065" t="s">
        <v>9602</v>
      </c>
      <c r="V1065">
        <f>Tabla1[[#This Row],[Aboard]]-Tabla1[[#This Row],[Fatalities]]</f>
        <v>26</v>
      </c>
      <c r="W1065" s="50">
        <f>IFERROR(Tabla1[[#This Row],[Fatalities]]/Tabla1[[#This Row],[Aboard]],0)</f>
        <v>0.42222222222222222</v>
      </c>
      <c r="X1065" s="51" t="str" cm="1">
        <f t="array" ref="X1065">_xlfn.IFS(Tabla1[[#This Row],[Porcentaje de muertes]]&lt;0.35,"LEVE",AND(Tabla1[[#This Row],[Porcentaje de muertes]]&gt;0.35,Tabla1[[#This Row],[Porcentaje de muertes]]&lt;0.65),"MEDIO",Tabla1[[#This Row],[Porcentaje de muertes]]&gt;0.65,"GRAVE")</f>
        <v>MEDIO</v>
      </c>
    </row>
    <row r="1066" spans="2:24" x14ac:dyDescent="0.3">
      <c r="B1066" s="9">
        <v>1064</v>
      </c>
      <c r="C1066" s="49">
        <v>17877</v>
      </c>
      <c r="D1066" s="9">
        <f>YEAR(Tabla1[[#This Row],[Date]])</f>
        <v>1948</v>
      </c>
      <c r="E1066" s="9" t="str" cm="1">
        <f t="array" ref="E1066">IFERROR(_xlfn.IFS(AND(D1066&lt;1980,D1066&gt;=1970),"70",AND(D1066&lt;1990,D1066&gt;=1980),"80",AND(D1066&lt;2000,D1066&gt;=1990),"90",AND(D1066&lt;2010,D1066&gt;=2000),"00",AND(D1066&lt;=2019,D1066&gt;=2010),"10"),"1908-1970")</f>
        <v>1908-1970</v>
      </c>
      <c r="F1066" s="3">
        <v>0.54166666666666663</v>
      </c>
      <c r="G1066" t="s">
        <v>9603</v>
      </c>
      <c r="H1066" t="s">
        <v>6541</v>
      </c>
      <c r="I1066" t="s">
        <v>28931</v>
      </c>
      <c r="J1066" t="s">
        <v>9604</v>
      </c>
      <c r="K1066" t="s">
        <v>9605</v>
      </c>
      <c r="L1066" s="7" t="s">
        <v>9606</v>
      </c>
      <c r="M1066">
        <v>8302517</v>
      </c>
      <c r="N1066">
        <v>10</v>
      </c>
      <c r="O1066">
        <v>4</v>
      </c>
      <c r="P1066">
        <v>6</v>
      </c>
      <c r="Q1066">
        <v>10</v>
      </c>
      <c r="R1066">
        <v>4</v>
      </c>
      <c r="S1066">
        <v>6</v>
      </c>
      <c r="T1066">
        <v>0</v>
      </c>
      <c r="U1066" t="s">
        <v>9607</v>
      </c>
      <c r="V1066">
        <f>Tabla1[[#This Row],[Aboard]]-Tabla1[[#This Row],[Fatalities]]</f>
        <v>0</v>
      </c>
      <c r="W1066" s="50">
        <f>IFERROR(Tabla1[[#This Row],[Fatalities]]/Tabla1[[#This Row],[Aboard]],0)</f>
        <v>1</v>
      </c>
      <c r="X1066" s="51" t="str" cm="1">
        <f t="array" ref="X1066">_xlfn.IFS(Tabla1[[#This Row],[Porcentaje de muertes]]&lt;0.35,"LEVE",AND(Tabla1[[#This Row],[Porcentaje de muertes]]&gt;0.35,Tabla1[[#This Row],[Porcentaje de muertes]]&lt;0.65),"MEDIO",Tabla1[[#This Row],[Porcentaje de muertes]]&gt;0.65,"GRAVE")</f>
        <v>GRAVE</v>
      </c>
    </row>
    <row r="1067" spans="2:24" x14ac:dyDescent="0.3">
      <c r="B1067" s="9">
        <v>1065</v>
      </c>
      <c r="C1067" s="49">
        <v>17827</v>
      </c>
      <c r="D1067" s="9">
        <f>YEAR(Tabla1[[#This Row],[Date]])</f>
        <v>1948</v>
      </c>
      <c r="E1067" s="9" t="str" cm="1">
        <f t="array" ref="E1067">IFERROR(_xlfn.IFS(AND(D1067&lt;1980,D1067&gt;=1970),"70",AND(D1067&lt;1990,D1067&gt;=1980),"80",AND(D1067&lt;2000,D1067&gt;=1990),"90",AND(D1067&lt;2010,D1067&gt;=2000),"00",AND(D1067&lt;=2019,D1067&gt;=2010),"10"),"1908-1970")</f>
        <v>1908-1970</v>
      </c>
      <c r="F1067" s="3">
        <v>2.4305555555555556E-2</v>
      </c>
      <c r="G1067" t="s">
        <v>9608</v>
      </c>
      <c r="H1067" t="s">
        <v>5332</v>
      </c>
      <c r="I1067" t="s">
        <v>28931</v>
      </c>
      <c r="J1067" t="s">
        <v>9609</v>
      </c>
      <c r="K1067" t="s">
        <v>9610</v>
      </c>
      <c r="L1067" s="7" t="s">
        <v>9611</v>
      </c>
      <c r="M1067">
        <v>2083</v>
      </c>
      <c r="N1067">
        <v>40</v>
      </c>
      <c r="O1067">
        <v>30</v>
      </c>
      <c r="P1067">
        <v>10</v>
      </c>
      <c r="Q1067">
        <v>40</v>
      </c>
      <c r="R1067">
        <v>30</v>
      </c>
      <c r="S1067">
        <v>10</v>
      </c>
      <c r="T1067">
        <v>0</v>
      </c>
      <c r="U1067" t="s">
        <v>9612</v>
      </c>
      <c r="V1067">
        <f>Tabla1[[#This Row],[Aboard]]-Tabla1[[#This Row],[Fatalities]]</f>
        <v>0</v>
      </c>
      <c r="W1067" s="50">
        <f>IFERROR(Tabla1[[#This Row],[Fatalities]]/Tabla1[[#This Row],[Aboard]],0)</f>
        <v>1</v>
      </c>
      <c r="X1067" s="51" t="str" cm="1">
        <f t="array" ref="X1067">_xlfn.IFS(Tabla1[[#This Row],[Porcentaje de muertes]]&lt;0.35,"LEVE",AND(Tabla1[[#This Row],[Porcentaje de muertes]]&gt;0.35,Tabla1[[#This Row],[Porcentaje de muertes]]&lt;0.65),"MEDIO",Tabla1[[#This Row],[Porcentaje de muertes]]&gt;0.65,"GRAVE")</f>
        <v>GRAVE</v>
      </c>
    </row>
    <row r="1068" spans="2:24" x14ac:dyDescent="0.3">
      <c r="B1068" s="9">
        <v>1066</v>
      </c>
      <c r="C1068" s="49">
        <v>17829</v>
      </c>
      <c r="D1068" s="9">
        <f>YEAR(Tabla1[[#This Row],[Date]])</f>
        <v>1948</v>
      </c>
      <c r="E1068" s="9" t="str" cm="1">
        <f t="array" ref="E1068">IFERROR(_xlfn.IFS(AND(D1068&lt;1980,D1068&gt;=1970),"70",AND(D1068&lt;1990,D1068&gt;=1980),"80",AND(D1068&lt;2000,D1068&gt;=1990),"90",AND(D1068&lt;2010,D1068&gt;=2000),"00",AND(D1068&lt;=2019,D1068&gt;=2010),"10"),"1908-1970")</f>
        <v>1908-1970</v>
      </c>
      <c r="F1068" s="3">
        <v>0.59375</v>
      </c>
      <c r="G1068" t="s">
        <v>9613</v>
      </c>
      <c r="H1068" t="s">
        <v>9570</v>
      </c>
      <c r="I1068" t="s">
        <v>28931</v>
      </c>
      <c r="J1068" t="s">
        <v>9614</v>
      </c>
      <c r="K1068" t="s">
        <v>9615</v>
      </c>
      <c r="L1068" s="7" t="s">
        <v>9616</v>
      </c>
      <c r="M1068">
        <v>1128</v>
      </c>
      <c r="N1068">
        <v>13</v>
      </c>
      <c r="O1068">
        <v>10</v>
      </c>
      <c r="P1068">
        <v>3</v>
      </c>
      <c r="Q1068">
        <v>13</v>
      </c>
      <c r="R1068">
        <v>10</v>
      </c>
      <c r="S1068">
        <v>3</v>
      </c>
      <c r="T1068">
        <v>0</v>
      </c>
      <c r="U1068" t="s">
        <v>9617</v>
      </c>
      <c r="V1068">
        <f>Tabla1[[#This Row],[Aboard]]-Tabla1[[#This Row],[Fatalities]]</f>
        <v>0</v>
      </c>
      <c r="W1068" s="50">
        <f>IFERROR(Tabla1[[#This Row],[Fatalities]]/Tabla1[[#This Row],[Aboard]],0)</f>
        <v>1</v>
      </c>
      <c r="X1068" s="51" t="str" cm="1">
        <f t="array" ref="X1068">_xlfn.IFS(Tabla1[[#This Row],[Porcentaje de muertes]]&lt;0.35,"LEVE",AND(Tabla1[[#This Row],[Porcentaje de muertes]]&gt;0.35,Tabla1[[#This Row],[Porcentaje de muertes]]&lt;0.65),"MEDIO",Tabla1[[#This Row],[Porcentaje de muertes]]&gt;0.65,"GRAVE")</f>
        <v>GRAVE</v>
      </c>
    </row>
    <row r="1069" spans="2:24" x14ac:dyDescent="0.3">
      <c r="B1069" s="9">
        <v>1067</v>
      </c>
      <c r="C1069" s="49">
        <v>17831</v>
      </c>
      <c r="D1069" s="9">
        <f>YEAR(Tabla1[[#This Row],[Date]])</f>
        <v>1948</v>
      </c>
      <c r="E1069" s="9" t="str" cm="1">
        <f t="array" ref="E1069">IFERROR(_xlfn.IFS(AND(D1069&lt;1980,D1069&gt;=1970),"70",AND(D1069&lt;1990,D1069&gt;=1980),"80",AND(D1069&lt;2000,D1069&gt;=1990),"90",AND(D1069&lt;2010,D1069&gt;=2000),"00",AND(D1069&lt;=2019,D1069&gt;=2010),"10"),"1908-1970")</f>
        <v>1908-1970</v>
      </c>
      <c r="F1069" s="3">
        <v>0.58333333333333337</v>
      </c>
      <c r="G1069" t="s">
        <v>9618</v>
      </c>
      <c r="H1069" t="s">
        <v>9619</v>
      </c>
      <c r="I1069" t="s">
        <v>28931</v>
      </c>
      <c r="J1069" t="s">
        <v>9620</v>
      </c>
      <c r="K1069" t="s">
        <v>8569</v>
      </c>
      <c r="L1069" s="7" t="s">
        <v>9621</v>
      </c>
      <c r="M1069">
        <v>1401</v>
      </c>
      <c r="N1069">
        <v>18</v>
      </c>
      <c r="O1069">
        <v>14</v>
      </c>
      <c r="P1069">
        <v>4</v>
      </c>
      <c r="Q1069">
        <v>18</v>
      </c>
      <c r="R1069">
        <v>14</v>
      </c>
      <c r="S1069">
        <v>4</v>
      </c>
      <c r="T1069">
        <v>0</v>
      </c>
      <c r="U1069" t="s">
        <v>9622</v>
      </c>
      <c r="V1069">
        <f>Tabla1[[#This Row],[Aboard]]-Tabla1[[#This Row],[Fatalities]]</f>
        <v>0</v>
      </c>
      <c r="W1069" s="50">
        <f>IFERROR(Tabla1[[#This Row],[Fatalities]]/Tabla1[[#This Row],[Aboard]],0)</f>
        <v>1</v>
      </c>
      <c r="X1069" s="51" t="str" cm="1">
        <f t="array" ref="X1069">_xlfn.IFS(Tabla1[[#This Row],[Porcentaje de muertes]]&lt;0.35,"LEVE",AND(Tabla1[[#This Row],[Porcentaje de muertes]]&gt;0.35,Tabla1[[#This Row],[Porcentaje de muertes]]&lt;0.65),"MEDIO",Tabla1[[#This Row],[Porcentaje de muertes]]&gt;0.65,"GRAVE")</f>
        <v>GRAVE</v>
      </c>
    </row>
    <row r="1070" spans="2:24" x14ac:dyDescent="0.3">
      <c r="B1070" s="9">
        <v>1068</v>
      </c>
      <c r="C1070" s="49">
        <v>17833</v>
      </c>
      <c r="D1070" s="9">
        <f>YEAR(Tabla1[[#This Row],[Date]])</f>
        <v>1948</v>
      </c>
      <c r="E1070" s="9" t="str" cm="1">
        <f t="array" ref="E1070">IFERROR(_xlfn.IFS(AND(D1070&lt;1980,D1070&gt;=1970),"70",AND(D1070&lt;1990,D1070&gt;=1980),"80",AND(D1070&lt;2000,D1070&gt;=1990),"90",AND(D1070&lt;2010,D1070&gt;=2000),"00",AND(D1070&lt;=2019,D1070&gt;=2010),"10"),"1908-1970")</f>
        <v>1908-1970</v>
      </c>
      <c r="F1070" s="3">
        <v>0.70138888888888884</v>
      </c>
      <c r="G1070" t="s">
        <v>9623</v>
      </c>
      <c r="H1070" t="s">
        <v>5769</v>
      </c>
      <c r="I1070">
        <v>6427</v>
      </c>
      <c r="J1070" t="s">
        <v>9624</v>
      </c>
      <c r="K1070" t="s">
        <v>7894</v>
      </c>
      <c r="L1070" s="7" t="s">
        <v>9625</v>
      </c>
      <c r="M1070">
        <v>10406</v>
      </c>
      <c r="N1070">
        <v>5</v>
      </c>
      <c r="O1070">
        <v>0</v>
      </c>
      <c r="P1070">
        <v>5</v>
      </c>
      <c r="Q1070">
        <v>2</v>
      </c>
      <c r="R1070">
        <v>0</v>
      </c>
      <c r="S1070">
        <v>2</v>
      </c>
      <c r="T1070">
        <v>0</v>
      </c>
      <c r="U1070" t="s">
        <v>9626</v>
      </c>
      <c r="V1070">
        <f>Tabla1[[#This Row],[Aboard]]-Tabla1[[#This Row],[Fatalities]]</f>
        <v>3</v>
      </c>
      <c r="W1070" s="50">
        <f>IFERROR(Tabla1[[#This Row],[Fatalities]]/Tabla1[[#This Row],[Aboard]],0)</f>
        <v>0.4</v>
      </c>
      <c r="X1070" s="51" t="str" cm="1">
        <f t="array" ref="X1070">_xlfn.IFS(Tabla1[[#This Row],[Porcentaje de muertes]]&lt;0.35,"LEVE",AND(Tabla1[[#This Row],[Porcentaje de muertes]]&gt;0.35,Tabla1[[#This Row],[Porcentaje de muertes]]&lt;0.65),"MEDIO",Tabla1[[#This Row],[Porcentaje de muertes]]&gt;0.65,"GRAVE")</f>
        <v>MEDIO</v>
      </c>
    </row>
    <row r="1071" spans="2:24" x14ac:dyDescent="0.3">
      <c r="B1071" s="9">
        <v>1069</v>
      </c>
      <c r="C1071" s="49">
        <v>17603</v>
      </c>
      <c r="D1071" s="9">
        <f>YEAR(Tabla1[[#This Row],[Date]])</f>
        <v>1948</v>
      </c>
      <c r="E1071" s="9" t="str" cm="1">
        <f t="array" ref="E1071">IFERROR(_xlfn.IFS(AND(D1071&lt;1980,D1071&gt;=1970),"70",AND(D1071&lt;1990,D1071&gt;=1980),"80",AND(D1071&lt;2000,D1071&gt;=1990),"90",AND(D1071&lt;2010,D1071&gt;=2000),"00",AND(D1071&lt;=2019,D1071&gt;=2010),"10"),"1908-1970")</f>
        <v>1908-1970</v>
      </c>
      <c r="F1071" s="3">
        <v>0.4513888888888889</v>
      </c>
      <c r="G1071" t="s">
        <v>9627</v>
      </c>
      <c r="H1071" t="s">
        <v>7987</v>
      </c>
      <c r="I1071" t="s">
        <v>28931</v>
      </c>
      <c r="J1071" t="s">
        <v>9628</v>
      </c>
      <c r="K1071" t="s">
        <v>9629</v>
      </c>
      <c r="L1071" s="7" t="s">
        <v>9630</v>
      </c>
      <c r="M1071">
        <v>11476</v>
      </c>
      <c r="N1071">
        <v>13</v>
      </c>
      <c r="O1071">
        <v>0</v>
      </c>
      <c r="P1071">
        <v>13</v>
      </c>
      <c r="Q1071">
        <v>13</v>
      </c>
      <c r="R1071">
        <v>0</v>
      </c>
      <c r="S1071">
        <v>13</v>
      </c>
      <c r="T1071">
        <v>0</v>
      </c>
      <c r="U1071" t="s">
        <v>9631</v>
      </c>
      <c r="V1071">
        <f>Tabla1[[#This Row],[Aboard]]-Tabla1[[#This Row],[Fatalities]]</f>
        <v>0</v>
      </c>
      <c r="W1071" s="50">
        <f>IFERROR(Tabla1[[#This Row],[Fatalities]]/Tabla1[[#This Row],[Aboard]],0)</f>
        <v>1</v>
      </c>
      <c r="X1071" s="51" t="str" cm="1">
        <f t="array" ref="X1071">_xlfn.IFS(Tabla1[[#This Row],[Porcentaje de muertes]]&lt;0.35,"LEVE",AND(Tabla1[[#This Row],[Porcentaje de muertes]]&gt;0.35,Tabla1[[#This Row],[Porcentaje de muertes]]&lt;0.65),"MEDIO",Tabla1[[#This Row],[Porcentaje de muertes]]&gt;0.65,"GRAVE")</f>
        <v>GRAVE</v>
      </c>
    </row>
    <row r="1072" spans="2:24" x14ac:dyDescent="0.3">
      <c r="B1072" s="9">
        <v>1070</v>
      </c>
      <c r="C1072" s="49">
        <v>17634</v>
      </c>
      <c r="D1072" s="9">
        <f>YEAR(Tabla1[[#This Row],[Date]])</f>
        <v>1948</v>
      </c>
      <c r="E1072" s="9" t="str" cm="1">
        <f t="array" ref="E1072">IFERROR(_xlfn.IFS(AND(D1072&lt;1980,D1072&gt;=1970),"70",AND(D1072&lt;1990,D1072&gt;=1980),"80",AND(D1072&lt;2000,D1072&gt;=1990),"90",AND(D1072&lt;2010,D1072&gt;=2000),"00",AND(D1072&lt;=2019,D1072&gt;=2010),"10"),"1908-1970")</f>
        <v>1908-1970</v>
      </c>
      <c r="F1072" s="3">
        <v>0.19791666666666666</v>
      </c>
      <c r="G1072" t="s">
        <v>9632</v>
      </c>
      <c r="H1072" t="s">
        <v>9633</v>
      </c>
      <c r="I1072" t="s">
        <v>28931</v>
      </c>
      <c r="J1072" t="s">
        <v>9634</v>
      </c>
      <c r="K1072" t="s">
        <v>7057</v>
      </c>
      <c r="L1072" s="7" t="s">
        <v>9635</v>
      </c>
      <c r="M1072">
        <v>11800</v>
      </c>
      <c r="N1072">
        <v>17</v>
      </c>
      <c r="O1072">
        <v>15</v>
      </c>
      <c r="P1072">
        <v>2</v>
      </c>
      <c r="Q1072">
        <v>17</v>
      </c>
      <c r="R1072">
        <v>15</v>
      </c>
      <c r="S1072">
        <v>2</v>
      </c>
      <c r="T1072">
        <v>0</v>
      </c>
      <c r="U1072" t="s">
        <v>9636</v>
      </c>
      <c r="V1072">
        <f>Tabla1[[#This Row],[Aboard]]-Tabla1[[#This Row],[Fatalities]]</f>
        <v>0</v>
      </c>
      <c r="W1072" s="50">
        <f>IFERROR(Tabla1[[#This Row],[Fatalities]]/Tabla1[[#This Row],[Aboard]],0)</f>
        <v>1</v>
      </c>
      <c r="X1072" s="51" t="str" cm="1">
        <f t="array" ref="X1072">_xlfn.IFS(Tabla1[[#This Row],[Porcentaje de muertes]]&lt;0.35,"LEVE",AND(Tabla1[[#This Row],[Porcentaje de muertes]]&gt;0.35,Tabla1[[#This Row],[Porcentaje de muertes]]&lt;0.65),"MEDIO",Tabla1[[#This Row],[Porcentaje de muertes]]&gt;0.65,"GRAVE")</f>
        <v>GRAVE</v>
      </c>
    </row>
    <row r="1073" spans="2:24" x14ac:dyDescent="0.3">
      <c r="B1073" s="9">
        <v>1071</v>
      </c>
      <c r="C1073" s="49">
        <v>17756</v>
      </c>
      <c r="D1073" s="9">
        <f>YEAR(Tabla1[[#This Row],[Date]])</f>
        <v>1948</v>
      </c>
      <c r="E1073" s="9" t="str" cm="1">
        <f t="array" ref="E1073">IFERROR(_xlfn.IFS(AND(D1073&lt;1980,D1073&gt;=1970),"70",AND(D1073&lt;1990,D1073&gt;=1980),"80",AND(D1073&lt;2000,D1073&gt;=1990),"90",AND(D1073&lt;2010,D1073&gt;=2000),"00",AND(D1073&lt;=2019,D1073&gt;=2010),"10"),"1908-1970")</f>
        <v>1908-1970</v>
      </c>
      <c r="F1073" s="3">
        <v>0.31944444444444448</v>
      </c>
      <c r="G1073" t="s">
        <v>9637</v>
      </c>
      <c r="H1073" t="s">
        <v>6038</v>
      </c>
      <c r="I1073" t="s">
        <v>28931</v>
      </c>
      <c r="J1073" t="s">
        <v>9638</v>
      </c>
      <c r="K1073" t="s">
        <v>7057</v>
      </c>
      <c r="L1073" s="7" t="s">
        <v>9639</v>
      </c>
      <c r="M1073">
        <v>2003</v>
      </c>
      <c r="N1073">
        <v>23</v>
      </c>
      <c r="O1073">
        <v>19</v>
      </c>
      <c r="P1073">
        <v>4</v>
      </c>
      <c r="Q1073">
        <v>3</v>
      </c>
      <c r="R1073">
        <v>0</v>
      </c>
      <c r="S1073">
        <v>3</v>
      </c>
      <c r="T1073">
        <v>0</v>
      </c>
      <c r="U1073" t="s">
        <v>9640</v>
      </c>
      <c r="V1073">
        <f>Tabla1[[#This Row],[Aboard]]-Tabla1[[#This Row],[Fatalities]]</f>
        <v>20</v>
      </c>
      <c r="W1073" s="50">
        <f>IFERROR(Tabla1[[#This Row],[Fatalities]]/Tabla1[[#This Row],[Aboard]],0)</f>
        <v>0.13043478260869565</v>
      </c>
      <c r="X1073" s="51" t="str" cm="1">
        <f t="array" ref="X1073">_xlfn.IFS(Tabla1[[#This Row],[Porcentaje de muertes]]&lt;0.35,"LEVE",AND(Tabla1[[#This Row],[Porcentaje de muertes]]&gt;0.35,Tabla1[[#This Row],[Porcentaje de muertes]]&lt;0.65),"MEDIO",Tabla1[[#This Row],[Porcentaje de muertes]]&gt;0.65,"GRAVE")</f>
        <v>LEVE</v>
      </c>
    </row>
    <row r="1074" spans="2:24" x14ac:dyDescent="0.3">
      <c r="B1074" s="9">
        <v>1072</v>
      </c>
      <c r="C1074" s="49">
        <v>17848</v>
      </c>
      <c r="D1074" s="9">
        <f>YEAR(Tabla1[[#This Row],[Date]])</f>
        <v>1948</v>
      </c>
      <c r="E1074" s="9" t="str" cm="1">
        <f t="array" ref="E1074">IFERROR(_xlfn.IFS(AND(D1074&lt;1980,D1074&gt;=1970),"70",AND(D1074&lt;1990,D1074&gt;=1980),"80",AND(D1074&lt;2000,D1074&gt;=1990),"90",AND(D1074&lt;2010,D1074&gt;=2000),"00",AND(D1074&lt;=2019,D1074&gt;=2010),"10"),"1908-1970")</f>
        <v>1908-1970</v>
      </c>
      <c r="F1074" s="3">
        <v>0.76041666666666663</v>
      </c>
      <c r="G1074" t="s">
        <v>9641</v>
      </c>
      <c r="H1074" t="s">
        <v>9642</v>
      </c>
      <c r="I1074" t="s">
        <v>28931</v>
      </c>
      <c r="J1074" t="s">
        <v>9643</v>
      </c>
      <c r="K1074" t="s">
        <v>9500</v>
      </c>
      <c r="L1074" s="7" t="s">
        <v>9644</v>
      </c>
      <c r="M1074">
        <v>6538</v>
      </c>
      <c r="N1074">
        <v>8</v>
      </c>
      <c r="O1074">
        <v>6</v>
      </c>
      <c r="P1074">
        <v>2</v>
      </c>
      <c r="Q1074">
        <v>7</v>
      </c>
      <c r="R1074">
        <v>5</v>
      </c>
      <c r="S1074">
        <v>2</v>
      </c>
      <c r="T1074">
        <v>0</v>
      </c>
      <c r="U1074" t="s">
        <v>9645</v>
      </c>
      <c r="V1074">
        <f>Tabla1[[#This Row],[Aboard]]-Tabla1[[#This Row],[Fatalities]]</f>
        <v>1</v>
      </c>
      <c r="W1074" s="50">
        <f>IFERROR(Tabla1[[#This Row],[Fatalities]]/Tabla1[[#This Row],[Aboard]],0)</f>
        <v>0.875</v>
      </c>
      <c r="X1074" s="51" t="str" cm="1">
        <f t="array" ref="X1074">_xlfn.IFS(Tabla1[[#This Row],[Porcentaje de muertes]]&lt;0.35,"LEVE",AND(Tabla1[[#This Row],[Porcentaje de muertes]]&gt;0.35,Tabla1[[#This Row],[Porcentaje de muertes]]&lt;0.65),"MEDIO",Tabla1[[#This Row],[Porcentaje de muertes]]&gt;0.65,"GRAVE")</f>
        <v>GRAVE</v>
      </c>
    </row>
    <row r="1075" spans="2:24" x14ac:dyDescent="0.3">
      <c r="B1075" s="9">
        <v>1073</v>
      </c>
      <c r="C1075" s="49">
        <v>17859</v>
      </c>
      <c r="D1075" s="9">
        <f>YEAR(Tabla1[[#This Row],[Date]])</f>
        <v>1948</v>
      </c>
      <c r="E1075" s="9" t="str" cm="1">
        <f t="array" ref="E1075">IFERROR(_xlfn.IFS(AND(D1075&lt;1980,D1075&gt;=1970),"70",AND(D1075&lt;1990,D1075&gt;=1980),"80",AND(D1075&lt;2000,D1075&gt;=1990),"90",AND(D1075&lt;2010,D1075&gt;=2000),"00",AND(D1075&lt;=2019,D1075&gt;=2010),"10"),"1908-1970")</f>
        <v>1908-1970</v>
      </c>
      <c r="F1075" s="3" t="s">
        <v>28931</v>
      </c>
      <c r="G1075" t="s">
        <v>9646</v>
      </c>
      <c r="H1075" t="s">
        <v>6541</v>
      </c>
      <c r="I1075" t="s">
        <v>28931</v>
      </c>
      <c r="J1075" t="s">
        <v>9647</v>
      </c>
      <c r="K1075" t="s">
        <v>8569</v>
      </c>
      <c r="L1075" s="7" t="s">
        <v>9648</v>
      </c>
      <c r="M1075" t="s">
        <v>28931</v>
      </c>
      <c r="N1075">
        <v>26</v>
      </c>
      <c r="O1075">
        <v>21</v>
      </c>
      <c r="P1075">
        <v>5</v>
      </c>
      <c r="Q1075">
        <v>23</v>
      </c>
      <c r="R1075">
        <v>18</v>
      </c>
      <c r="S1075">
        <v>5</v>
      </c>
      <c r="T1075" t="s">
        <v>5038</v>
      </c>
      <c r="U1075" t="s">
        <v>9649</v>
      </c>
      <c r="V1075">
        <f>Tabla1[[#This Row],[Aboard]]-Tabla1[[#This Row],[Fatalities]]</f>
        <v>3</v>
      </c>
      <c r="W1075" s="50">
        <f>IFERROR(Tabla1[[#This Row],[Fatalities]]/Tabla1[[#This Row],[Aboard]],0)</f>
        <v>0.88461538461538458</v>
      </c>
      <c r="X1075" s="51" t="str" cm="1">
        <f t="array" ref="X1075">_xlfn.IFS(Tabla1[[#This Row],[Porcentaje de muertes]]&lt;0.35,"LEVE",AND(Tabla1[[#This Row],[Porcentaje de muertes]]&gt;0.35,Tabla1[[#This Row],[Porcentaje de muertes]]&lt;0.65),"MEDIO",Tabla1[[#This Row],[Porcentaje de muertes]]&gt;0.65,"GRAVE")</f>
        <v>GRAVE</v>
      </c>
    </row>
    <row r="1076" spans="2:24" x14ac:dyDescent="0.3">
      <c r="B1076" s="9">
        <v>1074</v>
      </c>
      <c r="C1076" s="49">
        <v>17863</v>
      </c>
      <c r="D1076" s="9">
        <f>YEAR(Tabla1[[#This Row],[Date]])</f>
        <v>1948</v>
      </c>
      <c r="E1076" s="9" t="str" cm="1">
        <f t="array" ref="E1076">IFERROR(_xlfn.IFS(AND(D1076&lt;1980,D1076&gt;=1970),"70",AND(D1076&lt;1990,D1076&gt;=1980),"80",AND(D1076&lt;2000,D1076&gt;=1990),"90",AND(D1076&lt;2010,D1076&gt;=2000),"00",AND(D1076&lt;=2019,D1076&gt;=2010),"10"),"1908-1970")</f>
        <v>1908-1970</v>
      </c>
      <c r="F1076" s="3">
        <v>0.46875</v>
      </c>
      <c r="G1076" t="s">
        <v>9650</v>
      </c>
      <c r="H1076" t="s">
        <v>9651</v>
      </c>
      <c r="I1076" t="s">
        <v>28931</v>
      </c>
      <c r="J1076" t="s">
        <v>9652</v>
      </c>
      <c r="K1076" t="s">
        <v>7057</v>
      </c>
      <c r="L1076" s="7" t="s">
        <v>9653</v>
      </c>
      <c r="M1076">
        <v>12775</v>
      </c>
      <c r="N1076">
        <v>21</v>
      </c>
      <c r="O1076">
        <v>16</v>
      </c>
      <c r="P1076">
        <v>5</v>
      </c>
      <c r="Q1076">
        <v>21</v>
      </c>
      <c r="R1076">
        <v>16</v>
      </c>
      <c r="S1076">
        <v>5</v>
      </c>
      <c r="T1076">
        <v>0</v>
      </c>
      <c r="U1076" t="s">
        <v>9654</v>
      </c>
      <c r="V1076">
        <f>Tabla1[[#This Row],[Aboard]]-Tabla1[[#This Row],[Fatalities]]</f>
        <v>0</v>
      </c>
      <c r="W1076" s="50">
        <f>IFERROR(Tabla1[[#This Row],[Fatalities]]/Tabla1[[#This Row],[Aboard]],0)</f>
        <v>1</v>
      </c>
      <c r="X1076" s="51" t="str" cm="1">
        <f t="array" ref="X1076">_xlfn.IFS(Tabla1[[#This Row],[Porcentaje de muertes]]&lt;0.35,"LEVE",AND(Tabla1[[#This Row],[Porcentaje de muertes]]&gt;0.35,Tabla1[[#This Row],[Porcentaje de muertes]]&lt;0.65),"MEDIO",Tabla1[[#This Row],[Porcentaje de muertes]]&gt;0.65,"GRAVE")</f>
        <v>GRAVE</v>
      </c>
    </row>
    <row r="1077" spans="2:24" x14ac:dyDescent="0.3">
      <c r="B1077" s="9">
        <v>1075</v>
      </c>
      <c r="C1077" s="49">
        <v>17665</v>
      </c>
      <c r="D1077" s="9">
        <f>YEAR(Tabla1[[#This Row],[Date]])</f>
        <v>1948</v>
      </c>
      <c r="E1077" s="9" t="str" cm="1">
        <f t="array" ref="E1077">IFERROR(_xlfn.IFS(AND(D1077&lt;1980,D1077&gt;=1970),"70",AND(D1077&lt;1990,D1077&gt;=1980),"80",AND(D1077&lt;2000,D1077&gt;=1990),"90",AND(D1077&lt;2010,D1077&gt;=2000),"00",AND(D1077&lt;=2019,D1077&gt;=2010),"10"),"1908-1970")</f>
        <v>1908-1970</v>
      </c>
      <c r="F1077" s="3" t="s">
        <v>28931</v>
      </c>
      <c r="G1077" t="s">
        <v>9655</v>
      </c>
      <c r="H1077" t="s">
        <v>8696</v>
      </c>
      <c r="I1077" t="s">
        <v>28931</v>
      </c>
      <c r="J1077" t="s">
        <v>9656</v>
      </c>
      <c r="K1077" t="s">
        <v>8697</v>
      </c>
      <c r="L1077" s="7" t="s">
        <v>9657</v>
      </c>
      <c r="M1077" t="s">
        <v>28931</v>
      </c>
      <c r="N1077">
        <v>40</v>
      </c>
      <c r="O1077">
        <v>37</v>
      </c>
      <c r="P1077">
        <v>3</v>
      </c>
      <c r="Q1077">
        <v>9</v>
      </c>
      <c r="R1077">
        <v>7</v>
      </c>
      <c r="S1077">
        <v>2</v>
      </c>
      <c r="T1077">
        <v>0</v>
      </c>
      <c r="U1077" t="s">
        <v>9658</v>
      </c>
      <c r="V1077">
        <f>Tabla1[[#This Row],[Aboard]]-Tabla1[[#This Row],[Fatalities]]</f>
        <v>31</v>
      </c>
      <c r="W1077" s="50">
        <f>IFERROR(Tabla1[[#This Row],[Fatalities]]/Tabla1[[#This Row],[Aboard]],0)</f>
        <v>0.22500000000000001</v>
      </c>
      <c r="X1077" s="51" t="str" cm="1">
        <f t="array" ref="X1077">_xlfn.IFS(Tabla1[[#This Row],[Porcentaje de muertes]]&lt;0.35,"LEVE",AND(Tabla1[[#This Row],[Porcentaje de muertes]]&gt;0.35,Tabla1[[#This Row],[Porcentaje de muertes]]&lt;0.65),"MEDIO",Tabla1[[#This Row],[Porcentaje de muertes]]&gt;0.65,"GRAVE")</f>
        <v>LEVE</v>
      </c>
    </row>
    <row r="1078" spans="2:24" x14ac:dyDescent="0.3">
      <c r="B1078" s="9">
        <v>1076</v>
      </c>
      <c r="C1078" s="49">
        <v>17696</v>
      </c>
      <c r="D1078" s="9">
        <f>YEAR(Tabla1[[#This Row],[Date]])</f>
        <v>1948</v>
      </c>
      <c r="E1078" s="9" t="str" cm="1">
        <f t="array" ref="E1078">IFERROR(_xlfn.IFS(AND(D1078&lt;1980,D1078&gt;=1970),"70",AND(D1078&lt;1990,D1078&gt;=1980),"80",AND(D1078&lt;2000,D1078&gt;=1990),"90",AND(D1078&lt;2010,D1078&gt;=2000),"00",AND(D1078&lt;=2019,D1078&gt;=2010),"10"),"1908-1970")</f>
        <v>1908-1970</v>
      </c>
      <c r="F1078" s="3">
        <v>0.4375</v>
      </c>
      <c r="G1078" t="s">
        <v>9659</v>
      </c>
      <c r="H1078" t="s">
        <v>9660</v>
      </c>
      <c r="I1078" t="s">
        <v>28931</v>
      </c>
      <c r="J1078" t="s">
        <v>9661</v>
      </c>
      <c r="K1078" t="s">
        <v>7826</v>
      </c>
      <c r="L1078" s="7" t="s">
        <v>9662</v>
      </c>
      <c r="M1078">
        <v>4396</v>
      </c>
      <c r="N1078">
        <v>7</v>
      </c>
      <c r="O1078">
        <v>6</v>
      </c>
      <c r="P1078">
        <v>1</v>
      </c>
      <c r="Q1078">
        <v>7</v>
      </c>
      <c r="R1078">
        <v>6</v>
      </c>
      <c r="S1078">
        <v>1</v>
      </c>
      <c r="T1078">
        <v>0</v>
      </c>
      <c r="U1078" t="s">
        <v>9663</v>
      </c>
      <c r="V1078">
        <f>Tabla1[[#This Row],[Aboard]]-Tabla1[[#This Row],[Fatalities]]</f>
        <v>0</v>
      </c>
      <c r="W1078" s="50">
        <f>IFERROR(Tabla1[[#This Row],[Fatalities]]/Tabla1[[#This Row],[Aboard]],0)</f>
        <v>1</v>
      </c>
      <c r="X1078" s="51" t="str" cm="1">
        <f t="array" ref="X1078">_xlfn.IFS(Tabla1[[#This Row],[Porcentaje de muertes]]&lt;0.35,"LEVE",AND(Tabla1[[#This Row],[Porcentaje de muertes]]&gt;0.35,Tabla1[[#This Row],[Porcentaje de muertes]]&lt;0.65),"MEDIO",Tabla1[[#This Row],[Porcentaje de muertes]]&gt;0.65,"GRAVE")</f>
        <v>GRAVE</v>
      </c>
    </row>
    <row r="1079" spans="2:24" x14ac:dyDescent="0.3">
      <c r="B1079" s="9">
        <v>1077</v>
      </c>
      <c r="C1079" s="49">
        <v>17879</v>
      </c>
      <c r="D1079" s="9">
        <f>YEAR(Tabla1[[#This Row],[Date]])</f>
        <v>1948</v>
      </c>
      <c r="E1079" s="9" t="str" cm="1">
        <f t="array" ref="E1079">IFERROR(_xlfn.IFS(AND(D1079&lt;1980,D1079&gt;=1970),"70",AND(D1079&lt;1990,D1079&gt;=1980),"80",AND(D1079&lt;2000,D1079&gt;=1990),"90",AND(D1079&lt;2010,D1079&gt;=2000),"00",AND(D1079&lt;=2019,D1079&gt;=2010),"10"),"1908-1970")</f>
        <v>1908-1970</v>
      </c>
      <c r="F1079" s="3" t="s">
        <v>28931</v>
      </c>
      <c r="G1079" t="s">
        <v>9664</v>
      </c>
      <c r="H1079" t="s">
        <v>6010</v>
      </c>
      <c r="I1079" t="s">
        <v>28931</v>
      </c>
      <c r="J1079" t="s">
        <v>9665</v>
      </c>
      <c r="K1079" t="s">
        <v>7057</v>
      </c>
      <c r="L1079" s="7" t="s">
        <v>28931</v>
      </c>
      <c r="M1079" t="s">
        <v>28931</v>
      </c>
      <c r="N1079">
        <v>10</v>
      </c>
      <c r="O1079">
        <v>8</v>
      </c>
      <c r="P1079">
        <v>2</v>
      </c>
      <c r="Q1079">
        <v>2</v>
      </c>
      <c r="R1079">
        <v>0</v>
      </c>
      <c r="S1079">
        <v>2</v>
      </c>
      <c r="T1079">
        <v>0</v>
      </c>
      <c r="U1079" t="s">
        <v>5203</v>
      </c>
      <c r="V1079">
        <f>Tabla1[[#This Row],[Aboard]]-Tabla1[[#This Row],[Fatalities]]</f>
        <v>8</v>
      </c>
      <c r="W1079" s="50">
        <f>IFERROR(Tabla1[[#This Row],[Fatalities]]/Tabla1[[#This Row],[Aboard]],0)</f>
        <v>0.2</v>
      </c>
      <c r="X1079" s="51" t="str" cm="1">
        <f t="array" ref="X1079">_xlfn.IFS(Tabla1[[#This Row],[Porcentaje de muertes]]&lt;0.35,"LEVE",AND(Tabla1[[#This Row],[Porcentaje de muertes]]&gt;0.35,Tabla1[[#This Row],[Porcentaje de muertes]]&lt;0.65),"MEDIO",Tabla1[[#This Row],[Porcentaje de muertes]]&gt;0.65,"GRAVE")</f>
        <v>LEVE</v>
      </c>
    </row>
    <row r="1080" spans="2:24" x14ac:dyDescent="0.3">
      <c r="B1080" s="9">
        <v>1078</v>
      </c>
      <c r="C1080" s="49">
        <v>17882</v>
      </c>
      <c r="D1080" s="9">
        <f>YEAR(Tabla1[[#This Row],[Date]])</f>
        <v>1948</v>
      </c>
      <c r="E1080" s="9" t="str" cm="1">
        <f t="array" ref="E1080">IFERROR(_xlfn.IFS(AND(D1080&lt;1980,D1080&gt;=1970),"70",AND(D1080&lt;1990,D1080&gt;=1980),"80",AND(D1080&lt;2000,D1080&gt;=1990),"90",AND(D1080&lt;2010,D1080&gt;=2000),"00",AND(D1080&lt;=2019,D1080&gt;=2010),"10"),"1908-1970")</f>
        <v>1908-1970</v>
      </c>
      <c r="F1080" s="3">
        <v>0.25</v>
      </c>
      <c r="G1080" t="s">
        <v>9666</v>
      </c>
      <c r="H1080" t="s">
        <v>9667</v>
      </c>
      <c r="I1080" t="s">
        <v>28931</v>
      </c>
      <c r="J1080" t="s">
        <v>9668</v>
      </c>
      <c r="K1080" t="s">
        <v>7826</v>
      </c>
      <c r="L1080" s="7" t="s">
        <v>9669</v>
      </c>
      <c r="M1080">
        <v>13807</v>
      </c>
      <c r="N1080">
        <v>30</v>
      </c>
      <c r="O1080">
        <v>27</v>
      </c>
      <c r="P1080">
        <v>3</v>
      </c>
      <c r="Q1080">
        <v>30</v>
      </c>
      <c r="R1080">
        <v>27</v>
      </c>
      <c r="S1080">
        <v>3</v>
      </c>
      <c r="T1080">
        <v>0</v>
      </c>
      <c r="U1080" t="s">
        <v>9670</v>
      </c>
      <c r="V1080">
        <f>Tabla1[[#This Row],[Aboard]]-Tabla1[[#This Row],[Fatalities]]</f>
        <v>0</v>
      </c>
      <c r="W1080" s="50">
        <f>IFERROR(Tabla1[[#This Row],[Fatalities]]/Tabla1[[#This Row],[Aboard]],0)</f>
        <v>1</v>
      </c>
      <c r="X1080" s="51" t="str" cm="1">
        <f t="array" ref="X1080">_xlfn.IFS(Tabla1[[#This Row],[Porcentaje de muertes]]&lt;0.35,"LEVE",AND(Tabla1[[#This Row],[Porcentaje de muertes]]&gt;0.35,Tabla1[[#This Row],[Porcentaje de muertes]]&lt;0.65),"MEDIO",Tabla1[[#This Row],[Porcentaje de muertes]]&gt;0.65,"GRAVE")</f>
        <v>GRAVE</v>
      </c>
    </row>
    <row r="1081" spans="2:24" x14ac:dyDescent="0.3">
      <c r="B1081" s="9">
        <v>1079</v>
      </c>
      <c r="C1081" s="49">
        <v>17888</v>
      </c>
      <c r="D1081" s="9">
        <f>YEAR(Tabla1[[#This Row],[Date]])</f>
        <v>1948</v>
      </c>
      <c r="E1081" s="9" t="str" cm="1">
        <f t="array" ref="E1081">IFERROR(_xlfn.IFS(AND(D1081&lt;1980,D1081&gt;=1970),"70",AND(D1081&lt;1990,D1081&gt;=1980),"80",AND(D1081&lt;2000,D1081&gt;=1990),"90",AND(D1081&lt;2010,D1081&gt;=2000),"00",AND(D1081&lt;=2019,D1081&gt;=2010),"10"),"1908-1970")</f>
        <v>1908-1970</v>
      </c>
      <c r="F1081" s="3">
        <v>0.58333333333333337</v>
      </c>
      <c r="G1081" t="s">
        <v>9671</v>
      </c>
      <c r="H1081" t="s">
        <v>6010</v>
      </c>
      <c r="I1081" t="s">
        <v>28931</v>
      </c>
      <c r="J1081" t="s">
        <v>9672</v>
      </c>
      <c r="K1081" t="s">
        <v>9673</v>
      </c>
      <c r="L1081" s="7" t="s">
        <v>9674</v>
      </c>
      <c r="M1081">
        <v>18348</v>
      </c>
      <c r="N1081">
        <v>33</v>
      </c>
      <c r="O1081">
        <v>29</v>
      </c>
      <c r="P1081">
        <v>4</v>
      </c>
      <c r="Q1081">
        <v>33</v>
      </c>
      <c r="R1081">
        <v>29</v>
      </c>
      <c r="S1081">
        <v>4</v>
      </c>
      <c r="T1081">
        <v>0</v>
      </c>
      <c r="U1081" t="s">
        <v>9675</v>
      </c>
      <c r="V1081">
        <f>Tabla1[[#This Row],[Aboard]]-Tabla1[[#This Row],[Fatalities]]</f>
        <v>0</v>
      </c>
      <c r="W1081" s="50">
        <f>IFERROR(Tabla1[[#This Row],[Fatalities]]/Tabla1[[#This Row],[Aboard]],0)</f>
        <v>1</v>
      </c>
      <c r="X1081" s="51" t="str" cm="1">
        <f t="array" ref="X1081">_xlfn.IFS(Tabla1[[#This Row],[Porcentaje de muertes]]&lt;0.35,"LEVE",AND(Tabla1[[#This Row],[Porcentaje de muertes]]&gt;0.35,Tabla1[[#This Row],[Porcentaje de muertes]]&lt;0.65),"MEDIO",Tabla1[[#This Row],[Porcentaje de muertes]]&gt;0.65,"GRAVE")</f>
        <v>GRAVE</v>
      </c>
    </row>
    <row r="1082" spans="2:24" x14ac:dyDescent="0.3">
      <c r="B1082" s="9">
        <v>1080</v>
      </c>
      <c r="C1082" s="49">
        <v>17888</v>
      </c>
      <c r="D1082" s="9">
        <f>YEAR(Tabla1[[#This Row],[Date]])</f>
        <v>1948</v>
      </c>
      <c r="E1082" s="9" t="str" cm="1">
        <f t="array" ref="E1082">IFERROR(_xlfn.IFS(AND(D1082&lt;1980,D1082&gt;=1970),"70",AND(D1082&lt;1990,D1082&gt;=1980),"80",AND(D1082&lt;2000,D1082&gt;=1990),"90",AND(D1082&lt;2010,D1082&gt;=2000),"00",AND(D1082&lt;=2019,D1082&gt;=2010),"10"),"1908-1970")</f>
        <v>1908-1970</v>
      </c>
      <c r="F1082" s="3">
        <v>0.69236111111111109</v>
      </c>
      <c r="G1082" t="s">
        <v>9676</v>
      </c>
      <c r="H1082" t="s">
        <v>5951</v>
      </c>
      <c r="I1082" t="s">
        <v>28931</v>
      </c>
      <c r="J1082" t="s">
        <v>9677</v>
      </c>
      <c r="K1082" t="s">
        <v>7057</v>
      </c>
      <c r="L1082" s="7" t="s">
        <v>9678</v>
      </c>
      <c r="M1082">
        <v>12894</v>
      </c>
      <c r="N1082">
        <v>24</v>
      </c>
      <c r="O1082">
        <v>19</v>
      </c>
      <c r="P1082">
        <v>5</v>
      </c>
      <c r="Q1082">
        <v>24</v>
      </c>
      <c r="R1082">
        <v>19</v>
      </c>
      <c r="S1082">
        <v>5</v>
      </c>
      <c r="T1082">
        <v>0</v>
      </c>
      <c r="U1082" t="s">
        <v>9679</v>
      </c>
      <c r="V1082">
        <f>Tabla1[[#This Row],[Aboard]]-Tabla1[[#This Row],[Fatalities]]</f>
        <v>0</v>
      </c>
      <c r="W1082" s="50">
        <f>IFERROR(Tabla1[[#This Row],[Fatalities]]/Tabla1[[#This Row],[Aboard]],0)</f>
        <v>1</v>
      </c>
      <c r="X1082" s="51" t="str" cm="1">
        <f t="array" ref="X1082">_xlfn.IFS(Tabla1[[#This Row],[Porcentaje de muertes]]&lt;0.35,"LEVE",AND(Tabla1[[#This Row],[Porcentaje de muertes]]&gt;0.35,Tabla1[[#This Row],[Porcentaje de muertes]]&lt;0.65),"MEDIO",Tabla1[[#This Row],[Porcentaje de muertes]]&gt;0.65,"GRAVE")</f>
        <v>GRAVE</v>
      </c>
    </row>
    <row r="1083" spans="2:24" x14ac:dyDescent="0.3">
      <c r="B1083" s="9">
        <v>1081</v>
      </c>
      <c r="C1083" s="49">
        <v>17890</v>
      </c>
      <c r="D1083" s="9">
        <f>YEAR(Tabla1[[#This Row],[Date]])</f>
        <v>1948</v>
      </c>
      <c r="E1083" s="9" t="str" cm="1">
        <f t="array" ref="E1083">IFERROR(_xlfn.IFS(AND(D1083&lt;1980,D1083&gt;=1970),"70",AND(D1083&lt;1990,D1083&gt;=1980),"80",AND(D1083&lt;2000,D1083&gt;=1990),"90",AND(D1083&lt;2010,D1083&gt;=2000),"00",AND(D1083&lt;=2019,D1083&gt;=2010),"10"),"1908-1970")</f>
        <v>1908-1970</v>
      </c>
      <c r="F1083" s="3">
        <v>0.39583333333333331</v>
      </c>
      <c r="G1083" t="s">
        <v>9680</v>
      </c>
      <c r="H1083" t="s">
        <v>5570</v>
      </c>
      <c r="I1083" t="s">
        <v>28931</v>
      </c>
      <c r="J1083" t="s">
        <v>9681</v>
      </c>
      <c r="K1083" t="s">
        <v>9682</v>
      </c>
      <c r="L1083" s="7" t="s">
        <v>9683</v>
      </c>
      <c r="M1083">
        <v>4256</v>
      </c>
      <c r="N1083">
        <v>27</v>
      </c>
      <c r="O1083">
        <v>24</v>
      </c>
      <c r="P1083">
        <v>3</v>
      </c>
      <c r="Q1083">
        <v>27</v>
      </c>
      <c r="R1083">
        <v>24</v>
      </c>
      <c r="S1083">
        <v>3</v>
      </c>
      <c r="T1083">
        <v>0</v>
      </c>
      <c r="U1083" t="s">
        <v>9684</v>
      </c>
      <c r="V1083">
        <f>Tabla1[[#This Row],[Aboard]]-Tabla1[[#This Row],[Fatalities]]</f>
        <v>0</v>
      </c>
      <c r="W1083" s="50">
        <f>IFERROR(Tabla1[[#This Row],[Fatalities]]/Tabla1[[#This Row],[Aboard]],0)</f>
        <v>1</v>
      </c>
      <c r="X1083" s="51" t="str" cm="1">
        <f t="array" ref="X1083">_xlfn.IFS(Tabla1[[#This Row],[Porcentaje de muertes]]&lt;0.35,"LEVE",AND(Tabla1[[#This Row],[Porcentaje de muertes]]&gt;0.35,Tabla1[[#This Row],[Porcentaje de muertes]]&lt;0.65),"MEDIO",Tabla1[[#This Row],[Porcentaje de muertes]]&gt;0.65,"GRAVE")</f>
        <v>GRAVE</v>
      </c>
    </row>
    <row r="1084" spans="2:24" x14ac:dyDescent="0.3">
      <c r="B1084" s="9">
        <v>1082</v>
      </c>
      <c r="C1084" s="49">
        <v>17895</v>
      </c>
      <c r="D1084" s="9">
        <f>YEAR(Tabla1[[#This Row],[Date]])</f>
        <v>1948</v>
      </c>
      <c r="E1084" s="9" t="str" cm="1">
        <f t="array" ref="E1084">IFERROR(_xlfn.IFS(AND(D1084&lt;1980,D1084&gt;=1970),"70",AND(D1084&lt;1990,D1084&gt;=1980),"80",AND(D1084&lt;2000,D1084&gt;=1990),"90",AND(D1084&lt;2010,D1084&gt;=2000),"00",AND(D1084&lt;=2019,D1084&gt;=2010),"10"),"1908-1970")</f>
        <v>1908-1970</v>
      </c>
      <c r="F1084" s="3">
        <v>0.17569444444444446</v>
      </c>
      <c r="G1084" t="s">
        <v>9685</v>
      </c>
      <c r="H1084" t="s">
        <v>9686</v>
      </c>
      <c r="I1084" t="s">
        <v>28931</v>
      </c>
      <c r="J1084" t="s">
        <v>9687</v>
      </c>
      <c r="K1084" t="s">
        <v>9688</v>
      </c>
      <c r="L1084" s="7" t="s">
        <v>9689</v>
      </c>
      <c r="M1084">
        <v>1496</v>
      </c>
      <c r="N1084">
        <v>32</v>
      </c>
      <c r="O1084">
        <v>29</v>
      </c>
      <c r="P1084">
        <v>3</v>
      </c>
      <c r="Q1084">
        <v>32</v>
      </c>
      <c r="R1084">
        <v>29</v>
      </c>
      <c r="S1084">
        <v>3</v>
      </c>
      <c r="T1084">
        <v>0</v>
      </c>
      <c r="U1084" t="s">
        <v>9690</v>
      </c>
      <c r="V1084">
        <f>Tabla1[[#This Row],[Aboard]]-Tabla1[[#This Row],[Fatalities]]</f>
        <v>0</v>
      </c>
      <c r="W1084" s="50">
        <f>IFERROR(Tabla1[[#This Row],[Fatalities]]/Tabla1[[#This Row],[Aboard]],0)</f>
        <v>1</v>
      </c>
      <c r="X1084" s="51" t="str" cm="1">
        <f t="array" ref="X1084">_xlfn.IFS(Tabla1[[#This Row],[Porcentaje de muertes]]&lt;0.35,"LEVE",AND(Tabla1[[#This Row],[Porcentaje de muertes]]&gt;0.35,Tabla1[[#This Row],[Porcentaje de muertes]]&lt;0.65),"MEDIO",Tabla1[[#This Row],[Porcentaje de muertes]]&gt;0.65,"GRAVE")</f>
        <v>GRAVE</v>
      </c>
    </row>
    <row r="1085" spans="2:24" x14ac:dyDescent="0.3">
      <c r="B1085" s="9">
        <v>1083</v>
      </c>
      <c r="C1085" s="49">
        <v>17898</v>
      </c>
      <c r="D1085" s="9">
        <f>YEAR(Tabla1[[#This Row],[Date]])</f>
        <v>1948</v>
      </c>
      <c r="E1085" s="9" t="str" cm="1">
        <f t="array" ref="E1085">IFERROR(_xlfn.IFS(AND(D1085&lt;1980,D1085&gt;=1970),"70",AND(D1085&lt;1990,D1085&gt;=1980),"80",AND(D1085&lt;2000,D1085&gt;=1990),"90",AND(D1085&lt;2010,D1085&gt;=2000),"00",AND(D1085&lt;=2019,D1085&gt;=2010),"10"),"1908-1970")</f>
        <v>1908-1970</v>
      </c>
      <c r="F1085" s="3">
        <v>0.74444444444444446</v>
      </c>
      <c r="G1085" t="s">
        <v>9691</v>
      </c>
      <c r="H1085" t="s">
        <v>9692</v>
      </c>
      <c r="I1085" t="s">
        <v>28931</v>
      </c>
      <c r="J1085" t="s">
        <v>9693</v>
      </c>
      <c r="K1085" t="s">
        <v>7057</v>
      </c>
      <c r="L1085" s="7" t="s">
        <v>9694</v>
      </c>
      <c r="M1085">
        <v>12587</v>
      </c>
      <c r="N1085">
        <v>13</v>
      </c>
      <c r="O1085">
        <v>8</v>
      </c>
      <c r="P1085">
        <v>5</v>
      </c>
      <c r="Q1085">
        <v>13</v>
      </c>
      <c r="R1085">
        <v>8</v>
      </c>
      <c r="S1085">
        <v>5</v>
      </c>
      <c r="T1085">
        <v>0</v>
      </c>
      <c r="U1085" t="s">
        <v>9695</v>
      </c>
      <c r="V1085">
        <f>Tabla1[[#This Row],[Aboard]]-Tabla1[[#This Row],[Fatalities]]</f>
        <v>0</v>
      </c>
      <c r="W1085" s="50">
        <f>IFERROR(Tabla1[[#This Row],[Fatalities]]/Tabla1[[#This Row],[Aboard]],0)</f>
        <v>1</v>
      </c>
      <c r="X1085" s="51" t="str" cm="1">
        <f t="array" ref="X1085">_xlfn.IFS(Tabla1[[#This Row],[Porcentaje de muertes]]&lt;0.35,"LEVE",AND(Tabla1[[#This Row],[Porcentaje de muertes]]&gt;0.35,Tabla1[[#This Row],[Porcentaje de muertes]]&lt;0.65),"MEDIO",Tabla1[[#This Row],[Porcentaje de muertes]]&gt;0.65,"GRAVE")</f>
        <v>GRAVE</v>
      </c>
    </row>
    <row r="1086" spans="2:24" x14ac:dyDescent="0.3">
      <c r="B1086" s="9">
        <v>1084</v>
      </c>
      <c r="C1086" s="49">
        <v>17930</v>
      </c>
      <c r="D1086" s="9">
        <f>YEAR(Tabla1[[#This Row],[Date]])</f>
        <v>1949</v>
      </c>
      <c r="E1086" s="9" t="str" cm="1">
        <f t="array" ref="E1086">IFERROR(_xlfn.IFS(AND(D1086&lt;1980,D1086&gt;=1970),"70",AND(D1086&lt;1990,D1086&gt;=1980),"80",AND(D1086&lt;2000,D1086&gt;=1990),"90",AND(D1086&lt;2010,D1086&gt;=2000),"00",AND(D1086&lt;=2019,D1086&gt;=2010),"10"),"1908-1970")</f>
        <v>1908-1970</v>
      </c>
      <c r="F1086" s="3">
        <v>0.92013888888888884</v>
      </c>
      <c r="G1086" t="s">
        <v>7915</v>
      </c>
      <c r="H1086" t="s">
        <v>9696</v>
      </c>
      <c r="I1086" t="s">
        <v>28931</v>
      </c>
      <c r="J1086" t="s">
        <v>9697</v>
      </c>
      <c r="K1086" t="s">
        <v>9698</v>
      </c>
      <c r="L1086" s="7" t="s">
        <v>9699</v>
      </c>
      <c r="M1086">
        <v>10181</v>
      </c>
      <c r="N1086">
        <v>30</v>
      </c>
      <c r="O1086">
        <v>27</v>
      </c>
      <c r="P1086">
        <v>3</v>
      </c>
      <c r="Q1086">
        <v>14</v>
      </c>
      <c r="R1086">
        <v>11</v>
      </c>
      <c r="S1086">
        <v>3</v>
      </c>
      <c r="T1086">
        <v>0</v>
      </c>
      <c r="U1086" t="s">
        <v>9700</v>
      </c>
      <c r="V1086">
        <f>Tabla1[[#This Row],[Aboard]]-Tabla1[[#This Row],[Fatalities]]</f>
        <v>16</v>
      </c>
      <c r="W1086" s="50">
        <f>IFERROR(Tabla1[[#This Row],[Fatalities]]/Tabla1[[#This Row],[Aboard]],0)</f>
        <v>0.46666666666666667</v>
      </c>
      <c r="X1086" s="51" t="str" cm="1">
        <f t="array" ref="X1086">_xlfn.IFS(Tabla1[[#This Row],[Porcentaje de muertes]]&lt;0.35,"LEVE",AND(Tabla1[[#This Row],[Porcentaje de muertes]]&gt;0.35,Tabla1[[#This Row],[Porcentaje de muertes]]&lt;0.65),"MEDIO",Tabla1[[#This Row],[Porcentaje de muertes]]&gt;0.65,"GRAVE")</f>
        <v>MEDIO</v>
      </c>
    </row>
    <row r="1087" spans="2:24" x14ac:dyDescent="0.3">
      <c r="B1087" s="9">
        <v>1085</v>
      </c>
      <c r="C1087" s="49">
        <v>18019</v>
      </c>
      <c r="D1087" s="9">
        <f>YEAR(Tabla1[[#This Row],[Date]])</f>
        <v>1949</v>
      </c>
      <c r="E1087" s="9" t="str" cm="1">
        <f t="array" ref="E1087">IFERROR(_xlfn.IFS(AND(D1087&lt;1980,D1087&gt;=1970),"70",AND(D1087&lt;1990,D1087&gt;=1980),"80",AND(D1087&lt;2000,D1087&gt;=1990),"90",AND(D1087&lt;2010,D1087&gt;=2000),"00",AND(D1087&lt;=2019,D1087&gt;=2010),"10"),"1908-1970")</f>
        <v>1908-1970</v>
      </c>
      <c r="F1087" s="3" t="s">
        <v>28931</v>
      </c>
      <c r="G1087" t="s">
        <v>9701</v>
      </c>
      <c r="H1087" t="s">
        <v>8763</v>
      </c>
      <c r="I1087" t="s">
        <v>28931</v>
      </c>
      <c r="J1087" t="s">
        <v>28931</v>
      </c>
      <c r="K1087" t="s">
        <v>8813</v>
      </c>
      <c r="L1087" s="7" t="s">
        <v>9702</v>
      </c>
      <c r="M1087">
        <v>1301</v>
      </c>
      <c r="N1087">
        <v>17</v>
      </c>
      <c r="O1087">
        <v>11</v>
      </c>
      <c r="P1087">
        <v>6</v>
      </c>
      <c r="Q1087">
        <v>3</v>
      </c>
      <c r="R1087">
        <v>3</v>
      </c>
      <c r="S1087">
        <v>0</v>
      </c>
      <c r="T1087">
        <v>0</v>
      </c>
      <c r="U1087" t="s">
        <v>9703</v>
      </c>
      <c r="V1087">
        <f>Tabla1[[#This Row],[Aboard]]-Tabla1[[#This Row],[Fatalities]]</f>
        <v>14</v>
      </c>
      <c r="W1087" s="50">
        <f>IFERROR(Tabla1[[#This Row],[Fatalities]]/Tabla1[[#This Row],[Aboard]],0)</f>
        <v>0.17647058823529413</v>
      </c>
      <c r="X1087" s="51" t="str" cm="1">
        <f t="array" ref="X1087">_xlfn.IFS(Tabla1[[#This Row],[Porcentaje de muertes]]&lt;0.35,"LEVE",AND(Tabla1[[#This Row],[Porcentaje de muertes]]&gt;0.35,Tabla1[[#This Row],[Porcentaje de muertes]]&lt;0.65),"MEDIO",Tabla1[[#This Row],[Porcentaje de muertes]]&gt;0.65,"GRAVE")</f>
        <v>LEVE</v>
      </c>
    </row>
    <row r="1088" spans="2:24" x14ac:dyDescent="0.3">
      <c r="B1088" s="9">
        <v>1086</v>
      </c>
      <c r="C1088" s="49">
        <v>18050</v>
      </c>
      <c r="D1088" s="9">
        <f>YEAR(Tabla1[[#This Row],[Date]])</f>
        <v>1949</v>
      </c>
      <c r="E1088" s="9" t="str" cm="1">
        <f t="array" ref="E1088">IFERROR(_xlfn.IFS(AND(D1088&lt;1980,D1088&gt;=1970),"70",AND(D1088&lt;1990,D1088&gt;=1980),"80",AND(D1088&lt;2000,D1088&gt;=1990),"90",AND(D1088&lt;2010,D1088&gt;=2000),"00",AND(D1088&lt;=2019,D1088&gt;=2010),"10"),"1908-1970")</f>
        <v>1908-1970</v>
      </c>
      <c r="F1088" s="3">
        <v>0.30555555555555552</v>
      </c>
      <c r="G1088" t="s">
        <v>9704</v>
      </c>
      <c r="H1088" t="s">
        <v>9705</v>
      </c>
      <c r="I1088" t="s">
        <v>28931</v>
      </c>
      <c r="J1088" t="s">
        <v>9706</v>
      </c>
      <c r="K1088" t="s">
        <v>8105</v>
      </c>
      <c r="L1088" s="7" t="s">
        <v>9707</v>
      </c>
      <c r="M1088">
        <v>13777</v>
      </c>
      <c r="N1088">
        <v>2</v>
      </c>
      <c r="O1088">
        <v>0</v>
      </c>
      <c r="P1088">
        <v>2</v>
      </c>
      <c r="Q1088">
        <v>2</v>
      </c>
      <c r="R1088">
        <v>0</v>
      </c>
      <c r="S1088">
        <v>2</v>
      </c>
      <c r="T1088">
        <v>0</v>
      </c>
      <c r="U1088" t="s">
        <v>9708</v>
      </c>
      <c r="V1088">
        <f>Tabla1[[#This Row],[Aboard]]-Tabla1[[#This Row],[Fatalities]]</f>
        <v>0</v>
      </c>
      <c r="W1088" s="50">
        <f>IFERROR(Tabla1[[#This Row],[Fatalities]]/Tabla1[[#This Row],[Aboard]],0)</f>
        <v>1</v>
      </c>
      <c r="X1088" s="51" t="str" cm="1">
        <f t="array" ref="X1088">_xlfn.IFS(Tabla1[[#This Row],[Porcentaje de muertes]]&lt;0.35,"LEVE",AND(Tabla1[[#This Row],[Porcentaje de muertes]]&gt;0.35,Tabla1[[#This Row],[Porcentaje de muertes]]&lt;0.65),"MEDIO",Tabla1[[#This Row],[Porcentaje de muertes]]&gt;0.65,"GRAVE")</f>
        <v>GRAVE</v>
      </c>
    </row>
    <row r="1089" spans="2:24" x14ac:dyDescent="0.3">
      <c r="B1089" s="9">
        <v>1087</v>
      </c>
      <c r="C1089" s="49">
        <v>18203</v>
      </c>
      <c r="D1089" s="9">
        <f>YEAR(Tabla1[[#This Row],[Date]])</f>
        <v>1949</v>
      </c>
      <c r="E1089" s="9" t="str" cm="1">
        <f t="array" ref="E1089">IFERROR(_xlfn.IFS(AND(D1089&lt;1980,D1089&gt;=1970),"70",AND(D1089&lt;1990,D1089&gt;=1980),"80",AND(D1089&lt;2000,D1089&gt;=1990),"90",AND(D1089&lt;2010,D1089&gt;=2000),"00",AND(D1089&lt;=2019,D1089&gt;=2010),"10"),"1908-1970")</f>
        <v>1908-1970</v>
      </c>
      <c r="F1089" s="3" t="s">
        <v>28931</v>
      </c>
      <c r="G1089" t="s">
        <v>9709</v>
      </c>
      <c r="H1089" t="s">
        <v>9710</v>
      </c>
      <c r="I1089" t="s">
        <v>28931</v>
      </c>
      <c r="J1089" t="s">
        <v>9711</v>
      </c>
      <c r="K1089" t="s">
        <v>7640</v>
      </c>
      <c r="L1089" s="7" t="s">
        <v>9712</v>
      </c>
      <c r="M1089" t="s">
        <v>28931</v>
      </c>
      <c r="N1089">
        <v>12</v>
      </c>
      <c r="O1089">
        <v>8</v>
      </c>
      <c r="P1089">
        <v>4</v>
      </c>
      <c r="Q1089">
        <v>12</v>
      </c>
      <c r="R1089">
        <v>8</v>
      </c>
      <c r="S1089">
        <v>4</v>
      </c>
      <c r="T1089">
        <v>0</v>
      </c>
      <c r="U1089" t="s">
        <v>9713</v>
      </c>
      <c r="V1089">
        <f>Tabla1[[#This Row],[Aboard]]-Tabla1[[#This Row],[Fatalities]]</f>
        <v>0</v>
      </c>
      <c r="W1089" s="50">
        <f>IFERROR(Tabla1[[#This Row],[Fatalities]]/Tabla1[[#This Row],[Aboard]],0)</f>
        <v>1</v>
      </c>
      <c r="X1089" s="51" t="str" cm="1">
        <f t="array" ref="X1089">_xlfn.IFS(Tabla1[[#This Row],[Porcentaje de muertes]]&lt;0.35,"LEVE",AND(Tabla1[[#This Row],[Porcentaje de muertes]]&gt;0.35,Tabla1[[#This Row],[Porcentaje de muertes]]&lt;0.65),"MEDIO",Tabla1[[#This Row],[Porcentaje de muertes]]&gt;0.65,"GRAVE")</f>
        <v>GRAVE</v>
      </c>
    </row>
    <row r="1090" spans="2:24" x14ac:dyDescent="0.3">
      <c r="B1090" s="9">
        <v>1088</v>
      </c>
      <c r="C1090" s="49">
        <v>17913</v>
      </c>
      <c r="D1090" s="9">
        <f>YEAR(Tabla1[[#This Row],[Date]])</f>
        <v>1949</v>
      </c>
      <c r="E1090" s="9" t="str" cm="1">
        <f t="array" ref="E1090">IFERROR(_xlfn.IFS(AND(D1090&lt;1980,D1090&gt;=1970),"70",AND(D1090&lt;1990,D1090&gt;=1980),"80",AND(D1090&lt;2000,D1090&gt;=1990),"90",AND(D1090&lt;2010,D1090&gt;=2000),"00",AND(D1090&lt;=2019,D1090&gt;=2010),"10"),"1908-1970")</f>
        <v>1908-1970</v>
      </c>
      <c r="F1090" s="3" t="s">
        <v>28931</v>
      </c>
      <c r="G1090" t="s">
        <v>9714</v>
      </c>
      <c r="H1090" t="s">
        <v>9692</v>
      </c>
      <c r="I1090" t="s">
        <v>28931</v>
      </c>
      <c r="J1090" t="s">
        <v>28931</v>
      </c>
      <c r="K1090" t="s">
        <v>9715</v>
      </c>
      <c r="L1090" s="7" t="s">
        <v>9716</v>
      </c>
      <c r="M1090">
        <v>19584</v>
      </c>
      <c r="N1090">
        <v>30</v>
      </c>
      <c r="O1090" t="s">
        <v>5038</v>
      </c>
      <c r="P1090" t="s">
        <v>5038</v>
      </c>
      <c r="Q1090">
        <v>30</v>
      </c>
      <c r="R1090" t="s">
        <v>5038</v>
      </c>
      <c r="S1090" t="s">
        <v>5038</v>
      </c>
      <c r="T1090">
        <v>0</v>
      </c>
      <c r="U1090" t="s">
        <v>9717</v>
      </c>
      <c r="V1090">
        <f>Tabla1[[#This Row],[Aboard]]-Tabla1[[#This Row],[Fatalities]]</f>
        <v>0</v>
      </c>
      <c r="W1090" s="50">
        <f>IFERROR(Tabla1[[#This Row],[Fatalities]]/Tabla1[[#This Row],[Aboard]],0)</f>
        <v>1</v>
      </c>
      <c r="X1090" s="51" t="str" cm="1">
        <f t="array" ref="X1090">_xlfn.IFS(Tabla1[[#This Row],[Porcentaje de muertes]]&lt;0.35,"LEVE",AND(Tabla1[[#This Row],[Porcentaje de muertes]]&gt;0.35,Tabla1[[#This Row],[Porcentaje de muertes]]&lt;0.65),"MEDIO",Tabla1[[#This Row],[Porcentaje de muertes]]&gt;0.65,"GRAVE")</f>
        <v>GRAVE</v>
      </c>
    </row>
    <row r="1091" spans="2:24" x14ac:dyDescent="0.3">
      <c r="B1091" s="9">
        <v>1089</v>
      </c>
      <c r="C1091" s="49">
        <v>17914</v>
      </c>
      <c r="D1091" s="9">
        <f>YEAR(Tabla1[[#This Row],[Date]])</f>
        <v>1949</v>
      </c>
      <c r="E1091" s="9" t="str" cm="1">
        <f t="array" ref="E1091">IFERROR(_xlfn.IFS(AND(D1091&lt;1980,D1091&gt;=1970),"70",AND(D1091&lt;1990,D1091&gt;=1980),"80",AND(D1091&lt;2000,D1091&gt;=1990),"90",AND(D1091&lt;2010,D1091&gt;=2000),"00",AND(D1091&lt;=2019,D1091&gt;=2010),"10"),"1908-1970")</f>
        <v>1908-1970</v>
      </c>
      <c r="F1091" s="3" t="s">
        <v>28931</v>
      </c>
      <c r="G1091" t="s">
        <v>9244</v>
      </c>
      <c r="H1091" t="s">
        <v>9718</v>
      </c>
      <c r="I1091" t="s">
        <v>28931</v>
      </c>
      <c r="J1091" t="s">
        <v>28931</v>
      </c>
      <c r="K1091" t="s">
        <v>7057</v>
      </c>
      <c r="L1091" s="7" t="s">
        <v>9719</v>
      </c>
      <c r="M1091" t="s">
        <v>9720</v>
      </c>
      <c r="N1091">
        <v>13</v>
      </c>
      <c r="O1091">
        <v>4</v>
      </c>
      <c r="P1091">
        <v>9</v>
      </c>
      <c r="Q1091">
        <v>13</v>
      </c>
      <c r="R1091">
        <v>4</v>
      </c>
      <c r="S1091">
        <v>9</v>
      </c>
      <c r="T1091">
        <v>0</v>
      </c>
      <c r="U1091" t="s">
        <v>9721</v>
      </c>
      <c r="V1091">
        <f>Tabla1[[#This Row],[Aboard]]-Tabla1[[#This Row],[Fatalities]]</f>
        <v>0</v>
      </c>
      <c r="W1091" s="50">
        <f>IFERROR(Tabla1[[#This Row],[Fatalities]]/Tabla1[[#This Row],[Aboard]],0)</f>
        <v>1</v>
      </c>
      <c r="X1091" s="51" t="str" cm="1">
        <f t="array" ref="X1091">_xlfn.IFS(Tabla1[[#This Row],[Porcentaje de muertes]]&lt;0.35,"LEVE",AND(Tabla1[[#This Row],[Porcentaje de muertes]]&gt;0.35,Tabla1[[#This Row],[Porcentaje de muertes]]&lt;0.65),"MEDIO",Tabla1[[#This Row],[Porcentaje de muertes]]&gt;0.65,"GRAVE")</f>
        <v>GRAVE</v>
      </c>
    </row>
    <row r="1092" spans="2:24" x14ac:dyDescent="0.3">
      <c r="B1092" s="9">
        <v>1090</v>
      </c>
      <c r="C1092" s="49">
        <v>17915</v>
      </c>
      <c r="D1092" s="9">
        <f>YEAR(Tabla1[[#This Row],[Date]])</f>
        <v>1949</v>
      </c>
      <c r="E1092" s="9" t="str" cm="1">
        <f t="array" ref="E1092">IFERROR(_xlfn.IFS(AND(D1092&lt;1980,D1092&gt;=1970),"70",AND(D1092&lt;1990,D1092&gt;=1980),"80",AND(D1092&lt;2000,D1092&gt;=1990),"90",AND(D1092&lt;2010,D1092&gt;=2000),"00",AND(D1092&lt;=2019,D1092&gt;=2010),"10"),"1908-1970")</f>
        <v>1908-1970</v>
      </c>
      <c r="F1092" s="3">
        <v>0.56944444444444442</v>
      </c>
      <c r="G1092" t="s">
        <v>9722</v>
      </c>
      <c r="H1092" t="s">
        <v>8763</v>
      </c>
      <c r="I1092" t="s">
        <v>28931</v>
      </c>
      <c r="J1092" t="s">
        <v>9723</v>
      </c>
      <c r="K1092" t="s">
        <v>9724</v>
      </c>
      <c r="L1092" s="7" t="s">
        <v>9725</v>
      </c>
      <c r="M1092">
        <v>1253</v>
      </c>
      <c r="N1092">
        <v>20</v>
      </c>
      <c r="O1092">
        <v>13</v>
      </c>
      <c r="P1092">
        <v>7</v>
      </c>
      <c r="Q1092">
        <v>20</v>
      </c>
      <c r="R1092">
        <v>13</v>
      </c>
      <c r="S1092">
        <v>7</v>
      </c>
      <c r="T1092">
        <v>0</v>
      </c>
      <c r="U1092" t="s">
        <v>9726</v>
      </c>
      <c r="V1092">
        <f>Tabla1[[#This Row],[Aboard]]-Tabla1[[#This Row],[Fatalities]]</f>
        <v>0</v>
      </c>
      <c r="W1092" s="50">
        <f>IFERROR(Tabla1[[#This Row],[Fatalities]]/Tabla1[[#This Row],[Aboard]],0)</f>
        <v>1</v>
      </c>
      <c r="X1092" s="51" t="str" cm="1">
        <f t="array" ref="X1092">_xlfn.IFS(Tabla1[[#This Row],[Porcentaje de muertes]]&lt;0.35,"LEVE",AND(Tabla1[[#This Row],[Porcentaje de muertes]]&gt;0.35,Tabla1[[#This Row],[Porcentaje de muertes]]&lt;0.65),"MEDIO",Tabla1[[#This Row],[Porcentaje de muertes]]&gt;0.65,"GRAVE")</f>
        <v>GRAVE</v>
      </c>
    </row>
    <row r="1093" spans="2:24" x14ac:dyDescent="0.3">
      <c r="B1093" s="9">
        <v>1091</v>
      </c>
      <c r="C1093" s="49">
        <v>17915</v>
      </c>
      <c r="D1093" s="9">
        <f>YEAR(Tabla1[[#This Row],[Date]])</f>
        <v>1949</v>
      </c>
      <c r="E1093" s="9" t="str" cm="1">
        <f t="array" ref="E1093">IFERROR(_xlfn.IFS(AND(D1093&lt;1980,D1093&gt;=1970),"70",AND(D1093&lt;1990,D1093&gt;=1980),"80",AND(D1093&lt;2000,D1093&gt;=1990),"90",AND(D1093&lt;2010,D1093&gt;=2000),"00",AND(D1093&lt;=2019,D1093&gt;=2010),"10"),"1908-1970")</f>
        <v>1908-1970</v>
      </c>
      <c r="F1093" s="3">
        <v>0.40972222222222227</v>
      </c>
      <c r="G1093" t="s">
        <v>9727</v>
      </c>
      <c r="H1093" t="s">
        <v>7987</v>
      </c>
      <c r="I1093" t="s">
        <v>28931</v>
      </c>
      <c r="J1093" t="s">
        <v>9728</v>
      </c>
      <c r="K1093" t="s">
        <v>9629</v>
      </c>
      <c r="L1093" s="7" t="s">
        <v>9729</v>
      </c>
      <c r="M1093" t="s">
        <v>28931</v>
      </c>
      <c r="N1093">
        <v>20</v>
      </c>
      <c r="O1093">
        <v>16</v>
      </c>
      <c r="P1093">
        <v>4</v>
      </c>
      <c r="Q1093">
        <v>20</v>
      </c>
      <c r="R1093">
        <v>16</v>
      </c>
      <c r="S1093">
        <v>4</v>
      </c>
      <c r="T1093">
        <v>0</v>
      </c>
      <c r="U1093" t="s">
        <v>9730</v>
      </c>
      <c r="V1093">
        <f>Tabla1[[#This Row],[Aboard]]-Tabla1[[#This Row],[Fatalities]]</f>
        <v>0</v>
      </c>
      <c r="W1093" s="50">
        <f>IFERROR(Tabla1[[#This Row],[Fatalities]]/Tabla1[[#This Row],[Aboard]],0)</f>
        <v>1</v>
      </c>
      <c r="X1093" s="51" t="str" cm="1">
        <f t="array" ref="X1093">_xlfn.IFS(Tabla1[[#This Row],[Porcentaje de muertes]]&lt;0.35,"LEVE",AND(Tabla1[[#This Row],[Porcentaje de muertes]]&gt;0.35,Tabla1[[#This Row],[Porcentaje de muertes]]&lt;0.65),"MEDIO",Tabla1[[#This Row],[Porcentaje de muertes]]&gt;0.65,"GRAVE")</f>
        <v>GRAVE</v>
      </c>
    </row>
    <row r="1094" spans="2:24" x14ac:dyDescent="0.3">
      <c r="B1094" s="9">
        <v>1092</v>
      </c>
      <c r="C1094" s="49">
        <v>17918</v>
      </c>
      <c r="D1094" s="9">
        <f>YEAR(Tabla1[[#This Row],[Date]])</f>
        <v>1949</v>
      </c>
      <c r="E1094" s="9" t="str" cm="1">
        <f t="array" ref="E1094">IFERROR(_xlfn.IFS(AND(D1094&lt;1980,D1094&gt;=1970),"70",AND(D1094&lt;1990,D1094&gt;=1980),"80",AND(D1094&lt;2000,D1094&gt;=1990),"90",AND(D1094&lt;2010,D1094&gt;=2000),"00",AND(D1094&lt;=2019,D1094&gt;=2010),"10"),"1908-1970")</f>
        <v>1908-1970</v>
      </c>
      <c r="F1094" s="3">
        <v>0.83680555555555547</v>
      </c>
      <c r="G1094" t="s">
        <v>9731</v>
      </c>
      <c r="H1094" t="s">
        <v>9289</v>
      </c>
      <c r="I1094">
        <v>8</v>
      </c>
      <c r="J1094" t="s">
        <v>9732</v>
      </c>
      <c r="K1094" t="s">
        <v>9005</v>
      </c>
      <c r="L1094" s="7" t="s">
        <v>9733</v>
      </c>
      <c r="M1094">
        <v>20208</v>
      </c>
      <c r="N1094">
        <v>6</v>
      </c>
      <c r="O1094">
        <v>3</v>
      </c>
      <c r="P1094">
        <v>3</v>
      </c>
      <c r="Q1094">
        <v>5</v>
      </c>
      <c r="R1094">
        <v>3</v>
      </c>
      <c r="S1094">
        <v>2</v>
      </c>
      <c r="T1094">
        <v>0</v>
      </c>
      <c r="U1094" t="s">
        <v>9734</v>
      </c>
      <c r="V1094">
        <f>Tabla1[[#This Row],[Aboard]]-Tabla1[[#This Row],[Fatalities]]</f>
        <v>1</v>
      </c>
      <c r="W1094" s="50">
        <f>IFERROR(Tabla1[[#This Row],[Fatalities]]/Tabla1[[#This Row],[Aboard]],0)</f>
        <v>0.83333333333333337</v>
      </c>
      <c r="X1094" s="51" t="str" cm="1">
        <f t="array" ref="X1094">_xlfn.IFS(Tabla1[[#This Row],[Porcentaje de muertes]]&lt;0.35,"LEVE",AND(Tabla1[[#This Row],[Porcentaje de muertes]]&gt;0.35,Tabla1[[#This Row],[Porcentaje de muertes]]&lt;0.65),"MEDIO",Tabla1[[#This Row],[Porcentaje de muertes]]&gt;0.65,"GRAVE")</f>
        <v>GRAVE</v>
      </c>
    </row>
    <row r="1095" spans="2:24" x14ac:dyDescent="0.3">
      <c r="B1095" s="9">
        <v>1093</v>
      </c>
      <c r="C1095" s="49">
        <v>17928</v>
      </c>
      <c r="D1095" s="9">
        <f>YEAR(Tabla1[[#This Row],[Date]])</f>
        <v>1949</v>
      </c>
      <c r="E1095" s="9" t="str" cm="1">
        <f t="array" ref="E1095">IFERROR(_xlfn.IFS(AND(D1095&lt;1980,D1095&gt;=1970),"70",AND(D1095&lt;1990,D1095&gt;=1980),"80",AND(D1095&lt;2000,D1095&gt;=1990),"90",AND(D1095&lt;2010,D1095&gt;=2000),"00",AND(D1095&lt;=2019,D1095&gt;=2010),"10"),"1908-1970")</f>
        <v>1908-1970</v>
      </c>
      <c r="F1095" s="3">
        <v>0.68194444444444446</v>
      </c>
      <c r="G1095" t="s">
        <v>9735</v>
      </c>
      <c r="H1095" t="s">
        <v>7121</v>
      </c>
      <c r="I1095">
        <v>100</v>
      </c>
      <c r="J1095" t="s">
        <v>28931</v>
      </c>
      <c r="K1095" t="s">
        <v>9736</v>
      </c>
      <c r="L1095" s="7" t="s">
        <v>9737</v>
      </c>
      <c r="M1095" t="s">
        <v>9738</v>
      </c>
      <c r="N1095">
        <v>35</v>
      </c>
      <c r="O1095">
        <v>23</v>
      </c>
      <c r="P1095">
        <v>12</v>
      </c>
      <c r="Q1095">
        <v>2</v>
      </c>
      <c r="R1095">
        <v>1</v>
      </c>
      <c r="S1095">
        <v>1</v>
      </c>
      <c r="T1095">
        <v>0</v>
      </c>
      <c r="U1095" t="s">
        <v>9739</v>
      </c>
      <c r="V1095">
        <f>Tabla1[[#This Row],[Aboard]]-Tabla1[[#This Row],[Fatalities]]</f>
        <v>33</v>
      </c>
      <c r="W1095" s="50">
        <f>IFERROR(Tabla1[[#This Row],[Fatalities]]/Tabla1[[#This Row],[Aboard]],0)</f>
        <v>5.7142857142857141E-2</v>
      </c>
      <c r="X1095" s="51" t="str" cm="1">
        <f t="array" ref="X1095">_xlfn.IFS(Tabla1[[#This Row],[Porcentaje de muertes]]&lt;0.35,"LEVE",AND(Tabla1[[#This Row],[Porcentaje de muertes]]&gt;0.35,Tabla1[[#This Row],[Porcentaje de muertes]]&lt;0.65),"MEDIO",Tabla1[[#This Row],[Porcentaje de muertes]]&gt;0.65,"GRAVE")</f>
        <v>LEVE</v>
      </c>
    </row>
    <row r="1096" spans="2:24" x14ac:dyDescent="0.3">
      <c r="B1096" s="9">
        <v>1094</v>
      </c>
      <c r="C1096" s="49">
        <v>17931</v>
      </c>
      <c r="D1096" s="9">
        <f>YEAR(Tabla1[[#This Row],[Date]])</f>
        <v>1949</v>
      </c>
      <c r="E1096" s="9" t="str" cm="1">
        <f t="array" ref="E1096">IFERROR(_xlfn.IFS(AND(D1096&lt;1980,D1096&gt;=1970),"70",AND(D1096&lt;1990,D1096&gt;=1980),"80",AND(D1096&lt;2000,D1096&gt;=1990),"90",AND(D1096&lt;2010,D1096&gt;=2000),"00",AND(D1096&lt;=2019,D1096&gt;=2010),"10"),"1908-1970")</f>
        <v>1908-1970</v>
      </c>
      <c r="F1096" s="3">
        <v>0.66666666666666663</v>
      </c>
      <c r="G1096" t="s">
        <v>9740</v>
      </c>
      <c r="H1096" t="s">
        <v>9741</v>
      </c>
      <c r="I1096" t="s">
        <v>28931</v>
      </c>
      <c r="J1096" t="s">
        <v>9742</v>
      </c>
      <c r="K1096" t="s">
        <v>8741</v>
      </c>
      <c r="L1096" s="7" t="s">
        <v>9743</v>
      </c>
      <c r="M1096">
        <v>3708</v>
      </c>
      <c r="N1096">
        <v>10</v>
      </c>
      <c r="O1096" t="s">
        <v>5038</v>
      </c>
      <c r="P1096" t="s">
        <v>5038</v>
      </c>
      <c r="Q1096">
        <v>6</v>
      </c>
      <c r="R1096" t="s">
        <v>5038</v>
      </c>
      <c r="S1096" t="s">
        <v>5038</v>
      </c>
      <c r="T1096">
        <v>0</v>
      </c>
      <c r="U1096" t="s">
        <v>9744</v>
      </c>
      <c r="V1096">
        <f>Tabla1[[#This Row],[Aboard]]-Tabla1[[#This Row],[Fatalities]]</f>
        <v>4</v>
      </c>
      <c r="W1096" s="50">
        <f>IFERROR(Tabla1[[#This Row],[Fatalities]]/Tabla1[[#This Row],[Aboard]],0)</f>
        <v>0.6</v>
      </c>
      <c r="X1096" s="51" t="str" cm="1">
        <f t="array" ref="X1096">_xlfn.IFS(Tabla1[[#This Row],[Porcentaje de muertes]]&lt;0.35,"LEVE",AND(Tabla1[[#This Row],[Porcentaje de muertes]]&gt;0.35,Tabla1[[#This Row],[Porcentaje de muertes]]&lt;0.65),"MEDIO",Tabla1[[#This Row],[Porcentaje de muertes]]&gt;0.65,"GRAVE")</f>
        <v>MEDIO</v>
      </c>
    </row>
    <row r="1097" spans="2:24" x14ac:dyDescent="0.3">
      <c r="B1097" s="9">
        <v>1095</v>
      </c>
      <c r="C1097" s="49">
        <v>17990</v>
      </c>
      <c r="D1097" s="9">
        <f>YEAR(Tabla1[[#This Row],[Date]])</f>
        <v>1949</v>
      </c>
      <c r="E1097" s="9" t="str" cm="1">
        <f t="array" ref="E1097">IFERROR(_xlfn.IFS(AND(D1097&lt;1980,D1097&gt;=1970),"70",AND(D1097&lt;1990,D1097&gt;=1980),"80",AND(D1097&lt;2000,D1097&gt;=1990),"90",AND(D1097&lt;2010,D1097&gt;=2000),"00",AND(D1097&lt;=2019,D1097&gt;=2010),"10"),"1908-1970")</f>
        <v>1908-1970</v>
      </c>
      <c r="F1097" s="3" t="s">
        <v>28931</v>
      </c>
      <c r="G1097" t="s">
        <v>9745</v>
      </c>
      <c r="H1097" t="s">
        <v>9462</v>
      </c>
      <c r="I1097" t="s">
        <v>28931</v>
      </c>
      <c r="J1097" t="s">
        <v>9746</v>
      </c>
      <c r="K1097" t="s">
        <v>9747</v>
      </c>
      <c r="L1097" s="7" t="s">
        <v>9748</v>
      </c>
      <c r="M1097">
        <v>7464</v>
      </c>
      <c r="N1097">
        <v>53</v>
      </c>
      <c r="O1097">
        <v>44</v>
      </c>
      <c r="P1097">
        <v>9</v>
      </c>
      <c r="Q1097">
        <v>1</v>
      </c>
      <c r="R1097">
        <v>0</v>
      </c>
      <c r="S1097">
        <v>1</v>
      </c>
      <c r="T1097">
        <v>0</v>
      </c>
      <c r="U1097" t="s">
        <v>9749</v>
      </c>
      <c r="V1097">
        <f>Tabla1[[#This Row],[Aboard]]-Tabla1[[#This Row],[Fatalities]]</f>
        <v>52</v>
      </c>
      <c r="W1097" s="50">
        <f>IFERROR(Tabla1[[#This Row],[Fatalities]]/Tabla1[[#This Row],[Aboard]],0)</f>
        <v>1.8867924528301886E-2</v>
      </c>
      <c r="X1097" s="51" t="str" cm="1">
        <f t="array" ref="X1097">_xlfn.IFS(Tabla1[[#This Row],[Porcentaje de muertes]]&lt;0.35,"LEVE",AND(Tabla1[[#This Row],[Porcentaje de muertes]]&gt;0.35,Tabla1[[#This Row],[Porcentaje de muertes]]&lt;0.65),"MEDIO",Tabla1[[#This Row],[Porcentaje de muertes]]&gt;0.65,"GRAVE")</f>
        <v>LEVE</v>
      </c>
    </row>
    <row r="1098" spans="2:24" x14ac:dyDescent="0.3">
      <c r="B1098" s="9">
        <v>1096</v>
      </c>
      <c r="C1098" s="49">
        <v>18020</v>
      </c>
      <c r="D1098" s="9">
        <f>YEAR(Tabla1[[#This Row],[Date]])</f>
        <v>1949</v>
      </c>
      <c r="E1098" s="9" t="str" cm="1">
        <f t="array" ref="E1098">IFERROR(_xlfn.IFS(AND(D1098&lt;1980,D1098&gt;=1970),"70",AND(D1098&lt;1990,D1098&gt;=1980),"80",AND(D1098&lt;2000,D1098&gt;=1990),"90",AND(D1098&lt;2010,D1098&gt;=2000),"00",AND(D1098&lt;=2019,D1098&gt;=2010),"10"),"1908-1970")</f>
        <v>1908-1970</v>
      </c>
      <c r="F1098" s="3" t="s">
        <v>28931</v>
      </c>
      <c r="G1098" t="s">
        <v>9750</v>
      </c>
      <c r="H1098" t="s">
        <v>8976</v>
      </c>
      <c r="I1098" t="s">
        <v>28931</v>
      </c>
      <c r="J1098" t="s">
        <v>28931</v>
      </c>
      <c r="K1098" t="s">
        <v>9179</v>
      </c>
      <c r="L1098" s="7" t="s">
        <v>9751</v>
      </c>
      <c r="M1098" t="s">
        <v>28931</v>
      </c>
      <c r="N1098">
        <v>14</v>
      </c>
      <c r="O1098">
        <v>10</v>
      </c>
      <c r="P1098">
        <v>4</v>
      </c>
      <c r="Q1098">
        <v>3</v>
      </c>
      <c r="R1098">
        <v>1</v>
      </c>
      <c r="S1098">
        <v>2</v>
      </c>
      <c r="T1098">
        <v>0</v>
      </c>
      <c r="U1098" t="s">
        <v>5203</v>
      </c>
      <c r="V1098">
        <f>Tabla1[[#This Row],[Aboard]]-Tabla1[[#This Row],[Fatalities]]</f>
        <v>11</v>
      </c>
      <c r="W1098" s="50">
        <f>IFERROR(Tabla1[[#This Row],[Fatalities]]/Tabla1[[#This Row],[Aboard]],0)</f>
        <v>0.21428571428571427</v>
      </c>
      <c r="X1098" s="51" t="str" cm="1">
        <f t="array" ref="X1098">_xlfn.IFS(Tabla1[[#This Row],[Porcentaje de muertes]]&lt;0.35,"LEVE",AND(Tabla1[[#This Row],[Porcentaje de muertes]]&gt;0.35,Tabla1[[#This Row],[Porcentaje de muertes]]&lt;0.65),"MEDIO",Tabla1[[#This Row],[Porcentaje de muertes]]&gt;0.65,"GRAVE")</f>
        <v>LEVE</v>
      </c>
    </row>
    <row r="1099" spans="2:24" x14ac:dyDescent="0.3">
      <c r="B1099" s="9">
        <v>1097</v>
      </c>
      <c r="C1099" s="49">
        <v>18112</v>
      </c>
      <c r="D1099" s="9">
        <f>YEAR(Tabla1[[#This Row],[Date]])</f>
        <v>1949</v>
      </c>
      <c r="E1099" s="9" t="str" cm="1">
        <f t="array" ref="E1099">IFERROR(_xlfn.IFS(AND(D1099&lt;1980,D1099&gt;=1970),"70",AND(D1099&lt;1990,D1099&gt;=1980),"80",AND(D1099&lt;2000,D1099&gt;=1990),"90",AND(D1099&lt;2010,D1099&gt;=2000),"00",AND(D1099&lt;=2019,D1099&gt;=2010),"10"),"1908-1970")</f>
        <v>1908-1970</v>
      </c>
      <c r="F1099" s="3">
        <v>0.8305555555555556</v>
      </c>
      <c r="G1099" t="s">
        <v>7455</v>
      </c>
      <c r="H1099" t="s">
        <v>9523</v>
      </c>
      <c r="I1099" t="s">
        <v>28931</v>
      </c>
      <c r="J1099" t="s">
        <v>9752</v>
      </c>
      <c r="K1099" t="s">
        <v>9753</v>
      </c>
      <c r="L1099" s="7" t="s">
        <v>9754</v>
      </c>
      <c r="M1099">
        <v>199</v>
      </c>
      <c r="N1099">
        <v>27</v>
      </c>
      <c r="O1099">
        <v>23</v>
      </c>
      <c r="P1099">
        <v>4</v>
      </c>
      <c r="Q1099">
        <v>27</v>
      </c>
      <c r="R1099">
        <v>23</v>
      </c>
      <c r="S1099">
        <v>4</v>
      </c>
      <c r="T1099">
        <v>0</v>
      </c>
      <c r="U1099" t="s">
        <v>9755</v>
      </c>
      <c r="V1099">
        <f>Tabla1[[#This Row],[Aboard]]-Tabla1[[#This Row],[Fatalities]]</f>
        <v>0</v>
      </c>
      <c r="W1099" s="50">
        <f>IFERROR(Tabla1[[#This Row],[Fatalities]]/Tabla1[[#This Row],[Aboard]],0)</f>
        <v>1</v>
      </c>
      <c r="X1099" s="51" t="str" cm="1">
        <f t="array" ref="X1099">_xlfn.IFS(Tabla1[[#This Row],[Porcentaje de muertes]]&lt;0.35,"LEVE",AND(Tabla1[[#This Row],[Porcentaje de muertes]]&gt;0.35,Tabla1[[#This Row],[Porcentaje de muertes]]&lt;0.65),"MEDIO",Tabla1[[#This Row],[Porcentaje de muertes]]&gt;0.65,"GRAVE")</f>
        <v>GRAVE</v>
      </c>
    </row>
    <row r="1100" spans="2:24" x14ac:dyDescent="0.3">
      <c r="B1100" s="9">
        <v>1098</v>
      </c>
      <c r="C1100" s="49">
        <v>18173</v>
      </c>
      <c r="D1100" s="9">
        <f>YEAR(Tabla1[[#This Row],[Date]])</f>
        <v>1949</v>
      </c>
      <c r="E1100" s="9" t="str" cm="1">
        <f t="array" ref="E1100">IFERROR(_xlfn.IFS(AND(D1100&lt;1980,D1100&gt;=1970),"70",AND(D1100&lt;1990,D1100&gt;=1980),"80",AND(D1100&lt;2000,D1100&gt;=1990),"90",AND(D1100&lt;2010,D1100&gt;=2000),"00",AND(D1100&lt;=2019,D1100&gt;=2010),"10"),"1908-1970")</f>
        <v>1908-1970</v>
      </c>
      <c r="F1100" s="3" t="s">
        <v>28931</v>
      </c>
      <c r="G1100" t="s">
        <v>9756</v>
      </c>
      <c r="H1100" t="s">
        <v>8477</v>
      </c>
      <c r="I1100" t="s">
        <v>28931</v>
      </c>
      <c r="J1100" t="s">
        <v>9757</v>
      </c>
      <c r="K1100" t="s">
        <v>7057</v>
      </c>
      <c r="L1100" s="7" t="s">
        <v>9758</v>
      </c>
      <c r="M1100" t="s">
        <v>9759</v>
      </c>
      <c r="N1100">
        <v>16</v>
      </c>
      <c r="O1100">
        <v>13</v>
      </c>
      <c r="P1100">
        <v>3</v>
      </c>
      <c r="Q1100">
        <v>16</v>
      </c>
      <c r="R1100">
        <v>13</v>
      </c>
      <c r="S1100">
        <v>3</v>
      </c>
      <c r="T1100">
        <v>0</v>
      </c>
      <c r="U1100" t="s">
        <v>9760</v>
      </c>
      <c r="V1100">
        <f>Tabla1[[#This Row],[Aboard]]-Tabla1[[#This Row],[Fatalities]]</f>
        <v>0</v>
      </c>
      <c r="W1100" s="50">
        <f>IFERROR(Tabla1[[#This Row],[Fatalities]]/Tabla1[[#This Row],[Aboard]],0)</f>
        <v>1</v>
      </c>
      <c r="X1100" s="51" t="str" cm="1">
        <f t="array" ref="X1100">_xlfn.IFS(Tabla1[[#This Row],[Porcentaje de muertes]]&lt;0.35,"LEVE",AND(Tabla1[[#This Row],[Porcentaje de muertes]]&gt;0.35,Tabla1[[#This Row],[Porcentaje de muertes]]&lt;0.65),"MEDIO",Tabla1[[#This Row],[Porcentaje de muertes]]&gt;0.65,"GRAVE")</f>
        <v>GRAVE</v>
      </c>
    </row>
    <row r="1101" spans="2:24" x14ac:dyDescent="0.3">
      <c r="B1101" s="9">
        <v>1099</v>
      </c>
      <c r="C1101" s="49">
        <v>17948</v>
      </c>
      <c r="D1101" s="9">
        <f>YEAR(Tabla1[[#This Row],[Date]])</f>
        <v>1949</v>
      </c>
      <c r="E1101" s="9" t="str" cm="1">
        <f t="array" ref="E1101">IFERROR(_xlfn.IFS(AND(D1101&lt;1980,D1101&gt;=1970),"70",AND(D1101&lt;1990,D1101&gt;=1980),"80",AND(D1101&lt;2000,D1101&gt;=1990),"90",AND(D1101&lt;2010,D1101&gt;=2000),"00",AND(D1101&lt;=2019,D1101&gt;=2010),"10"),"1908-1970")</f>
        <v>1908-1970</v>
      </c>
      <c r="F1101" s="3">
        <v>0.40625</v>
      </c>
      <c r="G1101" t="s">
        <v>9761</v>
      </c>
      <c r="H1101" t="s">
        <v>9762</v>
      </c>
      <c r="I1101" t="s">
        <v>28931</v>
      </c>
      <c r="J1101" t="s">
        <v>9763</v>
      </c>
      <c r="K1101" t="s">
        <v>9764</v>
      </c>
      <c r="L1101" s="7" t="s">
        <v>9765</v>
      </c>
      <c r="M1101">
        <v>13308</v>
      </c>
      <c r="N1101">
        <v>14</v>
      </c>
      <c r="O1101">
        <v>6</v>
      </c>
      <c r="P1101">
        <v>8</v>
      </c>
      <c r="Q1101">
        <v>14</v>
      </c>
      <c r="R1101">
        <v>6</v>
      </c>
      <c r="S1101">
        <v>8</v>
      </c>
      <c r="T1101">
        <v>0</v>
      </c>
      <c r="U1101" t="s">
        <v>9766</v>
      </c>
      <c r="V1101">
        <f>Tabla1[[#This Row],[Aboard]]-Tabla1[[#This Row],[Fatalities]]</f>
        <v>0</v>
      </c>
      <c r="W1101" s="50">
        <f>IFERROR(Tabla1[[#This Row],[Fatalities]]/Tabla1[[#This Row],[Aboard]],0)</f>
        <v>1</v>
      </c>
      <c r="X1101" s="51" t="str" cm="1">
        <f t="array" ref="X1101">_xlfn.IFS(Tabla1[[#This Row],[Porcentaje de muertes]]&lt;0.35,"LEVE",AND(Tabla1[[#This Row],[Porcentaje de muertes]]&gt;0.35,Tabla1[[#This Row],[Porcentaje de muertes]]&lt;0.65),"MEDIO",Tabla1[[#This Row],[Porcentaje de muertes]]&gt;0.65,"GRAVE")</f>
        <v>GRAVE</v>
      </c>
    </row>
    <row r="1102" spans="2:24" x14ac:dyDescent="0.3">
      <c r="B1102" s="9">
        <v>1100</v>
      </c>
      <c r="C1102" s="49">
        <v>17953</v>
      </c>
      <c r="D1102" s="9">
        <f>YEAR(Tabla1[[#This Row],[Date]])</f>
        <v>1949</v>
      </c>
      <c r="E1102" s="9" t="str" cm="1">
        <f t="array" ref="E1102">IFERROR(_xlfn.IFS(AND(D1102&lt;1980,D1102&gt;=1970),"70",AND(D1102&lt;1990,D1102&gt;=1980),"80",AND(D1102&lt;2000,D1102&gt;=1990),"90",AND(D1102&lt;2010,D1102&gt;=2000),"00",AND(D1102&lt;=2019,D1102&gt;=2010),"10"),"1908-1970")</f>
        <v>1908-1970</v>
      </c>
      <c r="F1102" s="3">
        <v>0.33333333333333331</v>
      </c>
      <c r="G1102" t="s">
        <v>9767</v>
      </c>
      <c r="H1102" t="s">
        <v>9768</v>
      </c>
      <c r="I1102" t="s">
        <v>28931</v>
      </c>
      <c r="J1102" t="s">
        <v>9769</v>
      </c>
      <c r="K1102" t="s">
        <v>7826</v>
      </c>
      <c r="L1102" s="7" t="s">
        <v>28931</v>
      </c>
      <c r="M1102" t="s">
        <v>28931</v>
      </c>
      <c r="N1102">
        <v>26</v>
      </c>
      <c r="O1102">
        <v>22</v>
      </c>
      <c r="P1102">
        <v>4</v>
      </c>
      <c r="Q1102">
        <v>22</v>
      </c>
      <c r="R1102">
        <v>20</v>
      </c>
      <c r="S1102">
        <v>2</v>
      </c>
      <c r="T1102">
        <v>0</v>
      </c>
      <c r="U1102" t="s">
        <v>9770</v>
      </c>
      <c r="V1102">
        <f>Tabla1[[#This Row],[Aboard]]-Tabla1[[#This Row],[Fatalities]]</f>
        <v>4</v>
      </c>
      <c r="W1102" s="50">
        <f>IFERROR(Tabla1[[#This Row],[Fatalities]]/Tabla1[[#This Row],[Aboard]],0)</f>
        <v>0.84615384615384615</v>
      </c>
      <c r="X1102" s="51" t="str" cm="1">
        <f t="array" ref="X1102">_xlfn.IFS(Tabla1[[#This Row],[Porcentaje de muertes]]&lt;0.35,"LEVE",AND(Tabla1[[#This Row],[Porcentaje de muertes]]&gt;0.35,Tabla1[[#This Row],[Porcentaje de muertes]]&lt;0.65),"MEDIO",Tabla1[[#This Row],[Porcentaje de muertes]]&gt;0.65,"GRAVE")</f>
        <v>GRAVE</v>
      </c>
    </row>
    <row r="1103" spans="2:24" x14ac:dyDescent="0.3">
      <c r="B1103" s="9">
        <v>1101</v>
      </c>
      <c r="C1103" s="49">
        <v>17953</v>
      </c>
      <c r="D1103" s="9">
        <f>YEAR(Tabla1[[#This Row],[Date]])</f>
        <v>1949</v>
      </c>
      <c r="E1103" s="9" t="str" cm="1">
        <f t="array" ref="E1103">IFERROR(_xlfn.IFS(AND(D1103&lt;1980,D1103&gt;=1970),"70",AND(D1103&lt;1990,D1103&gt;=1980),"80",AND(D1103&lt;2000,D1103&gt;=1990),"90",AND(D1103&lt;2010,D1103&gt;=2000),"00",AND(D1103&lt;=2019,D1103&gt;=2010),"10"),"1908-1970")</f>
        <v>1908-1970</v>
      </c>
      <c r="F1103" s="3">
        <v>0.45833333333333331</v>
      </c>
      <c r="G1103" t="s">
        <v>9771</v>
      </c>
      <c r="H1103" t="s">
        <v>9539</v>
      </c>
      <c r="I1103" t="s">
        <v>28931</v>
      </c>
      <c r="J1103" t="s">
        <v>9772</v>
      </c>
      <c r="K1103" t="s">
        <v>7057</v>
      </c>
      <c r="L1103" s="7" t="s">
        <v>9773</v>
      </c>
      <c r="M1103">
        <v>20576</v>
      </c>
      <c r="N1103">
        <v>23</v>
      </c>
      <c r="O1103">
        <v>19</v>
      </c>
      <c r="P1103">
        <v>4</v>
      </c>
      <c r="Q1103">
        <v>23</v>
      </c>
      <c r="R1103">
        <v>19</v>
      </c>
      <c r="S1103">
        <v>4</v>
      </c>
      <c r="T1103">
        <v>0</v>
      </c>
      <c r="U1103" t="s">
        <v>9774</v>
      </c>
      <c r="V1103">
        <f>Tabla1[[#This Row],[Aboard]]-Tabla1[[#This Row],[Fatalities]]</f>
        <v>0</v>
      </c>
      <c r="W1103" s="50">
        <f>IFERROR(Tabla1[[#This Row],[Fatalities]]/Tabla1[[#This Row],[Aboard]],0)</f>
        <v>1</v>
      </c>
      <c r="X1103" s="51" t="str" cm="1">
        <f t="array" ref="X1103">_xlfn.IFS(Tabla1[[#This Row],[Porcentaje de muertes]]&lt;0.35,"LEVE",AND(Tabla1[[#This Row],[Porcentaje de muertes]]&gt;0.35,Tabla1[[#This Row],[Porcentaje de muertes]]&lt;0.65),"MEDIO",Tabla1[[#This Row],[Porcentaje de muertes]]&gt;0.65,"GRAVE")</f>
        <v>GRAVE</v>
      </c>
    </row>
    <row r="1104" spans="2:24" x14ac:dyDescent="0.3">
      <c r="B1104" s="9">
        <v>1102</v>
      </c>
      <c r="C1104" s="49">
        <v>18174</v>
      </c>
      <c r="D1104" s="9">
        <f>YEAR(Tabla1[[#This Row],[Date]])</f>
        <v>1949</v>
      </c>
      <c r="E1104" s="9" t="str" cm="1">
        <f t="array" ref="E1104">IFERROR(_xlfn.IFS(AND(D1104&lt;1980,D1104&gt;=1970),"70",AND(D1104&lt;1990,D1104&gt;=1980),"80",AND(D1104&lt;2000,D1104&gt;=1990),"90",AND(D1104&lt;2010,D1104&gt;=2000),"00",AND(D1104&lt;=2019,D1104&gt;=2010),"10"),"1908-1970")</f>
        <v>1908-1970</v>
      </c>
      <c r="F1104" s="3">
        <v>0.40972222222222227</v>
      </c>
      <c r="G1104" t="s">
        <v>9775</v>
      </c>
      <c r="H1104" t="s">
        <v>9776</v>
      </c>
      <c r="I1104" t="s">
        <v>28931</v>
      </c>
      <c r="J1104" t="s">
        <v>9777</v>
      </c>
      <c r="K1104" t="s">
        <v>7640</v>
      </c>
      <c r="L1104" s="7" t="s">
        <v>9778</v>
      </c>
      <c r="M1104">
        <v>2194</v>
      </c>
      <c r="N1104">
        <v>22</v>
      </c>
      <c r="O1104">
        <v>19</v>
      </c>
      <c r="P1104">
        <v>3</v>
      </c>
      <c r="Q1104">
        <v>22</v>
      </c>
      <c r="R1104">
        <v>19</v>
      </c>
      <c r="S1104">
        <v>3</v>
      </c>
      <c r="T1104">
        <v>0</v>
      </c>
      <c r="U1104" t="s">
        <v>9779</v>
      </c>
      <c r="V1104">
        <f>Tabla1[[#This Row],[Aboard]]-Tabla1[[#This Row],[Fatalities]]</f>
        <v>0</v>
      </c>
      <c r="W1104" s="50">
        <f>IFERROR(Tabla1[[#This Row],[Fatalities]]/Tabla1[[#This Row],[Aboard]],0)</f>
        <v>1</v>
      </c>
      <c r="X1104" s="51" t="str" cm="1">
        <f t="array" ref="X1104">_xlfn.IFS(Tabla1[[#This Row],[Porcentaje de muertes]]&lt;0.35,"LEVE",AND(Tabla1[[#This Row],[Porcentaje de muertes]]&gt;0.35,Tabla1[[#This Row],[Porcentaje de muertes]]&lt;0.65),"MEDIO",Tabla1[[#This Row],[Porcentaje de muertes]]&gt;0.65,"GRAVE")</f>
        <v>GRAVE</v>
      </c>
    </row>
    <row r="1105" spans="2:24" x14ac:dyDescent="0.3">
      <c r="B1105" s="9">
        <v>1103</v>
      </c>
      <c r="C1105" s="49">
        <v>17972</v>
      </c>
      <c r="D1105" s="9">
        <f>YEAR(Tabla1[[#This Row],[Date]])</f>
        <v>1949</v>
      </c>
      <c r="E1105" s="9" t="str" cm="1">
        <f t="array" ref="E1105">IFERROR(_xlfn.IFS(AND(D1105&lt;1980,D1105&gt;=1970),"70",AND(D1105&lt;1990,D1105&gt;=1980),"80",AND(D1105&lt;2000,D1105&gt;=1990),"90",AND(D1105&lt;2010,D1105&gt;=2000),"00",AND(D1105&lt;=2019,D1105&gt;=2010),"10"),"1908-1970")</f>
        <v>1908-1970</v>
      </c>
      <c r="F1105" s="3" t="s">
        <v>28931</v>
      </c>
      <c r="G1105" t="s">
        <v>7568</v>
      </c>
      <c r="H1105" t="s">
        <v>5816</v>
      </c>
      <c r="I1105" t="s">
        <v>28931</v>
      </c>
      <c r="J1105" t="s">
        <v>28931</v>
      </c>
      <c r="K1105" t="s">
        <v>8765</v>
      </c>
      <c r="L1105" s="7" t="s">
        <v>9780</v>
      </c>
      <c r="M1105">
        <v>1316</v>
      </c>
      <c r="N1105">
        <v>3</v>
      </c>
      <c r="O1105">
        <v>0</v>
      </c>
      <c r="P1105">
        <v>3</v>
      </c>
      <c r="Q1105">
        <v>3</v>
      </c>
      <c r="R1105">
        <v>0</v>
      </c>
      <c r="S1105">
        <v>3</v>
      </c>
      <c r="T1105">
        <v>0</v>
      </c>
      <c r="U1105" t="s">
        <v>9781</v>
      </c>
      <c r="V1105">
        <f>Tabla1[[#This Row],[Aboard]]-Tabla1[[#This Row],[Fatalities]]</f>
        <v>0</v>
      </c>
      <c r="W1105" s="50">
        <f>IFERROR(Tabla1[[#This Row],[Fatalities]]/Tabla1[[#This Row],[Aboard]],0)</f>
        <v>1</v>
      </c>
      <c r="X1105" s="51" t="str" cm="1">
        <f t="array" ref="X1105">_xlfn.IFS(Tabla1[[#This Row],[Porcentaje de muertes]]&lt;0.35,"LEVE",AND(Tabla1[[#This Row],[Porcentaje de muertes]]&gt;0.35,Tabla1[[#This Row],[Porcentaje de muertes]]&lt;0.65),"MEDIO",Tabla1[[#This Row],[Porcentaje de muertes]]&gt;0.65,"GRAVE")</f>
        <v>GRAVE</v>
      </c>
    </row>
    <row r="1106" spans="2:24" x14ac:dyDescent="0.3">
      <c r="B1106" s="9">
        <v>1104</v>
      </c>
      <c r="C1106" s="49">
        <v>17975</v>
      </c>
      <c r="D1106" s="9">
        <f>YEAR(Tabla1[[#This Row],[Date]])</f>
        <v>1949</v>
      </c>
      <c r="E1106" s="9" t="str" cm="1">
        <f t="array" ref="E1106">IFERROR(_xlfn.IFS(AND(D1106&lt;1980,D1106&gt;=1970),"70",AND(D1106&lt;1990,D1106&gt;=1980),"80",AND(D1106&lt;2000,D1106&gt;=1990),"90",AND(D1106&lt;2010,D1106&gt;=2000),"00",AND(D1106&lt;=2019,D1106&gt;=2010),"10"),"1908-1970")</f>
        <v>1908-1970</v>
      </c>
      <c r="F1106" s="3">
        <v>0.40277777777777773</v>
      </c>
      <c r="G1106" t="s">
        <v>9782</v>
      </c>
      <c r="H1106" t="s">
        <v>9570</v>
      </c>
      <c r="I1106" t="s">
        <v>28931</v>
      </c>
      <c r="J1106" t="s">
        <v>9783</v>
      </c>
      <c r="K1106" t="s">
        <v>7640</v>
      </c>
      <c r="L1106" s="7" t="s">
        <v>9784</v>
      </c>
      <c r="M1106">
        <v>2382</v>
      </c>
      <c r="N1106">
        <v>15</v>
      </c>
      <c r="O1106">
        <v>13</v>
      </c>
      <c r="P1106">
        <v>2</v>
      </c>
      <c r="Q1106">
        <v>15</v>
      </c>
      <c r="R1106">
        <v>13</v>
      </c>
      <c r="S1106">
        <v>2</v>
      </c>
      <c r="T1106">
        <v>0</v>
      </c>
      <c r="U1106" t="s">
        <v>9785</v>
      </c>
      <c r="V1106">
        <f>Tabla1[[#This Row],[Aboard]]-Tabla1[[#This Row],[Fatalities]]</f>
        <v>0</v>
      </c>
      <c r="W1106" s="50">
        <f>IFERROR(Tabla1[[#This Row],[Fatalities]]/Tabla1[[#This Row],[Aboard]],0)</f>
        <v>1</v>
      </c>
      <c r="X1106" s="51" t="str" cm="1">
        <f t="array" ref="X1106">_xlfn.IFS(Tabla1[[#This Row],[Porcentaje de muertes]]&lt;0.35,"LEVE",AND(Tabla1[[#This Row],[Porcentaje de muertes]]&gt;0.35,Tabla1[[#This Row],[Porcentaje de muertes]]&lt;0.65),"MEDIO",Tabla1[[#This Row],[Porcentaje de muertes]]&gt;0.65,"GRAVE")</f>
        <v>GRAVE</v>
      </c>
    </row>
    <row r="1107" spans="2:24" x14ac:dyDescent="0.3">
      <c r="B1107" s="9">
        <v>1105</v>
      </c>
      <c r="C1107" s="49">
        <v>18017</v>
      </c>
      <c r="D1107" s="9">
        <f>YEAR(Tabla1[[#This Row],[Date]])</f>
        <v>1949</v>
      </c>
      <c r="E1107" s="9" t="str" cm="1">
        <f t="array" ref="E1107">IFERROR(_xlfn.IFS(AND(D1107&lt;1980,D1107&gt;=1970),"70",AND(D1107&lt;1990,D1107&gt;=1980),"80",AND(D1107&lt;2000,D1107&gt;=1990),"90",AND(D1107&lt;2010,D1107&gt;=2000),"00",AND(D1107&lt;=2019,D1107&gt;=2010),"10"),"1908-1970")</f>
        <v>1908-1970</v>
      </c>
      <c r="F1107" s="3">
        <v>0.51388888888888895</v>
      </c>
      <c r="G1107" t="s">
        <v>9786</v>
      </c>
      <c r="H1107" t="s">
        <v>6541</v>
      </c>
      <c r="I1107" t="s">
        <v>28931</v>
      </c>
      <c r="J1107" t="s">
        <v>9787</v>
      </c>
      <c r="K1107" t="s">
        <v>8569</v>
      </c>
      <c r="L1107" s="7" t="s">
        <v>9788</v>
      </c>
      <c r="M1107" t="s">
        <v>28931</v>
      </c>
      <c r="N1107">
        <v>24</v>
      </c>
      <c r="O1107">
        <v>18</v>
      </c>
      <c r="P1107">
        <v>6</v>
      </c>
      <c r="Q1107">
        <v>14</v>
      </c>
      <c r="R1107">
        <v>11</v>
      </c>
      <c r="S1107">
        <v>3</v>
      </c>
      <c r="T1107">
        <v>0</v>
      </c>
      <c r="U1107" t="s">
        <v>9789</v>
      </c>
      <c r="V1107">
        <f>Tabla1[[#This Row],[Aboard]]-Tabla1[[#This Row],[Fatalities]]</f>
        <v>10</v>
      </c>
      <c r="W1107" s="50">
        <f>IFERROR(Tabla1[[#This Row],[Fatalities]]/Tabla1[[#This Row],[Aboard]],0)</f>
        <v>0.58333333333333337</v>
      </c>
      <c r="X1107" s="51" t="str" cm="1">
        <f t="array" ref="X1107">_xlfn.IFS(Tabla1[[#This Row],[Porcentaje de muertes]]&lt;0.35,"LEVE",AND(Tabla1[[#This Row],[Porcentaje de muertes]]&gt;0.35,Tabla1[[#This Row],[Porcentaje de muertes]]&lt;0.65),"MEDIO",Tabla1[[#This Row],[Porcentaje de muertes]]&gt;0.65,"GRAVE")</f>
        <v>MEDIO</v>
      </c>
    </row>
    <row r="1108" spans="2:24" x14ac:dyDescent="0.3">
      <c r="B1108" s="9">
        <v>1106</v>
      </c>
      <c r="C1108" s="49">
        <v>17993</v>
      </c>
      <c r="D1108" s="9">
        <f>YEAR(Tabla1[[#This Row],[Date]])</f>
        <v>1949</v>
      </c>
      <c r="E1108" s="9" t="str" cm="1">
        <f t="array" ref="E1108">IFERROR(_xlfn.IFS(AND(D1108&lt;1980,D1108&gt;=1970),"70",AND(D1108&lt;1990,D1108&gt;=1980),"80",AND(D1108&lt;2000,D1108&gt;=1990),"90",AND(D1108&lt;2010,D1108&gt;=2000),"00",AND(D1108&lt;=2019,D1108&gt;=2010),"10"),"1908-1970")</f>
        <v>1908-1970</v>
      </c>
      <c r="F1108" s="3">
        <v>0.71111111111111114</v>
      </c>
      <c r="G1108" t="s">
        <v>9790</v>
      </c>
      <c r="H1108" t="s">
        <v>6796</v>
      </c>
      <c r="I1108" t="s">
        <v>28931</v>
      </c>
      <c r="J1108" t="s">
        <v>9791</v>
      </c>
      <c r="K1108" t="s">
        <v>9792</v>
      </c>
      <c r="L1108" s="7" t="s">
        <v>9793</v>
      </c>
      <c r="M1108">
        <v>5</v>
      </c>
      <c r="N1108">
        <v>31</v>
      </c>
      <c r="O1108">
        <v>27</v>
      </c>
      <c r="P1108">
        <v>4</v>
      </c>
      <c r="Q1108">
        <v>31</v>
      </c>
      <c r="R1108">
        <v>27</v>
      </c>
      <c r="S1108">
        <v>4</v>
      </c>
      <c r="T1108">
        <v>0</v>
      </c>
      <c r="U1108" t="s">
        <v>9794</v>
      </c>
      <c r="V1108">
        <f>Tabla1[[#This Row],[Aboard]]-Tabla1[[#This Row],[Fatalities]]</f>
        <v>0</v>
      </c>
      <c r="W1108" s="50">
        <f>IFERROR(Tabla1[[#This Row],[Fatalities]]/Tabla1[[#This Row],[Aboard]],0)</f>
        <v>1</v>
      </c>
      <c r="X1108" s="51" t="str" cm="1">
        <f t="array" ref="X1108">_xlfn.IFS(Tabla1[[#This Row],[Porcentaje de muertes]]&lt;0.35,"LEVE",AND(Tabla1[[#This Row],[Porcentaje de muertes]]&gt;0.35,Tabla1[[#This Row],[Porcentaje de muertes]]&lt;0.65),"MEDIO",Tabla1[[#This Row],[Porcentaje de muertes]]&gt;0.65,"GRAVE")</f>
        <v>GRAVE</v>
      </c>
    </row>
    <row r="1109" spans="2:24" x14ac:dyDescent="0.3">
      <c r="B1109" s="9">
        <v>1107</v>
      </c>
      <c r="C1109" s="49">
        <v>17993</v>
      </c>
      <c r="D1109" s="9">
        <f>YEAR(Tabla1[[#This Row],[Date]])</f>
        <v>1949</v>
      </c>
      <c r="E1109" s="9" t="str" cm="1">
        <f t="array" ref="E1109">IFERROR(_xlfn.IFS(AND(D1109&lt;1980,D1109&gt;=1970),"70",AND(D1109&lt;1990,D1109&gt;=1980),"80",AND(D1109&lt;2000,D1109&gt;=1990),"90",AND(D1109&lt;2010,D1109&gt;=2000),"00",AND(D1109&lt;=2019,D1109&gt;=2010),"10"),"1908-1970")</f>
        <v>1908-1970</v>
      </c>
      <c r="F1109" s="3">
        <v>0.50694444444444442</v>
      </c>
      <c r="G1109" t="s">
        <v>9795</v>
      </c>
      <c r="H1109" t="s">
        <v>9796</v>
      </c>
      <c r="I1109" t="s">
        <v>28931</v>
      </c>
      <c r="J1109" t="s">
        <v>9797</v>
      </c>
      <c r="K1109" t="s">
        <v>9798</v>
      </c>
      <c r="L1109" s="7" t="s">
        <v>9799</v>
      </c>
      <c r="M1109" t="s">
        <v>28931</v>
      </c>
      <c r="N1109">
        <v>7</v>
      </c>
      <c r="O1109">
        <v>0</v>
      </c>
      <c r="P1109">
        <v>7</v>
      </c>
      <c r="Q1109">
        <v>7</v>
      </c>
      <c r="R1109">
        <v>0</v>
      </c>
      <c r="S1109">
        <v>7</v>
      </c>
      <c r="T1109">
        <v>0</v>
      </c>
      <c r="U1109" t="s">
        <v>9800</v>
      </c>
      <c r="V1109">
        <f>Tabla1[[#This Row],[Aboard]]-Tabla1[[#This Row],[Fatalities]]</f>
        <v>0</v>
      </c>
      <c r="W1109" s="50">
        <f>IFERROR(Tabla1[[#This Row],[Fatalities]]/Tabla1[[#This Row],[Aboard]],0)</f>
        <v>1</v>
      </c>
      <c r="X1109" s="51" t="str" cm="1">
        <f t="array" ref="X1109">_xlfn.IFS(Tabla1[[#This Row],[Porcentaje de muertes]]&lt;0.35,"LEVE",AND(Tabla1[[#This Row],[Porcentaje de muertes]]&gt;0.35,Tabla1[[#This Row],[Porcentaje de muertes]]&lt;0.65),"MEDIO",Tabla1[[#This Row],[Porcentaje de muertes]]&gt;0.65,"GRAVE")</f>
        <v>GRAVE</v>
      </c>
    </row>
    <row r="1110" spans="2:24" x14ac:dyDescent="0.3">
      <c r="B1110" s="9">
        <v>1108</v>
      </c>
      <c r="C1110" s="49">
        <v>18084</v>
      </c>
      <c r="D1110" s="9">
        <f>YEAR(Tabla1[[#This Row],[Date]])</f>
        <v>1949</v>
      </c>
      <c r="E1110" s="9" t="str" cm="1">
        <f t="array" ref="E1110">IFERROR(_xlfn.IFS(AND(D1110&lt;1980,D1110&gt;=1970),"70",AND(D1110&lt;1990,D1110&gt;=1980),"80",AND(D1110&lt;2000,D1110&gt;=1990),"90",AND(D1110&lt;2010,D1110&gt;=2000),"00",AND(D1110&lt;=2019,D1110&gt;=2010),"10"),"1908-1970")</f>
        <v>1908-1970</v>
      </c>
      <c r="F1110" s="3">
        <v>0.66666666666666663</v>
      </c>
      <c r="G1110" t="s">
        <v>9801</v>
      </c>
      <c r="H1110" t="s">
        <v>8992</v>
      </c>
      <c r="I1110" t="s">
        <v>28931</v>
      </c>
      <c r="J1110" t="s">
        <v>9802</v>
      </c>
      <c r="K1110" t="s">
        <v>7057</v>
      </c>
      <c r="L1110" s="7" t="s">
        <v>9803</v>
      </c>
      <c r="M1110" t="s">
        <v>9804</v>
      </c>
      <c r="N1110">
        <v>13</v>
      </c>
      <c r="O1110">
        <v>10</v>
      </c>
      <c r="P1110">
        <v>3</v>
      </c>
      <c r="Q1110">
        <v>13</v>
      </c>
      <c r="R1110">
        <v>10</v>
      </c>
      <c r="S1110">
        <v>3</v>
      </c>
      <c r="T1110">
        <v>0</v>
      </c>
      <c r="U1110" t="s">
        <v>9805</v>
      </c>
      <c r="V1110">
        <f>Tabla1[[#This Row],[Aboard]]-Tabla1[[#This Row],[Fatalities]]</f>
        <v>0</v>
      </c>
      <c r="W1110" s="50">
        <f>IFERROR(Tabla1[[#This Row],[Fatalities]]/Tabla1[[#This Row],[Aboard]],0)</f>
        <v>1</v>
      </c>
      <c r="X1110" s="51" t="str" cm="1">
        <f t="array" ref="X1110">_xlfn.IFS(Tabla1[[#This Row],[Porcentaje de muertes]]&lt;0.35,"LEVE",AND(Tabla1[[#This Row],[Porcentaje de muertes]]&gt;0.35,Tabla1[[#This Row],[Porcentaje de muertes]]&lt;0.65),"MEDIO",Tabla1[[#This Row],[Porcentaje de muertes]]&gt;0.65,"GRAVE")</f>
        <v>GRAVE</v>
      </c>
    </row>
    <row r="1111" spans="2:24" x14ac:dyDescent="0.3">
      <c r="B1111" s="9">
        <v>1109</v>
      </c>
      <c r="C1111" s="49">
        <v>18031</v>
      </c>
      <c r="D1111" s="9">
        <f>YEAR(Tabla1[[#This Row],[Date]])</f>
        <v>1949</v>
      </c>
      <c r="E1111" s="9" t="str" cm="1">
        <f t="array" ref="E1111">IFERROR(_xlfn.IFS(AND(D1111&lt;1980,D1111&gt;=1970),"70",AND(D1111&lt;1990,D1111&gt;=1980),"80",AND(D1111&lt;2000,D1111&gt;=1990),"90",AND(D1111&lt;2010,D1111&gt;=2000),"00",AND(D1111&lt;=2019,D1111&gt;=2010),"10"),"1908-1970")</f>
        <v>1908-1970</v>
      </c>
      <c r="F1111" s="3">
        <v>0.59027777777777779</v>
      </c>
      <c r="G1111" t="s">
        <v>9806</v>
      </c>
      <c r="H1111" t="s">
        <v>6541</v>
      </c>
      <c r="I1111" t="s">
        <v>28931</v>
      </c>
      <c r="J1111" t="s">
        <v>9807</v>
      </c>
      <c r="K1111" t="s">
        <v>9305</v>
      </c>
      <c r="L1111" s="7" t="s">
        <v>9808</v>
      </c>
      <c r="M1111">
        <v>93013208</v>
      </c>
      <c r="N1111">
        <v>25</v>
      </c>
      <c r="O1111">
        <v>20</v>
      </c>
      <c r="P1111">
        <v>5</v>
      </c>
      <c r="Q1111">
        <v>25</v>
      </c>
      <c r="R1111">
        <v>20</v>
      </c>
      <c r="S1111">
        <v>5</v>
      </c>
      <c r="T1111">
        <v>0</v>
      </c>
      <c r="U1111" t="s">
        <v>9809</v>
      </c>
      <c r="V1111">
        <f>Tabla1[[#This Row],[Aboard]]-Tabla1[[#This Row],[Fatalities]]</f>
        <v>0</v>
      </c>
      <c r="W1111" s="50">
        <f>IFERROR(Tabla1[[#This Row],[Fatalities]]/Tabla1[[#This Row],[Aboard]],0)</f>
        <v>1</v>
      </c>
      <c r="X1111" s="51" t="str" cm="1">
        <f t="array" ref="X1111">_xlfn.IFS(Tabla1[[#This Row],[Porcentaje de muertes]]&lt;0.35,"LEVE",AND(Tabla1[[#This Row],[Porcentaje de muertes]]&gt;0.35,Tabla1[[#This Row],[Porcentaje de muertes]]&lt;0.65),"MEDIO",Tabla1[[#This Row],[Porcentaje de muertes]]&gt;0.65,"GRAVE")</f>
        <v>GRAVE</v>
      </c>
    </row>
    <row r="1112" spans="2:24" x14ac:dyDescent="0.3">
      <c r="B1112" s="9">
        <v>1110</v>
      </c>
      <c r="C1112" s="49">
        <v>18055</v>
      </c>
      <c r="D1112" s="9">
        <f>YEAR(Tabla1[[#This Row],[Date]])</f>
        <v>1949</v>
      </c>
      <c r="E1112" s="9" t="str" cm="1">
        <f t="array" ref="E1112">IFERROR(_xlfn.IFS(AND(D1112&lt;1980,D1112&gt;=1970),"70",AND(D1112&lt;1990,D1112&gt;=1980),"80",AND(D1112&lt;2000,D1112&gt;=1990),"90",AND(D1112&lt;2010,D1112&gt;=2000),"00",AND(D1112&lt;=2019,D1112&gt;=2010),"10"),"1908-1970")</f>
        <v>1908-1970</v>
      </c>
      <c r="F1112" s="3">
        <v>0.79166666666666663</v>
      </c>
      <c r="G1112" t="s">
        <v>9810</v>
      </c>
      <c r="H1112" t="s">
        <v>9811</v>
      </c>
      <c r="I1112" t="s">
        <v>28931</v>
      </c>
      <c r="J1112" t="s">
        <v>9812</v>
      </c>
      <c r="K1112" t="s">
        <v>7057</v>
      </c>
      <c r="L1112" s="7" t="s">
        <v>9813</v>
      </c>
      <c r="M1112">
        <v>12162</v>
      </c>
      <c r="N1112">
        <v>22</v>
      </c>
      <c r="O1112">
        <v>18</v>
      </c>
      <c r="P1112">
        <v>4</v>
      </c>
      <c r="Q1112">
        <v>22</v>
      </c>
      <c r="R1112">
        <v>18</v>
      </c>
      <c r="S1112">
        <v>4</v>
      </c>
      <c r="T1112">
        <v>0</v>
      </c>
      <c r="U1112" t="s">
        <v>9814</v>
      </c>
      <c r="V1112">
        <f>Tabla1[[#This Row],[Aboard]]-Tabla1[[#This Row],[Fatalities]]</f>
        <v>0</v>
      </c>
      <c r="W1112" s="50">
        <f>IFERROR(Tabla1[[#This Row],[Fatalities]]/Tabla1[[#This Row],[Aboard]],0)</f>
        <v>1</v>
      </c>
      <c r="X1112" s="51" t="str" cm="1">
        <f t="array" ref="X1112">_xlfn.IFS(Tabla1[[#This Row],[Porcentaje de muertes]]&lt;0.35,"LEVE",AND(Tabla1[[#This Row],[Porcentaje de muertes]]&gt;0.35,Tabla1[[#This Row],[Porcentaje de muertes]]&lt;0.65),"MEDIO",Tabla1[[#This Row],[Porcentaje de muertes]]&gt;0.65,"GRAVE")</f>
        <v>GRAVE</v>
      </c>
    </row>
    <row r="1113" spans="2:24" x14ac:dyDescent="0.3">
      <c r="B1113" s="9">
        <v>1111</v>
      </c>
      <c r="C1113" s="49">
        <v>18085</v>
      </c>
      <c r="D1113" s="9">
        <f>YEAR(Tabla1[[#This Row],[Date]])</f>
        <v>1949</v>
      </c>
      <c r="E1113" s="9" t="str" cm="1">
        <f t="array" ref="E1113">IFERROR(_xlfn.IFS(AND(D1113&lt;1980,D1113&gt;=1970),"70",AND(D1113&lt;1990,D1113&gt;=1980),"80",AND(D1113&lt;2000,D1113&gt;=1990),"90",AND(D1113&lt;2010,D1113&gt;=2000),"00",AND(D1113&lt;=2019,D1113&gt;=2010),"10"),"1908-1970")</f>
        <v>1908-1970</v>
      </c>
      <c r="F1113" s="3">
        <v>0.58333333333333337</v>
      </c>
      <c r="G1113" t="s">
        <v>9815</v>
      </c>
      <c r="H1113" t="s">
        <v>9398</v>
      </c>
      <c r="I1113" t="s">
        <v>28931</v>
      </c>
      <c r="J1113" t="s">
        <v>9816</v>
      </c>
      <c r="K1113" t="s">
        <v>8465</v>
      </c>
      <c r="L1113" s="7" t="s">
        <v>9817</v>
      </c>
      <c r="M1113" t="s">
        <v>28931</v>
      </c>
      <c r="N1113">
        <v>27</v>
      </c>
      <c r="O1113">
        <v>21</v>
      </c>
      <c r="P1113">
        <v>6</v>
      </c>
      <c r="Q1113">
        <v>27</v>
      </c>
      <c r="R1113">
        <v>21</v>
      </c>
      <c r="S1113">
        <v>6</v>
      </c>
      <c r="T1113">
        <v>0</v>
      </c>
      <c r="U1113" t="s">
        <v>9818</v>
      </c>
      <c r="V1113">
        <f>Tabla1[[#This Row],[Aboard]]-Tabla1[[#This Row],[Fatalities]]</f>
        <v>0</v>
      </c>
      <c r="W1113" s="50">
        <f>IFERROR(Tabla1[[#This Row],[Fatalities]]/Tabla1[[#This Row],[Aboard]],0)</f>
        <v>1</v>
      </c>
      <c r="X1113" s="51" t="str" cm="1">
        <f t="array" ref="X1113">_xlfn.IFS(Tabla1[[#This Row],[Porcentaje de muertes]]&lt;0.35,"LEVE",AND(Tabla1[[#This Row],[Porcentaje de muertes]]&gt;0.35,Tabla1[[#This Row],[Porcentaje de muertes]]&lt;0.65),"MEDIO",Tabla1[[#This Row],[Porcentaje de muertes]]&gt;0.65,"GRAVE")</f>
        <v>GRAVE</v>
      </c>
    </row>
    <row r="1114" spans="2:24" x14ac:dyDescent="0.3">
      <c r="B1114" s="9">
        <v>1112</v>
      </c>
      <c r="C1114" s="49">
        <v>18085</v>
      </c>
      <c r="D1114" s="9">
        <f>YEAR(Tabla1[[#This Row],[Date]])</f>
        <v>1949</v>
      </c>
      <c r="E1114" s="9" t="str" cm="1">
        <f t="array" ref="E1114">IFERROR(_xlfn.IFS(AND(D1114&lt;1980,D1114&gt;=1970),"70",AND(D1114&lt;1990,D1114&gt;=1980),"80",AND(D1114&lt;2000,D1114&gt;=1990),"90",AND(D1114&lt;2010,D1114&gt;=2000),"00",AND(D1114&lt;=2019,D1114&gt;=2010),"10"),"1908-1970")</f>
        <v>1908-1970</v>
      </c>
      <c r="F1114" s="3">
        <v>1.7361111111111112E-2</v>
      </c>
      <c r="G1114" t="s">
        <v>7687</v>
      </c>
      <c r="H1114" t="s">
        <v>9819</v>
      </c>
      <c r="I1114" t="s">
        <v>28931</v>
      </c>
      <c r="J1114" t="s">
        <v>9687</v>
      </c>
      <c r="K1114" t="s">
        <v>9820</v>
      </c>
      <c r="L1114" s="7" t="s">
        <v>9821</v>
      </c>
      <c r="M1114">
        <v>30506</v>
      </c>
      <c r="N1114">
        <v>81</v>
      </c>
      <c r="O1114">
        <v>75</v>
      </c>
      <c r="P1114">
        <v>6</v>
      </c>
      <c r="Q1114">
        <v>53</v>
      </c>
      <c r="R1114">
        <v>52</v>
      </c>
      <c r="S1114">
        <v>1</v>
      </c>
      <c r="T1114">
        <v>0</v>
      </c>
      <c r="U1114" t="s">
        <v>9822</v>
      </c>
      <c r="V1114">
        <f>Tabla1[[#This Row],[Aboard]]-Tabla1[[#This Row],[Fatalities]]</f>
        <v>28</v>
      </c>
      <c r="W1114" s="50">
        <f>IFERROR(Tabla1[[#This Row],[Fatalities]]/Tabla1[[#This Row],[Aboard]],0)</f>
        <v>0.65432098765432101</v>
      </c>
      <c r="X1114" s="51" t="str" cm="1">
        <f t="array" ref="X1114">_xlfn.IFS(Tabla1[[#This Row],[Porcentaje de muertes]]&lt;0.35,"LEVE",AND(Tabla1[[#This Row],[Porcentaje de muertes]]&gt;0.35,Tabla1[[#This Row],[Porcentaje de muertes]]&lt;0.65),"MEDIO",Tabla1[[#This Row],[Porcentaje de muertes]]&gt;0.65,"GRAVE")</f>
        <v>GRAVE</v>
      </c>
    </row>
    <row r="1115" spans="2:24" x14ac:dyDescent="0.3">
      <c r="B1115" s="9">
        <v>1113</v>
      </c>
      <c r="C1115" s="49">
        <v>18072</v>
      </c>
      <c r="D1115" s="9">
        <f>YEAR(Tabla1[[#This Row],[Date]])</f>
        <v>1949</v>
      </c>
      <c r="E1115" s="9" t="str" cm="1">
        <f t="array" ref="E1115">IFERROR(_xlfn.IFS(AND(D1115&lt;1980,D1115&gt;=1970),"70",AND(D1115&lt;1990,D1115&gt;=1980),"80",AND(D1115&lt;2000,D1115&gt;=1990),"90",AND(D1115&lt;2010,D1115&gt;=2000),"00",AND(D1115&lt;=2019,D1115&gt;=2010),"10"),"1908-1970")</f>
        <v>1908-1970</v>
      </c>
      <c r="F1115" s="3">
        <v>0.4548611111111111</v>
      </c>
      <c r="G1115" t="s">
        <v>9823</v>
      </c>
      <c r="H1115" t="s">
        <v>5332</v>
      </c>
      <c r="I1115" t="s">
        <v>28931</v>
      </c>
      <c r="J1115" t="s">
        <v>9824</v>
      </c>
      <c r="K1115" t="s">
        <v>9825</v>
      </c>
      <c r="L1115" s="7" t="s">
        <v>9826</v>
      </c>
      <c r="M1115">
        <v>2541</v>
      </c>
      <c r="N1115">
        <v>33</v>
      </c>
      <c r="O1115">
        <v>23</v>
      </c>
      <c r="P1115">
        <v>10</v>
      </c>
      <c r="Q1115">
        <v>33</v>
      </c>
      <c r="R1115">
        <v>23</v>
      </c>
      <c r="S1115">
        <v>10</v>
      </c>
      <c r="T1115">
        <v>0</v>
      </c>
      <c r="U1115" t="s">
        <v>9827</v>
      </c>
      <c r="V1115">
        <f>Tabla1[[#This Row],[Aboard]]-Tabla1[[#This Row],[Fatalities]]</f>
        <v>0</v>
      </c>
      <c r="W1115" s="50">
        <f>IFERROR(Tabla1[[#This Row],[Fatalities]]/Tabla1[[#This Row],[Aboard]],0)</f>
        <v>1</v>
      </c>
      <c r="X1115" s="51" t="str" cm="1">
        <f t="array" ref="X1115">_xlfn.IFS(Tabla1[[#This Row],[Porcentaje de muertes]]&lt;0.35,"LEVE",AND(Tabla1[[#This Row],[Porcentaje de muertes]]&gt;0.35,Tabla1[[#This Row],[Porcentaje de muertes]]&lt;0.65),"MEDIO",Tabla1[[#This Row],[Porcentaje de muertes]]&gt;0.65,"GRAVE")</f>
        <v>GRAVE</v>
      </c>
    </row>
    <row r="1116" spans="2:24" x14ac:dyDescent="0.3">
      <c r="B1116" s="9">
        <v>1114</v>
      </c>
      <c r="C1116" s="49">
        <v>17936</v>
      </c>
      <c r="D1116" s="9">
        <f>YEAR(Tabla1[[#This Row],[Date]])</f>
        <v>1949</v>
      </c>
      <c r="E1116" s="9" t="str" cm="1">
        <f t="array" ref="E1116">IFERROR(_xlfn.IFS(AND(D1116&lt;1980,D1116&gt;=1970),"70",AND(D1116&lt;1990,D1116&gt;=1980),"80",AND(D1116&lt;2000,D1116&gt;=1990),"90",AND(D1116&lt;2010,D1116&gt;=2000),"00",AND(D1116&lt;=2019,D1116&gt;=2010),"10"),"1908-1970")</f>
        <v>1908-1970</v>
      </c>
      <c r="F1116" s="3">
        <v>9.375E-2</v>
      </c>
      <c r="G1116" t="s">
        <v>9828</v>
      </c>
      <c r="H1116" t="s">
        <v>9829</v>
      </c>
      <c r="I1116" t="s">
        <v>28931</v>
      </c>
      <c r="J1116" t="s">
        <v>9830</v>
      </c>
      <c r="K1116" t="s">
        <v>9831</v>
      </c>
      <c r="L1116" s="7" t="s">
        <v>9832</v>
      </c>
      <c r="M1116">
        <v>9350</v>
      </c>
      <c r="N1116">
        <v>18</v>
      </c>
      <c r="O1116">
        <v>14</v>
      </c>
      <c r="P1116">
        <v>4</v>
      </c>
      <c r="Q1116">
        <v>18</v>
      </c>
      <c r="R1116">
        <v>14</v>
      </c>
      <c r="S1116">
        <v>4</v>
      </c>
      <c r="T1116">
        <v>0</v>
      </c>
      <c r="U1116" t="s">
        <v>9833</v>
      </c>
      <c r="V1116">
        <f>Tabla1[[#This Row],[Aboard]]-Tabla1[[#This Row],[Fatalities]]</f>
        <v>0</v>
      </c>
      <c r="W1116" s="50">
        <f>IFERROR(Tabla1[[#This Row],[Fatalities]]/Tabla1[[#This Row],[Aboard]],0)</f>
        <v>1</v>
      </c>
      <c r="X1116" s="51" t="str" cm="1">
        <f t="array" ref="X1116">_xlfn.IFS(Tabla1[[#This Row],[Porcentaje de muertes]]&lt;0.35,"LEVE",AND(Tabla1[[#This Row],[Porcentaje de muertes]]&gt;0.35,Tabla1[[#This Row],[Porcentaje de muertes]]&lt;0.65),"MEDIO",Tabla1[[#This Row],[Porcentaje de muertes]]&gt;0.65,"GRAVE")</f>
        <v>GRAVE</v>
      </c>
    </row>
    <row r="1117" spans="2:24" x14ac:dyDescent="0.3">
      <c r="B1117" s="9">
        <v>1115</v>
      </c>
      <c r="C1117" s="49">
        <v>18239</v>
      </c>
      <c r="D1117" s="9">
        <f>YEAR(Tabla1[[#This Row],[Date]])</f>
        <v>1949</v>
      </c>
      <c r="E1117" s="9" t="str" cm="1">
        <f t="array" ref="E1117">IFERROR(_xlfn.IFS(AND(D1117&lt;1980,D1117&gt;=1970),"70",AND(D1117&lt;1990,D1117&gt;=1980),"80",AND(D1117&lt;2000,D1117&gt;=1990),"90",AND(D1117&lt;2010,D1117&gt;=2000),"00",AND(D1117&lt;=2019,D1117&gt;=2010),"10"),"1908-1970")</f>
        <v>1908-1970</v>
      </c>
      <c r="F1117" s="3">
        <v>0.3215277777777778</v>
      </c>
      <c r="G1117" t="s">
        <v>9834</v>
      </c>
      <c r="H1117" t="s">
        <v>9835</v>
      </c>
      <c r="I1117" t="s">
        <v>9836</v>
      </c>
      <c r="J1117" t="s">
        <v>9837</v>
      </c>
      <c r="K1117" t="s">
        <v>9838</v>
      </c>
      <c r="L1117" s="7" t="s">
        <v>9839</v>
      </c>
      <c r="M1117">
        <v>2936</v>
      </c>
      <c r="N1117">
        <v>48</v>
      </c>
      <c r="O1117">
        <v>44</v>
      </c>
      <c r="P1117">
        <v>4</v>
      </c>
      <c r="Q1117">
        <v>35</v>
      </c>
      <c r="R1117">
        <v>32</v>
      </c>
      <c r="S1117">
        <v>3</v>
      </c>
      <c r="T1117">
        <v>0</v>
      </c>
      <c r="U1117" t="s">
        <v>9840</v>
      </c>
      <c r="V1117">
        <f>Tabla1[[#This Row],[Aboard]]-Tabla1[[#This Row],[Fatalities]]</f>
        <v>13</v>
      </c>
      <c r="W1117" s="50">
        <f>IFERROR(Tabla1[[#This Row],[Fatalities]]/Tabla1[[#This Row],[Aboard]],0)</f>
        <v>0.72916666666666663</v>
      </c>
      <c r="X1117" s="51" t="str" cm="1">
        <f t="array" ref="X1117">_xlfn.IFS(Tabla1[[#This Row],[Porcentaje de muertes]]&lt;0.35,"LEVE",AND(Tabla1[[#This Row],[Porcentaje de muertes]]&gt;0.35,Tabla1[[#This Row],[Porcentaje de muertes]]&lt;0.65),"MEDIO",Tabla1[[#This Row],[Porcentaje de muertes]]&gt;0.65,"GRAVE")</f>
        <v>GRAVE</v>
      </c>
    </row>
    <row r="1118" spans="2:24" x14ac:dyDescent="0.3">
      <c r="B1118" s="9">
        <v>1116</v>
      </c>
      <c r="C1118" s="49">
        <v>18239</v>
      </c>
      <c r="D1118" s="9">
        <f>YEAR(Tabla1[[#This Row],[Date]])</f>
        <v>1949</v>
      </c>
      <c r="E1118" s="9" t="str" cm="1">
        <f t="array" ref="E1118">IFERROR(_xlfn.IFS(AND(D1118&lt;1980,D1118&gt;=1970),"70",AND(D1118&lt;1990,D1118&gt;=1980),"80",AND(D1118&lt;2000,D1118&gt;=1990),"90",AND(D1118&lt;2010,D1118&gt;=2000),"00",AND(D1118&lt;=2019,D1118&gt;=2010),"10"),"1908-1970")</f>
        <v>1908-1970</v>
      </c>
      <c r="F1118" s="3">
        <v>0.15972222222222224</v>
      </c>
      <c r="G1118" t="s">
        <v>9841</v>
      </c>
      <c r="H1118" t="s">
        <v>5332</v>
      </c>
      <c r="I1118" t="s">
        <v>28931</v>
      </c>
      <c r="J1118" t="s">
        <v>9842</v>
      </c>
      <c r="K1118" t="s">
        <v>9843</v>
      </c>
      <c r="L1118" s="7" t="s">
        <v>9844</v>
      </c>
      <c r="M1118">
        <v>2558</v>
      </c>
      <c r="N1118">
        <v>45</v>
      </c>
      <c r="O1118">
        <v>34</v>
      </c>
      <c r="P1118">
        <v>11</v>
      </c>
      <c r="Q1118">
        <v>45</v>
      </c>
      <c r="R1118">
        <v>34</v>
      </c>
      <c r="S1118">
        <v>11</v>
      </c>
      <c r="T1118">
        <v>0</v>
      </c>
      <c r="U1118" t="s">
        <v>9845</v>
      </c>
      <c r="V1118">
        <f>Tabla1[[#This Row],[Aboard]]-Tabla1[[#This Row],[Fatalities]]</f>
        <v>0</v>
      </c>
      <c r="W1118" s="50">
        <f>IFERROR(Tabla1[[#This Row],[Fatalities]]/Tabla1[[#This Row],[Aboard]],0)</f>
        <v>1</v>
      </c>
      <c r="X1118" s="51" t="str" cm="1">
        <f t="array" ref="X1118">_xlfn.IFS(Tabla1[[#This Row],[Porcentaje de muertes]]&lt;0.35,"LEVE",AND(Tabla1[[#This Row],[Porcentaje de muertes]]&gt;0.35,Tabla1[[#This Row],[Porcentaje de muertes]]&lt;0.65),"MEDIO",Tabla1[[#This Row],[Porcentaje de muertes]]&gt;0.65,"GRAVE")</f>
        <v>GRAVE</v>
      </c>
    </row>
    <row r="1119" spans="2:24" x14ac:dyDescent="0.3">
      <c r="B1119" s="9">
        <v>1117</v>
      </c>
      <c r="C1119" s="49">
        <v>18092</v>
      </c>
      <c r="D1119" s="9">
        <f>YEAR(Tabla1[[#This Row],[Date]])</f>
        <v>1949</v>
      </c>
      <c r="E1119" s="9" t="str" cm="1">
        <f t="array" ref="E1119">IFERROR(_xlfn.IFS(AND(D1119&lt;1980,D1119&gt;=1970),"70",AND(D1119&lt;1990,D1119&gt;=1980),"80",AND(D1119&lt;2000,D1119&gt;=1990),"90",AND(D1119&lt;2010,D1119&gt;=2000),"00",AND(D1119&lt;=2019,D1119&gt;=2010),"10"),"1908-1970")</f>
        <v>1908-1970</v>
      </c>
      <c r="F1119" s="3" t="s">
        <v>28931</v>
      </c>
      <c r="G1119" t="s">
        <v>9846</v>
      </c>
      <c r="H1119" t="s">
        <v>6544</v>
      </c>
      <c r="I1119" t="s">
        <v>28931</v>
      </c>
      <c r="J1119" t="s">
        <v>6190</v>
      </c>
      <c r="K1119" t="s">
        <v>9847</v>
      </c>
      <c r="L1119" s="7" t="s">
        <v>28931</v>
      </c>
      <c r="M1119" t="s">
        <v>28931</v>
      </c>
      <c r="N1119">
        <v>0</v>
      </c>
      <c r="O1119">
        <v>1</v>
      </c>
      <c r="P1119">
        <v>1</v>
      </c>
      <c r="Q1119">
        <v>0</v>
      </c>
      <c r="R1119">
        <v>1</v>
      </c>
      <c r="S1119">
        <v>1</v>
      </c>
      <c r="T1119">
        <v>14</v>
      </c>
      <c r="U1119" t="s">
        <v>9848</v>
      </c>
      <c r="V1119">
        <f>Tabla1[[#This Row],[Aboard]]-Tabla1[[#This Row],[Fatalities]]</f>
        <v>0</v>
      </c>
      <c r="W1119" s="50">
        <f>IFERROR(Tabla1[[#This Row],[Fatalities]]/Tabla1[[#This Row],[Aboard]],0)</f>
        <v>0</v>
      </c>
      <c r="X1119" s="51" t="str" cm="1">
        <f t="array" ref="X1119">_xlfn.IFS(Tabla1[[#This Row],[Porcentaje de muertes]]&lt;0.35,"LEVE",AND(Tabla1[[#This Row],[Porcentaje de muertes]]&gt;0.35,Tabla1[[#This Row],[Porcentaje de muertes]]&lt;0.65),"MEDIO",Tabla1[[#This Row],[Porcentaje de muertes]]&gt;0.65,"GRAVE")</f>
        <v>LEVE</v>
      </c>
    </row>
    <row r="1120" spans="2:24" x14ac:dyDescent="0.3">
      <c r="B1120" s="9">
        <v>1118</v>
      </c>
      <c r="C1120" s="49">
        <v>18098</v>
      </c>
      <c r="D1120" s="9">
        <f>YEAR(Tabla1[[#This Row],[Date]])</f>
        <v>1949</v>
      </c>
      <c r="E1120" s="9" t="str" cm="1">
        <f t="array" ref="E1120">IFERROR(_xlfn.IFS(AND(D1120&lt;1980,D1120&gt;=1970),"70",AND(D1120&lt;1990,D1120&gt;=1980),"80",AND(D1120&lt;2000,D1120&gt;=1990),"90",AND(D1120&lt;2010,D1120&gt;=2000),"00",AND(D1120&lt;=2019,D1120&gt;=2010),"10"),"1908-1970")</f>
        <v>1908-1970</v>
      </c>
      <c r="F1120" s="3">
        <v>0.87569444444444444</v>
      </c>
      <c r="G1120" t="s">
        <v>7915</v>
      </c>
      <c r="H1120" t="s">
        <v>9849</v>
      </c>
      <c r="I1120" t="s">
        <v>28931</v>
      </c>
      <c r="J1120" t="s">
        <v>9850</v>
      </c>
      <c r="K1120" t="s">
        <v>9851</v>
      </c>
      <c r="L1120" s="7" t="s">
        <v>9852</v>
      </c>
      <c r="M1120">
        <v>22463</v>
      </c>
      <c r="N1120">
        <v>32</v>
      </c>
      <c r="O1120">
        <v>28</v>
      </c>
      <c r="P1120">
        <v>4</v>
      </c>
      <c r="Q1120">
        <v>2</v>
      </c>
      <c r="R1120">
        <v>2</v>
      </c>
      <c r="S1120">
        <v>0</v>
      </c>
      <c r="T1120">
        <v>4</v>
      </c>
      <c r="U1120" t="s">
        <v>9853</v>
      </c>
      <c r="V1120">
        <f>Tabla1[[#This Row],[Aboard]]-Tabla1[[#This Row],[Fatalities]]</f>
        <v>30</v>
      </c>
      <c r="W1120" s="50">
        <f>IFERROR(Tabla1[[#This Row],[Fatalities]]/Tabla1[[#This Row],[Aboard]],0)</f>
        <v>6.25E-2</v>
      </c>
      <c r="X1120" s="51" t="str" cm="1">
        <f t="array" ref="X1120">_xlfn.IFS(Tabla1[[#This Row],[Porcentaje de muertes]]&lt;0.35,"LEVE",AND(Tabla1[[#This Row],[Porcentaje de muertes]]&gt;0.35,Tabla1[[#This Row],[Porcentaje de muertes]]&lt;0.65),"MEDIO",Tabla1[[#This Row],[Porcentaje de muertes]]&gt;0.65,"GRAVE")</f>
        <v>LEVE</v>
      </c>
    </row>
    <row r="1121" spans="2:24" x14ac:dyDescent="0.3">
      <c r="B1121" s="9">
        <v>1119</v>
      </c>
      <c r="C1121" s="49">
        <v>18100</v>
      </c>
      <c r="D1121" s="9">
        <f>YEAR(Tabla1[[#This Row],[Date]])</f>
        <v>1949</v>
      </c>
      <c r="E1121" s="9" t="str" cm="1">
        <f t="array" ref="E1121">IFERROR(_xlfn.IFS(AND(D1121&lt;1980,D1121&gt;=1970),"70",AND(D1121&lt;1990,D1121&gt;=1980),"80",AND(D1121&lt;2000,D1121&gt;=1990),"90",AND(D1121&lt;2010,D1121&gt;=2000),"00",AND(D1121&lt;=2019,D1121&gt;=2010),"10"),"1908-1970")</f>
        <v>1908-1970</v>
      </c>
      <c r="F1121" s="3">
        <v>0.4826388888888889</v>
      </c>
      <c r="G1121" t="s">
        <v>9854</v>
      </c>
      <c r="H1121" t="s">
        <v>6541</v>
      </c>
      <c r="I1121">
        <v>5</v>
      </c>
      <c r="J1121" t="s">
        <v>9855</v>
      </c>
      <c r="K1121" t="s">
        <v>9305</v>
      </c>
      <c r="L1121" s="7" t="s">
        <v>9856</v>
      </c>
      <c r="M1121">
        <v>83012811</v>
      </c>
      <c r="N1121">
        <v>14</v>
      </c>
      <c r="O1121">
        <v>8</v>
      </c>
      <c r="P1121">
        <v>6</v>
      </c>
      <c r="Q1121">
        <v>13</v>
      </c>
      <c r="R1121">
        <v>8</v>
      </c>
      <c r="S1121">
        <v>5</v>
      </c>
      <c r="T1121">
        <v>0</v>
      </c>
      <c r="U1121" t="s">
        <v>9857</v>
      </c>
      <c r="V1121">
        <f>Tabla1[[#This Row],[Aboard]]-Tabla1[[#This Row],[Fatalities]]</f>
        <v>1</v>
      </c>
      <c r="W1121" s="50">
        <f>IFERROR(Tabla1[[#This Row],[Fatalities]]/Tabla1[[#This Row],[Aboard]],0)</f>
        <v>0.9285714285714286</v>
      </c>
      <c r="X1121" s="51" t="str" cm="1">
        <f t="array" ref="X1121">_xlfn.IFS(Tabla1[[#This Row],[Porcentaje de muertes]]&lt;0.35,"LEVE",AND(Tabla1[[#This Row],[Porcentaje de muertes]]&gt;0.35,Tabla1[[#This Row],[Porcentaje de muertes]]&lt;0.65),"MEDIO",Tabla1[[#This Row],[Porcentaje de muertes]]&gt;0.65,"GRAVE")</f>
        <v>GRAVE</v>
      </c>
    </row>
    <row r="1122" spans="2:24" x14ac:dyDescent="0.3">
      <c r="B1122" s="9">
        <v>1120</v>
      </c>
      <c r="C1122" s="49">
        <v>18109</v>
      </c>
      <c r="D1122" s="9">
        <f>YEAR(Tabla1[[#This Row],[Date]])</f>
        <v>1949</v>
      </c>
      <c r="E1122" s="9" t="str" cm="1">
        <f t="array" ref="E1122">IFERROR(_xlfn.IFS(AND(D1122&lt;1980,D1122&gt;=1970),"70",AND(D1122&lt;1990,D1122&gt;=1980),"80",AND(D1122&lt;2000,D1122&gt;=1990),"90",AND(D1122&lt;2010,D1122&gt;=2000),"00",AND(D1122&lt;=2019,D1122&gt;=2010),"10"),"1908-1970")</f>
        <v>1908-1970</v>
      </c>
      <c r="F1122" s="3">
        <v>0.44791666666666669</v>
      </c>
      <c r="G1122" t="s">
        <v>9858</v>
      </c>
      <c r="H1122" t="s">
        <v>9859</v>
      </c>
      <c r="I1122">
        <v>557</v>
      </c>
      <c r="J1122" t="s">
        <v>9860</v>
      </c>
      <c r="K1122" t="s">
        <v>9861</v>
      </c>
      <c r="L1122" s="7" t="s">
        <v>9862</v>
      </c>
      <c r="M1122" t="s">
        <v>9863</v>
      </c>
      <c r="N1122">
        <v>16</v>
      </c>
      <c r="O1122">
        <v>12</v>
      </c>
      <c r="P1122">
        <v>4</v>
      </c>
      <c r="Q1122">
        <v>16</v>
      </c>
      <c r="R1122">
        <v>12</v>
      </c>
      <c r="S1122">
        <v>4</v>
      </c>
      <c r="T1122">
        <v>0</v>
      </c>
      <c r="U1122" t="s">
        <v>9864</v>
      </c>
      <c r="V1122">
        <f>Tabla1[[#This Row],[Aboard]]-Tabla1[[#This Row],[Fatalities]]</f>
        <v>0</v>
      </c>
      <c r="W1122" s="50">
        <f>IFERROR(Tabla1[[#This Row],[Fatalities]]/Tabla1[[#This Row],[Aboard]],0)</f>
        <v>1</v>
      </c>
      <c r="X1122" s="51" t="str" cm="1">
        <f t="array" ref="X1122">_xlfn.IFS(Tabla1[[#This Row],[Porcentaje de muertes]]&lt;0.35,"LEVE",AND(Tabla1[[#This Row],[Porcentaje de muertes]]&gt;0.35,Tabla1[[#This Row],[Porcentaje de muertes]]&lt;0.65),"MEDIO",Tabla1[[#This Row],[Porcentaje de muertes]]&gt;0.65,"GRAVE")</f>
        <v>GRAVE</v>
      </c>
    </row>
    <row r="1123" spans="2:24" x14ac:dyDescent="0.3">
      <c r="B1123" s="9">
        <v>1121</v>
      </c>
      <c r="C1123" s="49">
        <v>17937</v>
      </c>
      <c r="D1123" s="9">
        <f>YEAR(Tabla1[[#This Row],[Date]])</f>
        <v>1949</v>
      </c>
      <c r="E1123" s="9" t="str" cm="1">
        <f t="array" ref="E1123">IFERROR(_xlfn.IFS(AND(D1123&lt;1980,D1123&gt;=1970),"70",AND(D1123&lt;1990,D1123&gt;=1980),"80",AND(D1123&lt;2000,D1123&gt;=1990),"90",AND(D1123&lt;2010,D1123&gt;=2000),"00",AND(D1123&lt;=2019,D1123&gt;=2010),"10"),"1908-1970")</f>
        <v>1908-1970</v>
      </c>
      <c r="F1123" s="3">
        <v>0.47916666666666669</v>
      </c>
      <c r="G1123" t="s">
        <v>9865</v>
      </c>
      <c r="H1123" t="s">
        <v>8118</v>
      </c>
      <c r="I1123" t="s">
        <v>28931</v>
      </c>
      <c r="J1123" t="s">
        <v>9866</v>
      </c>
      <c r="K1123" t="s">
        <v>8702</v>
      </c>
      <c r="L1123" s="7" t="s">
        <v>9867</v>
      </c>
      <c r="M1123">
        <v>33100</v>
      </c>
      <c r="N1123">
        <v>36</v>
      </c>
      <c r="O1123">
        <v>30</v>
      </c>
      <c r="P1123">
        <v>6</v>
      </c>
      <c r="Q1123">
        <v>5</v>
      </c>
      <c r="R1123">
        <v>4</v>
      </c>
      <c r="S1123">
        <v>1</v>
      </c>
      <c r="T1123">
        <v>0</v>
      </c>
      <c r="U1123" t="s">
        <v>9868</v>
      </c>
      <c r="V1123">
        <f>Tabla1[[#This Row],[Aboard]]-Tabla1[[#This Row],[Fatalities]]</f>
        <v>31</v>
      </c>
      <c r="W1123" s="50">
        <f>IFERROR(Tabla1[[#This Row],[Fatalities]]/Tabla1[[#This Row],[Aboard]],0)</f>
        <v>0.1388888888888889</v>
      </c>
      <c r="X1123" s="51" t="str" cm="1">
        <f t="array" ref="X1123">_xlfn.IFS(Tabla1[[#This Row],[Porcentaje de muertes]]&lt;0.35,"LEVE",AND(Tabla1[[#This Row],[Porcentaje de muertes]]&gt;0.35,Tabla1[[#This Row],[Porcentaje de muertes]]&lt;0.65),"MEDIO",Tabla1[[#This Row],[Porcentaje de muertes]]&gt;0.65,"GRAVE")</f>
        <v>LEVE</v>
      </c>
    </row>
    <row r="1124" spans="2:24" x14ac:dyDescent="0.3">
      <c r="B1124" s="9">
        <v>1122</v>
      </c>
      <c r="C1124" s="49">
        <v>17965</v>
      </c>
      <c r="D1124" s="9">
        <f>YEAR(Tabla1[[#This Row],[Date]])</f>
        <v>1949</v>
      </c>
      <c r="E1124" s="9" t="str" cm="1">
        <f t="array" ref="E1124">IFERROR(_xlfn.IFS(AND(D1124&lt;1980,D1124&gt;=1970),"70",AND(D1124&lt;1990,D1124&gt;=1980),"80",AND(D1124&lt;2000,D1124&gt;=1990),"90",AND(D1124&lt;2010,D1124&gt;=2000),"00",AND(D1124&lt;=2019,D1124&gt;=2010),"10"),"1908-1970")</f>
        <v>1908-1970</v>
      </c>
      <c r="F1124" s="3" t="s">
        <v>28931</v>
      </c>
      <c r="G1124" t="s">
        <v>9869</v>
      </c>
      <c r="H1124" t="s">
        <v>9870</v>
      </c>
      <c r="I1124" t="s">
        <v>28931</v>
      </c>
      <c r="J1124" t="s">
        <v>28931</v>
      </c>
      <c r="K1124" t="s">
        <v>7057</v>
      </c>
      <c r="L1124" s="7" t="s">
        <v>9871</v>
      </c>
      <c r="M1124">
        <v>9971</v>
      </c>
      <c r="N1124">
        <v>30</v>
      </c>
      <c r="O1124" t="s">
        <v>5038</v>
      </c>
      <c r="P1124" t="s">
        <v>5038</v>
      </c>
      <c r="Q1124">
        <v>5</v>
      </c>
      <c r="R1124" t="s">
        <v>5038</v>
      </c>
      <c r="S1124" t="s">
        <v>5038</v>
      </c>
      <c r="T1124">
        <v>0</v>
      </c>
      <c r="U1124" t="s">
        <v>9872</v>
      </c>
      <c r="V1124">
        <f>Tabla1[[#This Row],[Aboard]]-Tabla1[[#This Row],[Fatalities]]</f>
        <v>25</v>
      </c>
      <c r="W1124" s="50">
        <f>IFERROR(Tabla1[[#This Row],[Fatalities]]/Tabla1[[#This Row],[Aboard]],0)</f>
        <v>0.16666666666666666</v>
      </c>
      <c r="X1124" s="51" t="str" cm="1">
        <f t="array" ref="X1124">_xlfn.IFS(Tabla1[[#This Row],[Porcentaje de muertes]]&lt;0.35,"LEVE",AND(Tabla1[[#This Row],[Porcentaje de muertes]]&gt;0.35,Tabla1[[#This Row],[Porcentaje de muertes]]&lt;0.65),"MEDIO",Tabla1[[#This Row],[Porcentaje de muertes]]&gt;0.65,"GRAVE")</f>
        <v>LEVE</v>
      </c>
    </row>
    <row r="1125" spans="2:24" x14ac:dyDescent="0.3">
      <c r="B1125" s="9">
        <v>1123</v>
      </c>
      <c r="C1125" s="49">
        <v>18057</v>
      </c>
      <c r="D1125" s="9">
        <f>YEAR(Tabla1[[#This Row],[Date]])</f>
        <v>1949</v>
      </c>
      <c r="E1125" s="9" t="str" cm="1">
        <f t="array" ref="E1125">IFERROR(_xlfn.IFS(AND(D1125&lt;1980,D1125&gt;=1970),"70",AND(D1125&lt;1990,D1125&gt;=1980),"80",AND(D1125&lt;2000,D1125&gt;=1990),"90",AND(D1125&lt;2010,D1125&gt;=2000),"00",AND(D1125&lt;=2019,D1125&gt;=2010),"10"),"1908-1970")</f>
        <v>1908-1970</v>
      </c>
      <c r="F1125" s="3" t="s">
        <v>28931</v>
      </c>
      <c r="G1125" t="s">
        <v>9873</v>
      </c>
      <c r="H1125" t="s">
        <v>9874</v>
      </c>
      <c r="I1125" t="s">
        <v>28931</v>
      </c>
      <c r="J1125" t="s">
        <v>9875</v>
      </c>
      <c r="K1125" t="s">
        <v>9876</v>
      </c>
      <c r="L1125" s="7" t="s">
        <v>9877</v>
      </c>
      <c r="M1125">
        <v>12739</v>
      </c>
      <c r="N1125">
        <v>34</v>
      </c>
      <c r="O1125">
        <v>31</v>
      </c>
      <c r="P1125">
        <v>3</v>
      </c>
      <c r="Q1125">
        <v>34</v>
      </c>
      <c r="R1125">
        <v>31</v>
      </c>
      <c r="S1125">
        <v>3</v>
      </c>
      <c r="T1125">
        <v>0</v>
      </c>
      <c r="U1125" t="s">
        <v>9878</v>
      </c>
      <c r="V1125">
        <f>Tabla1[[#This Row],[Aboard]]-Tabla1[[#This Row],[Fatalities]]</f>
        <v>0</v>
      </c>
      <c r="W1125" s="50">
        <f>IFERROR(Tabla1[[#This Row],[Fatalities]]/Tabla1[[#This Row],[Aboard]],0)</f>
        <v>1</v>
      </c>
      <c r="X1125" s="51" t="str" cm="1">
        <f t="array" ref="X1125">_xlfn.IFS(Tabla1[[#This Row],[Porcentaje de muertes]]&lt;0.35,"LEVE",AND(Tabla1[[#This Row],[Porcentaje de muertes]]&gt;0.35,Tabla1[[#This Row],[Porcentaje de muertes]]&lt;0.65),"MEDIO",Tabla1[[#This Row],[Porcentaje de muertes]]&gt;0.65,"GRAVE")</f>
        <v>GRAVE</v>
      </c>
    </row>
    <row r="1126" spans="2:24" x14ac:dyDescent="0.3">
      <c r="B1126" s="9">
        <v>1124</v>
      </c>
      <c r="C1126" s="49">
        <v>18149</v>
      </c>
      <c r="D1126" s="9">
        <f>YEAR(Tabla1[[#This Row],[Date]])</f>
        <v>1949</v>
      </c>
      <c r="E1126" s="9" t="str" cm="1">
        <f t="array" ref="E1126">IFERROR(_xlfn.IFS(AND(D1126&lt;1980,D1126&gt;=1970),"70",AND(D1126&lt;1990,D1126&gt;=1980),"80",AND(D1126&lt;2000,D1126&gt;=1990),"90",AND(D1126&lt;2010,D1126&gt;=2000),"00",AND(D1126&lt;=2019,D1126&gt;=2010),"10"),"1908-1970")</f>
        <v>1908-1970</v>
      </c>
      <c r="F1126" s="3" t="s">
        <v>28931</v>
      </c>
      <c r="G1126" t="s">
        <v>9879</v>
      </c>
      <c r="H1126" t="s">
        <v>7665</v>
      </c>
      <c r="I1126" t="s">
        <v>28931</v>
      </c>
      <c r="J1126" t="s">
        <v>28931</v>
      </c>
      <c r="K1126" t="s">
        <v>8465</v>
      </c>
      <c r="L1126" s="7" t="s">
        <v>9880</v>
      </c>
      <c r="M1126" t="s">
        <v>9881</v>
      </c>
      <c r="N1126">
        <v>12</v>
      </c>
      <c r="O1126" t="s">
        <v>5038</v>
      </c>
      <c r="P1126" t="s">
        <v>5038</v>
      </c>
      <c r="Q1126">
        <v>12</v>
      </c>
      <c r="R1126" t="s">
        <v>5038</v>
      </c>
      <c r="S1126" t="s">
        <v>5038</v>
      </c>
      <c r="T1126">
        <v>0</v>
      </c>
      <c r="U1126" t="s">
        <v>9882</v>
      </c>
      <c r="V1126">
        <f>Tabla1[[#This Row],[Aboard]]-Tabla1[[#This Row],[Fatalities]]</f>
        <v>0</v>
      </c>
      <c r="W1126" s="50">
        <f>IFERROR(Tabla1[[#This Row],[Fatalities]]/Tabla1[[#This Row],[Aboard]],0)</f>
        <v>1</v>
      </c>
      <c r="X1126" s="51" t="str" cm="1">
        <f t="array" ref="X1126">_xlfn.IFS(Tabla1[[#This Row],[Porcentaje de muertes]]&lt;0.35,"LEVE",AND(Tabla1[[#This Row],[Porcentaje de muertes]]&gt;0.35,Tabla1[[#This Row],[Porcentaje de muertes]]&lt;0.65),"MEDIO",Tabla1[[#This Row],[Porcentaje de muertes]]&gt;0.65,"GRAVE")</f>
        <v>GRAVE</v>
      </c>
    </row>
    <row r="1127" spans="2:24" x14ac:dyDescent="0.3">
      <c r="B1127" s="9">
        <v>1125</v>
      </c>
      <c r="C1127" s="49">
        <v>18123</v>
      </c>
      <c r="D1127" s="9">
        <f>YEAR(Tabla1[[#This Row],[Date]])</f>
        <v>1949</v>
      </c>
      <c r="E1127" s="9" t="str" cm="1">
        <f t="array" ref="E1127">IFERROR(_xlfn.IFS(AND(D1127&lt;1980,D1127&gt;=1970),"70",AND(D1127&lt;1990,D1127&gt;=1980),"80",AND(D1127&lt;2000,D1127&gt;=1990),"90",AND(D1127&lt;2010,D1127&gt;=2000),"00",AND(D1127&lt;=2019,D1127&gt;=2010),"10"),"1908-1970")</f>
        <v>1908-1970</v>
      </c>
      <c r="F1127" s="3">
        <v>0.5625</v>
      </c>
      <c r="G1127" t="s">
        <v>9027</v>
      </c>
      <c r="H1127" t="s">
        <v>9883</v>
      </c>
      <c r="I1127" t="s">
        <v>28931</v>
      </c>
      <c r="J1127" t="s">
        <v>9884</v>
      </c>
      <c r="K1127" t="s">
        <v>7826</v>
      </c>
      <c r="L1127" s="7" t="s">
        <v>9885</v>
      </c>
      <c r="M1127" t="s">
        <v>28931</v>
      </c>
      <c r="N1127">
        <v>32</v>
      </c>
      <c r="O1127">
        <v>29</v>
      </c>
      <c r="P1127">
        <v>3</v>
      </c>
      <c r="Q1127">
        <v>32</v>
      </c>
      <c r="R1127">
        <v>29</v>
      </c>
      <c r="S1127">
        <v>3</v>
      </c>
      <c r="T1127">
        <v>0</v>
      </c>
      <c r="U1127" t="s">
        <v>9886</v>
      </c>
      <c r="V1127">
        <f>Tabla1[[#This Row],[Aboard]]-Tabla1[[#This Row],[Fatalities]]</f>
        <v>0</v>
      </c>
      <c r="W1127" s="50">
        <f>IFERROR(Tabla1[[#This Row],[Fatalities]]/Tabla1[[#This Row],[Aboard]],0)</f>
        <v>1</v>
      </c>
      <c r="X1127" s="51" t="str" cm="1">
        <f t="array" ref="X1127">_xlfn.IFS(Tabla1[[#This Row],[Porcentaje de muertes]]&lt;0.35,"LEVE",AND(Tabla1[[#This Row],[Porcentaje de muertes]]&gt;0.35,Tabla1[[#This Row],[Porcentaje de muertes]]&lt;0.65),"MEDIO",Tabla1[[#This Row],[Porcentaje de muertes]]&gt;0.65,"GRAVE")</f>
        <v>GRAVE</v>
      </c>
    </row>
    <row r="1128" spans="2:24" x14ac:dyDescent="0.3">
      <c r="B1128" s="9">
        <v>1126</v>
      </c>
      <c r="C1128" s="49">
        <v>18125</v>
      </c>
      <c r="D1128" s="9">
        <f>YEAR(Tabla1[[#This Row],[Date]])</f>
        <v>1949</v>
      </c>
      <c r="E1128" s="9" t="str" cm="1">
        <f t="array" ref="E1128">IFERROR(_xlfn.IFS(AND(D1128&lt;1980,D1128&gt;=1970),"70",AND(D1128&lt;1990,D1128&gt;=1980),"80",AND(D1128&lt;2000,D1128&gt;=1990),"90",AND(D1128&lt;2010,D1128&gt;=2000),"00",AND(D1128&lt;=2019,D1128&gt;=2010),"10"),"1908-1970")</f>
        <v>1908-1970</v>
      </c>
      <c r="F1128" s="3">
        <v>0.15277777777777776</v>
      </c>
      <c r="G1128" t="s">
        <v>9887</v>
      </c>
      <c r="H1128" t="s">
        <v>9888</v>
      </c>
      <c r="I1128" t="s">
        <v>28931</v>
      </c>
      <c r="J1128" t="s">
        <v>9889</v>
      </c>
      <c r="K1128" t="s">
        <v>9890</v>
      </c>
      <c r="L1128" s="7" t="s">
        <v>9891</v>
      </c>
      <c r="M1128">
        <v>3076</v>
      </c>
      <c r="N1128">
        <v>58</v>
      </c>
      <c r="O1128">
        <v>49</v>
      </c>
      <c r="P1128">
        <v>9</v>
      </c>
      <c r="Q1128">
        <v>8</v>
      </c>
      <c r="R1128">
        <v>7</v>
      </c>
      <c r="S1128">
        <v>1</v>
      </c>
      <c r="T1128">
        <v>0</v>
      </c>
      <c r="U1128" t="s">
        <v>9892</v>
      </c>
      <c r="V1128">
        <f>Tabla1[[#This Row],[Aboard]]-Tabla1[[#This Row],[Fatalities]]</f>
        <v>50</v>
      </c>
      <c r="W1128" s="50">
        <f>IFERROR(Tabla1[[#This Row],[Fatalities]]/Tabla1[[#This Row],[Aboard]],0)</f>
        <v>0.13793103448275862</v>
      </c>
      <c r="X1128" s="51" t="str" cm="1">
        <f t="array" ref="X1128">_xlfn.IFS(Tabla1[[#This Row],[Porcentaje de muertes]]&lt;0.35,"LEVE",AND(Tabla1[[#This Row],[Porcentaje de muertes]]&gt;0.35,Tabla1[[#This Row],[Porcentaje de muertes]]&lt;0.65),"MEDIO",Tabla1[[#This Row],[Porcentaje de muertes]]&gt;0.65,"GRAVE")</f>
        <v>LEVE</v>
      </c>
    </row>
    <row r="1129" spans="2:24" x14ac:dyDescent="0.3">
      <c r="B1129" s="9">
        <v>1127</v>
      </c>
      <c r="C1129" s="49">
        <v>18129</v>
      </c>
      <c r="D1129" s="9">
        <f>YEAR(Tabla1[[#This Row],[Date]])</f>
        <v>1949</v>
      </c>
      <c r="E1129" s="9" t="str" cm="1">
        <f t="array" ref="E1129">IFERROR(_xlfn.IFS(AND(D1129&lt;1980,D1129&gt;=1970),"70",AND(D1129&lt;1990,D1129&gt;=1980),"80",AND(D1129&lt;2000,D1129&gt;=1990),"90",AND(D1129&lt;2010,D1129&gt;=2000),"00",AND(D1129&lt;=2019,D1129&gt;=2010),"10"),"1908-1970")</f>
        <v>1908-1970</v>
      </c>
      <c r="F1129" s="3">
        <v>0.54305555555555551</v>
      </c>
      <c r="G1129" t="s">
        <v>9893</v>
      </c>
      <c r="H1129" t="s">
        <v>8721</v>
      </c>
      <c r="I1129" t="s">
        <v>28931</v>
      </c>
      <c r="J1129" t="s">
        <v>9894</v>
      </c>
      <c r="K1129" t="s">
        <v>7057</v>
      </c>
      <c r="L1129" s="7" t="s">
        <v>9895</v>
      </c>
      <c r="M1129">
        <v>12355</v>
      </c>
      <c r="N1129">
        <v>32</v>
      </c>
      <c r="O1129">
        <v>29</v>
      </c>
      <c r="P1129">
        <v>3</v>
      </c>
      <c r="Q1129">
        <v>24</v>
      </c>
      <c r="R1129">
        <v>21</v>
      </c>
      <c r="S1129">
        <v>3</v>
      </c>
      <c r="T1129">
        <v>0</v>
      </c>
      <c r="U1129" t="s">
        <v>9896</v>
      </c>
      <c r="V1129">
        <f>Tabla1[[#This Row],[Aboard]]-Tabla1[[#This Row],[Fatalities]]</f>
        <v>8</v>
      </c>
      <c r="W1129" s="50">
        <f>IFERROR(Tabla1[[#This Row],[Fatalities]]/Tabla1[[#This Row],[Aboard]],0)</f>
        <v>0.75</v>
      </c>
      <c r="X1129" s="51" t="str" cm="1">
        <f t="array" ref="X1129">_xlfn.IFS(Tabla1[[#This Row],[Porcentaje de muertes]]&lt;0.35,"LEVE",AND(Tabla1[[#This Row],[Porcentaje de muertes]]&gt;0.35,Tabla1[[#This Row],[Porcentaje de muertes]]&lt;0.65),"MEDIO",Tabla1[[#This Row],[Porcentaje de muertes]]&gt;0.65,"GRAVE")</f>
        <v>GRAVE</v>
      </c>
    </row>
    <row r="1130" spans="2:24" x14ac:dyDescent="0.3">
      <c r="B1130" s="9">
        <v>1128</v>
      </c>
      <c r="C1130" s="49">
        <v>18131</v>
      </c>
      <c r="D1130" s="9">
        <f>YEAR(Tabla1[[#This Row],[Date]])</f>
        <v>1949</v>
      </c>
      <c r="E1130" s="9" t="str" cm="1">
        <f t="array" ref="E1130">IFERROR(_xlfn.IFS(AND(D1130&lt;1980,D1130&gt;=1970),"70",AND(D1130&lt;1990,D1130&gt;=1980),"80",AND(D1130&lt;2000,D1130&gt;=1990),"90",AND(D1130&lt;2010,D1130&gt;=2000),"00",AND(D1130&lt;=2019,D1130&gt;=2010),"10"),"1908-1970")</f>
        <v>1908-1970</v>
      </c>
      <c r="F1130" s="3">
        <v>0.97916666666666663</v>
      </c>
      <c r="G1130" t="s">
        <v>9897</v>
      </c>
      <c r="H1130" t="s">
        <v>8021</v>
      </c>
      <c r="I1130" t="s">
        <v>28931</v>
      </c>
      <c r="J1130" t="s">
        <v>9898</v>
      </c>
      <c r="K1130" t="s">
        <v>9899</v>
      </c>
      <c r="L1130" s="7">
        <v>11057</v>
      </c>
      <c r="M1130" t="s">
        <v>28931</v>
      </c>
      <c r="N1130">
        <v>21</v>
      </c>
      <c r="O1130">
        <v>14</v>
      </c>
      <c r="P1130">
        <v>7</v>
      </c>
      <c r="Q1130">
        <v>21</v>
      </c>
      <c r="R1130">
        <v>14</v>
      </c>
      <c r="S1130">
        <v>7</v>
      </c>
      <c r="T1130">
        <v>0</v>
      </c>
      <c r="U1130" t="s">
        <v>9900</v>
      </c>
      <c r="V1130">
        <f>Tabla1[[#This Row],[Aboard]]-Tabla1[[#This Row],[Fatalities]]</f>
        <v>0</v>
      </c>
      <c r="W1130" s="50">
        <f>IFERROR(Tabla1[[#This Row],[Fatalities]]/Tabla1[[#This Row],[Aboard]],0)</f>
        <v>1</v>
      </c>
      <c r="X1130" s="51" t="str" cm="1">
        <f t="array" ref="X1130">_xlfn.IFS(Tabla1[[#This Row],[Porcentaje de muertes]]&lt;0.35,"LEVE",AND(Tabla1[[#This Row],[Porcentaje de muertes]]&gt;0.35,Tabla1[[#This Row],[Porcentaje de muertes]]&lt;0.65),"MEDIO",Tabla1[[#This Row],[Porcentaje de muertes]]&gt;0.65,"GRAVE")</f>
        <v>GRAVE</v>
      </c>
    </row>
    <row r="1131" spans="2:24" x14ac:dyDescent="0.3">
      <c r="B1131" s="9">
        <v>1129</v>
      </c>
      <c r="C1131" s="49">
        <v>18137</v>
      </c>
      <c r="D1131" s="9">
        <f>YEAR(Tabla1[[#This Row],[Date]])</f>
        <v>1949</v>
      </c>
      <c r="E1131" s="9" t="str" cm="1">
        <f t="array" ref="E1131">IFERROR(_xlfn.IFS(AND(D1131&lt;1980,D1131&gt;=1970),"70",AND(D1131&lt;1990,D1131&gt;=1980),"80",AND(D1131&lt;2000,D1131&gt;=1990),"90",AND(D1131&lt;2010,D1131&gt;=2000),"00",AND(D1131&lt;=2019,D1131&gt;=2010),"10"),"1908-1970")</f>
        <v>1908-1970</v>
      </c>
      <c r="F1131" s="3">
        <v>0.33333333333333331</v>
      </c>
      <c r="G1131" t="s">
        <v>9901</v>
      </c>
      <c r="H1131" t="s">
        <v>5957</v>
      </c>
      <c r="I1131" t="s">
        <v>28931</v>
      </c>
      <c r="J1131" t="s">
        <v>9902</v>
      </c>
      <c r="K1131" t="s">
        <v>8428</v>
      </c>
      <c r="L1131" s="7" t="s">
        <v>9903</v>
      </c>
      <c r="M1131" t="s">
        <v>9904</v>
      </c>
      <c r="N1131">
        <v>20</v>
      </c>
      <c r="O1131">
        <v>17</v>
      </c>
      <c r="P1131">
        <v>3</v>
      </c>
      <c r="Q1131">
        <v>5</v>
      </c>
      <c r="R1131">
        <v>3</v>
      </c>
      <c r="S1131">
        <v>2</v>
      </c>
      <c r="T1131">
        <v>0</v>
      </c>
      <c r="U1131" t="s">
        <v>9905</v>
      </c>
      <c r="V1131">
        <f>Tabla1[[#This Row],[Aboard]]-Tabla1[[#This Row],[Fatalities]]</f>
        <v>15</v>
      </c>
      <c r="W1131" s="50">
        <f>IFERROR(Tabla1[[#This Row],[Fatalities]]/Tabla1[[#This Row],[Aboard]],0)</f>
        <v>0.25</v>
      </c>
      <c r="X1131" s="51" t="str" cm="1">
        <f t="array" ref="X1131">_xlfn.IFS(Tabla1[[#This Row],[Porcentaje de muertes]]&lt;0.35,"LEVE",AND(Tabla1[[#This Row],[Porcentaje de muertes]]&gt;0.35,Tabla1[[#This Row],[Porcentaje de muertes]]&lt;0.65),"MEDIO",Tabla1[[#This Row],[Porcentaje de muertes]]&gt;0.65,"GRAVE")</f>
        <v>LEVE</v>
      </c>
    </row>
    <row r="1132" spans="2:24" x14ac:dyDescent="0.3">
      <c r="B1132" s="9">
        <v>1130</v>
      </c>
      <c r="C1132" s="49">
        <v>18150</v>
      </c>
      <c r="D1132" s="9">
        <f>YEAR(Tabla1[[#This Row],[Date]])</f>
        <v>1949</v>
      </c>
      <c r="E1132" s="9" t="str" cm="1">
        <f t="array" ref="E1132">IFERROR(_xlfn.IFS(AND(D1132&lt;1980,D1132&gt;=1970),"70",AND(D1132&lt;1990,D1132&gt;=1980),"80",AND(D1132&lt;2000,D1132&gt;=1990),"90",AND(D1132&lt;2010,D1132&gt;=2000),"00",AND(D1132&lt;=2019,D1132&gt;=2010),"10"),"1908-1970")</f>
        <v>1908-1970</v>
      </c>
      <c r="F1132" s="3">
        <v>0.44791666666666669</v>
      </c>
      <c r="G1132" t="s">
        <v>9906</v>
      </c>
      <c r="H1132" t="s">
        <v>7883</v>
      </c>
      <c r="I1132" t="s">
        <v>28931</v>
      </c>
      <c r="J1132" t="s">
        <v>9907</v>
      </c>
      <c r="K1132" t="s">
        <v>7057</v>
      </c>
      <c r="L1132" s="7" t="s">
        <v>9908</v>
      </c>
      <c r="M1132">
        <v>4518</v>
      </c>
      <c r="N1132">
        <v>23</v>
      </c>
      <c r="O1132">
        <v>19</v>
      </c>
      <c r="P1132">
        <v>4</v>
      </c>
      <c r="Q1132">
        <v>23</v>
      </c>
      <c r="R1132">
        <v>19</v>
      </c>
      <c r="S1132">
        <v>4</v>
      </c>
      <c r="T1132">
        <v>0</v>
      </c>
      <c r="U1132" t="s">
        <v>9909</v>
      </c>
      <c r="V1132">
        <f>Tabla1[[#This Row],[Aboard]]-Tabla1[[#This Row],[Fatalities]]</f>
        <v>0</v>
      </c>
      <c r="W1132" s="50">
        <f>IFERROR(Tabla1[[#This Row],[Fatalities]]/Tabla1[[#This Row],[Aboard]],0)</f>
        <v>1</v>
      </c>
      <c r="X1132" s="51" t="str" cm="1">
        <f t="array" ref="X1132">_xlfn.IFS(Tabla1[[#This Row],[Porcentaje de muertes]]&lt;0.35,"LEVE",AND(Tabla1[[#This Row],[Porcentaje de muertes]]&gt;0.35,Tabla1[[#This Row],[Porcentaje de muertes]]&lt;0.65),"MEDIO",Tabla1[[#This Row],[Porcentaje de muertes]]&gt;0.65,"GRAVE")</f>
        <v>GRAVE</v>
      </c>
    </row>
    <row r="1133" spans="2:24" x14ac:dyDescent="0.3">
      <c r="B1133" s="9">
        <v>1131</v>
      </c>
      <c r="C1133" s="49">
        <v>18167</v>
      </c>
      <c r="D1133" s="9">
        <f>YEAR(Tabla1[[#This Row],[Date]])</f>
        <v>1949</v>
      </c>
      <c r="E1133" s="9" t="str" cm="1">
        <f t="array" ref="E1133">IFERROR(_xlfn.IFS(AND(D1133&lt;1980,D1133&gt;=1970),"70",AND(D1133&lt;1990,D1133&gt;=1980),"80",AND(D1133&lt;2000,D1133&gt;=1990),"90",AND(D1133&lt;2010,D1133&gt;=2000),"00",AND(D1133&lt;=2019,D1133&gt;=2010),"10"),"1908-1970")</f>
        <v>1908-1970</v>
      </c>
      <c r="F1133" s="3">
        <v>0.5625</v>
      </c>
      <c r="G1133" t="s">
        <v>9910</v>
      </c>
      <c r="H1133" t="s">
        <v>5740</v>
      </c>
      <c r="I1133" t="s">
        <v>28931</v>
      </c>
      <c r="J1133" t="s">
        <v>9911</v>
      </c>
      <c r="K1133" t="s">
        <v>7057</v>
      </c>
      <c r="L1133" s="7" t="s">
        <v>9912</v>
      </c>
      <c r="M1133">
        <v>11725</v>
      </c>
      <c r="N1133">
        <v>24</v>
      </c>
      <c r="O1133">
        <v>21</v>
      </c>
      <c r="P1133">
        <v>3</v>
      </c>
      <c r="Q1133">
        <v>24</v>
      </c>
      <c r="R1133">
        <v>21</v>
      </c>
      <c r="S1133">
        <v>3</v>
      </c>
      <c r="T1133">
        <v>0</v>
      </c>
      <c r="U1133" t="s">
        <v>9913</v>
      </c>
      <c r="V1133">
        <f>Tabla1[[#This Row],[Aboard]]-Tabla1[[#This Row],[Fatalities]]</f>
        <v>0</v>
      </c>
      <c r="W1133" s="50">
        <f>IFERROR(Tabla1[[#This Row],[Fatalities]]/Tabla1[[#This Row],[Aboard]],0)</f>
        <v>1</v>
      </c>
      <c r="X1133" s="51" t="str" cm="1">
        <f t="array" ref="X1133">_xlfn.IFS(Tabla1[[#This Row],[Porcentaje de muertes]]&lt;0.35,"LEVE",AND(Tabla1[[#This Row],[Porcentaje de muertes]]&gt;0.35,Tabla1[[#This Row],[Porcentaje de muertes]]&lt;0.65),"MEDIO",Tabla1[[#This Row],[Porcentaje de muertes]]&gt;0.65,"GRAVE")</f>
        <v>GRAVE</v>
      </c>
    </row>
    <row r="1134" spans="2:24" x14ac:dyDescent="0.3">
      <c r="B1134" s="9">
        <v>1132</v>
      </c>
      <c r="C1134" s="49">
        <v>18168</v>
      </c>
      <c r="D1134" s="9">
        <f>YEAR(Tabla1[[#This Row],[Date]])</f>
        <v>1949</v>
      </c>
      <c r="E1134" s="9" t="str" cm="1">
        <f t="array" ref="E1134">IFERROR(_xlfn.IFS(AND(D1134&lt;1980,D1134&gt;=1970),"70",AND(D1134&lt;1990,D1134&gt;=1980),"80",AND(D1134&lt;2000,D1134&gt;=1990),"90",AND(D1134&lt;2010,D1134&gt;=2000),"00",AND(D1134&lt;=2019,D1134&gt;=2010),"10"),"1908-1970")</f>
        <v>1908-1970</v>
      </c>
      <c r="F1134" s="3" t="s">
        <v>28931</v>
      </c>
      <c r="G1134" t="s">
        <v>9914</v>
      </c>
      <c r="H1134" t="s">
        <v>9129</v>
      </c>
      <c r="I1134" t="s">
        <v>28931</v>
      </c>
      <c r="J1134" t="s">
        <v>28931</v>
      </c>
      <c r="K1134" t="s">
        <v>9915</v>
      </c>
      <c r="L1134" s="7" t="s">
        <v>9916</v>
      </c>
      <c r="M1134">
        <v>7445</v>
      </c>
      <c r="N1134">
        <v>27</v>
      </c>
      <c r="O1134">
        <v>20</v>
      </c>
      <c r="P1134">
        <v>7</v>
      </c>
      <c r="Q1134">
        <v>5</v>
      </c>
      <c r="R1134">
        <v>2</v>
      </c>
      <c r="S1134">
        <v>3</v>
      </c>
      <c r="T1134">
        <v>0</v>
      </c>
      <c r="U1134" t="s">
        <v>9917</v>
      </c>
      <c r="V1134">
        <f>Tabla1[[#This Row],[Aboard]]-Tabla1[[#This Row],[Fatalities]]</f>
        <v>22</v>
      </c>
      <c r="W1134" s="50">
        <f>IFERROR(Tabla1[[#This Row],[Fatalities]]/Tabla1[[#This Row],[Aboard]],0)</f>
        <v>0.18518518518518517</v>
      </c>
      <c r="X1134" s="51" t="str" cm="1">
        <f t="array" ref="X1134">_xlfn.IFS(Tabla1[[#This Row],[Porcentaje de muertes]]&lt;0.35,"LEVE",AND(Tabla1[[#This Row],[Porcentaje de muertes]]&gt;0.35,Tabla1[[#This Row],[Porcentaje de muertes]]&lt;0.65),"MEDIO",Tabla1[[#This Row],[Porcentaje de muertes]]&gt;0.65,"GRAVE")</f>
        <v>LEVE</v>
      </c>
    </row>
    <row r="1135" spans="2:24" x14ac:dyDescent="0.3">
      <c r="B1135" s="9">
        <v>1133</v>
      </c>
      <c r="C1135" s="49">
        <v>18151</v>
      </c>
      <c r="D1135" s="9">
        <f>YEAR(Tabla1[[#This Row],[Date]])</f>
        <v>1949</v>
      </c>
      <c r="E1135" s="9" t="str" cm="1">
        <f t="array" ref="E1135">IFERROR(_xlfn.IFS(AND(D1135&lt;1980,D1135&gt;=1970),"70",AND(D1135&lt;1990,D1135&gt;=1980),"80",AND(D1135&lt;2000,D1135&gt;=1990),"90",AND(D1135&lt;2010,D1135&gt;=2000),"00",AND(D1135&lt;=2019,D1135&gt;=2010),"10"),"1908-1970")</f>
        <v>1908-1970</v>
      </c>
      <c r="F1135" s="3" t="s">
        <v>28931</v>
      </c>
      <c r="G1135" t="s">
        <v>5287</v>
      </c>
      <c r="H1135" t="s">
        <v>9022</v>
      </c>
      <c r="I1135" s="5">
        <v>44784</v>
      </c>
      <c r="J1135" t="s">
        <v>9918</v>
      </c>
      <c r="K1135" t="s">
        <v>9838</v>
      </c>
      <c r="L1135" s="7" t="s">
        <v>9919</v>
      </c>
      <c r="M1135">
        <v>2939</v>
      </c>
      <c r="N1135">
        <v>4</v>
      </c>
      <c r="O1135">
        <v>2</v>
      </c>
      <c r="P1135">
        <v>2</v>
      </c>
      <c r="Q1135">
        <v>4</v>
      </c>
      <c r="R1135">
        <v>2</v>
      </c>
      <c r="S1135">
        <v>2</v>
      </c>
      <c r="T1135">
        <v>0</v>
      </c>
      <c r="U1135" t="s">
        <v>9920</v>
      </c>
      <c r="V1135">
        <f>Tabla1[[#This Row],[Aboard]]-Tabla1[[#This Row],[Fatalities]]</f>
        <v>0</v>
      </c>
      <c r="W1135" s="50">
        <f>IFERROR(Tabla1[[#This Row],[Fatalities]]/Tabla1[[#This Row],[Aboard]],0)</f>
        <v>1</v>
      </c>
      <c r="X1135" s="51" t="str" cm="1">
        <f t="array" ref="X1135">_xlfn.IFS(Tabla1[[#This Row],[Porcentaje de muertes]]&lt;0.35,"LEVE",AND(Tabla1[[#This Row],[Porcentaje de muertes]]&gt;0.35,Tabla1[[#This Row],[Porcentaje de muertes]]&lt;0.65),"MEDIO",Tabla1[[#This Row],[Porcentaje de muertes]]&gt;0.65,"GRAVE")</f>
        <v>GRAVE</v>
      </c>
    </row>
    <row r="1136" spans="2:24" x14ac:dyDescent="0.3">
      <c r="B1136" s="9">
        <v>1134</v>
      </c>
      <c r="C1136" s="49">
        <v>18199</v>
      </c>
      <c r="D1136" s="9">
        <f>YEAR(Tabla1[[#This Row],[Date]])</f>
        <v>1949</v>
      </c>
      <c r="E1136" s="9" t="str" cm="1">
        <f t="array" ref="E1136">IFERROR(_xlfn.IFS(AND(D1136&lt;1980,D1136&gt;=1970),"70",AND(D1136&lt;1990,D1136&gt;=1980),"80",AND(D1136&lt;2000,D1136&gt;=1990),"90",AND(D1136&lt;2010,D1136&gt;=2000),"00",AND(D1136&lt;=2019,D1136&gt;=2010),"10"),"1908-1970")</f>
        <v>1908-1970</v>
      </c>
      <c r="F1136" s="3">
        <v>0.11805555555555557</v>
      </c>
      <c r="G1136" t="s">
        <v>9921</v>
      </c>
      <c r="H1136" t="s">
        <v>6375</v>
      </c>
      <c r="I1136" t="s">
        <v>28931</v>
      </c>
      <c r="J1136" t="s">
        <v>9922</v>
      </c>
      <c r="K1136" t="s">
        <v>9825</v>
      </c>
      <c r="L1136" s="7" t="s">
        <v>9923</v>
      </c>
      <c r="M1136">
        <v>2546</v>
      </c>
      <c r="N1136">
        <v>48</v>
      </c>
      <c r="O1136">
        <v>37</v>
      </c>
      <c r="P1136">
        <v>11</v>
      </c>
      <c r="Q1136">
        <v>48</v>
      </c>
      <c r="R1136">
        <v>37</v>
      </c>
      <c r="S1136">
        <v>11</v>
      </c>
      <c r="T1136">
        <v>0</v>
      </c>
      <c r="U1136" t="s">
        <v>9924</v>
      </c>
      <c r="V1136">
        <f>Tabla1[[#This Row],[Aboard]]-Tabla1[[#This Row],[Fatalities]]</f>
        <v>0</v>
      </c>
      <c r="W1136" s="50">
        <f>IFERROR(Tabla1[[#This Row],[Fatalities]]/Tabla1[[#This Row],[Aboard]],0)</f>
        <v>1</v>
      </c>
      <c r="X1136" s="51" t="str" cm="1">
        <f t="array" ref="X1136">_xlfn.IFS(Tabla1[[#This Row],[Porcentaje de muertes]]&lt;0.35,"LEVE",AND(Tabla1[[#This Row],[Porcentaje de muertes]]&gt;0.35,Tabla1[[#This Row],[Porcentaje de muertes]]&lt;0.65),"MEDIO",Tabla1[[#This Row],[Porcentaje de muertes]]&gt;0.65,"GRAVE")</f>
        <v>GRAVE</v>
      </c>
    </row>
    <row r="1137" spans="2:24" x14ac:dyDescent="0.3">
      <c r="B1137" s="9">
        <v>1135</v>
      </c>
      <c r="C1137" s="49">
        <v>17909</v>
      </c>
      <c r="D1137" s="9">
        <f>YEAR(Tabla1[[#This Row],[Date]])</f>
        <v>1949</v>
      </c>
      <c r="E1137" s="9" t="str" cm="1">
        <f t="array" ref="E1137">IFERROR(_xlfn.IFS(AND(D1137&lt;1980,D1137&gt;=1970),"70",AND(D1137&lt;1990,D1137&gt;=1980),"80",AND(D1137&lt;2000,D1137&gt;=1990),"90",AND(D1137&lt;2010,D1137&gt;=2000),"00",AND(D1137&lt;=2019,D1137&gt;=2010),"10"),"1908-1970")</f>
        <v>1908-1970</v>
      </c>
      <c r="F1137" s="3">
        <v>0.48958333333333331</v>
      </c>
      <c r="G1137" t="s">
        <v>9925</v>
      </c>
      <c r="H1137" t="s">
        <v>9926</v>
      </c>
      <c r="I1137">
        <v>537</v>
      </c>
      <c r="J1137" t="s">
        <v>9927</v>
      </c>
      <c r="K1137" t="s">
        <v>9928</v>
      </c>
      <c r="L1137" s="7" t="s">
        <v>9929</v>
      </c>
      <c r="M1137" t="s">
        <v>9930</v>
      </c>
      <c r="N1137">
        <v>55</v>
      </c>
      <c r="O1137">
        <v>51</v>
      </c>
      <c r="P1137">
        <v>4</v>
      </c>
      <c r="Q1137">
        <v>55</v>
      </c>
      <c r="R1137">
        <v>51</v>
      </c>
      <c r="S1137">
        <v>4</v>
      </c>
      <c r="T1137">
        <v>0</v>
      </c>
      <c r="U1137" t="s">
        <v>9931</v>
      </c>
      <c r="V1137">
        <f>Tabla1[[#This Row],[Aboard]]-Tabla1[[#This Row],[Fatalities]]</f>
        <v>0</v>
      </c>
      <c r="W1137" s="50">
        <f>IFERROR(Tabla1[[#This Row],[Fatalities]]/Tabla1[[#This Row],[Aboard]],0)</f>
        <v>1</v>
      </c>
      <c r="X1137" s="51" t="str" cm="1">
        <f t="array" ref="X1137">_xlfn.IFS(Tabla1[[#This Row],[Porcentaje de muertes]]&lt;0.35,"LEVE",AND(Tabla1[[#This Row],[Porcentaje de muertes]]&gt;0.35,Tabla1[[#This Row],[Porcentaje de muertes]]&lt;0.65),"MEDIO",Tabla1[[#This Row],[Porcentaje de muertes]]&gt;0.65,"GRAVE")</f>
        <v>GRAVE</v>
      </c>
    </row>
    <row r="1138" spans="2:24" x14ac:dyDescent="0.3">
      <c r="B1138" s="9">
        <v>1136</v>
      </c>
      <c r="C1138" s="49">
        <v>17999</v>
      </c>
      <c r="D1138" s="9">
        <f>YEAR(Tabla1[[#This Row],[Date]])</f>
        <v>1949</v>
      </c>
      <c r="E1138" s="9" t="str" cm="1">
        <f t="array" ref="E1138">IFERROR(_xlfn.IFS(AND(D1138&lt;1980,D1138&gt;=1970),"70",AND(D1138&lt;1990,D1138&gt;=1980),"80",AND(D1138&lt;2000,D1138&gt;=1990),"90",AND(D1138&lt;2010,D1138&gt;=2000),"00",AND(D1138&lt;=2019,D1138&gt;=2010),"10"),"1908-1970")</f>
        <v>1908-1970</v>
      </c>
      <c r="F1138" s="3">
        <v>0.89861111111111114</v>
      </c>
      <c r="G1138" t="s">
        <v>9932</v>
      </c>
      <c r="H1138" t="s">
        <v>9933</v>
      </c>
      <c r="I1138" t="s">
        <v>28931</v>
      </c>
      <c r="J1138" t="s">
        <v>9934</v>
      </c>
      <c r="K1138" t="s">
        <v>7057</v>
      </c>
      <c r="L1138" s="7" t="s">
        <v>9935</v>
      </c>
      <c r="M1138">
        <v>4304</v>
      </c>
      <c r="N1138">
        <v>3</v>
      </c>
      <c r="O1138">
        <v>0</v>
      </c>
      <c r="P1138">
        <v>3</v>
      </c>
      <c r="Q1138">
        <v>3</v>
      </c>
      <c r="R1138">
        <v>0</v>
      </c>
      <c r="S1138">
        <v>3</v>
      </c>
      <c r="T1138">
        <v>0</v>
      </c>
      <c r="U1138" t="s">
        <v>9936</v>
      </c>
      <c r="V1138">
        <f>Tabla1[[#This Row],[Aboard]]-Tabla1[[#This Row],[Fatalities]]</f>
        <v>0</v>
      </c>
      <c r="W1138" s="50">
        <f>IFERROR(Tabla1[[#This Row],[Fatalities]]/Tabla1[[#This Row],[Aboard]],0)</f>
        <v>1</v>
      </c>
      <c r="X1138" s="51" t="str" cm="1">
        <f t="array" ref="X1138">_xlfn.IFS(Tabla1[[#This Row],[Porcentaje de muertes]]&lt;0.35,"LEVE",AND(Tabla1[[#This Row],[Porcentaje de muertes]]&gt;0.35,Tabla1[[#This Row],[Porcentaje de muertes]]&lt;0.65),"MEDIO",Tabla1[[#This Row],[Porcentaje de muertes]]&gt;0.65,"GRAVE")</f>
        <v>GRAVE</v>
      </c>
    </row>
    <row r="1139" spans="2:24" x14ac:dyDescent="0.3">
      <c r="B1139" s="9">
        <v>1137</v>
      </c>
      <c r="C1139" s="49">
        <v>18218</v>
      </c>
      <c r="D1139" s="9">
        <f>YEAR(Tabla1[[#This Row],[Date]])</f>
        <v>1949</v>
      </c>
      <c r="E1139" s="9" t="str" cm="1">
        <f t="array" ref="E1139">IFERROR(_xlfn.IFS(AND(D1139&lt;1980,D1139&gt;=1970),"70",AND(D1139&lt;1990,D1139&gt;=1980),"80",AND(D1139&lt;2000,D1139&gt;=1990),"90",AND(D1139&lt;2010,D1139&gt;=2000),"00",AND(D1139&lt;=2019,D1139&gt;=2010),"10"),"1908-1970")</f>
        <v>1908-1970</v>
      </c>
      <c r="F1139" s="3" t="s">
        <v>28931</v>
      </c>
      <c r="G1139" t="s">
        <v>9937</v>
      </c>
      <c r="H1139" t="s">
        <v>9938</v>
      </c>
      <c r="I1139" t="s">
        <v>28931</v>
      </c>
      <c r="J1139" t="s">
        <v>28931</v>
      </c>
      <c r="K1139" t="s">
        <v>9939</v>
      </c>
      <c r="L1139" s="7" t="s">
        <v>28931</v>
      </c>
      <c r="M1139" t="s">
        <v>28931</v>
      </c>
      <c r="N1139">
        <v>2</v>
      </c>
      <c r="O1139">
        <v>0</v>
      </c>
      <c r="P1139">
        <v>2</v>
      </c>
      <c r="Q1139">
        <v>1</v>
      </c>
      <c r="R1139">
        <v>0</v>
      </c>
      <c r="S1139">
        <v>1</v>
      </c>
      <c r="T1139">
        <v>14</v>
      </c>
      <c r="U1139" t="s">
        <v>9940</v>
      </c>
      <c r="V1139">
        <f>Tabla1[[#This Row],[Aboard]]-Tabla1[[#This Row],[Fatalities]]</f>
        <v>1</v>
      </c>
      <c r="W1139" s="50">
        <f>IFERROR(Tabla1[[#This Row],[Fatalities]]/Tabla1[[#This Row],[Aboard]],0)</f>
        <v>0.5</v>
      </c>
      <c r="X1139" s="51" t="str" cm="1">
        <f t="array" ref="X1139">_xlfn.IFS(Tabla1[[#This Row],[Porcentaje de muertes]]&lt;0.35,"LEVE",AND(Tabla1[[#This Row],[Porcentaje de muertes]]&gt;0.35,Tabla1[[#This Row],[Porcentaje de muertes]]&lt;0.65),"MEDIO",Tabla1[[#This Row],[Porcentaje de muertes]]&gt;0.65,"GRAVE")</f>
        <v>MEDIO</v>
      </c>
    </row>
    <row r="1140" spans="2:24" x14ac:dyDescent="0.3">
      <c r="B1140" s="9">
        <v>1138</v>
      </c>
      <c r="C1140" s="49">
        <v>18222</v>
      </c>
      <c r="D1140" s="9">
        <f>YEAR(Tabla1[[#This Row],[Date]])</f>
        <v>1949</v>
      </c>
      <c r="E1140" s="9" t="str" cm="1">
        <f t="array" ref="E1140">IFERROR(_xlfn.IFS(AND(D1140&lt;1980,D1140&gt;=1970),"70",AND(D1140&lt;1990,D1140&gt;=1980),"80",AND(D1140&lt;2000,D1140&gt;=1990),"90",AND(D1140&lt;2010,D1140&gt;=2000),"00",AND(D1140&lt;=2019,D1140&gt;=2010),"10"),"1908-1970")</f>
        <v>1908-1970</v>
      </c>
      <c r="F1140" s="3">
        <v>0.7055555555555556</v>
      </c>
      <c r="G1140" t="s">
        <v>9941</v>
      </c>
      <c r="H1140" t="s">
        <v>9942</v>
      </c>
      <c r="I1140" t="s">
        <v>28931</v>
      </c>
      <c r="J1140" t="s">
        <v>9943</v>
      </c>
      <c r="K1140" t="s">
        <v>8105</v>
      </c>
      <c r="L1140" s="7" t="s">
        <v>9944</v>
      </c>
      <c r="M1140">
        <v>13462</v>
      </c>
      <c r="N1140">
        <v>35</v>
      </c>
      <c r="O1140">
        <v>31</v>
      </c>
      <c r="P1140">
        <v>4</v>
      </c>
      <c r="Q1140">
        <v>34</v>
      </c>
      <c r="R1140">
        <v>30</v>
      </c>
      <c r="S1140">
        <v>4</v>
      </c>
      <c r="T1140">
        <v>0</v>
      </c>
      <c r="U1140" t="s">
        <v>9945</v>
      </c>
      <c r="V1140">
        <f>Tabla1[[#This Row],[Aboard]]-Tabla1[[#This Row],[Fatalities]]</f>
        <v>1</v>
      </c>
      <c r="W1140" s="50">
        <f>IFERROR(Tabla1[[#This Row],[Fatalities]]/Tabla1[[#This Row],[Aboard]],0)</f>
        <v>0.97142857142857142</v>
      </c>
      <c r="X1140" s="51" t="str" cm="1">
        <f t="array" ref="X1140">_xlfn.IFS(Tabla1[[#This Row],[Porcentaje de muertes]]&lt;0.35,"LEVE",AND(Tabla1[[#This Row],[Porcentaje de muertes]]&gt;0.35,Tabla1[[#This Row],[Porcentaje de muertes]]&lt;0.65),"MEDIO",Tabla1[[#This Row],[Porcentaje de muertes]]&gt;0.65,"GRAVE")</f>
        <v>GRAVE</v>
      </c>
    </row>
    <row r="1141" spans="2:24" x14ac:dyDescent="0.3">
      <c r="B1141" s="9">
        <v>1139</v>
      </c>
      <c r="C1141" s="49">
        <v>18228</v>
      </c>
      <c r="D1141" s="9">
        <f>YEAR(Tabla1[[#This Row],[Date]])</f>
        <v>1949</v>
      </c>
      <c r="E1141" s="9" t="str" cm="1">
        <f t="array" ref="E1141">IFERROR(_xlfn.IFS(AND(D1141&lt;1980,D1141&gt;=1970),"70",AND(D1141&lt;1990,D1141&gt;=1980),"80",AND(D1141&lt;2000,D1141&gt;=1990),"90",AND(D1141&lt;2010,D1141&gt;=2000),"00",AND(D1141&lt;=2019,D1141&gt;=2010),"10"),"1908-1970")</f>
        <v>1908-1970</v>
      </c>
      <c r="F1141" s="3">
        <v>0.5</v>
      </c>
      <c r="G1141" t="s">
        <v>9946</v>
      </c>
      <c r="H1141" t="s">
        <v>9667</v>
      </c>
      <c r="I1141" t="s">
        <v>28931</v>
      </c>
      <c r="J1141" t="s">
        <v>9947</v>
      </c>
      <c r="K1141" t="s">
        <v>7057</v>
      </c>
      <c r="L1141" s="7" t="s">
        <v>9948</v>
      </c>
      <c r="M1141" t="s">
        <v>28931</v>
      </c>
      <c r="N1141">
        <v>12</v>
      </c>
      <c r="O1141">
        <v>9</v>
      </c>
      <c r="P1141">
        <v>3</v>
      </c>
      <c r="Q1141">
        <v>12</v>
      </c>
      <c r="R1141">
        <v>9</v>
      </c>
      <c r="S1141">
        <v>3</v>
      </c>
      <c r="T1141">
        <v>0</v>
      </c>
      <c r="U1141" t="s">
        <v>9949</v>
      </c>
      <c r="V1141">
        <f>Tabla1[[#This Row],[Aboard]]-Tabla1[[#This Row],[Fatalities]]</f>
        <v>0</v>
      </c>
      <c r="W1141" s="50">
        <f>IFERROR(Tabla1[[#This Row],[Fatalities]]/Tabla1[[#This Row],[Aboard]],0)</f>
        <v>1</v>
      </c>
      <c r="X1141" s="51" t="str" cm="1">
        <f t="array" ref="X1141">_xlfn.IFS(Tabla1[[#This Row],[Porcentaje de muertes]]&lt;0.35,"LEVE",AND(Tabla1[[#This Row],[Porcentaje de muertes]]&gt;0.35,Tabla1[[#This Row],[Porcentaje de muertes]]&lt;0.65),"MEDIO",Tabla1[[#This Row],[Porcentaje de muertes]]&gt;0.65,"GRAVE")</f>
        <v>GRAVE</v>
      </c>
    </row>
    <row r="1142" spans="2:24" x14ac:dyDescent="0.3">
      <c r="B1142" s="9">
        <v>1140</v>
      </c>
      <c r="C1142" s="49">
        <v>18231</v>
      </c>
      <c r="D1142" s="9">
        <f>YEAR(Tabla1[[#This Row],[Date]])</f>
        <v>1949</v>
      </c>
      <c r="E1142" s="9" t="str" cm="1">
        <f t="array" ref="E1142">IFERROR(_xlfn.IFS(AND(D1142&lt;1980,D1142&gt;=1970),"70",AND(D1142&lt;1990,D1142&gt;=1980),"80",AND(D1142&lt;2000,D1142&gt;=1990),"90",AND(D1142&lt;2010,D1142&gt;=2000),"00",AND(D1142&lt;=2019,D1142&gt;=2010),"10"),"1908-1970")</f>
        <v>1908-1970</v>
      </c>
      <c r="F1142" s="3">
        <v>0.24236111111111111</v>
      </c>
      <c r="G1142" t="s">
        <v>9950</v>
      </c>
      <c r="H1142" t="s">
        <v>6536</v>
      </c>
      <c r="I1142">
        <v>157</v>
      </c>
      <c r="J1142" t="s">
        <v>9951</v>
      </c>
      <c r="K1142" t="s">
        <v>9230</v>
      </c>
      <c r="L1142" s="7" t="s">
        <v>9952</v>
      </c>
      <c r="M1142" t="s">
        <v>9953</v>
      </c>
      <c r="N1142">
        <v>46</v>
      </c>
      <c r="O1142">
        <v>41</v>
      </c>
      <c r="P1142">
        <v>5</v>
      </c>
      <c r="Q1142">
        <v>28</v>
      </c>
      <c r="R1142">
        <v>26</v>
      </c>
      <c r="S1142">
        <v>2</v>
      </c>
      <c r="T1142">
        <v>0</v>
      </c>
      <c r="U1142" t="s">
        <v>9954</v>
      </c>
      <c r="V1142">
        <f>Tabla1[[#This Row],[Aboard]]-Tabla1[[#This Row],[Fatalities]]</f>
        <v>18</v>
      </c>
      <c r="W1142" s="50">
        <f>IFERROR(Tabla1[[#This Row],[Fatalities]]/Tabla1[[#This Row],[Aboard]],0)</f>
        <v>0.60869565217391308</v>
      </c>
      <c r="X1142" s="51" t="str" cm="1">
        <f t="array" ref="X1142">_xlfn.IFS(Tabla1[[#This Row],[Porcentaje de muertes]]&lt;0.35,"LEVE",AND(Tabla1[[#This Row],[Porcentaje de muertes]]&gt;0.35,Tabla1[[#This Row],[Porcentaje de muertes]]&lt;0.65),"MEDIO",Tabla1[[#This Row],[Porcentaje de muertes]]&gt;0.65,"GRAVE")</f>
        <v>MEDIO</v>
      </c>
    </row>
    <row r="1143" spans="2:24" x14ac:dyDescent="0.3">
      <c r="B1143" s="9">
        <v>1141</v>
      </c>
      <c r="C1143" s="49">
        <v>18231</v>
      </c>
      <c r="D1143" s="9">
        <f>YEAR(Tabla1[[#This Row],[Date]])</f>
        <v>1949</v>
      </c>
      <c r="E1143" s="9" t="str" cm="1">
        <f t="array" ref="E1143">IFERROR(_xlfn.IFS(AND(D1143&lt;1980,D1143&gt;=1970),"70",AND(D1143&lt;1990,D1143&gt;=1980),"80",AND(D1143&lt;2000,D1143&gt;=1990),"90",AND(D1143&lt;2010,D1143&gt;=2000),"00",AND(D1143&lt;=2019,D1143&gt;=2010),"10"),"1908-1970")</f>
        <v>1908-1970</v>
      </c>
      <c r="F1143" s="3">
        <v>0.69791666666666663</v>
      </c>
      <c r="G1143" t="s">
        <v>9955</v>
      </c>
      <c r="H1143" t="s">
        <v>6375</v>
      </c>
      <c r="I1143" t="s">
        <v>28931</v>
      </c>
      <c r="J1143" t="s">
        <v>9956</v>
      </c>
      <c r="K1143" t="s">
        <v>8822</v>
      </c>
      <c r="L1143" s="7" t="s">
        <v>9957</v>
      </c>
      <c r="M1143">
        <v>10391</v>
      </c>
      <c r="N1143">
        <v>38</v>
      </c>
      <c r="O1143">
        <v>33</v>
      </c>
      <c r="P1143">
        <v>5</v>
      </c>
      <c r="Q1143">
        <v>5</v>
      </c>
      <c r="R1143">
        <v>1</v>
      </c>
      <c r="S1143">
        <v>4</v>
      </c>
      <c r="T1143">
        <v>0</v>
      </c>
      <c r="U1143" t="s">
        <v>9958</v>
      </c>
      <c r="V1143">
        <f>Tabla1[[#This Row],[Aboard]]-Tabla1[[#This Row],[Fatalities]]</f>
        <v>33</v>
      </c>
      <c r="W1143" s="50">
        <f>IFERROR(Tabla1[[#This Row],[Fatalities]]/Tabla1[[#This Row],[Aboard]],0)</f>
        <v>0.13157894736842105</v>
      </c>
      <c r="X1143" s="51" t="str" cm="1">
        <f t="array" ref="X1143">_xlfn.IFS(Tabla1[[#This Row],[Porcentaje de muertes]]&lt;0.35,"LEVE",AND(Tabla1[[#This Row],[Porcentaje de muertes]]&gt;0.35,Tabla1[[#This Row],[Porcentaje de muertes]]&lt;0.65),"MEDIO",Tabla1[[#This Row],[Porcentaje de muertes]]&gt;0.65,"GRAVE")</f>
        <v>LEVE</v>
      </c>
    </row>
    <row r="1144" spans="2:24" x14ac:dyDescent="0.3">
      <c r="B1144" s="9">
        <v>1142</v>
      </c>
      <c r="C1144" s="49">
        <v>17910</v>
      </c>
      <c r="D1144" s="9">
        <f>YEAR(Tabla1[[#This Row],[Date]])</f>
        <v>1949</v>
      </c>
      <c r="E1144" s="9" t="str" cm="1">
        <f t="array" ref="E1144">IFERROR(_xlfn.IFS(AND(D1144&lt;1980,D1144&gt;=1970),"70",AND(D1144&lt;1990,D1144&gt;=1980),"80",AND(D1144&lt;2000,D1144&gt;=1990),"90",AND(D1144&lt;2010,D1144&gt;=2000),"00",AND(D1144&lt;=2019,D1144&gt;=2010),"10"),"1908-1970")</f>
        <v>1908-1970</v>
      </c>
      <c r="F1144" s="3">
        <v>0.79166666666666663</v>
      </c>
      <c r="G1144" t="s">
        <v>9959</v>
      </c>
      <c r="H1144" t="s">
        <v>9960</v>
      </c>
      <c r="I1144" t="s">
        <v>28931</v>
      </c>
      <c r="J1144" t="s">
        <v>9961</v>
      </c>
      <c r="K1144" t="s">
        <v>9682</v>
      </c>
      <c r="L1144" s="7" t="s">
        <v>9962</v>
      </c>
      <c r="M1144">
        <v>4241</v>
      </c>
      <c r="N1144">
        <v>22</v>
      </c>
      <c r="O1144">
        <v>18</v>
      </c>
      <c r="P1144">
        <v>4</v>
      </c>
      <c r="Q1144">
        <v>20</v>
      </c>
      <c r="R1144">
        <v>16</v>
      </c>
      <c r="S1144">
        <v>4</v>
      </c>
      <c r="T1144">
        <v>0</v>
      </c>
      <c r="U1144" t="s">
        <v>9963</v>
      </c>
      <c r="V1144">
        <f>Tabla1[[#This Row],[Aboard]]-Tabla1[[#This Row],[Fatalities]]</f>
        <v>2</v>
      </c>
      <c r="W1144" s="50">
        <f>IFERROR(Tabla1[[#This Row],[Fatalities]]/Tabla1[[#This Row],[Aboard]],0)</f>
        <v>0.90909090909090906</v>
      </c>
      <c r="X1144" s="51" t="str" cm="1">
        <f t="array" ref="X1144">_xlfn.IFS(Tabla1[[#This Row],[Porcentaje de muertes]]&lt;0.35,"LEVE",AND(Tabla1[[#This Row],[Porcentaje de muertes]]&gt;0.35,Tabla1[[#This Row],[Porcentaje de muertes]]&lt;0.65),"MEDIO",Tabla1[[#This Row],[Porcentaje de muertes]]&gt;0.65,"GRAVE")</f>
        <v>GRAVE</v>
      </c>
    </row>
    <row r="1145" spans="2:24" x14ac:dyDescent="0.3">
      <c r="B1145" s="9">
        <v>1143</v>
      </c>
      <c r="C1145" s="49">
        <v>18091</v>
      </c>
      <c r="D1145" s="9">
        <f>YEAR(Tabla1[[#This Row],[Date]])</f>
        <v>1949</v>
      </c>
      <c r="E1145" s="9" t="str" cm="1">
        <f t="array" ref="E1145">IFERROR(_xlfn.IFS(AND(D1145&lt;1980,D1145&gt;=1970),"70",AND(D1145&lt;1990,D1145&gt;=1980),"80",AND(D1145&lt;2000,D1145&gt;=1990),"90",AND(D1145&lt;2010,D1145&gt;=2000),"00",AND(D1145&lt;=2019,D1145&gt;=2010),"10"),"1908-1970")</f>
        <v>1908-1970</v>
      </c>
      <c r="F1145" s="3">
        <v>0.71875</v>
      </c>
      <c r="G1145" t="s">
        <v>9964</v>
      </c>
      <c r="H1145" t="s">
        <v>9965</v>
      </c>
      <c r="I1145" t="s">
        <v>28931</v>
      </c>
      <c r="J1145" t="s">
        <v>9966</v>
      </c>
      <c r="K1145" t="s">
        <v>7057</v>
      </c>
      <c r="L1145" s="7" t="s">
        <v>9967</v>
      </c>
      <c r="M1145">
        <v>9201</v>
      </c>
      <c r="N1145">
        <v>9</v>
      </c>
      <c r="O1145">
        <v>6</v>
      </c>
      <c r="P1145">
        <v>3</v>
      </c>
      <c r="Q1145">
        <v>9</v>
      </c>
      <c r="R1145">
        <v>6</v>
      </c>
      <c r="S1145">
        <v>3</v>
      </c>
      <c r="T1145">
        <v>0</v>
      </c>
      <c r="U1145" t="s">
        <v>9968</v>
      </c>
      <c r="V1145">
        <f>Tabla1[[#This Row],[Aboard]]-Tabla1[[#This Row],[Fatalities]]</f>
        <v>0</v>
      </c>
      <c r="W1145" s="50">
        <f>IFERROR(Tabla1[[#This Row],[Fatalities]]/Tabla1[[#This Row],[Aboard]],0)</f>
        <v>1</v>
      </c>
      <c r="X1145" s="51" t="str" cm="1">
        <f t="array" ref="X1145">_xlfn.IFS(Tabla1[[#This Row],[Porcentaje de muertes]]&lt;0.35,"LEVE",AND(Tabla1[[#This Row],[Porcentaje de muertes]]&gt;0.35,Tabla1[[#This Row],[Porcentaje de muertes]]&lt;0.65),"MEDIO",Tabla1[[#This Row],[Porcentaje de muertes]]&gt;0.65,"GRAVE")</f>
        <v>GRAVE</v>
      </c>
    </row>
    <row r="1146" spans="2:24" x14ac:dyDescent="0.3">
      <c r="B1146" s="9">
        <v>1144</v>
      </c>
      <c r="C1146" s="49">
        <v>18153</v>
      </c>
      <c r="D1146" s="9">
        <f>YEAR(Tabla1[[#This Row],[Date]])</f>
        <v>1949</v>
      </c>
      <c r="E1146" s="9" t="str" cm="1">
        <f t="array" ref="E1146">IFERROR(_xlfn.IFS(AND(D1146&lt;1980,D1146&gt;=1970),"70",AND(D1146&lt;1990,D1146&gt;=1980),"80",AND(D1146&lt;2000,D1146&gt;=1990),"90",AND(D1146&lt;2010,D1146&gt;=2000),"00",AND(D1146&lt;=2019,D1146&gt;=2010),"10"),"1908-1970")</f>
        <v>1908-1970</v>
      </c>
      <c r="F1146" s="3" t="s">
        <v>28931</v>
      </c>
      <c r="G1146" t="s">
        <v>9969</v>
      </c>
      <c r="H1146" t="s">
        <v>9548</v>
      </c>
      <c r="I1146" t="s">
        <v>28931</v>
      </c>
      <c r="J1146" t="s">
        <v>28931</v>
      </c>
      <c r="K1146" t="s">
        <v>9970</v>
      </c>
      <c r="L1146" s="7" t="s">
        <v>9971</v>
      </c>
      <c r="M1146">
        <v>22354</v>
      </c>
      <c r="N1146">
        <v>38</v>
      </c>
      <c r="O1146">
        <v>36</v>
      </c>
      <c r="P1146">
        <v>2</v>
      </c>
      <c r="Q1146">
        <v>38</v>
      </c>
      <c r="R1146">
        <v>36</v>
      </c>
      <c r="S1146">
        <v>2</v>
      </c>
      <c r="T1146">
        <v>0</v>
      </c>
      <c r="U1146" t="s">
        <v>7476</v>
      </c>
      <c r="V1146">
        <f>Tabla1[[#This Row],[Aboard]]-Tabla1[[#This Row],[Fatalities]]</f>
        <v>0</v>
      </c>
      <c r="W1146" s="50">
        <f>IFERROR(Tabla1[[#This Row],[Fatalities]]/Tabla1[[#This Row],[Aboard]],0)</f>
        <v>1</v>
      </c>
      <c r="X1146" s="51" t="str" cm="1">
        <f t="array" ref="X1146">_xlfn.IFS(Tabla1[[#This Row],[Porcentaje de muertes]]&lt;0.35,"LEVE",AND(Tabla1[[#This Row],[Porcentaje de muertes]]&gt;0.35,Tabla1[[#This Row],[Porcentaje de muertes]]&lt;0.65),"MEDIO",Tabla1[[#This Row],[Porcentaje de muertes]]&gt;0.65,"GRAVE")</f>
        <v>GRAVE</v>
      </c>
    </row>
    <row r="1147" spans="2:24" x14ac:dyDescent="0.3">
      <c r="B1147" s="9">
        <v>1145</v>
      </c>
      <c r="C1147" s="49">
        <v>18183</v>
      </c>
      <c r="D1147" s="9">
        <f>YEAR(Tabla1[[#This Row],[Date]])</f>
        <v>1949</v>
      </c>
      <c r="E1147" s="9" t="str" cm="1">
        <f t="array" ref="E1147">IFERROR(_xlfn.IFS(AND(D1147&lt;1980,D1147&gt;=1970),"70",AND(D1147&lt;1990,D1147&gt;=1980),"80",AND(D1147&lt;2000,D1147&gt;=1990),"90",AND(D1147&lt;2010,D1147&gt;=2000),"00",AND(D1147&lt;=2019,D1147&gt;=2010),"10"),"1908-1970")</f>
        <v>1908-1970</v>
      </c>
      <c r="F1147" s="3" t="s">
        <v>28931</v>
      </c>
      <c r="G1147" t="s">
        <v>9972</v>
      </c>
      <c r="H1147" t="s">
        <v>9548</v>
      </c>
      <c r="I1147" t="s">
        <v>28931</v>
      </c>
      <c r="J1147" t="s">
        <v>9973</v>
      </c>
      <c r="K1147" t="s">
        <v>9970</v>
      </c>
      <c r="L1147" s="7" t="s">
        <v>9974</v>
      </c>
      <c r="M1147">
        <v>22347</v>
      </c>
      <c r="N1147">
        <v>40</v>
      </c>
      <c r="O1147" t="s">
        <v>5038</v>
      </c>
      <c r="P1147" t="s">
        <v>5038</v>
      </c>
      <c r="Q1147">
        <v>17</v>
      </c>
      <c r="R1147" t="s">
        <v>5038</v>
      </c>
      <c r="S1147" t="s">
        <v>5038</v>
      </c>
      <c r="T1147">
        <v>0</v>
      </c>
      <c r="U1147" t="s">
        <v>9975</v>
      </c>
      <c r="V1147">
        <f>Tabla1[[#This Row],[Aboard]]-Tabla1[[#This Row],[Fatalities]]</f>
        <v>23</v>
      </c>
      <c r="W1147" s="50">
        <f>IFERROR(Tabla1[[#This Row],[Fatalities]]/Tabla1[[#This Row],[Aboard]],0)</f>
        <v>0.42499999999999999</v>
      </c>
      <c r="X1147" s="51" t="str" cm="1">
        <f t="array" ref="X1147">_xlfn.IFS(Tabla1[[#This Row],[Porcentaje de muertes]]&lt;0.35,"LEVE",AND(Tabla1[[#This Row],[Porcentaje de muertes]]&gt;0.35,Tabla1[[#This Row],[Porcentaje de muertes]]&lt;0.65),"MEDIO",Tabla1[[#This Row],[Porcentaje de muertes]]&gt;0.65,"GRAVE")</f>
        <v>MEDIO</v>
      </c>
    </row>
    <row r="1148" spans="2:24" x14ac:dyDescent="0.3">
      <c r="B1148" s="9">
        <v>1146</v>
      </c>
      <c r="C1148" s="49">
        <v>18244</v>
      </c>
      <c r="D1148" s="9">
        <f>YEAR(Tabla1[[#This Row],[Date]])</f>
        <v>1949</v>
      </c>
      <c r="E1148" s="9" t="str" cm="1">
        <f t="array" ref="E1148">IFERROR(_xlfn.IFS(AND(D1148&lt;1980,D1148&gt;=1970),"70",AND(D1148&lt;1990,D1148&gt;=1980),"80",AND(D1148&lt;2000,D1148&gt;=1990),"90",AND(D1148&lt;2010,D1148&gt;=2000),"00",AND(D1148&lt;=2019,D1148&gt;=2010),"10"),"1908-1970")</f>
        <v>1908-1970</v>
      </c>
      <c r="F1148" s="3">
        <v>0.86458333333333337</v>
      </c>
      <c r="G1148" t="s">
        <v>9976</v>
      </c>
      <c r="H1148" t="s">
        <v>9977</v>
      </c>
      <c r="I1148">
        <v>500</v>
      </c>
      <c r="J1148" t="s">
        <v>9978</v>
      </c>
      <c r="K1148" t="s">
        <v>9979</v>
      </c>
      <c r="L1148" s="7" t="s">
        <v>9980</v>
      </c>
      <c r="M1148">
        <v>2556</v>
      </c>
      <c r="N1148">
        <v>23</v>
      </c>
      <c r="O1148">
        <v>20</v>
      </c>
      <c r="P1148">
        <v>3</v>
      </c>
      <c r="Q1148">
        <v>6</v>
      </c>
      <c r="R1148">
        <v>4</v>
      </c>
      <c r="S1148">
        <v>2</v>
      </c>
      <c r="T1148">
        <v>0</v>
      </c>
      <c r="U1148" t="s">
        <v>9981</v>
      </c>
      <c r="V1148">
        <f>Tabla1[[#This Row],[Aboard]]-Tabla1[[#This Row],[Fatalities]]</f>
        <v>17</v>
      </c>
      <c r="W1148" s="50">
        <f>IFERROR(Tabla1[[#This Row],[Fatalities]]/Tabla1[[#This Row],[Aboard]],0)</f>
        <v>0.2608695652173913</v>
      </c>
      <c r="X1148" s="51" t="str" cm="1">
        <f t="array" ref="X1148">_xlfn.IFS(Tabla1[[#This Row],[Porcentaje de muertes]]&lt;0.35,"LEVE",AND(Tabla1[[#This Row],[Porcentaje de muertes]]&gt;0.35,Tabla1[[#This Row],[Porcentaje de muertes]]&lt;0.65),"MEDIO",Tabla1[[#This Row],[Porcentaje de muertes]]&gt;0.65,"GRAVE")</f>
        <v>LEVE</v>
      </c>
    </row>
    <row r="1149" spans="2:24" x14ac:dyDescent="0.3">
      <c r="B1149" s="9">
        <v>1147</v>
      </c>
      <c r="C1149" s="49">
        <v>18244</v>
      </c>
      <c r="D1149" s="9">
        <f>YEAR(Tabla1[[#This Row],[Date]])</f>
        <v>1949</v>
      </c>
      <c r="E1149" s="9" t="str" cm="1">
        <f t="array" ref="E1149">IFERROR(_xlfn.IFS(AND(D1149&lt;1980,D1149&gt;=1970),"70",AND(D1149&lt;1990,D1149&gt;=1980),"80",AND(D1149&lt;2000,D1149&gt;=1990),"90",AND(D1149&lt;2010,D1149&gt;=2000),"00",AND(D1149&lt;=2019,D1149&gt;=2010),"10"),"1908-1970")</f>
        <v>1908-1970</v>
      </c>
      <c r="F1149" s="3">
        <v>0.91041666666666676</v>
      </c>
      <c r="G1149" t="s">
        <v>9982</v>
      </c>
      <c r="H1149" t="s">
        <v>9983</v>
      </c>
      <c r="I1149" t="s">
        <v>28931</v>
      </c>
      <c r="J1149" t="s">
        <v>28931</v>
      </c>
      <c r="K1149" t="s">
        <v>7057</v>
      </c>
      <c r="L1149" s="7" t="s">
        <v>9984</v>
      </c>
      <c r="M1149">
        <v>4841</v>
      </c>
      <c r="N1149">
        <v>26</v>
      </c>
      <c r="O1149">
        <v>22</v>
      </c>
      <c r="P1149">
        <v>4</v>
      </c>
      <c r="Q1149">
        <v>26</v>
      </c>
      <c r="R1149">
        <v>22</v>
      </c>
      <c r="S1149">
        <v>4</v>
      </c>
      <c r="T1149">
        <v>0</v>
      </c>
      <c r="U1149" t="s">
        <v>9985</v>
      </c>
      <c r="V1149">
        <f>Tabla1[[#This Row],[Aboard]]-Tabla1[[#This Row],[Fatalities]]</f>
        <v>0</v>
      </c>
      <c r="W1149" s="50">
        <f>IFERROR(Tabla1[[#This Row],[Fatalities]]/Tabla1[[#This Row],[Aboard]],0)</f>
        <v>1</v>
      </c>
      <c r="X1149" s="51" t="str" cm="1">
        <f t="array" ref="X1149">_xlfn.IFS(Tabla1[[#This Row],[Porcentaje de muertes]]&lt;0.35,"LEVE",AND(Tabla1[[#This Row],[Porcentaje de muertes]]&gt;0.35,Tabla1[[#This Row],[Porcentaje de muertes]]&lt;0.65),"MEDIO",Tabla1[[#This Row],[Porcentaje de muertes]]&gt;0.65,"GRAVE")</f>
        <v>GRAVE</v>
      </c>
    </row>
    <row r="1150" spans="2:24" x14ac:dyDescent="0.3">
      <c r="B1150" s="9">
        <v>1148</v>
      </c>
      <c r="C1150" s="49">
        <v>18248</v>
      </c>
      <c r="D1150" s="9">
        <f>YEAR(Tabla1[[#This Row],[Date]])</f>
        <v>1949</v>
      </c>
      <c r="E1150" s="9" t="str" cm="1">
        <f t="array" ref="E1150">IFERROR(_xlfn.IFS(AND(D1150&lt;1980,D1150&gt;=1970),"70",AND(D1150&lt;1990,D1150&gt;=1980),"80",AND(D1150&lt;2000,D1150&gt;=1990),"90",AND(D1150&lt;2010,D1150&gt;=2000),"00",AND(D1150&lt;=2019,D1150&gt;=2010),"10"),"1908-1970")</f>
        <v>1908-1970</v>
      </c>
      <c r="F1150" s="3">
        <v>0.25</v>
      </c>
      <c r="G1150" t="s">
        <v>9986</v>
      </c>
      <c r="H1150" t="s">
        <v>5740</v>
      </c>
      <c r="I1150" t="s">
        <v>28931</v>
      </c>
      <c r="J1150" t="s">
        <v>7346</v>
      </c>
      <c r="K1150" t="s">
        <v>7057</v>
      </c>
      <c r="L1150" s="7" t="s">
        <v>9987</v>
      </c>
      <c r="M1150">
        <v>11721</v>
      </c>
      <c r="N1150">
        <v>17</v>
      </c>
      <c r="O1150">
        <v>13</v>
      </c>
      <c r="P1150">
        <v>4</v>
      </c>
      <c r="Q1150">
        <v>17</v>
      </c>
      <c r="R1150">
        <v>13</v>
      </c>
      <c r="S1150">
        <v>4</v>
      </c>
      <c r="T1150">
        <v>0</v>
      </c>
      <c r="U1150" t="s">
        <v>9988</v>
      </c>
      <c r="V1150">
        <f>Tabla1[[#This Row],[Aboard]]-Tabla1[[#This Row],[Fatalities]]</f>
        <v>0</v>
      </c>
      <c r="W1150" s="50">
        <f>IFERROR(Tabla1[[#This Row],[Fatalities]]/Tabla1[[#This Row],[Aboard]],0)</f>
        <v>1</v>
      </c>
      <c r="X1150" s="51" t="str" cm="1">
        <f t="array" ref="X1150">_xlfn.IFS(Tabla1[[#This Row],[Porcentaje de muertes]]&lt;0.35,"LEVE",AND(Tabla1[[#This Row],[Porcentaje de muertes]]&gt;0.35,Tabla1[[#This Row],[Porcentaje de muertes]]&lt;0.65),"MEDIO",Tabla1[[#This Row],[Porcentaje de muertes]]&gt;0.65,"GRAVE")</f>
        <v>GRAVE</v>
      </c>
    </row>
    <row r="1151" spans="2:24" x14ac:dyDescent="0.3">
      <c r="B1151" s="9">
        <v>1149</v>
      </c>
      <c r="C1151" s="49">
        <v>18250</v>
      </c>
      <c r="D1151" s="9">
        <f>YEAR(Tabla1[[#This Row],[Date]])</f>
        <v>1949</v>
      </c>
      <c r="E1151" s="9" t="str" cm="1">
        <f t="array" ref="E1151">IFERROR(_xlfn.IFS(AND(D1151&lt;1980,D1151&gt;=1970),"70",AND(D1151&lt;1990,D1151&gt;=1980),"80",AND(D1151&lt;2000,D1151&gt;=1990),"90",AND(D1151&lt;2010,D1151&gt;=2000),"00",AND(D1151&lt;=2019,D1151&gt;=2010),"10"),"1908-1970")</f>
        <v>1908-1970</v>
      </c>
      <c r="F1151" s="3">
        <v>0.85416666666666663</v>
      </c>
      <c r="G1151" t="s">
        <v>9989</v>
      </c>
      <c r="H1151" t="s">
        <v>5957</v>
      </c>
      <c r="I1151" t="s">
        <v>28931</v>
      </c>
      <c r="J1151" t="s">
        <v>28931</v>
      </c>
      <c r="K1151" t="s">
        <v>8054</v>
      </c>
      <c r="L1151" s="7" t="s">
        <v>9990</v>
      </c>
      <c r="M1151">
        <v>10241</v>
      </c>
      <c r="N1151">
        <v>8</v>
      </c>
      <c r="O1151">
        <v>4</v>
      </c>
      <c r="P1151">
        <v>4</v>
      </c>
      <c r="Q1151">
        <v>8</v>
      </c>
      <c r="R1151">
        <v>4</v>
      </c>
      <c r="S1151">
        <v>4</v>
      </c>
      <c r="T1151">
        <v>0</v>
      </c>
      <c r="U1151" t="s">
        <v>9991</v>
      </c>
      <c r="V1151">
        <f>Tabla1[[#This Row],[Aboard]]-Tabla1[[#This Row],[Fatalities]]</f>
        <v>0</v>
      </c>
      <c r="W1151" s="50">
        <f>IFERROR(Tabla1[[#This Row],[Fatalities]]/Tabla1[[#This Row],[Aboard]],0)</f>
        <v>1</v>
      </c>
      <c r="X1151" s="51" t="str" cm="1">
        <f t="array" ref="X1151">_xlfn.IFS(Tabla1[[#This Row],[Porcentaje de muertes]]&lt;0.35,"LEVE",AND(Tabla1[[#This Row],[Porcentaje de muertes]]&gt;0.35,Tabla1[[#This Row],[Porcentaje de muertes]]&lt;0.65),"MEDIO",Tabla1[[#This Row],[Porcentaje de muertes]]&gt;0.65,"GRAVE")</f>
        <v>GRAVE</v>
      </c>
    </row>
    <row r="1152" spans="2:24" x14ac:dyDescent="0.3">
      <c r="B1152" s="9">
        <v>1150</v>
      </c>
      <c r="C1152" s="49">
        <v>18262</v>
      </c>
      <c r="D1152" s="9">
        <f>YEAR(Tabla1[[#This Row],[Date]])</f>
        <v>1949</v>
      </c>
      <c r="E1152" s="9" t="str" cm="1">
        <f t="array" ref="E1152">IFERROR(_xlfn.IFS(AND(D1152&lt;1980,D1152&gt;=1970),"70",AND(D1152&lt;1990,D1152&gt;=1980),"80",AND(D1152&lt;2000,D1152&gt;=1990),"90",AND(D1152&lt;2010,D1152&gt;=2000),"00",AND(D1152&lt;=2019,D1152&gt;=2010),"10"),"1908-1970")</f>
        <v>1908-1970</v>
      </c>
      <c r="F1152" s="3" t="s">
        <v>28931</v>
      </c>
      <c r="G1152" t="s">
        <v>9992</v>
      </c>
      <c r="H1152" t="s">
        <v>9993</v>
      </c>
      <c r="I1152" t="s">
        <v>28931</v>
      </c>
      <c r="J1152" t="s">
        <v>9994</v>
      </c>
      <c r="K1152" t="s">
        <v>9995</v>
      </c>
      <c r="L1152" s="7" t="s">
        <v>9996</v>
      </c>
      <c r="M1152">
        <v>3089</v>
      </c>
      <c r="N1152">
        <v>7</v>
      </c>
      <c r="O1152">
        <v>6</v>
      </c>
      <c r="P1152">
        <v>1</v>
      </c>
      <c r="Q1152">
        <v>7</v>
      </c>
      <c r="R1152">
        <v>6</v>
      </c>
      <c r="S1152">
        <v>1</v>
      </c>
      <c r="T1152">
        <v>0</v>
      </c>
      <c r="U1152" t="s">
        <v>9997</v>
      </c>
      <c r="V1152">
        <f>Tabla1[[#This Row],[Aboard]]-Tabla1[[#This Row],[Fatalities]]</f>
        <v>0</v>
      </c>
      <c r="W1152" s="50">
        <f>IFERROR(Tabla1[[#This Row],[Fatalities]]/Tabla1[[#This Row],[Aboard]],0)</f>
        <v>1</v>
      </c>
      <c r="X1152" s="51" t="str" cm="1">
        <f t="array" ref="X1152">_xlfn.IFS(Tabla1[[#This Row],[Porcentaje de muertes]]&lt;0.35,"LEVE",AND(Tabla1[[#This Row],[Porcentaje de muertes]]&gt;0.35,Tabla1[[#This Row],[Porcentaje de muertes]]&lt;0.65),"MEDIO",Tabla1[[#This Row],[Porcentaje de muertes]]&gt;0.65,"GRAVE")</f>
        <v>GRAVE</v>
      </c>
    </row>
    <row r="1153" spans="2:24" x14ac:dyDescent="0.3">
      <c r="B1153" s="9">
        <v>1151</v>
      </c>
      <c r="C1153" s="49">
        <v>18384</v>
      </c>
      <c r="D1153" s="9">
        <f>YEAR(Tabla1[[#This Row],[Date]])</f>
        <v>1950</v>
      </c>
      <c r="E1153" s="9" t="str" cm="1">
        <f t="array" ref="E1153">IFERROR(_xlfn.IFS(AND(D1153&lt;1980,D1153&gt;=1970),"70",AND(D1153&lt;1990,D1153&gt;=1980),"80",AND(D1153&lt;2000,D1153&gt;=1990),"90",AND(D1153&lt;2010,D1153&gt;=2000),"00",AND(D1153&lt;=2019,D1153&gt;=2010),"10"),"1908-1970")</f>
        <v>1908-1970</v>
      </c>
      <c r="F1153" s="3" t="s">
        <v>28931</v>
      </c>
      <c r="G1153" t="s">
        <v>9998</v>
      </c>
      <c r="H1153" t="s">
        <v>9999</v>
      </c>
      <c r="I1153" t="s">
        <v>28931</v>
      </c>
      <c r="J1153" t="s">
        <v>28931</v>
      </c>
      <c r="K1153" t="s">
        <v>8569</v>
      </c>
      <c r="L1153" s="7" t="s">
        <v>28931</v>
      </c>
      <c r="M1153" t="s">
        <v>28931</v>
      </c>
      <c r="N1153">
        <v>19</v>
      </c>
      <c r="O1153" t="s">
        <v>5038</v>
      </c>
      <c r="P1153" t="s">
        <v>5038</v>
      </c>
      <c r="Q1153">
        <v>19</v>
      </c>
      <c r="R1153" t="s">
        <v>5038</v>
      </c>
      <c r="S1153" t="s">
        <v>5038</v>
      </c>
      <c r="T1153">
        <v>0</v>
      </c>
      <c r="U1153" t="s">
        <v>10000</v>
      </c>
      <c r="V1153">
        <f>Tabla1[[#This Row],[Aboard]]-Tabla1[[#This Row],[Fatalities]]</f>
        <v>0</v>
      </c>
      <c r="W1153" s="50">
        <f>IFERROR(Tabla1[[#This Row],[Fatalities]]/Tabla1[[#This Row],[Aboard]],0)</f>
        <v>1</v>
      </c>
      <c r="X1153" s="51" t="str" cm="1">
        <f t="array" ref="X1153">_xlfn.IFS(Tabla1[[#This Row],[Porcentaje de muertes]]&lt;0.35,"LEVE",AND(Tabla1[[#This Row],[Porcentaje de muertes]]&gt;0.35,Tabla1[[#This Row],[Porcentaje de muertes]]&lt;0.65),"MEDIO",Tabla1[[#This Row],[Porcentaje de muertes]]&gt;0.65,"GRAVE")</f>
        <v>GRAVE</v>
      </c>
    </row>
    <row r="1154" spans="2:24" x14ac:dyDescent="0.3">
      <c r="B1154" s="9">
        <v>1152</v>
      </c>
      <c r="C1154" s="49">
        <v>18281</v>
      </c>
      <c r="D1154" s="9">
        <f>YEAR(Tabla1[[#This Row],[Date]])</f>
        <v>1950</v>
      </c>
      <c r="E1154" s="9" t="str" cm="1">
        <f t="array" ref="E1154">IFERROR(_xlfn.IFS(AND(D1154&lt;1980,D1154&gt;=1970),"70",AND(D1154&lt;1990,D1154&gt;=1980),"80",AND(D1154&lt;2000,D1154&gt;=1990),"90",AND(D1154&lt;2010,D1154&gt;=2000),"00",AND(D1154&lt;=2019,D1154&gt;=2010),"10"),"1908-1970")</f>
        <v>1908-1970</v>
      </c>
      <c r="F1154" s="3" t="s">
        <v>28931</v>
      </c>
      <c r="G1154" t="s">
        <v>9491</v>
      </c>
      <c r="H1154" t="s">
        <v>10001</v>
      </c>
      <c r="I1154" t="s">
        <v>28931</v>
      </c>
      <c r="J1154" t="s">
        <v>28931</v>
      </c>
      <c r="K1154" t="s">
        <v>6555</v>
      </c>
      <c r="L1154" s="7" t="s">
        <v>28931</v>
      </c>
      <c r="M1154" t="s">
        <v>28931</v>
      </c>
      <c r="N1154">
        <v>16</v>
      </c>
      <c r="O1154" t="s">
        <v>5038</v>
      </c>
      <c r="P1154" t="s">
        <v>5038</v>
      </c>
      <c r="Q1154">
        <v>16</v>
      </c>
      <c r="R1154" t="s">
        <v>5038</v>
      </c>
      <c r="S1154" t="s">
        <v>5038</v>
      </c>
      <c r="T1154">
        <v>0</v>
      </c>
      <c r="U1154" t="s">
        <v>10002</v>
      </c>
      <c r="V1154">
        <f>Tabla1[[#This Row],[Aboard]]-Tabla1[[#This Row],[Fatalities]]</f>
        <v>0</v>
      </c>
      <c r="W1154" s="50">
        <f>IFERROR(Tabla1[[#This Row],[Fatalities]]/Tabla1[[#This Row],[Aboard]],0)</f>
        <v>1</v>
      </c>
      <c r="X1154" s="51" t="str" cm="1">
        <f t="array" ref="X1154">_xlfn.IFS(Tabla1[[#This Row],[Porcentaje de muertes]]&lt;0.35,"LEVE",AND(Tabla1[[#This Row],[Porcentaje de muertes]]&gt;0.35,Tabla1[[#This Row],[Porcentaje de muertes]]&lt;0.65),"MEDIO",Tabla1[[#This Row],[Porcentaje de muertes]]&gt;0.65,"GRAVE")</f>
        <v>GRAVE</v>
      </c>
    </row>
    <row r="1155" spans="2:24" x14ac:dyDescent="0.3">
      <c r="B1155" s="9">
        <v>1153</v>
      </c>
      <c r="C1155" s="49">
        <v>18283</v>
      </c>
      <c r="D1155" s="9">
        <f>YEAR(Tabla1[[#This Row],[Date]])</f>
        <v>1950</v>
      </c>
      <c r="E1155" s="9" t="str" cm="1">
        <f t="array" ref="E1155">IFERROR(_xlfn.IFS(AND(D1155&lt;1980,D1155&gt;=1970),"70",AND(D1155&lt;1990,D1155&gt;=1980),"80",AND(D1155&lt;2000,D1155&gt;=1990),"90",AND(D1155&lt;2010,D1155&gt;=2000),"00",AND(D1155&lt;=2019,D1155&gt;=2010),"10"),"1908-1970")</f>
        <v>1908-1970</v>
      </c>
      <c r="F1155" s="3">
        <v>0.5</v>
      </c>
      <c r="G1155" t="s">
        <v>10003</v>
      </c>
      <c r="H1155" t="s">
        <v>10004</v>
      </c>
      <c r="I1155" t="s">
        <v>28931</v>
      </c>
      <c r="J1155" t="s">
        <v>10005</v>
      </c>
      <c r="K1155" t="s">
        <v>7826</v>
      </c>
      <c r="L1155" s="7" t="s">
        <v>10006</v>
      </c>
      <c r="M1155" t="s">
        <v>28931</v>
      </c>
      <c r="N1155">
        <v>32</v>
      </c>
      <c r="O1155">
        <v>28</v>
      </c>
      <c r="P1155">
        <v>4</v>
      </c>
      <c r="Q1155">
        <v>32</v>
      </c>
      <c r="R1155">
        <v>28</v>
      </c>
      <c r="S1155">
        <v>4</v>
      </c>
      <c r="T1155">
        <v>0</v>
      </c>
      <c r="U1155" t="s">
        <v>10007</v>
      </c>
      <c r="V1155">
        <f>Tabla1[[#This Row],[Aboard]]-Tabla1[[#This Row],[Fatalities]]</f>
        <v>0</v>
      </c>
      <c r="W1155" s="50">
        <f>IFERROR(Tabla1[[#This Row],[Fatalities]]/Tabla1[[#This Row],[Aboard]],0)</f>
        <v>1</v>
      </c>
      <c r="X1155" s="51" t="str" cm="1">
        <f t="array" ref="X1155">_xlfn.IFS(Tabla1[[#This Row],[Porcentaje de muertes]]&lt;0.35,"LEVE",AND(Tabla1[[#This Row],[Porcentaje de muertes]]&gt;0.35,Tabla1[[#This Row],[Porcentaje de muertes]]&lt;0.65),"MEDIO",Tabla1[[#This Row],[Porcentaje de muertes]]&gt;0.65,"GRAVE")</f>
        <v>GRAVE</v>
      </c>
    </row>
    <row r="1156" spans="2:24" x14ac:dyDescent="0.3">
      <c r="B1156" s="9">
        <v>1154</v>
      </c>
      <c r="C1156" s="49">
        <v>18287</v>
      </c>
      <c r="D1156" s="9">
        <f>YEAR(Tabla1[[#This Row],[Date]])</f>
        <v>1950</v>
      </c>
      <c r="E1156" s="9" t="str" cm="1">
        <f t="array" ref="E1156">IFERROR(_xlfn.IFS(AND(D1156&lt;1980,D1156&gt;=1970),"70",AND(D1156&lt;1990,D1156&gt;=1980),"80",AND(D1156&lt;2000,D1156&gt;=1990),"90",AND(D1156&lt;2010,D1156&gt;=2000),"00",AND(D1156&lt;=2019,D1156&gt;=2010),"10"),"1908-1970")</f>
        <v>1908-1970</v>
      </c>
      <c r="F1156" s="3" t="s">
        <v>28931</v>
      </c>
      <c r="G1156" t="s">
        <v>10008</v>
      </c>
      <c r="H1156" t="s">
        <v>10009</v>
      </c>
      <c r="I1156" t="s">
        <v>28931</v>
      </c>
      <c r="J1156" t="s">
        <v>10010</v>
      </c>
      <c r="K1156" t="s">
        <v>10011</v>
      </c>
      <c r="L1156" s="7" t="s">
        <v>10012</v>
      </c>
      <c r="M1156">
        <v>10046</v>
      </c>
      <c r="N1156">
        <v>14</v>
      </c>
      <c r="O1156">
        <v>11</v>
      </c>
      <c r="P1156">
        <v>3</v>
      </c>
      <c r="Q1156">
        <v>14</v>
      </c>
      <c r="R1156">
        <v>11</v>
      </c>
      <c r="S1156">
        <v>3</v>
      </c>
      <c r="T1156">
        <v>0</v>
      </c>
      <c r="U1156" t="s">
        <v>10013</v>
      </c>
      <c r="V1156">
        <f>Tabla1[[#This Row],[Aboard]]-Tabla1[[#This Row],[Fatalities]]</f>
        <v>0</v>
      </c>
      <c r="W1156" s="50">
        <f>IFERROR(Tabla1[[#This Row],[Fatalities]]/Tabla1[[#This Row],[Aboard]],0)</f>
        <v>1</v>
      </c>
      <c r="X1156" s="51" t="str" cm="1">
        <f t="array" ref="X1156">_xlfn.IFS(Tabla1[[#This Row],[Porcentaje de muertes]]&lt;0.35,"LEVE",AND(Tabla1[[#This Row],[Porcentaje de muertes]]&gt;0.35,Tabla1[[#This Row],[Porcentaje de muertes]]&lt;0.65),"MEDIO",Tabla1[[#This Row],[Porcentaje de muertes]]&gt;0.65,"GRAVE")</f>
        <v>GRAVE</v>
      </c>
    </row>
    <row r="1157" spans="2:24" x14ac:dyDescent="0.3">
      <c r="B1157" s="9">
        <v>1155</v>
      </c>
      <c r="C1157" s="49">
        <v>18287</v>
      </c>
      <c r="D1157" s="9">
        <f>YEAR(Tabla1[[#This Row],[Date]])</f>
        <v>1950</v>
      </c>
      <c r="E1157" s="9" t="str" cm="1">
        <f t="array" ref="E1157">IFERROR(_xlfn.IFS(AND(D1157&lt;1980,D1157&gt;=1970),"70",AND(D1157&lt;1990,D1157&gt;=1980),"80",AND(D1157&lt;2000,D1157&gt;=1990),"90",AND(D1157&lt;2010,D1157&gt;=2000),"00",AND(D1157&lt;=2019,D1157&gt;=2010),"10"),"1908-1970")</f>
        <v>1908-1970</v>
      </c>
      <c r="F1157" s="3" t="s">
        <v>28931</v>
      </c>
      <c r="G1157" t="s">
        <v>10014</v>
      </c>
      <c r="H1157" t="s">
        <v>8992</v>
      </c>
      <c r="I1157" t="s">
        <v>28931</v>
      </c>
      <c r="J1157" t="s">
        <v>10015</v>
      </c>
      <c r="K1157" t="s">
        <v>7057</v>
      </c>
      <c r="L1157" s="7" t="s">
        <v>10016</v>
      </c>
      <c r="M1157" t="s">
        <v>28931</v>
      </c>
      <c r="N1157">
        <v>4</v>
      </c>
      <c r="O1157">
        <v>1</v>
      </c>
      <c r="P1157">
        <v>3</v>
      </c>
      <c r="Q1157">
        <v>4</v>
      </c>
      <c r="R1157">
        <v>1</v>
      </c>
      <c r="S1157">
        <v>3</v>
      </c>
      <c r="T1157">
        <v>0</v>
      </c>
      <c r="U1157" t="s">
        <v>10017</v>
      </c>
      <c r="V1157">
        <f>Tabla1[[#This Row],[Aboard]]-Tabla1[[#This Row],[Fatalities]]</f>
        <v>0</v>
      </c>
      <c r="W1157" s="50">
        <f>IFERROR(Tabla1[[#This Row],[Fatalities]]/Tabla1[[#This Row],[Aboard]],0)</f>
        <v>1</v>
      </c>
      <c r="X1157" s="51" t="str" cm="1">
        <f t="array" ref="X1157">_xlfn.IFS(Tabla1[[#This Row],[Porcentaje de muertes]]&lt;0.35,"LEVE",AND(Tabla1[[#This Row],[Porcentaje de muertes]]&gt;0.35,Tabla1[[#This Row],[Porcentaje de muertes]]&lt;0.65),"MEDIO",Tabla1[[#This Row],[Porcentaje de muertes]]&gt;0.65,"GRAVE")</f>
        <v>GRAVE</v>
      </c>
    </row>
    <row r="1158" spans="2:24" x14ac:dyDescent="0.3">
      <c r="B1158" s="9">
        <v>1156</v>
      </c>
      <c r="C1158" s="49">
        <v>18289</v>
      </c>
      <c r="D1158" s="9">
        <f>YEAR(Tabla1[[#This Row],[Date]])</f>
        <v>1950</v>
      </c>
      <c r="E1158" s="9" t="str" cm="1">
        <f t="array" ref="E1158">IFERROR(_xlfn.IFS(AND(D1158&lt;1980,D1158&gt;=1970),"70",AND(D1158&lt;1990,D1158&gt;=1980),"80",AND(D1158&lt;2000,D1158&gt;=1990),"90",AND(D1158&lt;2010,D1158&gt;=2000),"00",AND(D1158&lt;=2019,D1158&gt;=2010),"10"),"1908-1970")</f>
        <v>1908-1970</v>
      </c>
      <c r="F1158" s="3" t="s">
        <v>28931</v>
      </c>
      <c r="G1158" t="s">
        <v>10018</v>
      </c>
      <c r="H1158" t="s">
        <v>7987</v>
      </c>
      <c r="I1158" t="s">
        <v>28931</v>
      </c>
      <c r="J1158" t="s">
        <v>10019</v>
      </c>
      <c r="K1158" t="s">
        <v>8671</v>
      </c>
      <c r="L1158" s="7" t="s">
        <v>10020</v>
      </c>
      <c r="M1158">
        <v>10574</v>
      </c>
      <c r="N1158">
        <v>44</v>
      </c>
      <c r="O1158">
        <v>36</v>
      </c>
      <c r="P1158">
        <v>8</v>
      </c>
      <c r="Q1158">
        <v>44</v>
      </c>
      <c r="R1158">
        <v>36</v>
      </c>
      <c r="S1158">
        <v>8</v>
      </c>
      <c r="T1158">
        <v>0</v>
      </c>
      <c r="U1158" t="s">
        <v>10021</v>
      </c>
      <c r="V1158">
        <f>Tabla1[[#This Row],[Aboard]]-Tabla1[[#This Row],[Fatalities]]</f>
        <v>0</v>
      </c>
      <c r="W1158" s="50">
        <f>IFERROR(Tabla1[[#This Row],[Fatalities]]/Tabla1[[#This Row],[Aboard]],0)</f>
        <v>1</v>
      </c>
      <c r="X1158" s="51" t="str" cm="1">
        <f t="array" ref="X1158">_xlfn.IFS(Tabla1[[#This Row],[Porcentaje de muertes]]&lt;0.35,"LEVE",AND(Tabla1[[#This Row],[Porcentaje de muertes]]&gt;0.35,Tabla1[[#This Row],[Porcentaje de muertes]]&lt;0.65),"MEDIO",Tabla1[[#This Row],[Porcentaje de muertes]]&gt;0.65,"GRAVE")</f>
        <v>GRAVE</v>
      </c>
    </row>
    <row r="1159" spans="2:24" x14ac:dyDescent="0.3">
      <c r="B1159" s="9">
        <v>1157</v>
      </c>
      <c r="C1159" s="49">
        <v>18296</v>
      </c>
      <c r="D1159" s="9">
        <f>YEAR(Tabla1[[#This Row],[Date]])</f>
        <v>1950</v>
      </c>
      <c r="E1159" s="9" t="str" cm="1">
        <f t="array" ref="E1159">IFERROR(_xlfn.IFS(AND(D1159&lt;1980,D1159&gt;=1970),"70",AND(D1159&lt;1990,D1159&gt;=1980),"80",AND(D1159&lt;2000,D1159&gt;=1990),"90",AND(D1159&lt;2010,D1159&gt;=2000),"00",AND(D1159&lt;=2019,D1159&gt;=2010),"10"),"1908-1970")</f>
        <v>1908-1970</v>
      </c>
      <c r="F1159" s="3">
        <v>0.19791666666666666</v>
      </c>
      <c r="G1159" t="s">
        <v>7468</v>
      </c>
      <c r="H1159" t="s">
        <v>5332</v>
      </c>
      <c r="I1159" t="s">
        <v>28931</v>
      </c>
      <c r="J1159" t="s">
        <v>10022</v>
      </c>
      <c r="K1159" t="s">
        <v>7057</v>
      </c>
      <c r="L1159" s="7" t="s">
        <v>10023</v>
      </c>
      <c r="M1159">
        <v>13396</v>
      </c>
      <c r="N1159">
        <v>7</v>
      </c>
      <c r="O1159">
        <v>0</v>
      </c>
      <c r="P1159">
        <v>7</v>
      </c>
      <c r="Q1159">
        <v>7</v>
      </c>
      <c r="R1159">
        <v>0</v>
      </c>
      <c r="S1159">
        <v>7</v>
      </c>
      <c r="T1159">
        <v>0</v>
      </c>
      <c r="U1159" t="s">
        <v>10024</v>
      </c>
      <c r="V1159">
        <f>Tabla1[[#This Row],[Aboard]]-Tabla1[[#This Row],[Fatalities]]</f>
        <v>0</v>
      </c>
      <c r="W1159" s="50">
        <f>IFERROR(Tabla1[[#This Row],[Fatalities]]/Tabla1[[#This Row],[Aboard]],0)</f>
        <v>1</v>
      </c>
      <c r="X1159" s="51" t="str" cm="1">
        <f t="array" ref="X1159">_xlfn.IFS(Tabla1[[#This Row],[Porcentaje de muertes]]&lt;0.35,"LEVE",AND(Tabla1[[#This Row],[Porcentaje de muertes]]&gt;0.35,Tabla1[[#This Row],[Porcentaje de muertes]]&lt;0.65),"MEDIO",Tabla1[[#This Row],[Porcentaje de muertes]]&gt;0.65,"GRAVE")</f>
        <v>GRAVE</v>
      </c>
    </row>
    <row r="1160" spans="2:24" x14ac:dyDescent="0.3">
      <c r="B1160" s="9">
        <v>1158</v>
      </c>
      <c r="C1160" s="49">
        <v>18321</v>
      </c>
      <c r="D1160" s="9">
        <f>YEAR(Tabla1[[#This Row],[Date]])</f>
        <v>1950</v>
      </c>
      <c r="E1160" s="9" t="str" cm="1">
        <f t="array" ref="E1160">IFERROR(_xlfn.IFS(AND(D1160&lt;1980,D1160&gt;=1970),"70",AND(D1160&lt;1990,D1160&gt;=1980),"80",AND(D1160&lt;2000,D1160&gt;=1990),"90",AND(D1160&lt;2010,D1160&gt;=2000),"00",AND(D1160&lt;=2019,D1160&gt;=2010),"10"),"1908-1970")</f>
        <v>1908-1970</v>
      </c>
      <c r="F1160" s="3" t="s">
        <v>28931</v>
      </c>
      <c r="G1160" t="s">
        <v>8607</v>
      </c>
      <c r="H1160" t="s">
        <v>5951</v>
      </c>
      <c r="I1160" t="s">
        <v>28931</v>
      </c>
      <c r="J1160" t="s">
        <v>10025</v>
      </c>
      <c r="K1160" t="s">
        <v>10026</v>
      </c>
      <c r="L1160" s="7" t="s">
        <v>10027</v>
      </c>
      <c r="M1160">
        <v>12725</v>
      </c>
      <c r="N1160">
        <v>5</v>
      </c>
      <c r="O1160">
        <v>3</v>
      </c>
      <c r="P1160">
        <v>2</v>
      </c>
      <c r="Q1160">
        <v>5</v>
      </c>
      <c r="R1160">
        <v>3</v>
      </c>
      <c r="S1160">
        <v>2</v>
      </c>
      <c r="T1160">
        <v>0</v>
      </c>
      <c r="U1160" t="s">
        <v>10028</v>
      </c>
      <c r="V1160">
        <f>Tabla1[[#This Row],[Aboard]]-Tabla1[[#This Row],[Fatalities]]</f>
        <v>0</v>
      </c>
      <c r="W1160" s="50">
        <f>IFERROR(Tabla1[[#This Row],[Fatalities]]/Tabla1[[#This Row],[Aboard]],0)</f>
        <v>1</v>
      </c>
      <c r="X1160" s="51" t="str" cm="1">
        <f t="array" ref="X1160">_xlfn.IFS(Tabla1[[#This Row],[Porcentaje de muertes]]&lt;0.35,"LEVE",AND(Tabla1[[#This Row],[Porcentaje de muertes]]&gt;0.35,Tabla1[[#This Row],[Porcentaje de muertes]]&lt;0.65),"MEDIO",Tabla1[[#This Row],[Porcentaje de muertes]]&gt;0.65,"GRAVE")</f>
        <v>GRAVE</v>
      </c>
    </row>
    <row r="1161" spans="2:24" x14ac:dyDescent="0.3">
      <c r="B1161" s="9">
        <v>1159</v>
      </c>
      <c r="C1161" s="49">
        <v>18447</v>
      </c>
      <c r="D1161" s="9">
        <f>YEAR(Tabla1[[#This Row],[Date]])</f>
        <v>1950</v>
      </c>
      <c r="E1161" s="9" t="str" cm="1">
        <f t="array" ref="E1161">IFERROR(_xlfn.IFS(AND(D1161&lt;1980,D1161&gt;=1970),"70",AND(D1161&lt;1990,D1161&gt;=1980),"80",AND(D1161&lt;2000,D1161&gt;=1990),"90",AND(D1161&lt;2010,D1161&gt;=2000),"00",AND(D1161&lt;=2019,D1161&gt;=2010),"10"),"1908-1970")</f>
        <v>1908-1970</v>
      </c>
      <c r="F1161" s="3">
        <v>0.87430555555555556</v>
      </c>
      <c r="G1161" t="s">
        <v>10029</v>
      </c>
      <c r="H1161" t="s">
        <v>5769</v>
      </c>
      <c r="I1161">
        <v>307</v>
      </c>
      <c r="J1161" t="s">
        <v>10030</v>
      </c>
      <c r="K1161" t="s">
        <v>9582</v>
      </c>
      <c r="L1161" s="7" t="s">
        <v>10031</v>
      </c>
      <c r="M1161">
        <v>9134</v>
      </c>
      <c r="N1161">
        <v>13</v>
      </c>
      <c r="O1161">
        <v>10</v>
      </c>
      <c r="P1161">
        <v>3</v>
      </c>
      <c r="Q1161">
        <v>13</v>
      </c>
      <c r="R1161">
        <v>10</v>
      </c>
      <c r="S1161">
        <v>3</v>
      </c>
      <c r="T1161">
        <v>2</v>
      </c>
      <c r="U1161" t="s">
        <v>10032</v>
      </c>
      <c r="V1161">
        <f>Tabla1[[#This Row],[Aboard]]-Tabla1[[#This Row],[Fatalities]]</f>
        <v>0</v>
      </c>
      <c r="W1161" s="50">
        <f>IFERROR(Tabla1[[#This Row],[Fatalities]]/Tabla1[[#This Row],[Aboard]],0)</f>
        <v>1</v>
      </c>
      <c r="X1161" s="51" t="str" cm="1">
        <f t="array" ref="X1161">_xlfn.IFS(Tabla1[[#This Row],[Porcentaje de muertes]]&lt;0.35,"LEVE",AND(Tabla1[[#This Row],[Porcentaje de muertes]]&gt;0.35,Tabla1[[#This Row],[Porcentaje de muertes]]&lt;0.65),"MEDIO",Tabla1[[#This Row],[Porcentaje de muertes]]&gt;0.65,"GRAVE")</f>
        <v>GRAVE</v>
      </c>
    </row>
    <row r="1162" spans="2:24" x14ac:dyDescent="0.3">
      <c r="B1162" s="9">
        <v>1160</v>
      </c>
      <c r="C1162" s="49">
        <v>18539</v>
      </c>
      <c r="D1162" s="9">
        <f>YEAR(Tabla1[[#This Row],[Date]])</f>
        <v>1950</v>
      </c>
      <c r="E1162" s="9" t="str" cm="1">
        <f t="array" ref="E1162">IFERROR(_xlfn.IFS(AND(D1162&lt;1980,D1162&gt;=1970),"70",AND(D1162&lt;1990,D1162&gt;=1980),"80",AND(D1162&lt;2000,D1162&gt;=1990),"90",AND(D1162&lt;2010,D1162&gt;=2000),"00",AND(D1162&lt;=2019,D1162&gt;=2010),"10"),"1908-1970")</f>
        <v>1908-1970</v>
      </c>
      <c r="F1162" s="3" t="s">
        <v>28931</v>
      </c>
      <c r="G1162" t="s">
        <v>10033</v>
      </c>
      <c r="H1162" t="s">
        <v>10034</v>
      </c>
      <c r="I1162" t="s">
        <v>28931</v>
      </c>
      <c r="J1162" t="s">
        <v>10035</v>
      </c>
      <c r="K1162" t="s">
        <v>9876</v>
      </c>
      <c r="L1162" s="7" t="s">
        <v>10036</v>
      </c>
      <c r="M1162">
        <v>12782</v>
      </c>
      <c r="N1162">
        <v>4</v>
      </c>
      <c r="O1162">
        <v>1</v>
      </c>
      <c r="P1162">
        <v>3</v>
      </c>
      <c r="Q1162">
        <v>4</v>
      </c>
      <c r="R1162">
        <v>1</v>
      </c>
      <c r="S1162">
        <v>3</v>
      </c>
      <c r="T1162">
        <v>0</v>
      </c>
      <c r="U1162" t="s">
        <v>10017</v>
      </c>
      <c r="V1162">
        <f>Tabla1[[#This Row],[Aboard]]-Tabla1[[#This Row],[Fatalities]]</f>
        <v>0</v>
      </c>
      <c r="W1162" s="50">
        <f>IFERROR(Tabla1[[#This Row],[Fatalities]]/Tabla1[[#This Row],[Aboard]],0)</f>
        <v>1</v>
      </c>
      <c r="X1162" s="51" t="str" cm="1">
        <f t="array" ref="X1162">_xlfn.IFS(Tabla1[[#This Row],[Porcentaje de muertes]]&lt;0.35,"LEVE",AND(Tabla1[[#This Row],[Porcentaje de muertes]]&gt;0.35,Tabla1[[#This Row],[Porcentaje de muertes]]&lt;0.65),"MEDIO",Tabla1[[#This Row],[Porcentaje de muertes]]&gt;0.65,"GRAVE")</f>
        <v>GRAVE</v>
      </c>
    </row>
    <row r="1163" spans="2:24" x14ac:dyDescent="0.3">
      <c r="B1163" s="9">
        <v>1161</v>
      </c>
      <c r="C1163" s="49">
        <v>18600</v>
      </c>
      <c r="D1163" s="9">
        <f>YEAR(Tabla1[[#This Row],[Date]])</f>
        <v>1950</v>
      </c>
      <c r="E1163" s="9" t="str" cm="1">
        <f t="array" ref="E1163">IFERROR(_xlfn.IFS(AND(D1163&lt;1980,D1163&gt;=1970),"70",AND(D1163&lt;1990,D1163&gt;=1980),"80",AND(D1163&lt;2000,D1163&gt;=1990),"90",AND(D1163&lt;2010,D1163&gt;=2000),"00",AND(D1163&lt;=2019,D1163&gt;=2010),"10"),"1908-1970")</f>
        <v>1908-1970</v>
      </c>
      <c r="F1163" s="3">
        <v>0.61805555555555558</v>
      </c>
      <c r="G1163" t="s">
        <v>10037</v>
      </c>
      <c r="H1163" t="s">
        <v>10038</v>
      </c>
      <c r="I1163" t="s">
        <v>28931</v>
      </c>
      <c r="J1163" t="s">
        <v>10039</v>
      </c>
      <c r="K1163" t="s">
        <v>10040</v>
      </c>
      <c r="L1163" s="7" t="s">
        <v>10041</v>
      </c>
      <c r="M1163">
        <v>1417</v>
      </c>
      <c r="N1163">
        <v>83</v>
      </c>
      <c r="O1163">
        <v>78</v>
      </c>
      <c r="P1163">
        <v>5</v>
      </c>
      <c r="Q1163">
        <v>80</v>
      </c>
      <c r="R1163">
        <v>75</v>
      </c>
      <c r="S1163">
        <v>5</v>
      </c>
      <c r="T1163">
        <v>0</v>
      </c>
      <c r="U1163" t="s">
        <v>10042</v>
      </c>
      <c r="V1163">
        <f>Tabla1[[#This Row],[Aboard]]-Tabla1[[#This Row],[Fatalities]]</f>
        <v>3</v>
      </c>
      <c r="W1163" s="50">
        <f>IFERROR(Tabla1[[#This Row],[Fatalities]]/Tabla1[[#This Row],[Aboard]],0)</f>
        <v>0.96385542168674698</v>
      </c>
      <c r="X1163" s="51" t="str" cm="1">
        <f t="array" ref="X1163">_xlfn.IFS(Tabla1[[#This Row],[Porcentaje de muertes]]&lt;0.35,"LEVE",AND(Tabla1[[#This Row],[Porcentaje de muertes]]&gt;0.35,Tabla1[[#This Row],[Porcentaje de muertes]]&lt;0.65),"MEDIO",Tabla1[[#This Row],[Porcentaje de muertes]]&gt;0.65,"GRAVE")</f>
        <v>GRAVE</v>
      </c>
    </row>
    <row r="1164" spans="2:24" x14ac:dyDescent="0.3">
      <c r="B1164" s="9">
        <v>1162</v>
      </c>
      <c r="C1164" s="49">
        <v>18347</v>
      </c>
      <c r="D1164" s="9">
        <f>YEAR(Tabla1[[#This Row],[Date]])</f>
        <v>1950</v>
      </c>
      <c r="E1164" s="9" t="str" cm="1">
        <f t="array" ref="E1164">IFERROR(_xlfn.IFS(AND(D1164&lt;1980,D1164&gt;=1970),"70",AND(D1164&lt;1990,D1164&gt;=1980),"80",AND(D1164&lt;2000,D1164&gt;=1990),"90",AND(D1164&lt;2010,D1164&gt;=2000),"00",AND(D1164&lt;=2019,D1164&gt;=2010),"10"),"1908-1970")</f>
        <v>1908-1970</v>
      </c>
      <c r="F1164" s="3" t="s">
        <v>28931</v>
      </c>
      <c r="G1164" t="s">
        <v>10043</v>
      </c>
      <c r="H1164" t="s">
        <v>10044</v>
      </c>
      <c r="I1164" t="s">
        <v>28931</v>
      </c>
      <c r="J1164" t="s">
        <v>28931</v>
      </c>
      <c r="K1164" t="s">
        <v>7057</v>
      </c>
      <c r="L1164" s="7" t="s">
        <v>10045</v>
      </c>
      <c r="M1164">
        <v>19423</v>
      </c>
      <c r="N1164">
        <v>15</v>
      </c>
      <c r="O1164">
        <v>11</v>
      </c>
      <c r="P1164">
        <v>4</v>
      </c>
      <c r="Q1164">
        <v>15</v>
      </c>
      <c r="R1164">
        <v>11</v>
      </c>
      <c r="S1164">
        <v>4</v>
      </c>
      <c r="T1164">
        <v>0</v>
      </c>
      <c r="U1164" t="s">
        <v>10046</v>
      </c>
      <c r="V1164">
        <f>Tabla1[[#This Row],[Aboard]]-Tabla1[[#This Row],[Fatalities]]</f>
        <v>0</v>
      </c>
      <c r="W1164" s="50">
        <f>IFERROR(Tabla1[[#This Row],[Fatalities]]/Tabla1[[#This Row],[Aboard]],0)</f>
        <v>1</v>
      </c>
      <c r="X1164" s="51" t="str" cm="1">
        <f t="array" ref="X1164">_xlfn.IFS(Tabla1[[#This Row],[Porcentaje de muertes]]&lt;0.35,"LEVE",AND(Tabla1[[#This Row],[Porcentaje de muertes]]&gt;0.35,Tabla1[[#This Row],[Porcentaje de muertes]]&lt;0.65),"MEDIO",Tabla1[[#This Row],[Porcentaje de muertes]]&gt;0.65,"GRAVE")</f>
        <v>GRAVE</v>
      </c>
    </row>
    <row r="1165" spans="2:24" x14ac:dyDescent="0.3">
      <c r="B1165" s="9">
        <v>1163</v>
      </c>
      <c r="C1165" s="49">
        <v>18350</v>
      </c>
      <c r="D1165" s="9">
        <f>YEAR(Tabla1[[#This Row],[Date]])</f>
        <v>1950</v>
      </c>
      <c r="E1165" s="9" t="str" cm="1">
        <f t="array" ref="E1165">IFERROR(_xlfn.IFS(AND(D1165&lt;1980,D1165&gt;=1970),"70",AND(D1165&lt;1990,D1165&gt;=1980),"80",AND(D1165&lt;2000,D1165&gt;=1990),"90",AND(D1165&lt;2010,D1165&gt;=2000),"00",AND(D1165&lt;=2019,D1165&gt;=2010),"10"),"1908-1970")</f>
        <v>1908-1970</v>
      </c>
      <c r="F1165" s="3" t="s">
        <v>28931</v>
      </c>
      <c r="G1165" t="s">
        <v>10047</v>
      </c>
      <c r="H1165" t="s">
        <v>10048</v>
      </c>
      <c r="I1165" t="s">
        <v>28931</v>
      </c>
      <c r="J1165" t="s">
        <v>28931</v>
      </c>
      <c r="K1165" t="s">
        <v>10049</v>
      </c>
      <c r="L1165" s="7" t="s">
        <v>10050</v>
      </c>
      <c r="M1165">
        <v>3</v>
      </c>
      <c r="N1165">
        <v>12</v>
      </c>
      <c r="O1165">
        <v>0</v>
      </c>
      <c r="P1165">
        <v>12</v>
      </c>
      <c r="Q1165">
        <v>12</v>
      </c>
      <c r="R1165">
        <v>0</v>
      </c>
      <c r="S1165">
        <v>12</v>
      </c>
      <c r="T1165">
        <v>0</v>
      </c>
      <c r="U1165" t="s">
        <v>10051</v>
      </c>
      <c r="V1165">
        <f>Tabla1[[#This Row],[Aboard]]-Tabla1[[#This Row],[Fatalities]]</f>
        <v>0</v>
      </c>
      <c r="W1165" s="50">
        <f>IFERROR(Tabla1[[#This Row],[Fatalities]]/Tabla1[[#This Row],[Aboard]],0)</f>
        <v>1</v>
      </c>
      <c r="X1165" s="51" t="str" cm="1">
        <f t="array" ref="X1165">_xlfn.IFS(Tabla1[[#This Row],[Porcentaje de muertes]]&lt;0.35,"LEVE",AND(Tabla1[[#This Row],[Porcentaje de muertes]]&gt;0.35,Tabla1[[#This Row],[Porcentaje de muertes]]&lt;0.65),"MEDIO",Tabla1[[#This Row],[Porcentaje de muertes]]&gt;0.65,"GRAVE")</f>
        <v>GRAVE</v>
      </c>
    </row>
    <row r="1166" spans="2:24" x14ac:dyDescent="0.3">
      <c r="B1166" s="9">
        <v>1164</v>
      </c>
      <c r="C1166" s="49">
        <v>18387</v>
      </c>
      <c r="D1166" s="9">
        <f>YEAR(Tabla1[[#This Row],[Date]])</f>
        <v>1950</v>
      </c>
      <c r="E1166" s="9" t="str" cm="1">
        <f t="array" ref="E1166">IFERROR(_xlfn.IFS(AND(D1166&lt;1980,D1166&gt;=1970),"70",AND(D1166&lt;1990,D1166&gt;=1980),"80",AND(D1166&lt;2000,D1166&gt;=1990),"90",AND(D1166&lt;2010,D1166&gt;=2000),"00",AND(D1166&lt;=2019,D1166&gt;=2010),"10"),"1908-1970")</f>
        <v>1908-1970</v>
      </c>
      <c r="F1166" s="3" t="s">
        <v>28931</v>
      </c>
      <c r="G1166" t="s">
        <v>10052</v>
      </c>
      <c r="H1166" t="s">
        <v>10053</v>
      </c>
      <c r="I1166" t="s">
        <v>28931</v>
      </c>
      <c r="J1166" t="s">
        <v>28931</v>
      </c>
      <c r="K1166" t="s">
        <v>8105</v>
      </c>
      <c r="L1166" s="7" t="s">
        <v>10054</v>
      </c>
      <c r="M1166">
        <v>12826</v>
      </c>
      <c r="N1166">
        <v>3</v>
      </c>
      <c r="O1166">
        <v>0</v>
      </c>
      <c r="P1166">
        <v>3</v>
      </c>
      <c r="Q1166">
        <v>3</v>
      </c>
      <c r="R1166">
        <v>0</v>
      </c>
      <c r="S1166">
        <v>3</v>
      </c>
      <c r="T1166">
        <v>0</v>
      </c>
      <c r="U1166" t="s">
        <v>10055</v>
      </c>
      <c r="V1166">
        <f>Tabla1[[#This Row],[Aboard]]-Tabla1[[#This Row],[Fatalities]]</f>
        <v>0</v>
      </c>
      <c r="W1166" s="50">
        <f>IFERROR(Tabla1[[#This Row],[Fatalities]]/Tabla1[[#This Row],[Aboard]],0)</f>
        <v>1</v>
      </c>
      <c r="X1166" s="51" t="str" cm="1">
        <f t="array" ref="X1166">_xlfn.IFS(Tabla1[[#This Row],[Porcentaje de muertes]]&lt;0.35,"LEVE",AND(Tabla1[[#This Row],[Porcentaje de muertes]]&gt;0.35,Tabla1[[#This Row],[Porcentaje de muertes]]&lt;0.65),"MEDIO",Tabla1[[#This Row],[Porcentaje de muertes]]&gt;0.65,"GRAVE")</f>
        <v>GRAVE</v>
      </c>
    </row>
    <row r="1167" spans="2:24" x14ac:dyDescent="0.3">
      <c r="B1167" s="9">
        <v>1165</v>
      </c>
      <c r="C1167" s="49">
        <v>18366</v>
      </c>
      <c r="D1167" s="9">
        <f>YEAR(Tabla1[[#This Row],[Date]])</f>
        <v>1950</v>
      </c>
      <c r="E1167" s="9" t="str" cm="1">
        <f t="array" ref="E1167">IFERROR(_xlfn.IFS(AND(D1167&lt;1980,D1167&gt;=1970),"70",AND(D1167&lt;1990,D1167&gt;=1980),"80",AND(D1167&lt;2000,D1167&gt;=1990),"90",AND(D1167&lt;2010,D1167&gt;=2000),"00",AND(D1167&lt;=2019,D1167&gt;=2010),"10"),"1908-1970")</f>
        <v>1908-1970</v>
      </c>
      <c r="F1167" s="3" t="s">
        <v>28931</v>
      </c>
      <c r="G1167" t="s">
        <v>10056</v>
      </c>
      <c r="H1167" t="s">
        <v>8721</v>
      </c>
      <c r="I1167" t="s">
        <v>28931</v>
      </c>
      <c r="J1167" t="s">
        <v>5176</v>
      </c>
      <c r="K1167" t="s">
        <v>9329</v>
      </c>
      <c r="L1167" s="7" t="s">
        <v>10057</v>
      </c>
      <c r="M1167">
        <v>225</v>
      </c>
      <c r="N1167">
        <v>32</v>
      </c>
      <c r="O1167">
        <v>28</v>
      </c>
      <c r="P1167">
        <v>4</v>
      </c>
      <c r="Q1167">
        <v>0</v>
      </c>
      <c r="R1167">
        <v>0</v>
      </c>
      <c r="S1167">
        <v>0</v>
      </c>
      <c r="T1167">
        <v>0</v>
      </c>
      <c r="U1167" t="s">
        <v>10058</v>
      </c>
      <c r="V1167">
        <f>Tabla1[[#This Row],[Aboard]]-Tabla1[[#This Row],[Fatalities]]</f>
        <v>32</v>
      </c>
      <c r="W1167" s="50">
        <f>IFERROR(Tabla1[[#This Row],[Fatalities]]/Tabla1[[#This Row],[Aboard]],0)</f>
        <v>0</v>
      </c>
      <c r="X1167" s="51" t="str" cm="1">
        <f t="array" ref="X1167">_xlfn.IFS(Tabla1[[#This Row],[Porcentaje de muertes]]&lt;0.35,"LEVE",AND(Tabla1[[#This Row],[Porcentaje de muertes]]&gt;0.35,Tabla1[[#This Row],[Porcentaje de muertes]]&lt;0.65),"MEDIO",Tabla1[[#This Row],[Porcentaje de muertes]]&gt;0.65,"GRAVE")</f>
        <v>LEVE</v>
      </c>
    </row>
    <row r="1168" spans="2:24" x14ac:dyDescent="0.3">
      <c r="B1168" s="9">
        <v>1166</v>
      </c>
      <c r="C1168" s="49">
        <v>18368</v>
      </c>
      <c r="D1168" s="9">
        <f>YEAR(Tabla1[[#This Row],[Date]])</f>
        <v>1950</v>
      </c>
      <c r="E1168" s="9" t="str" cm="1">
        <f t="array" ref="E1168">IFERROR(_xlfn.IFS(AND(D1168&lt;1980,D1168&gt;=1970),"70",AND(D1168&lt;1990,D1168&gt;=1980),"80",AND(D1168&lt;2000,D1168&gt;=1990),"90",AND(D1168&lt;2010,D1168&gt;=2000),"00",AND(D1168&lt;=2019,D1168&gt;=2010),"10"),"1908-1970")</f>
        <v>1908-1970</v>
      </c>
      <c r="F1168" s="3" t="s">
        <v>28931</v>
      </c>
      <c r="G1168" t="s">
        <v>10059</v>
      </c>
      <c r="H1168" t="s">
        <v>10060</v>
      </c>
      <c r="I1168" t="s">
        <v>28931</v>
      </c>
      <c r="J1168" t="s">
        <v>28931</v>
      </c>
      <c r="K1168" t="s">
        <v>10061</v>
      </c>
      <c r="L1168" s="7" t="s">
        <v>10062</v>
      </c>
      <c r="M1168" t="s">
        <v>28931</v>
      </c>
      <c r="N1168">
        <v>25</v>
      </c>
      <c r="O1168">
        <v>23</v>
      </c>
      <c r="P1168">
        <v>2</v>
      </c>
      <c r="Q1168">
        <v>25</v>
      </c>
      <c r="R1168">
        <v>23</v>
      </c>
      <c r="S1168">
        <v>2</v>
      </c>
      <c r="T1168">
        <v>0</v>
      </c>
      <c r="U1168" t="s">
        <v>28927</v>
      </c>
      <c r="V1168">
        <f>Tabla1[[#This Row],[Aboard]]-Tabla1[[#This Row],[Fatalities]]</f>
        <v>0</v>
      </c>
      <c r="W1168" s="50">
        <f>IFERROR(Tabla1[[#This Row],[Fatalities]]/Tabla1[[#This Row],[Aboard]],0)</f>
        <v>1</v>
      </c>
      <c r="X1168" s="51" t="str" cm="1">
        <f t="array" ref="X1168">_xlfn.IFS(Tabla1[[#This Row],[Porcentaje de muertes]]&lt;0.35,"LEVE",AND(Tabla1[[#This Row],[Porcentaje de muertes]]&gt;0.35,Tabla1[[#This Row],[Porcentaje de muertes]]&lt;0.65),"MEDIO",Tabla1[[#This Row],[Porcentaje de muertes]]&gt;0.65,"GRAVE")</f>
        <v>GRAVE</v>
      </c>
    </row>
    <row r="1169" spans="2:24" x14ac:dyDescent="0.3">
      <c r="B1169" s="9">
        <v>1167</v>
      </c>
      <c r="C1169" s="49">
        <v>18374</v>
      </c>
      <c r="D1169" s="9">
        <f>YEAR(Tabla1[[#This Row],[Date]])</f>
        <v>1950</v>
      </c>
      <c r="E1169" s="9" t="str" cm="1">
        <f t="array" ref="E1169">IFERROR(_xlfn.IFS(AND(D1169&lt;1980,D1169&gt;=1970),"70",AND(D1169&lt;1990,D1169&gt;=1980),"80",AND(D1169&lt;2000,D1169&gt;=1990),"90",AND(D1169&lt;2010,D1169&gt;=2000),"00",AND(D1169&lt;=2019,D1169&gt;=2010),"10"),"1908-1970")</f>
        <v>1908-1970</v>
      </c>
      <c r="F1169" s="3">
        <v>0.97569444444444453</v>
      </c>
      <c r="G1169" t="s">
        <v>10063</v>
      </c>
      <c r="H1169" t="s">
        <v>7987</v>
      </c>
      <c r="I1169" t="s">
        <v>28931</v>
      </c>
      <c r="J1169" t="s">
        <v>10064</v>
      </c>
      <c r="K1169" t="s">
        <v>10065</v>
      </c>
      <c r="L1169" s="7" t="s">
        <v>10066</v>
      </c>
      <c r="M1169" t="s">
        <v>28931</v>
      </c>
      <c r="N1169">
        <v>35</v>
      </c>
      <c r="O1169">
        <v>27</v>
      </c>
      <c r="P1169">
        <v>8</v>
      </c>
      <c r="Q1169">
        <v>35</v>
      </c>
      <c r="R1169">
        <v>27</v>
      </c>
      <c r="S1169">
        <v>8</v>
      </c>
      <c r="T1169">
        <v>0</v>
      </c>
      <c r="U1169" t="s">
        <v>10067</v>
      </c>
      <c r="V1169">
        <f>Tabla1[[#This Row],[Aboard]]-Tabla1[[#This Row],[Fatalities]]</f>
        <v>0</v>
      </c>
      <c r="W1169" s="50">
        <f>IFERROR(Tabla1[[#This Row],[Fatalities]]/Tabla1[[#This Row],[Aboard]],0)</f>
        <v>1</v>
      </c>
      <c r="X1169" s="51" t="str" cm="1">
        <f t="array" ref="X1169">_xlfn.IFS(Tabla1[[#This Row],[Porcentaje de muertes]]&lt;0.35,"LEVE",AND(Tabla1[[#This Row],[Porcentaje de muertes]]&gt;0.35,Tabla1[[#This Row],[Porcentaje de muertes]]&lt;0.65),"MEDIO",Tabla1[[#This Row],[Porcentaje de muertes]]&gt;0.65,"GRAVE")</f>
        <v>GRAVE</v>
      </c>
    </row>
    <row r="1170" spans="2:24" x14ac:dyDescent="0.3">
      <c r="B1170" s="9">
        <v>1168</v>
      </c>
      <c r="C1170" s="49">
        <v>18299</v>
      </c>
      <c r="D1170" s="9">
        <f>YEAR(Tabla1[[#This Row],[Date]])</f>
        <v>1950</v>
      </c>
      <c r="E1170" s="9" t="str" cm="1">
        <f t="array" ref="E1170">IFERROR(_xlfn.IFS(AND(D1170&lt;1980,D1170&gt;=1970),"70",AND(D1170&lt;1990,D1170&gt;=1980),"80",AND(D1170&lt;2000,D1170&gt;=1990),"90",AND(D1170&lt;2010,D1170&gt;=2000),"00",AND(D1170&lt;=2019,D1170&gt;=2010),"10"),"1908-1970")</f>
        <v>1908-1970</v>
      </c>
      <c r="F1170" s="3" t="s">
        <v>28931</v>
      </c>
      <c r="G1170" t="s">
        <v>10068</v>
      </c>
      <c r="H1170" t="s">
        <v>8976</v>
      </c>
      <c r="I1170" t="s">
        <v>28931</v>
      </c>
      <c r="J1170" t="s">
        <v>10069</v>
      </c>
      <c r="K1170" t="s">
        <v>10070</v>
      </c>
      <c r="L1170" s="7" t="s">
        <v>10071</v>
      </c>
      <c r="M1170">
        <v>4314</v>
      </c>
      <c r="N1170">
        <v>15</v>
      </c>
      <c r="O1170">
        <v>12</v>
      </c>
      <c r="P1170">
        <v>3</v>
      </c>
      <c r="Q1170">
        <v>15</v>
      </c>
      <c r="R1170">
        <v>12</v>
      </c>
      <c r="S1170">
        <v>3</v>
      </c>
      <c r="T1170">
        <v>0</v>
      </c>
      <c r="U1170" t="s">
        <v>10072</v>
      </c>
      <c r="V1170">
        <f>Tabla1[[#This Row],[Aboard]]-Tabla1[[#This Row],[Fatalities]]</f>
        <v>0</v>
      </c>
      <c r="W1170" s="50">
        <f>IFERROR(Tabla1[[#This Row],[Fatalities]]/Tabla1[[#This Row],[Aboard]],0)</f>
        <v>1</v>
      </c>
      <c r="X1170" s="51" t="str" cm="1">
        <f t="array" ref="X1170">_xlfn.IFS(Tabla1[[#This Row],[Porcentaje de muertes]]&lt;0.35,"LEVE",AND(Tabla1[[#This Row],[Porcentaje de muertes]]&gt;0.35,Tabla1[[#This Row],[Porcentaje de muertes]]&lt;0.65),"MEDIO",Tabla1[[#This Row],[Porcentaje de muertes]]&gt;0.65,"GRAVE")</f>
        <v>GRAVE</v>
      </c>
    </row>
    <row r="1171" spans="2:24" x14ac:dyDescent="0.3">
      <c r="B1171" s="9">
        <v>1169</v>
      </c>
      <c r="C1171" s="49">
        <v>18400</v>
      </c>
      <c r="D1171" s="9">
        <f>YEAR(Tabla1[[#This Row],[Date]])</f>
        <v>1950</v>
      </c>
      <c r="E1171" s="9" t="str" cm="1">
        <f t="array" ref="E1171">IFERROR(_xlfn.IFS(AND(D1171&lt;1980,D1171&gt;=1970),"70",AND(D1171&lt;1990,D1171&gt;=1980),"80",AND(D1171&lt;2000,D1171&gt;=1990),"90",AND(D1171&lt;2010,D1171&gt;=2000),"00",AND(D1171&lt;=2019,D1171&gt;=2010),"10"),"1908-1970")</f>
        <v>1908-1970</v>
      </c>
      <c r="F1171" s="3">
        <v>0.87430555555555556</v>
      </c>
      <c r="G1171" t="s">
        <v>10073</v>
      </c>
      <c r="H1171" t="s">
        <v>7987</v>
      </c>
      <c r="I1171" t="s">
        <v>28931</v>
      </c>
      <c r="J1171" t="s">
        <v>10074</v>
      </c>
      <c r="K1171" t="s">
        <v>10075</v>
      </c>
      <c r="L1171" s="7" t="s">
        <v>28931</v>
      </c>
      <c r="M1171" t="s">
        <v>28931</v>
      </c>
      <c r="N1171">
        <v>16</v>
      </c>
      <c r="O1171">
        <v>5</v>
      </c>
      <c r="P1171">
        <v>11</v>
      </c>
      <c r="Q1171">
        <v>16</v>
      </c>
      <c r="R1171">
        <v>5</v>
      </c>
      <c r="S1171">
        <v>11</v>
      </c>
      <c r="T1171">
        <v>0</v>
      </c>
      <c r="U1171" t="s">
        <v>10076</v>
      </c>
      <c r="V1171">
        <f>Tabla1[[#This Row],[Aboard]]-Tabla1[[#This Row],[Fatalities]]</f>
        <v>0</v>
      </c>
      <c r="W1171" s="50">
        <f>IFERROR(Tabla1[[#This Row],[Fatalities]]/Tabla1[[#This Row],[Aboard]],0)</f>
        <v>1</v>
      </c>
      <c r="X1171" s="51" t="str" cm="1">
        <f t="array" ref="X1171">_xlfn.IFS(Tabla1[[#This Row],[Porcentaje de muertes]]&lt;0.35,"LEVE",AND(Tabla1[[#This Row],[Porcentaje de muertes]]&gt;0.35,Tabla1[[#This Row],[Porcentaje de muertes]]&lt;0.65),"MEDIO",Tabla1[[#This Row],[Porcentaje de muertes]]&gt;0.65,"GRAVE")</f>
        <v>GRAVE</v>
      </c>
    </row>
    <row r="1172" spans="2:24" x14ac:dyDescent="0.3">
      <c r="B1172" s="9">
        <v>1170</v>
      </c>
      <c r="C1172" s="49">
        <v>18406</v>
      </c>
      <c r="D1172" s="9">
        <f>YEAR(Tabla1[[#This Row],[Date]])</f>
        <v>1950</v>
      </c>
      <c r="E1172" s="9" t="str" cm="1">
        <f t="array" ref="E1172">IFERROR(_xlfn.IFS(AND(D1172&lt;1980,D1172&gt;=1970),"70",AND(D1172&lt;1990,D1172&gt;=1980),"80",AND(D1172&lt;2000,D1172&gt;=1990),"90",AND(D1172&lt;2010,D1172&gt;=2000),"00",AND(D1172&lt;=2019,D1172&gt;=2010),"10"),"1908-1970")</f>
        <v>1908-1970</v>
      </c>
      <c r="F1172" s="3">
        <v>0.43055555555555558</v>
      </c>
      <c r="G1172" t="s">
        <v>10077</v>
      </c>
      <c r="H1172" t="s">
        <v>7987</v>
      </c>
      <c r="I1172" t="s">
        <v>28931</v>
      </c>
      <c r="J1172" t="s">
        <v>28931</v>
      </c>
      <c r="K1172" t="s">
        <v>8433</v>
      </c>
      <c r="L1172" s="7" t="s">
        <v>10078</v>
      </c>
      <c r="M1172">
        <v>32973</v>
      </c>
      <c r="N1172">
        <v>39</v>
      </c>
      <c r="O1172">
        <v>35</v>
      </c>
      <c r="P1172">
        <v>4</v>
      </c>
      <c r="Q1172">
        <v>39</v>
      </c>
      <c r="R1172">
        <v>35</v>
      </c>
      <c r="S1172">
        <v>4</v>
      </c>
      <c r="T1172">
        <v>0</v>
      </c>
      <c r="U1172" t="s">
        <v>10079</v>
      </c>
      <c r="V1172">
        <f>Tabla1[[#This Row],[Aboard]]-Tabla1[[#This Row],[Fatalities]]</f>
        <v>0</v>
      </c>
      <c r="W1172" s="50">
        <f>IFERROR(Tabla1[[#This Row],[Fatalities]]/Tabla1[[#This Row],[Aboard]],0)</f>
        <v>1</v>
      </c>
      <c r="X1172" s="51" t="str" cm="1">
        <f t="array" ref="X1172">_xlfn.IFS(Tabla1[[#This Row],[Porcentaje de muertes]]&lt;0.35,"LEVE",AND(Tabla1[[#This Row],[Porcentaje de muertes]]&gt;0.35,Tabla1[[#This Row],[Porcentaje de muertes]]&lt;0.65),"MEDIO",Tabla1[[#This Row],[Porcentaje de muertes]]&gt;0.65,"GRAVE")</f>
        <v>GRAVE</v>
      </c>
    </row>
    <row r="1173" spans="2:24" x14ac:dyDescent="0.3">
      <c r="B1173" s="9">
        <v>1171</v>
      </c>
      <c r="C1173" s="49">
        <v>18407</v>
      </c>
      <c r="D1173" s="9">
        <f>YEAR(Tabla1[[#This Row],[Date]])</f>
        <v>1950</v>
      </c>
      <c r="E1173" s="9" t="str" cm="1">
        <f t="array" ref="E1173">IFERROR(_xlfn.IFS(AND(D1173&lt;1980,D1173&gt;=1970),"70",AND(D1173&lt;1990,D1173&gt;=1980),"80",AND(D1173&lt;2000,D1173&gt;=1990),"90",AND(D1173&lt;2010,D1173&gt;=2000),"00",AND(D1173&lt;=2019,D1173&gt;=2010),"10"),"1908-1970")</f>
        <v>1908-1970</v>
      </c>
      <c r="F1173" s="3" t="s">
        <v>28931</v>
      </c>
      <c r="G1173" t="s">
        <v>10080</v>
      </c>
      <c r="H1173" t="s">
        <v>9667</v>
      </c>
      <c r="I1173" t="s">
        <v>28931</v>
      </c>
      <c r="J1173" t="s">
        <v>10081</v>
      </c>
      <c r="K1173" t="s">
        <v>7826</v>
      </c>
      <c r="L1173" s="7" t="s">
        <v>10082</v>
      </c>
      <c r="M1173">
        <v>10194</v>
      </c>
      <c r="N1173">
        <v>26</v>
      </c>
      <c r="O1173">
        <v>23</v>
      </c>
      <c r="P1173">
        <v>3</v>
      </c>
      <c r="Q1173">
        <v>25</v>
      </c>
      <c r="R1173">
        <v>22</v>
      </c>
      <c r="S1173">
        <v>3</v>
      </c>
      <c r="T1173">
        <v>0</v>
      </c>
      <c r="U1173" t="s">
        <v>10083</v>
      </c>
      <c r="V1173">
        <f>Tabla1[[#This Row],[Aboard]]-Tabla1[[#This Row],[Fatalities]]</f>
        <v>1</v>
      </c>
      <c r="W1173" s="50">
        <f>IFERROR(Tabla1[[#This Row],[Fatalities]]/Tabla1[[#This Row],[Aboard]],0)</f>
        <v>0.96153846153846156</v>
      </c>
      <c r="X1173" s="51" t="str" cm="1">
        <f t="array" ref="X1173">_xlfn.IFS(Tabla1[[#This Row],[Porcentaje de muertes]]&lt;0.35,"LEVE",AND(Tabla1[[#This Row],[Porcentaje de muertes]]&gt;0.35,Tabla1[[#This Row],[Porcentaje de muertes]]&lt;0.65),"MEDIO",Tabla1[[#This Row],[Porcentaje de muertes]]&gt;0.65,"GRAVE")</f>
        <v>GRAVE</v>
      </c>
    </row>
    <row r="1174" spans="2:24" x14ac:dyDescent="0.3">
      <c r="B1174" s="9">
        <v>1172</v>
      </c>
      <c r="C1174" s="49">
        <v>18410</v>
      </c>
      <c r="D1174" s="9">
        <f>YEAR(Tabla1[[#This Row],[Date]])</f>
        <v>1950</v>
      </c>
      <c r="E1174" s="9" t="str" cm="1">
        <f t="array" ref="E1174">IFERROR(_xlfn.IFS(AND(D1174&lt;1980,D1174&gt;=1970),"70",AND(D1174&lt;1990,D1174&gt;=1980),"80",AND(D1174&lt;2000,D1174&gt;=1990),"90",AND(D1174&lt;2010,D1174&gt;=2000),"00",AND(D1174&lt;=2019,D1174&gt;=2010),"10"),"1908-1970")</f>
        <v>1908-1970</v>
      </c>
      <c r="F1174" s="3">
        <v>0.72916666666666663</v>
      </c>
      <c r="G1174" t="s">
        <v>10084</v>
      </c>
      <c r="H1174" t="s">
        <v>10085</v>
      </c>
      <c r="I1174" t="s">
        <v>28931</v>
      </c>
      <c r="J1174" t="s">
        <v>28931</v>
      </c>
      <c r="K1174" t="s">
        <v>9851</v>
      </c>
      <c r="L1174" s="7" t="s">
        <v>10086</v>
      </c>
      <c r="M1174">
        <v>22582</v>
      </c>
      <c r="N1174">
        <v>2</v>
      </c>
      <c r="O1174">
        <v>0</v>
      </c>
      <c r="P1174">
        <v>2</v>
      </c>
      <c r="Q1174">
        <v>1</v>
      </c>
      <c r="R1174">
        <v>0</v>
      </c>
      <c r="S1174">
        <v>1</v>
      </c>
      <c r="T1174">
        <v>0</v>
      </c>
      <c r="U1174" t="s">
        <v>10087</v>
      </c>
      <c r="V1174">
        <f>Tabla1[[#This Row],[Aboard]]-Tabla1[[#This Row],[Fatalities]]</f>
        <v>1</v>
      </c>
      <c r="W1174" s="50">
        <f>IFERROR(Tabla1[[#This Row],[Fatalities]]/Tabla1[[#This Row],[Aboard]],0)</f>
        <v>0.5</v>
      </c>
      <c r="X1174" s="51" t="str" cm="1">
        <f t="array" ref="X1174">_xlfn.IFS(Tabla1[[#This Row],[Porcentaje de muertes]]&lt;0.35,"LEVE",AND(Tabla1[[#This Row],[Porcentaje de muertes]]&gt;0.35,Tabla1[[#This Row],[Porcentaje de muertes]]&lt;0.65),"MEDIO",Tabla1[[#This Row],[Porcentaje de muertes]]&gt;0.65,"GRAVE")</f>
        <v>MEDIO</v>
      </c>
    </row>
    <row r="1175" spans="2:24" x14ac:dyDescent="0.3">
      <c r="B1175" s="9">
        <v>1173</v>
      </c>
      <c r="C1175" s="49">
        <v>18413</v>
      </c>
      <c r="D1175" s="9">
        <f>YEAR(Tabla1[[#This Row],[Date]])</f>
        <v>1950</v>
      </c>
      <c r="E1175" s="9" t="str" cm="1">
        <f t="array" ref="E1175">IFERROR(_xlfn.IFS(AND(D1175&lt;1980,D1175&gt;=1970),"70",AND(D1175&lt;1990,D1175&gt;=1980),"80",AND(D1175&lt;2000,D1175&gt;=1990),"90",AND(D1175&lt;2010,D1175&gt;=2000),"00",AND(D1175&lt;=2019,D1175&gt;=2010),"10"),"1908-1970")</f>
        <v>1908-1970</v>
      </c>
      <c r="F1175" s="3" t="s">
        <v>28931</v>
      </c>
      <c r="G1175" t="s">
        <v>10088</v>
      </c>
      <c r="H1175" t="s">
        <v>9535</v>
      </c>
      <c r="I1175" t="s">
        <v>28931</v>
      </c>
      <c r="J1175" t="s">
        <v>10089</v>
      </c>
      <c r="K1175" t="s">
        <v>7057</v>
      </c>
      <c r="L1175" s="7" t="s">
        <v>10090</v>
      </c>
      <c r="M1175">
        <v>9156</v>
      </c>
      <c r="N1175">
        <v>15</v>
      </c>
      <c r="O1175">
        <v>11</v>
      </c>
      <c r="P1175">
        <v>4</v>
      </c>
      <c r="Q1175">
        <v>13</v>
      </c>
      <c r="R1175">
        <v>9</v>
      </c>
      <c r="S1175">
        <v>4</v>
      </c>
      <c r="T1175">
        <v>0</v>
      </c>
      <c r="U1175" t="s">
        <v>10091</v>
      </c>
      <c r="V1175">
        <f>Tabla1[[#This Row],[Aboard]]-Tabla1[[#This Row],[Fatalities]]</f>
        <v>2</v>
      </c>
      <c r="W1175" s="50">
        <f>IFERROR(Tabla1[[#This Row],[Fatalities]]/Tabla1[[#This Row],[Aboard]],0)</f>
        <v>0.8666666666666667</v>
      </c>
      <c r="X1175" s="51" t="str" cm="1">
        <f t="array" ref="X1175">_xlfn.IFS(Tabla1[[#This Row],[Porcentaje de muertes]]&lt;0.35,"LEVE",AND(Tabla1[[#This Row],[Porcentaje de muertes]]&gt;0.35,Tabla1[[#This Row],[Porcentaje de muertes]]&lt;0.65),"MEDIO",Tabla1[[#This Row],[Porcentaje de muertes]]&gt;0.65,"GRAVE")</f>
        <v>GRAVE</v>
      </c>
    </row>
    <row r="1176" spans="2:24" x14ac:dyDescent="0.3">
      <c r="B1176" s="9">
        <v>1174</v>
      </c>
      <c r="C1176" s="49">
        <v>18389</v>
      </c>
      <c r="D1176" s="9">
        <f>YEAR(Tabla1[[#This Row],[Date]])</f>
        <v>1950</v>
      </c>
      <c r="E1176" s="9" t="str" cm="1">
        <f t="array" ref="E1176">IFERROR(_xlfn.IFS(AND(D1176&lt;1980,D1176&gt;=1970),"70",AND(D1176&lt;1990,D1176&gt;=1980),"80",AND(D1176&lt;2000,D1176&gt;=1990),"90",AND(D1176&lt;2010,D1176&gt;=2000),"00",AND(D1176&lt;=2019,D1176&gt;=2010),"10"),"1908-1970")</f>
        <v>1908-1970</v>
      </c>
      <c r="F1176" s="3">
        <v>0.91875000000000007</v>
      </c>
      <c r="G1176" t="s">
        <v>10092</v>
      </c>
      <c r="H1176" t="s">
        <v>10093</v>
      </c>
      <c r="I1176" t="s">
        <v>28931</v>
      </c>
      <c r="J1176" t="s">
        <v>10094</v>
      </c>
      <c r="K1176" t="s">
        <v>10095</v>
      </c>
      <c r="L1176" s="7" t="s">
        <v>10096</v>
      </c>
      <c r="M1176">
        <v>22496</v>
      </c>
      <c r="N1176">
        <v>65</v>
      </c>
      <c r="O1176">
        <v>62</v>
      </c>
      <c r="P1176">
        <v>3</v>
      </c>
      <c r="Q1176">
        <v>28</v>
      </c>
      <c r="R1176">
        <v>28</v>
      </c>
      <c r="S1176">
        <v>0</v>
      </c>
      <c r="T1176">
        <v>0</v>
      </c>
      <c r="U1176" t="s">
        <v>10097</v>
      </c>
      <c r="V1176">
        <f>Tabla1[[#This Row],[Aboard]]-Tabla1[[#This Row],[Fatalities]]</f>
        <v>37</v>
      </c>
      <c r="W1176" s="50">
        <f>IFERROR(Tabla1[[#This Row],[Fatalities]]/Tabla1[[#This Row],[Aboard]],0)</f>
        <v>0.43076923076923079</v>
      </c>
      <c r="X1176" s="51" t="str" cm="1">
        <f t="array" ref="X1176">_xlfn.IFS(Tabla1[[#This Row],[Porcentaje de muertes]]&lt;0.35,"LEVE",AND(Tabla1[[#This Row],[Porcentaje de muertes]]&gt;0.35,Tabla1[[#This Row],[Porcentaje de muertes]]&lt;0.65),"MEDIO",Tabla1[[#This Row],[Porcentaje de muertes]]&gt;0.65,"GRAVE")</f>
        <v>MEDIO</v>
      </c>
    </row>
    <row r="1177" spans="2:24" x14ac:dyDescent="0.3">
      <c r="B1177" s="9">
        <v>1175</v>
      </c>
      <c r="C1177" s="49">
        <v>18512</v>
      </c>
      <c r="D1177" s="9">
        <f>YEAR(Tabla1[[#This Row],[Date]])</f>
        <v>1950</v>
      </c>
      <c r="E1177" s="9" t="str" cm="1">
        <f t="array" ref="E1177">IFERROR(_xlfn.IFS(AND(D1177&lt;1980,D1177&gt;=1970),"70",AND(D1177&lt;1990,D1177&gt;=1980),"80",AND(D1177&lt;2000,D1177&gt;=1990),"90",AND(D1177&lt;2010,D1177&gt;=2000),"00",AND(D1177&lt;=2019,D1177&gt;=2010),"10"),"1908-1970")</f>
        <v>1908-1970</v>
      </c>
      <c r="F1177" s="3">
        <v>0.79166666666666663</v>
      </c>
      <c r="G1177" t="s">
        <v>10098</v>
      </c>
      <c r="H1177" t="s">
        <v>10099</v>
      </c>
      <c r="I1177" t="s">
        <v>28931</v>
      </c>
      <c r="J1177" t="s">
        <v>10100</v>
      </c>
      <c r="K1177" t="s">
        <v>10101</v>
      </c>
      <c r="L1177" s="7" t="s">
        <v>10102</v>
      </c>
      <c r="M1177">
        <v>1546</v>
      </c>
      <c r="N1177">
        <v>15</v>
      </c>
      <c r="O1177">
        <v>12</v>
      </c>
      <c r="P1177">
        <v>3</v>
      </c>
      <c r="Q1177">
        <v>15</v>
      </c>
      <c r="R1177">
        <v>12</v>
      </c>
      <c r="S1177">
        <v>3</v>
      </c>
      <c r="T1177">
        <v>0</v>
      </c>
      <c r="U1177" t="s">
        <v>10103</v>
      </c>
      <c r="V1177">
        <f>Tabla1[[#This Row],[Aboard]]-Tabla1[[#This Row],[Fatalities]]</f>
        <v>0</v>
      </c>
      <c r="W1177" s="50">
        <f>IFERROR(Tabla1[[#This Row],[Fatalities]]/Tabla1[[#This Row],[Aboard]],0)</f>
        <v>1</v>
      </c>
      <c r="X1177" s="51" t="str" cm="1">
        <f t="array" ref="X1177">_xlfn.IFS(Tabla1[[#This Row],[Porcentaje de muertes]]&lt;0.35,"LEVE",AND(Tabla1[[#This Row],[Porcentaje de muertes]]&gt;0.35,Tabla1[[#This Row],[Porcentaje de muertes]]&lt;0.65),"MEDIO",Tabla1[[#This Row],[Porcentaje de muertes]]&gt;0.65,"GRAVE")</f>
        <v>GRAVE</v>
      </c>
    </row>
    <row r="1178" spans="2:24" x14ac:dyDescent="0.3">
      <c r="B1178" s="9">
        <v>1176</v>
      </c>
      <c r="C1178" s="49">
        <v>18603</v>
      </c>
      <c r="D1178" s="9">
        <f>YEAR(Tabla1[[#This Row],[Date]])</f>
        <v>1950</v>
      </c>
      <c r="E1178" s="9" t="str" cm="1">
        <f t="array" ref="E1178">IFERROR(_xlfn.IFS(AND(D1178&lt;1980,D1178&gt;=1970),"70",AND(D1178&lt;1990,D1178&gt;=1980),"80",AND(D1178&lt;2000,D1178&gt;=1990),"90",AND(D1178&lt;2010,D1178&gt;=2000),"00",AND(D1178&lt;=2019,D1178&gt;=2010),"10"),"1908-1970")</f>
        <v>1908-1970</v>
      </c>
      <c r="F1178" s="3">
        <v>0.91111111111111109</v>
      </c>
      <c r="G1178" t="s">
        <v>10104</v>
      </c>
      <c r="H1178" t="s">
        <v>6375</v>
      </c>
      <c r="I1178" t="s">
        <v>28931</v>
      </c>
      <c r="J1178" t="s">
        <v>6407</v>
      </c>
      <c r="K1178" t="s">
        <v>8779</v>
      </c>
      <c r="L1178" s="7" t="s">
        <v>10105</v>
      </c>
      <c r="M1178">
        <v>42937</v>
      </c>
      <c r="N1178">
        <v>52</v>
      </c>
      <c r="O1178">
        <v>44</v>
      </c>
      <c r="P1178">
        <v>8</v>
      </c>
      <c r="Q1178">
        <v>46</v>
      </c>
      <c r="R1178">
        <v>40</v>
      </c>
      <c r="S1178">
        <v>6</v>
      </c>
      <c r="T1178">
        <v>0</v>
      </c>
      <c r="U1178" t="s">
        <v>10106</v>
      </c>
      <c r="V1178">
        <f>Tabla1[[#This Row],[Aboard]]-Tabla1[[#This Row],[Fatalities]]</f>
        <v>6</v>
      </c>
      <c r="W1178" s="50">
        <f>IFERROR(Tabla1[[#This Row],[Fatalities]]/Tabla1[[#This Row],[Aboard]],0)</f>
        <v>0.88461538461538458</v>
      </c>
      <c r="X1178" s="51" t="str" cm="1">
        <f t="array" ref="X1178">_xlfn.IFS(Tabla1[[#This Row],[Porcentaje de muertes]]&lt;0.35,"LEVE",AND(Tabla1[[#This Row],[Porcentaje de muertes]]&gt;0.35,Tabla1[[#This Row],[Porcentaje de muertes]]&lt;0.65),"MEDIO",Tabla1[[#This Row],[Porcentaje de muertes]]&gt;0.65,"GRAVE")</f>
        <v>GRAVE</v>
      </c>
    </row>
    <row r="1179" spans="2:24" x14ac:dyDescent="0.3">
      <c r="B1179" s="9">
        <v>1177</v>
      </c>
      <c r="C1179" s="49">
        <v>18428</v>
      </c>
      <c r="D1179" s="9">
        <f>YEAR(Tabla1[[#This Row],[Date]])</f>
        <v>1950</v>
      </c>
      <c r="E1179" s="9" t="str" cm="1">
        <f t="array" ref="E1179">IFERROR(_xlfn.IFS(AND(D1179&lt;1980,D1179&gt;=1970),"70",AND(D1179&lt;1990,D1179&gt;=1980),"80",AND(D1179&lt;2000,D1179&gt;=1990),"90",AND(D1179&lt;2010,D1179&gt;=2000),"00",AND(D1179&lt;=2019,D1179&gt;=2010),"10"),"1908-1970")</f>
        <v>1908-1970</v>
      </c>
      <c r="F1179" s="3">
        <v>0.91319444444444453</v>
      </c>
      <c r="G1179" t="s">
        <v>10104</v>
      </c>
      <c r="H1179" t="s">
        <v>6375</v>
      </c>
      <c r="I1179" t="s">
        <v>28931</v>
      </c>
      <c r="J1179" t="s">
        <v>6407</v>
      </c>
      <c r="K1179" t="s">
        <v>8779</v>
      </c>
      <c r="L1179" s="7" t="s">
        <v>10107</v>
      </c>
      <c r="M1179">
        <v>42990</v>
      </c>
      <c r="N1179">
        <v>53</v>
      </c>
      <c r="O1179">
        <v>45</v>
      </c>
      <c r="P1179">
        <v>8</v>
      </c>
      <c r="Q1179">
        <v>40</v>
      </c>
      <c r="R1179">
        <v>37</v>
      </c>
      <c r="S1179">
        <v>3</v>
      </c>
      <c r="T1179">
        <v>0</v>
      </c>
      <c r="U1179" t="s">
        <v>10108</v>
      </c>
      <c r="V1179">
        <f>Tabla1[[#This Row],[Aboard]]-Tabla1[[#This Row],[Fatalities]]</f>
        <v>13</v>
      </c>
      <c r="W1179" s="50">
        <f>IFERROR(Tabla1[[#This Row],[Fatalities]]/Tabla1[[#This Row],[Aboard]],0)</f>
        <v>0.75471698113207553</v>
      </c>
      <c r="X1179" s="51" t="str" cm="1">
        <f t="array" ref="X1179">_xlfn.IFS(Tabla1[[#This Row],[Porcentaje de muertes]]&lt;0.35,"LEVE",AND(Tabla1[[#This Row],[Porcentaje de muertes]]&gt;0.35,Tabla1[[#This Row],[Porcentaje de muertes]]&lt;0.65),"MEDIO",Tabla1[[#This Row],[Porcentaje de muertes]]&gt;0.65,"GRAVE")</f>
        <v>GRAVE</v>
      </c>
    </row>
    <row r="1180" spans="2:24" x14ac:dyDescent="0.3">
      <c r="B1180" s="9">
        <v>1178</v>
      </c>
      <c r="C1180" s="49">
        <v>18437</v>
      </c>
      <c r="D1180" s="9">
        <f>YEAR(Tabla1[[#This Row],[Date]])</f>
        <v>1950</v>
      </c>
      <c r="E1180" s="9" t="str" cm="1">
        <f t="array" ref="E1180">IFERROR(_xlfn.IFS(AND(D1180&lt;1980,D1180&gt;=1970),"70",AND(D1180&lt;1990,D1180&gt;=1980),"80",AND(D1180&lt;2000,D1180&gt;=1990),"90",AND(D1180&lt;2010,D1180&gt;=2000),"00",AND(D1180&lt;=2019,D1180&gt;=2010),"10"),"1908-1970")</f>
        <v>1908-1970</v>
      </c>
      <c r="F1180" s="3">
        <v>0.97569444444444453</v>
      </c>
      <c r="G1180" t="s">
        <v>10109</v>
      </c>
      <c r="H1180" t="s">
        <v>5769</v>
      </c>
      <c r="I1180">
        <v>2501</v>
      </c>
      <c r="J1180" t="s">
        <v>10110</v>
      </c>
      <c r="K1180" t="s">
        <v>8822</v>
      </c>
      <c r="L1180" s="7" t="s">
        <v>10111</v>
      </c>
      <c r="M1180">
        <v>10270</v>
      </c>
      <c r="N1180">
        <v>58</v>
      </c>
      <c r="O1180">
        <v>55</v>
      </c>
      <c r="P1180">
        <v>3</v>
      </c>
      <c r="Q1180">
        <v>58</v>
      </c>
      <c r="R1180">
        <v>55</v>
      </c>
      <c r="S1180">
        <v>3</v>
      </c>
      <c r="T1180">
        <v>0</v>
      </c>
      <c r="U1180" t="s">
        <v>10112</v>
      </c>
      <c r="V1180">
        <f>Tabla1[[#This Row],[Aboard]]-Tabla1[[#This Row],[Fatalities]]</f>
        <v>0</v>
      </c>
      <c r="W1180" s="50">
        <f>IFERROR(Tabla1[[#This Row],[Fatalities]]/Tabla1[[#This Row],[Aboard]],0)</f>
        <v>1</v>
      </c>
      <c r="X1180" s="51" t="str" cm="1">
        <f t="array" ref="X1180">_xlfn.IFS(Tabla1[[#This Row],[Porcentaje de muertes]]&lt;0.35,"LEVE",AND(Tabla1[[#This Row],[Porcentaje de muertes]]&gt;0.35,Tabla1[[#This Row],[Porcentaje de muertes]]&lt;0.65),"MEDIO",Tabla1[[#This Row],[Porcentaje de muertes]]&gt;0.65,"GRAVE")</f>
        <v>GRAVE</v>
      </c>
    </row>
    <row r="1181" spans="2:24" x14ac:dyDescent="0.3">
      <c r="B1181" s="9">
        <v>1179</v>
      </c>
      <c r="C1181" s="49">
        <v>18440</v>
      </c>
      <c r="D1181" s="9">
        <f>YEAR(Tabla1[[#This Row],[Date]])</f>
        <v>1950</v>
      </c>
      <c r="E1181" s="9" t="str" cm="1">
        <f t="array" ref="E1181">IFERROR(_xlfn.IFS(AND(D1181&lt;1980,D1181&gt;=1970),"70",AND(D1181&lt;1990,D1181&gt;=1980),"80",AND(D1181&lt;2000,D1181&gt;=1990),"90",AND(D1181&lt;2010,D1181&gt;=2000),"00",AND(D1181&lt;=2019,D1181&gt;=2010),"10"),"1908-1970")</f>
        <v>1908-1970</v>
      </c>
      <c r="F1181" s="3">
        <v>0.95833333333333337</v>
      </c>
      <c r="G1181" t="s">
        <v>10113</v>
      </c>
      <c r="H1181" t="s">
        <v>10114</v>
      </c>
      <c r="I1181" t="s">
        <v>28931</v>
      </c>
      <c r="J1181" t="s">
        <v>10115</v>
      </c>
      <c r="K1181" t="s">
        <v>8779</v>
      </c>
      <c r="L1181" s="7" t="s">
        <v>10116</v>
      </c>
      <c r="M1181">
        <v>42910</v>
      </c>
      <c r="N1181">
        <v>29</v>
      </c>
      <c r="O1181">
        <v>24</v>
      </c>
      <c r="P1181">
        <v>5</v>
      </c>
      <c r="Q1181">
        <v>29</v>
      </c>
      <c r="R1181">
        <v>24</v>
      </c>
      <c r="S1181">
        <v>5</v>
      </c>
      <c r="T1181">
        <v>0</v>
      </c>
      <c r="U1181" t="s">
        <v>10117</v>
      </c>
      <c r="V1181">
        <f>Tabla1[[#This Row],[Aboard]]-Tabla1[[#This Row],[Fatalities]]</f>
        <v>0</v>
      </c>
      <c r="W1181" s="50">
        <f>IFERROR(Tabla1[[#This Row],[Fatalities]]/Tabla1[[#This Row],[Aboard]],0)</f>
        <v>1</v>
      </c>
      <c r="X1181" s="51" t="str" cm="1">
        <f t="array" ref="X1181">_xlfn.IFS(Tabla1[[#This Row],[Porcentaje de muertes]]&lt;0.35,"LEVE",AND(Tabla1[[#This Row],[Porcentaje de muertes]]&gt;0.35,Tabla1[[#This Row],[Porcentaje de muertes]]&lt;0.65),"MEDIO",Tabla1[[#This Row],[Porcentaje de muertes]]&gt;0.65,"GRAVE")</f>
        <v>GRAVE</v>
      </c>
    </row>
    <row r="1182" spans="2:24" x14ac:dyDescent="0.3">
      <c r="B1182" s="9">
        <v>1180</v>
      </c>
      <c r="C1182" s="49">
        <v>18451</v>
      </c>
      <c r="D1182" s="9">
        <f>YEAR(Tabla1[[#This Row],[Date]])</f>
        <v>1950</v>
      </c>
      <c r="E1182" s="9" t="str" cm="1">
        <f t="array" ref="E1182">IFERROR(_xlfn.IFS(AND(D1182&lt;1980,D1182&gt;=1970),"70",AND(D1182&lt;1990,D1182&gt;=1980),"80",AND(D1182&lt;2000,D1182&gt;=1990),"90",AND(D1182&lt;2010,D1182&gt;=2000),"00",AND(D1182&lt;=2019,D1182&gt;=2010),"10"),"1908-1970")</f>
        <v>1908-1970</v>
      </c>
      <c r="F1182" s="3" t="s">
        <v>28931</v>
      </c>
      <c r="G1182" t="s">
        <v>10118</v>
      </c>
      <c r="H1182" t="s">
        <v>7987</v>
      </c>
      <c r="I1182" t="s">
        <v>28931</v>
      </c>
      <c r="J1182" t="s">
        <v>28931</v>
      </c>
      <c r="K1182" t="s">
        <v>8492</v>
      </c>
      <c r="L1182" s="7" t="s">
        <v>10119</v>
      </c>
      <c r="M1182">
        <v>35971</v>
      </c>
      <c r="N1182">
        <v>23</v>
      </c>
      <c r="O1182" t="s">
        <v>5038</v>
      </c>
      <c r="P1182" t="s">
        <v>5038</v>
      </c>
      <c r="Q1182">
        <v>23</v>
      </c>
      <c r="R1182" t="s">
        <v>5038</v>
      </c>
      <c r="S1182" t="s">
        <v>5038</v>
      </c>
      <c r="T1182">
        <v>0</v>
      </c>
      <c r="U1182" t="s">
        <v>10120</v>
      </c>
      <c r="V1182">
        <f>Tabla1[[#This Row],[Aboard]]-Tabla1[[#This Row],[Fatalities]]</f>
        <v>0</v>
      </c>
      <c r="W1182" s="50">
        <f>IFERROR(Tabla1[[#This Row],[Fatalities]]/Tabla1[[#This Row],[Aboard]],0)</f>
        <v>1</v>
      </c>
      <c r="X1182" s="51" t="str" cm="1">
        <f t="array" ref="X1182">_xlfn.IFS(Tabla1[[#This Row],[Porcentaje de muertes]]&lt;0.35,"LEVE",AND(Tabla1[[#This Row],[Porcentaje de muertes]]&gt;0.35,Tabla1[[#This Row],[Porcentaje de muertes]]&lt;0.65),"MEDIO",Tabla1[[#This Row],[Porcentaje de muertes]]&gt;0.65,"GRAVE")</f>
        <v>GRAVE</v>
      </c>
    </row>
    <row r="1183" spans="2:24" x14ac:dyDescent="0.3">
      <c r="B1183" s="9">
        <v>1181</v>
      </c>
      <c r="C1183" s="49">
        <v>18513</v>
      </c>
      <c r="D1183" s="9">
        <f>YEAR(Tabla1[[#This Row],[Date]])</f>
        <v>1950</v>
      </c>
      <c r="E1183" s="9" t="str" cm="1">
        <f t="array" ref="E1183">IFERROR(_xlfn.IFS(AND(D1183&lt;1980,D1183&gt;=1970),"70",AND(D1183&lt;1990,D1183&gt;=1980),"80",AND(D1183&lt;2000,D1183&gt;=1990),"90",AND(D1183&lt;2010,D1183&gt;=2000),"00",AND(D1183&lt;=2019,D1183&gt;=2010),"10"),"1908-1970")</f>
        <v>1908-1970</v>
      </c>
      <c r="F1183" s="3" t="s">
        <v>28931</v>
      </c>
      <c r="G1183" t="s">
        <v>8303</v>
      </c>
      <c r="H1183" t="s">
        <v>9530</v>
      </c>
      <c r="I1183" t="s">
        <v>28931</v>
      </c>
      <c r="J1183" t="s">
        <v>10121</v>
      </c>
      <c r="K1183" t="s">
        <v>7057</v>
      </c>
      <c r="L1183" s="7" t="s">
        <v>10122</v>
      </c>
      <c r="M1183">
        <v>13824</v>
      </c>
      <c r="N1183">
        <v>29</v>
      </c>
      <c r="O1183">
        <v>25</v>
      </c>
      <c r="P1183">
        <v>4</v>
      </c>
      <c r="Q1183">
        <v>22</v>
      </c>
      <c r="R1183">
        <v>18</v>
      </c>
      <c r="S1183">
        <v>4</v>
      </c>
      <c r="T1183">
        <v>0</v>
      </c>
      <c r="U1183" t="s">
        <v>10123</v>
      </c>
      <c r="V1183">
        <f>Tabla1[[#This Row],[Aboard]]-Tabla1[[#This Row],[Fatalities]]</f>
        <v>7</v>
      </c>
      <c r="W1183" s="50">
        <f>IFERROR(Tabla1[[#This Row],[Fatalities]]/Tabla1[[#This Row],[Aboard]],0)</f>
        <v>0.75862068965517238</v>
      </c>
      <c r="X1183" s="51" t="str" cm="1">
        <f t="array" ref="X1183">_xlfn.IFS(Tabla1[[#This Row],[Porcentaje de muertes]]&lt;0.35,"LEVE",AND(Tabla1[[#This Row],[Porcentaje de muertes]]&gt;0.35,Tabla1[[#This Row],[Porcentaje de muertes]]&lt;0.65),"MEDIO",Tabla1[[#This Row],[Porcentaje de muertes]]&gt;0.65,"GRAVE")</f>
        <v>GRAVE</v>
      </c>
    </row>
    <row r="1184" spans="2:24" x14ac:dyDescent="0.3">
      <c r="B1184" s="9">
        <v>1182</v>
      </c>
      <c r="C1184" s="49">
        <v>18461</v>
      </c>
      <c r="D1184" s="9">
        <f>YEAR(Tabla1[[#This Row],[Date]])</f>
        <v>1950</v>
      </c>
      <c r="E1184" s="9" t="str" cm="1">
        <f t="array" ref="E1184">IFERROR(_xlfn.IFS(AND(D1184&lt;1980,D1184&gt;=1970),"70",AND(D1184&lt;1990,D1184&gt;=1980),"80",AND(D1184&lt;2000,D1184&gt;=1990),"90",AND(D1184&lt;2010,D1184&gt;=2000),"00",AND(D1184&lt;=2019,D1184&gt;=2010),"10"),"1908-1970")</f>
        <v>1908-1970</v>
      </c>
      <c r="F1184" s="3" t="s">
        <v>28931</v>
      </c>
      <c r="G1184" t="s">
        <v>10124</v>
      </c>
      <c r="H1184" t="s">
        <v>9435</v>
      </c>
      <c r="I1184" t="s">
        <v>28931</v>
      </c>
      <c r="J1184" t="s">
        <v>10125</v>
      </c>
      <c r="K1184" t="s">
        <v>7057</v>
      </c>
      <c r="L1184" s="7" t="s">
        <v>10126</v>
      </c>
      <c r="M1184">
        <v>20359</v>
      </c>
      <c r="N1184">
        <v>22</v>
      </c>
      <c r="O1184">
        <v>18</v>
      </c>
      <c r="P1184">
        <v>4</v>
      </c>
      <c r="Q1184">
        <v>22</v>
      </c>
      <c r="R1184">
        <v>18</v>
      </c>
      <c r="S1184">
        <v>4</v>
      </c>
      <c r="T1184">
        <v>0</v>
      </c>
      <c r="U1184" t="s">
        <v>10127</v>
      </c>
      <c r="V1184">
        <f>Tabla1[[#This Row],[Aboard]]-Tabla1[[#This Row],[Fatalities]]</f>
        <v>0</v>
      </c>
      <c r="W1184" s="50">
        <f>IFERROR(Tabla1[[#This Row],[Fatalities]]/Tabla1[[#This Row],[Aboard]],0)</f>
        <v>1</v>
      </c>
      <c r="X1184" s="51" t="str" cm="1">
        <f t="array" ref="X1184">_xlfn.IFS(Tabla1[[#This Row],[Porcentaje de muertes]]&lt;0.35,"LEVE",AND(Tabla1[[#This Row],[Porcentaje de muertes]]&gt;0.35,Tabla1[[#This Row],[Porcentaje de muertes]]&lt;0.65),"MEDIO",Tabla1[[#This Row],[Porcentaje de muertes]]&gt;0.65,"GRAVE")</f>
        <v>GRAVE</v>
      </c>
    </row>
    <row r="1185" spans="2:24" x14ac:dyDescent="0.3">
      <c r="B1185" s="9">
        <v>1183</v>
      </c>
      <c r="C1185" s="49">
        <v>18462</v>
      </c>
      <c r="D1185" s="9">
        <f>YEAR(Tabla1[[#This Row],[Date]])</f>
        <v>1950</v>
      </c>
      <c r="E1185" s="9" t="str" cm="1">
        <f t="array" ref="E1185">IFERROR(_xlfn.IFS(AND(D1185&lt;1980,D1185&gt;=1970),"70",AND(D1185&lt;1990,D1185&gt;=1980),"80",AND(D1185&lt;2000,D1185&gt;=1990),"90",AND(D1185&lt;2010,D1185&gt;=2000),"00",AND(D1185&lt;=2019,D1185&gt;=2010),"10"),"1908-1970")</f>
        <v>1908-1970</v>
      </c>
      <c r="F1185" s="3" t="s">
        <v>28931</v>
      </c>
      <c r="G1185" t="s">
        <v>10128</v>
      </c>
      <c r="H1185" t="s">
        <v>10129</v>
      </c>
      <c r="I1185" t="s">
        <v>28931</v>
      </c>
      <c r="J1185" t="s">
        <v>10130</v>
      </c>
      <c r="K1185" t="s">
        <v>7057</v>
      </c>
      <c r="L1185" s="7" t="s">
        <v>10131</v>
      </c>
      <c r="M1185">
        <v>13769</v>
      </c>
      <c r="N1185">
        <v>9</v>
      </c>
      <c r="O1185">
        <v>6</v>
      </c>
      <c r="P1185">
        <v>3</v>
      </c>
      <c r="Q1185">
        <v>9</v>
      </c>
      <c r="R1185">
        <v>6</v>
      </c>
      <c r="S1185">
        <v>3</v>
      </c>
      <c r="T1185">
        <v>0</v>
      </c>
      <c r="U1185" t="s">
        <v>28927</v>
      </c>
      <c r="V1185">
        <f>Tabla1[[#This Row],[Aboard]]-Tabla1[[#This Row],[Fatalities]]</f>
        <v>0</v>
      </c>
      <c r="W1185" s="50">
        <f>IFERROR(Tabla1[[#This Row],[Fatalities]]/Tabla1[[#This Row],[Aboard]],0)</f>
        <v>1</v>
      </c>
      <c r="X1185" s="51" t="str" cm="1">
        <f t="array" ref="X1185">_xlfn.IFS(Tabla1[[#This Row],[Porcentaje de muertes]]&lt;0.35,"LEVE",AND(Tabla1[[#This Row],[Porcentaje de muertes]]&gt;0.35,Tabla1[[#This Row],[Porcentaje de muertes]]&lt;0.65),"MEDIO",Tabla1[[#This Row],[Porcentaje de muertes]]&gt;0.65,"GRAVE")</f>
        <v>GRAVE</v>
      </c>
    </row>
    <row r="1186" spans="2:24" x14ac:dyDescent="0.3">
      <c r="B1186" s="9">
        <v>1184</v>
      </c>
      <c r="C1186" s="49">
        <v>18471</v>
      </c>
      <c r="D1186" s="9">
        <f>YEAR(Tabla1[[#This Row],[Date]])</f>
        <v>1950</v>
      </c>
      <c r="E1186" s="9" t="str" cm="1">
        <f t="array" ref="E1186">IFERROR(_xlfn.IFS(AND(D1186&lt;1980,D1186&gt;=1970),"70",AND(D1186&lt;1990,D1186&gt;=1980),"80",AND(D1186&lt;2000,D1186&gt;=1990),"90",AND(D1186&lt;2010,D1186&gt;=2000),"00",AND(D1186&lt;=2019,D1186&gt;=2010),"10"),"1908-1970")</f>
        <v>1908-1970</v>
      </c>
      <c r="F1186" s="3">
        <v>0.1875</v>
      </c>
      <c r="G1186" t="s">
        <v>10132</v>
      </c>
      <c r="H1186" t="s">
        <v>7987</v>
      </c>
      <c r="I1186" t="s">
        <v>28931</v>
      </c>
      <c r="J1186" t="s">
        <v>28931</v>
      </c>
      <c r="K1186" t="s">
        <v>10133</v>
      </c>
      <c r="L1186" s="7" t="s">
        <v>10134</v>
      </c>
      <c r="M1186" t="s">
        <v>28931</v>
      </c>
      <c r="N1186">
        <v>26</v>
      </c>
      <c r="O1186">
        <v>23</v>
      </c>
      <c r="P1186">
        <v>3</v>
      </c>
      <c r="Q1186">
        <v>25</v>
      </c>
      <c r="R1186">
        <v>22</v>
      </c>
      <c r="S1186">
        <v>3</v>
      </c>
      <c r="T1186">
        <v>0</v>
      </c>
      <c r="U1186" t="s">
        <v>10135</v>
      </c>
      <c r="V1186">
        <f>Tabla1[[#This Row],[Aboard]]-Tabla1[[#This Row],[Fatalities]]</f>
        <v>1</v>
      </c>
      <c r="W1186" s="50">
        <f>IFERROR(Tabla1[[#This Row],[Fatalities]]/Tabla1[[#This Row],[Aboard]],0)</f>
        <v>0.96153846153846156</v>
      </c>
      <c r="X1186" s="51" t="str" cm="1">
        <f t="array" ref="X1186">_xlfn.IFS(Tabla1[[#This Row],[Porcentaje de muertes]]&lt;0.35,"LEVE",AND(Tabla1[[#This Row],[Porcentaje de muertes]]&gt;0.35,Tabla1[[#This Row],[Porcentaje de muertes]]&lt;0.65),"MEDIO",Tabla1[[#This Row],[Porcentaje de muertes]]&gt;0.65,"GRAVE")</f>
        <v>GRAVE</v>
      </c>
    </row>
    <row r="1187" spans="2:24" x14ac:dyDescent="0.3">
      <c r="B1187" s="9">
        <v>1185</v>
      </c>
      <c r="C1187" s="49">
        <v>18472</v>
      </c>
      <c r="D1187" s="9">
        <f>YEAR(Tabla1[[#This Row],[Date]])</f>
        <v>1950</v>
      </c>
      <c r="E1187" s="9" t="str" cm="1">
        <f t="array" ref="E1187">IFERROR(_xlfn.IFS(AND(D1187&lt;1980,D1187&gt;=1970),"70",AND(D1187&lt;1990,D1187&gt;=1980),"80",AND(D1187&lt;2000,D1187&gt;=1990),"90",AND(D1187&lt;2010,D1187&gt;=2000),"00",AND(D1187&lt;=2019,D1187&gt;=2010),"10"),"1908-1970")</f>
        <v>1908-1970</v>
      </c>
      <c r="F1187" s="3" t="s">
        <v>28931</v>
      </c>
      <c r="G1187" t="s">
        <v>10136</v>
      </c>
      <c r="H1187" t="s">
        <v>7669</v>
      </c>
      <c r="I1187" t="s">
        <v>28931</v>
      </c>
      <c r="J1187" t="s">
        <v>10137</v>
      </c>
      <c r="K1187" t="s">
        <v>10138</v>
      </c>
      <c r="L1187" s="7" t="s">
        <v>10139</v>
      </c>
      <c r="M1187">
        <v>2962</v>
      </c>
      <c r="N1187">
        <v>50</v>
      </c>
      <c r="O1187">
        <v>43</v>
      </c>
      <c r="P1187">
        <v>7</v>
      </c>
      <c r="Q1187">
        <v>50</v>
      </c>
      <c r="R1187">
        <v>43</v>
      </c>
      <c r="S1187">
        <v>7</v>
      </c>
      <c r="T1187">
        <v>0</v>
      </c>
      <c r="U1187" t="s">
        <v>10140</v>
      </c>
      <c r="V1187">
        <f>Tabla1[[#This Row],[Aboard]]-Tabla1[[#This Row],[Fatalities]]</f>
        <v>0</v>
      </c>
      <c r="W1187" s="50">
        <f>IFERROR(Tabla1[[#This Row],[Fatalities]]/Tabla1[[#This Row],[Aboard]],0)</f>
        <v>1</v>
      </c>
      <c r="X1187" s="51" t="str" cm="1">
        <f t="array" ref="X1187">_xlfn.IFS(Tabla1[[#This Row],[Porcentaje de muertes]]&lt;0.35,"LEVE",AND(Tabla1[[#This Row],[Porcentaje de muertes]]&gt;0.35,Tabla1[[#This Row],[Porcentaje de muertes]]&lt;0.65),"MEDIO",Tabla1[[#This Row],[Porcentaje de muertes]]&gt;0.65,"GRAVE")</f>
        <v>GRAVE</v>
      </c>
    </row>
    <row r="1188" spans="2:24" x14ac:dyDescent="0.3">
      <c r="B1188" s="9">
        <v>1186</v>
      </c>
      <c r="C1188" s="49">
        <v>18473</v>
      </c>
      <c r="D1188" s="9">
        <f>YEAR(Tabla1[[#This Row],[Date]])</f>
        <v>1950</v>
      </c>
      <c r="E1188" s="9" t="str" cm="1">
        <f t="array" ref="E1188">IFERROR(_xlfn.IFS(AND(D1188&lt;1980,D1188&gt;=1970),"70",AND(D1188&lt;1990,D1188&gt;=1980),"80",AND(D1188&lt;2000,D1188&gt;=1990),"90",AND(D1188&lt;2010,D1188&gt;=2000),"00",AND(D1188&lt;=2019,D1188&gt;=2010),"10"),"1908-1970")</f>
        <v>1908-1970</v>
      </c>
      <c r="F1188" s="3" t="s">
        <v>28931</v>
      </c>
      <c r="G1188" t="s">
        <v>10141</v>
      </c>
      <c r="H1188" t="s">
        <v>10142</v>
      </c>
      <c r="I1188" t="s">
        <v>28931</v>
      </c>
      <c r="J1188" t="s">
        <v>10143</v>
      </c>
      <c r="K1188" t="s">
        <v>9876</v>
      </c>
      <c r="L1188" s="7" t="s">
        <v>10144</v>
      </c>
      <c r="M1188">
        <v>12738</v>
      </c>
      <c r="N1188">
        <v>26</v>
      </c>
      <c r="O1188">
        <v>22</v>
      </c>
      <c r="P1188">
        <v>4</v>
      </c>
      <c r="Q1188">
        <v>26</v>
      </c>
      <c r="R1188">
        <v>22</v>
      </c>
      <c r="S1188">
        <v>4</v>
      </c>
      <c r="T1188">
        <v>0</v>
      </c>
      <c r="U1188" t="s">
        <v>10145</v>
      </c>
      <c r="V1188">
        <f>Tabla1[[#This Row],[Aboard]]-Tabla1[[#This Row],[Fatalities]]</f>
        <v>0</v>
      </c>
      <c r="W1188" s="50">
        <f>IFERROR(Tabla1[[#This Row],[Fatalities]]/Tabla1[[#This Row],[Aboard]],0)</f>
        <v>1</v>
      </c>
      <c r="X1188" s="51" t="str" cm="1">
        <f t="array" ref="X1188">_xlfn.IFS(Tabla1[[#This Row],[Porcentaje de muertes]]&lt;0.35,"LEVE",AND(Tabla1[[#This Row],[Porcentaje de muertes]]&gt;0.35,Tabla1[[#This Row],[Porcentaje de muertes]]&lt;0.65),"MEDIO",Tabla1[[#This Row],[Porcentaje de muertes]]&gt;0.65,"GRAVE")</f>
        <v>GRAVE</v>
      </c>
    </row>
    <row r="1189" spans="2:24" x14ac:dyDescent="0.3">
      <c r="B1189" s="9">
        <v>1187</v>
      </c>
      <c r="C1189" s="49">
        <v>18474</v>
      </c>
      <c r="D1189" s="9">
        <f>YEAR(Tabla1[[#This Row],[Date]])</f>
        <v>1950</v>
      </c>
      <c r="E1189" s="9" t="str" cm="1">
        <f t="array" ref="E1189">IFERROR(_xlfn.IFS(AND(D1189&lt;1980,D1189&gt;=1970),"70",AND(D1189&lt;1990,D1189&gt;=1980),"80",AND(D1189&lt;2000,D1189&gt;=1990),"90",AND(D1189&lt;2010,D1189&gt;=2000),"00",AND(D1189&lt;=2019,D1189&gt;=2010),"10"),"1908-1970")</f>
        <v>1908-1970</v>
      </c>
      <c r="F1189" s="3" t="s">
        <v>28931</v>
      </c>
      <c r="G1189" t="s">
        <v>10146</v>
      </c>
      <c r="H1189" t="s">
        <v>10147</v>
      </c>
      <c r="I1189" t="s">
        <v>28931</v>
      </c>
      <c r="J1189" t="s">
        <v>28931</v>
      </c>
      <c r="K1189" t="s">
        <v>5038</v>
      </c>
      <c r="L1189" s="7" t="s">
        <v>28931</v>
      </c>
      <c r="M1189" t="s">
        <v>28931</v>
      </c>
      <c r="N1189" t="s">
        <v>5038</v>
      </c>
      <c r="O1189" t="s">
        <v>5038</v>
      </c>
      <c r="P1189" t="s">
        <v>5038</v>
      </c>
      <c r="Q1189">
        <v>10</v>
      </c>
      <c r="R1189" t="s">
        <v>5038</v>
      </c>
      <c r="S1189" t="s">
        <v>5038</v>
      </c>
      <c r="T1189" t="s">
        <v>5038</v>
      </c>
      <c r="U1189" t="s">
        <v>28927</v>
      </c>
      <c r="V1189" t="s">
        <v>5038</v>
      </c>
      <c r="W1189" s="50">
        <f>IFERROR(Tabla1[[#This Row],[Fatalities]]/Tabla1[[#This Row],[Aboard]],0)</f>
        <v>0</v>
      </c>
      <c r="X1189" s="51" t="str" cm="1">
        <f t="array" ref="X1189">_xlfn.IFS(Tabla1[[#This Row],[Porcentaje de muertes]]&lt;0.35,"LEVE",AND(Tabla1[[#This Row],[Porcentaje de muertes]]&gt;0.35,Tabla1[[#This Row],[Porcentaje de muertes]]&lt;0.65),"MEDIO",Tabla1[[#This Row],[Porcentaje de muertes]]&gt;0.65,"GRAVE")</f>
        <v>LEVE</v>
      </c>
    </row>
    <row r="1190" spans="2:24" x14ac:dyDescent="0.3">
      <c r="B1190" s="9">
        <v>1188</v>
      </c>
      <c r="C1190" s="49">
        <v>18474</v>
      </c>
      <c r="D1190" s="9">
        <f>YEAR(Tabla1[[#This Row],[Date]])</f>
        <v>1950</v>
      </c>
      <c r="E1190" s="9" t="str" cm="1">
        <f t="array" ref="E1190">IFERROR(_xlfn.IFS(AND(D1190&lt;1980,D1190&gt;=1970),"70",AND(D1190&lt;1990,D1190&gt;=1980),"80",AND(D1190&lt;2000,D1190&gt;=1990),"90",AND(D1190&lt;2010,D1190&gt;=2000),"00",AND(D1190&lt;=2019,D1190&gt;=2010),"10"),"1908-1970")</f>
        <v>1908-1970</v>
      </c>
      <c r="F1190" s="3">
        <v>0.2388888888888889</v>
      </c>
      <c r="G1190" t="s">
        <v>10148</v>
      </c>
      <c r="H1190" t="s">
        <v>6541</v>
      </c>
      <c r="I1190" t="s">
        <v>28931</v>
      </c>
      <c r="J1190" t="s">
        <v>28931</v>
      </c>
      <c r="K1190" t="s">
        <v>9305</v>
      </c>
      <c r="L1190" s="7" t="s">
        <v>10149</v>
      </c>
      <c r="M1190">
        <v>93013302</v>
      </c>
      <c r="N1190">
        <v>25</v>
      </c>
      <c r="O1190">
        <v>19</v>
      </c>
      <c r="P1190">
        <v>6</v>
      </c>
      <c r="Q1190">
        <v>25</v>
      </c>
      <c r="R1190">
        <v>19</v>
      </c>
      <c r="S1190">
        <v>6</v>
      </c>
      <c r="T1190">
        <v>0</v>
      </c>
      <c r="U1190" t="s">
        <v>10150</v>
      </c>
      <c r="V1190">
        <f>Tabla1[[#This Row],[Aboard]]-Tabla1[[#This Row],[Fatalities]]</f>
        <v>0</v>
      </c>
      <c r="W1190" s="50">
        <f>IFERROR(Tabla1[[#This Row],[Fatalities]]/Tabla1[[#This Row],[Aboard]],0)</f>
        <v>1</v>
      </c>
      <c r="X1190" s="51" t="str" cm="1">
        <f t="array" ref="X1190">_xlfn.IFS(Tabla1[[#This Row],[Porcentaje de muertes]]&lt;0.35,"LEVE",AND(Tabla1[[#This Row],[Porcentaje de muertes]]&gt;0.35,Tabla1[[#This Row],[Porcentaje de muertes]]&lt;0.65),"MEDIO",Tabla1[[#This Row],[Porcentaje de muertes]]&gt;0.65,"GRAVE")</f>
        <v>GRAVE</v>
      </c>
    </row>
    <row r="1191" spans="2:24" x14ac:dyDescent="0.3">
      <c r="B1191" s="9">
        <v>1189</v>
      </c>
      <c r="C1191" s="49">
        <v>18391</v>
      </c>
      <c r="D1191" s="9">
        <f>YEAR(Tabla1[[#This Row],[Date]])</f>
        <v>1950</v>
      </c>
      <c r="E1191" s="9" t="str" cm="1">
        <f t="array" ref="E1191">IFERROR(_xlfn.IFS(AND(D1191&lt;1980,D1191&gt;=1970),"70",AND(D1191&lt;1990,D1191&gt;=1980),"80",AND(D1191&lt;2000,D1191&gt;=1990),"90",AND(D1191&lt;2010,D1191&gt;=2000),"00",AND(D1191&lt;=2019,D1191&gt;=2010),"10"),"1908-1970")</f>
        <v>1908-1970</v>
      </c>
      <c r="F1191" s="3">
        <v>0.91666666666666663</v>
      </c>
      <c r="G1191" t="s">
        <v>10151</v>
      </c>
      <c r="H1191" t="s">
        <v>7987</v>
      </c>
      <c r="I1191" t="s">
        <v>28931</v>
      </c>
      <c r="J1191" t="s">
        <v>28931</v>
      </c>
      <c r="K1191" t="s">
        <v>10152</v>
      </c>
      <c r="L1191" s="7" t="s">
        <v>10153</v>
      </c>
      <c r="M1191" t="s">
        <v>28931</v>
      </c>
      <c r="N1191">
        <v>20</v>
      </c>
      <c r="O1191" t="s">
        <v>5038</v>
      </c>
      <c r="P1191" t="s">
        <v>5038</v>
      </c>
      <c r="Q1191">
        <v>12</v>
      </c>
      <c r="R1191" t="s">
        <v>5038</v>
      </c>
      <c r="S1191" t="s">
        <v>5038</v>
      </c>
      <c r="T1191">
        <v>7</v>
      </c>
      <c r="U1191" t="s">
        <v>10154</v>
      </c>
      <c r="V1191">
        <f>Tabla1[[#This Row],[Aboard]]-Tabla1[[#This Row],[Fatalities]]</f>
        <v>8</v>
      </c>
      <c r="W1191" s="50">
        <f>IFERROR(Tabla1[[#This Row],[Fatalities]]/Tabla1[[#This Row],[Aboard]],0)</f>
        <v>0.6</v>
      </c>
      <c r="X1191" s="51" t="str" cm="1">
        <f t="array" ref="X1191">_xlfn.IFS(Tabla1[[#This Row],[Porcentaje de muertes]]&lt;0.35,"LEVE",AND(Tabla1[[#This Row],[Porcentaje de muertes]]&gt;0.35,Tabla1[[#This Row],[Porcentaje de muertes]]&lt;0.65),"MEDIO",Tabla1[[#This Row],[Porcentaje de muertes]]&gt;0.65,"GRAVE")</f>
        <v>MEDIO</v>
      </c>
    </row>
    <row r="1192" spans="2:24" x14ac:dyDescent="0.3">
      <c r="B1192" s="9">
        <v>1190</v>
      </c>
      <c r="C1192" s="49">
        <v>18497</v>
      </c>
      <c r="D1192" s="9">
        <f>YEAR(Tabla1[[#This Row],[Date]])</f>
        <v>1950</v>
      </c>
      <c r="E1192" s="9" t="str" cm="1">
        <f t="array" ref="E1192">IFERROR(_xlfn.IFS(AND(D1192&lt;1980,D1192&gt;=1970),"70",AND(D1192&lt;1990,D1192&gt;=1980),"80",AND(D1192&lt;2000,D1192&gt;=1990),"90",AND(D1192&lt;2010,D1192&gt;=2000),"00",AND(D1192&lt;=2019,D1192&gt;=2010),"10"),"1908-1970")</f>
        <v>1908-1970</v>
      </c>
      <c r="F1192" s="3">
        <v>0.10902777777777778</v>
      </c>
      <c r="G1192" t="s">
        <v>10155</v>
      </c>
      <c r="H1192" t="s">
        <v>6536</v>
      </c>
      <c r="I1192">
        <v>14</v>
      </c>
      <c r="J1192" t="s">
        <v>10156</v>
      </c>
      <c r="K1192" t="s">
        <v>9230</v>
      </c>
      <c r="L1192" s="7" t="s">
        <v>10157</v>
      </c>
      <c r="M1192" t="s">
        <v>10158</v>
      </c>
      <c r="N1192">
        <v>59</v>
      </c>
      <c r="O1192">
        <v>54</v>
      </c>
      <c r="P1192">
        <v>5</v>
      </c>
      <c r="Q1192">
        <v>1</v>
      </c>
      <c r="R1192">
        <v>1</v>
      </c>
      <c r="S1192">
        <v>0</v>
      </c>
      <c r="T1192">
        <v>0</v>
      </c>
      <c r="U1192" t="s">
        <v>10159</v>
      </c>
      <c r="V1192">
        <f>Tabla1[[#This Row],[Aboard]]-Tabla1[[#This Row],[Fatalities]]</f>
        <v>58</v>
      </c>
      <c r="W1192" s="50">
        <f>IFERROR(Tabla1[[#This Row],[Fatalities]]/Tabla1[[#This Row],[Aboard]],0)</f>
        <v>1.6949152542372881E-2</v>
      </c>
      <c r="X1192" s="51" t="str" cm="1">
        <f t="array" ref="X1192">_xlfn.IFS(Tabla1[[#This Row],[Porcentaje de muertes]]&lt;0.35,"LEVE",AND(Tabla1[[#This Row],[Porcentaje de muertes]]&gt;0.35,Tabla1[[#This Row],[Porcentaje de muertes]]&lt;0.65),"MEDIO",Tabla1[[#This Row],[Porcentaje de muertes]]&gt;0.65,"GRAVE")</f>
        <v>LEVE</v>
      </c>
    </row>
    <row r="1193" spans="2:24" x14ac:dyDescent="0.3">
      <c r="B1193" s="9">
        <v>1191</v>
      </c>
      <c r="C1193" s="49">
        <v>18500</v>
      </c>
      <c r="D1193" s="9">
        <f>YEAR(Tabla1[[#This Row],[Date]])</f>
        <v>1950</v>
      </c>
      <c r="E1193" s="9" t="str" cm="1">
        <f t="array" ref="E1193">IFERROR(_xlfn.IFS(AND(D1193&lt;1980,D1193&gt;=1970),"70",AND(D1193&lt;1990,D1193&gt;=1980),"80",AND(D1193&lt;2000,D1193&gt;=1990),"90",AND(D1193&lt;2010,D1193&gt;=2000),"00",AND(D1193&lt;=2019,D1193&gt;=2010),"10"),"1908-1970")</f>
        <v>1908-1970</v>
      </c>
      <c r="F1193" s="3" t="s">
        <v>28931</v>
      </c>
      <c r="G1193" t="s">
        <v>10160</v>
      </c>
      <c r="H1193" t="s">
        <v>7665</v>
      </c>
      <c r="I1193" t="s">
        <v>28931</v>
      </c>
      <c r="J1193" t="s">
        <v>10161</v>
      </c>
      <c r="K1193" t="s">
        <v>8465</v>
      </c>
      <c r="L1193" s="7" t="s">
        <v>10162</v>
      </c>
      <c r="M1193" t="s">
        <v>10163</v>
      </c>
      <c r="N1193">
        <v>12</v>
      </c>
      <c r="O1193" t="s">
        <v>5038</v>
      </c>
      <c r="P1193">
        <v>12</v>
      </c>
      <c r="Q1193">
        <v>12</v>
      </c>
      <c r="R1193" t="s">
        <v>5038</v>
      </c>
      <c r="S1193">
        <v>12</v>
      </c>
      <c r="T1193">
        <v>0</v>
      </c>
      <c r="U1193" t="s">
        <v>10164</v>
      </c>
      <c r="V1193">
        <f>Tabla1[[#This Row],[Aboard]]-Tabla1[[#This Row],[Fatalities]]</f>
        <v>0</v>
      </c>
      <c r="W1193" s="50">
        <f>IFERROR(Tabla1[[#This Row],[Fatalities]]/Tabla1[[#This Row],[Aboard]],0)</f>
        <v>1</v>
      </c>
      <c r="X1193" s="51" t="str" cm="1">
        <f t="array" ref="X1193">_xlfn.IFS(Tabla1[[#This Row],[Porcentaje de muertes]]&lt;0.35,"LEVE",AND(Tabla1[[#This Row],[Porcentaje de muertes]]&gt;0.35,Tabla1[[#This Row],[Porcentaje de muertes]]&lt;0.65),"MEDIO",Tabla1[[#This Row],[Porcentaje de muertes]]&gt;0.65,"GRAVE")</f>
        <v>GRAVE</v>
      </c>
    </row>
    <row r="1194" spans="2:24" x14ac:dyDescent="0.3">
      <c r="B1194" s="9">
        <v>1192</v>
      </c>
      <c r="C1194" s="49">
        <v>18506</v>
      </c>
      <c r="D1194" s="9">
        <f>YEAR(Tabla1[[#This Row],[Date]])</f>
        <v>1950</v>
      </c>
      <c r="E1194" s="9" t="str" cm="1">
        <f t="array" ref="E1194">IFERROR(_xlfn.IFS(AND(D1194&lt;1980,D1194&gt;=1970),"70",AND(D1194&lt;1990,D1194&gt;=1980),"80",AND(D1194&lt;2000,D1194&gt;=1990),"90",AND(D1194&lt;2010,D1194&gt;=2000),"00",AND(D1194&lt;=2019,D1194&gt;=2010),"10"),"1908-1970")</f>
        <v>1908-1970</v>
      </c>
      <c r="F1194" s="3">
        <v>2.0833333333333333E-3</v>
      </c>
      <c r="G1194" t="s">
        <v>10165</v>
      </c>
      <c r="H1194" t="s">
        <v>10166</v>
      </c>
      <c r="I1194">
        <v>903</v>
      </c>
      <c r="J1194" t="s">
        <v>8666</v>
      </c>
      <c r="K1194" t="s">
        <v>10167</v>
      </c>
      <c r="L1194" s="7" t="s">
        <v>10168</v>
      </c>
      <c r="M1194">
        <v>2636</v>
      </c>
      <c r="N1194">
        <v>55</v>
      </c>
      <c r="O1194">
        <v>48</v>
      </c>
      <c r="P1194">
        <v>7</v>
      </c>
      <c r="Q1194">
        <v>55</v>
      </c>
      <c r="R1194">
        <v>48</v>
      </c>
      <c r="S1194">
        <v>7</v>
      </c>
      <c r="T1194">
        <v>0</v>
      </c>
      <c r="U1194" t="s">
        <v>10169</v>
      </c>
      <c r="V1194">
        <f>Tabla1[[#This Row],[Aboard]]-Tabla1[[#This Row],[Fatalities]]</f>
        <v>0</v>
      </c>
      <c r="W1194" s="50">
        <f>IFERROR(Tabla1[[#This Row],[Fatalities]]/Tabla1[[#This Row],[Aboard]],0)</f>
        <v>1</v>
      </c>
      <c r="X1194" s="51" t="str" cm="1">
        <f t="array" ref="X1194">_xlfn.IFS(Tabla1[[#This Row],[Porcentaje de muertes]]&lt;0.35,"LEVE",AND(Tabla1[[#This Row],[Porcentaje de muertes]]&gt;0.35,Tabla1[[#This Row],[Porcentaje de muertes]]&lt;0.65),"MEDIO",Tabla1[[#This Row],[Porcentaje de muertes]]&gt;0.65,"GRAVE")</f>
        <v>GRAVE</v>
      </c>
    </row>
    <row r="1195" spans="2:24" x14ac:dyDescent="0.3">
      <c r="B1195" s="9">
        <v>1193</v>
      </c>
      <c r="C1195" s="49">
        <v>18362</v>
      </c>
      <c r="D1195" s="9">
        <f>YEAR(Tabla1[[#This Row],[Date]])</f>
        <v>1950</v>
      </c>
      <c r="E1195" s="9" t="str" cm="1">
        <f t="array" ref="E1195">IFERROR(_xlfn.IFS(AND(D1195&lt;1980,D1195&gt;=1970),"70",AND(D1195&lt;1990,D1195&gt;=1980),"80",AND(D1195&lt;2000,D1195&gt;=1990),"90",AND(D1195&lt;2010,D1195&gt;=2000),"00",AND(D1195&lt;=2019,D1195&gt;=2010),"10"),"1908-1970")</f>
        <v>1908-1970</v>
      </c>
      <c r="F1195" s="3">
        <v>0.59027777777777779</v>
      </c>
      <c r="G1195" t="s">
        <v>10170</v>
      </c>
      <c r="H1195" t="s">
        <v>10171</v>
      </c>
      <c r="I1195">
        <v>32</v>
      </c>
      <c r="J1195" t="s">
        <v>10172</v>
      </c>
      <c r="K1195" t="s">
        <v>7057</v>
      </c>
      <c r="L1195" s="7" t="s">
        <v>10173</v>
      </c>
      <c r="M1195">
        <v>2011</v>
      </c>
      <c r="N1195">
        <v>23</v>
      </c>
      <c r="O1195">
        <v>20</v>
      </c>
      <c r="P1195">
        <v>3</v>
      </c>
      <c r="Q1195">
        <v>16</v>
      </c>
      <c r="R1195">
        <v>13</v>
      </c>
      <c r="S1195">
        <v>3</v>
      </c>
      <c r="T1195">
        <v>0</v>
      </c>
      <c r="U1195" t="s">
        <v>10174</v>
      </c>
      <c r="V1195">
        <f>Tabla1[[#This Row],[Aboard]]-Tabla1[[#This Row],[Fatalities]]</f>
        <v>7</v>
      </c>
      <c r="W1195" s="50">
        <f>IFERROR(Tabla1[[#This Row],[Fatalities]]/Tabla1[[#This Row],[Aboard]],0)</f>
        <v>0.69565217391304346</v>
      </c>
      <c r="X1195" s="51" t="str" cm="1">
        <f t="array" ref="X1195">_xlfn.IFS(Tabla1[[#This Row],[Porcentaje de muertes]]&lt;0.35,"LEVE",AND(Tabla1[[#This Row],[Porcentaje de muertes]]&gt;0.35,Tabla1[[#This Row],[Porcentaje de muertes]]&lt;0.65),"MEDIO",Tabla1[[#This Row],[Porcentaje de muertes]]&gt;0.65,"GRAVE")</f>
        <v>GRAVE</v>
      </c>
    </row>
    <row r="1196" spans="2:24" x14ac:dyDescent="0.3">
      <c r="B1196" s="9">
        <v>1194</v>
      </c>
      <c r="C1196" s="49">
        <v>18520</v>
      </c>
      <c r="D1196" s="9">
        <f>YEAR(Tabla1[[#This Row],[Date]])</f>
        <v>1950</v>
      </c>
      <c r="E1196" s="9" t="str" cm="1">
        <f t="array" ref="E1196">IFERROR(_xlfn.IFS(AND(D1196&lt;1980,D1196&gt;=1970),"70",AND(D1196&lt;1990,D1196&gt;=1980),"80",AND(D1196&lt;2000,D1196&gt;=1990),"90",AND(D1196&lt;2010,D1196&gt;=2000),"00",AND(D1196&lt;=2019,D1196&gt;=2010),"10"),"1908-1970")</f>
        <v>1908-1970</v>
      </c>
      <c r="F1196" s="3" t="s">
        <v>28931</v>
      </c>
      <c r="G1196" t="s">
        <v>10175</v>
      </c>
      <c r="H1196" t="s">
        <v>10176</v>
      </c>
      <c r="I1196" t="s">
        <v>28931</v>
      </c>
      <c r="J1196" t="s">
        <v>28931</v>
      </c>
      <c r="K1196" t="s">
        <v>7057</v>
      </c>
      <c r="L1196" s="7" t="s">
        <v>10177</v>
      </c>
      <c r="M1196">
        <v>9813</v>
      </c>
      <c r="N1196">
        <v>8</v>
      </c>
      <c r="O1196">
        <v>5</v>
      </c>
      <c r="P1196">
        <v>3</v>
      </c>
      <c r="Q1196">
        <v>8</v>
      </c>
      <c r="R1196">
        <v>5</v>
      </c>
      <c r="S1196">
        <v>3</v>
      </c>
      <c r="T1196">
        <v>0</v>
      </c>
      <c r="U1196" t="s">
        <v>10178</v>
      </c>
      <c r="V1196">
        <f>Tabla1[[#This Row],[Aboard]]-Tabla1[[#This Row],[Fatalities]]</f>
        <v>0</v>
      </c>
      <c r="W1196" s="50">
        <f>IFERROR(Tabla1[[#This Row],[Fatalities]]/Tabla1[[#This Row],[Aboard]],0)</f>
        <v>1</v>
      </c>
      <c r="X1196" s="51" t="str" cm="1">
        <f t="array" ref="X1196">_xlfn.IFS(Tabla1[[#This Row],[Porcentaje de muertes]]&lt;0.35,"LEVE",AND(Tabla1[[#This Row],[Porcentaje de muertes]]&gt;0.35,Tabla1[[#This Row],[Porcentaje de muertes]]&lt;0.65),"MEDIO",Tabla1[[#This Row],[Porcentaje de muertes]]&gt;0.65,"GRAVE")</f>
        <v>GRAVE</v>
      </c>
    </row>
    <row r="1197" spans="2:24" x14ac:dyDescent="0.3">
      <c r="B1197" s="9">
        <v>1195</v>
      </c>
      <c r="C1197" s="49">
        <v>18526</v>
      </c>
      <c r="D1197" s="9">
        <f>YEAR(Tabla1[[#This Row],[Date]])</f>
        <v>1950</v>
      </c>
      <c r="E1197" s="9" t="str" cm="1">
        <f t="array" ref="E1197">IFERROR(_xlfn.IFS(AND(D1197&lt;1980,D1197&gt;=1970),"70",AND(D1197&lt;1990,D1197&gt;=1980),"80",AND(D1197&lt;2000,D1197&gt;=1990),"90",AND(D1197&lt;2010,D1197&gt;=2000),"00",AND(D1197&lt;=2019,D1197&gt;=2010),"10"),"1908-1970")</f>
        <v>1908-1970</v>
      </c>
      <c r="F1197" s="3">
        <v>0.22222222222222221</v>
      </c>
      <c r="G1197" t="s">
        <v>10179</v>
      </c>
      <c r="H1197" t="s">
        <v>5027</v>
      </c>
      <c r="I1197" t="s">
        <v>28931</v>
      </c>
      <c r="J1197" t="s">
        <v>10180</v>
      </c>
      <c r="K1197" t="s">
        <v>10181</v>
      </c>
      <c r="L1197" s="7">
        <v>56496</v>
      </c>
      <c r="M1197">
        <v>10624</v>
      </c>
      <c r="N1197">
        <v>26</v>
      </c>
      <c r="O1197">
        <v>19</v>
      </c>
      <c r="P1197">
        <v>7</v>
      </c>
      <c r="Q1197">
        <v>26</v>
      </c>
      <c r="R1197">
        <v>19</v>
      </c>
      <c r="S1197">
        <v>7</v>
      </c>
      <c r="T1197">
        <v>0</v>
      </c>
      <c r="U1197" t="s">
        <v>10182</v>
      </c>
      <c r="V1197">
        <f>Tabla1[[#This Row],[Aboard]]-Tabla1[[#This Row],[Fatalities]]</f>
        <v>0</v>
      </c>
      <c r="W1197" s="50">
        <f>IFERROR(Tabla1[[#This Row],[Fatalities]]/Tabla1[[#This Row],[Aboard]],0)</f>
        <v>1</v>
      </c>
      <c r="X1197" s="51" t="str" cm="1">
        <f t="array" ref="X1197">_xlfn.IFS(Tabla1[[#This Row],[Porcentaje de muertes]]&lt;0.35,"LEVE",AND(Tabla1[[#This Row],[Porcentaje de muertes]]&gt;0.35,Tabla1[[#This Row],[Porcentaje de muertes]]&lt;0.65),"MEDIO",Tabla1[[#This Row],[Porcentaje de muertes]]&gt;0.65,"GRAVE")</f>
        <v>GRAVE</v>
      </c>
    </row>
    <row r="1198" spans="2:24" x14ac:dyDescent="0.3">
      <c r="B1198" s="9">
        <v>1196</v>
      </c>
      <c r="C1198" s="49">
        <v>18527</v>
      </c>
      <c r="D1198" s="9">
        <f>YEAR(Tabla1[[#This Row],[Date]])</f>
        <v>1950</v>
      </c>
      <c r="E1198" s="9" t="str" cm="1">
        <f t="array" ref="E1198">IFERROR(_xlfn.IFS(AND(D1198&lt;1980,D1198&gt;=1970),"70",AND(D1198&lt;1990,D1198&gt;=1980),"80",AND(D1198&lt;2000,D1198&gt;=1990),"90",AND(D1198&lt;2010,D1198&gt;=2000),"00",AND(D1198&lt;=2019,D1198&gt;=2010),"10"),"1908-1970")</f>
        <v>1908-1970</v>
      </c>
      <c r="F1198" s="3" t="s">
        <v>28931</v>
      </c>
      <c r="G1198" t="s">
        <v>10183</v>
      </c>
      <c r="H1198" t="s">
        <v>9280</v>
      </c>
      <c r="I1198" t="s">
        <v>28931</v>
      </c>
      <c r="J1198" t="s">
        <v>10184</v>
      </c>
      <c r="K1198" t="s">
        <v>7057</v>
      </c>
      <c r="L1198" s="7" t="s">
        <v>10185</v>
      </c>
      <c r="M1198">
        <v>13311</v>
      </c>
      <c r="N1198">
        <v>11</v>
      </c>
      <c r="O1198">
        <v>7</v>
      </c>
      <c r="P1198">
        <v>4</v>
      </c>
      <c r="Q1198">
        <v>10</v>
      </c>
      <c r="R1198">
        <v>6</v>
      </c>
      <c r="S1198">
        <v>4</v>
      </c>
      <c r="T1198">
        <v>0</v>
      </c>
      <c r="U1198" t="s">
        <v>10186</v>
      </c>
      <c r="V1198">
        <f>Tabla1[[#This Row],[Aboard]]-Tabla1[[#This Row],[Fatalities]]</f>
        <v>1</v>
      </c>
      <c r="W1198" s="50">
        <f>IFERROR(Tabla1[[#This Row],[Fatalities]]/Tabla1[[#This Row],[Aboard]],0)</f>
        <v>0.90909090909090906</v>
      </c>
      <c r="X1198" s="51" t="str" cm="1">
        <f t="array" ref="X1198">_xlfn.IFS(Tabla1[[#This Row],[Porcentaje de muertes]]&lt;0.35,"LEVE",AND(Tabla1[[#This Row],[Porcentaje de muertes]]&gt;0.35,Tabla1[[#This Row],[Porcentaje de muertes]]&lt;0.65),"MEDIO",Tabla1[[#This Row],[Porcentaje de muertes]]&gt;0.65,"GRAVE")</f>
        <v>GRAVE</v>
      </c>
    </row>
    <row r="1199" spans="2:24" x14ac:dyDescent="0.3">
      <c r="B1199" s="9">
        <v>1197</v>
      </c>
      <c r="C1199" s="49">
        <v>18529</v>
      </c>
      <c r="D1199" s="9">
        <f>YEAR(Tabla1[[#This Row],[Date]])</f>
        <v>1950</v>
      </c>
      <c r="E1199" s="9" t="str" cm="1">
        <f t="array" ref="E1199">IFERROR(_xlfn.IFS(AND(D1199&lt;1980,D1199&gt;=1970),"70",AND(D1199&lt;1990,D1199&gt;=1980),"80",AND(D1199&lt;2000,D1199&gt;=1990),"90",AND(D1199&lt;2010,D1199&gt;=2000),"00",AND(D1199&lt;=2019,D1199&gt;=2010),"10"),"1908-1970")</f>
        <v>1908-1970</v>
      </c>
      <c r="F1199" s="3" t="s">
        <v>28931</v>
      </c>
      <c r="G1199" t="s">
        <v>10187</v>
      </c>
      <c r="H1199" t="s">
        <v>10188</v>
      </c>
      <c r="I1199" t="s">
        <v>28931</v>
      </c>
      <c r="J1199" t="s">
        <v>10189</v>
      </c>
      <c r="K1199" t="s">
        <v>10190</v>
      </c>
      <c r="L1199" s="7" t="s">
        <v>10191</v>
      </c>
      <c r="M1199">
        <v>1321</v>
      </c>
      <c r="N1199">
        <v>10</v>
      </c>
      <c r="O1199">
        <v>9</v>
      </c>
      <c r="P1199">
        <v>1</v>
      </c>
      <c r="Q1199">
        <v>10</v>
      </c>
      <c r="R1199">
        <v>9</v>
      </c>
      <c r="S1199">
        <v>1</v>
      </c>
      <c r="T1199">
        <v>0</v>
      </c>
      <c r="U1199" t="s">
        <v>10192</v>
      </c>
      <c r="V1199">
        <f>Tabla1[[#This Row],[Aboard]]-Tabla1[[#This Row],[Fatalities]]</f>
        <v>0</v>
      </c>
      <c r="W1199" s="50">
        <f>IFERROR(Tabla1[[#This Row],[Fatalities]]/Tabla1[[#This Row],[Aboard]],0)</f>
        <v>1</v>
      </c>
      <c r="X1199" s="51" t="str" cm="1">
        <f t="array" ref="X1199">_xlfn.IFS(Tabla1[[#This Row],[Porcentaje de muertes]]&lt;0.35,"LEVE",AND(Tabla1[[#This Row],[Porcentaje de muertes]]&gt;0.35,Tabla1[[#This Row],[Porcentaje de muertes]]&lt;0.65),"MEDIO",Tabla1[[#This Row],[Porcentaje de muertes]]&gt;0.65,"GRAVE")</f>
        <v>GRAVE</v>
      </c>
    </row>
    <row r="1200" spans="2:24" x14ac:dyDescent="0.3">
      <c r="B1200" s="9">
        <v>1198</v>
      </c>
      <c r="C1200" s="49">
        <v>18532</v>
      </c>
      <c r="D1200" s="9">
        <f>YEAR(Tabla1[[#This Row],[Date]])</f>
        <v>1950</v>
      </c>
      <c r="E1200" s="9" t="str" cm="1">
        <f t="array" ref="E1200">IFERROR(_xlfn.IFS(AND(D1200&lt;1980,D1200&gt;=1970),"70",AND(D1200&lt;1990,D1200&gt;=1980),"80",AND(D1200&lt;2000,D1200&gt;=1990),"90",AND(D1200&lt;2010,D1200&gt;=2000),"00",AND(D1200&lt;=2019,D1200&gt;=2010),"10"),"1908-1970")</f>
        <v>1908-1970</v>
      </c>
      <c r="F1200" s="3">
        <v>4.1666666666666664E-2</v>
      </c>
      <c r="G1200" t="s">
        <v>10193</v>
      </c>
      <c r="H1200" t="s">
        <v>7987</v>
      </c>
      <c r="I1200" t="s">
        <v>28931</v>
      </c>
      <c r="J1200" t="s">
        <v>10194</v>
      </c>
      <c r="K1200" t="s">
        <v>8671</v>
      </c>
      <c r="L1200" s="7" t="s">
        <v>10195</v>
      </c>
      <c r="M1200">
        <v>10562</v>
      </c>
      <c r="N1200">
        <v>51</v>
      </c>
      <c r="O1200">
        <v>43</v>
      </c>
      <c r="P1200">
        <v>8</v>
      </c>
      <c r="Q1200">
        <v>23</v>
      </c>
      <c r="R1200">
        <v>18</v>
      </c>
      <c r="S1200">
        <v>5</v>
      </c>
      <c r="T1200">
        <v>0</v>
      </c>
      <c r="U1200" t="s">
        <v>10196</v>
      </c>
      <c r="V1200">
        <f>Tabla1[[#This Row],[Aboard]]-Tabla1[[#This Row],[Fatalities]]</f>
        <v>28</v>
      </c>
      <c r="W1200" s="50">
        <f>IFERROR(Tabla1[[#This Row],[Fatalities]]/Tabla1[[#This Row],[Aboard]],0)</f>
        <v>0.45098039215686275</v>
      </c>
      <c r="X1200" s="51" t="str" cm="1">
        <f t="array" ref="X1200">_xlfn.IFS(Tabla1[[#This Row],[Porcentaje de muertes]]&lt;0.35,"LEVE",AND(Tabla1[[#This Row],[Porcentaje de muertes]]&gt;0.35,Tabla1[[#This Row],[Porcentaje de muertes]]&lt;0.65),"MEDIO",Tabla1[[#This Row],[Porcentaje de muertes]]&gt;0.65,"GRAVE")</f>
        <v>MEDIO</v>
      </c>
    </row>
    <row r="1201" spans="2:24" x14ac:dyDescent="0.3">
      <c r="B1201" s="9">
        <v>1199</v>
      </c>
      <c r="C1201" s="49">
        <v>18549</v>
      </c>
      <c r="D1201" s="9">
        <f>YEAR(Tabla1[[#This Row],[Date]])</f>
        <v>1950</v>
      </c>
      <c r="E1201" s="9" t="str" cm="1">
        <f t="array" ref="E1201">IFERROR(_xlfn.IFS(AND(D1201&lt;1980,D1201&gt;=1970),"70",AND(D1201&lt;1990,D1201&gt;=1980),"80",AND(D1201&lt;2000,D1201&gt;=1990),"90",AND(D1201&lt;2010,D1201&gt;=2000),"00",AND(D1201&lt;=2019,D1201&gt;=2010),"10"),"1908-1970")</f>
        <v>1908-1970</v>
      </c>
      <c r="F1201" s="3" t="s">
        <v>28931</v>
      </c>
      <c r="G1201" t="s">
        <v>10197</v>
      </c>
      <c r="H1201" t="s">
        <v>5769</v>
      </c>
      <c r="I1201" t="s">
        <v>28931</v>
      </c>
      <c r="J1201" t="s">
        <v>6190</v>
      </c>
      <c r="K1201" t="s">
        <v>9582</v>
      </c>
      <c r="L1201" s="7" t="s">
        <v>10198</v>
      </c>
      <c r="M1201">
        <v>9158</v>
      </c>
      <c r="N1201">
        <v>6</v>
      </c>
      <c r="O1201">
        <v>3</v>
      </c>
      <c r="P1201">
        <v>3</v>
      </c>
      <c r="Q1201">
        <v>6</v>
      </c>
      <c r="R1201">
        <v>3</v>
      </c>
      <c r="S1201">
        <v>3</v>
      </c>
      <c r="T1201">
        <v>0</v>
      </c>
      <c r="U1201" t="s">
        <v>10199</v>
      </c>
      <c r="V1201">
        <f>Tabla1[[#This Row],[Aboard]]-Tabla1[[#This Row],[Fatalities]]</f>
        <v>0</v>
      </c>
      <c r="W1201" s="50">
        <f>IFERROR(Tabla1[[#This Row],[Fatalities]]/Tabla1[[#This Row],[Aboard]],0)</f>
        <v>1</v>
      </c>
      <c r="X1201" s="51" t="str" cm="1">
        <f t="array" ref="X1201">_xlfn.IFS(Tabla1[[#This Row],[Porcentaje de muertes]]&lt;0.35,"LEVE",AND(Tabla1[[#This Row],[Porcentaje de muertes]]&gt;0.35,Tabla1[[#This Row],[Porcentaje de muertes]]&lt;0.65),"MEDIO",Tabla1[[#This Row],[Porcentaje de muertes]]&gt;0.65,"GRAVE")</f>
        <v>GRAVE</v>
      </c>
    </row>
    <row r="1202" spans="2:24" x14ac:dyDescent="0.3">
      <c r="B1202" s="9">
        <v>1200</v>
      </c>
      <c r="C1202" s="49">
        <v>18549</v>
      </c>
      <c r="D1202" s="9">
        <f>YEAR(Tabla1[[#This Row],[Date]])</f>
        <v>1950</v>
      </c>
      <c r="E1202" s="9" t="str" cm="1">
        <f t="array" ref="E1202">IFERROR(_xlfn.IFS(AND(D1202&lt;1980,D1202&gt;=1970),"70",AND(D1202&lt;1990,D1202&gt;=1980),"80",AND(D1202&lt;2000,D1202&gt;=1990),"90",AND(D1202&lt;2010,D1202&gt;=2000),"00",AND(D1202&lt;=2019,D1202&gt;=2010),"10"),"1908-1970")</f>
        <v>1908-1970</v>
      </c>
      <c r="F1202" s="3" t="s">
        <v>28931</v>
      </c>
      <c r="G1202" t="s">
        <v>8303</v>
      </c>
      <c r="H1202" t="s">
        <v>10200</v>
      </c>
      <c r="I1202" t="s">
        <v>28931</v>
      </c>
      <c r="J1202" t="s">
        <v>10201</v>
      </c>
      <c r="K1202" t="s">
        <v>7057</v>
      </c>
      <c r="L1202" s="7" t="s">
        <v>10202</v>
      </c>
      <c r="M1202">
        <v>20245</v>
      </c>
      <c r="N1202">
        <v>7</v>
      </c>
      <c r="O1202">
        <v>4</v>
      </c>
      <c r="P1202">
        <v>3</v>
      </c>
      <c r="Q1202">
        <v>4</v>
      </c>
      <c r="R1202">
        <v>1</v>
      </c>
      <c r="S1202">
        <v>3</v>
      </c>
      <c r="T1202">
        <v>0</v>
      </c>
      <c r="U1202" t="s">
        <v>28927</v>
      </c>
      <c r="V1202">
        <f>Tabla1[[#This Row],[Aboard]]-Tabla1[[#This Row],[Fatalities]]</f>
        <v>3</v>
      </c>
      <c r="W1202" s="50">
        <f>IFERROR(Tabla1[[#This Row],[Fatalities]]/Tabla1[[#This Row],[Aboard]],0)</f>
        <v>0.5714285714285714</v>
      </c>
      <c r="X1202" s="51" t="str" cm="1">
        <f t="array" ref="X1202">_xlfn.IFS(Tabla1[[#This Row],[Porcentaje de muertes]]&lt;0.35,"LEVE",AND(Tabla1[[#This Row],[Porcentaje de muertes]]&gt;0.35,Tabla1[[#This Row],[Porcentaje de muertes]]&lt;0.65),"MEDIO",Tabla1[[#This Row],[Porcentaje de muertes]]&gt;0.65,"GRAVE")</f>
        <v>MEDIO</v>
      </c>
    </row>
    <row r="1203" spans="2:24" x14ac:dyDescent="0.3">
      <c r="B1203" s="9">
        <v>1201</v>
      </c>
      <c r="C1203" s="49">
        <v>18553</v>
      </c>
      <c r="D1203" s="9">
        <f>YEAR(Tabla1[[#This Row],[Date]])</f>
        <v>1950</v>
      </c>
      <c r="E1203" s="9" t="str" cm="1">
        <f t="array" ref="E1203">IFERROR(_xlfn.IFS(AND(D1203&lt;1980,D1203&gt;=1970),"70",AND(D1203&lt;1990,D1203&gt;=1980),"80",AND(D1203&lt;2000,D1203&gt;=1990),"90",AND(D1203&lt;2010,D1203&gt;=2000),"00",AND(D1203&lt;=2019,D1203&gt;=2010),"10"),"1908-1970")</f>
        <v>1908-1970</v>
      </c>
      <c r="F1203" s="3" t="s">
        <v>28931</v>
      </c>
      <c r="G1203" t="s">
        <v>5174</v>
      </c>
      <c r="H1203" t="s">
        <v>8721</v>
      </c>
      <c r="I1203" t="s">
        <v>28931</v>
      </c>
      <c r="J1203" t="s">
        <v>9763</v>
      </c>
      <c r="K1203" t="s">
        <v>8105</v>
      </c>
      <c r="L1203" s="7" t="s">
        <v>10203</v>
      </c>
      <c r="M1203">
        <v>12186</v>
      </c>
      <c r="N1203">
        <v>29</v>
      </c>
      <c r="O1203">
        <v>24</v>
      </c>
      <c r="P1203">
        <v>5</v>
      </c>
      <c r="Q1203">
        <v>28</v>
      </c>
      <c r="R1203">
        <v>24</v>
      </c>
      <c r="S1203">
        <v>4</v>
      </c>
      <c r="T1203">
        <v>0</v>
      </c>
      <c r="U1203" t="s">
        <v>10204</v>
      </c>
      <c r="V1203">
        <f>Tabla1[[#This Row],[Aboard]]-Tabla1[[#This Row],[Fatalities]]</f>
        <v>1</v>
      </c>
      <c r="W1203" s="50">
        <f>IFERROR(Tabla1[[#This Row],[Fatalities]]/Tabla1[[#This Row],[Aboard]],0)</f>
        <v>0.96551724137931039</v>
      </c>
      <c r="X1203" s="51" t="str" cm="1">
        <f t="array" ref="X1203">_xlfn.IFS(Tabla1[[#This Row],[Porcentaje de muertes]]&lt;0.35,"LEVE",AND(Tabla1[[#This Row],[Porcentaje de muertes]]&gt;0.35,Tabla1[[#This Row],[Porcentaje de muertes]]&lt;0.65),"MEDIO",Tabla1[[#This Row],[Porcentaje de muertes]]&gt;0.65,"GRAVE")</f>
        <v>GRAVE</v>
      </c>
    </row>
    <row r="1204" spans="2:24" x14ac:dyDescent="0.3">
      <c r="B1204" s="9">
        <v>1202</v>
      </c>
      <c r="C1204" s="49">
        <v>18567</v>
      </c>
      <c r="D1204" s="9">
        <f>YEAR(Tabla1[[#This Row],[Date]])</f>
        <v>1950</v>
      </c>
      <c r="E1204" s="9" t="str" cm="1">
        <f t="array" ref="E1204">IFERROR(_xlfn.IFS(AND(D1204&lt;1980,D1204&gt;=1970),"70",AND(D1204&lt;1990,D1204&gt;=1980),"80",AND(D1204&lt;2000,D1204&gt;=1990),"90",AND(D1204&lt;2010,D1204&gt;=2000),"00",AND(D1204&lt;=2019,D1204&gt;=2010),"10"),"1908-1970")</f>
        <v>1908-1970</v>
      </c>
      <c r="F1204" s="3">
        <v>0.82916666666666661</v>
      </c>
      <c r="G1204" t="s">
        <v>10205</v>
      </c>
      <c r="H1204" t="s">
        <v>8721</v>
      </c>
      <c r="I1204" t="s">
        <v>28931</v>
      </c>
      <c r="J1204" t="s">
        <v>5293</v>
      </c>
      <c r="K1204" t="s">
        <v>10206</v>
      </c>
      <c r="L1204" s="7" t="s">
        <v>10207</v>
      </c>
      <c r="M1204">
        <v>155</v>
      </c>
      <c r="N1204">
        <v>30</v>
      </c>
      <c r="O1204">
        <v>26</v>
      </c>
      <c r="P1204">
        <v>4</v>
      </c>
      <c r="Q1204">
        <v>28</v>
      </c>
      <c r="R1204">
        <v>24</v>
      </c>
      <c r="S1204">
        <v>4</v>
      </c>
      <c r="T1204">
        <v>0</v>
      </c>
      <c r="U1204" t="s">
        <v>10208</v>
      </c>
      <c r="V1204">
        <f>Tabla1[[#This Row],[Aboard]]-Tabla1[[#This Row],[Fatalities]]</f>
        <v>2</v>
      </c>
      <c r="W1204" s="50">
        <f>IFERROR(Tabla1[[#This Row],[Fatalities]]/Tabla1[[#This Row],[Aboard]],0)</f>
        <v>0.93333333333333335</v>
      </c>
      <c r="X1204" s="51" t="str" cm="1">
        <f t="array" ref="X1204">_xlfn.IFS(Tabla1[[#This Row],[Porcentaje de muertes]]&lt;0.35,"LEVE",AND(Tabla1[[#This Row],[Porcentaje de muertes]]&gt;0.35,Tabla1[[#This Row],[Porcentaje de muertes]]&lt;0.65),"MEDIO",Tabla1[[#This Row],[Porcentaje de muertes]]&gt;0.65,"GRAVE")</f>
        <v>GRAVE</v>
      </c>
    </row>
    <row r="1205" spans="2:24" x14ac:dyDescent="0.3">
      <c r="B1205" s="9">
        <v>1203</v>
      </c>
      <c r="C1205" s="49">
        <v>18333</v>
      </c>
      <c r="D1205" s="9">
        <f>YEAR(Tabla1[[#This Row],[Date]])</f>
        <v>1950</v>
      </c>
      <c r="E1205" s="9" t="str" cm="1">
        <f t="array" ref="E1205">IFERROR(_xlfn.IFS(AND(D1205&lt;1980,D1205&gt;=1970),"70",AND(D1205&lt;1990,D1205&gt;=1980),"80",AND(D1205&lt;2000,D1205&gt;=1990),"90",AND(D1205&lt;2010,D1205&gt;=2000),"00",AND(D1205&lt;=2019,D1205&gt;=2010),"10"),"1908-1970")</f>
        <v>1908-1970</v>
      </c>
      <c r="F1205" s="3">
        <v>0.40486111111111112</v>
      </c>
      <c r="G1205" t="s">
        <v>10209</v>
      </c>
      <c r="H1205" t="s">
        <v>9312</v>
      </c>
      <c r="I1205">
        <v>245</v>
      </c>
      <c r="J1205" t="s">
        <v>10210</v>
      </c>
      <c r="K1205" t="s">
        <v>10211</v>
      </c>
      <c r="L1205" s="7" t="s">
        <v>10212</v>
      </c>
      <c r="M1205">
        <v>2506</v>
      </c>
      <c r="N1205">
        <v>48</v>
      </c>
      <c r="O1205">
        <v>40</v>
      </c>
      <c r="P1205">
        <v>8</v>
      </c>
      <c r="Q1205">
        <v>48</v>
      </c>
      <c r="R1205">
        <v>40</v>
      </c>
      <c r="S1205">
        <v>8</v>
      </c>
      <c r="T1205">
        <v>0</v>
      </c>
      <c r="U1205" t="s">
        <v>10213</v>
      </c>
      <c r="V1205">
        <f>Tabla1[[#This Row],[Aboard]]-Tabla1[[#This Row],[Fatalities]]</f>
        <v>0</v>
      </c>
      <c r="W1205" s="50">
        <f>IFERROR(Tabla1[[#This Row],[Fatalities]]/Tabla1[[#This Row],[Aboard]],0)</f>
        <v>1</v>
      </c>
      <c r="X1205" s="51" t="str" cm="1">
        <f t="array" ref="X1205">_xlfn.IFS(Tabla1[[#This Row],[Porcentaje de muertes]]&lt;0.35,"LEVE",AND(Tabla1[[#This Row],[Porcentaje de muertes]]&gt;0.35,Tabla1[[#This Row],[Porcentaje de muertes]]&lt;0.65),"MEDIO",Tabla1[[#This Row],[Porcentaje de muertes]]&gt;0.65,"GRAVE")</f>
        <v>GRAVE</v>
      </c>
    </row>
    <row r="1206" spans="2:24" x14ac:dyDescent="0.3">
      <c r="B1206" s="9">
        <v>1204</v>
      </c>
      <c r="C1206" s="49">
        <v>18455</v>
      </c>
      <c r="D1206" s="9">
        <f>YEAR(Tabla1[[#This Row],[Date]])</f>
        <v>1950</v>
      </c>
      <c r="E1206" s="9" t="str" cm="1">
        <f t="array" ref="E1206">IFERROR(_xlfn.IFS(AND(D1206&lt;1980,D1206&gt;=1970),"70",AND(D1206&lt;1990,D1206&gt;=1980),"80",AND(D1206&lt;2000,D1206&gt;=1990),"90",AND(D1206&lt;2010,D1206&gt;=2000),"00",AND(D1206&lt;=2019,D1206&gt;=2010),"10"),"1908-1970")</f>
        <v>1908-1970</v>
      </c>
      <c r="F1206" s="3">
        <v>0.34375</v>
      </c>
      <c r="G1206" t="s">
        <v>10214</v>
      </c>
      <c r="H1206" t="s">
        <v>5769</v>
      </c>
      <c r="I1206">
        <v>115</v>
      </c>
      <c r="J1206" t="s">
        <v>10215</v>
      </c>
      <c r="K1206" t="s">
        <v>9582</v>
      </c>
      <c r="L1206" s="7" t="s">
        <v>10216</v>
      </c>
      <c r="M1206">
        <v>9161</v>
      </c>
      <c r="N1206">
        <v>21</v>
      </c>
      <c r="O1206">
        <v>17</v>
      </c>
      <c r="P1206">
        <v>4</v>
      </c>
      <c r="Q1206">
        <v>21</v>
      </c>
      <c r="R1206">
        <v>17</v>
      </c>
      <c r="S1206">
        <v>4</v>
      </c>
      <c r="T1206">
        <v>0</v>
      </c>
      <c r="U1206" t="s">
        <v>10217</v>
      </c>
      <c r="V1206">
        <f>Tabla1[[#This Row],[Aboard]]-Tabla1[[#This Row],[Fatalities]]</f>
        <v>0</v>
      </c>
      <c r="W1206" s="50">
        <f>IFERROR(Tabla1[[#This Row],[Fatalities]]/Tabla1[[#This Row],[Aboard]],0)</f>
        <v>1</v>
      </c>
      <c r="X1206" s="51" t="str" cm="1">
        <f t="array" ref="X1206">_xlfn.IFS(Tabla1[[#This Row],[Porcentaje de muertes]]&lt;0.35,"LEVE",AND(Tabla1[[#This Row],[Porcentaje de muertes]]&gt;0.35,Tabla1[[#This Row],[Porcentaje de muertes]]&lt;0.65),"MEDIO",Tabla1[[#This Row],[Porcentaje de muertes]]&gt;0.65,"GRAVE")</f>
        <v>GRAVE</v>
      </c>
    </row>
    <row r="1207" spans="2:24" x14ac:dyDescent="0.3">
      <c r="B1207" s="9">
        <v>1205</v>
      </c>
      <c r="C1207" s="49">
        <v>18580</v>
      </c>
      <c r="D1207" s="9">
        <f>YEAR(Tabla1[[#This Row],[Date]])</f>
        <v>1950</v>
      </c>
      <c r="E1207" s="9" t="str" cm="1">
        <f t="array" ref="E1207">IFERROR(_xlfn.IFS(AND(D1207&lt;1980,D1207&gt;=1970),"70",AND(D1207&lt;1990,D1207&gt;=1980),"80",AND(D1207&lt;2000,D1207&gt;=1990),"90",AND(D1207&lt;2010,D1207&gt;=2000),"00",AND(D1207&lt;=2019,D1207&gt;=2010),"10"),"1908-1970")</f>
        <v>1908-1970</v>
      </c>
      <c r="F1207" s="3">
        <v>0.75</v>
      </c>
      <c r="G1207" t="s">
        <v>10218</v>
      </c>
      <c r="H1207" t="s">
        <v>10219</v>
      </c>
      <c r="I1207" t="s">
        <v>28931</v>
      </c>
      <c r="J1207" t="s">
        <v>10220</v>
      </c>
      <c r="K1207" t="s">
        <v>10221</v>
      </c>
      <c r="L1207" s="7" t="s">
        <v>10222</v>
      </c>
      <c r="M1207">
        <v>10518</v>
      </c>
      <c r="N1207">
        <v>52</v>
      </c>
      <c r="O1207">
        <v>45</v>
      </c>
      <c r="P1207">
        <v>7</v>
      </c>
      <c r="Q1207">
        <v>52</v>
      </c>
      <c r="R1207">
        <v>45</v>
      </c>
      <c r="S1207">
        <v>7</v>
      </c>
      <c r="T1207">
        <v>0</v>
      </c>
      <c r="U1207" t="s">
        <v>10223</v>
      </c>
      <c r="V1207">
        <f>Tabla1[[#This Row],[Aboard]]-Tabla1[[#This Row],[Fatalities]]</f>
        <v>0</v>
      </c>
      <c r="W1207" s="50">
        <f>IFERROR(Tabla1[[#This Row],[Fatalities]]/Tabla1[[#This Row],[Aboard]],0)</f>
        <v>1</v>
      </c>
      <c r="X1207" s="51" t="str" cm="1">
        <f t="array" ref="X1207">_xlfn.IFS(Tabla1[[#This Row],[Porcentaje de muertes]]&lt;0.35,"LEVE",AND(Tabla1[[#This Row],[Porcentaje de muertes]]&gt;0.35,Tabla1[[#This Row],[Porcentaje de muertes]]&lt;0.65),"MEDIO",Tabla1[[#This Row],[Porcentaje de muertes]]&gt;0.65,"GRAVE")</f>
        <v>GRAVE</v>
      </c>
    </row>
    <row r="1208" spans="2:24" x14ac:dyDescent="0.3">
      <c r="B1208" s="9">
        <v>1206</v>
      </c>
      <c r="C1208" s="49">
        <v>18584</v>
      </c>
      <c r="D1208" s="9">
        <f>YEAR(Tabla1[[#This Row],[Date]])</f>
        <v>1950</v>
      </c>
      <c r="E1208" s="9" t="str" cm="1">
        <f t="array" ref="E1208">IFERROR(_xlfn.IFS(AND(D1208&lt;1980,D1208&gt;=1970),"70",AND(D1208&lt;1990,D1208&gt;=1980),"80",AND(D1208&lt;2000,D1208&gt;=1990),"90",AND(D1208&lt;2010,D1208&gt;=2000),"00",AND(D1208&lt;=2019,D1208&gt;=2010),"10"),"1908-1970")</f>
        <v>1908-1970</v>
      </c>
      <c r="F1208" s="3" t="s">
        <v>28931</v>
      </c>
      <c r="G1208" t="s">
        <v>10224</v>
      </c>
      <c r="H1208" t="s">
        <v>10225</v>
      </c>
      <c r="I1208" t="s">
        <v>28931</v>
      </c>
      <c r="J1208" t="s">
        <v>28931</v>
      </c>
      <c r="K1208" t="s">
        <v>7057</v>
      </c>
      <c r="L1208" s="7" t="s">
        <v>10226</v>
      </c>
      <c r="M1208">
        <v>19005</v>
      </c>
      <c r="N1208">
        <v>23</v>
      </c>
      <c r="O1208">
        <v>20</v>
      </c>
      <c r="P1208">
        <v>3</v>
      </c>
      <c r="Q1208">
        <v>2</v>
      </c>
      <c r="R1208">
        <v>0</v>
      </c>
      <c r="S1208">
        <v>2</v>
      </c>
      <c r="T1208">
        <v>0</v>
      </c>
      <c r="U1208" t="s">
        <v>10227</v>
      </c>
      <c r="V1208">
        <f>Tabla1[[#This Row],[Aboard]]-Tabla1[[#This Row],[Fatalities]]</f>
        <v>21</v>
      </c>
      <c r="W1208" s="50">
        <f>IFERROR(Tabla1[[#This Row],[Fatalities]]/Tabla1[[#This Row],[Aboard]],0)</f>
        <v>8.6956521739130432E-2</v>
      </c>
      <c r="X1208" s="51" t="str" cm="1">
        <f t="array" ref="X1208">_xlfn.IFS(Tabla1[[#This Row],[Porcentaje de muertes]]&lt;0.35,"LEVE",AND(Tabla1[[#This Row],[Porcentaje de muertes]]&gt;0.35,Tabla1[[#This Row],[Porcentaje de muertes]]&lt;0.65),"MEDIO",Tabla1[[#This Row],[Porcentaje de muertes]]&gt;0.65,"GRAVE")</f>
        <v>LEVE</v>
      </c>
    </row>
    <row r="1209" spans="2:24" x14ac:dyDescent="0.3">
      <c r="B1209" s="9">
        <v>1207</v>
      </c>
      <c r="C1209" s="49">
        <v>18588</v>
      </c>
      <c r="D1209" s="9">
        <f>YEAR(Tabla1[[#This Row],[Date]])</f>
        <v>1950</v>
      </c>
      <c r="E1209" s="9" t="str" cm="1">
        <f t="array" ref="E1209">IFERROR(_xlfn.IFS(AND(D1209&lt;1980,D1209&gt;=1970),"70",AND(D1209&lt;1990,D1209&gt;=1980),"80",AND(D1209&lt;2000,D1209&gt;=1990),"90",AND(D1209&lt;2010,D1209&gt;=2000),"00",AND(D1209&lt;=2019,D1209&gt;=2010),"10"),"1908-1970")</f>
        <v>1908-1970</v>
      </c>
      <c r="F1209" s="3" t="s">
        <v>28931</v>
      </c>
      <c r="G1209" t="s">
        <v>10228</v>
      </c>
      <c r="H1209" t="s">
        <v>10099</v>
      </c>
      <c r="I1209" t="s">
        <v>28931</v>
      </c>
      <c r="J1209" t="s">
        <v>10229</v>
      </c>
      <c r="K1209" t="s">
        <v>7057</v>
      </c>
      <c r="L1209" s="7" t="s">
        <v>10230</v>
      </c>
      <c r="M1209">
        <v>19711</v>
      </c>
      <c r="N1209">
        <v>21</v>
      </c>
      <c r="O1209">
        <v>18</v>
      </c>
      <c r="P1209">
        <v>3</v>
      </c>
      <c r="Q1209">
        <v>21</v>
      </c>
      <c r="R1209">
        <v>18</v>
      </c>
      <c r="S1209">
        <v>3</v>
      </c>
      <c r="T1209">
        <v>0</v>
      </c>
      <c r="U1209" t="s">
        <v>10231</v>
      </c>
      <c r="V1209">
        <f>Tabla1[[#This Row],[Aboard]]-Tabla1[[#This Row],[Fatalities]]</f>
        <v>0</v>
      </c>
      <c r="W1209" s="50">
        <f>IFERROR(Tabla1[[#This Row],[Fatalities]]/Tabla1[[#This Row],[Aboard]],0)</f>
        <v>1</v>
      </c>
      <c r="X1209" s="51" t="str" cm="1">
        <f t="array" ref="X1209">_xlfn.IFS(Tabla1[[#This Row],[Porcentaje de muertes]]&lt;0.35,"LEVE",AND(Tabla1[[#This Row],[Porcentaje de muertes]]&gt;0.35,Tabla1[[#This Row],[Porcentaje de muertes]]&lt;0.65),"MEDIO",Tabla1[[#This Row],[Porcentaje de muertes]]&gt;0.65,"GRAVE")</f>
        <v>GRAVE</v>
      </c>
    </row>
    <row r="1210" spans="2:24" x14ac:dyDescent="0.3">
      <c r="B1210" s="9">
        <v>1208</v>
      </c>
      <c r="C1210" s="49">
        <v>18590</v>
      </c>
      <c r="D1210" s="9">
        <f>YEAR(Tabla1[[#This Row],[Date]])</f>
        <v>1950</v>
      </c>
      <c r="E1210" s="9" t="str" cm="1">
        <f t="array" ref="E1210">IFERROR(_xlfn.IFS(AND(D1210&lt;1980,D1210&gt;=1970),"70",AND(D1210&lt;1990,D1210&gt;=1980),"80",AND(D1210&lt;2000,D1210&gt;=1990),"90",AND(D1210&lt;2010,D1210&gt;=2000),"00",AND(D1210&lt;=2019,D1210&gt;=2010),"10"),"1908-1970")</f>
        <v>1908-1970</v>
      </c>
      <c r="F1210" s="3" t="s">
        <v>28931</v>
      </c>
      <c r="G1210" t="s">
        <v>10232</v>
      </c>
      <c r="H1210" t="s">
        <v>8477</v>
      </c>
      <c r="I1210" t="s">
        <v>28931</v>
      </c>
      <c r="J1210" t="s">
        <v>10233</v>
      </c>
      <c r="K1210" t="s">
        <v>7057</v>
      </c>
      <c r="L1210" s="7" t="s">
        <v>10234</v>
      </c>
      <c r="M1210" t="s">
        <v>10235</v>
      </c>
      <c r="N1210">
        <v>9</v>
      </c>
      <c r="O1210">
        <v>5</v>
      </c>
      <c r="P1210">
        <v>4</v>
      </c>
      <c r="Q1210">
        <v>9</v>
      </c>
      <c r="R1210">
        <v>5</v>
      </c>
      <c r="S1210">
        <v>4</v>
      </c>
      <c r="T1210">
        <v>0</v>
      </c>
      <c r="U1210" t="s">
        <v>10236</v>
      </c>
      <c r="V1210">
        <f>Tabla1[[#This Row],[Aboard]]-Tabla1[[#This Row],[Fatalities]]</f>
        <v>0</v>
      </c>
      <c r="W1210" s="50">
        <f>IFERROR(Tabla1[[#This Row],[Fatalities]]/Tabla1[[#This Row],[Aboard]],0)</f>
        <v>1</v>
      </c>
      <c r="X1210" s="51" t="str" cm="1">
        <f t="array" ref="X1210">_xlfn.IFS(Tabla1[[#This Row],[Porcentaje de muertes]]&lt;0.35,"LEVE",AND(Tabla1[[#This Row],[Porcentaje de muertes]]&gt;0.35,Tabla1[[#This Row],[Porcentaje de muertes]]&lt;0.65),"MEDIO",Tabla1[[#This Row],[Porcentaje de muertes]]&gt;0.65,"GRAVE")</f>
        <v>GRAVE</v>
      </c>
    </row>
    <row r="1211" spans="2:24" x14ac:dyDescent="0.3">
      <c r="B1211" s="9">
        <v>1209</v>
      </c>
      <c r="C1211" s="49">
        <v>18592</v>
      </c>
      <c r="D1211" s="9">
        <f>YEAR(Tabla1[[#This Row],[Date]])</f>
        <v>1950</v>
      </c>
      <c r="E1211" s="9" t="str" cm="1">
        <f t="array" ref="E1211">IFERROR(_xlfn.IFS(AND(D1211&lt;1980,D1211&gt;=1970),"70",AND(D1211&lt;1990,D1211&gt;=1980),"80",AND(D1211&lt;2000,D1211&gt;=1990),"90",AND(D1211&lt;2010,D1211&gt;=2000),"00",AND(D1211&lt;=2019,D1211&gt;=2010),"10"),"1908-1970")</f>
        <v>1908-1970</v>
      </c>
      <c r="F1211" s="3" t="s">
        <v>28931</v>
      </c>
      <c r="G1211" t="s">
        <v>10237</v>
      </c>
      <c r="H1211" t="s">
        <v>10238</v>
      </c>
      <c r="I1211" t="s">
        <v>28931</v>
      </c>
      <c r="J1211" t="s">
        <v>28931</v>
      </c>
      <c r="K1211" t="s">
        <v>8105</v>
      </c>
      <c r="L1211" s="7" t="s">
        <v>10239</v>
      </c>
      <c r="M1211" t="s">
        <v>10240</v>
      </c>
      <c r="N1211">
        <v>3</v>
      </c>
      <c r="O1211">
        <v>0</v>
      </c>
      <c r="P1211">
        <v>3</v>
      </c>
      <c r="Q1211">
        <v>3</v>
      </c>
      <c r="R1211">
        <v>0</v>
      </c>
      <c r="S1211">
        <v>3</v>
      </c>
      <c r="T1211">
        <v>0</v>
      </c>
      <c r="U1211" t="s">
        <v>10241</v>
      </c>
      <c r="V1211">
        <f>Tabla1[[#This Row],[Aboard]]-Tabla1[[#This Row],[Fatalities]]</f>
        <v>0</v>
      </c>
      <c r="W1211" s="50">
        <f>IFERROR(Tabla1[[#This Row],[Fatalities]]/Tabla1[[#This Row],[Aboard]],0)</f>
        <v>1</v>
      </c>
      <c r="X1211" s="51" t="str" cm="1">
        <f t="array" ref="X1211">_xlfn.IFS(Tabla1[[#This Row],[Porcentaje de muertes]]&lt;0.35,"LEVE",AND(Tabla1[[#This Row],[Porcentaje de muertes]]&gt;0.35,Tabla1[[#This Row],[Porcentaje de muertes]]&lt;0.65),"MEDIO",Tabla1[[#This Row],[Porcentaje de muertes]]&gt;0.65,"GRAVE")</f>
        <v>GRAVE</v>
      </c>
    </row>
    <row r="1212" spans="2:24" x14ac:dyDescent="0.3">
      <c r="B1212" s="9">
        <v>1210</v>
      </c>
      <c r="C1212" s="49">
        <v>18275</v>
      </c>
      <c r="D1212" s="9">
        <f>YEAR(Tabla1[[#This Row],[Date]])</f>
        <v>1950</v>
      </c>
      <c r="E1212" s="9" t="str" cm="1">
        <f t="array" ref="E1212">IFERROR(_xlfn.IFS(AND(D1212&lt;1980,D1212&gt;=1970),"70",AND(D1212&lt;1990,D1212&gt;=1980),"80",AND(D1212&lt;2000,D1212&gt;=1990),"90",AND(D1212&lt;2010,D1212&gt;=2000),"00",AND(D1212&lt;=2019,D1212&gt;=2010),"10"),"1908-1970")</f>
        <v>1908-1970</v>
      </c>
      <c r="F1212" s="3" t="s">
        <v>28931</v>
      </c>
      <c r="G1212" t="s">
        <v>10242</v>
      </c>
      <c r="H1212" t="s">
        <v>10176</v>
      </c>
      <c r="I1212" t="s">
        <v>28931</v>
      </c>
      <c r="J1212" t="s">
        <v>28931</v>
      </c>
      <c r="K1212" t="s">
        <v>7057</v>
      </c>
      <c r="L1212" s="7" t="s">
        <v>10243</v>
      </c>
      <c r="M1212">
        <v>13572</v>
      </c>
      <c r="N1212">
        <v>8</v>
      </c>
      <c r="O1212">
        <v>7</v>
      </c>
      <c r="P1212">
        <v>1</v>
      </c>
      <c r="Q1212">
        <v>8</v>
      </c>
      <c r="R1212">
        <v>7</v>
      </c>
      <c r="S1212">
        <v>1</v>
      </c>
      <c r="T1212">
        <v>0</v>
      </c>
      <c r="U1212" t="s">
        <v>10072</v>
      </c>
      <c r="V1212">
        <f>Tabla1[[#This Row],[Aboard]]-Tabla1[[#This Row],[Fatalities]]</f>
        <v>0</v>
      </c>
      <c r="W1212" s="50">
        <f>IFERROR(Tabla1[[#This Row],[Fatalities]]/Tabla1[[#This Row],[Aboard]],0)</f>
        <v>1</v>
      </c>
      <c r="X1212" s="51" t="str" cm="1">
        <f t="array" ref="X1212">_xlfn.IFS(Tabla1[[#This Row],[Porcentaje de muertes]]&lt;0.35,"LEVE",AND(Tabla1[[#This Row],[Porcentaje de muertes]]&gt;0.35,Tabla1[[#This Row],[Porcentaje de muertes]]&lt;0.65),"MEDIO",Tabla1[[#This Row],[Porcentaje de muertes]]&gt;0.65,"GRAVE")</f>
        <v>GRAVE</v>
      </c>
    </row>
    <row r="1213" spans="2:24" x14ac:dyDescent="0.3">
      <c r="B1213" s="9">
        <v>1211</v>
      </c>
      <c r="C1213" s="49">
        <v>18487</v>
      </c>
      <c r="D1213" s="9">
        <f>YEAR(Tabla1[[#This Row],[Date]])</f>
        <v>1950</v>
      </c>
      <c r="E1213" s="9" t="str" cm="1">
        <f t="array" ref="E1213">IFERROR(_xlfn.IFS(AND(D1213&lt;1980,D1213&gt;=1970),"70",AND(D1213&lt;1990,D1213&gt;=1980),"80",AND(D1213&lt;2000,D1213&gt;=1990),"90",AND(D1213&lt;2010,D1213&gt;=2000),"00",AND(D1213&lt;=2019,D1213&gt;=2010),"10"),"1908-1970")</f>
        <v>1908-1970</v>
      </c>
      <c r="F1213" s="3" t="s">
        <v>28931</v>
      </c>
      <c r="G1213" t="s">
        <v>10244</v>
      </c>
      <c r="H1213" t="s">
        <v>10200</v>
      </c>
      <c r="I1213" t="s">
        <v>28931</v>
      </c>
      <c r="J1213" t="s">
        <v>10245</v>
      </c>
      <c r="K1213" t="s">
        <v>7057</v>
      </c>
      <c r="L1213" s="7" t="s">
        <v>10246</v>
      </c>
      <c r="M1213" t="s">
        <v>10247</v>
      </c>
      <c r="N1213">
        <v>7</v>
      </c>
      <c r="O1213">
        <v>4</v>
      </c>
      <c r="P1213">
        <v>3</v>
      </c>
      <c r="Q1213">
        <v>5</v>
      </c>
      <c r="R1213">
        <v>2</v>
      </c>
      <c r="S1213">
        <v>3</v>
      </c>
      <c r="T1213">
        <v>0</v>
      </c>
      <c r="U1213" t="s">
        <v>10248</v>
      </c>
      <c r="V1213">
        <f>Tabla1[[#This Row],[Aboard]]-Tabla1[[#This Row],[Fatalities]]</f>
        <v>2</v>
      </c>
      <c r="W1213" s="50">
        <f>IFERROR(Tabla1[[#This Row],[Fatalities]]/Tabla1[[#This Row],[Aboard]],0)</f>
        <v>0.7142857142857143</v>
      </c>
      <c r="X1213" s="51" t="str" cm="1">
        <f t="array" ref="X1213">_xlfn.IFS(Tabla1[[#This Row],[Porcentaje de muertes]]&lt;0.35,"LEVE",AND(Tabla1[[#This Row],[Porcentaje de muertes]]&gt;0.35,Tabla1[[#This Row],[Porcentaje de muertes]]&lt;0.65),"MEDIO",Tabla1[[#This Row],[Porcentaje de muertes]]&gt;0.65,"GRAVE")</f>
        <v>GRAVE</v>
      </c>
    </row>
    <row r="1214" spans="2:24" x14ac:dyDescent="0.3">
      <c r="B1214" s="9">
        <v>1212</v>
      </c>
      <c r="C1214" s="49">
        <v>18487</v>
      </c>
      <c r="D1214" s="9">
        <f>YEAR(Tabla1[[#This Row],[Date]])</f>
        <v>1950</v>
      </c>
      <c r="E1214" s="9" t="str" cm="1">
        <f t="array" ref="E1214">IFERROR(_xlfn.IFS(AND(D1214&lt;1980,D1214&gt;=1970),"70",AND(D1214&lt;1990,D1214&gt;=1980),"80",AND(D1214&lt;2000,D1214&gt;=1990),"90",AND(D1214&lt;2010,D1214&gt;=2000),"00",AND(D1214&lt;=2019,D1214&gt;=2010),"10"),"1908-1970")</f>
        <v>1908-1970</v>
      </c>
      <c r="F1214" s="3" t="s">
        <v>28931</v>
      </c>
      <c r="G1214" t="s">
        <v>8550</v>
      </c>
      <c r="H1214" t="s">
        <v>10249</v>
      </c>
      <c r="I1214" t="s">
        <v>28931</v>
      </c>
      <c r="J1214" t="s">
        <v>28931</v>
      </c>
      <c r="K1214" t="s">
        <v>7894</v>
      </c>
      <c r="L1214" s="7" t="s">
        <v>10250</v>
      </c>
      <c r="M1214">
        <v>3084</v>
      </c>
      <c r="N1214">
        <v>56</v>
      </c>
      <c r="O1214">
        <v>50</v>
      </c>
      <c r="P1214">
        <v>6</v>
      </c>
      <c r="Q1214">
        <v>46</v>
      </c>
      <c r="R1214">
        <v>43</v>
      </c>
      <c r="S1214">
        <v>3</v>
      </c>
      <c r="T1214">
        <v>0</v>
      </c>
      <c r="U1214" t="s">
        <v>10251</v>
      </c>
      <c r="V1214">
        <f>Tabla1[[#This Row],[Aboard]]-Tabla1[[#This Row],[Fatalities]]</f>
        <v>10</v>
      </c>
      <c r="W1214" s="50">
        <f>IFERROR(Tabla1[[#This Row],[Fatalities]]/Tabla1[[#This Row],[Aboard]],0)</f>
        <v>0.8214285714285714</v>
      </c>
      <c r="X1214" s="51" t="str" cm="1">
        <f t="array" ref="X1214">_xlfn.IFS(Tabla1[[#This Row],[Porcentaje de muertes]]&lt;0.35,"LEVE",AND(Tabla1[[#This Row],[Porcentaje de muertes]]&gt;0.35,Tabla1[[#This Row],[Porcentaje de muertes]]&lt;0.65),"MEDIO",Tabla1[[#This Row],[Porcentaje de muertes]]&gt;0.65,"GRAVE")</f>
        <v>GRAVE</v>
      </c>
    </row>
    <row r="1215" spans="2:24" x14ac:dyDescent="0.3">
      <c r="B1215" s="9">
        <v>1213</v>
      </c>
      <c r="C1215" s="49">
        <v>18610</v>
      </c>
      <c r="D1215" s="9">
        <f>YEAR(Tabla1[[#This Row],[Date]])</f>
        <v>1950</v>
      </c>
      <c r="E1215" s="9" t="str" cm="1">
        <f t="array" ref="E1215">IFERROR(_xlfn.IFS(AND(D1215&lt;1980,D1215&gt;=1970),"70",AND(D1215&lt;1990,D1215&gt;=1980),"80",AND(D1215&lt;2000,D1215&gt;=1990),"90",AND(D1215&lt;2010,D1215&gt;=2000),"00",AND(D1215&lt;=2019,D1215&gt;=2010),"10"),"1908-1970")</f>
        <v>1908-1970</v>
      </c>
      <c r="F1215" s="3" t="s">
        <v>28931</v>
      </c>
      <c r="G1215" t="s">
        <v>10252</v>
      </c>
      <c r="H1215" t="s">
        <v>9312</v>
      </c>
      <c r="I1215" t="s">
        <v>28931</v>
      </c>
      <c r="J1215" t="s">
        <v>28931</v>
      </c>
      <c r="K1215" t="s">
        <v>7057</v>
      </c>
      <c r="L1215" s="7" t="s">
        <v>10253</v>
      </c>
      <c r="M1215" t="s">
        <v>10254</v>
      </c>
      <c r="N1215">
        <v>21</v>
      </c>
      <c r="O1215">
        <v>17</v>
      </c>
      <c r="P1215">
        <v>4</v>
      </c>
      <c r="Q1215">
        <v>21</v>
      </c>
      <c r="R1215">
        <v>17</v>
      </c>
      <c r="S1215">
        <v>4</v>
      </c>
      <c r="T1215">
        <v>0</v>
      </c>
      <c r="U1215" t="s">
        <v>10255</v>
      </c>
      <c r="V1215">
        <f>Tabla1[[#This Row],[Aboard]]-Tabla1[[#This Row],[Fatalities]]</f>
        <v>0</v>
      </c>
      <c r="W1215" s="50">
        <f>IFERROR(Tabla1[[#This Row],[Fatalities]]/Tabla1[[#This Row],[Aboard]],0)</f>
        <v>1</v>
      </c>
      <c r="X1215" s="51" t="str" cm="1">
        <f t="array" ref="X1215">_xlfn.IFS(Tabla1[[#This Row],[Porcentaje de muertes]]&lt;0.35,"LEVE",AND(Tabla1[[#This Row],[Porcentaje de muertes]]&gt;0.35,Tabla1[[#This Row],[Porcentaje de muertes]]&lt;0.65),"MEDIO",Tabla1[[#This Row],[Porcentaje de muertes]]&gt;0.65,"GRAVE")</f>
        <v>GRAVE</v>
      </c>
    </row>
    <row r="1216" spans="2:24" x14ac:dyDescent="0.3">
      <c r="B1216" s="9">
        <v>1214</v>
      </c>
      <c r="C1216" s="49">
        <v>18610</v>
      </c>
      <c r="D1216" s="9">
        <f>YEAR(Tabla1[[#This Row],[Date]])</f>
        <v>1950</v>
      </c>
      <c r="E1216" s="9" t="str" cm="1">
        <f t="array" ref="E1216">IFERROR(_xlfn.IFS(AND(D1216&lt;1980,D1216&gt;=1970),"70",AND(D1216&lt;1990,D1216&gt;=1980),"80",AND(D1216&lt;2000,D1216&gt;=1990),"90",AND(D1216&lt;2010,D1216&gt;=2000),"00",AND(D1216&lt;=2019,D1216&gt;=2010),"10"),"1908-1970")</f>
        <v>1908-1970</v>
      </c>
      <c r="F1216" s="3" t="s">
        <v>28931</v>
      </c>
      <c r="G1216" t="s">
        <v>10256</v>
      </c>
      <c r="H1216" t="s">
        <v>7581</v>
      </c>
      <c r="I1216" t="s">
        <v>28931</v>
      </c>
      <c r="J1216" t="s">
        <v>28931</v>
      </c>
      <c r="K1216" t="s">
        <v>7057</v>
      </c>
      <c r="L1216" s="7" t="s">
        <v>10257</v>
      </c>
      <c r="M1216">
        <v>20543</v>
      </c>
      <c r="N1216">
        <v>9</v>
      </c>
      <c r="O1216" t="s">
        <v>5038</v>
      </c>
      <c r="P1216" t="s">
        <v>5038</v>
      </c>
      <c r="Q1216">
        <v>9</v>
      </c>
      <c r="R1216" t="s">
        <v>5038</v>
      </c>
      <c r="S1216" t="s">
        <v>5038</v>
      </c>
      <c r="T1216">
        <v>3</v>
      </c>
      <c r="U1216" t="s">
        <v>10258</v>
      </c>
      <c r="V1216">
        <f>Tabla1[[#This Row],[Aboard]]-Tabla1[[#This Row],[Fatalities]]</f>
        <v>0</v>
      </c>
      <c r="W1216" s="50">
        <f>IFERROR(Tabla1[[#This Row],[Fatalities]]/Tabla1[[#This Row],[Aboard]],0)</f>
        <v>1</v>
      </c>
      <c r="X1216" s="51" t="str" cm="1">
        <f t="array" ref="X1216">_xlfn.IFS(Tabla1[[#This Row],[Porcentaje de muertes]]&lt;0.35,"LEVE",AND(Tabla1[[#This Row],[Porcentaje de muertes]]&gt;0.35,Tabla1[[#This Row],[Porcentaje de muertes]]&lt;0.65),"MEDIO",Tabla1[[#This Row],[Porcentaje de muertes]]&gt;0.65,"GRAVE")</f>
        <v>GRAVE</v>
      </c>
    </row>
    <row r="1217" spans="2:24" x14ac:dyDescent="0.3">
      <c r="B1217" s="9">
        <v>1215</v>
      </c>
      <c r="C1217" s="49">
        <v>18611</v>
      </c>
      <c r="D1217" s="9">
        <f>YEAR(Tabla1[[#This Row],[Date]])</f>
        <v>1950</v>
      </c>
      <c r="E1217" s="9" t="str" cm="1">
        <f t="array" ref="E1217">IFERROR(_xlfn.IFS(AND(D1217&lt;1980,D1217&gt;=1970),"70",AND(D1217&lt;1990,D1217&gt;=1980),"80",AND(D1217&lt;2000,D1217&gt;=1990),"90",AND(D1217&lt;2010,D1217&gt;=2000),"00",AND(D1217&lt;=2019,D1217&gt;=2010),"10"),"1908-1970")</f>
        <v>1908-1970</v>
      </c>
      <c r="F1217" s="3" t="s">
        <v>28931</v>
      </c>
      <c r="G1217" t="s">
        <v>10259</v>
      </c>
      <c r="H1217" t="s">
        <v>7581</v>
      </c>
      <c r="I1217" t="s">
        <v>28931</v>
      </c>
      <c r="J1217" t="s">
        <v>28931</v>
      </c>
      <c r="K1217" t="s">
        <v>7057</v>
      </c>
      <c r="L1217" s="7" t="s">
        <v>28931</v>
      </c>
      <c r="M1217" t="s">
        <v>28931</v>
      </c>
      <c r="N1217">
        <v>1</v>
      </c>
      <c r="O1217">
        <v>0</v>
      </c>
      <c r="P1217">
        <v>1</v>
      </c>
      <c r="Q1217">
        <v>1</v>
      </c>
      <c r="R1217">
        <v>0</v>
      </c>
      <c r="S1217">
        <v>1</v>
      </c>
      <c r="T1217">
        <v>3</v>
      </c>
      <c r="U1217" t="s">
        <v>10260</v>
      </c>
      <c r="V1217">
        <f>Tabla1[[#This Row],[Aboard]]-Tabla1[[#This Row],[Fatalities]]</f>
        <v>0</v>
      </c>
      <c r="W1217" s="50">
        <f>IFERROR(Tabla1[[#This Row],[Fatalities]]/Tabla1[[#This Row],[Aboard]],0)</f>
        <v>1</v>
      </c>
      <c r="X1217" s="51" t="str" cm="1">
        <f t="array" ref="X1217">_xlfn.IFS(Tabla1[[#This Row],[Porcentaje de muertes]]&lt;0.35,"LEVE",AND(Tabla1[[#This Row],[Porcentaje de muertes]]&gt;0.35,Tabla1[[#This Row],[Porcentaje de muertes]]&lt;0.65),"MEDIO",Tabla1[[#This Row],[Porcentaje de muertes]]&gt;0.65,"GRAVE")</f>
        <v>GRAVE</v>
      </c>
    </row>
    <row r="1218" spans="2:24" x14ac:dyDescent="0.3">
      <c r="B1218" s="9">
        <v>1216</v>
      </c>
      <c r="C1218" s="49">
        <v>18612</v>
      </c>
      <c r="D1218" s="9">
        <f>YEAR(Tabla1[[#This Row],[Date]])</f>
        <v>1950</v>
      </c>
      <c r="E1218" s="9" t="str" cm="1">
        <f t="array" ref="E1218">IFERROR(_xlfn.IFS(AND(D1218&lt;1980,D1218&gt;=1970),"70",AND(D1218&lt;1990,D1218&gt;=1980),"80",AND(D1218&lt;2000,D1218&gt;=1990),"90",AND(D1218&lt;2010,D1218&gt;=2000),"00",AND(D1218&lt;=2019,D1218&gt;=2010),"10"),"1908-1970")</f>
        <v>1908-1970</v>
      </c>
      <c r="F1218" s="3">
        <v>0.5625</v>
      </c>
      <c r="G1218" t="s">
        <v>10261</v>
      </c>
      <c r="H1218" t="s">
        <v>9576</v>
      </c>
      <c r="I1218" t="s">
        <v>28931</v>
      </c>
      <c r="J1218" t="s">
        <v>10262</v>
      </c>
      <c r="K1218" t="s">
        <v>7934</v>
      </c>
      <c r="L1218" s="7" t="s">
        <v>10263</v>
      </c>
      <c r="M1218">
        <v>4432</v>
      </c>
      <c r="N1218">
        <v>31</v>
      </c>
      <c r="O1218">
        <v>28</v>
      </c>
      <c r="P1218">
        <v>3</v>
      </c>
      <c r="Q1218">
        <v>31</v>
      </c>
      <c r="R1218">
        <v>28</v>
      </c>
      <c r="S1218">
        <v>3</v>
      </c>
      <c r="T1218">
        <v>0</v>
      </c>
      <c r="U1218" t="s">
        <v>10264</v>
      </c>
      <c r="V1218">
        <f>Tabla1[[#This Row],[Aboard]]-Tabla1[[#This Row],[Fatalities]]</f>
        <v>0</v>
      </c>
      <c r="W1218" s="50">
        <f>IFERROR(Tabla1[[#This Row],[Fatalities]]/Tabla1[[#This Row],[Aboard]],0)</f>
        <v>1</v>
      </c>
      <c r="X1218" s="51" t="str" cm="1">
        <f t="array" ref="X1218">_xlfn.IFS(Tabla1[[#This Row],[Porcentaje de muertes]]&lt;0.35,"LEVE",AND(Tabla1[[#This Row],[Porcentaje de muertes]]&gt;0.35,Tabla1[[#This Row],[Porcentaje de muertes]]&lt;0.65),"MEDIO",Tabla1[[#This Row],[Porcentaje de muertes]]&gt;0.65,"GRAVE")</f>
        <v>GRAVE</v>
      </c>
    </row>
    <row r="1219" spans="2:24" x14ac:dyDescent="0.3">
      <c r="B1219" s="9">
        <v>1217</v>
      </c>
      <c r="C1219" s="49">
        <v>18616</v>
      </c>
      <c r="D1219" s="9">
        <f>YEAR(Tabla1[[#This Row],[Date]])</f>
        <v>1950</v>
      </c>
      <c r="E1219" s="9" t="str" cm="1">
        <f t="array" ref="E1219">IFERROR(_xlfn.IFS(AND(D1219&lt;1980,D1219&gt;=1970),"70",AND(D1219&lt;1990,D1219&gt;=1980),"80",AND(D1219&lt;2000,D1219&gt;=1990),"90",AND(D1219&lt;2010,D1219&gt;=2000),"00",AND(D1219&lt;=2019,D1219&gt;=2010),"10"),"1908-1970")</f>
        <v>1908-1970</v>
      </c>
      <c r="F1219" s="3">
        <v>0.3125</v>
      </c>
      <c r="G1219" t="s">
        <v>10265</v>
      </c>
      <c r="H1219" t="s">
        <v>7987</v>
      </c>
      <c r="I1219" t="s">
        <v>28931</v>
      </c>
      <c r="J1219" t="s">
        <v>10266</v>
      </c>
      <c r="K1219" t="s">
        <v>10267</v>
      </c>
      <c r="L1219" s="7" t="s">
        <v>10268</v>
      </c>
      <c r="M1219">
        <v>27322</v>
      </c>
      <c r="N1219">
        <v>38</v>
      </c>
      <c r="O1219">
        <v>31</v>
      </c>
      <c r="P1219">
        <v>7</v>
      </c>
      <c r="Q1219">
        <v>38</v>
      </c>
      <c r="R1219">
        <v>31</v>
      </c>
      <c r="S1219">
        <v>7</v>
      </c>
      <c r="T1219">
        <v>0</v>
      </c>
      <c r="U1219" t="s">
        <v>10269</v>
      </c>
      <c r="V1219">
        <f>Tabla1[[#This Row],[Aboard]]-Tabla1[[#This Row],[Fatalities]]</f>
        <v>0</v>
      </c>
      <c r="W1219" s="50">
        <f>IFERROR(Tabla1[[#This Row],[Fatalities]]/Tabla1[[#This Row],[Aboard]],0)</f>
        <v>1</v>
      </c>
      <c r="X1219" s="51" t="str" cm="1">
        <f t="array" ref="X1219">_xlfn.IFS(Tabla1[[#This Row],[Porcentaje de muertes]]&lt;0.35,"LEVE",AND(Tabla1[[#This Row],[Porcentaje de muertes]]&gt;0.35,Tabla1[[#This Row],[Porcentaje de muertes]]&lt;0.65),"MEDIO",Tabla1[[#This Row],[Porcentaje de muertes]]&gt;0.65,"GRAVE")</f>
        <v>GRAVE</v>
      </c>
    </row>
    <row r="1220" spans="2:24" x14ac:dyDescent="0.3">
      <c r="B1220" s="9">
        <v>1218</v>
      </c>
      <c r="C1220" s="49">
        <v>18619</v>
      </c>
      <c r="D1220" s="9">
        <f>YEAR(Tabla1[[#This Row],[Date]])</f>
        <v>1950</v>
      </c>
      <c r="E1220" s="9" t="str" cm="1">
        <f t="array" ref="E1220">IFERROR(_xlfn.IFS(AND(D1220&lt;1980,D1220&gt;=1970),"70",AND(D1220&lt;1990,D1220&gt;=1980),"80",AND(D1220&lt;2000,D1220&gt;=1990),"90",AND(D1220&lt;2010,D1220&gt;=2000),"00",AND(D1220&lt;=2019,D1220&gt;=2010),"10"),"1908-1970")</f>
        <v>1908-1970</v>
      </c>
      <c r="F1220" s="3">
        <v>0.57847222222222217</v>
      </c>
      <c r="G1220" t="s">
        <v>10270</v>
      </c>
      <c r="H1220" t="s">
        <v>7883</v>
      </c>
      <c r="I1220">
        <v>4</v>
      </c>
      <c r="J1220" t="s">
        <v>10271</v>
      </c>
      <c r="K1220" t="s">
        <v>7057</v>
      </c>
      <c r="L1220" s="7" t="s">
        <v>10272</v>
      </c>
      <c r="M1220">
        <v>12855</v>
      </c>
      <c r="N1220">
        <v>18</v>
      </c>
      <c r="O1220">
        <v>15</v>
      </c>
      <c r="P1220">
        <v>3</v>
      </c>
      <c r="Q1220">
        <v>2</v>
      </c>
      <c r="R1220">
        <v>0</v>
      </c>
      <c r="S1220">
        <v>2</v>
      </c>
      <c r="T1220">
        <v>0</v>
      </c>
      <c r="U1220" t="s">
        <v>10273</v>
      </c>
      <c r="V1220">
        <f>Tabla1[[#This Row],[Aboard]]-Tabla1[[#This Row],[Fatalities]]</f>
        <v>16</v>
      </c>
      <c r="W1220" s="50">
        <f>IFERROR(Tabla1[[#This Row],[Fatalities]]/Tabla1[[#This Row],[Aboard]],0)</f>
        <v>0.1111111111111111</v>
      </c>
      <c r="X1220" s="51" t="str" cm="1">
        <f t="array" ref="X1220">_xlfn.IFS(Tabla1[[#This Row],[Porcentaje de muertes]]&lt;0.35,"LEVE",AND(Tabla1[[#This Row],[Porcentaje de muertes]]&gt;0.35,Tabla1[[#This Row],[Porcentaje de muertes]]&lt;0.65),"MEDIO",Tabla1[[#This Row],[Porcentaje de muertes]]&gt;0.65,"GRAVE")</f>
        <v>LEVE</v>
      </c>
    </row>
    <row r="1221" spans="2:24" x14ac:dyDescent="0.3">
      <c r="B1221" s="9">
        <v>1219</v>
      </c>
      <c r="C1221" s="49">
        <v>18627</v>
      </c>
      <c r="D1221" s="9">
        <f>YEAR(Tabla1[[#This Row],[Date]])</f>
        <v>1950</v>
      </c>
      <c r="E1221" s="9" t="str" cm="1">
        <f t="array" ref="E1221">IFERROR(_xlfn.IFS(AND(D1221&lt;1980,D1221&gt;=1970),"70",AND(D1221&lt;1990,D1221&gt;=1980),"80",AND(D1221&lt;2000,D1221&gt;=1990),"90",AND(D1221&lt;2010,D1221&gt;=2000),"00",AND(D1221&lt;=2019,D1221&gt;=2010),"10"),"1908-1970")</f>
        <v>1908-1970</v>
      </c>
      <c r="F1221" s="3" t="s">
        <v>28931</v>
      </c>
      <c r="G1221" t="s">
        <v>10274</v>
      </c>
      <c r="H1221" t="s">
        <v>10275</v>
      </c>
      <c r="I1221" t="s">
        <v>28931</v>
      </c>
      <c r="J1221" t="s">
        <v>10276</v>
      </c>
      <c r="K1221" t="s">
        <v>7057</v>
      </c>
      <c r="L1221" s="7" t="s">
        <v>10277</v>
      </c>
      <c r="M1221">
        <v>13027</v>
      </c>
      <c r="N1221">
        <v>18</v>
      </c>
      <c r="O1221">
        <v>13</v>
      </c>
      <c r="P1221">
        <v>5</v>
      </c>
      <c r="Q1221">
        <v>17</v>
      </c>
      <c r="R1221">
        <v>12</v>
      </c>
      <c r="S1221">
        <v>5</v>
      </c>
      <c r="T1221">
        <v>0</v>
      </c>
      <c r="U1221" t="s">
        <v>10278</v>
      </c>
      <c r="V1221">
        <f>Tabla1[[#This Row],[Aboard]]-Tabla1[[#This Row],[Fatalities]]</f>
        <v>1</v>
      </c>
      <c r="W1221" s="50">
        <f>IFERROR(Tabla1[[#This Row],[Fatalities]]/Tabla1[[#This Row],[Aboard]],0)</f>
        <v>0.94444444444444442</v>
      </c>
      <c r="X1221" s="51" t="str" cm="1">
        <f t="array" ref="X1221">_xlfn.IFS(Tabla1[[#This Row],[Porcentaje de muertes]]&lt;0.35,"LEVE",AND(Tabla1[[#This Row],[Porcentaje de muertes]]&gt;0.35,Tabla1[[#This Row],[Porcentaje de muertes]]&lt;0.65),"MEDIO",Tabla1[[#This Row],[Porcentaje de muertes]]&gt;0.65,"GRAVE")</f>
        <v>GRAVE</v>
      </c>
    </row>
    <row r="1222" spans="2:24" x14ac:dyDescent="0.3">
      <c r="B1222" s="9">
        <v>1220</v>
      </c>
      <c r="C1222" s="49">
        <v>18963</v>
      </c>
      <c r="D1222" s="9">
        <f>YEAR(Tabla1[[#This Row],[Date]])</f>
        <v>1951</v>
      </c>
      <c r="E1222" s="9" t="str" cm="1">
        <f t="array" ref="E1222">IFERROR(_xlfn.IFS(AND(D1222&lt;1980,D1222&gt;=1970),"70",AND(D1222&lt;1990,D1222&gt;=1980),"80",AND(D1222&lt;2000,D1222&gt;=1990),"90",AND(D1222&lt;2010,D1222&gt;=2000),"00",AND(D1222&lt;=2019,D1222&gt;=2010),"10"),"1908-1970")</f>
        <v>1908-1970</v>
      </c>
      <c r="F1222" s="3">
        <v>0.61805555555555558</v>
      </c>
      <c r="G1222" t="s">
        <v>10279</v>
      </c>
      <c r="H1222" t="s">
        <v>10280</v>
      </c>
      <c r="I1222" t="s">
        <v>28931</v>
      </c>
      <c r="J1222" t="s">
        <v>10281</v>
      </c>
      <c r="K1222" t="s">
        <v>9464</v>
      </c>
      <c r="L1222" s="7" t="s">
        <v>10282</v>
      </c>
      <c r="M1222">
        <v>4017</v>
      </c>
      <c r="N1222">
        <v>12</v>
      </c>
      <c r="O1222">
        <v>10</v>
      </c>
      <c r="P1222">
        <v>2</v>
      </c>
      <c r="Q1222">
        <v>12</v>
      </c>
      <c r="R1222">
        <v>10</v>
      </c>
      <c r="S1222">
        <v>2</v>
      </c>
      <c r="T1222">
        <v>0</v>
      </c>
      <c r="U1222" t="s">
        <v>10283</v>
      </c>
      <c r="V1222">
        <f>Tabla1[[#This Row],[Aboard]]-Tabla1[[#This Row],[Fatalities]]</f>
        <v>0</v>
      </c>
      <c r="W1222" s="50">
        <f>IFERROR(Tabla1[[#This Row],[Fatalities]]/Tabla1[[#This Row],[Aboard]],0)</f>
        <v>1</v>
      </c>
      <c r="X1222" s="51" t="str" cm="1">
        <f t="array" ref="X1222">_xlfn.IFS(Tabla1[[#This Row],[Porcentaje de muertes]]&lt;0.35,"LEVE",AND(Tabla1[[#This Row],[Porcentaje de muertes]]&gt;0.35,Tabla1[[#This Row],[Porcentaje de muertes]]&lt;0.65),"MEDIO",Tabla1[[#This Row],[Porcentaje de muertes]]&gt;0.65,"GRAVE")</f>
        <v>GRAVE</v>
      </c>
    </row>
    <row r="1223" spans="2:24" x14ac:dyDescent="0.3">
      <c r="B1223" s="9">
        <v>1221</v>
      </c>
      <c r="C1223" s="49">
        <v>18641</v>
      </c>
      <c r="D1223" s="9">
        <f>YEAR(Tabla1[[#This Row],[Date]])</f>
        <v>1951</v>
      </c>
      <c r="E1223" s="9" t="str" cm="1">
        <f t="array" ref="E1223">IFERROR(_xlfn.IFS(AND(D1223&lt;1980,D1223&gt;=1970),"70",AND(D1223&lt;1990,D1223&gt;=1980),"80",AND(D1223&lt;2000,D1223&gt;=1990),"90",AND(D1223&lt;2010,D1223&gt;=2000),"00",AND(D1223&lt;=2019,D1223&gt;=2010),"10"),"1908-1970")</f>
        <v>1908-1970</v>
      </c>
      <c r="F1223" s="3" t="s">
        <v>28931</v>
      </c>
      <c r="G1223" t="s">
        <v>10284</v>
      </c>
      <c r="H1223" t="s">
        <v>10285</v>
      </c>
      <c r="I1223" t="s">
        <v>28931</v>
      </c>
      <c r="J1223" t="s">
        <v>10286</v>
      </c>
      <c r="K1223" t="s">
        <v>7057</v>
      </c>
      <c r="L1223" s="7" t="s">
        <v>10287</v>
      </c>
      <c r="M1223" t="s">
        <v>10288</v>
      </c>
      <c r="N1223">
        <v>10</v>
      </c>
      <c r="O1223">
        <v>7</v>
      </c>
      <c r="P1223">
        <v>3</v>
      </c>
      <c r="Q1223">
        <v>10</v>
      </c>
      <c r="R1223">
        <v>7</v>
      </c>
      <c r="S1223">
        <v>3</v>
      </c>
      <c r="T1223">
        <v>0</v>
      </c>
      <c r="U1223" t="s">
        <v>10289</v>
      </c>
      <c r="V1223">
        <f>Tabla1[[#This Row],[Aboard]]-Tabla1[[#This Row],[Fatalities]]</f>
        <v>0</v>
      </c>
      <c r="W1223" s="50">
        <f>IFERROR(Tabla1[[#This Row],[Fatalities]]/Tabla1[[#This Row],[Aboard]],0)</f>
        <v>1</v>
      </c>
      <c r="X1223" s="51" t="str" cm="1">
        <f t="array" ref="X1223">_xlfn.IFS(Tabla1[[#This Row],[Porcentaje de muertes]]&lt;0.35,"LEVE",AND(Tabla1[[#This Row],[Porcentaje de muertes]]&gt;0.35,Tabla1[[#This Row],[Porcentaje de muertes]]&lt;0.65),"MEDIO",Tabla1[[#This Row],[Porcentaje de muertes]]&gt;0.65,"GRAVE")</f>
        <v>GRAVE</v>
      </c>
    </row>
    <row r="1224" spans="2:24" x14ac:dyDescent="0.3">
      <c r="B1224" s="9">
        <v>1222</v>
      </c>
      <c r="C1224" s="49">
        <v>18642</v>
      </c>
      <c r="D1224" s="9">
        <f>YEAR(Tabla1[[#This Row],[Date]])</f>
        <v>1951</v>
      </c>
      <c r="E1224" s="9" t="str" cm="1">
        <f t="array" ref="E1224">IFERROR(_xlfn.IFS(AND(D1224&lt;1980,D1224&gt;=1970),"70",AND(D1224&lt;1990,D1224&gt;=1980),"80",AND(D1224&lt;2000,D1224&gt;=1990),"90",AND(D1224&lt;2010,D1224&gt;=2000),"00",AND(D1224&lt;=2019,D1224&gt;=2010),"10"),"1908-1970")</f>
        <v>1908-1970</v>
      </c>
      <c r="F1224" s="3">
        <v>0.59236111111111112</v>
      </c>
      <c r="G1224" t="s">
        <v>10290</v>
      </c>
      <c r="H1224" t="s">
        <v>8437</v>
      </c>
      <c r="I1224">
        <v>83</v>
      </c>
      <c r="J1224" t="s">
        <v>10291</v>
      </c>
      <c r="K1224" t="s">
        <v>8779</v>
      </c>
      <c r="L1224" s="7" t="s">
        <v>10292</v>
      </c>
      <c r="M1224">
        <v>43102</v>
      </c>
      <c r="N1224">
        <v>28</v>
      </c>
      <c r="O1224">
        <v>25</v>
      </c>
      <c r="P1224">
        <v>3</v>
      </c>
      <c r="Q1224">
        <v>7</v>
      </c>
      <c r="R1224">
        <v>6</v>
      </c>
      <c r="S1224">
        <v>1</v>
      </c>
      <c r="T1224">
        <v>0</v>
      </c>
      <c r="U1224" t="s">
        <v>10293</v>
      </c>
      <c r="V1224">
        <f>Tabla1[[#This Row],[Aboard]]-Tabla1[[#This Row],[Fatalities]]</f>
        <v>21</v>
      </c>
      <c r="W1224" s="50">
        <f>IFERROR(Tabla1[[#This Row],[Fatalities]]/Tabla1[[#This Row],[Aboard]],0)</f>
        <v>0.25</v>
      </c>
      <c r="X1224" s="51" t="str" cm="1">
        <f t="array" ref="X1224">_xlfn.IFS(Tabla1[[#This Row],[Porcentaje de muertes]]&lt;0.35,"LEVE",AND(Tabla1[[#This Row],[Porcentaje de muertes]]&gt;0.35,Tabla1[[#This Row],[Porcentaje de muertes]]&lt;0.65),"MEDIO",Tabla1[[#This Row],[Porcentaje de muertes]]&gt;0.65,"GRAVE")</f>
        <v>LEVE</v>
      </c>
    </row>
    <row r="1225" spans="2:24" x14ac:dyDescent="0.3">
      <c r="B1225" s="9">
        <v>1223</v>
      </c>
      <c r="C1225" s="49">
        <v>18644</v>
      </c>
      <c r="D1225" s="9">
        <f>YEAR(Tabla1[[#This Row],[Date]])</f>
        <v>1951</v>
      </c>
      <c r="E1225" s="9" t="str" cm="1">
        <f t="array" ref="E1225">IFERROR(_xlfn.IFS(AND(D1225&lt;1980,D1225&gt;=1970),"70",AND(D1225&lt;1990,D1225&gt;=1980),"80",AND(D1225&lt;2000,D1225&gt;=1990),"90",AND(D1225&lt;2010,D1225&gt;=2000),"00",AND(D1225&lt;=2019,D1225&gt;=2010),"10"),"1908-1970")</f>
        <v>1908-1970</v>
      </c>
      <c r="F1225" s="3">
        <v>0.50972222222222219</v>
      </c>
      <c r="G1225" t="s">
        <v>10294</v>
      </c>
      <c r="H1225" t="s">
        <v>5769</v>
      </c>
      <c r="I1225">
        <v>115</v>
      </c>
      <c r="J1225" t="s">
        <v>10295</v>
      </c>
      <c r="K1225" t="s">
        <v>9582</v>
      </c>
      <c r="L1225" s="7" t="s">
        <v>10296</v>
      </c>
      <c r="M1225">
        <v>9144</v>
      </c>
      <c r="N1225">
        <v>10</v>
      </c>
      <c r="O1225">
        <v>7</v>
      </c>
      <c r="P1225">
        <v>3</v>
      </c>
      <c r="Q1225">
        <v>10</v>
      </c>
      <c r="R1225">
        <v>7</v>
      </c>
      <c r="S1225">
        <v>3</v>
      </c>
      <c r="T1225">
        <v>0</v>
      </c>
      <c r="U1225" t="s">
        <v>10297</v>
      </c>
      <c r="V1225">
        <f>Tabla1[[#This Row],[Aboard]]-Tabla1[[#This Row],[Fatalities]]</f>
        <v>0</v>
      </c>
      <c r="W1225" s="50">
        <f>IFERROR(Tabla1[[#This Row],[Fatalities]]/Tabla1[[#This Row],[Aboard]],0)</f>
        <v>1</v>
      </c>
      <c r="X1225" s="51" t="str" cm="1">
        <f t="array" ref="X1225">_xlfn.IFS(Tabla1[[#This Row],[Porcentaje de muertes]]&lt;0.35,"LEVE",AND(Tabla1[[#This Row],[Porcentaje de muertes]]&gt;0.35,Tabla1[[#This Row],[Porcentaje de muertes]]&lt;0.65),"MEDIO",Tabla1[[#This Row],[Porcentaje de muertes]]&gt;0.65,"GRAVE")</f>
        <v>GRAVE</v>
      </c>
    </row>
    <row r="1226" spans="2:24" x14ac:dyDescent="0.3">
      <c r="B1226" s="9">
        <v>1224</v>
      </c>
      <c r="C1226" s="49">
        <v>18645</v>
      </c>
      <c r="D1226" s="9">
        <f>YEAR(Tabla1[[#This Row],[Date]])</f>
        <v>1951</v>
      </c>
      <c r="E1226" s="9" t="str" cm="1">
        <f t="array" ref="E1226">IFERROR(_xlfn.IFS(AND(D1226&lt;1980,D1226&gt;=1970),"70",AND(D1226&lt;1990,D1226&gt;=1980),"80",AND(D1226&lt;2000,D1226&gt;=1990),"90",AND(D1226&lt;2010,D1226&gt;=2000),"00",AND(D1226&lt;=2019,D1226&gt;=2010),"10"),"1908-1970")</f>
        <v>1908-1970</v>
      </c>
      <c r="F1226" s="3">
        <v>0.60833333333333328</v>
      </c>
      <c r="G1226" t="s">
        <v>10298</v>
      </c>
      <c r="H1226" t="s">
        <v>10299</v>
      </c>
      <c r="I1226" t="s">
        <v>28931</v>
      </c>
      <c r="J1226" t="s">
        <v>10300</v>
      </c>
      <c r="K1226" t="s">
        <v>10301</v>
      </c>
      <c r="L1226" s="7" t="s">
        <v>10302</v>
      </c>
      <c r="M1226">
        <v>10</v>
      </c>
      <c r="N1226">
        <v>17</v>
      </c>
      <c r="O1226">
        <v>12</v>
      </c>
      <c r="P1226">
        <v>5</v>
      </c>
      <c r="Q1226">
        <v>14</v>
      </c>
      <c r="R1226">
        <v>10</v>
      </c>
      <c r="S1226">
        <v>4</v>
      </c>
      <c r="T1226">
        <v>0</v>
      </c>
      <c r="U1226" t="s">
        <v>10303</v>
      </c>
      <c r="V1226">
        <f>Tabla1[[#This Row],[Aboard]]-Tabla1[[#This Row],[Fatalities]]</f>
        <v>3</v>
      </c>
      <c r="W1226" s="50">
        <f>IFERROR(Tabla1[[#This Row],[Fatalities]]/Tabla1[[#This Row],[Aboard]],0)</f>
        <v>0.82352941176470584</v>
      </c>
      <c r="X1226" s="51" t="str" cm="1">
        <f t="array" ref="X1226">_xlfn.IFS(Tabla1[[#This Row],[Porcentaje de muertes]]&lt;0.35,"LEVE",AND(Tabla1[[#This Row],[Porcentaje de muertes]]&gt;0.35,Tabla1[[#This Row],[Porcentaje de muertes]]&lt;0.65),"MEDIO",Tabla1[[#This Row],[Porcentaje de muertes]]&gt;0.65,"GRAVE")</f>
        <v>GRAVE</v>
      </c>
    </row>
    <row r="1227" spans="2:24" x14ac:dyDescent="0.3">
      <c r="B1227" s="9">
        <v>1225</v>
      </c>
      <c r="C1227" s="49">
        <v>18648</v>
      </c>
      <c r="D1227" s="9">
        <f>YEAR(Tabla1[[#This Row],[Date]])</f>
        <v>1951</v>
      </c>
      <c r="E1227" s="9" t="str" cm="1">
        <f t="array" ref="E1227">IFERROR(_xlfn.IFS(AND(D1227&lt;1980,D1227&gt;=1970),"70",AND(D1227&lt;1990,D1227&gt;=1980),"80",AND(D1227&lt;2000,D1227&gt;=1990),"90",AND(D1227&lt;2010,D1227&gt;=2000),"00",AND(D1227&lt;=2019,D1227&gt;=2010),"10"),"1908-1970")</f>
        <v>1908-1970</v>
      </c>
      <c r="F1227" s="3" t="s">
        <v>28931</v>
      </c>
      <c r="G1227" t="s">
        <v>10304</v>
      </c>
      <c r="H1227" t="s">
        <v>10305</v>
      </c>
      <c r="I1227" t="s">
        <v>28931</v>
      </c>
      <c r="J1227" t="s">
        <v>28931</v>
      </c>
      <c r="K1227" t="s">
        <v>7057</v>
      </c>
      <c r="L1227" s="7" t="s">
        <v>28931</v>
      </c>
      <c r="M1227" t="s">
        <v>28931</v>
      </c>
      <c r="N1227" t="s">
        <v>5038</v>
      </c>
      <c r="O1227" t="s">
        <v>5038</v>
      </c>
      <c r="P1227" t="s">
        <v>5038</v>
      </c>
      <c r="Q1227">
        <v>16</v>
      </c>
      <c r="R1227" t="s">
        <v>5038</v>
      </c>
      <c r="S1227" t="s">
        <v>5038</v>
      </c>
      <c r="T1227" t="s">
        <v>5038</v>
      </c>
      <c r="U1227" t="s">
        <v>28927</v>
      </c>
      <c r="V1227" t="s">
        <v>5038</v>
      </c>
      <c r="W1227" s="50">
        <f>IFERROR(Tabla1[[#This Row],[Fatalities]]/Tabla1[[#This Row],[Aboard]],0)</f>
        <v>0</v>
      </c>
      <c r="X1227" s="51" t="str" cm="1">
        <f t="array" ref="X1227">_xlfn.IFS(Tabla1[[#This Row],[Porcentaje de muertes]]&lt;0.35,"LEVE",AND(Tabla1[[#This Row],[Porcentaje de muertes]]&gt;0.35,Tabla1[[#This Row],[Porcentaje de muertes]]&lt;0.65),"MEDIO",Tabla1[[#This Row],[Porcentaje de muertes]]&gt;0.65,"GRAVE")</f>
        <v>LEVE</v>
      </c>
    </row>
    <row r="1228" spans="2:24" x14ac:dyDescent="0.3">
      <c r="B1228" s="9">
        <v>1226</v>
      </c>
      <c r="C1228" s="49">
        <v>18656</v>
      </c>
      <c r="D1228" s="9">
        <f>YEAR(Tabla1[[#This Row],[Date]])</f>
        <v>1951</v>
      </c>
      <c r="E1228" s="9" t="str" cm="1">
        <f t="array" ref="E1228">IFERROR(_xlfn.IFS(AND(D1228&lt;1980,D1228&gt;=1970),"70",AND(D1228&lt;1990,D1228&gt;=1980),"80",AND(D1228&lt;2000,D1228&gt;=1990),"90",AND(D1228&lt;2010,D1228&gt;=2000),"00",AND(D1228&lt;=2019,D1228&gt;=2010),"10"),"1908-1970")</f>
        <v>1908-1970</v>
      </c>
      <c r="F1228" s="3">
        <v>0.3611111111111111</v>
      </c>
      <c r="G1228" t="s">
        <v>10306</v>
      </c>
      <c r="H1228" t="s">
        <v>7660</v>
      </c>
      <c r="I1228" t="s">
        <v>28931</v>
      </c>
      <c r="J1228" t="s">
        <v>10307</v>
      </c>
      <c r="K1228" t="s">
        <v>10308</v>
      </c>
      <c r="L1228" s="7" t="s">
        <v>10309</v>
      </c>
      <c r="M1228" t="s">
        <v>28931</v>
      </c>
      <c r="N1228">
        <v>14</v>
      </c>
      <c r="O1228">
        <v>7</v>
      </c>
      <c r="P1228">
        <v>7</v>
      </c>
      <c r="Q1228">
        <v>14</v>
      </c>
      <c r="R1228">
        <v>7</v>
      </c>
      <c r="S1228">
        <v>7</v>
      </c>
      <c r="T1228">
        <v>0</v>
      </c>
      <c r="U1228" t="s">
        <v>10310</v>
      </c>
      <c r="V1228">
        <f>Tabla1[[#This Row],[Aboard]]-Tabla1[[#This Row],[Fatalities]]</f>
        <v>0</v>
      </c>
      <c r="W1228" s="50">
        <f>IFERROR(Tabla1[[#This Row],[Fatalities]]/Tabla1[[#This Row],[Aboard]],0)</f>
        <v>1</v>
      </c>
      <c r="X1228" s="51" t="str" cm="1">
        <f t="array" ref="X1228">_xlfn.IFS(Tabla1[[#This Row],[Porcentaje de muertes]]&lt;0.35,"LEVE",AND(Tabla1[[#This Row],[Porcentaje de muertes]]&gt;0.35,Tabla1[[#This Row],[Porcentaje de muertes]]&lt;0.65),"MEDIO",Tabla1[[#This Row],[Porcentaje de muertes]]&gt;0.65,"GRAVE")</f>
        <v>GRAVE</v>
      </c>
    </row>
    <row r="1229" spans="2:24" x14ac:dyDescent="0.3">
      <c r="B1229" s="9">
        <v>1227</v>
      </c>
      <c r="C1229" s="49">
        <v>18659</v>
      </c>
      <c r="D1229" s="9">
        <f>YEAR(Tabla1[[#This Row],[Date]])</f>
        <v>1951</v>
      </c>
      <c r="E1229" s="9" t="str" cm="1">
        <f t="array" ref="E1229">IFERROR(_xlfn.IFS(AND(D1229&lt;1980,D1229&gt;=1970),"70",AND(D1229&lt;1990,D1229&gt;=1980),"80",AND(D1229&lt;2000,D1229&gt;=1990),"90",AND(D1229&lt;2010,D1229&gt;=2000),"00",AND(D1229&lt;=2019,D1229&gt;=2010),"10"),"1908-1970")</f>
        <v>1908-1970</v>
      </c>
      <c r="F1229" s="3">
        <v>0.69791666666666663</v>
      </c>
      <c r="G1229" t="s">
        <v>10311</v>
      </c>
      <c r="H1229" t="s">
        <v>10312</v>
      </c>
      <c r="I1229" t="s">
        <v>28931</v>
      </c>
      <c r="J1229" t="s">
        <v>10313</v>
      </c>
      <c r="K1229" t="s">
        <v>7057</v>
      </c>
      <c r="L1229" s="7" t="s">
        <v>10314</v>
      </c>
      <c r="M1229">
        <v>12482</v>
      </c>
      <c r="N1229">
        <v>20</v>
      </c>
      <c r="O1229">
        <v>17</v>
      </c>
      <c r="P1229">
        <v>3</v>
      </c>
      <c r="Q1229">
        <v>20</v>
      </c>
      <c r="R1229">
        <v>17</v>
      </c>
      <c r="S1229">
        <v>3</v>
      </c>
      <c r="T1229">
        <v>0</v>
      </c>
      <c r="U1229" t="s">
        <v>10315</v>
      </c>
      <c r="V1229">
        <f>Tabla1[[#This Row],[Aboard]]-Tabla1[[#This Row],[Fatalities]]</f>
        <v>0</v>
      </c>
      <c r="W1229" s="50">
        <f>IFERROR(Tabla1[[#This Row],[Fatalities]]/Tabla1[[#This Row],[Aboard]],0)</f>
        <v>1</v>
      </c>
      <c r="X1229" s="51" t="str" cm="1">
        <f t="array" ref="X1229">_xlfn.IFS(Tabla1[[#This Row],[Porcentaje de muertes]]&lt;0.35,"LEVE",AND(Tabla1[[#This Row],[Porcentaje de muertes]]&gt;0.35,Tabla1[[#This Row],[Porcentaje de muertes]]&lt;0.65),"MEDIO",Tabla1[[#This Row],[Porcentaje de muertes]]&gt;0.65,"GRAVE")</f>
        <v>GRAVE</v>
      </c>
    </row>
    <row r="1230" spans="2:24" x14ac:dyDescent="0.3">
      <c r="B1230" s="9">
        <v>1228</v>
      </c>
      <c r="C1230" s="49">
        <v>18630</v>
      </c>
      <c r="D1230" s="9">
        <f>YEAR(Tabla1[[#This Row],[Date]])</f>
        <v>1951</v>
      </c>
      <c r="E1230" s="9" t="str" cm="1">
        <f t="array" ref="E1230">IFERROR(_xlfn.IFS(AND(D1230&lt;1980,D1230&gt;=1970),"70",AND(D1230&lt;1990,D1230&gt;=1980),"80",AND(D1230&lt;2000,D1230&gt;=1990),"90",AND(D1230&lt;2010,D1230&gt;=2000),"00",AND(D1230&lt;=2019,D1230&gt;=2010),"10"),"1908-1970")</f>
        <v>1908-1970</v>
      </c>
      <c r="F1230" s="3" t="s">
        <v>28931</v>
      </c>
      <c r="G1230" t="s">
        <v>10316</v>
      </c>
      <c r="H1230" t="s">
        <v>10317</v>
      </c>
      <c r="I1230" t="s">
        <v>28931</v>
      </c>
      <c r="J1230" t="s">
        <v>28931</v>
      </c>
      <c r="K1230" t="s">
        <v>8513</v>
      </c>
      <c r="L1230" s="7">
        <v>282</v>
      </c>
      <c r="M1230" t="s">
        <v>28931</v>
      </c>
      <c r="N1230">
        <v>14</v>
      </c>
      <c r="O1230" t="s">
        <v>5038</v>
      </c>
      <c r="P1230" t="s">
        <v>5038</v>
      </c>
      <c r="Q1230">
        <v>14</v>
      </c>
      <c r="R1230" t="s">
        <v>5038</v>
      </c>
      <c r="S1230" t="s">
        <v>5038</v>
      </c>
      <c r="T1230">
        <v>0</v>
      </c>
      <c r="U1230" t="s">
        <v>10318</v>
      </c>
      <c r="V1230">
        <f>Tabla1[[#This Row],[Aboard]]-Tabla1[[#This Row],[Fatalities]]</f>
        <v>0</v>
      </c>
      <c r="W1230" s="50">
        <f>IFERROR(Tabla1[[#This Row],[Fatalities]]/Tabla1[[#This Row],[Aboard]],0)</f>
        <v>1</v>
      </c>
      <c r="X1230" s="51" t="str" cm="1">
        <f t="array" ref="X1230">_xlfn.IFS(Tabla1[[#This Row],[Porcentaje de muertes]]&lt;0.35,"LEVE",AND(Tabla1[[#This Row],[Porcentaje de muertes]]&gt;0.35,Tabla1[[#This Row],[Porcentaje de muertes]]&lt;0.65),"MEDIO",Tabla1[[#This Row],[Porcentaje de muertes]]&gt;0.65,"GRAVE")</f>
        <v>GRAVE</v>
      </c>
    </row>
    <row r="1231" spans="2:24" x14ac:dyDescent="0.3">
      <c r="B1231" s="9">
        <v>1229</v>
      </c>
      <c r="C1231" s="49">
        <v>18689</v>
      </c>
      <c r="D1231" s="9">
        <f>YEAR(Tabla1[[#This Row],[Date]])</f>
        <v>1951</v>
      </c>
      <c r="E1231" s="9" t="str" cm="1">
        <f t="array" ref="E1231">IFERROR(_xlfn.IFS(AND(D1231&lt;1980,D1231&gt;=1970),"70",AND(D1231&lt;1990,D1231&gt;=1980),"80",AND(D1231&lt;2000,D1231&gt;=1990),"90",AND(D1231&lt;2010,D1231&gt;=2000),"00",AND(D1231&lt;=2019,D1231&gt;=2010),"10"),"1908-1970")</f>
        <v>1908-1970</v>
      </c>
      <c r="F1231" s="3">
        <v>0.60416666666666663</v>
      </c>
      <c r="G1231" t="s">
        <v>10319</v>
      </c>
      <c r="H1231" t="s">
        <v>6375</v>
      </c>
      <c r="I1231" t="s">
        <v>28931</v>
      </c>
      <c r="J1231" t="s">
        <v>10320</v>
      </c>
      <c r="K1231" t="s">
        <v>8822</v>
      </c>
      <c r="L1231" s="7" t="s">
        <v>10321</v>
      </c>
      <c r="M1231">
        <v>42992</v>
      </c>
      <c r="N1231">
        <v>29</v>
      </c>
      <c r="O1231">
        <v>23</v>
      </c>
      <c r="P1231">
        <v>6</v>
      </c>
      <c r="Q1231">
        <v>29</v>
      </c>
      <c r="R1231">
        <v>23</v>
      </c>
      <c r="S1231">
        <v>6</v>
      </c>
      <c r="T1231">
        <v>0</v>
      </c>
      <c r="U1231" t="s">
        <v>10322</v>
      </c>
      <c r="V1231">
        <f>Tabla1[[#This Row],[Aboard]]-Tabla1[[#This Row],[Fatalities]]</f>
        <v>0</v>
      </c>
      <c r="W1231" s="50">
        <f>IFERROR(Tabla1[[#This Row],[Fatalities]]/Tabla1[[#This Row],[Aboard]],0)</f>
        <v>1</v>
      </c>
      <c r="X1231" s="51" t="str" cm="1">
        <f t="array" ref="X1231">_xlfn.IFS(Tabla1[[#This Row],[Porcentaje de muertes]]&lt;0.35,"LEVE",AND(Tabla1[[#This Row],[Porcentaje de muertes]]&gt;0.35,Tabla1[[#This Row],[Porcentaje de muertes]]&lt;0.65),"MEDIO",Tabla1[[#This Row],[Porcentaje de muertes]]&gt;0.65,"GRAVE")</f>
        <v>GRAVE</v>
      </c>
    </row>
    <row r="1232" spans="2:24" x14ac:dyDescent="0.3">
      <c r="B1232" s="9">
        <v>1230</v>
      </c>
      <c r="C1232" s="49">
        <v>18673</v>
      </c>
      <c r="D1232" s="9">
        <f>YEAR(Tabla1[[#This Row],[Date]])</f>
        <v>1951</v>
      </c>
      <c r="E1232" s="9" t="str" cm="1">
        <f t="array" ref="E1232">IFERROR(_xlfn.IFS(AND(D1232&lt;1980,D1232&gt;=1970),"70",AND(D1232&lt;1990,D1232&gt;=1980),"80",AND(D1232&lt;2000,D1232&gt;=1990),"90",AND(D1232&lt;2010,D1232&gt;=2000),"00",AND(D1232&lt;=2019,D1232&gt;=2010),"10"),"1908-1970")</f>
        <v>1908-1970</v>
      </c>
      <c r="F1232" s="3" t="s">
        <v>28931</v>
      </c>
      <c r="G1232" t="s">
        <v>10323</v>
      </c>
      <c r="H1232" t="s">
        <v>10060</v>
      </c>
      <c r="I1232" t="s">
        <v>28931</v>
      </c>
      <c r="J1232" t="s">
        <v>10324</v>
      </c>
      <c r="K1232" t="s">
        <v>8305</v>
      </c>
      <c r="L1232" s="7" t="s">
        <v>10325</v>
      </c>
      <c r="M1232">
        <v>49</v>
      </c>
      <c r="N1232">
        <v>2</v>
      </c>
      <c r="O1232">
        <v>0</v>
      </c>
      <c r="P1232">
        <v>2</v>
      </c>
      <c r="Q1232">
        <v>2</v>
      </c>
      <c r="R1232">
        <v>0</v>
      </c>
      <c r="S1232">
        <v>2</v>
      </c>
      <c r="T1232">
        <v>0</v>
      </c>
      <c r="U1232" t="s">
        <v>10326</v>
      </c>
      <c r="V1232">
        <f>Tabla1[[#This Row],[Aboard]]-Tabla1[[#This Row],[Fatalities]]</f>
        <v>0</v>
      </c>
      <c r="W1232" s="50">
        <f>IFERROR(Tabla1[[#This Row],[Fatalities]]/Tabla1[[#This Row],[Aboard]],0)</f>
        <v>1</v>
      </c>
      <c r="X1232" s="51" t="str" cm="1">
        <f t="array" ref="X1232">_xlfn.IFS(Tabla1[[#This Row],[Porcentaje de muertes]]&lt;0.35,"LEVE",AND(Tabla1[[#This Row],[Porcentaje de muertes]]&gt;0.35,Tabla1[[#This Row],[Porcentaje de muertes]]&lt;0.65),"MEDIO",Tabla1[[#This Row],[Porcentaje de muertes]]&gt;0.65,"GRAVE")</f>
        <v>GRAVE</v>
      </c>
    </row>
    <row r="1233" spans="2:24" x14ac:dyDescent="0.3">
      <c r="B1233" s="9">
        <v>1231</v>
      </c>
      <c r="C1233" s="49">
        <v>18662</v>
      </c>
      <c r="D1233" s="9">
        <f>YEAR(Tabla1[[#This Row],[Date]])</f>
        <v>1951</v>
      </c>
      <c r="E1233" s="9" t="str" cm="1">
        <f t="array" ref="E1233">IFERROR(_xlfn.IFS(AND(D1233&lt;1980,D1233&gt;=1970),"70",AND(D1233&lt;1990,D1233&gt;=1980),"80",AND(D1233&lt;2000,D1233&gt;=1990),"90",AND(D1233&lt;2010,D1233&gt;=2000),"00",AND(D1233&lt;=2019,D1233&gt;=2010),"10"),"1908-1970")</f>
        <v>1908-1970</v>
      </c>
      <c r="F1233" s="3">
        <v>0.3833333333333333</v>
      </c>
      <c r="G1233" t="s">
        <v>10327</v>
      </c>
      <c r="H1233" t="s">
        <v>10328</v>
      </c>
      <c r="I1233">
        <v>16</v>
      </c>
      <c r="J1233" t="s">
        <v>10329</v>
      </c>
      <c r="K1233" t="s">
        <v>7057</v>
      </c>
      <c r="L1233" s="7" t="s">
        <v>10330</v>
      </c>
      <c r="M1233">
        <v>7400</v>
      </c>
      <c r="N1233">
        <v>25</v>
      </c>
      <c r="O1233">
        <v>21</v>
      </c>
      <c r="P1233">
        <v>4</v>
      </c>
      <c r="Q1233">
        <v>16</v>
      </c>
      <c r="R1233">
        <v>13</v>
      </c>
      <c r="S1233">
        <v>3</v>
      </c>
      <c r="T1233">
        <v>0</v>
      </c>
      <c r="U1233" t="s">
        <v>10331</v>
      </c>
      <c r="V1233">
        <f>Tabla1[[#This Row],[Aboard]]-Tabla1[[#This Row],[Fatalities]]</f>
        <v>9</v>
      </c>
      <c r="W1233" s="50">
        <f>IFERROR(Tabla1[[#This Row],[Fatalities]]/Tabla1[[#This Row],[Aboard]],0)</f>
        <v>0.64</v>
      </c>
      <c r="X1233" s="51" t="str" cm="1">
        <f t="array" ref="X1233">_xlfn.IFS(Tabla1[[#This Row],[Porcentaje de muertes]]&lt;0.35,"LEVE",AND(Tabla1[[#This Row],[Porcentaje de muertes]]&gt;0.35,Tabla1[[#This Row],[Porcentaje de muertes]]&lt;0.65),"MEDIO",Tabla1[[#This Row],[Porcentaje de muertes]]&gt;0.65,"GRAVE")</f>
        <v>MEDIO</v>
      </c>
    </row>
    <row r="1234" spans="2:24" x14ac:dyDescent="0.3">
      <c r="B1234" s="9">
        <v>1232</v>
      </c>
      <c r="C1234" s="49">
        <v>18935</v>
      </c>
      <c r="D1234" s="9">
        <f>YEAR(Tabla1[[#This Row],[Date]])</f>
        <v>1951</v>
      </c>
      <c r="E1234" s="9" t="str" cm="1">
        <f t="array" ref="E1234">IFERROR(_xlfn.IFS(AND(D1234&lt;1980,D1234&gt;=1970),"70",AND(D1234&lt;1990,D1234&gt;=1980),"80",AND(D1234&lt;2000,D1234&gt;=1990),"90",AND(D1234&lt;2010,D1234&gt;=2000),"00",AND(D1234&lt;=2019,D1234&gt;=2010),"10"),"1908-1970")</f>
        <v>1908-1970</v>
      </c>
      <c r="F1234" s="3" t="s">
        <v>28931</v>
      </c>
      <c r="G1234" t="s">
        <v>10332</v>
      </c>
      <c r="H1234" t="s">
        <v>10333</v>
      </c>
      <c r="I1234" t="s">
        <v>28931</v>
      </c>
      <c r="J1234" t="s">
        <v>10334</v>
      </c>
      <c r="K1234" t="s">
        <v>8822</v>
      </c>
      <c r="L1234" s="7" t="s">
        <v>10335</v>
      </c>
      <c r="M1234">
        <v>10396</v>
      </c>
      <c r="N1234">
        <v>24</v>
      </c>
      <c r="O1234">
        <v>20</v>
      </c>
      <c r="P1234">
        <v>4</v>
      </c>
      <c r="Q1234">
        <v>24</v>
      </c>
      <c r="R1234">
        <v>20</v>
      </c>
      <c r="S1234">
        <v>4</v>
      </c>
      <c r="T1234">
        <v>0</v>
      </c>
      <c r="U1234" t="s">
        <v>10336</v>
      </c>
      <c r="V1234">
        <f>Tabla1[[#This Row],[Aboard]]-Tabla1[[#This Row],[Fatalities]]</f>
        <v>0</v>
      </c>
      <c r="W1234" s="50">
        <f>IFERROR(Tabla1[[#This Row],[Fatalities]]/Tabla1[[#This Row],[Aboard]],0)</f>
        <v>1</v>
      </c>
      <c r="X1234" s="51" t="str" cm="1">
        <f t="array" ref="X1234">_xlfn.IFS(Tabla1[[#This Row],[Porcentaje de muertes]]&lt;0.35,"LEVE",AND(Tabla1[[#This Row],[Porcentaje de muertes]]&gt;0.35,Tabla1[[#This Row],[Porcentaje de muertes]]&lt;0.65),"MEDIO",Tabla1[[#This Row],[Porcentaje de muertes]]&gt;0.65,"GRAVE")</f>
        <v>GRAVE</v>
      </c>
    </row>
    <row r="1235" spans="2:24" x14ac:dyDescent="0.3">
      <c r="B1235" s="9">
        <v>1233</v>
      </c>
      <c r="C1235" s="49">
        <v>18708</v>
      </c>
      <c r="D1235" s="9">
        <f>YEAR(Tabla1[[#This Row],[Date]])</f>
        <v>1951</v>
      </c>
      <c r="E1235" s="9" t="str" cm="1">
        <f t="array" ref="E1235">IFERROR(_xlfn.IFS(AND(D1235&lt;1980,D1235&gt;=1970),"70",AND(D1235&lt;1990,D1235&gt;=1980),"80",AND(D1235&lt;2000,D1235&gt;=1990),"90",AND(D1235&lt;2010,D1235&gt;=2000),"00",AND(D1235&lt;=2019,D1235&gt;=2010),"10"),"1908-1970")</f>
        <v>1908-1970</v>
      </c>
      <c r="F1235" s="3">
        <v>0.72222222222222221</v>
      </c>
      <c r="G1235" t="s">
        <v>10337</v>
      </c>
      <c r="H1235" t="s">
        <v>9667</v>
      </c>
      <c r="I1235" t="s">
        <v>28931</v>
      </c>
      <c r="J1235" t="s">
        <v>10338</v>
      </c>
      <c r="K1235" t="s">
        <v>7826</v>
      </c>
      <c r="L1235" s="7" t="s">
        <v>10339</v>
      </c>
      <c r="M1235">
        <v>9073</v>
      </c>
      <c r="N1235">
        <v>29</v>
      </c>
      <c r="O1235">
        <v>26</v>
      </c>
      <c r="P1235">
        <v>3</v>
      </c>
      <c r="Q1235">
        <v>29</v>
      </c>
      <c r="R1235">
        <v>26</v>
      </c>
      <c r="S1235">
        <v>3</v>
      </c>
      <c r="T1235">
        <v>0</v>
      </c>
      <c r="U1235" t="s">
        <v>10340</v>
      </c>
      <c r="V1235">
        <f>Tabla1[[#This Row],[Aboard]]-Tabla1[[#This Row],[Fatalities]]</f>
        <v>0</v>
      </c>
      <c r="W1235" s="50">
        <f>IFERROR(Tabla1[[#This Row],[Fatalities]]/Tabla1[[#This Row],[Aboard]],0)</f>
        <v>1</v>
      </c>
      <c r="X1235" s="51" t="str" cm="1">
        <f t="array" ref="X1235">_xlfn.IFS(Tabla1[[#This Row],[Porcentaje de muertes]]&lt;0.35,"LEVE",AND(Tabla1[[#This Row],[Porcentaje de muertes]]&gt;0.35,Tabla1[[#This Row],[Porcentaje de muertes]]&lt;0.65),"MEDIO",Tabla1[[#This Row],[Porcentaje de muertes]]&gt;0.65,"GRAVE")</f>
        <v>GRAVE</v>
      </c>
    </row>
    <row r="1236" spans="2:24" x14ac:dyDescent="0.3">
      <c r="B1236" s="9">
        <v>1234</v>
      </c>
      <c r="C1236" s="49">
        <v>18709</v>
      </c>
      <c r="D1236" s="9">
        <f>YEAR(Tabla1[[#This Row],[Date]])</f>
        <v>1951</v>
      </c>
      <c r="E1236" s="9" t="str" cm="1">
        <f t="array" ref="E1236">IFERROR(_xlfn.IFS(AND(D1236&lt;1980,D1236&gt;=1970),"70",AND(D1236&lt;1990,D1236&gt;=1980),"80",AND(D1236&lt;2000,D1236&gt;=1990),"90",AND(D1236&lt;2010,D1236&gt;=2000),"00",AND(D1236&lt;=2019,D1236&gt;=2010),"10"),"1908-1970")</f>
        <v>1908-1970</v>
      </c>
      <c r="F1236" s="3">
        <v>0.72916666666666663</v>
      </c>
      <c r="G1236" t="s">
        <v>10341</v>
      </c>
      <c r="H1236" t="s">
        <v>9425</v>
      </c>
      <c r="I1236" t="s">
        <v>28931</v>
      </c>
      <c r="J1236" t="s">
        <v>10342</v>
      </c>
      <c r="K1236" t="s">
        <v>7057</v>
      </c>
      <c r="L1236" s="7" t="s">
        <v>10343</v>
      </c>
      <c r="M1236">
        <v>7341</v>
      </c>
      <c r="N1236">
        <v>14</v>
      </c>
      <c r="O1236">
        <v>10</v>
      </c>
      <c r="P1236">
        <v>4</v>
      </c>
      <c r="Q1236">
        <v>3</v>
      </c>
      <c r="R1236">
        <v>3</v>
      </c>
      <c r="S1236">
        <v>0</v>
      </c>
      <c r="T1236">
        <v>0</v>
      </c>
      <c r="U1236" t="s">
        <v>10344</v>
      </c>
      <c r="V1236">
        <f>Tabla1[[#This Row],[Aboard]]-Tabla1[[#This Row],[Fatalities]]</f>
        <v>11</v>
      </c>
      <c r="W1236" s="50">
        <f>IFERROR(Tabla1[[#This Row],[Fatalities]]/Tabla1[[#This Row],[Aboard]],0)</f>
        <v>0.21428571428571427</v>
      </c>
      <c r="X1236" s="51" t="str" cm="1">
        <f t="array" ref="X1236">_xlfn.IFS(Tabla1[[#This Row],[Porcentaje de muertes]]&lt;0.35,"LEVE",AND(Tabla1[[#This Row],[Porcentaje de muertes]]&gt;0.35,Tabla1[[#This Row],[Porcentaje de muertes]]&lt;0.65),"MEDIO",Tabla1[[#This Row],[Porcentaje de muertes]]&gt;0.65,"GRAVE")</f>
        <v>LEVE</v>
      </c>
    </row>
    <row r="1237" spans="2:24" x14ac:dyDescent="0.3">
      <c r="B1237" s="9">
        <v>1235</v>
      </c>
      <c r="C1237" s="49">
        <v>18710</v>
      </c>
      <c r="D1237" s="9">
        <f>YEAR(Tabla1[[#This Row],[Date]])</f>
        <v>1951</v>
      </c>
      <c r="E1237" s="9" t="str" cm="1">
        <f t="array" ref="E1237">IFERROR(_xlfn.IFS(AND(D1237&lt;1980,D1237&gt;=1970),"70",AND(D1237&lt;1990,D1237&gt;=1980),"80",AND(D1237&lt;2000,D1237&gt;=1990),"90",AND(D1237&lt;2010,D1237&gt;=2000),"00",AND(D1237&lt;=2019,D1237&gt;=2010),"10"),"1908-1970")</f>
        <v>1908-1970</v>
      </c>
      <c r="F1237" s="3">
        <v>3.4722222222222224E-2</v>
      </c>
      <c r="G1237" t="s">
        <v>10345</v>
      </c>
      <c r="H1237" t="s">
        <v>7987</v>
      </c>
      <c r="I1237" t="s">
        <v>28931</v>
      </c>
      <c r="J1237" t="s">
        <v>10346</v>
      </c>
      <c r="K1237" t="s">
        <v>10347</v>
      </c>
      <c r="L1237" s="7" t="s">
        <v>10348</v>
      </c>
      <c r="M1237">
        <v>43173</v>
      </c>
      <c r="N1237">
        <v>53</v>
      </c>
      <c r="O1237">
        <v>48</v>
      </c>
      <c r="P1237">
        <v>5</v>
      </c>
      <c r="Q1237">
        <v>53</v>
      </c>
      <c r="R1237">
        <v>48</v>
      </c>
      <c r="S1237">
        <v>5</v>
      </c>
      <c r="T1237">
        <v>0</v>
      </c>
      <c r="U1237" t="s">
        <v>10349</v>
      </c>
      <c r="V1237">
        <f>Tabla1[[#This Row],[Aboard]]-Tabla1[[#This Row],[Fatalities]]</f>
        <v>0</v>
      </c>
      <c r="W1237" s="50">
        <f>IFERROR(Tabla1[[#This Row],[Fatalities]]/Tabla1[[#This Row],[Aboard]],0)</f>
        <v>1</v>
      </c>
      <c r="X1237" s="51" t="str" cm="1">
        <f t="array" ref="X1237">_xlfn.IFS(Tabla1[[#This Row],[Porcentaje de muertes]]&lt;0.35,"LEVE",AND(Tabla1[[#This Row],[Porcentaje de muertes]]&gt;0.35,Tabla1[[#This Row],[Porcentaje de muertes]]&lt;0.65),"MEDIO",Tabla1[[#This Row],[Porcentaje de muertes]]&gt;0.65,"GRAVE")</f>
        <v>GRAVE</v>
      </c>
    </row>
    <row r="1238" spans="2:24" x14ac:dyDescent="0.3">
      <c r="B1238" s="9">
        <v>1236</v>
      </c>
      <c r="C1238" s="49">
        <v>18712</v>
      </c>
      <c r="D1238" s="9">
        <f>YEAR(Tabla1[[#This Row],[Date]])</f>
        <v>1951</v>
      </c>
      <c r="E1238" s="9" t="str" cm="1">
        <f t="array" ref="E1238">IFERROR(_xlfn.IFS(AND(D1238&lt;1980,D1238&gt;=1970),"70",AND(D1238&lt;1990,D1238&gt;=1980),"80",AND(D1238&lt;2000,D1238&gt;=1990),"90",AND(D1238&lt;2010,D1238&gt;=2000),"00",AND(D1238&lt;=2019,D1238&gt;=2010),"10"),"1908-1970")</f>
        <v>1908-1970</v>
      </c>
      <c r="F1238" s="3">
        <v>0.19583333333333333</v>
      </c>
      <c r="G1238" t="s">
        <v>10350</v>
      </c>
      <c r="H1238" t="s">
        <v>6541</v>
      </c>
      <c r="I1238" t="s">
        <v>28931</v>
      </c>
      <c r="J1238" t="s">
        <v>10351</v>
      </c>
      <c r="K1238" t="s">
        <v>8258</v>
      </c>
      <c r="L1238" s="7" t="s">
        <v>10352</v>
      </c>
      <c r="M1238" t="s">
        <v>10353</v>
      </c>
      <c r="N1238">
        <v>13</v>
      </c>
      <c r="O1238">
        <v>9</v>
      </c>
      <c r="P1238">
        <v>4</v>
      </c>
      <c r="Q1238">
        <v>12</v>
      </c>
      <c r="R1238">
        <v>8</v>
      </c>
      <c r="S1238">
        <v>4</v>
      </c>
      <c r="T1238">
        <v>0</v>
      </c>
      <c r="U1238" t="s">
        <v>10354</v>
      </c>
      <c r="V1238">
        <f>Tabla1[[#This Row],[Aboard]]-Tabla1[[#This Row],[Fatalities]]</f>
        <v>1</v>
      </c>
      <c r="W1238" s="50">
        <f>IFERROR(Tabla1[[#This Row],[Fatalities]]/Tabla1[[#This Row],[Aboard]],0)</f>
        <v>0.92307692307692313</v>
      </c>
      <c r="X1238" s="51" t="str" cm="1">
        <f t="array" ref="X1238">_xlfn.IFS(Tabla1[[#This Row],[Porcentaje de muertes]]&lt;0.35,"LEVE",AND(Tabla1[[#This Row],[Porcentaje de muertes]]&gt;0.35,Tabla1[[#This Row],[Porcentaje de muertes]]&lt;0.65),"MEDIO",Tabla1[[#This Row],[Porcentaje de muertes]]&gt;0.65,"GRAVE")</f>
        <v>GRAVE</v>
      </c>
    </row>
    <row r="1239" spans="2:24" x14ac:dyDescent="0.3">
      <c r="B1239" s="9">
        <v>1237</v>
      </c>
      <c r="C1239" s="49">
        <v>18713</v>
      </c>
      <c r="D1239" s="9">
        <f>YEAR(Tabla1[[#This Row],[Date]])</f>
        <v>1951</v>
      </c>
      <c r="E1239" s="9" t="str" cm="1">
        <f t="array" ref="E1239">IFERROR(_xlfn.IFS(AND(D1239&lt;1980,D1239&gt;=1970),"70",AND(D1239&lt;1990,D1239&gt;=1980),"80",AND(D1239&lt;2000,D1239&gt;=1990),"90",AND(D1239&lt;2010,D1239&gt;=2000),"00",AND(D1239&lt;=2019,D1239&gt;=2010),"10"),"1908-1970")</f>
        <v>1908-1970</v>
      </c>
      <c r="F1239" s="3" t="s">
        <v>28931</v>
      </c>
      <c r="G1239" t="s">
        <v>10355</v>
      </c>
      <c r="H1239" t="s">
        <v>10275</v>
      </c>
      <c r="I1239" t="s">
        <v>28931</v>
      </c>
      <c r="J1239" t="s">
        <v>10356</v>
      </c>
      <c r="K1239" t="s">
        <v>7057</v>
      </c>
      <c r="L1239" s="7" t="s">
        <v>10357</v>
      </c>
      <c r="M1239">
        <v>12291</v>
      </c>
      <c r="N1239">
        <v>24</v>
      </c>
      <c r="O1239">
        <v>20</v>
      </c>
      <c r="P1239">
        <v>4</v>
      </c>
      <c r="Q1239">
        <v>11</v>
      </c>
      <c r="R1239">
        <v>8</v>
      </c>
      <c r="S1239">
        <v>3</v>
      </c>
      <c r="T1239">
        <v>2</v>
      </c>
      <c r="U1239" t="s">
        <v>10358</v>
      </c>
      <c r="V1239">
        <f>Tabla1[[#This Row],[Aboard]]-Tabla1[[#This Row],[Fatalities]]</f>
        <v>13</v>
      </c>
      <c r="W1239" s="50">
        <f>IFERROR(Tabla1[[#This Row],[Fatalities]]/Tabla1[[#This Row],[Aboard]],0)</f>
        <v>0.45833333333333331</v>
      </c>
      <c r="X1239" s="51" t="str" cm="1">
        <f t="array" ref="X1239">_xlfn.IFS(Tabla1[[#This Row],[Porcentaje de muertes]]&lt;0.35,"LEVE",AND(Tabla1[[#This Row],[Porcentaje de muertes]]&gt;0.35,Tabla1[[#This Row],[Porcentaje de muertes]]&lt;0.65),"MEDIO",Tabla1[[#This Row],[Porcentaje de muertes]]&gt;0.65,"GRAVE")</f>
        <v>MEDIO</v>
      </c>
    </row>
    <row r="1240" spans="2:24" x14ac:dyDescent="0.3">
      <c r="B1240" s="9">
        <v>1238</v>
      </c>
      <c r="C1240" s="49">
        <v>18714</v>
      </c>
      <c r="D1240" s="9">
        <f>YEAR(Tabla1[[#This Row],[Date]])</f>
        <v>1951</v>
      </c>
      <c r="E1240" s="9" t="str" cm="1">
        <f t="array" ref="E1240">IFERROR(_xlfn.IFS(AND(D1240&lt;1980,D1240&gt;=1970),"70",AND(D1240&lt;1990,D1240&gt;=1980),"80",AND(D1240&lt;2000,D1240&gt;=1990),"90",AND(D1240&lt;2010,D1240&gt;=2000),"00",AND(D1240&lt;=2019,D1240&gt;=2010),"10"),"1908-1970")</f>
        <v>1908-1970</v>
      </c>
      <c r="F1240" s="3" t="s">
        <v>28931</v>
      </c>
      <c r="G1240" t="s">
        <v>10359</v>
      </c>
      <c r="H1240" t="s">
        <v>9481</v>
      </c>
      <c r="I1240" t="s">
        <v>28931</v>
      </c>
      <c r="J1240" t="s">
        <v>10360</v>
      </c>
      <c r="K1240" t="s">
        <v>10361</v>
      </c>
      <c r="L1240" s="7" t="s">
        <v>10362</v>
      </c>
      <c r="M1240">
        <v>19361</v>
      </c>
      <c r="N1240">
        <v>3</v>
      </c>
      <c r="O1240">
        <v>0</v>
      </c>
      <c r="P1240">
        <v>3</v>
      </c>
      <c r="Q1240">
        <v>2</v>
      </c>
      <c r="R1240">
        <v>0</v>
      </c>
      <c r="S1240">
        <v>2</v>
      </c>
      <c r="T1240">
        <v>0</v>
      </c>
      <c r="U1240" t="s">
        <v>10363</v>
      </c>
      <c r="V1240">
        <f>Tabla1[[#This Row],[Aboard]]-Tabla1[[#This Row],[Fatalities]]</f>
        <v>1</v>
      </c>
      <c r="W1240" s="50">
        <f>IFERROR(Tabla1[[#This Row],[Fatalities]]/Tabla1[[#This Row],[Aboard]],0)</f>
        <v>0.66666666666666663</v>
      </c>
      <c r="X1240" s="51" t="str" cm="1">
        <f t="array" ref="X1240">_xlfn.IFS(Tabla1[[#This Row],[Porcentaje de muertes]]&lt;0.35,"LEVE",AND(Tabla1[[#This Row],[Porcentaje de muertes]]&gt;0.35,Tabla1[[#This Row],[Porcentaje de muertes]]&lt;0.65),"MEDIO",Tabla1[[#This Row],[Porcentaje de muertes]]&gt;0.65,"GRAVE")</f>
        <v>GRAVE</v>
      </c>
    </row>
    <row r="1241" spans="2:24" x14ac:dyDescent="0.3">
      <c r="B1241" s="9">
        <v>1239</v>
      </c>
      <c r="C1241" s="49">
        <v>18663</v>
      </c>
      <c r="D1241" s="9">
        <f>YEAR(Tabla1[[#This Row],[Date]])</f>
        <v>1951</v>
      </c>
      <c r="E1241" s="9" t="str" cm="1">
        <f t="array" ref="E1241">IFERROR(_xlfn.IFS(AND(D1241&lt;1980,D1241&gt;=1970),"70",AND(D1241&lt;1990,D1241&gt;=1980),"80",AND(D1241&lt;2000,D1241&gt;=1990),"90",AND(D1241&lt;2010,D1241&gt;=2000),"00",AND(D1241&lt;=2019,D1241&gt;=2010),"10"),"1908-1970")</f>
        <v>1908-1970</v>
      </c>
      <c r="F1241" s="3" t="s">
        <v>28931</v>
      </c>
      <c r="G1241" t="s">
        <v>10364</v>
      </c>
      <c r="H1241" t="s">
        <v>8976</v>
      </c>
      <c r="I1241" t="s">
        <v>28931</v>
      </c>
      <c r="J1241" t="s">
        <v>28931</v>
      </c>
      <c r="K1241" t="s">
        <v>7057</v>
      </c>
      <c r="L1241" s="7" t="s">
        <v>10365</v>
      </c>
      <c r="M1241">
        <v>1957</v>
      </c>
      <c r="N1241">
        <v>26</v>
      </c>
      <c r="O1241">
        <v>24</v>
      </c>
      <c r="P1241">
        <v>2</v>
      </c>
      <c r="Q1241">
        <v>26</v>
      </c>
      <c r="R1241">
        <v>24</v>
      </c>
      <c r="S1241">
        <v>2</v>
      </c>
      <c r="T1241">
        <v>0</v>
      </c>
      <c r="U1241" t="s">
        <v>10366</v>
      </c>
      <c r="V1241">
        <f>Tabla1[[#This Row],[Aboard]]-Tabla1[[#This Row],[Fatalities]]</f>
        <v>0</v>
      </c>
      <c r="W1241" s="50">
        <f>IFERROR(Tabla1[[#This Row],[Fatalities]]/Tabla1[[#This Row],[Aboard]],0)</f>
        <v>1</v>
      </c>
      <c r="X1241" s="51" t="str" cm="1">
        <f t="array" ref="X1241">_xlfn.IFS(Tabla1[[#This Row],[Porcentaje de muertes]]&lt;0.35,"LEVE",AND(Tabla1[[#This Row],[Porcentaje de muertes]]&gt;0.35,Tabla1[[#This Row],[Porcentaje de muertes]]&lt;0.65),"MEDIO",Tabla1[[#This Row],[Porcentaje de muertes]]&gt;0.65,"GRAVE")</f>
        <v>GRAVE</v>
      </c>
    </row>
    <row r="1242" spans="2:24" x14ac:dyDescent="0.3">
      <c r="B1242" s="9">
        <v>1240</v>
      </c>
      <c r="C1242" s="49">
        <v>18783</v>
      </c>
      <c r="D1242" s="9">
        <f>YEAR(Tabla1[[#This Row],[Date]])</f>
        <v>1951</v>
      </c>
      <c r="E1242" s="9" t="str" cm="1">
        <f t="array" ref="E1242">IFERROR(_xlfn.IFS(AND(D1242&lt;1980,D1242&gt;=1970),"70",AND(D1242&lt;1990,D1242&gt;=1980),"80",AND(D1242&lt;2000,D1242&gt;=1990),"90",AND(D1242&lt;2010,D1242&gt;=2000),"00",AND(D1242&lt;=2019,D1242&gt;=2010),"10"),"1908-1970")</f>
        <v>1908-1970</v>
      </c>
      <c r="F1242" s="3">
        <v>0.85416666666666663</v>
      </c>
      <c r="G1242" t="s">
        <v>10367</v>
      </c>
      <c r="H1242" t="s">
        <v>10368</v>
      </c>
      <c r="I1242">
        <v>7</v>
      </c>
      <c r="J1242" t="s">
        <v>10369</v>
      </c>
      <c r="K1242" t="s">
        <v>7057</v>
      </c>
      <c r="L1242" s="7" t="s">
        <v>10370</v>
      </c>
      <c r="M1242">
        <v>20229</v>
      </c>
      <c r="N1242">
        <v>22</v>
      </c>
      <c r="O1242">
        <v>19</v>
      </c>
      <c r="P1242">
        <v>3</v>
      </c>
      <c r="Q1242">
        <v>22</v>
      </c>
      <c r="R1242">
        <v>19</v>
      </c>
      <c r="S1242">
        <v>3</v>
      </c>
      <c r="T1242">
        <v>0</v>
      </c>
      <c r="U1242" t="s">
        <v>10371</v>
      </c>
      <c r="V1242">
        <f>Tabla1[[#This Row],[Aboard]]-Tabla1[[#This Row],[Fatalities]]</f>
        <v>0</v>
      </c>
      <c r="W1242" s="50">
        <f>IFERROR(Tabla1[[#This Row],[Fatalities]]/Tabla1[[#This Row],[Aboard]],0)</f>
        <v>1</v>
      </c>
      <c r="X1242" s="51" t="str" cm="1">
        <f t="array" ref="X1242">_xlfn.IFS(Tabla1[[#This Row],[Porcentaje de muertes]]&lt;0.35,"LEVE",AND(Tabla1[[#This Row],[Porcentaje de muertes]]&gt;0.35,Tabla1[[#This Row],[Porcentaje de muertes]]&lt;0.65),"MEDIO",Tabla1[[#This Row],[Porcentaje de muertes]]&gt;0.65,"GRAVE")</f>
        <v>GRAVE</v>
      </c>
    </row>
    <row r="1243" spans="2:24" x14ac:dyDescent="0.3">
      <c r="B1243" s="9">
        <v>1241</v>
      </c>
      <c r="C1243" s="49">
        <v>18844</v>
      </c>
      <c r="D1243" s="9">
        <f>YEAR(Tabla1[[#This Row],[Date]])</f>
        <v>1951</v>
      </c>
      <c r="E1243" s="9" t="str" cm="1">
        <f t="array" ref="E1243">IFERROR(_xlfn.IFS(AND(D1243&lt;1980,D1243&gt;=1970),"70",AND(D1243&lt;1990,D1243&gt;=1980),"80",AND(D1243&lt;2000,D1243&gt;=1990),"90",AND(D1243&lt;2010,D1243&gt;=2000),"00",AND(D1243&lt;=2019,D1243&gt;=2010),"10"),"1908-1970")</f>
        <v>1908-1970</v>
      </c>
      <c r="F1243" s="3">
        <v>0.4826388888888889</v>
      </c>
      <c r="G1243" t="s">
        <v>10372</v>
      </c>
      <c r="H1243" t="s">
        <v>7987</v>
      </c>
      <c r="I1243" t="s">
        <v>28931</v>
      </c>
      <c r="J1243" t="s">
        <v>10373</v>
      </c>
      <c r="K1243" t="s">
        <v>8359</v>
      </c>
      <c r="L1243" s="7" t="s">
        <v>10374</v>
      </c>
      <c r="M1243">
        <v>25559</v>
      </c>
      <c r="N1243">
        <v>21</v>
      </c>
      <c r="O1243">
        <v>18</v>
      </c>
      <c r="P1243">
        <v>3</v>
      </c>
      <c r="Q1243">
        <v>21</v>
      </c>
      <c r="R1243">
        <v>18</v>
      </c>
      <c r="S1243">
        <v>3</v>
      </c>
      <c r="T1243">
        <v>0</v>
      </c>
      <c r="U1243" t="s">
        <v>10375</v>
      </c>
      <c r="V1243">
        <f>Tabla1[[#This Row],[Aboard]]-Tabla1[[#This Row],[Fatalities]]</f>
        <v>0</v>
      </c>
      <c r="W1243" s="50">
        <f>IFERROR(Tabla1[[#This Row],[Fatalities]]/Tabla1[[#This Row],[Aboard]],0)</f>
        <v>1</v>
      </c>
      <c r="X1243" s="51" t="str" cm="1">
        <f t="array" ref="X1243">_xlfn.IFS(Tabla1[[#This Row],[Porcentaje de muertes]]&lt;0.35,"LEVE",AND(Tabla1[[#This Row],[Porcentaje de muertes]]&gt;0.35,Tabla1[[#This Row],[Porcentaje de muertes]]&lt;0.65),"MEDIO",Tabla1[[#This Row],[Porcentaje de muertes]]&gt;0.65,"GRAVE")</f>
        <v>GRAVE</v>
      </c>
    </row>
    <row r="1244" spans="2:24" x14ac:dyDescent="0.3">
      <c r="B1244" s="9">
        <v>1242</v>
      </c>
      <c r="C1244" s="49">
        <v>18875</v>
      </c>
      <c r="D1244" s="9">
        <f>YEAR(Tabla1[[#This Row],[Date]])</f>
        <v>1951</v>
      </c>
      <c r="E1244" s="9" t="str" cm="1">
        <f t="array" ref="E1244">IFERROR(_xlfn.IFS(AND(D1244&lt;1980,D1244&gt;=1970),"70",AND(D1244&lt;1990,D1244&gt;=1980),"80",AND(D1244&lt;2000,D1244&gt;=1990),"90",AND(D1244&lt;2010,D1244&gt;=2000),"00",AND(D1244&lt;=2019,D1244&gt;=2010),"10"),"1908-1970")</f>
        <v>1908-1970</v>
      </c>
      <c r="F1244" s="3" t="s">
        <v>28931</v>
      </c>
      <c r="G1244" t="s">
        <v>10376</v>
      </c>
      <c r="H1244" t="s">
        <v>10377</v>
      </c>
      <c r="I1244" t="s">
        <v>28931</v>
      </c>
      <c r="J1244" t="s">
        <v>10378</v>
      </c>
      <c r="K1244" t="s">
        <v>7057</v>
      </c>
      <c r="L1244" s="7" t="s">
        <v>10379</v>
      </c>
      <c r="M1244" t="s">
        <v>28931</v>
      </c>
      <c r="N1244">
        <v>16</v>
      </c>
      <c r="O1244">
        <v>11</v>
      </c>
      <c r="P1244">
        <v>5</v>
      </c>
      <c r="Q1244">
        <v>16</v>
      </c>
      <c r="R1244">
        <v>11</v>
      </c>
      <c r="S1244">
        <v>5</v>
      </c>
      <c r="T1244">
        <v>0</v>
      </c>
      <c r="U1244" t="s">
        <v>10380</v>
      </c>
      <c r="V1244">
        <f>Tabla1[[#This Row],[Aboard]]-Tabla1[[#This Row],[Fatalities]]</f>
        <v>0</v>
      </c>
      <c r="W1244" s="50">
        <f>IFERROR(Tabla1[[#This Row],[Fatalities]]/Tabla1[[#This Row],[Aboard]],0)</f>
        <v>1</v>
      </c>
      <c r="X1244" s="51" t="str" cm="1">
        <f t="array" ref="X1244">_xlfn.IFS(Tabla1[[#This Row],[Porcentaje de muertes]]&lt;0.35,"LEVE",AND(Tabla1[[#This Row],[Porcentaje de muertes]]&gt;0.35,Tabla1[[#This Row],[Porcentaje de muertes]]&lt;0.65),"MEDIO",Tabla1[[#This Row],[Porcentaje de muertes]]&gt;0.65,"GRAVE")</f>
        <v>GRAVE</v>
      </c>
    </row>
    <row r="1245" spans="2:24" x14ac:dyDescent="0.3">
      <c r="B1245" s="9">
        <v>1243</v>
      </c>
      <c r="C1245" s="49">
        <v>18743</v>
      </c>
      <c r="D1245" s="9">
        <f>YEAR(Tabla1[[#This Row],[Date]])</f>
        <v>1951</v>
      </c>
      <c r="E1245" s="9" t="str" cm="1">
        <f t="array" ref="E1245">IFERROR(_xlfn.IFS(AND(D1245&lt;1980,D1245&gt;=1970),"70",AND(D1245&lt;1990,D1245&gt;=1980),"80",AND(D1245&lt;2000,D1245&gt;=1990),"90",AND(D1245&lt;2010,D1245&gt;=2000),"00",AND(D1245&lt;=2019,D1245&gt;=2010),"10"),"1908-1970")</f>
        <v>1908-1970</v>
      </c>
      <c r="F1245" s="3">
        <v>0.49236111111111108</v>
      </c>
      <c r="G1245" t="s">
        <v>10381</v>
      </c>
      <c r="H1245" t="s">
        <v>10382</v>
      </c>
      <c r="I1245">
        <v>493</v>
      </c>
      <c r="J1245" t="s">
        <v>10383</v>
      </c>
      <c r="K1245" t="s">
        <v>10384</v>
      </c>
      <c r="L1245" s="7" t="s">
        <v>10385</v>
      </c>
      <c r="M1245">
        <v>10368</v>
      </c>
      <c r="N1245">
        <v>43</v>
      </c>
      <c r="O1245">
        <v>34</v>
      </c>
      <c r="P1245">
        <v>9</v>
      </c>
      <c r="Q1245">
        <v>43</v>
      </c>
      <c r="R1245">
        <v>34</v>
      </c>
      <c r="S1245">
        <v>9</v>
      </c>
      <c r="T1245">
        <v>0</v>
      </c>
      <c r="U1245" t="s">
        <v>10386</v>
      </c>
      <c r="V1245">
        <f>Tabla1[[#This Row],[Aboard]]-Tabla1[[#This Row],[Fatalities]]</f>
        <v>0</v>
      </c>
      <c r="W1245" s="50">
        <f>IFERROR(Tabla1[[#This Row],[Fatalities]]/Tabla1[[#This Row],[Aboard]],0)</f>
        <v>1</v>
      </c>
      <c r="X1245" s="51" t="str" cm="1">
        <f t="array" ref="X1245">_xlfn.IFS(Tabla1[[#This Row],[Porcentaje de muertes]]&lt;0.35,"LEVE",AND(Tabla1[[#This Row],[Porcentaje de muertes]]&gt;0.35,Tabla1[[#This Row],[Porcentaje de muertes]]&lt;0.65),"MEDIO",Tabla1[[#This Row],[Porcentaje de muertes]]&gt;0.65,"GRAVE")</f>
        <v>GRAVE</v>
      </c>
    </row>
    <row r="1246" spans="2:24" x14ac:dyDescent="0.3">
      <c r="B1246" s="9">
        <v>1244</v>
      </c>
      <c r="C1246" s="49">
        <v>18746</v>
      </c>
      <c r="D1246" s="9">
        <f>YEAR(Tabla1[[#This Row],[Date]])</f>
        <v>1951</v>
      </c>
      <c r="E1246" s="9" t="str" cm="1">
        <f t="array" ref="E1246">IFERROR(_xlfn.IFS(AND(D1246&lt;1980,D1246&gt;=1970),"70",AND(D1246&lt;1990,D1246&gt;=1980),"80",AND(D1246&lt;2000,D1246&gt;=1990),"90",AND(D1246&lt;2010,D1246&gt;=2000),"00",AND(D1246&lt;=2019,D1246&gt;=2010),"10"),"1908-1970")</f>
        <v>1908-1970</v>
      </c>
      <c r="F1246" s="3">
        <v>0.81388888888888899</v>
      </c>
      <c r="G1246" t="s">
        <v>6210</v>
      </c>
      <c r="H1246" t="s">
        <v>6369</v>
      </c>
      <c r="I1246">
        <v>129</v>
      </c>
      <c r="J1246" t="s">
        <v>10387</v>
      </c>
      <c r="K1246" t="s">
        <v>7057</v>
      </c>
      <c r="L1246" s="7" t="s">
        <v>10388</v>
      </c>
      <c r="M1246">
        <v>1927</v>
      </c>
      <c r="N1246">
        <v>11</v>
      </c>
      <c r="O1246">
        <v>8</v>
      </c>
      <c r="P1246">
        <v>3</v>
      </c>
      <c r="Q1246">
        <v>11</v>
      </c>
      <c r="R1246">
        <v>8</v>
      </c>
      <c r="S1246">
        <v>3</v>
      </c>
      <c r="T1246">
        <v>0</v>
      </c>
      <c r="U1246" t="s">
        <v>10389</v>
      </c>
      <c r="V1246">
        <f>Tabla1[[#This Row],[Aboard]]-Tabla1[[#This Row],[Fatalities]]</f>
        <v>0</v>
      </c>
      <c r="W1246" s="50">
        <f>IFERROR(Tabla1[[#This Row],[Fatalities]]/Tabla1[[#This Row],[Aboard]],0)</f>
        <v>1</v>
      </c>
      <c r="X1246" s="51" t="str" cm="1">
        <f t="array" ref="X1246">_xlfn.IFS(Tabla1[[#This Row],[Porcentaje de muertes]]&lt;0.35,"LEVE",AND(Tabla1[[#This Row],[Porcentaje de muertes]]&gt;0.35,Tabla1[[#This Row],[Porcentaje de muertes]]&lt;0.65),"MEDIO",Tabla1[[#This Row],[Porcentaje de muertes]]&gt;0.65,"GRAVE")</f>
        <v>GRAVE</v>
      </c>
    </row>
    <row r="1247" spans="2:24" x14ac:dyDescent="0.3">
      <c r="B1247" s="9">
        <v>1245</v>
      </c>
      <c r="C1247" s="49">
        <v>18784</v>
      </c>
      <c r="D1247" s="9">
        <f>YEAR(Tabla1[[#This Row],[Date]])</f>
        <v>1951</v>
      </c>
      <c r="E1247" s="9" t="str" cm="1">
        <f t="array" ref="E1247">IFERROR(_xlfn.IFS(AND(D1247&lt;1980,D1247&gt;=1970),"70",AND(D1247&lt;1990,D1247&gt;=1980),"80",AND(D1247&lt;2000,D1247&gt;=1990),"90",AND(D1247&lt;2010,D1247&gt;=2000),"00",AND(D1247&lt;=2019,D1247&gt;=2010),"10"),"1908-1970")</f>
        <v>1908-1970</v>
      </c>
      <c r="F1247" s="3">
        <v>0.52083333333333337</v>
      </c>
      <c r="G1247" t="s">
        <v>10390</v>
      </c>
      <c r="H1247" t="s">
        <v>7987</v>
      </c>
      <c r="I1247" t="s">
        <v>28931</v>
      </c>
      <c r="J1247" t="s">
        <v>10391</v>
      </c>
      <c r="K1247" t="s">
        <v>10392</v>
      </c>
      <c r="L1247" s="7" t="s">
        <v>10393</v>
      </c>
      <c r="M1247">
        <v>117</v>
      </c>
      <c r="N1247">
        <v>25</v>
      </c>
      <c r="O1247">
        <v>0</v>
      </c>
      <c r="P1247">
        <v>25</v>
      </c>
      <c r="Q1247">
        <v>23</v>
      </c>
      <c r="R1247">
        <v>0</v>
      </c>
      <c r="S1247">
        <v>23</v>
      </c>
      <c r="T1247">
        <v>0</v>
      </c>
      <c r="U1247" t="s">
        <v>10394</v>
      </c>
      <c r="V1247">
        <f>Tabla1[[#This Row],[Aboard]]-Tabla1[[#This Row],[Fatalities]]</f>
        <v>2</v>
      </c>
      <c r="W1247" s="50">
        <f>IFERROR(Tabla1[[#This Row],[Fatalities]]/Tabla1[[#This Row],[Aboard]],0)</f>
        <v>0.92</v>
      </c>
      <c r="X1247" s="51" t="str" cm="1">
        <f t="array" ref="X1247">_xlfn.IFS(Tabla1[[#This Row],[Porcentaje de muertes]]&lt;0.35,"LEVE",AND(Tabla1[[#This Row],[Porcentaje de muertes]]&gt;0.35,Tabla1[[#This Row],[Porcentaje de muertes]]&lt;0.65),"MEDIO",Tabla1[[#This Row],[Porcentaje de muertes]]&gt;0.65,"GRAVE")</f>
        <v>GRAVE</v>
      </c>
    </row>
    <row r="1248" spans="2:24" x14ac:dyDescent="0.3">
      <c r="B1248" s="9">
        <v>1246</v>
      </c>
      <c r="C1248" s="49">
        <v>18845</v>
      </c>
      <c r="D1248" s="9">
        <f>YEAR(Tabla1[[#This Row],[Date]])</f>
        <v>1951</v>
      </c>
      <c r="E1248" s="9" t="str" cm="1">
        <f t="array" ref="E1248">IFERROR(_xlfn.IFS(AND(D1248&lt;1980,D1248&gt;=1970),"70",AND(D1248&lt;1990,D1248&gt;=1980),"80",AND(D1248&lt;2000,D1248&gt;=1990),"90",AND(D1248&lt;2010,D1248&gt;=2000),"00",AND(D1248&lt;=2019,D1248&gt;=2010),"10"),"1908-1970")</f>
        <v>1908-1970</v>
      </c>
      <c r="F1248" s="3">
        <v>0.59166666666666667</v>
      </c>
      <c r="G1248" t="s">
        <v>10395</v>
      </c>
      <c r="H1248" t="s">
        <v>10396</v>
      </c>
      <c r="I1248" t="s">
        <v>28931</v>
      </c>
      <c r="J1248" t="s">
        <v>10397</v>
      </c>
      <c r="K1248" t="s">
        <v>10398</v>
      </c>
      <c r="L1248" s="7" t="s">
        <v>10399</v>
      </c>
      <c r="M1248">
        <v>134</v>
      </c>
      <c r="N1248">
        <v>32</v>
      </c>
      <c r="O1248">
        <v>27</v>
      </c>
      <c r="P1248">
        <v>5</v>
      </c>
      <c r="Q1248">
        <v>2</v>
      </c>
      <c r="R1248">
        <v>0</v>
      </c>
      <c r="S1248">
        <v>2</v>
      </c>
      <c r="T1248">
        <v>0</v>
      </c>
      <c r="U1248" t="s">
        <v>10400</v>
      </c>
      <c r="V1248">
        <f>Tabla1[[#This Row],[Aboard]]-Tabla1[[#This Row],[Fatalities]]</f>
        <v>30</v>
      </c>
      <c r="W1248" s="50">
        <f>IFERROR(Tabla1[[#This Row],[Fatalities]]/Tabla1[[#This Row],[Aboard]],0)</f>
        <v>6.25E-2</v>
      </c>
      <c r="X1248" s="51" t="str" cm="1">
        <f t="array" ref="X1248">_xlfn.IFS(Tabla1[[#This Row],[Porcentaje de muertes]]&lt;0.35,"LEVE",AND(Tabla1[[#This Row],[Porcentaje de muertes]]&gt;0.35,Tabla1[[#This Row],[Porcentaje de muertes]]&lt;0.65),"MEDIO",Tabla1[[#This Row],[Porcentaje de muertes]]&gt;0.65,"GRAVE")</f>
        <v>LEVE</v>
      </c>
    </row>
    <row r="1249" spans="2:24" x14ac:dyDescent="0.3">
      <c r="B1249" s="9">
        <v>1247</v>
      </c>
      <c r="C1249" s="49">
        <v>18766</v>
      </c>
      <c r="D1249" s="9">
        <f>YEAR(Tabla1[[#This Row],[Date]])</f>
        <v>1951</v>
      </c>
      <c r="E1249" s="9" t="str" cm="1">
        <f t="array" ref="E1249">IFERROR(_xlfn.IFS(AND(D1249&lt;1980,D1249&gt;=1970),"70",AND(D1249&lt;1990,D1249&gt;=1980),"80",AND(D1249&lt;2000,D1249&gt;=1990),"90",AND(D1249&lt;2010,D1249&gt;=2000),"00",AND(D1249&lt;=2019,D1249&gt;=2010),"10"),"1908-1970")</f>
        <v>1908-1970</v>
      </c>
      <c r="F1249" s="3">
        <v>0.79861111111111116</v>
      </c>
      <c r="G1249" t="s">
        <v>10401</v>
      </c>
      <c r="H1249" t="s">
        <v>7581</v>
      </c>
      <c r="I1249" t="s">
        <v>28931</v>
      </c>
      <c r="J1249" t="s">
        <v>10402</v>
      </c>
      <c r="K1249" t="s">
        <v>7057</v>
      </c>
      <c r="L1249" s="7" t="s">
        <v>10403</v>
      </c>
      <c r="M1249" t="s">
        <v>10404</v>
      </c>
      <c r="N1249">
        <v>7</v>
      </c>
      <c r="O1249">
        <v>4</v>
      </c>
      <c r="P1249">
        <v>3</v>
      </c>
      <c r="Q1249">
        <v>7</v>
      </c>
      <c r="R1249">
        <v>4</v>
      </c>
      <c r="S1249">
        <v>3</v>
      </c>
      <c r="T1249">
        <v>0</v>
      </c>
      <c r="U1249" t="s">
        <v>10405</v>
      </c>
      <c r="V1249">
        <f>Tabla1[[#This Row],[Aboard]]-Tabla1[[#This Row],[Fatalities]]</f>
        <v>0</v>
      </c>
      <c r="W1249" s="50">
        <f>IFERROR(Tabla1[[#This Row],[Fatalities]]/Tabla1[[#This Row],[Aboard]],0)</f>
        <v>1</v>
      </c>
      <c r="X1249" s="51" t="str" cm="1">
        <f t="array" ref="X1249">_xlfn.IFS(Tabla1[[#This Row],[Porcentaje de muertes]]&lt;0.35,"LEVE",AND(Tabla1[[#This Row],[Porcentaje de muertes]]&gt;0.35,Tabla1[[#This Row],[Porcentaje de muertes]]&lt;0.65),"MEDIO",Tabla1[[#This Row],[Porcentaje de muertes]]&gt;0.65,"GRAVE")</f>
        <v>GRAVE</v>
      </c>
    </row>
    <row r="1250" spans="2:24" x14ac:dyDescent="0.3">
      <c r="B1250" s="9">
        <v>1248</v>
      </c>
      <c r="C1250" s="49">
        <v>18693</v>
      </c>
      <c r="D1250" s="9">
        <f>YEAR(Tabla1[[#This Row],[Date]])</f>
        <v>1951</v>
      </c>
      <c r="E1250" s="9" t="str" cm="1">
        <f t="array" ref="E1250">IFERROR(_xlfn.IFS(AND(D1250&lt;1980,D1250&gt;=1970),"70",AND(D1250&lt;1990,D1250&gt;=1980),"80",AND(D1250&lt;2000,D1250&gt;=1990),"90",AND(D1250&lt;2010,D1250&gt;=2000),"00",AND(D1250&lt;=2019,D1250&gt;=2010),"10"),"1908-1970")</f>
        <v>1908-1970</v>
      </c>
      <c r="F1250" s="3">
        <v>0.57291666666666663</v>
      </c>
      <c r="G1250" t="s">
        <v>10406</v>
      </c>
      <c r="H1250" t="s">
        <v>7987</v>
      </c>
      <c r="I1250" t="s">
        <v>28931</v>
      </c>
      <c r="J1250" t="s">
        <v>10407</v>
      </c>
      <c r="K1250" t="s">
        <v>10408</v>
      </c>
      <c r="L1250" s="7" t="s">
        <v>10409</v>
      </c>
      <c r="M1250">
        <v>10131</v>
      </c>
      <c r="N1250">
        <v>10</v>
      </c>
      <c r="O1250">
        <v>0</v>
      </c>
      <c r="P1250">
        <v>10</v>
      </c>
      <c r="Q1250">
        <v>10</v>
      </c>
      <c r="R1250">
        <v>0</v>
      </c>
      <c r="S1250">
        <v>10</v>
      </c>
      <c r="T1250">
        <v>0</v>
      </c>
      <c r="U1250" t="s">
        <v>10410</v>
      </c>
      <c r="V1250">
        <f>Tabla1[[#This Row],[Aboard]]-Tabla1[[#This Row],[Fatalities]]</f>
        <v>0</v>
      </c>
      <c r="W1250" s="50">
        <f>IFERROR(Tabla1[[#This Row],[Fatalities]]/Tabla1[[#This Row],[Aboard]],0)</f>
        <v>1</v>
      </c>
      <c r="X1250" s="51" t="str" cm="1">
        <f t="array" ref="X1250">_xlfn.IFS(Tabla1[[#This Row],[Porcentaje de muertes]]&lt;0.35,"LEVE",AND(Tabla1[[#This Row],[Porcentaje de muertes]]&gt;0.35,Tabla1[[#This Row],[Porcentaje de muertes]]&lt;0.65),"MEDIO",Tabla1[[#This Row],[Porcentaje de muertes]]&gt;0.65,"GRAVE")</f>
        <v>GRAVE</v>
      </c>
    </row>
    <row r="1251" spans="2:24" x14ac:dyDescent="0.3">
      <c r="B1251" s="9">
        <v>1249</v>
      </c>
      <c r="C1251" s="49">
        <v>18785</v>
      </c>
      <c r="D1251" s="9">
        <f>YEAR(Tabla1[[#This Row],[Date]])</f>
        <v>1951</v>
      </c>
      <c r="E1251" s="9" t="str" cm="1">
        <f t="array" ref="E1251">IFERROR(_xlfn.IFS(AND(D1251&lt;1980,D1251&gt;=1970),"70",AND(D1251&lt;1990,D1251&gt;=1980),"80",AND(D1251&lt;2000,D1251&gt;=1990),"90",AND(D1251&lt;2010,D1251&gt;=2000),"00",AND(D1251&lt;=2019,D1251&gt;=2010),"10"),"1908-1970")</f>
        <v>1908-1970</v>
      </c>
      <c r="F1251" s="3">
        <v>0.73611111111111116</v>
      </c>
      <c r="G1251" t="s">
        <v>7368</v>
      </c>
      <c r="H1251" t="s">
        <v>10411</v>
      </c>
      <c r="I1251" t="s">
        <v>28931</v>
      </c>
      <c r="J1251" t="s">
        <v>7369</v>
      </c>
      <c r="K1251" t="s">
        <v>9324</v>
      </c>
      <c r="L1251" s="7" t="s">
        <v>10412</v>
      </c>
      <c r="M1251">
        <v>42979</v>
      </c>
      <c r="N1251">
        <v>19</v>
      </c>
      <c r="O1251">
        <v>16</v>
      </c>
      <c r="P1251">
        <v>3</v>
      </c>
      <c r="Q1251">
        <v>2</v>
      </c>
      <c r="R1251">
        <v>1</v>
      </c>
      <c r="S1251">
        <v>1</v>
      </c>
      <c r="T1251">
        <v>0</v>
      </c>
      <c r="U1251" t="s">
        <v>10413</v>
      </c>
      <c r="V1251">
        <f>Tabla1[[#This Row],[Aboard]]-Tabla1[[#This Row],[Fatalities]]</f>
        <v>17</v>
      </c>
      <c r="W1251" s="50">
        <f>IFERROR(Tabla1[[#This Row],[Fatalities]]/Tabla1[[#This Row],[Aboard]],0)</f>
        <v>0.10526315789473684</v>
      </c>
      <c r="X1251" s="51" t="str" cm="1">
        <f t="array" ref="X1251">_xlfn.IFS(Tabla1[[#This Row],[Porcentaje de muertes]]&lt;0.35,"LEVE",AND(Tabla1[[#This Row],[Porcentaje de muertes]]&gt;0.35,Tabla1[[#This Row],[Porcentaje de muertes]]&lt;0.65),"MEDIO",Tabla1[[#This Row],[Porcentaje de muertes]]&gt;0.65,"GRAVE")</f>
        <v>LEVE</v>
      </c>
    </row>
    <row r="1252" spans="2:24" x14ac:dyDescent="0.3">
      <c r="B1252" s="9">
        <v>1250</v>
      </c>
      <c r="C1252" s="49">
        <v>18792</v>
      </c>
      <c r="D1252" s="9">
        <f>YEAR(Tabla1[[#This Row],[Date]])</f>
        <v>1951</v>
      </c>
      <c r="E1252" s="9" t="str" cm="1">
        <f t="array" ref="E1252">IFERROR(_xlfn.IFS(AND(D1252&lt;1980,D1252&gt;=1970),"70",AND(D1252&lt;1990,D1252&gt;=1980),"80",AND(D1252&lt;2000,D1252&gt;=1990),"90",AND(D1252&lt;2010,D1252&gt;=2000),"00",AND(D1252&lt;=2019,D1252&gt;=2010),"10"),"1908-1970")</f>
        <v>1908-1970</v>
      </c>
      <c r="F1252" s="3">
        <v>0.25</v>
      </c>
      <c r="G1252" t="s">
        <v>6615</v>
      </c>
      <c r="H1252" t="s">
        <v>10414</v>
      </c>
      <c r="I1252" t="s">
        <v>28931</v>
      </c>
      <c r="J1252" t="s">
        <v>10415</v>
      </c>
      <c r="K1252" t="s">
        <v>8105</v>
      </c>
      <c r="L1252" s="7" t="s">
        <v>10416</v>
      </c>
      <c r="M1252">
        <v>10062</v>
      </c>
      <c r="N1252">
        <v>3</v>
      </c>
      <c r="O1252">
        <v>0</v>
      </c>
      <c r="P1252">
        <v>3</v>
      </c>
      <c r="Q1252">
        <v>3</v>
      </c>
      <c r="R1252">
        <v>0</v>
      </c>
      <c r="S1252">
        <v>3</v>
      </c>
      <c r="T1252">
        <v>0</v>
      </c>
      <c r="U1252" t="s">
        <v>10417</v>
      </c>
      <c r="V1252">
        <f>Tabla1[[#This Row],[Aboard]]-Tabla1[[#This Row],[Fatalities]]</f>
        <v>0</v>
      </c>
      <c r="W1252" s="50">
        <f>IFERROR(Tabla1[[#This Row],[Fatalities]]/Tabla1[[#This Row],[Aboard]],0)</f>
        <v>1</v>
      </c>
      <c r="X1252" s="51" t="str" cm="1">
        <f t="array" ref="X1252">_xlfn.IFS(Tabla1[[#This Row],[Porcentaje de muertes]]&lt;0.35,"LEVE",AND(Tabla1[[#This Row],[Porcentaje de muertes]]&gt;0.35,Tabla1[[#This Row],[Porcentaje de muertes]]&lt;0.65),"MEDIO",Tabla1[[#This Row],[Porcentaje de muertes]]&gt;0.65,"GRAVE")</f>
        <v>GRAVE</v>
      </c>
    </row>
    <row r="1253" spans="2:24" x14ac:dyDescent="0.3">
      <c r="B1253" s="9">
        <v>1251</v>
      </c>
      <c r="C1253" s="49">
        <v>18801</v>
      </c>
      <c r="D1253" s="9">
        <f>YEAR(Tabla1[[#This Row],[Date]])</f>
        <v>1951</v>
      </c>
      <c r="E1253" s="9" t="str" cm="1">
        <f t="array" ref="E1253">IFERROR(_xlfn.IFS(AND(D1253&lt;1980,D1253&gt;=1970),"70",AND(D1253&lt;1990,D1253&gt;=1980),"80",AND(D1253&lt;2000,D1253&gt;=1990),"90",AND(D1253&lt;2010,D1253&gt;=2000),"00",AND(D1253&lt;=2019,D1253&gt;=2010),"10"),"1908-1970")</f>
        <v>1908-1970</v>
      </c>
      <c r="F1253" s="3">
        <v>0.1423611111111111</v>
      </c>
      <c r="G1253" t="s">
        <v>10418</v>
      </c>
      <c r="H1253" t="s">
        <v>7121</v>
      </c>
      <c r="I1253">
        <v>151</v>
      </c>
      <c r="J1253" t="s">
        <v>10419</v>
      </c>
      <c r="K1253" t="s">
        <v>10138</v>
      </c>
      <c r="L1253" s="7" t="s">
        <v>10420</v>
      </c>
      <c r="M1253">
        <v>2046</v>
      </c>
      <c r="N1253">
        <v>40</v>
      </c>
      <c r="O1253">
        <v>31</v>
      </c>
      <c r="P1253">
        <v>9</v>
      </c>
      <c r="Q1253">
        <v>40</v>
      </c>
      <c r="R1253">
        <v>31</v>
      </c>
      <c r="S1253">
        <v>9</v>
      </c>
      <c r="T1253">
        <v>0</v>
      </c>
      <c r="U1253" t="s">
        <v>10421</v>
      </c>
      <c r="V1253">
        <f>Tabla1[[#This Row],[Aboard]]-Tabla1[[#This Row],[Fatalities]]</f>
        <v>0</v>
      </c>
      <c r="W1253" s="50">
        <f>IFERROR(Tabla1[[#This Row],[Fatalities]]/Tabla1[[#This Row],[Aboard]],0)</f>
        <v>1</v>
      </c>
      <c r="X1253" s="51" t="str" cm="1">
        <f t="array" ref="X1253">_xlfn.IFS(Tabla1[[#This Row],[Porcentaje de muertes]]&lt;0.35,"LEVE",AND(Tabla1[[#This Row],[Porcentaje de muertes]]&gt;0.35,Tabla1[[#This Row],[Porcentaje de muertes]]&lt;0.65),"MEDIO",Tabla1[[#This Row],[Porcentaje de muertes]]&gt;0.65,"GRAVE")</f>
        <v>GRAVE</v>
      </c>
    </row>
    <row r="1254" spans="2:24" x14ac:dyDescent="0.3">
      <c r="B1254" s="9">
        <v>1252</v>
      </c>
      <c r="C1254" s="49">
        <v>18808</v>
      </c>
      <c r="D1254" s="9">
        <f>YEAR(Tabla1[[#This Row],[Date]])</f>
        <v>1951</v>
      </c>
      <c r="E1254" s="9" t="str" cm="1">
        <f t="array" ref="E1254">IFERROR(_xlfn.IFS(AND(D1254&lt;1980,D1254&gt;=1970),"70",AND(D1254&lt;1990,D1254&gt;=1980),"80",AND(D1254&lt;2000,D1254&gt;=1990),"90",AND(D1254&lt;2010,D1254&gt;=2000),"00",AND(D1254&lt;=2019,D1254&gt;=2010),"10"),"1908-1970")</f>
        <v>1908-1970</v>
      </c>
      <c r="F1254" s="3" t="s">
        <v>28931</v>
      </c>
      <c r="G1254" t="s">
        <v>10422</v>
      </c>
      <c r="H1254" t="s">
        <v>9280</v>
      </c>
      <c r="I1254" t="s">
        <v>28931</v>
      </c>
      <c r="J1254" t="s">
        <v>10423</v>
      </c>
      <c r="K1254" t="s">
        <v>8300</v>
      </c>
      <c r="L1254" s="7" t="s">
        <v>10424</v>
      </c>
      <c r="M1254">
        <v>316</v>
      </c>
      <c r="N1254">
        <v>14</v>
      </c>
      <c r="O1254">
        <v>11</v>
      </c>
      <c r="P1254">
        <v>3</v>
      </c>
      <c r="Q1254">
        <v>14</v>
      </c>
      <c r="R1254">
        <v>11</v>
      </c>
      <c r="S1254">
        <v>3</v>
      </c>
      <c r="T1254">
        <v>0</v>
      </c>
      <c r="U1254" t="s">
        <v>10425</v>
      </c>
      <c r="V1254">
        <f>Tabla1[[#This Row],[Aboard]]-Tabla1[[#This Row],[Fatalities]]</f>
        <v>0</v>
      </c>
      <c r="W1254" s="50">
        <f>IFERROR(Tabla1[[#This Row],[Fatalities]]/Tabla1[[#This Row],[Aboard]],0)</f>
        <v>1</v>
      </c>
      <c r="X1254" s="51" t="str" cm="1">
        <f t="array" ref="X1254">_xlfn.IFS(Tabla1[[#This Row],[Porcentaje de muertes]]&lt;0.35,"LEVE",AND(Tabla1[[#This Row],[Porcentaje de muertes]]&gt;0.35,Tabla1[[#This Row],[Porcentaje de muertes]]&lt;0.65),"MEDIO",Tabla1[[#This Row],[Porcentaje de muertes]]&gt;0.65,"GRAVE")</f>
        <v>GRAVE</v>
      </c>
    </row>
    <row r="1255" spans="2:24" x14ac:dyDescent="0.3">
      <c r="B1255" s="9">
        <v>1253</v>
      </c>
      <c r="C1255" s="49">
        <v>18809</v>
      </c>
      <c r="D1255" s="9">
        <f>YEAR(Tabla1[[#This Row],[Date]])</f>
        <v>1951</v>
      </c>
      <c r="E1255" s="9" t="str" cm="1">
        <f t="array" ref="E1255">IFERROR(_xlfn.IFS(AND(D1255&lt;1980,D1255&gt;=1970),"70",AND(D1255&lt;1990,D1255&gt;=1980),"80",AND(D1255&lt;2000,D1255&gt;=1990),"90",AND(D1255&lt;2010,D1255&gt;=2000),"00",AND(D1255&lt;=2019,D1255&gt;=2010),"10"),"1908-1970")</f>
        <v>1908-1970</v>
      </c>
      <c r="F1255" s="3">
        <v>8.3333333333333329E-2</v>
      </c>
      <c r="G1255" t="s">
        <v>10426</v>
      </c>
      <c r="H1255" t="s">
        <v>6369</v>
      </c>
      <c r="I1255">
        <v>610</v>
      </c>
      <c r="J1255" t="s">
        <v>10427</v>
      </c>
      <c r="K1255" t="s">
        <v>10428</v>
      </c>
      <c r="L1255" s="7" t="s">
        <v>10429</v>
      </c>
      <c r="M1255" t="s">
        <v>10430</v>
      </c>
      <c r="N1255">
        <v>50</v>
      </c>
      <c r="O1255">
        <v>45</v>
      </c>
      <c r="P1255">
        <v>5</v>
      </c>
      <c r="Q1255">
        <v>50</v>
      </c>
      <c r="R1255">
        <v>45</v>
      </c>
      <c r="S1255">
        <v>5</v>
      </c>
      <c r="T1255">
        <v>0</v>
      </c>
      <c r="U1255" t="s">
        <v>10431</v>
      </c>
      <c r="V1255">
        <f>Tabla1[[#This Row],[Aboard]]-Tabla1[[#This Row],[Fatalities]]</f>
        <v>0</v>
      </c>
      <c r="W1255" s="50">
        <f>IFERROR(Tabla1[[#This Row],[Fatalities]]/Tabla1[[#This Row],[Aboard]],0)</f>
        <v>1</v>
      </c>
      <c r="X1255" s="51" t="str" cm="1">
        <f t="array" ref="X1255">_xlfn.IFS(Tabla1[[#This Row],[Porcentaje de muertes]]&lt;0.35,"LEVE",AND(Tabla1[[#This Row],[Porcentaje de muertes]]&gt;0.35,Tabla1[[#This Row],[Porcentaje de muertes]]&lt;0.65),"MEDIO",Tabla1[[#This Row],[Porcentaje de muertes]]&gt;0.65,"GRAVE")</f>
        <v>GRAVE</v>
      </c>
    </row>
    <row r="1256" spans="2:24" x14ac:dyDescent="0.3">
      <c r="B1256" s="9">
        <v>1254</v>
      </c>
      <c r="C1256" s="49">
        <v>18969</v>
      </c>
      <c r="D1256" s="9">
        <f>YEAR(Tabla1[[#This Row],[Date]])</f>
        <v>1951</v>
      </c>
      <c r="E1256" s="9" t="str" cm="1">
        <f t="array" ref="E1256">IFERROR(_xlfn.IFS(AND(D1256&lt;1980,D1256&gt;=1970),"70",AND(D1256&lt;1990,D1256&gt;=1980),"80",AND(D1256&lt;2000,D1256&gt;=1990),"90",AND(D1256&lt;2010,D1256&gt;=2000),"00",AND(D1256&lt;=2019,D1256&gt;=2010),"10"),"1908-1970")</f>
        <v>1908-1970</v>
      </c>
      <c r="F1256" s="3">
        <v>0.94791666666666663</v>
      </c>
      <c r="G1256" t="s">
        <v>10432</v>
      </c>
      <c r="H1256" t="s">
        <v>7665</v>
      </c>
      <c r="I1256" t="s">
        <v>28931</v>
      </c>
      <c r="J1256" t="s">
        <v>10433</v>
      </c>
      <c r="K1256" t="s">
        <v>10434</v>
      </c>
      <c r="L1256" s="7" t="s">
        <v>10435</v>
      </c>
      <c r="M1256">
        <v>350</v>
      </c>
      <c r="N1256">
        <v>10</v>
      </c>
      <c r="O1256">
        <v>0</v>
      </c>
      <c r="P1256">
        <v>10</v>
      </c>
      <c r="Q1256">
        <v>10</v>
      </c>
      <c r="R1256">
        <v>0</v>
      </c>
      <c r="S1256">
        <v>10</v>
      </c>
      <c r="T1256">
        <v>0</v>
      </c>
      <c r="U1256" t="s">
        <v>10436</v>
      </c>
      <c r="V1256">
        <f>Tabla1[[#This Row],[Aboard]]-Tabla1[[#This Row],[Fatalities]]</f>
        <v>0</v>
      </c>
      <c r="W1256" s="50">
        <f>IFERROR(Tabla1[[#This Row],[Fatalities]]/Tabla1[[#This Row],[Aboard]],0)</f>
        <v>1</v>
      </c>
      <c r="X1256" s="51" t="str" cm="1">
        <f t="array" ref="X1256">_xlfn.IFS(Tabla1[[#This Row],[Porcentaje de muertes]]&lt;0.35,"LEVE",AND(Tabla1[[#This Row],[Porcentaje de muertes]]&gt;0.35,Tabla1[[#This Row],[Porcentaje de muertes]]&lt;0.65),"MEDIO",Tabla1[[#This Row],[Porcentaje de muertes]]&gt;0.65,"GRAVE")</f>
        <v>GRAVE</v>
      </c>
    </row>
    <row r="1257" spans="2:24" x14ac:dyDescent="0.3">
      <c r="B1257" s="9">
        <v>1255</v>
      </c>
      <c r="C1257" s="49">
        <v>18969</v>
      </c>
      <c r="D1257" s="9">
        <f>YEAR(Tabla1[[#This Row],[Date]])</f>
        <v>1951</v>
      </c>
      <c r="E1257" s="9" t="str" cm="1">
        <f t="array" ref="E1257">IFERROR(_xlfn.IFS(AND(D1257&lt;1980,D1257&gt;=1970),"70",AND(D1257&lt;1990,D1257&gt;=1980),"80",AND(D1257&lt;2000,D1257&gt;=1990),"90",AND(D1257&lt;2010,D1257&gt;=2000),"00",AND(D1257&lt;=2019,D1257&gt;=2010),"10"),"1908-1970")</f>
        <v>1908-1970</v>
      </c>
      <c r="F1257" s="3" t="s">
        <v>28931</v>
      </c>
      <c r="G1257" t="s">
        <v>10437</v>
      </c>
      <c r="H1257" t="s">
        <v>10238</v>
      </c>
      <c r="I1257" t="s">
        <v>28931</v>
      </c>
      <c r="J1257" t="s">
        <v>10438</v>
      </c>
      <c r="K1257" t="s">
        <v>8465</v>
      </c>
      <c r="L1257" s="7" t="s">
        <v>10439</v>
      </c>
      <c r="M1257">
        <v>20662</v>
      </c>
      <c r="N1257">
        <v>3</v>
      </c>
      <c r="O1257">
        <v>0</v>
      </c>
      <c r="P1257">
        <v>3</v>
      </c>
      <c r="Q1257">
        <v>3</v>
      </c>
      <c r="R1257">
        <v>0</v>
      </c>
      <c r="S1257">
        <v>3</v>
      </c>
      <c r="T1257">
        <v>0</v>
      </c>
      <c r="U1257" t="s">
        <v>10440</v>
      </c>
      <c r="V1257">
        <f>Tabla1[[#This Row],[Aboard]]-Tabla1[[#This Row],[Fatalities]]</f>
        <v>0</v>
      </c>
      <c r="W1257" s="50">
        <f>IFERROR(Tabla1[[#This Row],[Fatalities]]/Tabla1[[#This Row],[Aboard]],0)</f>
        <v>1</v>
      </c>
      <c r="X1257" s="51" t="str" cm="1">
        <f t="array" ref="X1257">_xlfn.IFS(Tabla1[[#This Row],[Porcentaje de muertes]]&lt;0.35,"LEVE",AND(Tabla1[[#This Row],[Porcentaje de muertes]]&gt;0.35,Tabla1[[#This Row],[Porcentaje de muertes]]&lt;0.65),"MEDIO",Tabla1[[#This Row],[Porcentaje de muertes]]&gt;0.65,"GRAVE")</f>
        <v>GRAVE</v>
      </c>
    </row>
    <row r="1258" spans="2:24" x14ac:dyDescent="0.3">
      <c r="B1258" s="9">
        <v>1256</v>
      </c>
      <c r="C1258" s="49">
        <v>18969</v>
      </c>
      <c r="D1258" s="9">
        <f>YEAR(Tabla1[[#This Row],[Date]])</f>
        <v>1951</v>
      </c>
      <c r="E1258" s="9" t="str" cm="1">
        <f t="array" ref="E1258">IFERROR(_xlfn.IFS(AND(D1258&lt;1980,D1258&gt;=1970),"70",AND(D1258&lt;1990,D1258&gt;=1980),"80",AND(D1258&lt;2000,D1258&gt;=1990),"90",AND(D1258&lt;2010,D1258&gt;=2000),"00",AND(D1258&lt;=2019,D1258&gt;=2010),"10"),"1908-1970")</f>
        <v>1908-1970</v>
      </c>
      <c r="F1258" s="3" t="s">
        <v>28931</v>
      </c>
      <c r="G1258" t="s">
        <v>10441</v>
      </c>
      <c r="H1258" t="s">
        <v>10442</v>
      </c>
      <c r="I1258" t="s">
        <v>28931</v>
      </c>
      <c r="J1258" t="s">
        <v>10443</v>
      </c>
      <c r="K1258" t="s">
        <v>7057</v>
      </c>
      <c r="L1258" s="7" t="s">
        <v>10444</v>
      </c>
      <c r="M1258" t="s">
        <v>10445</v>
      </c>
      <c r="N1258">
        <v>33</v>
      </c>
      <c r="O1258">
        <v>28</v>
      </c>
      <c r="P1258">
        <v>5</v>
      </c>
      <c r="Q1258">
        <v>33</v>
      </c>
      <c r="R1258">
        <v>28</v>
      </c>
      <c r="S1258">
        <v>5</v>
      </c>
      <c r="T1258">
        <v>0</v>
      </c>
      <c r="U1258" t="s">
        <v>10446</v>
      </c>
      <c r="V1258">
        <f>Tabla1[[#This Row],[Aboard]]-Tabla1[[#This Row],[Fatalities]]</f>
        <v>0</v>
      </c>
      <c r="W1258" s="50">
        <f>IFERROR(Tabla1[[#This Row],[Fatalities]]/Tabla1[[#This Row],[Aboard]],0)</f>
        <v>1</v>
      </c>
      <c r="X1258" s="51" t="str" cm="1">
        <f t="array" ref="X1258">_xlfn.IFS(Tabla1[[#This Row],[Porcentaje de muertes]]&lt;0.35,"LEVE",AND(Tabla1[[#This Row],[Porcentaje de muertes]]&gt;0.35,Tabla1[[#This Row],[Porcentaje de muertes]]&lt;0.65),"MEDIO",Tabla1[[#This Row],[Porcentaje de muertes]]&gt;0.65,"GRAVE")</f>
        <v>GRAVE</v>
      </c>
    </row>
    <row r="1259" spans="2:24" x14ac:dyDescent="0.3">
      <c r="B1259" s="9">
        <v>1257</v>
      </c>
      <c r="C1259" s="49">
        <v>18825</v>
      </c>
      <c r="D1259" s="9">
        <f>YEAR(Tabla1[[#This Row],[Date]])</f>
        <v>1951</v>
      </c>
      <c r="E1259" s="9" t="str" cm="1">
        <f t="array" ref="E1259">IFERROR(_xlfn.IFS(AND(D1259&lt;1980,D1259&gt;=1970),"70",AND(D1259&lt;1990,D1259&gt;=1980),"80",AND(D1259&lt;2000,D1259&gt;=1990),"90",AND(D1259&lt;2010,D1259&gt;=2000),"00",AND(D1259&lt;=2019,D1259&gt;=2010),"10"),"1908-1970")</f>
        <v>1908-1970</v>
      </c>
      <c r="F1259" s="3">
        <v>0.37986111111111115</v>
      </c>
      <c r="G1259" t="s">
        <v>7013</v>
      </c>
      <c r="H1259" t="s">
        <v>5459</v>
      </c>
      <c r="I1259" t="s">
        <v>28931</v>
      </c>
      <c r="J1259" t="s">
        <v>10447</v>
      </c>
      <c r="K1259" t="s">
        <v>10448</v>
      </c>
      <c r="L1259" s="7" t="s">
        <v>10449</v>
      </c>
      <c r="M1259">
        <v>5003</v>
      </c>
      <c r="N1259">
        <v>7</v>
      </c>
      <c r="O1259">
        <v>5</v>
      </c>
      <c r="P1259">
        <v>2</v>
      </c>
      <c r="Q1259">
        <v>7</v>
      </c>
      <c r="R1259">
        <v>5</v>
      </c>
      <c r="S1259">
        <v>2</v>
      </c>
      <c r="T1259">
        <v>0</v>
      </c>
      <c r="U1259" t="s">
        <v>10450</v>
      </c>
      <c r="V1259">
        <f>Tabla1[[#This Row],[Aboard]]-Tabla1[[#This Row],[Fatalities]]</f>
        <v>0</v>
      </c>
      <c r="W1259" s="50">
        <f>IFERROR(Tabla1[[#This Row],[Fatalities]]/Tabla1[[#This Row],[Aboard]],0)</f>
        <v>1</v>
      </c>
      <c r="X1259" s="51" t="str" cm="1">
        <f t="array" ref="X1259">_xlfn.IFS(Tabla1[[#This Row],[Porcentaje de muertes]]&lt;0.35,"LEVE",AND(Tabla1[[#This Row],[Porcentaje de muertes]]&gt;0.35,Tabla1[[#This Row],[Porcentaje de muertes]]&lt;0.65),"MEDIO",Tabla1[[#This Row],[Porcentaje de muertes]]&gt;0.65,"GRAVE")</f>
        <v>GRAVE</v>
      </c>
    </row>
    <row r="1260" spans="2:24" x14ac:dyDescent="0.3">
      <c r="B1260" s="9">
        <v>1258</v>
      </c>
      <c r="C1260" s="49">
        <v>18829</v>
      </c>
      <c r="D1260" s="9">
        <f>YEAR(Tabla1[[#This Row],[Date]])</f>
        <v>1951</v>
      </c>
      <c r="E1260" s="9" t="str" cm="1">
        <f t="array" ref="E1260">IFERROR(_xlfn.IFS(AND(D1260&lt;1980,D1260&gt;=1970),"70",AND(D1260&lt;1990,D1260&gt;=1980),"80",AND(D1260&lt;2000,D1260&gt;=1990),"90",AND(D1260&lt;2010,D1260&gt;=2000),"00",AND(D1260&lt;=2019,D1260&gt;=2010),"10"),"1908-1970")</f>
        <v>1908-1970</v>
      </c>
      <c r="F1260" s="3" t="s">
        <v>28931</v>
      </c>
      <c r="G1260" t="s">
        <v>10451</v>
      </c>
      <c r="H1260" t="s">
        <v>10452</v>
      </c>
      <c r="I1260" t="s">
        <v>28931</v>
      </c>
      <c r="J1260" t="s">
        <v>10453</v>
      </c>
      <c r="K1260" t="s">
        <v>8105</v>
      </c>
      <c r="L1260" s="7" t="s">
        <v>10454</v>
      </c>
      <c r="M1260">
        <v>19634</v>
      </c>
      <c r="N1260">
        <v>3</v>
      </c>
      <c r="O1260">
        <v>0</v>
      </c>
      <c r="P1260">
        <v>3</v>
      </c>
      <c r="Q1260">
        <v>3</v>
      </c>
      <c r="R1260">
        <v>0</v>
      </c>
      <c r="S1260">
        <v>3</v>
      </c>
      <c r="T1260">
        <v>0</v>
      </c>
      <c r="U1260" t="s">
        <v>10455</v>
      </c>
      <c r="V1260">
        <f>Tabla1[[#This Row],[Aboard]]-Tabla1[[#This Row],[Fatalities]]</f>
        <v>0</v>
      </c>
      <c r="W1260" s="50">
        <f>IFERROR(Tabla1[[#This Row],[Fatalities]]/Tabla1[[#This Row],[Aboard]],0)</f>
        <v>1</v>
      </c>
      <c r="X1260" s="51" t="str" cm="1">
        <f t="array" ref="X1260">_xlfn.IFS(Tabla1[[#This Row],[Porcentaje de muertes]]&lt;0.35,"LEVE",AND(Tabla1[[#This Row],[Porcentaje de muertes]]&gt;0.35,Tabla1[[#This Row],[Porcentaje de muertes]]&lt;0.65),"MEDIO",Tabla1[[#This Row],[Porcentaje de muertes]]&gt;0.65,"GRAVE")</f>
        <v>GRAVE</v>
      </c>
    </row>
    <row r="1261" spans="2:24" x14ac:dyDescent="0.3">
      <c r="B1261" s="9">
        <v>1259</v>
      </c>
      <c r="C1261" s="49">
        <v>18830</v>
      </c>
      <c r="D1261" s="9">
        <f>YEAR(Tabla1[[#This Row],[Date]])</f>
        <v>1951</v>
      </c>
      <c r="E1261" s="9" t="str" cm="1">
        <f t="array" ref="E1261">IFERROR(_xlfn.IFS(AND(D1261&lt;1980,D1261&gt;=1970),"70",AND(D1261&lt;1990,D1261&gt;=1980),"80",AND(D1261&lt;2000,D1261&gt;=1990),"90",AND(D1261&lt;2010,D1261&gt;=2000),"00",AND(D1261&lt;=2019,D1261&gt;=2010),"10"),"1908-1970")</f>
        <v>1908-1970</v>
      </c>
      <c r="F1261" s="3">
        <v>0.95486111111111116</v>
      </c>
      <c r="G1261" t="s">
        <v>10456</v>
      </c>
      <c r="H1261" t="s">
        <v>7883</v>
      </c>
      <c r="I1261" t="s">
        <v>28931</v>
      </c>
      <c r="J1261" t="s">
        <v>10457</v>
      </c>
      <c r="K1261" t="s">
        <v>7894</v>
      </c>
      <c r="L1261" s="7" t="s">
        <v>10458</v>
      </c>
      <c r="M1261">
        <v>10327</v>
      </c>
      <c r="N1261">
        <v>37</v>
      </c>
      <c r="O1261">
        <v>31</v>
      </c>
      <c r="P1261">
        <v>6</v>
      </c>
      <c r="Q1261">
        <v>37</v>
      </c>
      <c r="R1261">
        <v>31</v>
      </c>
      <c r="S1261">
        <v>6</v>
      </c>
      <c r="T1261">
        <v>0</v>
      </c>
      <c r="U1261" t="s">
        <v>10459</v>
      </c>
      <c r="V1261">
        <f>Tabla1[[#This Row],[Aboard]]-Tabla1[[#This Row],[Fatalities]]</f>
        <v>0</v>
      </c>
      <c r="W1261" s="50">
        <f>IFERROR(Tabla1[[#This Row],[Fatalities]]/Tabla1[[#This Row],[Aboard]],0)</f>
        <v>1</v>
      </c>
      <c r="X1261" s="51" t="str" cm="1">
        <f t="array" ref="X1261">_xlfn.IFS(Tabla1[[#This Row],[Porcentaje de muertes]]&lt;0.35,"LEVE",AND(Tabla1[[#This Row],[Porcentaje de muertes]]&gt;0.35,Tabla1[[#This Row],[Porcentaje de muertes]]&lt;0.65),"MEDIO",Tabla1[[#This Row],[Porcentaje de muertes]]&gt;0.65,"GRAVE")</f>
        <v>GRAVE</v>
      </c>
    </row>
    <row r="1262" spans="2:24" x14ac:dyDescent="0.3">
      <c r="B1262" s="9">
        <v>1260</v>
      </c>
      <c r="C1262" s="49">
        <v>18833</v>
      </c>
      <c r="D1262" s="9">
        <f>YEAR(Tabla1[[#This Row],[Date]])</f>
        <v>1951</v>
      </c>
      <c r="E1262" s="9" t="str" cm="1">
        <f t="array" ref="E1262">IFERROR(_xlfn.IFS(AND(D1262&lt;1980,D1262&gt;=1970),"70",AND(D1262&lt;1990,D1262&gt;=1980),"80",AND(D1262&lt;2000,D1262&gt;=1990),"90",AND(D1262&lt;2010,D1262&gt;=2000),"00",AND(D1262&lt;=2019,D1262&gt;=2010),"10"),"1908-1970")</f>
        <v>1908-1970</v>
      </c>
      <c r="F1262" s="3">
        <v>0.23958333333333334</v>
      </c>
      <c r="G1262" t="s">
        <v>10460</v>
      </c>
      <c r="H1262" t="s">
        <v>5957</v>
      </c>
      <c r="I1262" t="s">
        <v>28931</v>
      </c>
      <c r="J1262" t="s">
        <v>10461</v>
      </c>
      <c r="K1262" t="s">
        <v>7057</v>
      </c>
      <c r="L1262" s="7" t="s">
        <v>10462</v>
      </c>
      <c r="M1262">
        <v>6327</v>
      </c>
      <c r="N1262">
        <v>3</v>
      </c>
      <c r="O1262">
        <v>0</v>
      </c>
      <c r="P1262">
        <v>3</v>
      </c>
      <c r="Q1262">
        <v>3</v>
      </c>
      <c r="R1262">
        <v>0</v>
      </c>
      <c r="S1262">
        <v>3</v>
      </c>
      <c r="T1262">
        <v>0</v>
      </c>
      <c r="U1262" t="s">
        <v>10463</v>
      </c>
      <c r="V1262">
        <f>Tabla1[[#This Row],[Aboard]]-Tabla1[[#This Row],[Fatalities]]</f>
        <v>0</v>
      </c>
      <c r="W1262" s="50">
        <f>IFERROR(Tabla1[[#This Row],[Fatalities]]/Tabla1[[#This Row],[Aboard]],0)</f>
        <v>1</v>
      </c>
      <c r="X1262" s="51" t="str" cm="1">
        <f t="array" ref="X1262">_xlfn.IFS(Tabla1[[#This Row],[Porcentaje de muertes]]&lt;0.35,"LEVE",AND(Tabla1[[#This Row],[Porcentaje de muertes]]&gt;0.35,Tabla1[[#This Row],[Porcentaje de muertes]]&lt;0.65),"MEDIO",Tabla1[[#This Row],[Porcentaje de muertes]]&gt;0.65,"GRAVE")</f>
        <v>GRAVE</v>
      </c>
    </row>
    <row r="1263" spans="2:24" x14ac:dyDescent="0.3">
      <c r="B1263" s="9">
        <v>1261</v>
      </c>
      <c r="C1263" s="49">
        <v>18838</v>
      </c>
      <c r="D1263" s="9">
        <f>YEAR(Tabla1[[#This Row],[Date]])</f>
        <v>1951</v>
      </c>
      <c r="E1263" s="9" t="str" cm="1">
        <f t="array" ref="E1263">IFERROR(_xlfn.IFS(AND(D1263&lt;1980,D1263&gt;=1970),"70",AND(D1263&lt;1990,D1263&gt;=1980),"80",AND(D1263&lt;2000,D1263&gt;=1990),"90",AND(D1263&lt;2010,D1263&gt;=2000),"00",AND(D1263&lt;=2019,D1263&gt;=2010),"10"),"1908-1970")</f>
        <v>1908-1970</v>
      </c>
      <c r="F1263" s="3" t="s">
        <v>28931</v>
      </c>
      <c r="G1263" t="s">
        <v>10464</v>
      </c>
      <c r="H1263" t="s">
        <v>10465</v>
      </c>
      <c r="I1263" t="s">
        <v>28931</v>
      </c>
      <c r="J1263" t="s">
        <v>10466</v>
      </c>
      <c r="K1263" t="s">
        <v>8305</v>
      </c>
      <c r="L1263" s="7" t="s">
        <v>10467</v>
      </c>
      <c r="M1263">
        <v>26488</v>
      </c>
      <c r="N1263">
        <v>7</v>
      </c>
      <c r="O1263">
        <v>4</v>
      </c>
      <c r="P1263">
        <v>3</v>
      </c>
      <c r="Q1263">
        <v>7</v>
      </c>
      <c r="R1263">
        <v>4</v>
      </c>
      <c r="S1263">
        <v>3</v>
      </c>
      <c r="T1263">
        <v>0</v>
      </c>
      <c r="U1263" t="s">
        <v>10468</v>
      </c>
      <c r="V1263">
        <f>Tabla1[[#This Row],[Aboard]]-Tabla1[[#This Row],[Fatalities]]</f>
        <v>0</v>
      </c>
      <c r="W1263" s="50">
        <f>IFERROR(Tabla1[[#This Row],[Fatalities]]/Tabla1[[#This Row],[Aboard]],0)</f>
        <v>1</v>
      </c>
      <c r="X1263" s="51" t="str" cm="1">
        <f t="array" ref="X1263">_xlfn.IFS(Tabla1[[#This Row],[Porcentaje de muertes]]&lt;0.35,"LEVE",AND(Tabla1[[#This Row],[Porcentaje de muertes]]&gt;0.35,Tabla1[[#This Row],[Porcentaje de muertes]]&lt;0.65),"MEDIO",Tabla1[[#This Row],[Porcentaje de muertes]]&gt;0.65,"GRAVE")</f>
        <v>GRAVE</v>
      </c>
    </row>
    <row r="1264" spans="2:24" x14ac:dyDescent="0.3">
      <c r="B1264" s="9">
        <v>1262</v>
      </c>
      <c r="C1264" s="49">
        <v>18848</v>
      </c>
      <c r="D1264" s="9">
        <f>YEAR(Tabla1[[#This Row],[Date]])</f>
        <v>1951</v>
      </c>
      <c r="E1264" s="9" t="str" cm="1">
        <f t="array" ref="E1264">IFERROR(_xlfn.IFS(AND(D1264&lt;1980,D1264&gt;=1970),"70",AND(D1264&lt;1990,D1264&gt;=1980),"80",AND(D1264&lt;2000,D1264&gt;=1990),"90",AND(D1264&lt;2010,D1264&gt;=2000),"00",AND(D1264&lt;=2019,D1264&gt;=2010),"10"),"1908-1970")</f>
        <v>1908-1970</v>
      </c>
      <c r="F1264" s="3">
        <v>0.875</v>
      </c>
      <c r="G1264" t="s">
        <v>10469</v>
      </c>
      <c r="H1264" t="s">
        <v>10470</v>
      </c>
      <c r="I1264" t="s">
        <v>28931</v>
      </c>
      <c r="J1264" t="s">
        <v>10471</v>
      </c>
      <c r="K1264" t="s">
        <v>5038</v>
      </c>
      <c r="L1264" s="7" t="s">
        <v>10472</v>
      </c>
      <c r="M1264">
        <v>13083</v>
      </c>
      <c r="N1264">
        <v>2</v>
      </c>
      <c r="O1264">
        <v>0</v>
      </c>
      <c r="P1264">
        <v>2</v>
      </c>
      <c r="Q1264">
        <v>2</v>
      </c>
      <c r="R1264">
        <v>0</v>
      </c>
      <c r="S1264">
        <v>2</v>
      </c>
      <c r="T1264">
        <v>0</v>
      </c>
      <c r="U1264" t="s">
        <v>10473</v>
      </c>
      <c r="V1264">
        <f>Tabla1[[#This Row],[Aboard]]-Tabla1[[#This Row],[Fatalities]]</f>
        <v>0</v>
      </c>
      <c r="W1264" s="50">
        <f>IFERROR(Tabla1[[#This Row],[Fatalities]]/Tabla1[[#This Row],[Aboard]],0)</f>
        <v>1</v>
      </c>
      <c r="X1264" s="51" t="str" cm="1">
        <f t="array" ref="X1264">_xlfn.IFS(Tabla1[[#This Row],[Porcentaje de muertes]]&lt;0.35,"LEVE",AND(Tabla1[[#This Row],[Porcentaje de muertes]]&gt;0.35,Tabla1[[#This Row],[Porcentaje de muertes]]&lt;0.65),"MEDIO",Tabla1[[#This Row],[Porcentaje de muertes]]&gt;0.65,"GRAVE")</f>
        <v>GRAVE</v>
      </c>
    </row>
    <row r="1265" spans="2:24" x14ac:dyDescent="0.3">
      <c r="B1265" s="9">
        <v>1263</v>
      </c>
      <c r="C1265" s="49">
        <v>18940</v>
      </c>
      <c r="D1265" s="9">
        <f>YEAR(Tabla1[[#This Row],[Date]])</f>
        <v>1951</v>
      </c>
      <c r="E1265" s="9" t="str" cm="1">
        <f t="array" ref="E1265">IFERROR(_xlfn.IFS(AND(D1265&lt;1980,D1265&gt;=1970),"70",AND(D1265&lt;1990,D1265&gt;=1980),"80",AND(D1265&lt;2000,D1265&gt;=1990),"90",AND(D1265&lt;2010,D1265&gt;=2000),"00",AND(D1265&lt;=2019,D1265&gt;=2010),"10"),"1908-1970")</f>
        <v>1908-1970</v>
      </c>
      <c r="F1265" s="3">
        <v>0.3923611111111111</v>
      </c>
      <c r="G1265" t="s">
        <v>10474</v>
      </c>
      <c r="H1265" t="s">
        <v>6375</v>
      </c>
      <c r="I1265" t="s">
        <v>28931</v>
      </c>
      <c r="J1265" t="s">
        <v>6190</v>
      </c>
      <c r="K1265" t="s">
        <v>9324</v>
      </c>
      <c r="L1265" s="7" t="s">
        <v>10475</v>
      </c>
      <c r="M1265">
        <v>42971</v>
      </c>
      <c r="N1265">
        <v>5</v>
      </c>
      <c r="O1265">
        <v>0</v>
      </c>
      <c r="P1265">
        <v>5</v>
      </c>
      <c r="Q1265">
        <v>5</v>
      </c>
      <c r="R1265">
        <v>0</v>
      </c>
      <c r="S1265">
        <v>5</v>
      </c>
      <c r="T1265">
        <v>0</v>
      </c>
      <c r="U1265" t="s">
        <v>10476</v>
      </c>
      <c r="V1265">
        <f>Tabla1[[#This Row],[Aboard]]-Tabla1[[#This Row],[Fatalities]]</f>
        <v>0</v>
      </c>
      <c r="W1265" s="50">
        <f>IFERROR(Tabla1[[#This Row],[Fatalities]]/Tabla1[[#This Row],[Aboard]],0)</f>
        <v>1</v>
      </c>
      <c r="X1265" s="51" t="str" cm="1">
        <f t="array" ref="X1265">_xlfn.IFS(Tabla1[[#This Row],[Porcentaje de muertes]]&lt;0.35,"LEVE",AND(Tabla1[[#This Row],[Porcentaje de muertes]]&gt;0.35,Tabla1[[#This Row],[Porcentaje de muertes]]&lt;0.65),"MEDIO",Tabla1[[#This Row],[Porcentaje de muertes]]&gt;0.65,"GRAVE")</f>
        <v>GRAVE</v>
      </c>
    </row>
    <row r="1266" spans="2:24" x14ac:dyDescent="0.3">
      <c r="B1266" s="9">
        <v>1264</v>
      </c>
      <c r="C1266" s="49">
        <v>18857</v>
      </c>
      <c r="D1266" s="9">
        <f>YEAR(Tabla1[[#This Row],[Date]])</f>
        <v>1951</v>
      </c>
      <c r="E1266" s="9" t="str" cm="1">
        <f t="array" ref="E1266">IFERROR(_xlfn.IFS(AND(D1266&lt;1980,D1266&gt;=1970),"70",AND(D1266&lt;1990,D1266&gt;=1980),"80",AND(D1266&lt;2000,D1266&gt;=1990),"90",AND(D1266&lt;2010,D1266&gt;=2000),"00",AND(D1266&lt;=2019,D1266&gt;=2010),"10"),"1908-1970")</f>
        <v>1908-1970</v>
      </c>
      <c r="F1266" s="3" t="s">
        <v>28931</v>
      </c>
      <c r="G1266" t="s">
        <v>10477</v>
      </c>
      <c r="H1266" t="s">
        <v>9960</v>
      </c>
      <c r="I1266" t="s">
        <v>28931</v>
      </c>
      <c r="J1266" t="s">
        <v>28931</v>
      </c>
      <c r="K1266" t="s">
        <v>7057</v>
      </c>
      <c r="L1266" s="7" t="s">
        <v>10478</v>
      </c>
      <c r="M1266">
        <v>9154</v>
      </c>
      <c r="N1266">
        <v>10</v>
      </c>
      <c r="O1266" t="s">
        <v>5038</v>
      </c>
      <c r="P1266" t="s">
        <v>5038</v>
      </c>
      <c r="Q1266">
        <v>10</v>
      </c>
      <c r="R1266" t="s">
        <v>5038</v>
      </c>
      <c r="S1266" t="s">
        <v>5038</v>
      </c>
      <c r="T1266">
        <v>0</v>
      </c>
      <c r="U1266" t="s">
        <v>28927</v>
      </c>
      <c r="V1266">
        <f>Tabla1[[#This Row],[Aboard]]-Tabla1[[#This Row],[Fatalities]]</f>
        <v>0</v>
      </c>
      <c r="W1266" s="50">
        <f>IFERROR(Tabla1[[#This Row],[Fatalities]]/Tabla1[[#This Row],[Aboard]],0)</f>
        <v>1</v>
      </c>
      <c r="X1266" s="51" t="str" cm="1">
        <f t="array" ref="X1266">_xlfn.IFS(Tabla1[[#This Row],[Porcentaje de muertes]]&lt;0.35,"LEVE",AND(Tabla1[[#This Row],[Porcentaje de muertes]]&gt;0.35,Tabla1[[#This Row],[Porcentaje de muertes]]&lt;0.65),"MEDIO",Tabla1[[#This Row],[Porcentaje de muertes]]&gt;0.65,"GRAVE")</f>
        <v>GRAVE</v>
      </c>
    </row>
    <row r="1267" spans="2:24" x14ac:dyDescent="0.3">
      <c r="B1267" s="9">
        <v>1265</v>
      </c>
      <c r="C1267" s="49">
        <v>18864</v>
      </c>
      <c r="D1267" s="9">
        <f>YEAR(Tabla1[[#This Row],[Date]])</f>
        <v>1951</v>
      </c>
      <c r="E1267" s="9" t="str" cm="1">
        <f t="array" ref="E1267">IFERROR(_xlfn.IFS(AND(D1267&lt;1980,D1267&gt;=1970),"70",AND(D1267&lt;1990,D1267&gt;=1980),"80",AND(D1267&lt;2000,D1267&gt;=1990),"90",AND(D1267&lt;2010,D1267&gt;=2000),"00",AND(D1267&lt;=2019,D1267&gt;=2010),"10"),"1908-1970")</f>
        <v>1908-1970</v>
      </c>
      <c r="F1267" s="3">
        <v>0.18611111111111112</v>
      </c>
      <c r="G1267" t="s">
        <v>10479</v>
      </c>
      <c r="H1267" t="s">
        <v>6369</v>
      </c>
      <c r="I1267">
        <v>615</v>
      </c>
      <c r="J1267" t="s">
        <v>10480</v>
      </c>
      <c r="K1267" t="s">
        <v>10428</v>
      </c>
      <c r="L1267" s="7" t="s">
        <v>10481</v>
      </c>
      <c r="M1267" t="s">
        <v>10482</v>
      </c>
      <c r="N1267">
        <v>50</v>
      </c>
      <c r="O1267">
        <v>44</v>
      </c>
      <c r="P1267">
        <v>6</v>
      </c>
      <c r="Q1267">
        <v>50</v>
      </c>
      <c r="R1267">
        <v>44</v>
      </c>
      <c r="S1267">
        <v>6</v>
      </c>
      <c r="T1267">
        <v>0</v>
      </c>
      <c r="U1267" t="s">
        <v>10483</v>
      </c>
      <c r="V1267">
        <f>Tabla1[[#This Row],[Aboard]]-Tabla1[[#This Row],[Fatalities]]</f>
        <v>0</v>
      </c>
      <c r="W1267" s="50">
        <f>IFERROR(Tabla1[[#This Row],[Fatalities]]/Tabla1[[#This Row],[Aboard]],0)</f>
        <v>1</v>
      </c>
      <c r="X1267" s="51" t="str" cm="1">
        <f t="array" ref="X1267">_xlfn.IFS(Tabla1[[#This Row],[Porcentaje de muertes]]&lt;0.35,"LEVE",AND(Tabla1[[#This Row],[Porcentaje de muertes]]&gt;0.35,Tabla1[[#This Row],[Porcentaje de muertes]]&lt;0.65),"MEDIO",Tabla1[[#This Row],[Porcentaje de muertes]]&gt;0.65,"GRAVE")</f>
        <v>GRAVE</v>
      </c>
    </row>
    <row r="1268" spans="2:24" x14ac:dyDescent="0.3">
      <c r="B1268" s="9">
        <v>1266</v>
      </c>
      <c r="C1268" s="49">
        <v>18849</v>
      </c>
      <c r="D1268" s="9">
        <f>YEAR(Tabla1[[#This Row],[Date]])</f>
        <v>1951</v>
      </c>
      <c r="E1268" s="9" t="str" cm="1">
        <f t="array" ref="E1268">IFERROR(_xlfn.IFS(AND(D1268&lt;1980,D1268&gt;=1970),"70",AND(D1268&lt;1990,D1268&gt;=1980),"80",AND(D1268&lt;2000,D1268&gt;=1990),"90",AND(D1268&lt;2010,D1268&gt;=2000),"00",AND(D1268&lt;=2019,D1268&gt;=2010),"10"),"1908-1970")</f>
        <v>1908-1970</v>
      </c>
      <c r="F1268" s="3">
        <v>0.79166666666666663</v>
      </c>
      <c r="G1268" t="s">
        <v>7197</v>
      </c>
      <c r="H1268" t="s">
        <v>7581</v>
      </c>
      <c r="I1268" t="s">
        <v>28931</v>
      </c>
      <c r="J1268" t="s">
        <v>7996</v>
      </c>
      <c r="K1268" t="s">
        <v>7057</v>
      </c>
      <c r="L1268" s="7" t="s">
        <v>10484</v>
      </c>
      <c r="M1268" t="s">
        <v>10485</v>
      </c>
      <c r="N1268">
        <v>13</v>
      </c>
      <c r="O1268">
        <v>9</v>
      </c>
      <c r="P1268">
        <v>4</v>
      </c>
      <c r="Q1268">
        <v>13</v>
      </c>
      <c r="R1268">
        <v>9</v>
      </c>
      <c r="S1268">
        <v>4</v>
      </c>
      <c r="T1268">
        <v>3</v>
      </c>
      <c r="U1268" t="s">
        <v>10486</v>
      </c>
      <c r="V1268">
        <f>Tabla1[[#This Row],[Aboard]]-Tabla1[[#This Row],[Fatalities]]</f>
        <v>0</v>
      </c>
      <c r="W1268" s="50">
        <f>IFERROR(Tabla1[[#This Row],[Fatalities]]/Tabla1[[#This Row],[Aboard]],0)</f>
        <v>1</v>
      </c>
      <c r="X1268" s="51" t="str" cm="1">
        <f t="array" ref="X1268">_xlfn.IFS(Tabla1[[#This Row],[Porcentaje de muertes]]&lt;0.35,"LEVE",AND(Tabla1[[#This Row],[Porcentaje de muertes]]&gt;0.35,Tabla1[[#This Row],[Porcentaje de muertes]]&lt;0.65),"MEDIO",Tabla1[[#This Row],[Porcentaje de muertes]]&gt;0.65,"GRAVE")</f>
        <v>GRAVE</v>
      </c>
    </row>
    <row r="1269" spans="2:24" x14ac:dyDescent="0.3">
      <c r="B1269" s="9">
        <v>1267</v>
      </c>
      <c r="C1269" s="49">
        <v>18971</v>
      </c>
      <c r="D1269" s="9">
        <f>YEAR(Tabla1[[#This Row],[Date]])</f>
        <v>1951</v>
      </c>
      <c r="E1269" s="9" t="str" cm="1">
        <f t="array" ref="E1269">IFERROR(_xlfn.IFS(AND(D1269&lt;1980,D1269&gt;=1970),"70",AND(D1269&lt;1990,D1269&gt;=1980),"80",AND(D1269&lt;2000,D1269&gt;=1990),"90",AND(D1269&lt;2010,D1269&gt;=2000),"00",AND(D1269&lt;=2019,D1269&gt;=2010),"10"),"1908-1970")</f>
        <v>1908-1970</v>
      </c>
      <c r="F1269" s="3">
        <v>0.52083333333333337</v>
      </c>
      <c r="G1269" t="s">
        <v>10487</v>
      </c>
      <c r="H1269" t="s">
        <v>10488</v>
      </c>
      <c r="I1269" t="s">
        <v>28931</v>
      </c>
      <c r="J1269" t="s">
        <v>10489</v>
      </c>
      <c r="K1269" t="s">
        <v>7057</v>
      </c>
      <c r="L1269" s="7" t="s">
        <v>10490</v>
      </c>
      <c r="M1269" t="s">
        <v>10491</v>
      </c>
      <c r="N1269">
        <v>39</v>
      </c>
      <c r="O1269">
        <v>36</v>
      </c>
      <c r="P1269">
        <v>3</v>
      </c>
      <c r="Q1269">
        <v>39</v>
      </c>
      <c r="R1269">
        <v>36</v>
      </c>
      <c r="S1269">
        <v>3</v>
      </c>
      <c r="T1269">
        <v>0</v>
      </c>
      <c r="U1269" t="s">
        <v>10492</v>
      </c>
      <c r="V1269">
        <f>Tabla1[[#This Row],[Aboard]]-Tabla1[[#This Row],[Fatalities]]</f>
        <v>0</v>
      </c>
      <c r="W1269" s="50">
        <f>IFERROR(Tabla1[[#This Row],[Fatalities]]/Tabla1[[#This Row],[Aboard]],0)</f>
        <v>1</v>
      </c>
      <c r="X1269" s="51" t="str" cm="1">
        <f t="array" ref="X1269">_xlfn.IFS(Tabla1[[#This Row],[Porcentaje de muertes]]&lt;0.35,"LEVE",AND(Tabla1[[#This Row],[Porcentaje de muertes]]&gt;0.35,Tabla1[[#This Row],[Porcentaje de muertes]]&lt;0.65),"MEDIO",Tabla1[[#This Row],[Porcentaje de muertes]]&gt;0.65,"GRAVE")</f>
        <v>GRAVE</v>
      </c>
    </row>
    <row r="1270" spans="2:24" x14ac:dyDescent="0.3">
      <c r="B1270" s="9">
        <v>1268</v>
      </c>
      <c r="C1270" s="49">
        <v>18971</v>
      </c>
      <c r="D1270" s="9">
        <f>YEAR(Tabla1[[#This Row],[Date]])</f>
        <v>1951</v>
      </c>
      <c r="E1270" s="9" t="str" cm="1">
        <f t="array" ref="E1270">IFERROR(_xlfn.IFS(AND(D1270&lt;1980,D1270&gt;=1970),"70",AND(D1270&lt;1990,D1270&gt;=1980),"80",AND(D1270&lt;2000,D1270&gt;=1990),"90",AND(D1270&lt;2010,D1270&gt;=2000),"00",AND(D1270&lt;=2019,D1270&gt;=2010),"10"),"1908-1970")</f>
        <v>1908-1970</v>
      </c>
      <c r="F1270" s="3">
        <v>0.49027777777777781</v>
      </c>
      <c r="G1270" t="s">
        <v>10493</v>
      </c>
      <c r="H1270" t="s">
        <v>6369</v>
      </c>
      <c r="I1270" t="s">
        <v>28931</v>
      </c>
      <c r="J1270" t="s">
        <v>10494</v>
      </c>
      <c r="K1270" t="s">
        <v>10495</v>
      </c>
      <c r="L1270" s="7" t="s">
        <v>10496</v>
      </c>
      <c r="M1270">
        <v>15970</v>
      </c>
      <c r="N1270">
        <v>3</v>
      </c>
      <c r="O1270">
        <v>0</v>
      </c>
      <c r="P1270">
        <v>3</v>
      </c>
      <c r="Q1270">
        <v>3</v>
      </c>
      <c r="R1270">
        <v>0</v>
      </c>
      <c r="S1270">
        <v>3</v>
      </c>
      <c r="T1270">
        <v>0</v>
      </c>
      <c r="U1270" t="s">
        <v>10497</v>
      </c>
      <c r="V1270">
        <f>Tabla1[[#This Row],[Aboard]]-Tabla1[[#This Row],[Fatalities]]</f>
        <v>0</v>
      </c>
      <c r="W1270" s="50">
        <f>IFERROR(Tabla1[[#This Row],[Fatalities]]/Tabla1[[#This Row],[Aboard]],0)</f>
        <v>1</v>
      </c>
      <c r="X1270" s="51" t="str" cm="1">
        <f t="array" ref="X1270">_xlfn.IFS(Tabla1[[#This Row],[Porcentaje de muertes]]&lt;0.35,"LEVE",AND(Tabla1[[#This Row],[Porcentaje de muertes]]&gt;0.35,Tabla1[[#This Row],[Porcentaje de muertes]]&lt;0.65),"MEDIO",Tabla1[[#This Row],[Porcentaje de muertes]]&gt;0.65,"GRAVE")</f>
        <v>GRAVE</v>
      </c>
    </row>
    <row r="1271" spans="2:24" x14ac:dyDescent="0.3">
      <c r="B1271" s="9">
        <v>1269</v>
      </c>
      <c r="C1271" s="49">
        <v>18886</v>
      </c>
      <c r="D1271" s="9">
        <f>YEAR(Tabla1[[#This Row],[Date]])</f>
        <v>1951</v>
      </c>
      <c r="E1271" s="9" t="str" cm="1">
        <f t="array" ref="E1271">IFERROR(_xlfn.IFS(AND(D1271&lt;1980,D1271&gt;=1970),"70",AND(D1271&lt;1990,D1271&gt;=1980),"80",AND(D1271&lt;2000,D1271&gt;=1990),"90",AND(D1271&lt;2010,D1271&gt;=2000),"00",AND(D1271&lt;=2019,D1271&gt;=2010),"10"),"1908-1970")</f>
        <v>1908-1970</v>
      </c>
      <c r="F1271" s="3" t="s">
        <v>28931</v>
      </c>
      <c r="G1271" t="s">
        <v>8377</v>
      </c>
      <c r="H1271" t="s">
        <v>9312</v>
      </c>
      <c r="I1271" t="s">
        <v>28931</v>
      </c>
      <c r="J1271" t="s">
        <v>10498</v>
      </c>
      <c r="K1271" t="s">
        <v>10499</v>
      </c>
      <c r="L1271" s="7" t="s">
        <v>10500</v>
      </c>
      <c r="M1271" t="s">
        <v>10501</v>
      </c>
      <c r="N1271">
        <v>28</v>
      </c>
      <c r="O1271">
        <v>24</v>
      </c>
      <c r="P1271">
        <v>4</v>
      </c>
      <c r="Q1271">
        <v>22</v>
      </c>
      <c r="R1271">
        <v>21</v>
      </c>
      <c r="S1271">
        <v>1</v>
      </c>
      <c r="T1271">
        <v>0</v>
      </c>
      <c r="U1271" t="s">
        <v>10502</v>
      </c>
      <c r="V1271">
        <f>Tabla1[[#This Row],[Aboard]]-Tabla1[[#This Row],[Fatalities]]</f>
        <v>6</v>
      </c>
      <c r="W1271" s="50">
        <f>IFERROR(Tabla1[[#This Row],[Fatalities]]/Tabla1[[#This Row],[Aboard]],0)</f>
        <v>0.7857142857142857</v>
      </c>
      <c r="X1271" s="51" t="str" cm="1">
        <f t="array" ref="X1271">_xlfn.IFS(Tabla1[[#This Row],[Porcentaje de muertes]]&lt;0.35,"LEVE",AND(Tabla1[[#This Row],[Porcentaje de muertes]]&gt;0.35,Tabla1[[#This Row],[Porcentaje de muertes]]&lt;0.65),"MEDIO",Tabla1[[#This Row],[Porcentaje de muertes]]&gt;0.65,"GRAVE")</f>
        <v>GRAVE</v>
      </c>
    </row>
    <row r="1272" spans="2:24" x14ac:dyDescent="0.3">
      <c r="B1272" s="9">
        <v>1270</v>
      </c>
      <c r="C1272" s="49">
        <v>18898</v>
      </c>
      <c r="D1272" s="9">
        <f>YEAR(Tabla1[[#This Row],[Date]])</f>
        <v>1951</v>
      </c>
      <c r="E1272" s="9" t="str" cm="1">
        <f t="array" ref="E1272">IFERROR(_xlfn.IFS(AND(D1272&lt;1980,D1272&gt;=1970),"70",AND(D1272&lt;1990,D1272&gt;=1980),"80",AND(D1272&lt;2000,D1272&gt;=1990),"90",AND(D1272&lt;2010,D1272&gt;=2000),"00",AND(D1272&lt;=2019,D1272&gt;=2010),"10"),"1908-1970")</f>
        <v>1908-1970</v>
      </c>
      <c r="F1272" s="3" t="s">
        <v>28931</v>
      </c>
      <c r="G1272" t="s">
        <v>10503</v>
      </c>
      <c r="H1272" t="s">
        <v>10504</v>
      </c>
      <c r="I1272" t="s">
        <v>28931</v>
      </c>
      <c r="J1272" t="s">
        <v>10505</v>
      </c>
      <c r="K1272" t="s">
        <v>10506</v>
      </c>
      <c r="L1272" s="7" t="s">
        <v>10507</v>
      </c>
      <c r="M1272" t="s">
        <v>10508</v>
      </c>
      <c r="N1272">
        <v>14</v>
      </c>
      <c r="O1272">
        <v>0</v>
      </c>
      <c r="P1272">
        <v>14</v>
      </c>
      <c r="Q1272">
        <v>14</v>
      </c>
      <c r="R1272">
        <v>0</v>
      </c>
      <c r="S1272">
        <v>14</v>
      </c>
      <c r="T1272">
        <v>0</v>
      </c>
      <c r="U1272" t="s">
        <v>10509</v>
      </c>
      <c r="V1272">
        <f>Tabla1[[#This Row],[Aboard]]-Tabla1[[#This Row],[Fatalities]]</f>
        <v>0</v>
      </c>
      <c r="W1272" s="50">
        <f>IFERROR(Tabla1[[#This Row],[Fatalities]]/Tabla1[[#This Row],[Aboard]],0)</f>
        <v>1</v>
      </c>
      <c r="X1272" s="51" t="str" cm="1">
        <f t="array" ref="X1272">_xlfn.IFS(Tabla1[[#This Row],[Porcentaje de muertes]]&lt;0.35,"LEVE",AND(Tabla1[[#This Row],[Porcentaje de muertes]]&gt;0.35,Tabla1[[#This Row],[Porcentaje de muertes]]&lt;0.65),"MEDIO",Tabla1[[#This Row],[Porcentaje de muertes]]&gt;0.65,"GRAVE")</f>
        <v>GRAVE</v>
      </c>
    </row>
    <row r="1273" spans="2:24" x14ac:dyDescent="0.3">
      <c r="B1273" s="9">
        <v>1271</v>
      </c>
      <c r="C1273" s="49">
        <v>18900</v>
      </c>
      <c r="D1273" s="9">
        <f>YEAR(Tabla1[[#This Row],[Date]])</f>
        <v>1951</v>
      </c>
      <c r="E1273" s="9" t="str" cm="1">
        <f t="array" ref="E1273">IFERROR(_xlfn.IFS(AND(D1273&lt;1980,D1273&gt;=1970),"70",AND(D1273&lt;1990,D1273&gt;=1980),"80",AND(D1273&lt;2000,D1273&gt;=1990),"90",AND(D1273&lt;2010,D1273&gt;=2000),"00",AND(D1273&lt;=2019,D1273&gt;=2010),"10"),"1908-1970")</f>
        <v>1908-1970</v>
      </c>
      <c r="F1273" s="3" t="s">
        <v>28931</v>
      </c>
      <c r="G1273" t="s">
        <v>10510</v>
      </c>
      <c r="H1273" t="s">
        <v>10511</v>
      </c>
      <c r="I1273" t="s">
        <v>28931</v>
      </c>
      <c r="J1273" t="s">
        <v>28931</v>
      </c>
      <c r="K1273" t="s">
        <v>10512</v>
      </c>
      <c r="L1273" s="7" t="s">
        <v>10513</v>
      </c>
      <c r="M1273">
        <v>33346</v>
      </c>
      <c r="N1273">
        <v>27</v>
      </c>
      <c r="O1273">
        <v>24</v>
      </c>
      <c r="P1273">
        <v>3</v>
      </c>
      <c r="Q1273">
        <v>27</v>
      </c>
      <c r="R1273">
        <v>24</v>
      </c>
      <c r="S1273">
        <v>3</v>
      </c>
      <c r="T1273">
        <v>0</v>
      </c>
      <c r="U1273" t="s">
        <v>10514</v>
      </c>
      <c r="V1273">
        <f>Tabla1[[#This Row],[Aboard]]-Tabla1[[#This Row],[Fatalities]]</f>
        <v>0</v>
      </c>
      <c r="W1273" s="50">
        <f>IFERROR(Tabla1[[#This Row],[Fatalities]]/Tabla1[[#This Row],[Aboard]],0)</f>
        <v>1</v>
      </c>
      <c r="X1273" s="51" t="str" cm="1">
        <f t="array" ref="X1273">_xlfn.IFS(Tabla1[[#This Row],[Porcentaje de muertes]]&lt;0.35,"LEVE",AND(Tabla1[[#This Row],[Porcentaje de muertes]]&gt;0.35,Tabla1[[#This Row],[Porcentaje de muertes]]&lt;0.65),"MEDIO",Tabla1[[#This Row],[Porcentaje de muertes]]&gt;0.65,"GRAVE")</f>
        <v>GRAVE</v>
      </c>
    </row>
    <row r="1274" spans="2:24" x14ac:dyDescent="0.3">
      <c r="B1274" s="9">
        <v>1272</v>
      </c>
      <c r="C1274" s="49">
        <v>18850</v>
      </c>
      <c r="D1274" s="9">
        <f>YEAR(Tabla1[[#This Row],[Date]])</f>
        <v>1951</v>
      </c>
      <c r="E1274" s="9" t="str" cm="1">
        <f t="array" ref="E1274">IFERROR(_xlfn.IFS(AND(D1274&lt;1980,D1274&gt;=1970),"70",AND(D1274&lt;1990,D1274&gt;=1980),"80",AND(D1274&lt;2000,D1274&gt;=1990),"90",AND(D1274&lt;2010,D1274&gt;=2000),"00",AND(D1274&lt;=2019,D1274&gt;=2010),"10"),"1908-1970")</f>
        <v>1908-1970</v>
      </c>
      <c r="F1274" s="3" t="s">
        <v>28931</v>
      </c>
      <c r="G1274" t="s">
        <v>10515</v>
      </c>
      <c r="H1274" t="s">
        <v>10516</v>
      </c>
      <c r="I1274" t="s">
        <v>28931</v>
      </c>
      <c r="J1274" t="s">
        <v>10517</v>
      </c>
      <c r="K1274" t="s">
        <v>7057</v>
      </c>
      <c r="L1274" s="7" t="s">
        <v>10518</v>
      </c>
      <c r="M1274" t="s">
        <v>10519</v>
      </c>
      <c r="N1274">
        <v>8</v>
      </c>
      <c r="O1274">
        <v>5</v>
      </c>
      <c r="P1274">
        <v>3</v>
      </c>
      <c r="Q1274">
        <v>8</v>
      </c>
      <c r="R1274">
        <v>5</v>
      </c>
      <c r="S1274">
        <v>3</v>
      </c>
      <c r="T1274">
        <v>0</v>
      </c>
      <c r="U1274" t="s">
        <v>10520</v>
      </c>
      <c r="V1274">
        <f>Tabla1[[#This Row],[Aboard]]-Tabla1[[#This Row],[Fatalities]]</f>
        <v>0</v>
      </c>
      <c r="W1274" s="50">
        <f>IFERROR(Tabla1[[#This Row],[Fatalities]]/Tabla1[[#This Row],[Aboard]],0)</f>
        <v>1</v>
      </c>
      <c r="X1274" s="51" t="str" cm="1">
        <f t="array" ref="X1274">_xlfn.IFS(Tabla1[[#This Row],[Porcentaje de muertes]]&lt;0.35,"LEVE",AND(Tabla1[[#This Row],[Porcentaje de muertes]]&gt;0.35,Tabla1[[#This Row],[Porcentaje de muertes]]&lt;0.65),"MEDIO",Tabla1[[#This Row],[Porcentaje de muertes]]&gt;0.65,"GRAVE")</f>
        <v>GRAVE</v>
      </c>
    </row>
    <row r="1275" spans="2:24" x14ac:dyDescent="0.3">
      <c r="B1275" s="9">
        <v>1273</v>
      </c>
      <c r="C1275" s="49">
        <v>18916</v>
      </c>
      <c r="D1275" s="9">
        <f>YEAR(Tabla1[[#This Row],[Date]])</f>
        <v>1951</v>
      </c>
      <c r="E1275" s="9" t="str" cm="1">
        <f t="array" ref="E1275">IFERROR(_xlfn.IFS(AND(D1275&lt;1980,D1275&gt;=1970),"70",AND(D1275&lt;1990,D1275&gt;=1980),"80",AND(D1275&lt;2000,D1275&gt;=1990),"90",AND(D1275&lt;2010,D1275&gt;=2000),"00",AND(D1275&lt;=2019,D1275&gt;=2010),"10"),"1908-1970")</f>
        <v>1908-1970</v>
      </c>
      <c r="F1275" s="3" t="s">
        <v>28931</v>
      </c>
      <c r="G1275" t="s">
        <v>10521</v>
      </c>
      <c r="H1275" t="s">
        <v>7987</v>
      </c>
      <c r="I1275" t="s">
        <v>28931</v>
      </c>
      <c r="J1275" t="s">
        <v>10522</v>
      </c>
      <c r="K1275" t="s">
        <v>10523</v>
      </c>
      <c r="L1275" s="7" t="s">
        <v>10524</v>
      </c>
      <c r="M1275">
        <v>16224</v>
      </c>
      <c r="N1275">
        <v>12</v>
      </c>
      <c r="O1275">
        <v>9</v>
      </c>
      <c r="P1275">
        <v>3</v>
      </c>
      <c r="Q1275">
        <v>12</v>
      </c>
      <c r="R1275">
        <v>9</v>
      </c>
      <c r="S1275">
        <v>3</v>
      </c>
      <c r="T1275">
        <v>0</v>
      </c>
      <c r="U1275" t="s">
        <v>10525</v>
      </c>
      <c r="V1275">
        <f>Tabla1[[#This Row],[Aboard]]-Tabla1[[#This Row],[Fatalities]]</f>
        <v>0</v>
      </c>
      <c r="W1275" s="50">
        <f>IFERROR(Tabla1[[#This Row],[Fatalities]]/Tabla1[[#This Row],[Aboard]],0)</f>
        <v>1</v>
      </c>
      <c r="X1275" s="51" t="str" cm="1">
        <f t="array" ref="X1275">_xlfn.IFS(Tabla1[[#This Row],[Porcentaje de muertes]]&lt;0.35,"LEVE",AND(Tabla1[[#This Row],[Porcentaje de muertes]]&gt;0.35,Tabla1[[#This Row],[Porcentaje de muertes]]&lt;0.65),"MEDIO",Tabla1[[#This Row],[Porcentaje de muertes]]&gt;0.65,"GRAVE")</f>
        <v>GRAVE</v>
      </c>
    </row>
    <row r="1276" spans="2:24" x14ac:dyDescent="0.3">
      <c r="B1276" s="9">
        <v>1274</v>
      </c>
      <c r="C1276" s="49">
        <v>18916</v>
      </c>
      <c r="D1276" s="9">
        <f>YEAR(Tabla1[[#This Row],[Date]])</f>
        <v>1951</v>
      </c>
      <c r="E1276" s="9" t="str" cm="1">
        <f t="array" ref="E1276">IFERROR(_xlfn.IFS(AND(D1276&lt;1980,D1276&gt;=1970),"70",AND(D1276&lt;1990,D1276&gt;=1980),"80",AND(D1276&lt;2000,D1276&gt;=1990),"90",AND(D1276&lt;2010,D1276&gt;=2000),"00",AND(D1276&lt;=2019,D1276&gt;=2010),"10"),"1908-1970")</f>
        <v>1908-1970</v>
      </c>
      <c r="F1276" s="3" t="s">
        <v>28931</v>
      </c>
      <c r="G1276" t="s">
        <v>10526</v>
      </c>
      <c r="H1276" t="s">
        <v>7638</v>
      </c>
      <c r="I1276" t="s">
        <v>28931</v>
      </c>
      <c r="J1276" t="s">
        <v>10527</v>
      </c>
      <c r="K1276" t="s">
        <v>7057</v>
      </c>
      <c r="L1276" s="7" t="s">
        <v>10528</v>
      </c>
      <c r="M1276">
        <v>6891</v>
      </c>
      <c r="N1276">
        <v>17</v>
      </c>
      <c r="O1276">
        <v>13</v>
      </c>
      <c r="P1276">
        <v>4</v>
      </c>
      <c r="Q1276">
        <v>17</v>
      </c>
      <c r="R1276">
        <v>13</v>
      </c>
      <c r="S1276">
        <v>4</v>
      </c>
      <c r="T1276">
        <v>0</v>
      </c>
      <c r="U1276" t="s">
        <v>10529</v>
      </c>
      <c r="V1276">
        <f>Tabla1[[#This Row],[Aboard]]-Tabla1[[#This Row],[Fatalities]]</f>
        <v>0</v>
      </c>
      <c r="W1276" s="50">
        <f>IFERROR(Tabla1[[#This Row],[Fatalities]]/Tabla1[[#This Row],[Aboard]],0)</f>
        <v>1</v>
      </c>
      <c r="X1276" s="51" t="str" cm="1">
        <f t="array" ref="X1276">_xlfn.IFS(Tabla1[[#This Row],[Porcentaje de muertes]]&lt;0.35,"LEVE",AND(Tabla1[[#This Row],[Porcentaje de muertes]]&gt;0.35,Tabla1[[#This Row],[Porcentaje de muertes]]&lt;0.65),"MEDIO",Tabla1[[#This Row],[Porcentaje de muertes]]&gt;0.65,"GRAVE")</f>
        <v>GRAVE</v>
      </c>
    </row>
    <row r="1277" spans="2:24" x14ac:dyDescent="0.3">
      <c r="B1277" s="9">
        <v>1275</v>
      </c>
      <c r="C1277" s="49">
        <v>18918</v>
      </c>
      <c r="D1277" s="9">
        <f>YEAR(Tabla1[[#This Row],[Date]])</f>
        <v>1951</v>
      </c>
      <c r="E1277" s="9" t="str" cm="1">
        <f t="array" ref="E1277">IFERROR(_xlfn.IFS(AND(D1277&lt;1980,D1277&gt;=1970),"70",AND(D1277&lt;1990,D1277&gt;=1980),"80",AND(D1277&lt;2000,D1277&gt;=1990),"90",AND(D1277&lt;2010,D1277&gt;=2000),"00",AND(D1277&lt;=2019,D1277&gt;=2010),"10"),"1908-1970")</f>
        <v>1908-1970</v>
      </c>
      <c r="F1277" s="3">
        <v>0.78819444444444453</v>
      </c>
      <c r="G1277" t="s">
        <v>10530</v>
      </c>
      <c r="H1277" t="s">
        <v>8745</v>
      </c>
      <c r="I1277" t="s">
        <v>28931</v>
      </c>
      <c r="J1277" t="s">
        <v>10531</v>
      </c>
      <c r="K1277" t="s">
        <v>9179</v>
      </c>
      <c r="L1277" s="7" t="s">
        <v>10532</v>
      </c>
      <c r="M1277">
        <v>400</v>
      </c>
      <c r="N1277">
        <v>23</v>
      </c>
      <c r="O1277">
        <v>20</v>
      </c>
      <c r="P1277">
        <v>3</v>
      </c>
      <c r="Q1277">
        <v>23</v>
      </c>
      <c r="R1277">
        <v>20</v>
      </c>
      <c r="S1277">
        <v>3</v>
      </c>
      <c r="T1277">
        <v>0</v>
      </c>
      <c r="U1277" t="s">
        <v>10533</v>
      </c>
      <c r="V1277">
        <f>Tabla1[[#This Row],[Aboard]]-Tabla1[[#This Row],[Fatalities]]</f>
        <v>0</v>
      </c>
      <c r="W1277" s="50">
        <f>IFERROR(Tabla1[[#This Row],[Fatalities]]/Tabla1[[#This Row],[Aboard]],0)</f>
        <v>1</v>
      </c>
      <c r="X1277" s="51" t="str" cm="1">
        <f t="array" ref="X1277">_xlfn.IFS(Tabla1[[#This Row],[Porcentaje de muertes]]&lt;0.35,"LEVE",AND(Tabla1[[#This Row],[Porcentaje de muertes]]&gt;0.35,Tabla1[[#This Row],[Porcentaje de muertes]]&lt;0.65),"MEDIO",Tabla1[[#This Row],[Porcentaje de muertes]]&gt;0.65,"GRAVE")</f>
        <v>GRAVE</v>
      </c>
    </row>
    <row r="1278" spans="2:24" x14ac:dyDescent="0.3">
      <c r="B1278" s="9">
        <v>1276</v>
      </c>
      <c r="C1278" s="49">
        <v>18923</v>
      </c>
      <c r="D1278" s="9">
        <f>YEAR(Tabla1[[#This Row],[Date]])</f>
        <v>1951</v>
      </c>
      <c r="E1278" s="9" t="str" cm="1">
        <f t="array" ref="E1278">IFERROR(_xlfn.IFS(AND(D1278&lt;1980,D1278&gt;=1970),"70",AND(D1278&lt;1990,D1278&gt;=1980),"80",AND(D1278&lt;2000,D1278&gt;=1990),"90",AND(D1278&lt;2010,D1278&gt;=2000),"00",AND(D1278&lt;=2019,D1278&gt;=2010),"10"),"1908-1970")</f>
        <v>1908-1970</v>
      </c>
      <c r="F1278" s="3" t="s">
        <v>28931</v>
      </c>
      <c r="G1278" t="s">
        <v>10534</v>
      </c>
      <c r="H1278" t="s">
        <v>9280</v>
      </c>
      <c r="I1278" t="s">
        <v>28931</v>
      </c>
      <c r="J1278" t="s">
        <v>10535</v>
      </c>
      <c r="K1278" t="s">
        <v>7057</v>
      </c>
      <c r="L1278" s="7" t="s">
        <v>10536</v>
      </c>
      <c r="M1278">
        <v>13014</v>
      </c>
      <c r="N1278">
        <v>12</v>
      </c>
      <c r="O1278">
        <v>9</v>
      </c>
      <c r="P1278">
        <v>3</v>
      </c>
      <c r="Q1278">
        <v>12</v>
      </c>
      <c r="R1278">
        <v>9</v>
      </c>
      <c r="S1278">
        <v>3</v>
      </c>
      <c r="T1278">
        <v>0</v>
      </c>
      <c r="U1278" t="s">
        <v>7476</v>
      </c>
      <c r="V1278">
        <f>Tabla1[[#This Row],[Aboard]]-Tabla1[[#This Row],[Fatalities]]</f>
        <v>0</v>
      </c>
      <c r="W1278" s="50">
        <f>IFERROR(Tabla1[[#This Row],[Fatalities]]/Tabla1[[#This Row],[Aboard]],0)</f>
        <v>1</v>
      </c>
      <c r="X1278" s="51" t="str" cm="1">
        <f t="array" ref="X1278">_xlfn.IFS(Tabla1[[#This Row],[Porcentaje de muertes]]&lt;0.35,"LEVE",AND(Tabla1[[#This Row],[Porcentaje de muertes]]&gt;0.35,Tabla1[[#This Row],[Porcentaje de muertes]]&lt;0.65),"MEDIO",Tabla1[[#This Row],[Porcentaje de muertes]]&gt;0.65,"GRAVE")</f>
        <v>GRAVE</v>
      </c>
    </row>
    <row r="1279" spans="2:24" x14ac:dyDescent="0.3">
      <c r="B1279" s="9">
        <v>1277</v>
      </c>
      <c r="C1279" s="49">
        <v>18928</v>
      </c>
      <c r="D1279" s="9">
        <f>YEAR(Tabla1[[#This Row],[Date]])</f>
        <v>1951</v>
      </c>
      <c r="E1279" s="9" t="str" cm="1">
        <f t="array" ref="E1279">IFERROR(_xlfn.IFS(AND(D1279&lt;1980,D1279&gt;=1970),"70",AND(D1279&lt;1990,D1279&gt;=1980),"80",AND(D1279&lt;2000,D1279&gt;=1990),"90",AND(D1279&lt;2010,D1279&gt;=2000),"00",AND(D1279&lt;=2019,D1279&gt;=2010),"10"),"1908-1970")</f>
        <v>1908-1970</v>
      </c>
      <c r="F1279" s="3">
        <v>0.79166666666666663</v>
      </c>
      <c r="G1279" t="s">
        <v>10537</v>
      </c>
      <c r="H1279" t="s">
        <v>10538</v>
      </c>
      <c r="I1279" t="s">
        <v>28931</v>
      </c>
      <c r="J1279" t="s">
        <v>10539</v>
      </c>
      <c r="K1279" t="s">
        <v>7826</v>
      </c>
      <c r="L1279" s="7" t="s">
        <v>10540</v>
      </c>
      <c r="M1279" t="s">
        <v>28931</v>
      </c>
      <c r="N1279">
        <v>29</v>
      </c>
      <c r="O1279">
        <v>25</v>
      </c>
      <c r="P1279">
        <v>4</v>
      </c>
      <c r="Q1279">
        <v>27</v>
      </c>
      <c r="R1279">
        <v>23</v>
      </c>
      <c r="S1279">
        <v>4</v>
      </c>
      <c r="T1279">
        <v>0</v>
      </c>
      <c r="U1279" t="s">
        <v>10541</v>
      </c>
      <c r="V1279">
        <f>Tabla1[[#This Row],[Aboard]]-Tabla1[[#This Row],[Fatalities]]</f>
        <v>2</v>
      </c>
      <c r="W1279" s="50">
        <f>IFERROR(Tabla1[[#This Row],[Fatalities]]/Tabla1[[#This Row],[Aboard]],0)</f>
        <v>0.93103448275862066</v>
      </c>
      <c r="X1279" s="51" t="str" cm="1">
        <f t="array" ref="X1279">_xlfn.IFS(Tabla1[[#This Row],[Porcentaje de muertes]]&lt;0.35,"LEVE",AND(Tabla1[[#This Row],[Porcentaje de muertes]]&gt;0.35,Tabla1[[#This Row],[Porcentaje de muertes]]&lt;0.65),"MEDIO",Tabla1[[#This Row],[Porcentaje de muertes]]&gt;0.65,"GRAVE")</f>
        <v>GRAVE</v>
      </c>
    </row>
    <row r="1280" spans="2:24" x14ac:dyDescent="0.3">
      <c r="B1280" s="9">
        <v>1278</v>
      </c>
      <c r="C1280" s="49">
        <v>18759</v>
      </c>
      <c r="D1280" s="9">
        <f>YEAR(Tabla1[[#This Row],[Date]])</f>
        <v>1951</v>
      </c>
      <c r="E1280" s="9" t="str" cm="1">
        <f t="array" ref="E1280">IFERROR(_xlfn.IFS(AND(D1280&lt;1980,D1280&gt;=1970),"70",AND(D1280&lt;1990,D1280&gt;=1980),"80",AND(D1280&lt;2000,D1280&gt;=1990),"90",AND(D1280&lt;2010,D1280&gt;=2000),"00",AND(D1280&lt;=2019,D1280&gt;=2010),"10"),"1908-1970")</f>
        <v>1908-1970</v>
      </c>
      <c r="F1280" s="3">
        <v>0.39513888888888887</v>
      </c>
      <c r="G1280" t="s">
        <v>7289</v>
      </c>
      <c r="H1280" t="s">
        <v>9888</v>
      </c>
      <c r="I1280" t="s">
        <v>10542</v>
      </c>
      <c r="J1280" t="s">
        <v>10543</v>
      </c>
      <c r="K1280" t="s">
        <v>9582</v>
      </c>
      <c r="L1280" s="7" t="s">
        <v>10544</v>
      </c>
      <c r="M1280">
        <v>9160</v>
      </c>
      <c r="N1280">
        <v>29</v>
      </c>
      <c r="O1280">
        <v>26</v>
      </c>
      <c r="P1280">
        <v>3</v>
      </c>
      <c r="Q1280">
        <v>1</v>
      </c>
      <c r="R1280">
        <v>1</v>
      </c>
      <c r="S1280">
        <v>0</v>
      </c>
      <c r="T1280">
        <v>0</v>
      </c>
      <c r="U1280" t="s">
        <v>10545</v>
      </c>
      <c r="V1280">
        <f>Tabla1[[#This Row],[Aboard]]-Tabla1[[#This Row],[Fatalities]]</f>
        <v>28</v>
      </c>
      <c r="W1280" s="50">
        <f>IFERROR(Tabla1[[#This Row],[Fatalities]]/Tabla1[[#This Row],[Aboard]],0)</f>
        <v>3.4482758620689655E-2</v>
      </c>
      <c r="X1280" s="51" t="str" cm="1">
        <f t="array" ref="X1280">_xlfn.IFS(Tabla1[[#This Row],[Porcentaje de muertes]]&lt;0.35,"LEVE",AND(Tabla1[[#This Row],[Porcentaje de muertes]]&gt;0.35,Tabla1[[#This Row],[Porcentaje de muertes]]&lt;0.65),"MEDIO",Tabla1[[#This Row],[Porcentaje de muertes]]&gt;0.65,"GRAVE")</f>
        <v>LEVE</v>
      </c>
    </row>
    <row r="1281" spans="2:24" x14ac:dyDescent="0.3">
      <c r="B1281" s="9">
        <v>1279</v>
      </c>
      <c r="C1281" s="49">
        <v>18945</v>
      </c>
      <c r="D1281" s="9">
        <f>YEAR(Tabla1[[#This Row],[Date]])</f>
        <v>1951</v>
      </c>
      <c r="E1281" s="9" t="str" cm="1">
        <f t="array" ref="E1281">IFERROR(_xlfn.IFS(AND(D1281&lt;1980,D1281&gt;=1970),"70",AND(D1281&lt;1990,D1281&gt;=1980),"80",AND(D1281&lt;2000,D1281&gt;=1990),"90",AND(D1281&lt;2010,D1281&gt;=2000),"00",AND(D1281&lt;=2019,D1281&gt;=2010),"10"),"1908-1970")</f>
        <v>1908-1970</v>
      </c>
      <c r="F1281" s="3">
        <v>0.54166666666666663</v>
      </c>
      <c r="G1281" t="s">
        <v>10546</v>
      </c>
      <c r="H1281" t="s">
        <v>10547</v>
      </c>
      <c r="I1281" t="s">
        <v>28931</v>
      </c>
      <c r="J1281" t="s">
        <v>10548</v>
      </c>
      <c r="K1281" t="s">
        <v>10549</v>
      </c>
      <c r="L1281" s="7" t="s">
        <v>10550</v>
      </c>
      <c r="M1281">
        <v>10171</v>
      </c>
      <c r="N1281">
        <v>36</v>
      </c>
      <c r="O1281">
        <v>32</v>
      </c>
      <c r="P1281">
        <v>4</v>
      </c>
      <c r="Q1281">
        <v>36</v>
      </c>
      <c r="R1281">
        <v>32</v>
      </c>
      <c r="S1281">
        <v>4</v>
      </c>
      <c r="T1281">
        <v>0</v>
      </c>
      <c r="U1281" t="s">
        <v>10551</v>
      </c>
      <c r="V1281">
        <f>Tabla1[[#This Row],[Aboard]]-Tabla1[[#This Row],[Fatalities]]</f>
        <v>0</v>
      </c>
      <c r="W1281" s="50">
        <f>IFERROR(Tabla1[[#This Row],[Fatalities]]/Tabla1[[#This Row],[Aboard]],0)</f>
        <v>1</v>
      </c>
      <c r="X1281" s="51" t="str" cm="1">
        <f t="array" ref="X1281">_xlfn.IFS(Tabla1[[#This Row],[Porcentaje de muertes]]&lt;0.35,"LEVE",AND(Tabla1[[#This Row],[Porcentaje de muertes]]&gt;0.35,Tabla1[[#This Row],[Porcentaje de muertes]]&lt;0.65),"MEDIO",Tabla1[[#This Row],[Porcentaje de muertes]]&gt;0.65,"GRAVE")</f>
        <v>GRAVE</v>
      </c>
    </row>
    <row r="1282" spans="2:24" x14ac:dyDescent="0.3">
      <c r="B1282" s="9">
        <v>1280</v>
      </c>
      <c r="C1282" s="49">
        <v>18947</v>
      </c>
      <c r="D1282" s="9">
        <f>YEAR(Tabla1[[#This Row],[Date]])</f>
        <v>1951</v>
      </c>
      <c r="E1282" s="9" t="str" cm="1">
        <f t="array" ref="E1282">IFERROR(_xlfn.IFS(AND(D1282&lt;1980,D1282&gt;=1970),"70",AND(D1282&lt;1990,D1282&gt;=1980),"80",AND(D1282&lt;2000,D1282&gt;=1990),"90",AND(D1282&lt;2010,D1282&gt;=2000),"00",AND(D1282&lt;=2019,D1282&gt;=2010),"10"),"1908-1970")</f>
        <v>1908-1970</v>
      </c>
      <c r="F1282" s="3">
        <v>0.375</v>
      </c>
      <c r="G1282" t="s">
        <v>10552</v>
      </c>
      <c r="H1282" t="s">
        <v>7237</v>
      </c>
      <c r="I1282" t="s">
        <v>28931</v>
      </c>
      <c r="J1282" t="s">
        <v>10553</v>
      </c>
      <c r="K1282" t="s">
        <v>10554</v>
      </c>
      <c r="L1282" s="7" t="s">
        <v>10555</v>
      </c>
      <c r="M1282" t="s">
        <v>10556</v>
      </c>
      <c r="N1282">
        <v>18</v>
      </c>
      <c r="O1282">
        <v>14</v>
      </c>
      <c r="P1282">
        <v>4</v>
      </c>
      <c r="Q1282">
        <v>18</v>
      </c>
      <c r="R1282">
        <v>14</v>
      </c>
      <c r="S1282">
        <v>4</v>
      </c>
      <c r="T1282">
        <v>0</v>
      </c>
      <c r="U1282" t="s">
        <v>10557</v>
      </c>
      <c r="V1282">
        <f>Tabla1[[#This Row],[Aboard]]-Tabla1[[#This Row],[Fatalities]]</f>
        <v>0</v>
      </c>
      <c r="W1282" s="50">
        <f>IFERROR(Tabla1[[#This Row],[Fatalities]]/Tabla1[[#This Row],[Aboard]],0)</f>
        <v>1</v>
      </c>
      <c r="X1282" s="51" t="str" cm="1">
        <f t="array" ref="X1282">_xlfn.IFS(Tabla1[[#This Row],[Porcentaje de muertes]]&lt;0.35,"LEVE",AND(Tabla1[[#This Row],[Porcentaje de muertes]]&gt;0.35,Tabla1[[#This Row],[Porcentaje de muertes]]&lt;0.65),"MEDIO",Tabla1[[#This Row],[Porcentaje de muertes]]&gt;0.65,"GRAVE")</f>
        <v>GRAVE</v>
      </c>
    </row>
    <row r="1283" spans="2:24" x14ac:dyDescent="0.3">
      <c r="B1283" s="9">
        <v>1281</v>
      </c>
      <c r="C1283" s="49">
        <v>18949</v>
      </c>
      <c r="D1283" s="9">
        <f>YEAR(Tabla1[[#This Row],[Date]])</f>
        <v>1951</v>
      </c>
      <c r="E1283" s="9" t="str" cm="1">
        <f t="array" ref="E1283">IFERROR(_xlfn.IFS(AND(D1283&lt;1980,D1283&gt;=1970),"70",AND(D1283&lt;1990,D1283&gt;=1980),"80",AND(D1283&lt;2000,D1283&gt;=1990),"90",AND(D1283&lt;2010,D1283&gt;=2000),"00",AND(D1283&lt;=2019,D1283&gt;=2010),"10"),"1908-1970")</f>
        <v>1908-1970</v>
      </c>
      <c r="F1283" s="3">
        <v>0.68263888888888891</v>
      </c>
      <c r="G1283" t="s">
        <v>9806</v>
      </c>
      <c r="H1283" t="s">
        <v>6541</v>
      </c>
      <c r="I1283" t="s">
        <v>28931</v>
      </c>
      <c r="J1283" t="s">
        <v>9807</v>
      </c>
      <c r="K1283" t="s">
        <v>9305</v>
      </c>
      <c r="L1283" s="7" t="s">
        <v>10558</v>
      </c>
      <c r="M1283">
        <v>93013112</v>
      </c>
      <c r="N1283">
        <v>23</v>
      </c>
      <c r="O1283">
        <v>19</v>
      </c>
      <c r="P1283">
        <v>4</v>
      </c>
      <c r="Q1283">
        <v>23</v>
      </c>
      <c r="R1283">
        <v>19</v>
      </c>
      <c r="S1283">
        <v>4</v>
      </c>
      <c r="T1283">
        <v>0</v>
      </c>
      <c r="U1283" t="s">
        <v>10559</v>
      </c>
      <c r="V1283">
        <f>Tabla1[[#This Row],[Aboard]]-Tabla1[[#This Row],[Fatalities]]</f>
        <v>0</v>
      </c>
      <c r="W1283" s="50">
        <f>IFERROR(Tabla1[[#This Row],[Fatalities]]/Tabla1[[#This Row],[Aboard]],0)</f>
        <v>1</v>
      </c>
      <c r="X1283" s="51" t="str" cm="1">
        <f t="array" ref="X1283">_xlfn.IFS(Tabla1[[#This Row],[Porcentaje de muertes]]&lt;0.35,"LEVE",AND(Tabla1[[#This Row],[Porcentaje de muertes]]&gt;0.35,Tabla1[[#This Row],[Porcentaje de muertes]]&lt;0.65),"MEDIO",Tabla1[[#This Row],[Porcentaje de muertes]]&gt;0.65,"GRAVE")</f>
        <v>GRAVE</v>
      </c>
    </row>
    <row r="1284" spans="2:24" x14ac:dyDescent="0.3">
      <c r="B1284" s="9">
        <v>1282</v>
      </c>
      <c r="C1284" s="49">
        <v>18951</v>
      </c>
      <c r="D1284" s="9">
        <f>YEAR(Tabla1[[#This Row],[Date]])</f>
        <v>1951</v>
      </c>
      <c r="E1284" s="9" t="str" cm="1">
        <f t="array" ref="E1284">IFERROR(_xlfn.IFS(AND(D1284&lt;1980,D1284&gt;=1970),"70",AND(D1284&lt;1990,D1284&gt;=1980),"80",AND(D1284&lt;2000,D1284&gt;=1990),"90",AND(D1284&lt;2010,D1284&gt;=2000),"00",AND(D1284&lt;=2019,D1284&gt;=2010),"10"),"1908-1970")</f>
        <v>1908-1970</v>
      </c>
      <c r="F1284" s="3" t="s">
        <v>28931</v>
      </c>
      <c r="G1284" t="s">
        <v>6648</v>
      </c>
      <c r="H1284" t="s">
        <v>10560</v>
      </c>
      <c r="I1284" t="s">
        <v>28931</v>
      </c>
      <c r="J1284" t="s">
        <v>10561</v>
      </c>
      <c r="K1284" t="s">
        <v>7057</v>
      </c>
      <c r="L1284" s="7" t="s">
        <v>10562</v>
      </c>
      <c r="M1284">
        <v>7352</v>
      </c>
      <c r="N1284">
        <v>5</v>
      </c>
      <c r="O1284">
        <v>4</v>
      </c>
      <c r="P1284">
        <v>1</v>
      </c>
      <c r="Q1284">
        <v>5</v>
      </c>
      <c r="R1284">
        <v>4</v>
      </c>
      <c r="S1284">
        <v>1</v>
      </c>
      <c r="T1284">
        <v>0</v>
      </c>
      <c r="U1284" t="s">
        <v>10563</v>
      </c>
      <c r="V1284">
        <f>Tabla1[[#This Row],[Aboard]]-Tabla1[[#This Row],[Fatalities]]</f>
        <v>0</v>
      </c>
      <c r="W1284" s="50">
        <f>IFERROR(Tabla1[[#This Row],[Fatalities]]/Tabla1[[#This Row],[Aboard]],0)</f>
        <v>1</v>
      </c>
      <c r="X1284" s="51" t="str" cm="1">
        <f t="array" ref="X1284">_xlfn.IFS(Tabla1[[#This Row],[Porcentaje de muertes]]&lt;0.35,"LEVE",AND(Tabla1[[#This Row],[Porcentaje de muertes]]&gt;0.35,Tabla1[[#This Row],[Porcentaje de muertes]]&lt;0.65),"MEDIO",Tabla1[[#This Row],[Porcentaje de muertes]]&gt;0.65,"GRAVE")</f>
        <v>GRAVE</v>
      </c>
    </row>
    <row r="1285" spans="2:24" x14ac:dyDescent="0.3">
      <c r="B1285" s="9">
        <v>1283</v>
      </c>
      <c r="C1285" s="49">
        <v>18953</v>
      </c>
      <c r="D1285" s="9">
        <f>YEAR(Tabla1[[#This Row],[Date]])</f>
        <v>1951</v>
      </c>
      <c r="E1285" s="9" t="str" cm="1">
        <f t="array" ref="E1285">IFERROR(_xlfn.IFS(AND(D1285&lt;1980,D1285&gt;=1970),"70",AND(D1285&lt;1990,D1285&gt;=1980),"80",AND(D1285&lt;2000,D1285&gt;=1990),"90",AND(D1285&lt;2010,D1285&gt;=2000),"00",AND(D1285&lt;=2019,D1285&gt;=2010),"10"),"1908-1970")</f>
        <v>1908-1970</v>
      </c>
      <c r="F1285" s="3">
        <v>0.32291666666666669</v>
      </c>
      <c r="G1285" t="s">
        <v>9937</v>
      </c>
      <c r="H1285" t="s">
        <v>10053</v>
      </c>
      <c r="I1285" t="s">
        <v>28931</v>
      </c>
      <c r="J1285" t="s">
        <v>10564</v>
      </c>
      <c r="K1285" t="s">
        <v>7057</v>
      </c>
      <c r="L1285" s="7" t="s">
        <v>10565</v>
      </c>
      <c r="M1285">
        <v>13265</v>
      </c>
      <c r="N1285">
        <v>17</v>
      </c>
      <c r="O1285">
        <v>13</v>
      </c>
      <c r="P1285">
        <v>4</v>
      </c>
      <c r="Q1285">
        <v>16</v>
      </c>
      <c r="R1285">
        <v>12</v>
      </c>
      <c r="S1285">
        <v>4</v>
      </c>
      <c r="T1285">
        <v>0</v>
      </c>
      <c r="U1285" t="s">
        <v>10566</v>
      </c>
      <c r="V1285">
        <f>Tabla1[[#This Row],[Aboard]]-Tabla1[[#This Row],[Fatalities]]</f>
        <v>1</v>
      </c>
      <c r="W1285" s="50">
        <f>IFERROR(Tabla1[[#This Row],[Fatalities]]/Tabla1[[#This Row],[Aboard]],0)</f>
        <v>0.94117647058823528</v>
      </c>
      <c r="X1285" s="51" t="str" cm="1">
        <f t="array" ref="X1285">_xlfn.IFS(Tabla1[[#This Row],[Porcentaje de muertes]]&lt;0.35,"LEVE",AND(Tabla1[[#This Row],[Porcentaje de muertes]]&gt;0.35,Tabla1[[#This Row],[Porcentaje de muertes]]&lt;0.65),"MEDIO",Tabla1[[#This Row],[Porcentaje de muertes]]&gt;0.65,"GRAVE")</f>
        <v>GRAVE</v>
      </c>
    </row>
    <row r="1286" spans="2:24" x14ac:dyDescent="0.3">
      <c r="B1286" s="9">
        <v>1284</v>
      </c>
      <c r="C1286" s="49">
        <v>18956</v>
      </c>
      <c r="D1286" s="9">
        <f>YEAR(Tabla1[[#This Row],[Date]])</f>
        <v>1951</v>
      </c>
      <c r="E1286" s="9" t="str" cm="1">
        <f t="array" ref="E1286">IFERROR(_xlfn.IFS(AND(D1286&lt;1980,D1286&gt;=1970),"70",AND(D1286&lt;1990,D1286&gt;=1980),"80",AND(D1286&lt;2000,D1286&gt;=1990),"90",AND(D1286&lt;2010,D1286&gt;=2000),"00",AND(D1286&lt;=2019,D1286&gt;=2010),"10"),"1908-1970")</f>
        <v>1908-1970</v>
      </c>
      <c r="F1286" s="3">
        <v>0.25</v>
      </c>
      <c r="G1286" t="s">
        <v>10567</v>
      </c>
      <c r="H1286" t="s">
        <v>10568</v>
      </c>
      <c r="I1286" t="s">
        <v>28931</v>
      </c>
      <c r="J1286" t="s">
        <v>10569</v>
      </c>
      <c r="K1286" t="s">
        <v>8822</v>
      </c>
      <c r="L1286" s="7" t="s">
        <v>10570</v>
      </c>
      <c r="M1286">
        <v>10512</v>
      </c>
      <c r="N1286">
        <v>7</v>
      </c>
      <c r="O1286">
        <v>0</v>
      </c>
      <c r="P1286">
        <v>7</v>
      </c>
      <c r="Q1286">
        <v>6</v>
      </c>
      <c r="R1286">
        <v>0</v>
      </c>
      <c r="S1286">
        <v>6</v>
      </c>
      <c r="T1286">
        <v>0</v>
      </c>
      <c r="U1286" t="s">
        <v>10571</v>
      </c>
      <c r="V1286">
        <f>Tabla1[[#This Row],[Aboard]]-Tabla1[[#This Row],[Fatalities]]</f>
        <v>1</v>
      </c>
      <c r="W1286" s="50">
        <f>IFERROR(Tabla1[[#This Row],[Fatalities]]/Tabla1[[#This Row],[Aboard]],0)</f>
        <v>0.8571428571428571</v>
      </c>
      <c r="X1286" s="51" t="str" cm="1">
        <f t="array" ref="X1286">_xlfn.IFS(Tabla1[[#This Row],[Porcentaje de muertes]]&lt;0.35,"LEVE",AND(Tabla1[[#This Row],[Porcentaje de muertes]]&gt;0.35,Tabla1[[#This Row],[Porcentaje de muertes]]&lt;0.65),"MEDIO",Tabla1[[#This Row],[Porcentaje de muertes]]&gt;0.65,"GRAVE")</f>
        <v>GRAVE</v>
      </c>
    </row>
    <row r="1287" spans="2:24" x14ac:dyDescent="0.3">
      <c r="B1287" s="9">
        <v>1285</v>
      </c>
      <c r="C1287" s="49">
        <v>18959</v>
      </c>
      <c r="D1287" s="9">
        <f>YEAR(Tabla1[[#This Row],[Date]])</f>
        <v>1951</v>
      </c>
      <c r="E1287" s="9" t="str" cm="1">
        <f t="array" ref="E1287">IFERROR(_xlfn.IFS(AND(D1287&lt;1980,D1287&gt;=1970),"70",AND(D1287&lt;1990,D1287&gt;=1980),"80",AND(D1287&lt;2000,D1287&gt;=1990),"90",AND(D1287&lt;2010,D1287&gt;=2000),"00",AND(D1287&lt;=2019,D1287&gt;=2010),"10"),"1908-1970")</f>
        <v>1908-1970</v>
      </c>
      <c r="F1287" s="3" t="s">
        <v>28931</v>
      </c>
      <c r="G1287" t="s">
        <v>10572</v>
      </c>
      <c r="H1287" t="s">
        <v>10573</v>
      </c>
      <c r="I1287" t="s">
        <v>28931</v>
      </c>
      <c r="J1287" t="s">
        <v>10574</v>
      </c>
      <c r="K1287" t="s">
        <v>10575</v>
      </c>
      <c r="L1287" s="7" t="s">
        <v>10576</v>
      </c>
      <c r="M1287">
        <v>2077</v>
      </c>
      <c r="N1287">
        <v>21</v>
      </c>
      <c r="O1287">
        <v>18</v>
      </c>
      <c r="P1287">
        <v>3</v>
      </c>
      <c r="Q1287">
        <v>13</v>
      </c>
      <c r="R1287">
        <v>11</v>
      </c>
      <c r="S1287">
        <v>2</v>
      </c>
      <c r="T1287">
        <v>0</v>
      </c>
      <c r="U1287" t="s">
        <v>10577</v>
      </c>
      <c r="V1287">
        <f>Tabla1[[#This Row],[Aboard]]-Tabla1[[#This Row],[Fatalities]]</f>
        <v>8</v>
      </c>
      <c r="W1287" s="50">
        <f>IFERROR(Tabla1[[#This Row],[Fatalities]]/Tabla1[[#This Row],[Aboard]],0)</f>
        <v>0.61904761904761907</v>
      </c>
      <c r="X1287" s="51" t="str" cm="1">
        <f t="array" ref="X1287">_xlfn.IFS(Tabla1[[#This Row],[Porcentaje de muertes]]&lt;0.35,"LEVE",AND(Tabla1[[#This Row],[Porcentaje de muertes]]&gt;0.35,Tabla1[[#This Row],[Porcentaje de muertes]]&lt;0.65),"MEDIO",Tabla1[[#This Row],[Porcentaje de muertes]]&gt;0.65,"GRAVE")</f>
        <v>MEDIO</v>
      </c>
    </row>
    <row r="1288" spans="2:24" x14ac:dyDescent="0.3">
      <c r="B1288" s="9">
        <v>1286</v>
      </c>
      <c r="C1288" s="49">
        <v>18730</v>
      </c>
      <c r="D1288" s="9">
        <f>YEAR(Tabla1[[#This Row],[Date]])</f>
        <v>1951</v>
      </c>
      <c r="E1288" s="9" t="str" cm="1">
        <f t="array" ref="E1288">IFERROR(_xlfn.IFS(AND(D1288&lt;1980,D1288&gt;=1970),"70",AND(D1288&lt;1990,D1288&gt;=1980),"80",AND(D1288&lt;2000,D1288&gt;=1990),"90",AND(D1288&lt;2010,D1288&gt;=2000),"00",AND(D1288&lt;=2019,D1288&gt;=2010),"10"),"1908-1970")</f>
        <v>1908-1970</v>
      </c>
      <c r="F1288" s="3">
        <v>0.30902777777777779</v>
      </c>
      <c r="G1288" t="s">
        <v>9021</v>
      </c>
      <c r="H1288" t="s">
        <v>6369</v>
      </c>
      <c r="I1288" t="s">
        <v>28931</v>
      </c>
      <c r="J1288" t="s">
        <v>6190</v>
      </c>
      <c r="K1288" t="s">
        <v>6970</v>
      </c>
      <c r="L1288" s="7" t="s">
        <v>10578</v>
      </c>
      <c r="M1288">
        <v>4999</v>
      </c>
      <c r="N1288">
        <v>3</v>
      </c>
      <c r="O1288">
        <v>0</v>
      </c>
      <c r="P1288">
        <v>3</v>
      </c>
      <c r="Q1288">
        <v>3</v>
      </c>
      <c r="R1288">
        <v>0</v>
      </c>
      <c r="S1288">
        <v>3</v>
      </c>
      <c r="T1288">
        <v>0</v>
      </c>
      <c r="U1288" t="s">
        <v>10579</v>
      </c>
      <c r="V1288">
        <f>Tabla1[[#This Row],[Aboard]]-Tabla1[[#This Row],[Fatalities]]</f>
        <v>0</v>
      </c>
      <c r="W1288" s="50">
        <f>IFERROR(Tabla1[[#This Row],[Fatalities]]/Tabla1[[#This Row],[Aboard]],0)</f>
        <v>1</v>
      </c>
      <c r="X1288" s="51" t="str" cm="1">
        <f t="array" ref="X1288">_xlfn.IFS(Tabla1[[#This Row],[Porcentaje de muertes]]&lt;0.35,"LEVE",AND(Tabla1[[#This Row],[Porcentaje de muertes]]&gt;0.35,Tabla1[[#This Row],[Porcentaje de muertes]]&lt;0.65),"MEDIO",Tabla1[[#This Row],[Porcentaje de muertes]]&gt;0.65,"GRAVE")</f>
        <v>GRAVE</v>
      </c>
    </row>
    <row r="1289" spans="2:24" x14ac:dyDescent="0.3">
      <c r="B1289" s="9">
        <v>1287</v>
      </c>
      <c r="C1289" s="49">
        <v>18975</v>
      </c>
      <c r="D1289" s="9">
        <f>YEAR(Tabla1[[#This Row],[Date]])</f>
        <v>1951</v>
      </c>
      <c r="E1289" s="9" t="str" cm="1">
        <f t="array" ref="E1289">IFERROR(_xlfn.IFS(AND(D1289&lt;1980,D1289&gt;=1970),"70",AND(D1289&lt;1990,D1289&gt;=1980),"80",AND(D1289&lt;2000,D1289&gt;=1990),"90",AND(D1289&lt;2010,D1289&gt;=2000),"00",AND(D1289&lt;=2019,D1289&gt;=2010),"10"),"1908-1970")</f>
        <v>1908-1970</v>
      </c>
      <c r="F1289" s="3" t="s">
        <v>28931</v>
      </c>
      <c r="G1289" t="s">
        <v>10580</v>
      </c>
      <c r="H1289" t="s">
        <v>5459</v>
      </c>
      <c r="I1289" t="s">
        <v>28931</v>
      </c>
      <c r="J1289" t="s">
        <v>10581</v>
      </c>
      <c r="K1289" t="s">
        <v>6641</v>
      </c>
      <c r="L1289" s="7" t="s">
        <v>10582</v>
      </c>
      <c r="M1289" t="s">
        <v>28931</v>
      </c>
      <c r="N1289">
        <v>3</v>
      </c>
      <c r="O1289">
        <v>2</v>
      </c>
      <c r="P1289">
        <v>1</v>
      </c>
      <c r="Q1289">
        <v>3</v>
      </c>
      <c r="R1289">
        <v>2</v>
      </c>
      <c r="S1289">
        <v>1</v>
      </c>
      <c r="T1289">
        <v>0</v>
      </c>
      <c r="U1289" t="s">
        <v>10583</v>
      </c>
      <c r="V1289">
        <f>Tabla1[[#This Row],[Aboard]]-Tabla1[[#This Row],[Fatalities]]</f>
        <v>0</v>
      </c>
      <c r="W1289" s="50">
        <f>IFERROR(Tabla1[[#This Row],[Fatalities]]/Tabla1[[#This Row],[Aboard]],0)</f>
        <v>1</v>
      </c>
      <c r="X1289" s="51" t="str" cm="1">
        <f t="array" ref="X1289">_xlfn.IFS(Tabla1[[#This Row],[Porcentaje de muertes]]&lt;0.35,"LEVE",AND(Tabla1[[#This Row],[Porcentaje de muertes]]&gt;0.35,Tabla1[[#This Row],[Porcentaje de muertes]]&lt;0.65),"MEDIO",Tabla1[[#This Row],[Porcentaje de muertes]]&gt;0.65,"GRAVE")</f>
        <v>GRAVE</v>
      </c>
    </row>
    <row r="1290" spans="2:24" x14ac:dyDescent="0.3">
      <c r="B1290" s="9">
        <v>1288</v>
      </c>
      <c r="C1290" s="49">
        <v>18978</v>
      </c>
      <c r="D1290" s="9">
        <f>YEAR(Tabla1[[#This Row],[Date]])</f>
        <v>1951</v>
      </c>
      <c r="E1290" s="9" t="str" cm="1">
        <f t="array" ref="E1290">IFERROR(_xlfn.IFS(AND(D1290&lt;1980,D1290&gt;=1970),"70",AND(D1290&lt;1990,D1290&gt;=1980),"80",AND(D1290&lt;2000,D1290&gt;=1990),"90",AND(D1290&lt;2010,D1290&gt;=2000),"00",AND(D1290&lt;=2019,D1290&gt;=2010),"10"),"1908-1970")</f>
        <v>1908-1970</v>
      </c>
      <c r="F1290" s="3">
        <v>0.63124999999999998</v>
      </c>
      <c r="G1290" t="s">
        <v>5095</v>
      </c>
      <c r="H1290" t="s">
        <v>10584</v>
      </c>
      <c r="I1290" t="s">
        <v>28931</v>
      </c>
      <c r="J1290" t="s">
        <v>10585</v>
      </c>
      <c r="K1290" t="s">
        <v>10586</v>
      </c>
      <c r="L1290" s="7" t="s">
        <v>10587</v>
      </c>
      <c r="M1290">
        <v>22572</v>
      </c>
      <c r="N1290">
        <v>56</v>
      </c>
      <c r="O1290">
        <v>52</v>
      </c>
      <c r="P1290">
        <v>4</v>
      </c>
      <c r="Q1290">
        <v>56</v>
      </c>
      <c r="R1290">
        <v>52</v>
      </c>
      <c r="S1290">
        <v>4</v>
      </c>
      <c r="T1290">
        <v>1</v>
      </c>
      <c r="U1290" t="s">
        <v>10588</v>
      </c>
      <c r="V1290">
        <f>Tabla1[[#This Row],[Aboard]]-Tabla1[[#This Row],[Fatalities]]</f>
        <v>0</v>
      </c>
      <c r="W1290" s="50">
        <f>IFERROR(Tabla1[[#This Row],[Fatalities]]/Tabla1[[#This Row],[Aboard]],0)</f>
        <v>1</v>
      </c>
      <c r="X1290" s="51" t="str" cm="1">
        <f t="array" ref="X1290">_xlfn.IFS(Tabla1[[#This Row],[Porcentaje de muertes]]&lt;0.35,"LEVE",AND(Tabla1[[#This Row],[Porcentaje de muertes]]&gt;0.35,Tabla1[[#This Row],[Porcentaje de muertes]]&lt;0.65),"MEDIO",Tabla1[[#This Row],[Porcentaje de muertes]]&gt;0.65,"GRAVE")</f>
        <v>GRAVE</v>
      </c>
    </row>
    <row r="1291" spans="2:24" x14ac:dyDescent="0.3">
      <c r="B1291" s="9">
        <v>1289</v>
      </c>
      <c r="C1291" s="49">
        <v>18985</v>
      </c>
      <c r="D1291" s="9">
        <f>YEAR(Tabla1[[#This Row],[Date]])</f>
        <v>1951</v>
      </c>
      <c r="E1291" s="9" t="str" cm="1">
        <f t="array" ref="E1291">IFERROR(_xlfn.IFS(AND(D1291&lt;1980,D1291&gt;=1970),"70",AND(D1291&lt;1990,D1291&gt;=1980),"80",AND(D1291&lt;2000,D1291&gt;=1990),"90",AND(D1291&lt;2010,D1291&gt;=2000),"00",AND(D1291&lt;=2019,D1291&gt;=2010),"10"),"1908-1970")</f>
        <v>1908-1970</v>
      </c>
      <c r="F1291" s="3" t="s">
        <v>28931</v>
      </c>
      <c r="G1291" t="s">
        <v>10175</v>
      </c>
      <c r="H1291" t="s">
        <v>6563</v>
      </c>
      <c r="I1291" t="s">
        <v>28931</v>
      </c>
      <c r="J1291" t="s">
        <v>10589</v>
      </c>
      <c r="K1291" t="s">
        <v>10590</v>
      </c>
      <c r="L1291" s="7" t="s">
        <v>10591</v>
      </c>
      <c r="M1291">
        <v>41</v>
      </c>
      <c r="N1291">
        <v>22</v>
      </c>
      <c r="O1291">
        <v>18</v>
      </c>
      <c r="P1291">
        <v>4</v>
      </c>
      <c r="Q1291">
        <v>22</v>
      </c>
      <c r="R1291">
        <v>18</v>
      </c>
      <c r="S1291">
        <v>4</v>
      </c>
      <c r="T1291">
        <v>0</v>
      </c>
      <c r="U1291" t="s">
        <v>10592</v>
      </c>
      <c r="V1291">
        <f>Tabla1[[#This Row],[Aboard]]-Tabla1[[#This Row],[Fatalities]]</f>
        <v>0</v>
      </c>
      <c r="W1291" s="50">
        <f>IFERROR(Tabla1[[#This Row],[Fatalities]]/Tabla1[[#This Row],[Aboard]],0)</f>
        <v>1</v>
      </c>
      <c r="X1291" s="51" t="str" cm="1">
        <f t="array" ref="X1291">_xlfn.IFS(Tabla1[[#This Row],[Porcentaje de muertes]]&lt;0.35,"LEVE",AND(Tabla1[[#This Row],[Porcentaje de muertes]]&gt;0.35,Tabla1[[#This Row],[Porcentaje de muertes]]&lt;0.65),"MEDIO",Tabla1[[#This Row],[Porcentaje de muertes]]&gt;0.65,"GRAVE")</f>
        <v>GRAVE</v>
      </c>
    </row>
    <row r="1292" spans="2:24" x14ac:dyDescent="0.3">
      <c r="B1292" s="9">
        <v>1290</v>
      </c>
      <c r="C1292" s="49">
        <v>18989</v>
      </c>
      <c r="D1292" s="9">
        <f>YEAR(Tabla1[[#This Row],[Date]])</f>
        <v>1951</v>
      </c>
      <c r="E1292" s="9" t="str" cm="1">
        <f t="array" ref="E1292">IFERROR(_xlfn.IFS(AND(D1292&lt;1980,D1292&gt;=1970),"70",AND(D1292&lt;1990,D1292&gt;=1980),"80",AND(D1292&lt;2000,D1292&gt;=1990),"90",AND(D1292&lt;2010,D1292&gt;=2000),"00",AND(D1292&lt;=2019,D1292&gt;=2010),"10"),"1908-1970")</f>
        <v>1908-1970</v>
      </c>
      <c r="F1292" s="3">
        <v>0.18472222222222223</v>
      </c>
      <c r="G1292" t="s">
        <v>10593</v>
      </c>
      <c r="H1292" t="s">
        <v>6541</v>
      </c>
      <c r="I1292" t="s">
        <v>28931</v>
      </c>
      <c r="J1292" t="s">
        <v>10594</v>
      </c>
      <c r="K1292" t="s">
        <v>8258</v>
      </c>
      <c r="L1292" s="7" t="s">
        <v>10595</v>
      </c>
      <c r="M1292">
        <v>18421601</v>
      </c>
      <c r="N1292">
        <v>20</v>
      </c>
      <c r="O1292">
        <v>14</v>
      </c>
      <c r="P1292">
        <v>6</v>
      </c>
      <c r="Q1292">
        <v>20</v>
      </c>
      <c r="R1292">
        <v>14</v>
      </c>
      <c r="S1292">
        <v>6</v>
      </c>
      <c r="T1292">
        <v>0</v>
      </c>
      <c r="U1292" t="s">
        <v>10596</v>
      </c>
      <c r="V1292">
        <f>Tabla1[[#This Row],[Aboard]]-Tabla1[[#This Row],[Fatalities]]</f>
        <v>0</v>
      </c>
      <c r="W1292" s="50">
        <f>IFERROR(Tabla1[[#This Row],[Fatalities]]/Tabla1[[#This Row],[Aboard]],0)</f>
        <v>1</v>
      </c>
      <c r="X1292" s="51" t="str" cm="1">
        <f t="array" ref="X1292">_xlfn.IFS(Tabla1[[#This Row],[Porcentaje de muertes]]&lt;0.35,"LEVE",AND(Tabla1[[#This Row],[Porcentaje de muertes]]&gt;0.35,Tabla1[[#This Row],[Porcentaje de muertes]]&lt;0.65),"MEDIO",Tabla1[[#This Row],[Porcentaje de muertes]]&gt;0.65,"GRAVE")</f>
        <v>GRAVE</v>
      </c>
    </row>
    <row r="1293" spans="2:24" x14ac:dyDescent="0.3">
      <c r="B1293" s="9">
        <v>1292</v>
      </c>
      <c r="C1293" s="49">
        <v>18992</v>
      </c>
      <c r="D1293" s="9">
        <f>YEAR(Tabla1[[#This Row],[Date]])</f>
        <v>1951</v>
      </c>
      <c r="E1293" s="9" t="str" cm="1">
        <f t="array" ref="E1293">IFERROR(_xlfn.IFS(AND(D1293&lt;1980,D1293&gt;=1970),"70",AND(D1293&lt;1990,D1293&gt;=1980),"80",AND(D1293&lt;2000,D1293&gt;=1990),"90",AND(D1293&lt;2010,D1293&gt;=2000),"00",AND(D1293&lt;=2019,D1293&gt;=2010),"10"),"1908-1970")</f>
        <v>1908-1970</v>
      </c>
      <c r="F1293" s="3">
        <v>0.92152777777777783</v>
      </c>
      <c r="G1293" t="s">
        <v>10598</v>
      </c>
      <c r="H1293" t="s">
        <v>9888</v>
      </c>
      <c r="I1293">
        <v>501</v>
      </c>
      <c r="J1293" t="s">
        <v>10599</v>
      </c>
      <c r="K1293" t="s">
        <v>10600</v>
      </c>
      <c r="L1293" s="7" t="s">
        <v>10601</v>
      </c>
      <c r="M1293">
        <v>22485</v>
      </c>
      <c r="N1293">
        <v>4</v>
      </c>
      <c r="O1293">
        <v>2</v>
      </c>
      <c r="P1293">
        <v>2</v>
      </c>
      <c r="Q1293">
        <v>4</v>
      </c>
      <c r="R1293">
        <v>2</v>
      </c>
      <c r="S1293">
        <v>2</v>
      </c>
      <c r="T1293">
        <v>0</v>
      </c>
      <c r="U1293" t="s">
        <v>10602</v>
      </c>
      <c r="V1293">
        <f>Tabla1[[#This Row],[Aboard]]-Tabla1[[#This Row],[Fatalities]]</f>
        <v>0</v>
      </c>
      <c r="W1293" s="50">
        <f>IFERROR(Tabla1[[#This Row],[Fatalities]]/Tabla1[[#This Row],[Aboard]],0)</f>
        <v>1</v>
      </c>
      <c r="X1293" s="51" t="str" cm="1">
        <f t="array" ref="X1293">_xlfn.IFS(Tabla1[[#This Row],[Porcentaje de muertes]]&lt;0.35,"LEVE",AND(Tabla1[[#This Row],[Porcentaje de muertes]]&gt;0.35,Tabla1[[#This Row],[Porcentaje de muertes]]&lt;0.65),"MEDIO",Tabla1[[#This Row],[Porcentaje de muertes]]&gt;0.65,"GRAVE")</f>
        <v>GRAVE</v>
      </c>
    </row>
    <row r="1294" spans="2:24" x14ac:dyDescent="0.3">
      <c r="B1294" s="9">
        <v>1293</v>
      </c>
      <c r="C1294" s="49">
        <v>18992</v>
      </c>
      <c r="D1294" s="9">
        <f>YEAR(Tabla1[[#This Row],[Date]])</f>
        <v>1951</v>
      </c>
      <c r="E1294" s="9" t="str" cm="1">
        <f t="array" ref="E1294">IFERROR(_xlfn.IFS(AND(D1294&lt;1980,D1294&gt;=1970),"70",AND(D1294&lt;1990,D1294&gt;=1980),"80",AND(D1294&lt;2000,D1294&gt;=1990),"90",AND(D1294&lt;2010,D1294&gt;=2000),"00",AND(D1294&lt;=2019,D1294&gt;=2010),"10"),"1908-1970")</f>
        <v>1908-1970</v>
      </c>
      <c r="F1294" s="3">
        <v>0.65277777777777779</v>
      </c>
      <c r="G1294" t="s">
        <v>10603</v>
      </c>
      <c r="H1294" t="s">
        <v>7987</v>
      </c>
      <c r="I1294" t="s">
        <v>28931</v>
      </c>
      <c r="J1294" t="s">
        <v>10604</v>
      </c>
      <c r="K1294" t="s">
        <v>10133</v>
      </c>
      <c r="L1294" s="7" t="s">
        <v>10605</v>
      </c>
      <c r="M1294" t="s">
        <v>10606</v>
      </c>
      <c r="N1294">
        <v>28</v>
      </c>
      <c r="O1294">
        <v>24</v>
      </c>
      <c r="P1294">
        <v>4</v>
      </c>
      <c r="Q1294">
        <v>28</v>
      </c>
      <c r="R1294">
        <v>24</v>
      </c>
      <c r="S1294">
        <v>4</v>
      </c>
      <c r="T1294">
        <v>0</v>
      </c>
      <c r="U1294" t="s">
        <v>10607</v>
      </c>
      <c r="V1294">
        <f>Tabla1[[#This Row],[Aboard]]-Tabla1[[#This Row],[Fatalities]]</f>
        <v>0</v>
      </c>
      <c r="W1294" s="50">
        <f>IFERROR(Tabla1[[#This Row],[Fatalities]]/Tabla1[[#This Row],[Aboard]],0)</f>
        <v>1</v>
      </c>
      <c r="X1294" s="51" t="str" cm="1">
        <f t="array" ref="X1294">_xlfn.IFS(Tabla1[[#This Row],[Porcentaje de muertes]]&lt;0.35,"LEVE",AND(Tabla1[[#This Row],[Porcentaje de muertes]]&gt;0.35,Tabla1[[#This Row],[Porcentaje de muertes]]&lt;0.65),"MEDIO",Tabla1[[#This Row],[Porcentaje de muertes]]&gt;0.65,"GRAVE")</f>
        <v>GRAVE</v>
      </c>
    </row>
    <row r="1295" spans="2:24" x14ac:dyDescent="0.3">
      <c r="B1295" s="9">
        <v>1294</v>
      </c>
      <c r="C1295" s="49">
        <v>18993</v>
      </c>
      <c r="D1295" s="9">
        <f>YEAR(Tabla1[[#This Row],[Date]])</f>
        <v>1951</v>
      </c>
      <c r="E1295" s="9" t="str" cm="1">
        <f t="array" ref="E1295">IFERROR(_xlfn.IFS(AND(D1295&lt;1980,D1295&gt;=1970),"70",AND(D1295&lt;1990,D1295&gt;=1980),"80",AND(D1295&lt;2000,D1295&gt;=1990),"90",AND(D1295&lt;2010,D1295&gt;=2000),"00",AND(D1295&lt;=2019,D1295&gt;=2010),"10"),"1908-1970")</f>
        <v>1908-1970</v>
      </c>
      <c r="F1295" s="3" t="s">
        <v>28931</v>
      </c>
      <c r="G1295" t="s">
        <v>9937</v>
      </c>
      <c r="H1295" t="s">
        <v>10608</v>
      </c>
      <c r="I1295" t="s">
        <v>28931</v>
      </c>
      <c r="J1295" t="s">
        <v>28931</v>
      </c>
      <c r="K1295" t="s">
        <v>8105</v>
      </c>
      <c r="L1295" s="7" t="s">
        <v>10609</v>
      </c>
      <c r="M1295" t="s">
        <v>10610</v>
      </c>
      <c r="N1295">
        <v>3</v>
      </c>
      <c r="O1295">
        <v>0</v>
      </c>
      <c r="P1295">
        <v>3</v>
      </c>
      <c r="Q1295">
        <v>3</v>
      </c>
      <c r="R1295">
        <v>0</v>
      </c>
      <c r="S1295">
        <v>3</v>
      </c>
      <c r="T1295">
        <v>0</v>
      </c>
      <c r="U1295" t="s">
        <v>10611</v>
      </c>
      <c r="V1295">
        <f>Tabla1[[#This Row],[Aboard]]-Tabla1[[#This Row],[Fatalities]]</f>
        <v>0</v>
      </c>
      <c r="W1295" s="50">
        <f>IFERROR(Tabla1[[#This Row],[Fatalities]]/Tabla1[[#This Row],[Aboard]],0)</f>
        <v>1</v>
      </c>
      <c r="X1295" s="51" t="str" cm="1">
        <f t="array" ref="X1295">_xlfn.IFS(Tabla1[[#This Row],[Porcentaje de muertes]]&lt;0.35,"LEVE",AND(Tabla1[[#This Row],[Porcentaje de muertes]]&gt;0.35,Tabla1[[#This Row],[Porcentaje de muertes]]&lt;0.65),"MEDIO",Tabla1[[#This Row],[Porcentaje de muertes]]&gt;0.65,"GRAVE")</f>
        <v>GRAVE</v>
      </c>
    </row>
    <row r="1296" spans="2:24" x14ac:dyDescent="0.3">
      <c r="B1296" s="9">
        <v>1295</v>
      </c>
      <c r="C1296" s="49">
        <v>19025</v>
      </c>
      <c r="D1296" s="9">
        <f>YEAR(Tabla1[[#This Row],[Date]])</f>
        <v>1952</v>
      </c>
      <c r="E1296" s="9" t="str" cm="1">
        <f t="array" ref="E1296">IFERROR(_xlfn.IFS(AND(D1296&lt;1980,D1296&gt;=1970),"70",AND(D1296&lt;1990,D1296&gt;=1980),"80",AND(D1296&lt;2000,D1296&gt;=1990),"90",AND(D1296&lt;2010,D1296&gt;=2000),"00",AND(D1296&lt;=2019,D1296&gt;=2010),"10"),"1908-1970")</f>
        <v>1908-1970</v>
      </c>
      <c r="F1296" s="3" t="s">
        <v>28931</v>
      </c>
      <c r="G1296" t="s">
        <v>10612</v>
      </c>
      <c r="H1296" t="s">
        <v>6375</v>
      </c>
      <c r="I1296" t="s">
        <v>28931</v>
      </c>
      <c r="J1296" t="s">
        <v>28931</v>
      </c>
      <c r="K1296" t="s">
        <v>6555</v>
      </c>
      <c r="L1296" s="7" t="s">
        <v>10613</v>
      </c>
      <c r="M1296">
        <v>106</v>
      </c>
      <c r="N1296">
        <v>11</v>
      </c>
      <c r="O1296">
        <v>8</v>
      </c>
      <c r="P1296">
        <v>3</v>
      </c>
      <c r="Q1296">
        <v>6</v>
      </c>
      <c r="R1296" t="s">
        <v>5038</v>
      </c>
      <c r="S1296" t="s">
        <v>5038</v>
      </c>
      <c r="T1296">
        <v>0</v>
      </c>
      <c r="U1296" t="s">
        <v>28927</v>
      </c>
      <c r="V1296">
        <f>Tabla1[[#This Row],[Aboard]]-Tabla1[[#This Row],[Fatalities]]</f>
        <v>5</v>
      </c>
      <c r="W1296" s="50">
        <f>IFERROR(Tabla1[[#This Row],[Fatalities]]/Tabla1[[#This Row],[Aboard]],0)</f>
        <v>0.54545454545454541</v>
      </c>
      <c r="X1296" s="51" t="str" cm="1">
        <f t="array" ref="X1296">_xlfn.IFS(Tabla1[[#This Row],[Porcentaje de muertes]]&lt;0.35,"LEVE",AND(Tabla1[[#This Row],[Porcentaje de muertes]]&gt;0.35,Tabla1[[#This Row],[Porcentaje de muertes]]&lt;0.65),"MEDIO",Tabla1[[#This Row],[Porcentaje de muertes]]&gt;0.65,"GRAVE")</f>
        <v>MEDIO</v>
      </c>
    </row>
    <row r="1297" spans="2:24" x14ac:dyDescent="0.3">
      <c r="B1297" s="9">
        <v>1296</v>
      </c>
      <c r="C1297" s="49">
        <v>19268</v>
      </c>
      <c r="D1297" s="9">
        <f>YEAR(Tabla1[[#This Row],[Date]])</f>
        <v>1952</v>
      </c>
      <c r="E1297" s="9" t="str" cm="1">
        <f t="array" ref="E1297">IFERROR(_xlfn.IFS(AND(D1297&lt;1980,D1297&gt;=1970),"70",AND(D1297&lt;1990,D1297&gt;=1980),"80",AND(D1297&lt;2000,D1297&gt;=1990),"90",AND(D1297&lt;2010,D1297&gt;=2000),"00",AND(D1297&lt;=2019,D1297&gt;=2010),"10"),"1908-1970")</f>
        <v>1908-1970</v>
      </c>
      <c r="F1297" s="3">
        <v>0.80208333333333337</v>
      </c>
      <c r="G1297" t="s">
        <v>10614</v>
      </c>
      <c r="H1297" t="s">
        <v>10615</v>
      </c>
      <c r="I1297" t="s">
        <v>28931</v>
      </c>
      <c r="J1297" t="s">
        <v>10616</v>
      </c>
      <c r="K1297" t="s">
        <v>7057</v>
      </c>
      <c r="L1297" s="7" t="s">
        <v>10617</v>
      </c>
      <c r="M1297" t="s">
        <v>10618</v>
      </c>
      <c r="N1297">
        <v>23</v>
      </c>
      <c r="O1297">
        <v>20</v>
      </c>
      <c r="P1297">
        <v>3</v>
      </c>
      <c r="Q1297">
        <v>23</v>
      </c>
      <c r="R1297">
        <v>20</v>
      </c>
      <c r="S1297">
        <v>3</v>
      </c>
      <c r="T1297">
        <v>0</v>
      </c>
      <c r="U1297" t="s">
        <v>10619</v>
      </c>
      <c r="V1297">
        <f>Tabla1[[#This Row],[Aboard]]-Tabla1[[#This Row],[Fatalities]]</f>
        <v>0</v>
      </c>
      <c r="W1297" s="50">
        <f>IFERROR(Tabla1[[#This Row],[Fatalities]]/Tabla1[[#This Row],[Aboard]],0)</f>
        <v>1</v>
      </c>
      <c r="X1297" s="51" t="str" cm="1">
        <f t="array" ref="X1297">_xlfn.IFS(Tabla1[[#This Row],[Porcentaje de muertes]]&lt;0.35,"LEVE",AND(Tabla1[[#This Row],[Porcentaje de muertes]]&gt;0.35,Tabla1[[#This Row],[Porcentaje de muertes]]&lt;0.65),"MEDIO",Tabla1[[#This Row],[Porcentaje de muertes]]&gt;0.65,"GRAVE")</f>
        <v>GRAVE</v>
      </c>
    </row>
    <row r="1298" spans="2:24" x14ac:dyDescent="0.3">
      <c r="B1298" s="9">
        <v>1297</v>
      </c>
      <c r="C1298" s="49">
        <v>19012</v>
      </c>
      <c r="D1298" s="9">
        <f>YEAR(Tabla1[[#This Row],[Date]])</f>
        <v>1952</v>
      </c>
      <c r="E1298" s="9" t="str" cm="1">
        <f t="array" ref="E1298">IFERROR(_xlfn.IFS(AND(D1298&lt;1980,D1298&gt;=1970),"70",AND(D1298&lt;1990,D1298&gt;=1980),"80",AND(D1298&lt;2000,D1298&gt;=1990),"90",AND(D1298&lt;2010,D1298&gt;=2000),"00",AND(D1298&lt;=2019,D1298&gt;=2010),"10"),"1908-1970")</f>
        <v>1908-1970</v>
      </c>
      <c r="F1298" s="3">
        <v>6.805555555555555E-2</v>
      </c>
      <c r="G1298" t="s">
        <v>10620</v>
      </c>
      <c r="H1298" t="s">
        <v>5769</v>
      </c>
      <c r="I1298">
        <v>324</v>
      </c>
      <c r="J1298" t="s">
        <v>10621</v>
      </c>
      <c r="K1298" t="s">
        <v>8822</v>
      </c>
      <c r="L1298" s="7" t="s">
        <v>10622</v>
      </c>
      <c r="M1298">
        <v>27279</v>
      </c>
      <c r="N1298">
        <v>43</v>
      </c>
      <c r="O1298">
        <v>40</v>
      </c>
      <c r="P1298">
        <v>3</v>
      </c>
      <c r="Q1298">
        <v>36</v>
      </c>
      <c r="R1298">
        <v>33</v>
      </c>
      <c r="S1298">
        <v>3</v>
      </c>
      <c r="T1298">
        <v>0</v>
      </c>
      <c r="U1298" t="s">
        <v>10623</v>
      </c>
      <c r="V1298">
        <f>Tabla1[[#This Row],[Aboard]]-Tabla1[[#This Row],[Fatalities]]</f>
        <v>7</v>
      </c>
      <c r="W1298" s="50">
        <f>IFERROR(Tabla1[[#This Row],[Fatalities]]/Tabla1[[#This Row],[Aboard]],0)</f>
        <v>0.83720930232558144</v>
      </c>
      <c r="X1298" s="51" t="str" cm="1">
        <f t="array" ref="X1298">_xlfn.IFS(Tabla1[[#This Row],[Porcentaje de muertes]]&lt;0.35,"LEVE",AND(Tabla1[[#This Row],[Porcentaje de muertes]]&gt;0.35,Tabla1[[#This Row],[Porcentaje de muertes]]&lt;0.65),"MEDIO",Tabla1[[#This Row],[Porcentaje de muertes]]&gt;0.65,"GRAVE")</f>
        <v>GRAVE</v>
      </c>
    </row>
    <row r="1299" spans="2:24" x14ac:dyDescent="0.3">
      <c r="B1299" s="9">
        <v>1298</v>
      </c>
      <c r="C1299" s="49">
        <v>19015</v>
      </c>
      <c r="D1299" s="9">
        <f>YEAR(Tabla1[[#This Row],[Date]])</f>
        <v>1952</v>
      </c>
      <c r="E1299" s="9" t="str" cm="1">
        <f t="array" ref="E1299">IFERROR(_xlfn.IFS(AND(D1299&lt;1980,D1299&gt;=1970),"70",AND(D1299&lt;1990,D1299&gt;=1980),"80",AND(D1299&lt;2000,D1299&gt;=1990),"90",AND(D1299&lt;2010,D1299&gt;=2000),"00",AND(D1299&lt;=2019,D1299&gt;=2010),"10"),"1908-1970")</f>
        <v>1908-1970</v>
      </c>
      <c r="F1299" s="3">
        <v>0.65486111111111112</v>
      </c>
      <c r="G1299" t="s">
        <v>5095</v>
      </c>
      <c r="H1299" t="s">
        <v>6536</v>
      </c>
      <c r="I1299">
        <v>6780</v>
      </c>
      <c r="J1299" t="s">
        <v>10624</v>
      </c>
      <c r="K1299" t="s">
        <v>10625</v>
      </c>
      <c r="L1299" s="7" t="s">
        <v>10626</v>
      </c>
      <c r="M1299">
        <v>54</v>
      </c>
      <c r="N1299">
        <v>23</v>
      </c>
      <c r="O1299">
        <v>20</v>
      </c>
      <c r="P1299">
        <v>3</v>
      </c>
      <c r="Q1299">
        <v>23</v>
      </c>
      <c r="R1299">
        <v>20</v>
      </c>
      <c r="S1299">
        <v>3</v>
      </c>
      <c r="T1299">
        <v>7</v>
      </c>
      <c r="U1299" t="s">
        <v>10627</v>
      </c>
      <c r="V1299">
        <f>Tabla1[[#This Row],[Aboard]]-Tabla1[[#This Row],[Fatalities]]</f>
        <v>0</v>
      </c>
      <c r="W1299" s="50">
        <f>IFERROR(Tabla1[[#This Row],[Fatalities]]/Tabla1[[#This Row],[Aboard]],0)</f>
        <v>1</v>
      </c>
      <c r="X1299" s="51" t="str" cm="1">
        <f t="array" ref="X1299">_xlfn.IFS(Tabla1[[#This Row],[Porcentaje de muertes]]&lt;0.35,"LEVE",AND(Tabla1[[#This Row],[Porcentaje de muertes]]&gt;0.35,Tabla1[[#This Row],[Porcentaje de muertes]]&lt;0.65),"MEDIO",Tabla1[[#This Row],[Porcentaje de muertes]]&gt;0.65,"GRAVE")</f>
        <v>GRAVE</v>
      </c>
    </row>
    <row r="1300" spans="2:24" x14ac:dyDescent="0.3">
      <c r="B1300" s="9">
        <v>1299</v>
      </c>
      <c r="C1300" s="49">
        <v>19086</v>
      </c>
      <c r="D1300" s="9">
        <f>YEAR(Tabla1[[#This Row],[Date]])</f>
        <v>1952</v>
      </c>
      <c r="E1300" s="9" t="str" cm="1">
        <f t="array" ref="E1300">IFERROR(_xlfn.IFS(AND(D1300&lt;1980,D1300&gt;=1970),"70",AND(D1300&lt;1990,D1300&gt;=1980),"80",AND(D1300&lt;2000,D1300&gt;=1990),"90",AND(D1300&lt;2010,D1300&gt;=2000),"00",AND(D1300&lt;=2019,D1300&gt;=2010),"10"),"1908-1970")</f>
        <v>1908-1970</v>
      </c>
      <c r="F1300" s="3" t="s">
        <v>28931</v>
      </c>
      <c r="G1300" t="s">
        <v>10628</v>
      </c>
      <c r="H1300" t="s">
        <v>5957</v>
      </c>
      <c r="I1300" t="s">
        <v>28931</v>
      </c>
      <c r="J1300" t="s">
        <v>10629</v>
      </c>
      <c r="K1300" t="s">
        <v>7057</v>
      </c>
      <c r="L1300" s="7" t="s">
        <v>10630</v>
      </c>
      <c r="M1300">
        <v>13450</v>
      </c>
      <c r="N1300">
        <v>15</v>
      </c>
      <c r="O1300">
        <v>11</v>
      </c>
      <c r="P1300">
        <v>4</v>
      </c>
      <c r="Q1300">
        <v>15</v>
      </c>
      <c r="R1300">
        <v>11</v>
      </c>
      <c r="S1300">
        <v>4</v>
      </c>
      <c r="T1300">
        <v>0</v>
      </c>
      <c r="U1300" t="s">
        <v>10631</v>
      </c>
      <c r="V1300">
        <f>Tabla1[[#This Row],[Aboard]]-Tabla1[[#This Row],[Fatalities]]</f>
        <v>0</v>
      </c>
      <c r="W1300" s="50">
        <f>IFERROR(Tabla1[[#This Row],[Fatalities]]/Tabla1[[#This Row],[Aboard]],0)</f>
        <v>1</v>
      </c>
      <c r="X1300" s="51" t="str" cm="1">
        <f t="array" ref="X1300">_xlfn.IFS(Tabla1[[#This Row],[Porcentaje de muertes]]&lt;0.35,"LEVE",AND(Tabla1[[#This Row],[Porcentaje de muertes]]&gt;0.35,Tabla1[[#This Row],[Porcentaje de muertes]]&lt;0.65),"MEDIO",Tabla1[[#This Row],[Porcentaje de muertes]]&gt;0.65,"GRAVE")</f>
        <v>GRAVE</v>
      </c>
    </row>
    <row r="1301" spans="2:24" x14ac:dyDescent="0.3">
      <c r="B1301" s="9">
        <v>1300</v>
      </c>
      <c r="C1301" s="49">
        <v>19177</v>
      </c>
      <c r="D1301" s="9">
        <f>YEAR(Tabla1[[#This Row],[Date]])</f>
        <v>1952</v>
      </c>
      <c r="E1301" s="9" t="str" cm="1">
        <f t="array" ref="E1301">IFERROR(_xlfn.IFS(AND(D1301&lt;1980,D1301&gt;=1970),"70",AND(D1301&lt;1990,D1301&gt;=1980),"80",AND(D1301&lt;2000,D1301&gt;=1990),"90",AND(D1301&lt;2010,D1301&gt;=2000),"00",AND(D1301&lt;=2019,D1301&gt;=2010),"10"),"1908-1970")</f>
        <v>1908-1970</v>
      </c>
      <c r="F1301" s="3" t="s">
        <v>28931</v>
      </c>
      <c r="G1301" t="s">
        <v>10632</v>
      </c>
      <c r="H1301" t="s">
        <v>7987</v>
      </c>
      <c r="I1301" t="s">
        <v>28931</v>
      </c>
      <c r="J1301" t="s">
        <v>28931</v>
      </c>
      <c r="K1301" t="s">
        <v>10075</v>
      </c>
      <c r="L1301" s="7" t="s">
        <v>28931</v>
      </c>
      <c r="M1301" t="s">
        <v>28931</v>
      </c>
      <c r="N1301">
        <v>13</v>
      </c>
      <c r="O1301" t="s">
        <v>5038</v>
      </c>
      <c r="P1301">
        <v>13</v>
      </c>
      <c r="Q1301">
        <v>13</v>
      </c>
      <c r="R1301" t="s">
        <v>5038</v>
      </c>
      <c r="S1301">
        <v>13</v>
      </c>
      <c r="T1301">
        <v>5</v>
      </c>
      <c r="U1301" t="s">
        <v>10633</v>
      </c>
      <c r="V1301">
        <f>Tabla1[[#This Row],[Aboard]]-Tabla1[[#This Row],[Fatalities]]</f>
        <v>0</v>
      </c>
      <c r="W1301" s="50">
        <f>IFERROR(Tabla1[[#This Row],[Fatalities]]/Tabla1[[#This Row],[Aboard]],0)</f>
        <v>1</v>
      </c>
      <c r="X1301" s="51" t="str" cm="1">
        <f t="array" ref="X1301">_xlfn.IFS(Tabla1[[#This Row],[Porcentaje de muertes]]&lt;0.35,"LEVE",AND(Tabla1[[#This Row],[Porcentaje de muertes]]&gt;0.35,Tabla1[[#This Row],[Porcentaje de muertes]]&lt;0.65),"MEDIO",Tabla1[[#This Row],[Porcentaje de muertes]]&gt;0.65,"GRAVE")</f>
        <v>GRAVE</v>
      </c>
    </row>
    <row r="1302" spans="2:24" x14ac:dyDescent="0.3">
      <c r="B1302" s="9">
        <v>1301</v>
      </c>
      <c r="C1302" s="49">
        <v>19300</v>
      </c>
      <c r="D1302" s="9">
        <f>YEAR(Tabla1[[#This Row],[Date]])</f>
        <v>1952</v>
      </c>
      <c r="E1302" s="9" t="str" cm="1">
        <f t="array" ref="E1302">IFERROR(_xlfn.IFS(AND(D1302&lt;1980,D1302&gt;=1970),"70",AND(D1302&lt;1990,D1302&gt;=1980),"80",AND(D1302&lt;2000,D1302&gt;=1990),"90",AND(D1302&lt;2010,D1302&gt;=2000),"00",AND(D1302&lt;=2019,D1302&gt;=2010),"10"),"1908-1970")</f>
        <v>1908-1970</v>
      </c>
      <c r="F1302" s="3">
        <v>1.3888888888888888E-2</v>
      </c>
      <c r="G1302" t="s">
        <v>5095</v>
      </c>
      <c r="H1302" t="s">
        <v>8437</v>
      </c>
      <c r="I1302">
        <v>101</v>
      </c>
      <c r="J1302" t="s">
        <v>10634</v>
      </c>
      <c r="K1302" t="s">
        <v>9230</v>
      </c>
      <c r="L1302" s="7" t="s">
        <v>10635</v>
      </c>
      <c r="M1302" t="s">
        <v>10636</v>
      </c>
      <c r="N1302">
        <v>63</v>
      </c>
      <c r="O1302">
        <v>59</v>
      </c>
      <c r="P1302">
        <v>4</v>
      </c>
      <c r="Q1302">
        <v>29</v>
      </c>
      <c r="R1302">
        <v>26</v>
      </c>
      <c r="S1302">
        <v>3</v>
      </c>
      <c r="T1302">
        <v>4</v>
      </c>
      <c r="U1302" t="s">
        <v>10637</v>
      </c>
      <c r="V1302">
        <f>Tabla1[[#This Row],[Aboard]]-Tabla1[[#This Row],[Fatalities]]</f>
        <v>34</v>
      </c>
      <c r="W1302" s="50">
        <f>IFERROR(Tabla1[[#This Row],[Fatalities]]/Tabla1[[#This Row],[Aboard]],0)</f>
        <v>0.46031746031746029</v>
      </c>
      <c r="X1302" s="51" t="str" cm="1">
        <f t="array" ref="X1302">_xlfn.IFS(Tabla1[[#This Row],[Porcentaje de muertes]]&lt;0.35,"LEVE",AND(Tabla1[[#This Row],[Porcentaje de muertes]]&gt;0.35,Tabla1[[#This Row],[Porcentaje de muertes]]&lt;0.65),"MEDIO",Tabla1[[#This Row],[Porcentaje de muertes]]&gt;0.65,"GRAVE")</f>
        <v>MEDIO</v>
      </c>
    </row>
    <row r="1303" spans="2:24" x14ac:dyDescent="0.3">
      <c r="B1303" s="9">
        <v>1302</v>
      </c>
      <c r="C1303" s="49">
        <v>19040</v>
      </c>
      <c r="D1303" s="9">
        <f>YEAR(Tabla1[[#This Row],[Date]])</f>
        <v>1952</v>
      </c>
      <c r="E1303" s="9" t="str" cm="1">
        <f t="array" ref="E1303">IFERROR(_xlfn.IFS(AND(D1303&lt;1980,D1303&gt;=1970),"70",AND(D1303&lt;1990,D1303&gt;=1980),"80",AND(D1303&lt;2000,D1303&gt;=1990),"90",AND(D1303&lt;2010,D1303&gt;=2000),"00",AND(D1303&lt;=2019,D1303&gt;=2010),"10"),"1908-1970")</f>
        <v>1908-1970</v>
      </c>
      <c r="F1303" s="3">
        <v>0.7319444444444444</v>
      </c>
      <c r="G1303" t="s">
        <v>10638</v>
      </c>
      <c r="H1303" t="s">
        <v>10396</v>
      </c>
      <c r="I1303" t="s">
        <v>28931</v>
      </c>
      <c r="J1303" t="s">
        <v>10639</v>
      </c>
      <c r="K1303" t="s">
        <v>10640</v>
      </c>
      <c r="L1303" s="7" t="s">
        <v>10641</v>
      </c>
      <c r="M1303">
        <v>142</v>
      </c>
      <c r="N1303">
        <v>31</v>
      </c>
      <c r="O1303">
        <v>26</v>
      </c>
      <c r="P1303">
        <v>5</v>
      </c>
      <c r="Q1303">
        <v>31</v>
      </c>
      <c r="R1303">
        <v>26</v>
      </c>
      <c r="S1303">
        <v>5</v>
      </c>
      <c r="T1303">
        <v>0</v>
      </c>
      <c r="U1303" t="s">
        <v>10642</v>
      </c>
      <c r="V1303">
        <f>Tabla1[[#This Row],[Aboard]]-Tabla1[[#This Row],[Fatalities]]</f>
        <v>0</v>
      </c>
      <c r="W1303" s="50">
        <f>IFERROR(Tabla1[[#This Row],[Fatalities]]/Tabla1[[#This Row],[Aboard]],0)</f>
        <v>1</v>
      </c>
      <c r="X1303" s="51" t="str" cm="1">
        <f t="array" ref="X1303">_xlfn.IFS(Tabla1[[#This Row],[Porcentaje de muertes]]&lt;0.35,"LEVE",AND(Tabla1[[#This Row],[Porcentaje de muertes]]&gt;0.35,Tabla1[[#This Row],[Porcentaje de muertes]]&lt;0.65),"MEDIO",Tabla1[[#This Row],[Porcentaje de muertes]]&gt;0.65,"GRAVE")</f>
        <v>GRAVE</v>
      </c>
    </row>
    <row r="1304" spans="2:24" x14ac:dyDescent="0.3">
      <c r="B1304" s="9">
        <v>1303</v>
      </c>
      <c r="C1304" s="49">
        <v>19043</v>
      </c>
      <c r="D1304" s="9">
        <f>YEAR(Tabla1[[#This Row],[Date]])</f>
        <v>1952</v>
      </c>
      <c r="E1304" s="9" t="str" cm="1">
        <f t="array" ref="E1304">IFERROR(_xlfn.IFS(AND(D1304&lt;1980,D1304&gt;=1970),"70",AND(D1304&lt;1990,D1304&gt;=1980),"80",AND(D1304&lt;2000,D1304&gt;=1990),"90",AND(D1304&lt;2010,D1304&gt;=2000),"00",AND(D1304&lt;=2019,D1304&gt;=2010),"10"),"1908-1970")</f>
        <v>1908-1970</v>
      </c>
      <c r="F1304" s="3">
        <v>9.930555555555555E-2</v>
      </c>
      <c r="G1304" t="s">
        <v>10643</v>
      </c>
      <c r="H1304" t="s">
        <v>10053</v>
      </c>
      <c r="I1304" t="s">
        <v>28931</v>
      </c>
      <c r="J1304" t="s">
        <v>10644</v>
      </c>
      <c r="K1304" t="s">
        <v>7057</v>
      </c>
      <c r="L1304" s="7" t="s">
        <v>10645</v>
      </c>
      <c r="M1304">
        <v>19160</v>
      </c>
      <c r="N1304">
        <v>16</v>
      </c>
      <c r="O1304">
        <v>12</v>
      </c>
      <c r="P1304">
        <v>4</v>
      </c>
      <c r="Q1304">
        <v>3</v>
      </c>
      <c r="R1304">
        <v>1</v>
      </c>
      <c r="S1304">
        <v>2</v>
      </c>
      <c r="T1304">
        <v>0</v>
      </c>
      <c r="U1304" t="s">
        <v>10646</v>
      </c>
      <c r="V1304">
        <f>Tabla1[[#This Row],[Aboard]]-Tabla1[[#This Row],[Fatalities]]</f>
        <v>13</v>
      </c>
      <c r="W1304" s="50">
        <f>IFERROR(Tabla1[[#This Row],[Fatalities]]/Tabla1[[#This Row],[Aboard]],0)</f>
        <v>0.1875</v>
      </c>
      <c r="X1304" s="51" t="str" cm="1">
        <f t="array" ref="X1304">_xlfn.IFS(Tabla1[[#This Row],[Porcentaje de muertes]]&lt;0.35,"LEVE",AND(Tabla1[[#This Row],[Porcentaje de muertes]]&gt;0.35,Tabla1[[#This Row],[Porcentaje de muertes]]&lt;0.65),"MEDIO",Tabla1[[#This Row],[Porcentaje de muertes]]&gt;0.65,"GRAVE")</f>
        <v>LEVE</v>
      </c>
    </row>
    <row r="1305" spans="2:24" x14ac:dyDescent="0.3">
      <c r="B1305" s="9">
        <v>1304</v>
      </c>
      <c r="C1305" s="49">
        <v>19043</v>
      </c>
      <c r="D1305" s="9">
        <f>YEAR(Tabla1[[#This Row],[Date]])</f>
        <v>1952</v>
      </c>
      <c r="E1305" s="9" t="str" cm="1">
        <f t="array" ref="E1305">IFERROR(_xlfn.IFS(AND(D1305&lt;1980,D1305&gt;=1970),"70",AND(D1305&lt;1990,D1305&gt;=1980),"80",AND(D1305&lt;2000,D1305&gt;=1990),"90",AND(D1305&lt;2010,D1305&gt;=2000),"00",AND(D1305&lt;=2019,D1305&gt;=2010),"10"),"1908-1970")</f>
        <v>1908-1970</v>
      </c>
      <c r="F1305" s="3" t="s">
        <v>28931</v>
      </c>
      <c r="G1305" t="s">
        <v>10647</v>
      </c>
      <c r="H1305" t="s">
        <v>10648</v>
      </c>
      <c r="I1305" t="s">
        <v>28931</v>
      </c>
      <c r="J1305" t="s">
        <v>28931</v>
      </c>
      <c r="K1305" t="s">
        <v>28950</v>
      </c>
      <c r="L1305" s="7" t="s">
        <v>10649</v>
      </c>
      <c r="M1305">
        <v>12</v>
      </c>
      <c r="N1305">
        <v>9</v>
      </c>
      <c r="O1305">
        <v>5</v>
      </c>
      <c r="P1305">
        <v>4</v>
      </c>
      <c r="Q1305">
        <v>9</v>
      </c>
      <c r="R1305">
        <v>5</v>
      </c>
      <c r="S1305">
        <v>4</v>
      </c>
      <c r="T1305">
        <v>0</v>
      </c>
      <c r="U1305" t="s">
        <v>28927</v>
      </c>
      <c r="V1305">
        <f>Tabla1[[#This Row],[Aboard]]-Tabla1[[#This Row],[Fatalities]]</f>
        <v>0</v>
      </c>
      <c r="W1305" s="50">
        <f>IFERROR(Tabla1[[#This Row],[Fatalities]]/Tabla1[[#This Row],[Aboard]],0)</f>
        <v>1</v>
      </c>
      <c r="X1305" s="51" t="str" cm="1">
        <f t="array" ref="X1305">_xlfn.IFS(Tabla1[[#This Row],[Porcentaje de muertes]]&lt;0.35,"LEVE",AND(Tabla1[[#This Row],[Porcentaje de muertes]]&gt;0.35,Tabla1[[#This Row],[Porcentaje de muertes]]&lt;0.65),"MEDIO",Tabla1[[#This Row],[Porcentaje de muertes]]&gt;0.65,"GRAVE")</f>
        <v>GRAVE</v>
      </c>
    </row>
    <row r="1306" spans="2:24" x14ac:dyDescent="0.3">
      <c r="B1306" s="9">
        <v>1305</v>
      </c>
      <c r="C1306" s="49">
        <v>19052</v>
      </c>
      <c r="D1306" s="9">
        <f>YEAR(Tabla1[[#This Row],[Date]])</f>
        <v>1952</v>
      </c>
      <c r="E1306" s="9" t="str" cm="1">
        <f t="array" ref="E1306">IFERROR(_xlfn.IFS(AND(D1306&lt;1980,D1306&gt;=1970),"70",AND(D1306&lt;1990,D1306&gt;=1980),"80",AND(D1306&lt;2000,D1306&gt;=1990),"90",AND(D1306&lt;2010,D1306&gt;=2000),"00",AND(D1306&lt;=2019,D1306&gt;=2010),"10"),"1908-1970")</f>
        <v>1908-1970</v>
      </c>
      <c r="F1306" s="3" t="s">
        <v>28931</v>
      </c>
      <c r="G1306" t="s">
        <v>10650</v>
      </c>
      <c r="H1306" t="s">
        <v>7669</v>
      </c>
      <c r="I1306" t="s">
        <v>28931</v>
      </c>
      <c r="J1306" t="s">
        <v>10651</v>
      </c>
      <c r="K1306" t="s">
        <v>6970</v>
      </c>
      <c r="L1306" s="7" t="s">
        <v>10652</v>
      </c>
      <c r="M1306">
        <v>3284</v>
      </c>
      <c r="N1306">
        <v>8</v>
      </c>
      <c r="O1306">
        <v>6</v>
      </c>
      <c r="P1306">
        <v>2</v>
      </c>
      <c r="Q1306">
        <v>8</v>
      </c>
      <c r="R1306">
        <v>6</v>
      </c>
      <c r="S1306">
        <v>2</v>
      </c>
      <c r="T1306">
        <v>0</v>
      </c>
      <c r="U1306" t="s">
        <v>10653</v>
      </c>
      <c r="V1306">
        <f>Tabla1[[#This Row],[Aboard]]-Tabla1[[#This Row],[Fatalities]]</f>
        <v>0</v>
      </c>
      <c r="W1306" s="50">
        <f>IFERROR(Tabla1[[#This Row],[Fatalities]]/Tabla1[[#This Row],[Aboard]],0)</f>
        <v>1</v>
      </c>
      <c r="X1306" s="51" t="str" cm="1">
        <f t="array" ref="X1306">_xlfn.IFS(Tabla1[[#This Row],[Porcentaje de muertes]]&lt;0.35,"LEVE",AND(Tabla1[[#This Row],[Porcentaje de muertes]]&gt;0.35,Tabla1[[#This Row],[Porcentaje de muertes]]&lt;0.65),"MEDIO",Tabla1[[#This Row],[Porcentaje de muertes]]&gt;0.65,"GRAVE")</f>
        <v>GRAVE</v>
      </c>
    </row>
    <row r="1307" spans="2:24" x14ac:dyDescent="0.3">
      <c r="B1307" s="9">
        <v>1306</v>
      </c>
      <c r="C1307" s="49">
        <v>19056</v>
      </c>
      <c r="D1307" s="9">
        <f>YEAR(Tabla1[[#This Row],[Date]])</f>
        <v>1952</v>
      </c>
      <c r="E1307" s="9" t="str" cm="1">
        <f t="array" ref="E1307">IFERROR(_xlfn.IFS(AND(D1307&lt;1980,D1307&gt;=1970),"70",AND(D1307&lt;1990,D1307&gt;=1980),"80",AND(D1307&lt;2000,D1307&gt;=1990),"90",AND(D1307&lt;2010,D1307&gt;=2000),"00",AND(D1307&lt;=2019,D1307&gt;=2010),"10"),"1908-1970")</f>
        <v>1908-1970</v>
      </c>
      <c r="F1307" s="3">
        <v>0.34027777777777773</v>
      </c>
      <c r="G1307" t="s">
        <v>10654</v>
      </c>
      <c r="H1307" t="s">
        <v>6375</v>
      </c>
      <c r="I1307" t="s">
        <v>28931</v>
      </c>
      <c r="J1307" t="s">
        <v>10655</v>
      </c>
      <c r="K1307" t="s">
        <v>10590</v>
      </c>
      <c r="L1307" s="7" t="s">
        <v>10656</v>
      </c>
      <c r="M1307">
        <v>43</v>
      </c>
      <c r="N1307">
        <v>38</v>
      </c>
      <c r="O1307">
        <v>34</v>
      </c>
      <c r="P1307">
        <v>4</v>
      </c>
      <c r="Q1307">
        <v>38</v>
      </c>
      <c r="R1307">
        <v>34</v>
      </c>
      <c r="S1307">
        <v>4</v>
      </c>
      <c r="T1307">
        <v>0</v>
      </c>
      <c r="U1307" t="s">
        <v>10657</v>
      </c>
      <c r="V1307">
        <f>Tabla1[[#This Row],[Aboard]]-Tabla1[[#This Row],[Fatalities]]</f>
        <v>0</v>
      </c>
      <c r="W1307" s="50">
        <f>IFERROR(Tabla1[[#This Row],[Fatalities]]/Tabla1[[#This Row],[Aboard]],0)</f>
        <v>1</v>
      </c>
      <c r="X1307" s="51" t="str" cm="1">
        <f t="array" ref="X1307">_xlfn.IFS(Tabla1[[#This Row],[Porcentaje de muertes]]&lt;0.35,"LEVE",AND(Tabla1[[#This Row],[Porcentaje de muertes]]&gt;0.35,Tabla1[[#This Row],[Porcentaje de muertes]]&lt;0.65),"MEDIO",Tabla1[[#This Row],[Porcentaje de muertes]]&gt;0.65,"GRAVE")</f>
        <v>GRAVE</v>
      </c>
    </row>
    <row r="1308" spans="2:24" x14ac:dyDescent="0.3">
      <c r="B1308" s="9">
        <v>1307</v>
      </c>
      <c r="C1308" s="49">
        <v>19270</v>
      </c>
      <c r="D1308" s="9">
        <f>YEAR(Tabla1[[#This Row],[Date]])</f>
        <v>1952</v>
      </c>
      <c r="E1308" s="9" t="str" cm="1">
        <f t="array" ref="E1308">IFERROR(_xlfn.IFS(AND(D1308&lt;1980,D1308&gt;=1970),"70",AND(D1308&lt;1990,D1308&gt;=1980),"80",AND(D1308&lt;2000,D1308&gt;=1990),"90",AND(D1308&lt;2010,D1308&gt;=2000),"00",AND(D1308&lt;=2019,D1308&gt;=2010),"10"),"1908-1970")</f>
        <v>1908-1970</v>
      </c>
      <c r="F1308" s="3" t="s">
        <v>28931</v>
      </c>
      <c r="G1308" t="s">
        <v>10658</v>
      </c>
      <c r="H1308" t="s">
        <v>8992</v>
      </c>
      <c r="I1308" t="s">
        <v>28931</v>
      </c>
      <c r="J1308" t="s">
        <v>10659</v>
      </c>
      <c r="K1308" t="s">
        <v>10660</v>
      </c>
      <c r="L1308" s="7" t="s">
        <v>10661</v>
      </c>
      <c r="M1308">
        <v>9754</v>
      </c>
      <c r="N1308">
        <v>3</v>
      </c>
      <c r="O1308">
        <v>0</v>
      </c>
      <c r="P1308">
        <v>3</v>
      </c>
      <c r="Q1308">
        <v>3</v>
      </c>
      <c r="R1308">
        <v>0</v>
      </c>
      <c r="S1308">
        <v>3</v>
      </c>
      <c r="T1308">
        <v>0</v>
      </c>
      <c r="U1308" t="s">
        <v>10662</v>
      </c>
      <c r="V1308">
        <f>Tabla1[[#This Row],[Aboard]]-Tabla1[[#This Row],[Fatalities]]</f>
        <v>0</v>
      </c>
      <c r="W1308" s="50">
        <f>IFERROR(Tabla1[[#This Row],[Fatalities]]/Tabla1[[#This Row],[Aboard]],0)</f>
        <v>1</v>
      </c>
      <c r="X1308" s="51" t="str" cm="1">
        <f t="array" ref="X1308">_xlfn.IFS(Tabla1[[#This Row],[Porcentaje de muertes]]&lt;0.35,"LEVE",AND(Tabla1[[#This Row],[Porcentaje de muertes]]&gt;0.35,Tabla1[[#This Row],[Porcentaje de muertes]]&lt;0.65),"MEDIO",Tabla1[[#This Row],[Porcentaje de muertes]]&gt;0.65,"GRAVE")</f>
        <v>GRAVE</v>
      </c>
    </row>
    <row r="1309" spans="2:24" x14ac:dyDescent="0.3">
      <c r="B1309" s="9">
        <v>1308</v>
      </c>
      <c r="C1309" s="49">
        <v>19331</v>
      </c>
      <c r="D1309" s="9">
        <f>YEAR(Tabla1[[#This Row],[Date]])</f>
        <v>1952</v>
      </c>
      <c r="E1309" s="9" t="str" cm="1">
        <f t="array" ref="E1309">IFERROR(_xlfn.IFS(AND(D1309&lt;1980,D1309&gt;=1970),"70",AND(D1309&lt;1990,D1309&gt;=1980),"80",AND(D1309&lt;2000,D1309&gt;=1990),"90",AND(D1309&lt;2010,D1309&gt;=2000),"00",AND(D1309&lt;=2019,D1309&gt;=2010),"10"),"1908-1970")</f>
        <v>1908-1970</v>
      </c>
      <c r="F1309" s="3" t="s">
        <v>28931</v>
      </c>
      <c r="G1309" t="s">
        <v>10663</v>
      </c>
      <c r="H1309" t="s">
        <v>10664</v>
      </c>
      <c r="I1309" t="s">
        <v>28931</v>
      </c>
      <c r="J1309" t="s">
        <v>6190</v>
      </c>
      <c r="K1309" t="s">
        <v>10665</v>
      </c>
      <c r="L1309" s="7" t="s">
        <v>28931</v>
      </c>
      <c r="M1309" t="s">
        <v>28931</v>
      </c>
      <c r="N1309">
        <v>15</v>
      </c>
      <c r="O1309">
        <v>0</v>
      </c>
      <c r="P1309">
        <v>15</v>
      </c>
      <c r="Q1309">
        <v>15</v>
      </c>
      <c r="R1309">
        <v>0</v>
      </c>
      <c r="S1309">
        <v>15</v>
      </c>
      <c r="T1309" t="s">
        <v>5038</v>
      </c>
      <c r="U1309" t="s">
        <v>10666</v>
      </c>
      <c r="V1309">
        <f>Tabla1[[#This Row],[Aboard]]-Tabla1[[#This Row],[Fatalities]]</f>
        <v>0</v>
      </c>
      <c r="W1309" s="50">
        <f>IFERROR(Tabla1[[#This Row],[Fatalities]]/Tabla1[[#This Row],[Aboard]],0)</f>
        <v>1</v>
      </c>
      <c r="X1309" s="51" t="str" cm="1">
        <f t="array" ref="X1309">_xlfn.IFS(Tabla1[[#This Row],[Porcentaje de muertes]]&lt;0.35,"LEVE",AND(Tabla1[[#This Row],[Porcentaje de muertes]]&gt;0.35,Tabla1[[#This Row],[Porcentaje de muertes]]&lt;0.65),"MEDIO",Tabla1[[#This Row],[Porcentaje de muertes]]&gt;0.65,"GRAVE")</f>
        <v>GRAVE</v>
      </c>
    </row>
    <row r="1310" spans="2:24" x14ac:dyDescent="0.3">
      <c r="B1310" s="9">
        <v>1309</v>
      </c>
      <c r="C1310" s="49">
        <v>19075</v>
      </c>
      <c r="D1310" s="9">
        <f>YEAR(Tabla1[[#This Row],[Date]])</f>
        <v>1952</v>
      </c>
      <c r="E1310" s="9" t="str" cm="1">
        <f t="array" ref="E1310">IFERROR(_xlfn.IFS(AND(D1310&lt;1980,D1310&gt;=1970),"70",AND(D1310&lt;1990,D1310&gt;=1980),"80",AND(D1310&lt;2000,D1310&gt;=1990),"90",AND(D1310&lt;2010,D1310&gt;=2000),"00",AND(D1310&lt;=2019,D1310&gt;=2010),"10"),"1908-1970")</f>
        <v>1908-1970</v>
      </c>
      <c r="F1310" s="3">
        <v>0.58333333333333337</v>
      </c>
      <c r="G1310" t="s">
        <v>10667</v>
      </c>
      <c r="H1310" t="s">
        <v>10668</v>
      </c>
      <c r="I1310" t="s">
        <v>28931</v>
      </c>
      <c r="J1310" t="s">
        <v>10669</v>
      </c>
      <c r="K1310" t="s">
        <v>7934</v>
      </c>
      <c r="L1310" s="7" t="s">
        <v>10670</v>
      </c>
      <c r="M1310">
        <v>4695</v>
      </c>
      <c r="N1310">
        <v>4</v>
      </c>
      <c r="O1310">
        <v>3</v>
      </c>
      <c r="P1310">
        <v>1</v>
      </c>
      <c r="Q1310">
        <v>4</v>
      </c>
      <c r="R1310">
        <v>3</v>
      </c>
      <c r="S1310">
        <v>1</v>
      </c>
      <c r="T1310">
        <v>0</v>
      </c>
      <c r="U1310" t="s">
        <v>10671</v>
      </c>
      <c r="V1310">
        <f>Tabla1[[#This Row],[Aboard]]-Tabla1[[#This Row],[Fatalities]]</f>
        <v>0</v>
      </c>
      <c r="W1310" s="50">
        <f>IFERROR(Tabla1[[#This Row],[Fatalities]]/Tabla1[[#This Row],[Aboard]],0)</f>
        <v>1</v>
      </c>
      <c r="X1310" s="51" t="str" cm="1">
        <f t="array" ref="X1310">_xlfn.IFS(Tabla1[[#This Row],[Porcentaje de muertes]]&lt;0.35,"LEVE",AND(Tabla1[[#This Row],[Porcentaje de muertes]]&gt;0.35,Tabla1[[#This Row],[Porcentaje de muertes]]&lt;0.65),"MEDIO",Tabla1[[#This Row],[Porcentaje de muertes]]&gt;0.65,"GRAVE")</f>
        <v>GRAVE</v>
      </c>
    </row>
    <row r="1311" spans="2:24" x14ac:dyDescent="0.3">
      <c r="B1311" s="9">
        <v>1310</v>
      </c>
      <c r="C1311" s="49">
        <v>19075</v>
      </c>
      <c r="D1311" s="9">
        <f>YEAR(Tabla1[[#This Row],[Date]])</f>
        <v>1952</v>
      </c>
      <c r="E1311" s="9" t="str" cm="1">
        <f t="array" ref="E1311">IFERROR(_xlfn.IFS(AND(D1311&lt;1980,D1311&gt;=1970),"70",AND(D1311&lt;1990,D1311&gt;=1980),"80",AND(D1311&lt;2000,D1311&gt;=1990),"90",AND(D1311&lt;2010,D1311&gt;=2000),"00",AND(D1311&lt;=2019,D1311&gt;=2010),"10"),"1908-1970")</f>
        <v>1908-1970</v>
      </c>
      <c r="F1311" s="3">
        <v>0.44791666666666669</v>
      </c>
      <c r="G1311" t="s">
        <v>5590</v>
      </c>
      <c r="H1311" t="s">
        <v>5332</v>
      </c>
      <c r="I1311" t="s">
        <v>28931</v>
      </c>
      <c r="J1311" t="s">
        <v>10672</v>
      </c>
      <c r="K1311" t="s">
        <v>9230</v>
      </c>
      <c r="L1311" s="7" t="s">
        <v>10673</v>
      </c>
      <c r="M1311" t="s">
        <v>10674</v>
      </c>
      <c r="N1311">
        <v>47</v>
      </c>
      <c r="O1311">
        <v>37</v>
      </c>
      <c r="P1311">
        <v>10</v>
      </c>
      <c r="Q1311">
        <v>45</v>
      </c>
      <c r="R1311">
        <v>36</v>
      </c>
      <c r="S1311">
        <v>9</v>
      </c>
      <c r="T1311">
        <v>0</v>
      </c>
      <c r="U1311" t="s">
        <v>10675</v>
      </c>
      <c r="V1311">
        <f>Tabla1[[#This Row],[Aboard]]-Tabla1[[#This Row],[Fatalities]]</f>
        <v>2</v>
      </c>
      <c r="W1311" s="50">
        <f>IFERROR(Tabla1[[#This Row],[Fatalities]]/Tabla1[[#This Row],[Aboard]],0)</f>
        <v>0.95744680851063835</v>
      </c>
      <c r="X1311" s="51" t="str" cm="1">
        <f t="array" ref="X1311">_xlfn.IFS(Tabla1[[#This Row],[Porcentaje de muertes]]&lt;0.35,"LEVE",AND(Tabla1[[#This Row],[Porcentaje de muertes]]&gt;0.35,Tabla1[[#This Row],[Porcentaje de muertes]]&lt;0.65),"MEDIO",Tabla1[[#This Row],[Porcentaje de muertes]]&gt;0.65,"GRAVE")</f>
        <v>GRAVE</v>
      </c>
    </row>
    <row r="1312" spans="2:24" x14ac:dyDescent="0.3">
      <c r="B1312" s="9">
        <v>1311</v>
      </c>
      <c r="C1312" s="49">
        <v>19077</v>
      </c>
      <c r="D1312" s="9">
        <f>YEAR(Tabla1[[#This Row],[Date]])</f>
        <v>1952</v>
      </c>
      <c r="E1312" s="9" t="str" cm="1">
        <f t="array" ref="E1312">IFERROR(_xlfn.IFS(AND(D1312&lt;1980,D1312&gt;=1970),"70",AND(D1312&lt;1990,D1312&gt;=1980),"80",AND(D1312&lt;2000,D1312&gt;=1990),"90",AND(D1312&lt;2010,D1312&gt;=2000),"00",AND(D1312&lt;=2019,D1312&gt;=2010),"10"),"1908-1970")</f>
        <v>1908-1970</v>
      </c>
      <c r="F1312" s="3">
        <v>0.13194444444444445</v>
      </c>
      <c r="G1312" t="s">
        <v>10676</v>
      </c>
      <c r="H1312" t="s">
        <v>10677</v>
      </c>
      <c r="I1312" t="s">
        <v>28931</v>
      </c>
      <c r="J1312" t="s">
        <v>10678</v>
      </c>
      <c r="K1312" t="s">
        <v>7640</v>
      </c>
      <c r="L1312" s="7" t="s">
        <v>10679</v>
      </c>
      <c r="M1312">
        <v>2005</v>
      </c>
      <c r="N1312">
        <v>21</v>
      </c>
      <c r="O1312">
        <v>18</v>
      </c>
      <c r="P1312">
        <v>3</v>
      </c>
      <c r="Q1312">
        <v>17</v>
      </c>
      <c r="R1312">
        <v>14</v>
      </c>
      <c r="S1312">
        <v>3</v>
      </c>
      <c r="T1312">
        <v>0</v>
      </c>
      <c r="U1312" t="s">
        <v>10680</v>
      </c>
      <c r="V1312">
        <f>Tabla1[[#This Row],[Aboard]]-Tabla1[[#This Row],[Fatalities]]</f>
        <v>4</v>
      </c>
      <c r="W1312" s="50">
        <f>IFERROR(Tabla1[[#This Row],[Fatalities]]/Tabla1[[#This Row],[Aboard]],0)</f>
        <v>0.80952380952380953</v>
      </c>
      <c r="X1312" s="51" t="str" cm="1">
        <f t="array" ref="X1312">_xlfn.IFS(Tabla1[[#This Row],[Porcentaje de muertes]]&lt;0.35,"LEVE",AND(Tabla1[[#This Row],[Porcentaje de muertes]]&gt;0.35,Tabla1[[#This Row],[Porcentaje de muertes]]&lt;0.65),"MEDIO",Tabla1[[#This Row],[Porcentaje de muertes]]&gt;0.65,"GRAVE")</f>
        <v>GRAVE</v>
      </c>
    </row>
    <row r="1313" spans="2:24" x14ac:dyDescent="0.3">
      <c r="B1313" s="9">
        <v>1312</v>
      </c>
      <c r="C1313" s="49">
        <v>19079</v>
      </c>
      <c r="D1313" s="9">
        <f>YEAR(Tabla1[[#This Row],[Date]])</f>
        <v>1952</v>
      </c>
      <c r="E1313" s="9" t="str" cm="1">
        <f t="array" ref="E1313">IFERROR(_xlfn.IFS(AND(D1313&lt;1980,D1313&gt;=1970),"70",AND(D1313&lt;1990,D1313&gt;=1980),"80",AND(D1313&lt;2000,D1313&gt;=1990),"90",AND(D1313&lt;2010,D1313&gt;=2000),"00",AND(D1313&lt;=2019,D1313&gt;=2010),"10"),"1908-1970")</f>
        <v>1908-1970</v>
      </c>
      <c r="F1313" s="3" t="s">
        <v>28931</v>
      </c>
      <c r="G1313" t="s">
        <v>10681</v>
      </c>
      <c r="H1313" t="s">
        <v>6541</v>
      </c>
      <c r="I1313" t="s">
        <v>28931</v>
      </c>
      <c r="J1313" t="s">
        <v>28931</v>
      </c>
      <c r="K1313" t="s">
        <v>5038</v>
      </c>
      <c r="L1313" s="7" t="s">
        <v>28931</v>
      </c>
      <c r="M1313" t="s">
        <v>28931</v>
      </c>
      <c r="N1313">
        <v>70</v>
      </c>
      <c r="O1313" t="s">
        <v>5038</v>
      </c>
      <c r="P1313" t="s">
        <v>5038</v>
      </c>
      <c r="Q1313">
        <v>70</v>
      </c>
      <c r="R1313" t="s">
        <v>5038</v>
      </c>
      <c r="S1313" t="s">
        <v>5038</v>
      </c>
      <c r="T1313">
        <v>0</v>
      </c>
      <c r="U1313" t="s">
        <v>10682</v>
      </c>
      <c r="V1313">
        <f>Tabla1[[#This Row],[Aboard]]-Tabla1[[#This Row],[Fatalities]]</f>
        <v>0</v>
      </c>
      <c r="W1313" s="50">
        <f>IFERROR(Tabla1[[#This Row],[Fatalities]]/Tabla1[[#This Row],[Aboard]],0)</f>
        <v>1</v>
      </c>
      <c r="X1313" s="51" t="str" cm="1">
        <f t="array" ref="X1313">_xlfn.IFS(Tabla1[[#This Row],[Porcentaje de muertes]]&lt;0.35,"LEVE",AND(Tabla1[[#This Row],[Porcentaje de muertes]]&gt;0.35,Tabla1[[#This Row],[Porcentaje de muertes]]&lt;0.65),"MEDIO",Tabla1[[#This Row],[Porcentaje de muertes]]&gt;0.65,"GRAVE")</f>
        <v>GRAVE</v>
      </c>
    </row>
    <row r="1314" spans="2:24" x14ac:dyDescent="0.3">
      <c r="B1314" s="9">
        <v>1313</v>
      </c>
      <c r="C1314" s="49">
        <v>19082</v>
      </c>
      <c r="D1314" s="9">
        <f>YEAR(Tabla1[[#This Row],[Date]])</f>
        <v>1952</v>
      </c>
      <c r="E1314" s="9" t="str" cm="1">
        <f t="array" ref="E1314">IFERROR(_xlfn.IFS(AND(D1314&lt;1980,D1314&gt;=1970),"70",AND(D1314&lt;1990,D1314&gt;=1980),"80",AND(D1314&lt;2000,D1314&gt;=1990),"90",AND(D1314&lt;2010,D1314&gt;=2000),"00",AND(D1314&lt;=2019,D1314&gt;=2010),"10"),"1908-1970")</f>
        <v>1908-1970</v>
      </c>
      <c r="F1314" s="3" t="s">
        <v>28931</v>
      </c>
      <c r="G1314" t="s">
        <v>10683</v>
      </c>
      <c r="H1314" t="s">
        <v>8239</v>
      </c>
      <c r="I1314" t="s">
        <v>28931</v>
      </c>
      <c r="J1314" t="s">
        <v>10684</v>
      </c>
      <c r="K1314" t="s">
        <v>7057</v>
      </c>
      <c r="L1314" s="7" t="s">
        <v>10685</v>
      </c>
      <c r="M1314" t="s">
        <v>28931</v>
      </c>
      <c r="N1314">
        <v>12</v>
      </c>
      <c r="O1314">
        <v>9</v>
      </c>
      <c r="P1314">
        <v>3</v>
      </c>
      <c r="Q1314">
        <v>12</v>
      </c>
      <c r="R1314">
        <v>9</v>
      </c>
      <c r="S1314">
        <v>3</v>
      </c>
      <c r="T1314">
        <v>0</v>
      </c>
      <c r="U1314" t="s">
        <v>10686</v>
      </c>
      <c r="V1314">
        <f>Tabla1[[#This Row],[Aboard]]-Tabla1[[#This Row],[Fatalities]]</f>
        <v>0</v>
      </c>
      <c r="W1314" s="50">
        <f>IFERROR(Tabla1[[#This Row],[Fatalities]]/Tabla1[[#This Row],[Aboard]],0)</f>
        <v>1</v>
      </c>
      <c r="X1314" s="51" t="str" cm="1">
        <f t="array" ref="X1314">_xlfn.IFS(Tabla1[[#This Row],[Porcentaje de muertes]]&lt;0.35,"LEVE",AND(Tabla1[[#This Row],[Porcentaje de muertes]]&gt;0.35,Tabla1[[#This Row],[Porcentaje de muertes]]&lt;0.65),"MEDIO",Tabla1[[#This Row],[Porcentaje de muertes]]&gt;0.65,"GRAVE")</f>
        <v>GRAVE</v>
      </c>
    </row>
    <row r="1315" spans="2:24" x14ac:dyDescent="0.3">
      <c r="B1315" s="9">
        <v>1314</v>
      </c>
      <c r="C1315" s="49">
        <v>19083</v>
      </c>
      <c r="D1315" s="9">
        <f>YEAR(Tabla1[[#This Row],[Date]])</f>
        <v>1952</v>
      </c>
      <c r="E1315" s="9" t="str" cm="1">
        <f t="array" ref="E1315">IFERROR(_xlfn.IFS(AND(D1315&lt;1980,D1315&gt;=1970),"70",AND(D1315&lt;1990,D1315&gt;=1980),"80",AND(D1315&lt;2000,D1315&gt;=1990),"90",AND(D1315&lt;2010,D1315&gt;=2000),"00",AND(D1315&lt;=2019,D1315&gt;=2010),"10"),"1908-1970")</f>
        <v>1908-1970</v>
      </c>
      <c r="F1315" s="3" t="s">
        <v>28931</v>
      </c>
      <c r="G1315" t="s">
        <v>10687</v>
      </c>
      <c r="H1315" t="s">
        <v>8992</v>
      </c>
      <c r="I1315" t="s">
        <v>28931</v>
      </c>
      <c r="J1315" t="s">
        <v>28931</v>
      </c>
      <c r="K1315" t="s">
        <v>7057</v>
      </c>
      <c r="L1315" s="7" t="s">
        <v>10688</v>
      </c>
      <c r="M1315">
        <v>13808</v>
      </c>
      <c r="N1315">
        <v>29</v>
      </c>
      <c r="O1315">
        <v>26</v>
      </c>
      <c r="P1315">
        <v>3</v>
      </c>
      <c r="Q1315">
        <v>10</v>
      </c>
      <c r="R1315">
        <v>8</v>
      </c>
      <c r="S1315">
        <v>2</v>
      </c>
      <c r="T1315">
        <v>0</v>
      </c>
      <c r="U1315" t="s">
        <v>10689</v>
      </c>
      <c r="V1315">
        <f>Tabla1[[#This Row],[Aboard]]-Tabla1[[#This Row],[Fatalities]]</f>
        <v>19</v>
      </c>
      <c r="W1315" s="50">
        <f>IFERROR(Tabla1[[#This Row],[Fatalities]]/Tabla1[[#This Row],[Aboard]],0)</f>
        <v>0.34482758620689657</v>
      </c>
      <c r="X1315" s="51" t="str" cm="1">
        <f t="array" ref="X1315">_xlfn.IFS(Tabla1[[#This Row],[Porcentaje de muertes]]&lt;0.35,"LEVE",AND(Tabla1[[#This Row],[Porcentaje de muertes]]&gt;0.35,Tabla1[[#This Row],[Porcentaje de muertes]]&lt;0.65),"MEDIO",Tabla1[[#This Row],[Porcentaje de muertes]]&gt;0.65,"GRAVE")</f>
        <v>LEVE</v>
      </c>
    </row>
    <row r="1316" spans="2:24" x14ac:dyDescent="0.3">
      <c r="B1316" s="9">
        <v>1315</v>
      </c>
      <c r="C1316" s="49">
        <v>19118</v>
      </c>
      <c r="D1316" s="9">
        <f>YEAR(Tabla1[[#This Row],[Date]])</f>
        <v>1952</v>
      </c>
      <c r="E1316" s="9" t="str" cm="1">
        <f t="array" ref="E1316">IFERROR(_xlfn.IFS(AND(D1316&lt;1980,D1316&gt;=1970),"70",AND(D1316&lt;1990,D1316&gt;=1980),"80",AND(D1316&lt;2000,D1316&gt;=1990),"90",AND(D1316&lt;2010,D1316&gt;=2000),"00",AND(D1316&lt;=2019,D1316&gt;=2010),"10"),"1908-1970")</f>
        <v>1908-1970</v>
      </c>
      <c r="F1316" s="3">
        <v>0.35069444444444442</v>
      </c>
      <c r="G1316" t="s">
        <v>5425</v>
      </c>
      <c r="H1316" t="s">
        <v>10690</v>
      </c>
      <c r="I1316" s="5">
        <v>44596</v>
      </c>
      <c r="J1316" t="s">
        <v>10691</v>
      </c>
      <c r="K1316" t="s">
        <v>9851</v>
      </c>
      <c r="L1316" s="7" t="s">
        <v>10692</v>
      </c>
      <c r="M1316">
        <v>22464</v>
      </c>
      <c r="N1316">
        <v>2</v>
      </c>
      <c r="O1316">
        <v>0</v>
      </c>
      <c r="P1316">
        <v>2</v>
      </c>
      <c r="Q1316">
        <v>2</v>
      </c>
      <c r="R1316">
        <v>0</v>
      </c>
      <c r="S1316">
        <v>2</v>
      </c>
      <c r="T1316">
        <v>3</v>
      </c>
      <c r="U1316" t="s">
        <v>10693</v>
      </c>
      <c r="V1316">
        <f>Tabla1[[#This Row],[Aboard]]-Tabla1[[#This Row],[Fatalities]]</f>
        <v>0</v>
      </c>
      <c r="W1316" s="50">
        <f>IFERROR(Tabla1[[#This Row],[Fatalities]]/Tabla1[[#This Row],[Aboard]],0)</f>
        <v>1</v>
      </c>
      <c r="X1316" s="51" t="str" cm="1">
        <f t="array" ref="X1316">_xlfn.IFS(Tabla1[[#This Row],[Porcentaje de muertes]]&lt;0.35,"LEVE",AND(Tabla1[[#This Row],[Porcentaje de muertes]]&gt;0.35,Tabla1[[#This Row],[Porcentaje de muertes]]&lt;0.65),"MEDIO",Tabla1[[#This Row],[Porcentaje de muertes]]&gt;0.65,"GRAVE")</f>
        <v>GRAVE</v>
      </c>
    </row>
    <row r="1317" spans="2:24" x14ac:dyDescent="0.3">
      <c r="B1317" s="9">
        <v>1316</v>
      </c>
      <c r="C1317" s="49">
        <v>19241</v>
      </c>
      <c r="D1317" s="9">
        <f>YEAR(Tabla1[[#This Row],[Date]])</f>
        <v>1952</v>
      </c>
      <c r="E1317" s="9" t="str" cm="1">
        <f t="array" ref="E1317">IFERROR(_xlfn.IFS(AND(D1317&lt;1980,D1317&gt;=1970),"70",AND(D1317&lt;1990,D1317&gt;=1980),"80",AND(D1317&lt;2000,D1317&gt;=1990),"90",AND(D1317&lt;2010,D1317&gt;=2000),"00",AND(D1317&lt;=2019,D1317&gt;=2010),"10"),"1908-1970")</f>
        <v>1908-1970</v>
      </c>
      <c r="F1317" s="3">
        <v>0.33819444444444446</v>
      </c>
      <c r="G1317" t="s">
        <v>10694</v>
      </c>
      <c r="H1317" t="s">
        <v>10695</v>
      </c>
      <c r="I1317" t="s">
        <v>28931</v>
      </c>
      <c r="J1317" t="s">
        <v>10696</v>
      </c>
      <c r="K1317" t="s">
        <v>9582</v>
      </c>
      <c r="L1317" s="7" t="s">
        <v>10697</v>
      </c>
      <c r="M1317">
        <v>9164</v>
      </c>
      <c r="N1317">
        <v>37</v>
      </c>
      <c r="O1317">
        <v>33</v>
      </c>
      <c r="P1317">
        <v>4</v>
      </c>
      <c r="Q1317">
        <v>37</v>
      </c>
      <c r="R1317">
        <v>33</v>
      </c>
      <c r="S1317">
        <v>4</v>
      </c>
      <c r="T1317">
        <v>0</v>
      </c>
      <c r="U1317" t="s">
        <v>10698</v>
      </c>
      <c r="V1317">
        <f>Tabla1[[#This Row],[Aboard]]-Tabla1[[#This Row],[Fatalities]]</f>
        <v>0</v>
      </c>
      <c r="W1317" s="50">
        <f>IFERROR(Tabla1[[#This Row],[Fatalities]]/Tabla1[[#This Row],[Aboard]],0)</f>
        <v>1</v>
      </c>
      <c r="X1317" s="51" t="str" cm="1">
        <f t="array" ref="X1317">_xlfn.IFS(Tabla1[[#This Row],[Porcentaje de muertes]]&lt;0.35,"LEVE",AND(Tabla1[[#This Row],[Porcentaje de muertes]]&gt;0.35,Tabla1[[#This Row],[Porcentaje de muertes]]&lt;0.65),"MEDIO",Tabla1[[#This Row],[Porcentaje de muertes]]&gt;0.65,"GRAVE")</f>
        <v>GRAVE</v>
      </c>
    </row>
    <row r="1318" spans="2:24" x14ac:dyDescent="0.3">
      <c r="B1318" s="9">
        <v>1317</v>
      </c>
      <c r="C1318" s="49">
        <v>19271</v>
      </c>
      <c r="D1318" s="9">
        <f>YEAR(Tabla1[[#This Row],[Date]])</f>
        <v>1952</v>
      </c>
      <c r="E1318" s="9" t="str" cm="1">
        <f t="array" ref="E1318">IFERROR(_xlfn.IFS(AND(D1318&lt;1980,D1318&gt;=1970),"70",AND(D1318&lt;1990,D1318&gt;=1980),"80",AND(D1318&lt;2000,D1318&gt;=1990),"90",AND(D1318&lt;2010,D1318&gt;=2000),"00",AND(D1318&lt;=2019,D1318&gt;=2010),"10"),"1908-1970")</f>
        <v>1908-1970</v>
      </c>
      <c r="F1318" s="3" t="s">
        <v>28931</v>
      </c>
      <c r="G1318" t="s">
        <v>10699</v>
      </c>
      <c r="H1318" t="s">
        <v>10608</v>
      </c>
      <c r="I1318" t="s">
        <v>28931</v>
      </c>
      <c r="J1318" t="s">
        <v>28931</v>
      </c>
      <c r="K1318" t="s">
        <v>8105</v>
      </c>
      <c r="L1318" s="7" t="s">
        <v>10700</v>
      </c>
      <c r="M1318">
        <v>13628</v>
      </c>
      <c r="N1318">
        <v>4</v>
      </c>
      <c r="O1318">
        <v>0</v>
      </c>
      <c r="P1318">
        <v>4</v>
      </c>
      <c r="Q1318">
        <v>4</v>
      </c>
      <c r="R1318">
        <v>0</v>
      </c>
      <c r="S1318">
        <v>4</v>
      </c>
      <c r="T1318">
        <v>0</v>
      </c>
      <c r="U1318" t="s">
        <v>10701</v>
      </c>
      <c r="V1318">
        <f>Tabla1[[#This Row],[Aboard]]-Tabla1[[#This Row],[Fatalities]]</f>
        <v>0</v>
      </c>
      <c r="W1318" s="50">
        <f>IFERROR(Tabla1[[#This Row],[Fatalities]]/Tabla1[[#This Row],[Aboard]],0)</f>
        <v>1</v>
      </c>
      <c r="X1318" s="51" t="str" cm="1">
        <f t="array" ref="X1318">_xlfn.IFS(Tabla1[[#This Row],[Porcentaje de muertes]]&lt;0.35,"LEVE",AND(Tabla1[[#This Row],[Porcentaje de muertes]]&gt;0.35,Tabla1[[#This Row],[Porcentaje de muertes]]&lt;0.65),"MEDIO",Tabla1[[#This Row],[Porcentaje de muertes]]&gt;0.65,"GRAVE")</f>
        <v>GRAVE</v>
      </c>
    </row>
    <row r="1319" spans="2:24" x14ac:dyDescent="0.3">
      <c r="B1319" s="9">
        <v>1318</v>
      </c>
      <c r="C1319" s="49">
        <v>19302</v>
      </c>
      <c r="D1319" s="9">
        <f>YEAR(Tabla1[[#This Row],[Date]])</f>
        <v>1952</v>
      </c>
      <c r="E1319" s="9" t="str" cm="1">
        <f t="array" ref="E1319">IFERROR(_xlfn.IFS(AND(D1319&lt;1980,D1319&gt;=1970),"70",AND(D1319&lt;1990,D1319&gt;=1980),"80",AND(D1319&lt;2000,D1319&gt;=1990),"90",AND(D1319&lt;2010,D1319&gt;=2000),"00",AND(D1319&lt;=2019,D1319&gt;=2010),"10"),"1908-1970")</f>
        <v>1908-1970</v>
      </c>
      <c r="F1319" s="3">
        <v>0.51388888888888895</v>
      </c>
      <c r="G1319" t="s">
        <v>10702</v>
      </c>
      <c r="H1319" t="s">
        <v>7121</v>
      </c>
      <c r="I1319" t="s">
        <v>10703</v>
      </c>
      <c r="J1319" t="s">
        <v>10704</v>
      </c>
      <c r="K1319" t="s">
        <v>8822</v>
      </c>
      <c r="L1319" s="7" t="s">
        <v>10705</v>
      </c>
      <c r="M1319">
        <v>10503</v>
      </c>
      <c r="N1319">
        <v>69</v>
      </c>
      <c r="O1319">
        <v>64</v>
      </c>
      <c r="P1319">
        <v>5</v>
      </c>
      <c r="Q1319">
        <v>52</v>
      </c>
      <c r="R1319">
        <v>52</v>
      </c>
      <c r="S1319">
        <v>0</v>
      </c>
      <c r="T1319">
        <v>0</v>
      </c>
      <c r="U1319" t="s">
        <v>10706</v>
      </c>
      <c r="V1319">
        <f>Tabla1[[#This Row],[Aboard]]-Tabla1[[#This Row],[Fatalities]]</f>
        <v>17</v>
      </c>
      <c r="W1319" s="50">
        <f>IFERROR(Tabla1[[#This Row],[Fatalities]]/Tabla1[[#This Row],[Aboard]],0)</f>
        <v>0.75362318840579712</v>
      </c>
      <c r="X1319" s="51" t="str" cm="1">
        <f t="array" ref="X1319">_xlfn.IFS(Tabla1[[#This Row],[Porcentaje de muertes]]&lt;0.35,"LEVE",AND(Tabla1[[#This Row],[Porcentaje de muertes]]&gt;0.35,Tabla1[[#This Row],[Porcentaje de muertes]]&lt;0.65),"MEDIO",Tabla1[[#This Row],[Porcentaje de muertes]]&gt;0.65,"GRAVE")</f>
        <v>GRAVE</v>
      </c>
    </row>
    <row r="1320" spans="2:24" x14ac:dyDescent="0.3">
      <c r="B1320" s="9">
        <v>1319</v>
      </c>
      <c r="C1320" s="49">
        <v>19102</v>
      </c>
      <c r="D1320" s="9">
        <f>YEAR(Tabla1[[#This Row],[Date]])</f>
        <v>1952</v>
      </c>
      <c r="E1320" s="9" t="str" cm="1">
        <f t="array" ref="E1320">IFERROR(_xlfn.IFS(AND(D1320&lt;1980,D1320&gt;=1970),"70",AND(D1320&lt;1990,D1320&gt;=1980),"80",AND(D1320&lt;2000,D1320&gt;=1990),"90",AND(D1320&lt;2010,D1320&gt;=2000),"00",AND(D1320&lt;=2019,D1320&gt;=2010),"10"),"1908-1970")</f>
        <v>1908-1970</v>
      </c>
      <c r="F1320" s="3">
        <v>0.14861111111111111</v>
      </c>
      <c r="G1320" t="s">
        <v>10707</v>
      </c>
      <c r="H1320" t="s">
        <v>10708</v>
      </c>
      <c r="I1320" t="s">
        <v>10709</v>
      </c>
      <c r="J1320" t="s">
        <v>10710</v>
      </c>
      <c r="K1320" t="s">
        <v>10711</v>
      </c>
      <c r="L1320" s="7" t="s">
        <v>10712</v>
      </c>
      <c r="M1320">
        <v>22466</v>
      </c>
      <c r="N1320">
        <v>29</v>
      </c>
      <c r="O1320">
        <v>26</v>
      </c>
      <c r="P1320">
        <v>3</v>
      </c>
      <c r="Q1320">
        <v>29</v>
      </c>
      <c r="R1320">
        <v>26</v>
      </c>
      <c r="S1320">
        <v>3</v>
      </c>
      <c r="T1320">
        <v>0</v>
      </c>
      <c r="U1320" t="s">
        <v>10713</v>
      </c>
      <c r="V1320">
        <f>Tabla1[[#This Row],[Aboard]]-Tabla1[[#This Row],[Fatalities]]</f>
        <v>0</v>
      </c>
      <c r="W1320" s="50">
        <f>IFERROR(Tabla1[[#This Row],[Fatalities]]/Tabla1[[#This Row],[Aboard]],0)</f>
        <v>1</v>
      </c>
      <c r="X1320" s="51" t="str" cm="1">
        <f t="array" ref="X1320">_xlfn.IFS(Tabla1[[#This Row],[Porcentaje de muertes]]&lt;0.35,"LEVE",AND(Tabla1[[#This Row],[Porcentaje de muertes]]&gt;0.35,Tabla1[[#This Row],[Porcentaje de muertes]]&lt;0.65),"MEDIO",Tabla1[[#This Row],[Porcentaje de muertes]]&gt;0.65,"GRAVE")</f>
        <v>GRAVE</v>
      </c>
    </row>
    <row r="1321" spans="2:24" x14ac:dyDescent="0.3">
      <c r="B1321" s="9">
        <v>1320</v>
      </c>
      <c r="C1321" s="49">
        <v>19113</v>
      </c>
      <c r="D1321" s="9">
        <f>YEAR(Tabla1[[#This Row],[Date]])</f>
        <v>1952</v>
      </c>
      <c r="E1321" s="9" t="str" cm="1">
        <f t="array" ref="E1321">IFERROR(_xlfn.IFS(AND(D1321&lt;1980,D1321&gt;=1970),"70",AND(D1321&lt;1990,D1321&gt;=1980),"80",AND(D1321&lt;2000,D1321&gt;=1990),"90",AND(D1321&lt;2010,D1321&gt;=2000),"00",AND(D1321&lt;=2019,D1321&gt;=2010),"10"),"1908-1970")</f>
        <v>1908-1970</v>
      </c>
      <c r="F1321" s="3">
        <v>0.19444444444444445</v>
      </c>
      <c r="G1321" t="s">
        <v>10714</v>
      </c>
      <c r="H1321" t="s">
        <v>7121</v>
      </c>
      <c r="I1321">
        <v>202</v>
      </c>
      <c r="J1321" t="s">
        <v>10715</v>
      </c>
      <c r="K1321" t="s">
        <v>10716</v>
      </c>
      <c r="L1321" s="7" t="s">
        <v>10717</v>
      </c>
      <c r="M1321" t="s">
        <v>10718</v>
      </c>
      <c r="N1321">
        <v>50</v>
      </c>
      <c r="O1321">
        <v>41</v>
      </c>
      <c r="P1321">
        <v>9</v>
      </c>
      <c r="Q1321">
        <v>50</v>
      </c>
      <c r="R1321">
        <v>41</v>
      </c>
      <c r="S1321">
        <v>9</v>
      </c>
      <c r="T1321">
        <v>0</v>
      </c>
      <c r="U1321" t="s">
        <v>10719</v>
      </c>
      <c r="V1321">
        <f>Tabla1[[#This Row],[Aboard]]-Tabla1[[#This Row],[Fatalities]]</f>
        <v>0</v>
      </c>
      <c r="W1321" s="50">
        <f>IFERROR(Tabla1[[#This Row],[Fatalities]]/Tabla1[[#This Row],[Aboard]],0)</f>
        <v>1</v>
      </c>
      <c r="X1321" s="51" t="str" cm="1">
        <f t="array" ref="X1321">_xlfn.IFS(Tabla1[[#This Row],[Porcentaje de muertes]]&lt;0.35,"LEVE",AND(Tabla1[[#This Row],[Porcentaje de muertes]]&gt;0.35,Tabla1[[#This Row],[Porcentaje de muertes]]&lt;0.65),"MEDIO",Tabla1[[#This Row],[Porcentaje de muertes]]&gt;0.65,"GRAVE")</f>
        <v>GRAVE</v>
      </c>
    </row>
    <row r="1322" spans="2:24" x14ac:dyDescent="0.3">
      <c r="B1322" s="9">
        <v>1321</v>
      </c>
      <c r="C1322" s="49">
        <v>19114</v>
      </c>
      <c r="D1322" s="9">
        <f>YEAR(Tabla1[[#This Row],[Date]])</f>
        <v>1952</v>
      </c>
      <c r="E1322" s="9" t="str" cm="1">
        <f t="array" ref="E1322">IFERROR(_xlfn.IFS(AND(D1322&lt;1980,D1322&gt;=1970),"70",AND(D1322&lt;1990,D1322&gt;=1980),"80",AND(D1322&lt;2000,D1322&gt;=1990),"90",AND(D1322&lt;2010,D1322&gt;=2000),"00",AND(D1322&lt;=2019,D1322&gt;=2010),"10"),"1908-1970")</f>
        <v>1908-1970</v>
      </c>
      <c r="F1322" s="3" t="s">
        <v>28931</v>
      </c>
      <c r="G1322" t="s">
        <v>10720</v>
      </c>
      <c r="H1322" t="s">
        <v>10053</v>
      </c>
      <c r="I1322" t="s">
        <v>28931</v>
      </c>
      <c r="J1322" t="s">
        <v>10721</v>
      </c>
      <c r="K1322" t="s">
        <v>7057</v>
      </c>
      <c r="L1322" s="7" t="s">
        <v>10722</v>
      </c>
      <c r="M1322">
        <v>13405</v>
      </c>
      <c r="N1322">
        <v>9</v>
      </c>
      <c r="O1322">
        <v>5</v>
      </c>
      <c r="P1322">
        <v>4</v>
      </c>
      <c r="Q1322">
        <v>9</v>
      </c>
      <c r="R1322">
        <v>5</v>
      </c>
      <c r="S1322">
        <v>4</v>
      </c>
      <c r="T1322">
        <v>0</v>
      </c>
      <c r="U1322" t="s">
        <v>10723</v>
      </c>
      <c r="V1322">
        <f>Tabla1[[#This Row],[Aboard]]-Tabla1[[#This Row],[Fatalities]]</f>
        <v>0</v>
      </c>
      <c r="W1322" s="50">
        <f>IFERROR(Tabla1[[#This Row],[Fatalities]]/Tabla1[[#This Row],[Aboard]],0)</f>
        <v>1</v>
      </c>
      <c r="X1322" s="51" t="str" cm="1">
        <f t="array" ref="X1322">_xlfn.IFS(Tabla1[[#This Row],[Porcentaje de muertes]]&lt;0.35,"LEVE",AND(Tabla1[[#This Row],[Porcentaje de muertes]]&gt;0.35,Tabla1[[#This Row],[Porcentaje de muertes]]&lt;0.65),"MEDIO",Tabla1[[#This Row],[Porcentaje de muertes]]&gt;0.65,"GRAVE")</f>
        <v>GRAVE</v>
      </c>
    </row>
    <row r="1323" spans="2:24" x14ac:dyDescent="0.3">
      <c r="B1323" s="9">
        <v>1322</v>
      </c>
      <c r="C1323" s="49">
        <v>19119</v>
      </c>
      <c r="D1323" s="9">
        <f>YEAR(Tabla1[[#This Row],[Date]])</f>
        <v>1952</v>
      </c>
      <c r="E1323" s="9" t="str" cm="1">
        <f t="array" ref="E1323">IFERROR(_xlfn.IFS(AND(D1323&lt;1980,D1323&gt;=1970),"70",AND(D1323&lt;1990,D1323&gt;=1980),"80",AND(D1323&lt;2000,D1323&gt;=1990),"90",AND(D1323&lt;2010,D1323&gt;=2000),"00",AND(D1323&lt;=2019,D1323&gt;=2010),"10"),"1908-1970")</f>
        <v>1908-1970</v>
      </c>
      <c r="F1323" s="3" t="s">
        <v>28931</v>
      </c>
      <c r="G1323" t="s">
        <v>10724</v>
      </c>
      <c r="H1323" t="s">
        <v>10725</v>
      </c>
      <c r="I1323" t="s">
        <v>28931</v>
      </c>
      <c r="J1323" t="s">
        <v>10726</v>
      </c>
      <c r="K1323" t="s">
        <v>8105</v>
      </c>
      <c r="L1323" s="7" t="s">
        <v>10727</v>
      </c>
      <c r="M1323">
        <v>12148</v>
      </c>
      <c r="N1323">
        <v>29</v>
      </c>
      <c r="O1323">
        <v>26</v>
      </c>
      <c r="P1323">
        <v>3</v>
      </c>
      <c r="Q1323">
        <v>11</v>
      </c>
      <c r="R1323">
        <v>8</v>
      </c>
      <c r="S1323">
        <v>3</v>
      </c>
      <c r="T1323">
        <v>0</v>
      </c>
      <c r="U1323" t="s">
        <v>10728</v>
      </c>
      <c r="V1323">
        <f>Tabla1[[#This Row],[Aboard]]-Tabla1[[#This Row],[Fatalities]]</f>
        <v>18</v>
      </c>
      <c r="W1323" s="50">
        <f>IFERROR(Tabla1[[#This Row],[Fatalities]]/Tabla1[[#This Row],[Aboard]],0)</f>
        <v>0.37931034482758619</v>
      </c>
      <c r="X1323" s="51" t="str" cm="1">
        <f t="array" ref="X1323">_xlfn.IFS(Tabla1[[#This Row],[Porcentaje de muertes]]&lt;0.35,"LEVE",AND(Tabla1[[#This Row],[Porcentaje de muertes]]&gt;0.35,Tabla1[[#This Row],[Porcentaje de muertes]]&lt;0.65),"MEDIO",Tabla1[[#This Row],[Porcentaje de muertes]]&gt;0.65,"GRAVE")</f>
        <v>MEDIO</v>
      </c>
    </row>
    <row r="1324" spans="2:24" x14ac:dyDescent="0.3">
      <c r="B1324" s="9">
        <v>1323</v>
      </c>
      <c r="C1324" s="49">
        <v>19242</v>
      </c>
      <c r="D1324" s="9">
        <f>YEAR(Tabla1[[#This Row],[Date]])</f>
        <v>1952</v>
      </c>
      <c r="E1324" s="9" t="str" cm="1">
        <f t="array" ref="E1324">IFERROR(_xlfn.IFS(AND(D1324&lt;1980,D1324&gt;=1970),"70",AND(D1324&lt;1990,D1324&gt;=1980),"80",AND(D1324&lt;2000,D1324&gt;=1990),"90",AND(D1324&lt;2010,D1324&gt;=2000),"00",AND(D1324&lt;=2019,D1324&gt;=2010),"10"),"1908-1970")</f>
        <v>1908-1970</v>
      </c>
      <c r="F1324" s="3" t="s">
        <v>28931</v>
      </c>
      <c r="G1324" t="s">
        <v>10729</v>
      </c>
      <c r="H1324" t="s">
        <v>10225</v>
      </c>
      <c r="I1324" t="s">
        <v>28931</v>
      </c>
      <c r="J1324" t="s">
        <v>28931</v>
      </c>
      <c r="K1324" t="s">
        <v>7057</v>
      </c>
      <c r="L1324" s="7" t="s">
        <v>10730</v>
      </c>
      <c r="M1324">
        <v>42954</v>
      </c>
      <c r="N1324">
        <v>17</v>
      </c>
      <c r="O1324" t="s">
        <v>5038</v>
      </c>
      <c r="P1324" t="s">
        <v>5038</v>
      </c>
      <c r="Q1324">
        <v>17</v>
      </c>
      <c r="R1324" t="s">
        <v>5038</v>
      </c>
      <c r="S1324" t="s">
        <v>5038</v>
      </c>
      <c r="T1324">
        <v>0</v>
      </c>
      <c r="U1324" t="s">
        <v>9744</v>
      </c>
      <c r="V1324">
        <f>Tabla1[[#This Row],[Aboard]]-Tabla1[[#This Row],[Fatalities]]</f>
        <v>0</v>
      </c>
      <c r="W1324" s="50">
        <f>IFERROR(Tabla1[[#This Row],[Fatalities]]/Tabla1[[#This Row],[Aboard]],0)</f>
        <v>1</v>
      </c>
      <c r="X1324" s="51" t="str" cm="1">
        <f t="array" ref="X1324">_xlfn.IFS(Tabla1[[#This Row],[Porcentaje de muertes]]&lt;0.35,"LEVE",AND(Tabla1[[#This Row],[Porcentaje de muertes]]&gt;0.35,Tabla1[[#This Row],[Porcentaje de muertes]]&lt;0.65),"MEDIO",Tabla1[[#This Row],[Porcentaje de muertes]]&gt;0.65,"GRAVE")</f>
        <v>GRAVE</v>
      </c>
    </row>
    <row r="1325" spans="2:24" x14ac:dyDescent="0.3">
      <c r="B1325" s="9">
        <v>1324</v>
      </c>
      <c r="C1325" s="49">
        <v>19127</v>
      </c>
      <c r="D1325" s="9">
        <f>YEAR(Tabla1[[#This Row],[Date]])</f>
        <v>1952</v>
      </c>
      <c r="E1325" s="9" t="str" cm="1">
        <f t="array" ref="E1325">IFERROR(_xlfn.IFS(AND(D1325&lt;1980,D1325&gt;=1970),"70",AND(D1325&lt;1990,D1325&gt;=1980),"80",AND(D1325&lt;2000,D1325&gt;=1990),"90",AND(D1325&lt;2010,D1325&gt;=2000),"00",AND(D1325&lt;=2019,D1325&gt;=2010),"10"),"1908-1970")</f>
        <v>1908-1970</v>
      </c>
      <c r="F1325" s="3" t="s">
        <v>28931</v>
      </c>
      <c r="G1325" t="s">
        <v>7197</v>
      </c>
      <c r="H1325" t="s">
        <v>7581</v>
      </c>
      <c r="I1325" t="s">
        <v>28931</v>
      </c>
      <c r="J1325" t="s">
        <v>10731</v>
      </c>
      <c r="K1325" t="s">
        <v>7057</v>
      </c>
      <c r="L1325" s="7" t="s">
        <v>10732</v>
      </c>
      <c r="M1325" t="s">
        <v>10733</v>
      </c>
      <c r="N1325">
        <v>22</v>
      </c>
      <c r="O1325">
        <v>19</v>
      </c>
      <c r="P1325">
        <v>3</v>
      </c>
      <c r="Q1325">
        <v>5</v>
      </c>
      <c r="R1325">
        <v>3</v>
      </c>
      <c r="S1325">
        <v>2</v>
      </c>
      <c r="T1325">
        <v>0</v>
      </c>
      <c r="U1325" t="s">
        <v>10734</v>
      </c>
      <c r="V1325">
        <f>Tabla1[[#This Row],[Aboard]]-Tabla1[[#This Row],[Fatalities]]</f>
        <v>17</v>
      </c>
      <c r="W1325" s="50">
        <f>IFERROR(Tabla1[[#This Row],[Fatalities]]/Tabla1[[#This Row],[Aboard]],0)</f>
        <v>0.22727272727272727</v>
      </c>
      <c r="X1325" s="51" t="str" cm="1">
        <f t="array" ref="X1325">_xlfn.IFS(Tabla1[[#This Row],[Porcentaje de muertes]]&lt;0.35,"LEVE",AND(Tabla1[[#This Row],[Porcentaje de muertes]]&gt;0.35,Tabla1[[#This Row],[Porcentaje de muertes]]&lt;0.65),"MEDIO",Tabla1[[#This Row],[Porcentaje de muertes]]&gt;0.65,"GRAVE")</f>
        <v>LEVE</v>
      </c>
    </row>
    <row r="1326" spans="2:24" x14ac:dyDescent="0.3">
      <c r="B1326" s="9">
        <v>1325</v>
      </c>
      <c r="C1326" s="49">
        <v>19138</v>
      </c>
      <c r="D1326" s="9">
        <f>YEAR(Tabla1[[#This Row],[Date]])</f>
        <v>1952</v>
      </c>
      <c r="E1326" s="9" t="str" cm="1">
        <f t="array" ref="E1326">IFERROR(_xlfn.IFS(AND(D1326&lt;1980,D1326&gt;=1970),"70",AND(D1326&lt;1990,D1326&gt;=1980),"80",AND(D1326&lt;2000,D1326&gt;=1990),"90",AND(D1326&lt;2010,D1326&gt;=2000),"00",AND(D1326&lt;=2019,D1326&gt;=2010),"10"),"1908-1970")</f>
        <v>1908-1970</v>
      </c>
      <c r="F1326" s="3" t="s">
        <v>28931</v>
      </c>
      <c r="G1326" t="s">
        <v>10735</v>
      </c>
      <c r="H1326" t="s">
        <v>10465</v>
      </c>
      <c r="I1326" t="s">
        <v>28931</v>
      </c>
      <c r="J1326" t="s">
        <v>28931</v>
      </c>
      <c r="K1326" t="s">
        <v>8305</v>
      </c>
      <c r="L1326" s="7" t="s">
        <v>10736</v>
      </c>
      <c r="M1326">
        <v>446</v>
      </c>
      <c r="N1326">
        <v>6</v>
      </c>
      <c r="O1326">
        <v>0</v>
      </c>
      <c r="P1326">
        <v>6</v>
      </c>
      <c r="Q1326">
        <v>6</v>
      </c>
      <c r="R1326">
        <v>0</v>
      </c>
      <c r="S1326">
        <v>6</v>
      </c>
      <c r="T1326">
        <v>0</v>
      </c>
      <c r="U1326" t="s">
        <v>10737</v>
      </c>
      <c r="V1326">
        <f>Tabla1[[#This Row],[Aboard]]-Tabla1[[#This Row],[Fatalities]]</f>
        <v>0</v>
      </c>
      <c r="W1326" s="50">
        <f>IFERROR(Tabla1[[#This Row],[Fatalities]]/Tabla1[[#This Row],[Aboard]],0)</f>
        <v>1</v>
      </c>
      <c r="X1326" s="51" t="str" cm="1">
        <f t="array" ref="X1326">_xlfn.IFS(Tabla1[[#This Row],[Porcentaje de muertes]]&lt;0.35,"LEVE",AND(Tabla1[[#This Row],[Porcentaje de muertes]]&gt;0.35,Tabla1[[#This Row],[Porcentaje de muertes]]&lt;0.65),"MEDIO",Tabla1[[#This Row],[Porcentaje de muertes]]&gt;0.65,"GRAVE")</f>
        <v>GRAVE</v>
      </c>
    </row>
    <row r="1327" spans="2:24" x14ac:dyDescent="0.3">
      <c r="B1327" s="9">
        <v>1326</v>
      </c>
      <c r="C1327" s="49">
        <v>19140</v>
      </c>
      <c r="D1327" s="9">
        <f>YEAR(Tabla1[[#This Row],[Date]])</f>
        <v>1952</v>
      </c>
      <c r="E1327" s="9" t="str" cm="1">
        <f t="array" ref="E1327">IFERROR(_xlfn.IFS(AND(D1327&lt;1980,D1327&gt;=1970),"70",AND(D1327&lt;1990,D1327&gt;=1980),"80",AND(D1327&lt;2000,D1327&gt;=1990),"90",AND(D1327&lt;2010,D1327&gt;=2000),"00",AND(D1327&lt;=2019,D1327&gt;=2010),"10"),"1908-1970")</f>
        <v>1908-1970</v>
      </c>
      <c r="F1327" s="3">
        <v>0.36458333333333331</v>
      </c>
      <c r="G1327" t="s">
        <v>10738</v>
      </c>
      <c r="H1327" t="s">
        <v>7521</v>
      </c>
      <c r="I1327">
        <v>251</v>
      </c>
      <c r="J1327" t="s">
        <v>10739</v>
      </c>
      <c r="K1327" t="s">
        <v>10740</v>
      </c>
      <c r="L1327" s="7" t="s">
        <v>10741</v>
      </c>
      <c r="M1327" t="s">
        <v>10742</v>
      </c>
      <c r="N1327">
        <v>18</v>
      </c>
      <c r="O1327">
        <v>10</v>
      </c>
      <c r="P1327">
        <v>8</v>
      </c>
      <c r="Q1327">
        <v>1</v>
      </c>
      <c r="R1327">
        <v>0</v>
      </c>
      <c r="S1327">
        <v>1</v>
      </c>
      <c r="T1327">
        <v>0</v>
      </c>
      <c r="U1327" t="s">
        <v>10743</v>
      </c>
      <c r="V1327">
        <f>Tabla1[[#This Row],[Aboard]]-Tabla1[[#This Row],[Fatalities]]</f>
        <v>17</v>
      </c>
      <c r="W1327" s="50">
        <f>IFERROR(Tabla1[[#This Row],[Fatalities]]/Tabla1[[#This Row],[Aboard]],0)</f>
        <v>5.5555555555555552E-2</v>
      </c>
      <c r="X1327" s="51" t="str" cm="1">
        <f t="array" ref="X1327">_xlfn.IFS(Tabla1[[#This Row],[Porcentaje de muertes]]&lt;0.35,"LEVE",AND(Tabla1[[#This Row],[Porcentaje de muertes]]&gt;0.35,Tabla1[[#This Row],[Porcentaje de muertes]]&lt;0.65),"MEDIO",Tabla1[[#This Row],[Porcentaje de muertes]]&gt;0.65,"GRAVE")</f>
        <v>LEVE</v>
      </c>
    </row>
    <row r="1328" spans="2:24" x14ac:dyDescent="0.3">
      <c r="B1328" s="9">
        <v>1327</v>
      </c>
      <c r="C1328" s="49">
        <v>19158</v>
      </c>
      <c r="D1328" s="9">
        <f>YEAR(Tabla1[[#This Row],[Date]])</f>
        <v>1952</v>
      </c>
      <c r="E1328" s="9" t="str" cm="1">
        <f t="array" ref="E1328">IFERROR(_xlfn.IFS(AND(D1328&lt;1980,D1328&gt;=1970),"70",AND(D1328&lt;1990,D1328&gt;=1980),"80",AND(D1328&lt;2000,D1328&gt;=1990),"90",AND(D1328&lt;2010,D1328&gt;=2000),"00",AND(D1328&lt;=2019,D1328&gt;=2010),"10"),"1908-1970")</f>
        <v>1908-1970</v>
      </c>
      <c r="F1328" s="3">
        <v>0.47847222222222219</v>
      </c>
      <c r="G1328" t="s">
        <v>10744</v>
      </c>
      <c r="H1328" t="s">
        <v>10745</v>
      </c>
      <c r="I1328" t="s">
        <v>28931</v>
      </c>
      <c r="J1328" t="s">
        <v>10746</v>
      </c>
      <c r="K1328" t="s">
        <v>7057</v>
      </c>
      <c r="L1328" s="7">
        <v>79001</v>
      </c>
      <c r="M1328">
        <v>9001</v>
      </c>
      <c r="N1328">
        <v>8</v>
      </c>
      <c r="O1328">
        <v>5</v>
      </c>
      <c r="P1328">
        <v>3</v>
      </c>
      <c r="Q1328">
        <v>8</v>
      </c>
      <c r="R1328">
        <v>5</v>
      </c>
      <c r="S1328">
        <v>3</v>
      </c>
      <c r="T1328">
        <v>0</v>
      </c>
      <c r="U1328" t="s">
        <v>10747</v>
      </c>
      <c r="V1328">
        <f>Tabla1[[#This Row],[Aboard]]-Tabla1[[#This Row],[Fatalities]]</f>
        <v>0</v>
      </c>
      <c r="W1328" s="50">
        <f>IFERROR(Tabla1[[#This Row],[Fatalities]]/Tabla1[[#This Row],[Aboard]],0)</f>
        <v>1</v>
      </c>
      <c r="X1328" s="51" t="str" cm="1">
        <f t="array" ref="X1328">_xlfn.IFS(Tabla1[[#This Row],[Porcentaje de muertes]]&lt;0.35,"LEVE",AND(Tabla1[[#This Row],[Porcentaje de muertes]]&gt;0.35,Tabla1[[#This Row],[Porcentaje de muertes]]&lt;0.65),"MEDIO",Tabla1[[#This Row],[Porcentaje de muertes]]&gt;0.65,"GRAVE")</f>
        <v>GRAVE</v>
      </c>
    </row>
    <row r="1329" spans="2:24" x14ac:dyDescent="0.3">
      <c r="B1329" s="9">
        <v>1328</v>
      </c>
      <c r="C1329" s="49">
        <v>19159</v>
      </c>
      <c r="D1329" s="9">
        <f>YEAR(Tabla1[[#This Row],[Date]])</f>
        <v>1952</v>
      </c>
      <c r="E1329" s="9" t="str" cm="1">
        <f t="array" ref="E1329">IFERROR(_xlfn.IFS(AND(D1329&lt;1980,D1329&gt;=1970),"70",AND(D1329&lt;1990,D1329&gt;=1980),"80",AND(D1329&lt;2000,D1329&gt;=1990),"90",AND(D1329&lt;2010,D1329&gt;=2000),"00",AND(D1329&lt;=2019,D1329&gt;=2010),"10"),"1908-1970")</f>
        <v>1908-1970</v>
      </c>
      <c r="F1329" s="3">
        <v>0.40902777777777777</v>
      </c>
      <c r="G1329" t="s">
        <v>10748</v>
      </c>
      <c r="H1329" t="s">
        <v>10749</v>
      </c>
      <c r="I1329" t="s">
        <v>28931</v>
      </c>
      <c r="J1329" t="s">
        <v>10750</v>
      </c>
      <c r="K1329" t="s">
        <v>10751</v>
      </c>
      <c r="L1329" s="7" t="s">
        <v>10752</v>
      </c>
      <c r="M1329">
        <v>2593</v>
      </c>
      <c r="N1329">
        <v>8</v>
      </c>
      <c r="O1329">
        <v>7</v>
      </c>
      <c r="P1329">
        <v>1</v>
      </c>
      <c r="Q1329">
        <v>6</v>
      </c>
      <c r="R1329">
        <v>5</v>
      </c>
      <c r="S1329">
        <v>1</v>
      </c>
      <c r="T1329" t="s">
        <v>5038</v>
      </c>
      <c r="U1329" t="s">
        <v>10753</v>
      </c>
      <c r="V1329">
        <f>Tabla1[[#This Row],[Aboard]]-Tabla1[[#This Row],[Fatalities]]</f>
        <v>2</v>
      </c>
      <c r="W1329" s="50">
        <f>IFERROR(Tabla1[[#This Row],[Fatalities]]/Tabla1[[#This Row],[Aboard]],0)</f>
        <v>0.75</v>
      </c>
      <c r="X1329" s="51" t="str" cm="1">
        <f t="array" ref="X1329">_xlfn.IFS(Tabla1[[#This Row],[Porcentaje de muertes]]&lt;0.35,"LEVE",AND(Tabla1[[#This Row],[Porcentaje de muertes]]&gt;0.35,Tabla1[[#This Row],[Porcentaje de muertes]]&lt;0.65),"MEDIO",Tabla1[[#This Row],[Porcentaje de muertes]]&gt;0.65,"GRAVE")</f>
        <v>GRAVE</v>
      </c>
    </row>
    <row r="1330" spans="2:24" x14ac:dyDescent="0.3">
      <c r="B1330" s="9">
        <v>1329</v>
      </c>
      <c r="C1330" s="49">
        <v>19169</v>
      </c>
      <c r="D1330" s="9">
        <f>YEAR(Tabla1[[#This Row],[Date]])</f>
        <v>1952</v>
      </c>
      <c r="E1330" s="9" t="str" cm="1">
        <f t="array" ref="E1330">IFERROR(_xlfn.IFS(AND(D1330&lt;1980,D1330&gt;=1970),"70",AND(D1330&lt;1990,D1330&gt;=1980),"80",AND(D1330&lt;2000,D1330&gt;=1990),"90",AND(D1330&lt;2010,D1330&gt;=2000),"00",AND(D1330&lt;=2019,D1330&gt;=2010),"10"),"1908-1970")</f>
        <v>1908-1970</v>
      </c>
      <c r="F1330" s="3" t="s">
        <v>28931</v>
      </c>
      <c r="G1330" t="s">
        <v>10754</v>
      </c>
      <c r="H1330" t="s">
        <v>7987</v>
      </c>
      <c r="I1330" t="s">
        <v>28931</v>
      </c>
      <c r="J1330" t="s">
        <v>28931</v>
      </c>
      <c r="K1330" t="s">
        <v>10755</v>
      </c>
      <c r="L1330" s="7" t="s">
        <v>28931</v>
      </c>
      <c r="M1330" t="s">
        <v>28931</v>
      </c>
      <c r="N1330">
        <v>11</v>
      </c>
      <c r="O1330" t="s">
        <v>5038</v>
      </c>
      <c r="P1330" t="s">
        <v>5038</v>
      </c>
      <c r="Q1330">
        <v>11</v>
      </c>
      <c r="R1330" t="s">
        <v>5038</v>
      </c>
      <c r="S1330" t="s">
        <v>5038</v>
      </c>
      <c r="T1330">
        <v>0</v>
      </c>
      <c r="U1330" t="s">
        <v>10756</v>
      </c>
      <c r="V1330">
        <f>Tabla1[[#This Row],[Aboard]]-Tabla1[[#This Row],[Fatalities]]</f>
        <v>0</v>
      </c>
      <c r="W1330" s="50">
        <f>IFERROR(Tabla1[[#This Row],[Fatalities]]/Tabla1[[#This Row],[Aboard]],0)</f>
        <v>1</v>
      </c>
      <c r="X1330" s="51" t="str" cm="1">
        <f t="array" ref="X1330">_xlfn.IFS(Tabla1[[#This Row],[Porcentaje de muertes]]&lt;0.35,"LEVE",AND(Tabla1[[#This Row],[Porcentaje de muertes]]&gt;0.35,Tabla1[[#This Row],[Porcentaje de muertes]]&lt;0.65),"MEDIO",Tabla1[[#This Row],[Porcentaje de muertes]]&gt;0.65,"GRAVE")</f>
        <v>GRAVE</v>
      </c>
    </row>
    <row r="1331" spans="2:24" x14ac:dyDescent="0.3">
      <c r="B1331" s="9">
        <v>1330</v>
      </c>
      <c r="C1331" s="49">
        <v>19170</v>
      </c>
      <c r="D1331" s="9">
        <f>YEAR(Tabla1[[#This Row],[Date]])</f>
        <v>1952</v>
      </c>
      <c r="E1331" s="9" t="str" cm="1">
        <f t="array" ref="E1331">IFERROR(_xlfn.IFS(AND(D1331&lt;1980,D1331&gt;=1970),"70",AND(D1331&lt;1990,D1331&gt;=1980),"80",AND(D1331&lt;2000,D1331&gt;=1990),"90",AND(D1331&lt;2010,D1331&gt;=2000),"00",AND(D1331&lt;=2019,D1331&gt;=2010),"10"),"1908-1970")</f>
        <v>1908-1970</v>
      </c>
      <c r="F1331" s="3" t="s">
        <v>28931</v>
      </c>
      <c r="G1331" t="s">
        <v>10757</v>
      </c>
      <c r="H1331" t="s">
        <v>7665</v>
      </c>
      <c r="I1331" t="s">
        <v>28931</v>
      </c>
      <c r="J1331" t="s">
        <v>10758</v>
      </c>
      <c r="K1331" t="s">
        <v>10759</v>
      </c>
      <c r="L1331" s="7" t="s">
        <v>10760</v>
      </c>
      <c r="M1331" t="s">
        <v>28931</v>
      </c>
      <c r="N1331">
        <v>13</v>
      </c>
      <c r="O1331">
        <v>11</v>
      </c>
      <c r="P1331">
        <v>2</v>
      </c>
      <c r="Q1331">
        <v>11</v>
      </c>
      <c r="R1331">
        <v>9</v>
      </c>
      <c r="S1331">
        <v>2</v>
      </c>
      <c r="T1331">
        <v>0</v>
      </c>
      <c r="U1331" t="s">
        <v>10761</v>
      </c>
      <c r="V1331">
        <f>Tabla1[[#This Row],[Aboard]]-Tabla1[[#This Row],[Fatalities]]</f>
        <v>2</v>
      </c>
      <c r="W1331" s="50">
        <f>IFERROR(Tabla1[[#This Row],[Fatalities]]/Tabla1[[#This Row],[Aboard]],0)</f>
        <v>0.84615384615384615</v>
      </c>
      <c r="X1331" s="51" t="str" cm="1">
        <f t="array" ref="X1331">_xlfn.IFS(Tabla1[[#This Row],[Porcentaje de muertes]]&lt;0.35,"LEVE",AND(Tabla1[[#This Row],[Porcentaje de muertes]]&gt;0.35,Tabla1[[#This Row],[Porcentaje de muertes]]&lt;0.65),"MEDIO",Tabla1[[#This Row],[Porcentaje de muertes]]&gt;0.65,"GRAVE")</f>
        <v>GRAVE</v>
      </c>
    </row>
    <row r="1332" spans="2:24" x14ac:dyDescent="0.3">
      <c r="B1332" s="9">
        <v>1331</v>
      </c>
      <c r="C1332" s="49">
        <v>19193</v>
      </c>
      <c r="D1332" s="9">
        <f>YEAR(Tabla1[[#This Row],[Date]])</f>
        <v>1952</v>
      </c>
      <c r="E1332" s="9" t="str" cm="1">
        <f t="array" ref="E1332">IFERROR(_xlfn.IFS(AND(D1332&lt;1980,D1332&gt;=1970),"70",AND(D1332&lt;1990,D1332&gt;=1980),"80",AND(D1332&lt;2000,D1332&gt;=1990),"90",AND(D1332&lt;2010,D1332&gt;=2000),"00",AND(D1332&lt;=2019,D1332&gt;=2010),"10"),"1908-1970")</f>
        <v>1908-1970</v>
      </c>
      <c r="F1332" s="3">
        <v>0</v>
      </c>
      <c r="G1332" t="s">
        <v>10762</v>
      </c>
      <c r="H1332" t="s">
        <v>10763</v>
      </c>
      <c r="I1332" t="s">
        <v>28931</v>
      </c>
      <c r="J1332" t="s">
        <v>10764</v>
      </c>
      <c r="K1332" t="s">
        <v>10765</v>
      </c>
      <c r="L1332" s="7" t="s">
        <v>28931</v>
      </c>
      <c r="M1332" t="s">
        <v>28931</v>
      </c>
      <c r="N1332">
        <v>46</v>
      </c>
      <c r="O1332">
        <v>40</v>
      </c>
      <c r="P1332">
        <v>6</v>
      </c>
      <c r="Q1332">
        <v>41</v>
      </c>
      <c r="R1332">
        <v>37</v>
      </c>
      <c r="S1332">
        <v>4</v>
      </c>
      <c r="T1332">
        <v>0</v>
      </c>
      <c r="U1332" t="s">
        <v>10766</v>
      </c>
      <c r="V1332">
        <f>Tabla1[[#This Row],[Aboard]]-Tabla1[[#This Row],[Fatalities]]</f>
        <v>5</v>
      </c>
      <c r="W1332" s="50">
        <f>IFERROR(Tabla1[[#This Row],[Fatalities]]/Tabla1[[#This Row],[Aboard]],0)</f>
        <v>0.89130434782608692</v>
      </c>
      <c r="X1332" s="51" t="str" cm="1">
        <f t="array" ref="X1332">_xlfn.IFS(Tabla1[[#This Row],[Porcentaje de muertes]]&lt;0.35,"LEVE",AND(Tabla1[[#This Row],[Porcentaje de muertes]]&gt;0.35,Tabla1[[#This Row],[Porcentaje de muertes]]&lt;0.65),"MEDIO",Tabla1[[#This Row],[Porcentaje de muertes]]&gt;0.65,"GRAVE")</f>
        <v>GRAVE</v>
      </c>
    </row>
    <row r="1333" spans="2:24" x14ac:dyDescent="0.3">
      <c r="B1333" s="9">
        <v>1332</v>
      </c>
      <c r="C1333" s="49">
        <v>19202</v>
      </c>
      <c r="D1333" s="9">
        <f>YEAR(Tabla1[[#This Row],[Date]])</f>
        <v>1952</v>
      </c>
      <c r="E1333" s="9" t="str" cm="1">
        <f t="array" ref="E1333">IFERROR(_xlfn.IFS(AND(D1333&lt;1980,D1333&gt;=1970),"70",AND(D1333&lt;1990,D1333&gt;=1980),"80",AND(D1333&lt;2000,D1333&gt;=1990),"90",AND(D1333&lt;2010,D1333&gt;=2000),"00",AND(D1333&lt;=2019,D1333&gt;=2010),"10"),"1908-1970")</f>
        <v>1908-1970</v>
      </c>
      <c r="F1333" s="3">
        <v>0.49027777777777781</v>
      </c>
      <c r="G1333" t="s">
        <v>10767</v>
      </c>
      <c r="H1333" t="s">
        <v>7121</v>
      </c>
      <c r="I1333">
        <v>201</v>
      </c>
      <c r="J1333" t="s">
        <v>10768</v>
      </c>
      <c r="K1333" t="s">
        <v>10769</v>
      </c>
      <c r="L1333" s="7" t="s">
        <v>10770</v>
      </c>
      <c r="M1333">
        <v>15939</v>
      </c>
      <c r="N1333">
        <v>27</v>
      </c>
      <c r="O1333">
        <v>19</v>
      </c>
      <c r="P1333">
        <v>8</v>
      </c>
      <c r="Q1333">
        <v>1</v>
      </c>
      <c r="R1333">
        <v>1</v>
      </c>
      <c r="S1333">
        <v>0</v>
      </c>
      <c r="T1333">
        <v>0</v>
      </c>
      <c r="U1333" t="s">
        <v>10771</v>
      </c>
      <c r="V1333">
        <f>Tabla1[[#This Row],[Aboard]]-Tabla1[[#This Row],[Fatalities]]</f>
        <v>26</v>
      </c>
      <c r="W1333" s="50">
        <f>IFERROR(Tabla1[[#This Row],[Fatalities]]/Tabla1[[#This Row],[Aboard]],0)</f>
        <v>3.7037037037037035E-2</v>
      </c>
      <c r="X1333" s="51" t="str" cm="1">
        <f t="array" ref="X1333">_xlfn.IFS(Tabla1[[#This Row],[Porcentaje de muertes]]&lt;0.35,"LEVE",AND(Tabla1[[#This Row],[Porcentaje de muertes]]&gt;0.35,Tabla1[[#This Row],[Porcentaje de muertes]]&lt;0.65),"MEDIO",Tabla1[[#This Row],[Porcentaje de muertes]]&gt;0.65,"GRAVE")</f>
        <v>LEVE</v>
      </c>
    </row>
    <row r="1334" spans="2:24" x14ac:dyDescent="0.3">
      <c r="B1334" s="9">
        <v>1333</v>
      </c>
      <c r="C1334" s="49">
        <v>19336</v>
      </c>
      <c r="D1334" s="9">
        <f>YEAR(Tabla1[[#This Row],[Date]])</f>
        <v>1952</v>
      </c>
      <c r="E1334" s="9" t="str" cm="1">
        <f t="array" ref="E1334">IFERROR(_xlfn.IFS(AND(D1334&lt;1980,D1334&gt;=1970),"70",AND(D1334&lt;1990,D1334&gt;=1980),"80",AND(D1334&lt;2000,D1334&gt;=1990),"90",AND(D1334&lt;2010,D1334&gt;=2000),"00",AND(D1334&lt;=2019,D1334&gt;=2010),"10"),"1908-1970")</f>
        <v>1908-1970</v>
      </c>
      <c r="F1334" s="3" t="s">
        <v>28931</v>
      </c>
      <c r="G1334" t="s">
        <v>10772</v>
      </c>
      <c r="H1334" t="s">
        <v>10773</v>
      </c>
      <c r="I1334" t="s">
        <v>28931</v>
      </c>
      <c r="J1334" t="s">
        <v>10774</v>
      </c>
      <c r="K1334" t="s">
        <v>7057</v>
      </c>
      <c r="L1334" s="7" t="s">
        <v>10775</v>
      </c>
      <c r="M1334">
        <v>20187</v>
      </c>
      <c r="N1334">
        <v>24</v>
      </c>
      <c r="O1334">
        <v>20</v>
      </c>
      <c r="P1334">
        <v>4</v>
      </c>
      <c r="Q1334">
        <v>24</v>
      </c>
      <c r="R1334">
        <v>20</v>
      </c>
      <c r="S1334">
        <v>4</v>
      </c>
      <c r="T1334">
        <v>0</v>
      </c>
      <c r="U1334" t="s">
        <v>10776</v>
      </c>
      <c r="V1334">
        <f>Tabla1[[#This Row],[Aboard]]-Tabla1[[#This Row],[Fatalities]]</f>
        <v>0</v>
      </c>
      <c r="W1334" s="50">
        <f>IFERROR(Tabla1[[#This Row],[Fatalities]]/Tabla1[[#This Row],[Aboard]],0)</f>
        <v>1</v>
      </c>
      <c r="X1334" s="51" t="str" cm="1">
        <f t="array" ref="X1334">_xlfn.IFS(Tabla1[[#This Row],[Porcentaje de muertes]]&lt;0.35,"LEVE",AND(Tabla1[[#This Row],[Porcentaje de muertes]]&gt;0.35,Tabla1[[#This Row],[Porcentaje de muertes]]&lt;0.65),"MEDIO",Tabla1[[#This Row],[Porcentaje de muertes]]&gt;0.65,"GRAVE")</f>
        <v>GRAVE</v>
      </c>
    </row>
    <row r="1335" spans="2:24" x14ac:dyDescent="0.3">
      <c r="B1335" s="9">
        <v>1334</v>
      </c>
      <c r="C1335" s="49">
        <v>19227</v>
      </c>
      <c r="D1335" s="9">
        <f>YEAR(Tabla1[[#This Row],[Date]])</f>
        <v>1952</v>
      </c>
      <c r="E1335" s="9" t="str" cm="1">
        <f t="array" ref="E1335">IFERROR(_xlfn.IFS(AND(D1335&lt;1980,D1335&gt;=1970),"70",AND(D1335&lt;1990,D1335&gt;=1980),"80",AND(D1335&lt;2000,D1335&gt;=1990),"90",AND(D1335&lt;2010,D1335&gt;=2000),"00",AND(D1335&lt;=2019,D1335&gt;=2010),"10"),"1908-1970")</f>
        <v>1908-1970</v>
      </c>
      <c r="F1335" s="3">
        <v>4.1666666666666664E-2</v>
      </c>
      <c r="G1335" t="s">
        <v>10777</v>
      </c>
      <c r="H1335" t="s">
        <v>10778</v>
      </c>
      <c r="I1335" t="s">
        <v>28931</v>
      </c>
      <c r="J1335" t="s">
        <v>10779</v>
      </c>
      <c r="K1335" t="s">
        <v>10780</v>
      </c>
      <c r="L1335" s="7" t="s">
        <v>10781</v>
      </c>
      <c r="M1335" t="s">
        <v>10782</v>
      </c>
      <c r="N1335">
        <v>57</v>
      </c>
      <c r="O1335">
        <v>51</v>
      </c>
      <c r="P1335">
        <v>6</v>
      </c>
      <c r="Q1335">
        <v>7</v>
      </c>
      <c r="R1335">
        <v>1</v>
      </c>
      <c r="S1335">
        <v>6</v>
      </c>
      <c r="T1335">
        <v>0</v>
      </c>
      <c r="U1335" t="s">
        <v>10783</v>
      </c>
      <c r="V1335">
        <f>Tabla1[[#This Row],[Aboard]]-Tabla1[[#This Row],[Fatalities]]</f>
        <v>50</v>
      </c>
      <c r="W1335" s="50">
        <f>IFERROR(Tabla1[[#This Row],[Fatalities]]/Tabla1[[#This Row],[Aboard]],0)</f>
        <v>0.12280701754385964</v>
      </c>
      <c r="X1335" s="51" t="str" cm="1">
        <f t="array" ref="X1335">_xlfn.IFS(Tabla1[[#This Row],[Porcentaje de muertes]]&lt;0.35,"LEVE",AND(Tabla1[[#This Row],[Porcentaje de muertes]]&gt;0.35,Tabla1[[#This Row],[Porcentaje de muertes]]&lt;0.65),"MEDIO",Tabla1[[#This Row],[Porcentaje de muertes]]&gt;0.65,"GRAVE")</f>
        <v>LEVE</v>
      </c>
    </row>
    <row r="1336" spans="2:24" x14ac:dyDescent="0.3">
      <c r="B1336" s="9">
        <v>1335</v>
      </c>
      <c r="C1336" s="49">
        <v>19232</v>
      </c>
      <c r="D1336" s="9">
        <f>YEAR(Tabla1[[#This Row],[Date]])</f>
        <v>1952</v>
      </c>
      <c r="E1336" s="9" t="str" cm="1">
        <f t="array" ref="E1336">IFERROR(_xlfn.IFS(AND(D1336&lt;1980,D1336&gt;=1970),"70",AND(D1336&lt;1990,D1336&gt;=1980),"80",AND(D1336&lt;2000,D1336&gt;=1990),"90",AND(D1336&lt;2010,D1336&gt;=2000),"00",AND(D1336&lt;=2019,D1336&gt;=2010),"10"),"1908-1970")</f>
        <v>1908-1970</v>
      </c>
      <c r="F1336" s="3">
        <v>0.29166666666666669</v>
      </c>
      <c r="G1336" t="s">
        <v>10784</v>
      </c>
      <c r="H1336" t="s">
        <v>10785</v>
      </c>
      <c r="I1336" t="s">
        <v>28931</v>
      </c>
      <c r="J1336" t="s">
        <v>10786</v>
      </c>
      <c r="K1336" t="s">
        <v>10787</v>
      </c>
      <c r="L1336" s="7" t="s">
        <v>10788</v>
      </c>
      <c r="M1336" t="s">
        <v>28931</v>
      </c>
      <c r="N1336">
        <v>18</v>
      </c>
      <c r="O1336" t="s">
        <v>5038</v>
      </c>
      <c r="P1336" t="s">
        <v>5038</v>
      </c>
      <c r="Q1336">
        <v>18</v>
      </c>
      <c r="R1336" t="s">
        <v>5038</v>
      </c>
      <c r="S1336" t="s">
        <v>5038</v>
      </c>
      <c r="T1336">
        <v>0</v>
      </c>
      <c r="U1336" t="s">
        <v>10789</v>
      </c>
      <c r="V1336">
        <f>Tabla1[[#This Row],[Aboard]]-Tabla1[[#This Row],[Fatalities]]</f>
        <v>0</v>
      </c>
      <c r="W1336" s="50">
        <f>IFERROR(Tabla1[[#This Row],[Fatalities]]/Tabla1[[#This Row],[Aboard]],0)</f>
        <v>1</v>
      </c>
      <c r="X1336" s="51" t="str" cm="1">
        <f t="array" ref="X1336">_xlfn.IFS(Tabla1[[#This Row],[Porcentaje de muertes]]&lt;0.35,"LEVE",AND(Tabla1[[#This Row],[Porcentaje de muertes]]&gt;0.35,Tabla1[[#This Row],[Porcentaje de muertes]]&lt;0.65),"MEDIO",Tabla1[[#This Row],[Porcentaje de muertes]]&gt;0.65,"GRAVE")</f>
        <v>GRAVE</v>
      </c>
    </row>
    <row r="1337" spans="2:24" x14ac:dyDescent="0.3">
      <c r="B1337" s="9">
        <v>1336</v>
      </c>
      <c r="C1337" s="49">
        <v>19235</v>
      </c>
      <c r="D1337" s="9">
        <f>YEAR(Tabla1[[#This Row],[Date]])</f>
        <v>1952</v>
      </c>
      <c r="E1337" s="9" t="str" cm="1">
        <f t="array" ref="E1337">IFERROR(_xlfn.IFS(AND(D1337&lt;1980,D1337&gt;=1970),"70",AND(D1337&lt;1990,D1337&gt;=1980),"80",AND(D1337&lt;2000,D1337&gt;=1990),"90",AND(D1337&lt;2010,D1337&gt;=2000),"00",AND(D1337&lt;=2019,D1337&gt;=2010),"10"),"1908-1970")</f>
        <v>1908-1970</v>
      </c>
      <c r="F1337" s="3">
        <v>0.87847222222222221</v>
      </c>
      <c r="G1337" t="s">
        <v>10790</v>
      </c>
      <c r="H1337" t="s">
        <v>10791</v>
      </c>
      <c r="I1337" t="s">
        <v>28931</v>
      </c>
      <c r="J1337" t="s">
        <v>10792</v>
      </c>
      <c r="K1337" t="s">
        <v>7365</v>
      </c>
      <c r="L1337" s="7" t="s">
        <v>10793</v>
      </c>
      <c r="M1337">
        <v>1322</v>
      </c>
      <c r="N1337">
        <v>4</v>
      </c>
      <c r="O1337">
        <v>0</v>
      </c>
      <c r="P1337">
        <v>4</v>
      </c>
      <c r="Q1337">
        <v>2</v>
      </c>
      <c r="R1337">
        <v>0</v>
      </c>
      <c r="S1337">
        <v>2</v>
      </c>
      <c r="T1337">
        <v>0</v>
      </c>
      <c r="U1337" t="s">
        <v>10794</v>
      </c>
      <c r="V1337">
        <f>Tabla1[[#This Row],[Aboard]]-Tabla1[[#This Row],[Fatalities]]</f>
        <v>2</v>
      </c>
      <c r="W1337" s="50">
        <f>IFERROR(Tabla1[[#This Row],[Fatalities]]/Tabla1[[#This Row],[Aboard]],0)</f>
        <v>0.5</v>
      </c>
      <c r="X1337" s="51" t="str" cm="1">
        <f t="array" ref="X1337">_xlfn.IFS(Tabla1[[#This Row],[Porcentaje de muertes]]&lt;0.35,"LEVE",AND(Tabla1[[#This Row],[Porcentaje de muertes]]&gt;0.35,Tabla1[[#This Row],[Porcentaje de muertes]]&lt;0.65),"MEDIO",Tabla1[[#This Row],[Porcentaje de muertes]]&gt;0.65,"GRAVE")</f>
        <v>MEDIO</v>
      </c>
    </row>
    <row r="1338" spans="2:24" x14ac:dyDescent="0.3">
      <c r="B1338" s="9">
        <v>1337</v>
      </c>
      <c r="C1338" s="49">
        <v>19154</v>
      </c>
      <c r="D1338" s="9">
        <f>YEAR(Tabla1[[#This Row],[Date]])</f>
        <v>1952</v>
      </c>
      <c r="E1338" s="9" t="str" cm="1">
        <f t="array" ref="E1338">IFERROR(_xlfn.IFS(AND(D1338&lt;1980,D1338&gt;=1970),"70",AND(D1338&lt;1990,D1338&gt;=1980),"80",AND(D1338&lt;2000,D1338&gt;=1990),"90",AND(D1338&lt;2010,D1338&gt;=2000),"00",AND(D1338&lt;=2019,D1338&gt;=2010),"10"),"1908-1970")</f>
        <v>1908-1970</v>
      </c>
      <c r="F1338" s="3">
        <v>0.65277777777777779</v>
      </c>
      <c r="G1338" t="s">
        <v>10795</v>
      </c>
      <c r="H1338" t="s">
        <v>10796</v>
      </c>
      <c r="I1338" t="s">
        <v>28931</v>
      </c>
      <c r="J1338" t="s">
        <v>28931</v>
      </c>
      <c r="K1338" t="s">
        <v>10797</v>
      </c>
      <c r="L1338" s="7" t="s">
        <v>10798</v>
      </c>
      <c r="M1338" t="s">
        <v>28931</v>
      </c>
      <c r="N1338">
        <v>1</v>
      </c>
      <c r="O1338">
        <v>0</v>
      </c>
      <c r="P1338">
        <v>1</v>
      </c>
      <c r="Q1338">
        <v>1</v>
      </c>
      <c r="R1338">
        <v>0</v>
      </c>
      <c r="S1338">
        <v>1</v>
      </c>
      <c r="T1338">
        <v>29</v>
      </c>
      <c r="U1338" t="s">
        <v>10799</v>
      </c>
      <c r="V1338">
        <f>Tabla1[[#This Row],[Aboard]]-Tabla1[[#This Row],[Fatalities]]</f>
        <v>0</v>
      </c>
      <c r="W1338" s="50">
        <f>IFERROR(Tabla1[[#This Row],[Fatalities]]/Tabla1[[#This Row],[Aboard]],0)</f>
        <v>1</v>
      </c>
      <c r="X1338" s="51" t="str" cm="1">
        <f t="array" ref="X1338">_xlfn.IFS(Tabla1[[#This Row],[Porcentaje de muertes]]&lt;0.35,"LEVE",AND(Tabla1[[#This Row],[Porcentaje de muertes]]&gt;0.35,Tabla1[[#This Row],[Porcentaje de muertes]]&lt;0.65),"MEDIO",Tabla1[[#This Row],[Porcentaje de muertes]]&gt;0.65,"GRAVE")</f>
        <v>GRAVE</v>
      </c>
    </row>
    <row r="1339" spans="2:24" x14ac:dyDescent="0.3">
      <c r="B1339" s="9">
        <v>1338</v>
      </c>
      <c r="C1339" s="49">
        <v>19276</v>
      </c>
      <c r="D1339" s="9">
        <f>YEAR(Tabla1[[#This Row],[Date]])</f>
        <v>1952</v>
      </c>
      <c r="E1339" s="9" t="str" cm="1">
        <f t="array" ref="E1339">IFERROR(_xlfn.IFS(AND(D1339&lt;1980,D1339&gt;=1970),"70",AND(D1339&lt;1990,D1339&gt;=1980),"80",AND(D1339&lt;2000,D1339&gt;=1990),"90",AND(D1339&lt;2010,D1339&gt;=2000),"00",AND(D1339&lt;=2019,D1339&gt;=2010),"10"),"1908-1970")</f>
        <v>1908-1970</v>
      </c>
      <c r="F1339" s="3" t="s">
        <v>28931</v>
      </c>
      <c r="G1339" t="s">
        <v>10800</v>
      </c>
      <c r="H1339" t="s">
        <v>10801</v>
      </c>
      <c r="I1339" t="s">
        <v>28931</v>
      </c>
      <c r="J1339" t="s">
        <v>28931</v>
      </c>
      <c r="K1339" t="s">
        <v>8697</v>
      </c>
      <c r="L1339" s="7" t="s">
        <v>28931</v>
      </c>
      <c r="M1339" t="s">
        <v>28931</v>
      </c>
      <c r="N1339">
        <v>46</v>
      </c>
      <c r="O1339" t="s">
        <v>5038</v>
      </c>
      <c r="P1339" t="s">
        <v>5038</v>
      </c>
      <c r="Q1339">
        <v>46</v>
      </c>
      <c r="R1339" t="s">
        <v>5038</v>
      </c>
      <c r="S1339" t="s">
        <v>5038</v>
      </c>
      <c r="T1339">
        <v>0</v>
      </c>
      <c r="U1339" t="s">
        <v>28927</v>
      </c>
      <c r="V1339">
        <f>Tabla1[[#This Row],[Aboard]]-Tabla1[[#This Row],[Fatalities]]</f>
        <v>0</v>
      </c>
      <c r="W1339" s="50">
        <f>IFERROR(Tabla1[[#This Row],[Fatalities]]/Tabla1[[#This Row],[Aboard]],0)</f>
        <v>1</v>
      </c>
      <c r="X1339" s="51" t="str" cm="1">
        <f t="array" ref="X1339">_xlfn.IFS(Tabla1[[#This Row],[Porcentaje de muertes]]&lt;0.35,"LEVE",AND(Tabla1[[#This Row],[Porcentaje de muertes]]&gt;0.35,Tabla1[[#This Row],[Porcentaje de muertes]]&lt;0.65),"MEDIO",Tabla1[[#This Row],[Porcentaje de muertes]]&gt;0.65,"GRAVE")</f>
        <v>GRAVE</v>
      </c>
    </row>
    <row r="1340" spans="2:24" x14ac:dyDescent="0.3">
      <c r="B1340" s="9">
        <v>1339</v>
      </c>
      <c r="C1340" s="49">
        <v>19252</v>
      </c>
      <c r="D1340" s="9">
        <f>YEAR(Tabla1[[#This Row],[Date]])</f>
        <v>1952</v>
      </c>
      <c r="E1340" s="9" t="str" cm="1">
        <f t="array" ref="E1340">IFERROR(_xlfn.IFS(AND(D1340&lt;1980,D1340&gt;=1970),"70",AND(D1340&lt;1990,D1340&gt;=1980),"80",AND(D1340&lt;2000,D1340&gt;=1990),"90",AND(D1340&lt;2010,D1340&gt;=2000),"00",AND(D1340&lt;=2019,D1340&gt;=2010),"10"),"1908-1970")</f>
        <v>1908-1970</v>
      </c>
      <c r="F1340" s="3" t="s">
        <v>28931</v>
      </c>
      <c r="G1340" t="s">
        <v>7022</v>
      </c>
      <c r="H1340" t="s">
        <v>10608</v>
      </c>
      <c r="I1340" t="s">
        <v>28931</v>
      </c>
      <c r="J1340" t="s">
        <v>28931</v>
      </c>
      <c r="K1340" t="s">
        <v>8105</v>
      </c>
      <c r="L1340" s="7" t="s">
        <v>10802</v>
      </c>
      <c r="M1340">
        <v>9945</v>
      </c>
      <c r="N1340">
        <v>3</v>
      </c>
      <c r="O1340">
        <v>0</v>
      </c>
      <c r="P1340">
        <v>3</v>
      </c>
      <c r="Q1340">
        <v>3</v>
      </c>
      <c r="R1340">
        <v>0</v>
      </c>
      <c r="S1340">
        <v>3</v>
      </c>
      <c r="T1340">
        <v>0</v>
      </c>
      <c r="U1340" t="s">
        <v>10803</v>
      </c>
      <c r="V1340">
        <f>Tabla1[[#This Row],[Aboard]]-Tabla1[[#This Row],[Fatalities]]</f>
        <v>0</v>
      </c>
      <c r="W1340" s="50">
        <f>IFERROR(Tabla1[[#This Row],[Fatalities]]/Tabla1[[#This Row],[Aboard]],0)</f>
        <v>1</v>
      </c>
      <c r="X1340" s="51" t="str" cm="1">
        <f t="array" ref="X1340">_xlfn.IFS(Tabla1[[#This Row],[Porcentaje de muertes]]&lt;0.35,"LEVE",AND(Tabla1[[#This Row],[Porcentaje de muertes]]&gt;0.35,Tabla1[[#This Row],[Porcentaje de muertes]]&lt;0.65),"MEDIO",Tabla1[[#This Row],[Porcentaje de muertes]]&gt;0.65,"GRAVE")</f>
        <v>GRAVE</v>
      </c>
    </row>
    <row r="1341" spans="2:24" x14ac:dyDescent="0.3">
      <c r="B1341" s="9">
        <v>1340</v>
      </c>
      <c r="C1341" s="49">
        <v>19124</v>
      </c>
      <c r="D1341" s="9">
        <f>YEAR(Tabla1[[#This Row],[Date]])</f>
        <v>1952</v>
      </c>
      <c r="E1341" s="9" t="str" cm="1">
        <f t="array" ref="E1341">IFERROR(_xlfn.IFS(AND(D1341&lt;1980,D1341&gt;=1970),"70",AND(D1341&lt;1990,D1341&gt;=1980),"80",AND(D1341&lt;2000,D1341&gt;=1990),"90",AND(D1341&lt;2010,D1341&gt;=2000),"00",AND(D1341&lt;=2019,D1341&gt;=2010),"10"),"1908-1970")</f>
        <v>1908-1970</v>
      </c>
      <c r="F1341" s="3">
        <v>0.66805555555555562</v>
      </c>
      <c r="G1341" t="s">
        <v>10804</v>
      </c>
      <c r="H1341" t="s">
        <v>6541</v>
      </c>
      <c r="I1341">
        <v>376</v>
      </c>
      <c r="J1341" t="s">
        <v>10805</v>
      </c>
      <c r="K1341" t="s">
        <v>9305</v>
      </c>
      <c r="L1341" s="7" t="s">
        <v>10806</v>
      </c>
      <c r="M1341">
        <v>30054</v>
      </c>
      <c r="N1341">
        <v>21</v>
      </c>
      <c r="O1341">
        <v>19</v>
      </c>
      <c r="P1341">
        <v>5</v>
      </c>
      <c r="Q1341">
        <v>21</v>
      </c>
      <c r="R1341">
        <v>19</v>
      </c>
      <c r="S1341">
        <v>5</v>
      </c>
      <c r="T1341">
        <v>0</v>
      </c>
      <c r="U1341" t="s">
        <v>10807</v>
      </c>
      <c r="V1341">
        <f>Tabla1[[#This Row],[Aboard]]-Tabla1[[#This Row],[Fatalities]]</f>
        <v>0</v>
      </c>
      <c r="W1341" s="50">
        <f>IFERROR(Tabla1[[#This Row],[Fatalities]]/Tabla1[[#This Row],[Aboard]],0)</f>
        <v>1</v>
      </c>
      <c r="X1341" s="51" t="str" cm="1">
        <f t="array" ref="X1341">_xlfn.IFS(Tabla1[[#This Row],[Porcentaje de muertes]]&lt;0.35,"LEVE",AND(Tabla1[[#This Row],[Porcentaje de muertes]]&gt;0.35,Tabla1[[#This Row],[Porcentaje de muertes]]&lt;0.65),"MEDIO",Tabla1[[#This Row],[Porcentaje de muertes]]&gt;0.65,"GRAVE")</f>
        <v>GRAVE</v>
      </c>
    </row>
    <row r="1342" spans="2:24" x14ac:dyDescent="0.3">
      <c r="B1342" s="9">
        <v>1341</v>
      </c>
      <c r="C1342" s="49">
        <v>19216</v>
      </c>
      <c r="D1342" s="9">
        <f>YEAR(Tabla1[[#This Row],[Date]])</f>
        <v>1952</v>
      </c>
      <c r="E1342" s="9" t="str" cm="1">
        <f t="array" ref="E1342">IFERROR(_xlfn.IFS(AND(D1342&lt;1980,D1342&gt;=1970),"70",AND(D1342&lt;1990,D1342&gt;=1980),"80",AND(D1342&lt;2000,D1342&gt;=1990),"90",AND(D1342&lt;2010,D1342&gt;=2000),"00",AND(D1342&lt;=2019,D1342&gt;=2010),"10"),"1908-1970")</f>
        <v>1908-1970</v>
      </c>
      <c r="F1342" s="3" t="s">
        <v>28931</v>
      </c>
      <c r="G1342" t="s">
        <v>10808</v>
      </c>
      <c r="H1342" t="s">
        <v>7665</v>
      </c>
      <c r="I1342" t="s">
        <v>28931</v>
      </c>
      <c r="J1342" t="s">
        <v>28931</v>
      </c>
      <c r="K1342" t="s">
        <v>10759</v>
      </c>
      <c r="L1342" s="7" t="s">
        <v>10809</v>
      </c>
      <c r="M1342" t="s">
        <v>28931</v>
      </c>
      <c r="N1342">
        <v>14</v>
      </c>
      <c r="O1342">
        <v>2</v>
      </c>
      <c r="P1342">
        <v>12</v>
      </c>
      <c r="Q1342">
        <v>14</v>
      </c>
      <c r="R1342">
        <v>2</v>
      </c>
      <c r="S1342">
        <v>12</v>
      </c>
      <c r="T1342">
        <v>0</v>
      </c>
      <c r="U1342" t="s">
        <v>10810</v>
      </c>
      <c r="V1342">
        <f>Tabla1[[#This Row],[Aboard]]-Tabla1[[#This Row],[Fatalities]]</f>
        <v>0</v>
      </c>
      <c r="W1342" s="50">
        <f>IFERROR(Tabla1[[#This Row],[Fatalities]]/Tabla1[[#This Row],[Aboard]],0)</f>
        <v>1</v>
      </c>
      <c r="X1342" s="51" t="str" cm="1">
        <f t="array" ref="X1342">_xlfn.IFS(Tabla1[[#This Row],[Porcentaje de muertes]]&lt;0.35,"LEVE",AND(Tabla1[[#This Row],[Porcentaje de muertes]]&gt;0.35,Tabla1[[#This Row],[Porcentaje de muertes]]&lt;0.65),"MEDIO",Tabla1[[#This Row],[Porcentaje de muertes]]&gt;0.65,"GRAVE")</f>
        <v>GRAVE</v>
      </c>
    </row>
    <row r="1343" spans="2:24" x14ac:dyDescent="0.3">
      <c r="B1343" s="9">
        <v>1342</v>
      </c>
      <c r="C1343" s="49">
        <v>19281</v>
      </c>
      <c r="D1343" s="9">
        <f>YEAR(Tabla1[[#This Row],[Date]])</f>
        <v>1952</v>
      </c>
      <c r="E1343" s="9" t="str" cm="1">
        <f t="array" ref="E1343">IFERROR(_xlfn.IFS(AND(D1343&lt;1980,D1343&gt;=1970),"70",AND(D1343&lt;1990,D1343&gt;=1980),"80",AND(D1343&lt;2000,D1343&gt;=1990),"90",AND(D1343&lt;2010,D1343&gt;=2000),"00",AND(D1343&lt;=2019,D1343&gt;=2010),"10"),"1908-1970")</f>
        <v>1908-1970</v>
      </c>
      <c r="F1343" s="3" t="s">
        <v>28931</v>
      </c>
      <c r="G1343" t="s">
        <v>10811</v>
      </c>
      <c r="H1343" t="s">
        <v>10812</v>
      </c>
      <c r="I1343" t="s">
        <v>28931</v>
      </c>
      <c r="J1343" t="s">
        <v>9866</v>
      </c>
      <c r="K1343" t="s">
        <v>7057</v>
      </c>
      <c r="L1343" s="7" t="s">
        <v>10813</v>
      </c>
      <c r="M1343">
        <v>6177</v>
      </c>
      <c r="N1343">
        <v>28</v>
      </c>
      <c r="O1343" t="s">
        <v>5038</v>
      </c>
      <c r="P1343" t="s">
        <v>5038</v>
      </c>
      <c r="Q1343">
        <v>14</v>
      </c>
      <c r="R1343" t="s">
        <v>5038</v>
      </c>
      <c r="S1343" t="s">
        <v>5038</v>
      </c>
      <c r="T1343">
        <v>0</v>
      </c>
      <c r="U1343" t="s">
        <v>10814</v>
      </c>
      <c r="V1343">
        <f>Tabla1[[#This Row],[Aboard]]-Tabla1[[#This Row],[Fatalities]]</f>
        <v>14</v>
      </c>
      <c r="W1343" s="50">
        <f>IFERROR(Tabla1[[#This Row],[Fatalities]]/Tabla1[[#This Row],[Aboard]],0)</f>
        <v>0.5</v>
      </c>
      <c r="X1343" s="51" t="str" cm="1">
        <f t="array" ref="X1343">_xlfn.IFS(Tabla1[[#This Row],[Porcentaje de muertes]]&lt;0.35,"LEVE",AND(Tabla1[[#This Row],[Porcentaje de muertes]]&gt;0.35,Tabla1[[#This Row],[Porcentaje de muertes]]&lt;0.65),"MEDIO",Tabla1[[#This Row],[Porcentaje de muertes]]&gt;0.65,"GRAVE")</f>
        <v>MEDIO</v>
      </c>
    </row>
    <row r="1344" spans="2:24" x14ac:dyDescent="0.3">
      <c r="B1344" s="9">
        <v>1343</v>
      </c>
      <c r="C1344" s="49">
        <v>19283</v>
      </c>
      <c r="D1344" s="9">
        <f>YEAR(Tabla1[[#This Row],[Date]])</f>
        <v>1952</v>
      </c>
      <c r="E1344" s="9" t="str" cm="1">
        <f t="array" ref="E1344">IFERROR(_xlfn.IFS(AND(D1344&lt;1980,D1344&gt;=1970),"70",AND(D1344&lt;1990,D1344&gt;=1980),"80",AND(D1344&lt;2000,D1344&gt;=1990),"90",AND(D1344&lt;2010,D1344&gt;=2000),"00",AND(D1344&lt;=2019,D1344&gt;=2010),"10"),"1908-1970")</f>
        <v>1908-1970</v>
      </c>
      <c r="F1344" s="3" t="s">
        <v>28931</v>
      </c>
      <c r="G1344" t="s">
        <v>10815</v>
      </c>
      <c r="H1344" t="s">
        <v>7987</v>
      </c>
      <c r="I1344" t="s">
        <v>28931</v>
      </c>
      <c r="J1344" t="s">
        <v>28931</v>
      </c>
      <c r="K1344" t="s">
        <v>8350</v>
      </c>
      <c r="L1344" s="7" t="s">
        <v>10816</v>
      </c>
      <c r="M1344">
        <v>32934</v>
      </c>
      <c r="N1344">
        <v>25</v>
      </c>
      <c r="O1344">
        <v>21</v>
      </c>
      <c r="P1344">
        <v>4</v>
      </c>
      <c r="Q1344">
        <v>25</v>
      </c>
      <c r="R1344">
        <v>21</v>
      </c>
      <c r="S1344">
        <v>4</v>
      </c>
      <c r="T1344">
        <v>0</v>
      </c>
      <c r="U1344" t="s">
        <v>10817</v>
      </c>
      <c r="V1344">
        <f>Tabla1[[#This Row],[Aboard]]-Tabla1[[#This Row],[Fatalities]]</f>
        <v>0</v>
      </c>
      <c r="W1344" s="50">
        <f>IFERROR(Tabla1[[#This Row],[Fatalities]]/Tabla1[[#This Row],[Aboard]],0)</f>
        <v>1</v>
      </c>
      <c r="X1344" s="51" t="str" cm="1">
        <f t="array" ref="X1344">_xlfn.IFS(Tabla1[[#This Row],[Porcentaje de muertes]]&lt;0.35,"LEVE",AND(Tabla1[[#This Row],[Porcentaje de muertes]]&gt;0.35,Tabla1[[#This Row],[Porcentaje de muertes]]&lt;0.65),"MEDIO",Tabla1[[#This Row],[Porcentaje de muertes]]&gt;0.65,"GRAVE")</f>
        <v>GRAVE</v>
      </c>
    </row>
    <row r="1345" spans="2:24" x14ac:dyDescent="0.3">
      <c r="B1345" s="9">
        <v>1344</v>
      </c>
      <c r="C1345" s="49">
        <v>19296</v>
      </c>
      <c r="D1345" s="9">
        <f>YEAR(Tabla1[[#This Row],[Date]])</f>
        <v>1952</v>
      </c>
      <c r="E1345" s="9" t="str" cm="1">
        <f t="array" ref="E1345">IFERROR(_xlfn.IFS(AND(D1345&lt;1980,D1345&gt;=1970),"70",AND(D1345&lt;1990,D1345&gt;=1980),"80",AND(D1345&lt;2000,D1345&gt;=1990),"90",AND(D1345&lt;2010,D1345&gt;=2000),"00",AND(D1345&lt;=2019,D1345&gt;=2010),"10"),"1908-1970")</f>
        <v>1908-1970</v>
      </c>
      <c r="F1345" s="3">
        <v>0.35416666666666669</v>
      </c>
      <c r="G1345" t="s">
        <v>10818</v>
      </c>
      <c r="H1345" t="s">
        <v>7987</v>
      </c>
      <c r="I1345" t="s">
        <v>28931</v>
      </c>
      <c r="J1345" t="s">
        <v>28931</v>
      </c>
      <c r="K1345" t="s">
        <v>10819</v>
      </c>
      <c r="L1345" s="7" t="s">
        <v>10820</v>
      </c>
      <c r="M1345">
        <v>16733</v>
      </c>
      <c r="N1345">
        <v>16</v>
      </c>
      <c r="O1345" t="s">
        <v>5038</v>
      </c>
      <c r="P1345" t="s">
        <v>5038</v>
      </c>
      <c r="Q1345">
        <v>16</v>
      </c>
      <c r="R1345" t="s">
        <v>5038</v>
      </c>
      <c r="S1345" t="s">
        <v>5038</v>
      </c>
      <c r="T1345">
        <v>0</v>
      </c>
      <c r="U1345" t="s">
        <v>10821</v>
      </c>
      <c r="V1345">
        <f>Tabla1[[#This Row],[Aboard]]-Tabla1[[#This Row],[Fatalities]]</f>
        <v>0</v>
      </c>
      <c r="W1345" s="50">
        <f>IFERROR(Tabla1[[#This Row],[Fatalities]]/Tabla1[[#This Row],[Aboard]],0)</f>
        <v>1</v>
      </c>
      <c r="X1345" s="51" t="str" cm="1">
        <f t="array" ref="X1345">_xlfn.IFS(Tabla1[[#This Row],[Porcentaje de muertes]]&lt;0.35,"LEVE",AND(Tabla1[[#This Row],[Porcentaje de muertes]]&gt;0.35,Tabla1[[#This Row],[Porcentaje de muertes]]&lt;0.65),"MEDIO",Tabla1[[#This Row],[Porcentaje de muertes]]&gt;0.65,"GRAVE")</f>
        <v>GRAVE</v>
      </c>
    </row>
    <row r="1346" spans="2:24" x14ac:dyDescent="0.3">
      <c r="B1346" s="9">
        <v>1345</v>
      </c>
      <c r="C1346" s="49">
        <v>19156</v>
      </c>
      <c r="D1346" s="9">
        <f>YEAR(Tabla1[[#This Row],[Date]])</f>
        <v>1952</v>
      </c>
      <c r="E1346" s="9" t="str" cm="1">
        <f t="array" ref="E1346">IFERROR(_xlfn.IFS(AND(D1346&lt;1980,D1346&gt;=1970),"70",AND(D1346&lt;1990,D1346&gt;=1980),"80",AND(D1346&lt;2000,D1346&gt;=1990),"90",AND(D1346&lt;2010,D1346&gt;=2000),"00",AND(D1346&lt;=2019,D1346&gt;=2010),"10"),"1908-1970")</f>
        <v>1908-1970</v>
      </c>
      <c r="F1346" s="3" t="s">
        <v>28931</v>
      </c>
      <c r="G1346" t="s">
        <v>10822</v>
      </c>
      <c r="H1346" t="s">
        <v>10823</v>
      </c>
      <c r="I1346" t="s">
        <v>28931</v>
      </c>
      <c r="J1346" t="s">
        <v>10824</v>
      </c>
      <c r="K1346" t="s">
        <v>10221</v>
      </c>
      <c r="L1346" s="7" t="s">
        <v>10825</v>
      </c>
      <c r="M1346">
        <v>10498</v>
      </c>
      <c r="N1346">
        <v>6</v>
      </c>
      <c r="O1346">
        <v>1</v>
      </c>
      <c r="P1346">
        <v>5</v>
      </c>
      <c r="Q1346">
        <v>5</v>
      </c>
      <c r="R1346">
        <v>1</v>
      </c>
      <c r="S1346">
        <v>4</v>
      </c>
      <c r="T1346">
        <v>0</v>
      </c>
      <c r="U1346" t="s">
        <v>28927</v>
      </c>
      <c r="V1346">
        <f>Tabla1[[#This Row],[Aboard]]-Tabla1[[#This Row],[Fatalities]]</f>
        <v>1</v>
      </c>
      <c r="W1346" s="50">
        <f>IFERROR(Tabla1[[#This Row],[Fatalities]]/Tabla1[[#This Row],[Aboard]],0)</f>
        <v>0.83333333333333337</v>
      </c>
      <c r="X1346" s="51" t="str" cm="1">
        <f t="array" ref="X1346">_xlfn.IFS(Tabla1[[#This Row],[Porcentaje de muertes]]&lt;0.35,"LEVE",AND(Tabla1[[#This Row],[Porcentaje de muertes]]&gt;0.35,Tabla1[[#This Row],[Porcentaje de muertes]]&lt;0.65),"MEDIO",Tabla1[[#This Row],[Porcentaje de muertes]]&gt;0.65,"GRAVE")</f>
        <v>GRAVE</v>
      </c>
    </row>
    <row r="1347" spans="2:24" x14ac:dyDescent="0.3">
      <c r="B1347" s="9">
        <v>1346</v>
      </c>
      <c r="C1347" s="49">
        <v>19186</v>
      </c>
      <c r="D1347" s="9">
        <f>YEAR(Tabla1[[#This Row],[Date]])</f>
        <v>1952</v>
      </c>
      <c r="E1347" s="9" t="str" cm="1">
        <f t="array" ref="E1347">IFERROR(_xlfn.IFS(AND(D1347&lt;1980,D1347&gt;=1970),"70",AND(D1347&lt;1990,D1347&gt;=1980),"80",AND(D1347&lt;2000,D1347&gt;=1990),"90",AND(D1347&lt;2010,D1347&gt;=2000),"00",AND(D1347&lt;=2019,D1347&gt;=2010),"10"),"1908-1970")</f>
        <v>1908-1970</v>
      </c>
      <c r="F1347" s="3">
        <v>0.125</v>
      </c>
      <c r="G1347" t="s">
        <v>10826</v>
      </c>
      <c r="H1347" t="s">
        <v>7987</v>
      </c>
      <c r="I1347" t="s">
        <v>28931</v>
      </c>
      <c r="J1347" t="s">
        <v>10827</v>
      </c>
      <c r="K1347" t="s">
        <v>10828</v>
      </c>
      <c r="L1347" s="7" t="s">
        <v>10829</v>
      </c>
      <c r="M1347">
        <v>10518</v>
      </c>
      <c r="N1347">
        <v>19</v>
      </c>
      <c r="O1347">
        <v>14</v>
      </c>
      <c r="P1347">
        <v>5</v>
      </c>
      <c r="Q1347">
        <v>19</v>
      </c>
      <c r="R1347">
        <v>14</v>
      </c>
      <c r="S1347">
        <v>5</v>
      </c>
      <c r="T1347">
        <v>0</v>
      </c>
      <c r="U1347" t="s">
        <v>10830</v>
      </c>
      <c r="V1347">
        <f>Tabla1[[#This Row],[Aboard]]-Tabla1[[#This Row],[Fatalities]]</f>
        <v>0</v>
      </c>
      <c r="W1347" s="50">
        <f>IFERROR(Tabla1[[#This Row],[Fatalities]]/Tabla1[[#This Row],[Aboard]],0)</f>
        <v>1</v>
      </c>
      <c r="X1347" s="51" t="str" cm="1">
        <f t="array" ref="X1347">_xlfn.IFS(Tabla1[[#This Row],[Porcentaje de muertes]]&lt;0.35,"LEVE",AND(Tabla1[[#This Row],[Porcentaje de muertes]]&gt;0.35,Tabla1[[#This Row],[Porcentaje de muertes]]&lt;0.65),"MEDIO",Tabla1[[#This Row],[Porcentaje de muertes]]&gt;0.65,"GRAVE")</f>
        <v>GRAVE</v>
      </c>
    </row>
    <row r="1348" spans="2:24" x14ac:dyDescent="0.3">
      <c r="B1348" s="9">
        <v>1347</v>
      </c>
      <c r="C1348" s="49">
        <v>19312</v>
      </c>
      <c r="D1348" s="9">
        <f>YEAR(Tabla1[[#This Row],[Date]])</f>
        <v>1952</v>
      </c>
      <c r="E1348" s="9" t="str" cm="1">
        <f t="array" ref="E1348">IFERROR(_xlfn.IFS(AND(D1348&lt;1980,D1348&gt;=1970),"70",AND(D1348&lt;1990,D1348&gt;=1980),"80",AND(D1348&lt;2000,D1348&gt;=1990),"90",AND(D1348&lt;2010,D1348&gt;=2000),"00",AND(D1348&lt;=2019,D1348&gt;=2010),"10"),"1908-1970")</f>
        <v>1908-1970</v>
      </c>
      <c r="F1348" s="3">
        <v>0.61458333333333337</v>
      </c>
      <c r="G1348" t="s">
        <v>10831</v>
      </c>
      <c r="H1348" t="s">
        <v>7987</v>
      </c>
      <c r="I1348" t="s">
        <v>28931</v>
      </c>
      <c r="J1348" t="s">
        <v>28931</v>
      </c>
      <c r="K1348" t="s">
        <v>10828</v>
      </c>
      <c r="L1348" s="7" t="s">
        <v>10832</v>
      </c>
      <c r="M1348" t="s">
        <v>28931</v>
      </c>
      <c r="N1348">
        <v>44</v>
      </c>
      <c r="O1348">
        <v>37</v>
      </c>
      <c r="P1348">
        <v>7</v>
      </c>
      <c r="Q1348">
        <v>44</v>
      </c>
      <c r="R1348">
        <v>37</v>
      </c>
      <c r="S1348">
        <v>7</v>
      </c>
      <c r="T1348">
        <v>0</v>
      </c>
      <c r="U1348" t="s">
        <v>10833</v>
      </c>
      <c r="V1348">
        <f>Tabla1[[#This Row],[Aboard]]-Tabla1[[#This Row],[Fatalities]]</f>
        <v>0</v>
      </c>
      <c r="W1348" s="50">
        <f>IFERROR(Tabla1[[#This Row],[Fatalities]]/Tabla1[[#This Row],[Aboard]],0)</f>
        <v>1</v>
      </c>
      <c r="X1348" s="51" t="str" cm="1">
        <f t="array" ref="X1348">_xlfn.IFS(Tabla1[[#This Row],[Porcentaje de muertes]]&lt;0.35,"LEVE",AND(Tabla1[[#This Row],[Porcentaje de muertes]]&gt;0.35,Tabla1[[#This Row],[Porcentaje de muertes]]&lt;0.65),"MEDIO",Tabla1[[#This Row],[Porcentaje de muertes]]&gt;0.65,"GRAVE")</f>
        <v>GRAVE</v>
      </c>
    </row>
    <row r="1349" spans="2:24" x14ac:dyDescent="0.3">
      <c r="B1349" s="9">
        <v>1348</v>
      </c>
      <c r="C1349" s="49">
        <v>19313</v>
      </c>
      <c r="D1349" s="9">
        <f>YEAR(Tabla1[[#This Row],[Date]])</f>
        <v>1952</v>
      </c>
      <c r="E1349" s="9" t="str" cm="1">
        <f t="array" ref="E1349">IFERROR(_xlfn.IFS(AND(D1349&lt;1980,D1349&gt;=1970),"70",AND(D1349&lt;1990,D1349&gt;=1980),"80",AND(D1349&lt;2000,D1349&gt;=1990),"90",AND(D1349&lt;2010,D1349&gt;=2000),"00",AND(D1349&lt;=2019,D1349&gt;=2010),"10"),"1908-1970")</f>
        <v>1908-1970</v>
      </c>
      <c r="F1349" s="3" t="s">
        <v>28931</v>
      </c>
      <c r="G1349" t="s">
        <v>10834</v>
      </c>
      <c r="H1349" t="s">
        <v>7987</v>
      </c>
      <c r="I1349" t="s">
        <v>28931</v>
      </c>
      <c r="J1349" t="s">
        <v>10835</v>
      </c>
      <c r="K1349" t="s">
        <v>10828</v>
      </c>
      <c r="L1349" s="7" t="s">
        <v>10836</v>
      </c>
      <c r="M1349">
        <v>10528</v>
      </c>
      <c r="N1349">
        <v>20</v>
      </c>
      <c r="O1349">
        <v>15</v>
      </c>
      <c r="P1349">
        <v>5</v>
      </c>
      <c r="Q1349">
        <v>20</v>
      </c>
      <c r="R1349">
        <v>15</v>
      </c>
      <c r="S1349">
        <v>5</v>
      </c>
      <c r="T1349">
        <v>0</v>
      </c>
      <c r="U1349" t="s">
        <v>10837</v>
      </c>
      <c r="V1349">
        <f>Tabla1[[#This Row],[Aboard]]-Tabla1[[#This Row],[Fatalities]]</f>
        <v>0</v>
      </c>
      <c r="W1349" s="50">
        <f>IFERROR(Tabla1[[#This Row],[Fatalities]]/Tabla1[[#This Row],[Aboard]],0)</f>
        <v>1</v>
      </c>
      <c r="X1349" s="51" t="str" cm="1">
        <f t="array" ref="X1349">_xlfn.IFS(Tabla1[[#This Row],[Porcentaje de muertes]]&lt;0.35,"LEVE",AND(Tabla1[[#This Row],[Porcentaje de muertes]]&gt;0.35,Tabla1[[#This Row],[Porcentaje de muertes]]&lt;0.65),"MEDIO",Tabla1[[#This Row],[Porcentaje de muertes]]&gt;0.65,"GRAVE")</f>
        <v>GRAVE</v>
      </c>
    </row>
    <row r="1350" spans="2:24" x14ac:dyDescent="0.3">
      <c r="B1350" s="9">
        <v>1349</v>
      </c>
      <c r="C1350" s="49">
        <v>19315</v>
      </c>
      <c r="D1350" s="9">
        <f>YEAR(Tabla1[[#This Row],[Date]])</f>
        <v>1952</v>
      </c>
      <c r="E1350" s="9" t="str" cm="1">
        <f t="array" ref="E1350">IFERROR(_xlfn.IFS(AND(D1350&lt;1980,D1350&gt;=1970),"70",AND(D1350&lt;1990,D1350&gt;=1980),"80",AND(D1350&lt;2000,D1350&gt;=1990),"90",AND(D1350&lt;2010,D1350&gt;=2000),"00",AND(D1350&lt;=2019,D1350&gt;=2010),"10"),"1908-1970")</f>
        <v>1908-1970</v>
      </c>
      <c r="F1350" s="3" t="s">
        <v>28931</v>
      </c>
      <c r="G1350" t="s">
        <v>10838</v>
      </c>
      <c r="H1350" t="s">
        <v>7987</v>
      </c>
      <c r="I1350" t="s">
        <v>28931</v>
      </c>
      <c r="J1350" t="s">
        <v>10839</v>
      </c>
      <c r="K1350" t="s">
        <v>10840</v>
      </c>
      <c r="L1350" s="7" t="s">
        <v>28931</v>
      </c>
      <c r="M1350" t="s">
        <v>28931</v>
      </c>
      <c r="N1350">
        <v>16</v>
      </c>
      <c r="O1350" t="s">
        <v>5038</v>
      </c>
      <c r="P1350" t="s">
        <v>5038</v>
      </c>
      <c r="Q1350">
        <v>9</v>
      </c>
      <c r="R1350" t="s">
        <v>5038</v>
      </c>
      <c r="S1350" t="s">
        <v>5038</v>
      </c>
      <c r="T1350">
        <v>0</v>
      </c>
      <c r="U1350" t="s">
        <v>10841</v>
      </c>
      <c r="V1350">
        <f>Tabla1[[#This Row],[Aboard]]-Tabla1[[#This Row],[Fatalities]]</f>
        <v>7</v>
      </c>
      <c r="W1350" s="50">
        <f>IFERROR(Tabla1[[#This Row],[Fatalities]]/Tabla1[[#This Row],[Aboard]],0)</f>
        <v>0.5625</v>
      </c>
      <c r="X1350" s="51" t="str" cm="1">
        <f t="array" ref="X1350">_xlfn.IFS(Tabla1[[#This Row],[Porcentaje de muertes]]&lt;0.35,"LEVE",AND(Tabla1[[#This Row],[Porcentaje de muertes]]&gt;0.35,Tabla1[[#This Row],[Porcentaje de muertes]]&lt;0.65),"MEDIO",Tabla1[[#This Row],[Porcentaje de muertes]]&gt;0.65,"GRAVE")</f>
        <v>MEDIO</v>
      </c>
    </row>
    <row r="1351" spans="2:24" x14ac:dyDescent="0.3">
      <c r="B1351" s="9">
        <v>1350</v>
      </c>
      <c r="C1351" s="49">
        <v>19320</v>
      </c>
      <c r="D1351" s="9">
        <f>YEAR(Tabla1[[#This Row],[Date]])</f>
        <v>1952</v>
      </c>
      <c r="E1351" s="9" t="str" cm="1">
        <f t="array" ref="E1351">IFERROR(_xlfn.IFS(AND(D1351&lt;1980,D1351&gt;=1970),"70",AND(D1351&lt;1990,D1351&gt;=1980),"80",AND(D1351&lt;2000,D1351&gt;=1990),"90",AND(D1351&lt;2010,D1351&gt;=2000),"00",AND(D1351&lt;=2019,D1351&gt;=2010),"10"),"1908-1970")</f>
        <v>1908-1970</v>
      </c>
      <c r="F1351" s="3">
        <v>0.84375</v>
      </c>
      <c r="G1351" t="s">
        <v>10842</v>
      </c>
      <c r="H1351" t="s">
        <v>7987</v>
      </c>
      <c r="I1351" t="s">
        <v>28931</v>
      </c>
      <c r="J1351" t="s">
        <v>28931</v>
      </c>
      <c r="K1351" t="s">
        <v>10347</v>
      </c>
      <c r="L1351" s="7" t="s">
        <v>10843</v>
      </c>
      <c r="M1351">
        <v>464096</v>
      </c>
      <c r="N1351">
        <v>52</v>
      </c>
      <c r="O1351">
        <v>41</v>
      </c>
      <c r="P1351">
        <v>11</v>
      </c>
      <c r="Q1351">
        <v>52</v>
      </c>
      <c r="R1351">
        <v>41</v>
      </c>
      <c r="S1351">
        <v>11</v>
      </c>
      <c r="T1351">
        <v>0</v>
      </c>
      <c r="U1351" t="s">
        <v>10844</v>
      </c>
      <c r="V1351">
        <f>Tabla1[[#This Row],[Aboard]]-Tabla1[[#This Row],[Fatalities]]</f>
        <v>0</v>
      </c>
      <c r="W1351" s="50">
        <f>IFERROR(Tabla1[[#This Row],[Fatalities]]/Tabla1[[#This Row],[Aboard]],0)</f>
        <v>1</v>
      </c>
      <c r="X1351" s="51" t="str" cm="1">
        <f t="array" ref="X1351">_xlfn.IFS(Tabla1[[#This Row],[Porcentaje de muertes]]&lt;0.35,"LEVE",AND(Tabla1[[#This Row],[Porcentaje de muertes]]&gt;0.35,Tabla1[[#This Row],[Porcentaje de muertes]]&lt;0.65),"MEDIO",Tabla1[[#This Row],[Porcentaje de muertes]]&gt;0.65,"GRAVE")</f>
        <v>GRAVE</v>
      </c>
    </row>
    <row r="1352" spans="2:24" x14ac:dyDescent="0.3">
      <c r="B1352" s="9">
        <v>1351</v>
      </c>
      <c r="C1352" s="49">
        <v>19326</v>
      </c>
      <c r="D1352" s="9">
        <f>YEAR(Tabla1[[#This Row],[Date]])</f>
        <v>1952</v>
      </c>
      <c r="E1352" s="9" t="str" cm="1">
        <f t="array" ref="E1352">IFERROR(_xlfn.IFS(AND(D1352&lt;1980,D1352&gt;=1970),"70",AND(D1352&lt;1990,D1352&gt;=1980),"80",AND(D1352&lt;2000,D1352&gt;=1990),"90",AND(D1352&lt;2010,D1352&gt;=2000),"00",AND(D1352&lt;=2019,D1352&gt;=2010),"10"),"1908-1970")</f>
        <v>1908-1970</v>
      </c>
      <c r="F1352" s="3">
        <v>3.4722222222222224E-2</v>
      </c>
      <c r="G1352" t="s">
        <v>10845</v>
      </c>
      <c r="H1352" t="s">
        <v>7987</v>
      </c>
      <c r="I1352" t="s">
        <v>28931</v>
      </c>
      <c r="J1352" t="s">
        <v>28931</v>
      </c>
      <c r="K1352" t="s">
        <v>10846</v>
      </c>
      <c r="L1352" s="7" t="s">
        <v>28931</v>
      </c>
      <c r="M1352" t="s">
        <v>28931</v>
      </c>
      <c r="N1352">
        <v>38</v>
      </c>
      <c r="O1352">
        <v>31</v>
      </c>
      <c r="P1352">
        <v>7</v>
      </c>
      <c r="Q1352">
        <v>37</v>
      </c>
      <c r="R1352">
        <v>30</v>
      </c>
      <c r="S1352">
        <v>7</v>
      </c>
      <c r="T1352">
        <v>0</v>
      </c>
      <c r="U1352" t="s">
        <v>10847</v>
      </c>
      <c r="V1352">
        <f>Tabla1[[#This Row],[Aboard]]-Tabla1[[#This Row],[Fatalities]]</f>
        <v>1</v>
      </c>
      <c r="W1352" s="50">
        <f>IFERROR(Tabla1[[#This Row],[Fatalities]]/Tabla1[[#This Row],[Aboard]],0)</f>
        <v>0.97368421052631582</v>
      </c>
      <c r="X1352" s="51" t="str" cm="1">
        <f t="array" ref="X1352">_xlfn.IFS(Tabla1[[#This Row],[Porcentaje de muertes]]&lt;0.35,"LEVE",AND(Tabla1[[#This Row],[Porcentaje de muertes]]&gt;0.35,Tabla1[[#This Row],[Porcentaje de muertes]]&lt;0.65),"MEDIO",Tabla1[[#This Row],[Porcentaje de muertes]]&gt;0.65,"GRAVE")</f>
        <v>GRAVE</v>
      </c>
    </row>
    <row r="1353" spans="2:24" x14ac:dyDescent="0.3">
      <c r="B1353" s="9">
        <v>1352</v>
      </c>
      <c r="C1353" s="49">
        <v>19157</v>
      </c>
      <c r="D1353" s="9">
        <f>YEAR(Tabla1[[#This Row],[Date]])</f>
        <v>1952</v>
      </c>
      <c r="E1353" s="9" t="str" cm="1">
        <f t="array" ref="E1353">IFERROR(_xlfn.IFS(AND(D1353&lt;1980,D1353&gt;=1970),"70",AND(D1353&lt;1990,D1353&gt;=1980),"80",AND(D1353&lt;2000,D1353&gt;=1990),"90",AND(D1353&lt;2010,D1353&gt;=2000),"00",AND(D1353&lt;=2019,D1353&gt;=2010),"10"),"1908-1970")</f>
        <v>1908-1970</v>
      </c>
      <c r="F1353" s="3" t="s">
        <v>28931</v>
      </c>
      <c r="G1353" t="s">
        <v>10848</v>
      </c>
      <c r="H1353" t="s">
        <v>10849</v>
      </c>
      <c r="I1353" t="s">
        <v>28931</v>
      </c>
      <c r="J1353" t="s">
        <v>10850</v>
      </c>
      <c r="K1353" t="s">
        <v>8569</v>
      </c>
      <c r="L1353" s="7" t="s">
        <v>28931</v>
      </c>
      <c r="M1353" t="s">
        <v>28931</v>
      </c>
      <c r="N1353">
        <v>18</v>
      </c>
      <c r="O1353" t="s">
        <v>5038</v>
      </c>
      <c r="P1353" t="s">
        <v>5038</v>
      </c>
      <c r="Q1353">
        <v>18</v>
      </c>
      <c r="R1353" t="s">
        <v>5038</v>
      </c>
      <c r="S1353" t="s">
        <v>5038</v>
      </c>
      <c r="T1353">
        <v>0</v>
      </c>
      <c r="U1353" t="s">
        <v>9721</v>
      </c>
      <c r="V1353">
        <f>Tabla1[[#This Row],[Aboard]]-Tabla1[[#This Row],[Fatalities]]</f>
        <v>0</v>
      </c>
      <c r="W1353" s="50">
        <f>IFERROR(Tabla1[[#This Row],[Fatalities]]/Tabla1[[#This Row],[Aboard]],0)</f>
        <v>1</v>
      </c>
      <c r="X1353" s="51" t="str" cm="1">
        <f t="array" ref="X1353">_xlfn.IFS(Tabla1[[#This Row],[Porcentaje de muertes]]&lt;0.35,"LEVE",AND(Tabla1[[#This Row],[Porcentaje de muertes]]&gt;0.35,Tabla1[[#This Row],[Porcentaje de muertes]]&lt;0.65),"MEDIO",Tabla1[[#This Row],[Porcentaje de muertes]]&gt;0.65,"GRAVE")</f>
        <v>GRAVE</v>
      </c>
    </row>
    <row r="1354" spans="2:24" x14ac:dyDescent="0.3">
      <c r="B1354" s="9">
        <v>1353</v>
      </c>
      <c r="C1354" s="49">
        <v>19157</v>
      </c>
      <c r="D1354" s="9">
        <f>YEAR(Tabla1[[#This Row],[Date]])</f>
        <v>1952</v>
      </c>
      <c r="E1354" s="9" t="str" cm="1">
        <f t="array" ref="E1354">IFERROR(_xlfn.IFS(AND(D1354&lt;1980,D1354&gt;=1970),"70",AND(D1354&lt;1990,D1354&gt;=1980),"80",AND(D1354&lt;2000,D1354&gt;=1990),"90",AND(D1354&lt;2010,D1354&gt;=2000),"00",AND(D1354&lt;=2019,D1354&gt;=2010),"10"),"1908-1970")</f>
        <v>1908-1970</v>
      </c>
      <c r="F1354" s="3">
        <v>0.19444444444444445</v>
      </c>
      <c r="G1354" t="s">
        <v>10851</v>
      </c>
      <c r="H1354" t="s">
        <v>6524</v>
      </c>
      <c r="I1354" t="s">
        <v>28931</v>
      </c>
      <c r="J1354" t="s">
        <v>10852</v>
      </c>
      <c r="K1354" t="s">
        <v>8822</v>
      </c>
      <c r="L1354" s="7" t="s">
        <v>10853</v>
      </c>
      <c r="M1354">
        <v>10319</v>
      </c>
      <c r="N1354">
        <v>41</v>
      </c>
      <c r="O1354">
        <v>33</v>
      </c>
      <c r="P1354">
        <v>8</v>
      </c>
      <c r="Q1354">
        <v>37</v>
      </c>
      <c r="R1354">
        <v>30</v>
      </c>
      <c r="S1354">
        <v>7</v>
      </c>
      <c r="T1354">
        <v>0</v>
      </c>
      <c r="U1354" t="s">
        <v>10854</v>
      </c>
      <c r="V1354">
        <f>Tabla1[[#This Row],[Aboard]]-Tabla1[[#This Row],[Fatalities]]</f>
        <v>4</v>
      </c>
      <c r="W1354" s="50">
        <f>IFERROR(Tabla1[[#This Row],[Fatalities]]/Tabla1[[#This Row],[Aboard]],0)</f>
        <v>0.90243902439024393</v>
      </c>
      <c r="X1354" s="51" t="str" cm="1">
        <f t="array" ref="X1354">_xlfn.IFS(Tabla1[[#This Row],[Porcentaje de muertes]]&lt;0.35,"LEVE",AND(Tabla1[[#This Row],[Porcentaje de muertes]]&gt;0.35,Tabla1[[#This Row],[Porcentaje de muertes]]&lt;0.65),"MEDIO",Tabla1[[#This Row],[Porcentaje de muertes]]&gt;0.65,"GRAVE")</f>
        <v>GRAVE</v>
      </c>
    </row>
    <row r="1355" spans="2:24" x14ac:dyDescent="0.3">
      <c r="B1355" s="9">
        <v>1354</v>
      </c>
      <c r="C1355" s="49">
        <v>19348</v>
      </c>
      <c r="D1355" s="9">
        <f>YEAR(Tabla1[[#This Row],[Date]])</f>
        <v>1952</v>
      </c>
      <c r="E1355" s="9" t="str" cm="1">
        <f t="array" ref="E1355">IFERROR(_xlfn.IFS(AND(D1355&lt;1980,D1355&gt;=1970),"70",AND(D1355&lt;1990,D1355&gt;=1980),"80",AND(D1355&lt;2000,D1355&gt;=1990),"90",AND(D1355&lt;2010,D1355&gt;=2000),"00",AND(D1355&lt;=2019,D1355&gt;=2010),"10"),"1908-1970")</f>
        <v>1908-1970</v>
      </c>
      <c r="F1355" s="3">
        <v>0.27083333333333331</v>
      </c>
      <c r="G1355" t="s">
        <v>10855</v>
      </c>
      <c r="H1355" t="s">
        <v>7987</v>
      </c>
      <c r="I1355" t="s">
        <v>28931</v>
      </c>
      <c r="J1355" t="s">
        <v>28931</v>
      </c>
      <c r="K1355" t="s">
        <v>10347</v>
      </c>
      <c r="L1355" s="7" t="s">
        <v>10856</v>
      </c>
      <c r="M1355">
        <v>43238</v>
      </c>
      <c r="N1355">
        <v>115</v>
      </c>
      <c r="O1355">
        <v>105</v>
      </c>
      <c r="P1355">
        <v>10</v>
      </c>
      <c r="Q1355">
        <v>87</v>
      </c>
      <c r="R1355">
        <v>82</v>
      </c>
      <c r="S1355">
        <v>5</v>
      </c>
      <c r="T1355">
        <v>0</v>
      </c>
      <c r="U1355" t="s">
        <v>10857</v>
      </c>
      <c r="V1355">
        <f>Tabla1[[#This Row],[Aboard]]-Tabla1[[#This Row],[Fatalities]]</f>
        <v>28</v>
      </c>
      <c r="W1355" s="50">
        <f>IFERROR(Tabla1[[#This Row],[Fatalities]]/Tabla1[[#This Row],[Aboard]],0)</f>
        <v>0.75652173913043474</v>
      </c>
      <c r="X1355" s="51" t="str" cm="1">
        <f t="array" ref="X1355">_xlfn.IFS(Tabla1[[#This Row],[Porcentaje de muertes]]&lt;0.35,"LEVE",AND(Tabla1[[#This Row],[Porcentaje de muertes]]&gt;0.35,Tabla1[[#This Row],[Porcentaje de muertes]]&lt;0.65),"MEDIO",Tabla1[[#This Row],[Porcentaje de muertes]]&gt;0.65,"GRAVE")</f>
        <v>GRAVE</v>
      </c>
    </row>
    <row r="1356" spans="2:24" x14ac:dyDescent="0.3">
      <c r="B1356" s="9">
        <v>1355</v>
      </c>
      <c r="C1356" s="49">
        <v>19349</v>
      </c>
      <c r="D1356" s="9">
        <f>YEAR(Tabla1[[#This Row],[Date]])</f>
        <v>1952</v>
      </c>
      <c r="E1356" s="9" t="str" cm="1">
        <f t="array" ref="E1356">IFERROR(_xlfn.IFS(AND(D1356&lt;1980,D1356&gt;=1970),"70",AND(D1356&lt;1990,D1356&gt;=1980),"80",AND(D1356&lt;2000,D1356&gt;=1990),"90",AND(D1356&lt;2010,D1356&gt;=2000),"00",AND(D1356&lt;=2019,D1356&gt;=2010),"10"),"1908-1970")</f>
        <v>1908-1970</v>
      </c>
      <c r="F1356" s="3" t="s">
        <v>28931</v>
      </c>
      <c r="G1356" t="s">
        <v>6172</v>
      </c>
      <c r="H1356" t="s">
        <v>10858</v>
      </c>
      <c r="I1356" t="s">
        <v>28931</v>
      </c>
      <c r="J1356" t="s">
        <v>28931</v>
      </c>
      <c r="K1356" t="s">
        <v>8433</v>
      </c>
      <c r="L1356" s="7" t="s">
        <v>10859</v>
      </c>
      <c r="M1356">
        <v>33486</v>
      </c>
      <c r="N1356">
        <v>3</v>
      </c>
      <c r="O1356">
        <v>0</v>
      </c>
      <c r="P1356">
        <v>3</v>
      </c>
      <c r="Q1356">
        <v>3</v>
      </c>
      <c r="R1356">
        <v>0</v>
      </c>
      <c r="S1356">
        <v>3</v>
      </c>
      <c r="T1356">
        <v>0</v>
      </c>
      <c r="U1356" t="s">
        <v>10860</v>
      </c>
      <c r="V1356">
        <f>Tabla1[[#This Row],[Aboard]]-Tabla1[[#This Row],[Fatalities]]</f>
        <v>0</v>
      </c>
      <c r="W1356" s="50">
        <f>IFERROR(Tabla1[[#This Row],[Fatalities]]/Tabla1[[#This Row],[Aboard]],0)</f>
        <v>1</v>
      </c>
      <c r="X1356" s="51" t="str" cm="1">
        <f t="array" ref="X1356">_xlfn.IFS(Tabla1[[#This Row],[Porcentaje de muertes]]&lt;0.35,"LEVE",AND(Tabla1[[#This Row],[Porcentaje de muertes]]&gt;0.35,Tabla1[[#This Row],[Porcentaje de muertes]]&lt;0.65),"MEDIO",Tabla1[[#This Row],[Porcentaje de muertes]]&gt;0.65,"GRAVE")</f>
        <v>GRAVE</v>
      </c>
    </row>
    <row r="1357" spans="2:24" x14ac:dyDescent="0.3">
      <c r="B1357" s="9">
        <v>1356</v>
      </c>
      <c r="C1357" s="49">
        <v>19350</v>
      </c>
      <c r="D1357" s="9">
        <f>YEAR(Tabla1[[#This Row],[Date]])</f>
        <v>1952</v>
      </c>
      <c r="E1357" s="9" t="str" cm="1">
        <f t="array" ref="E1357">IFERROR(_xlfn.IFS(AND(D1357&lt;1980,D1357&gt;=1970),"70",AND(D1357&lt;1990,D1357&gt;=1980),"80",AND(D1357&lt;2000,D1357&gt;=1990),"90",AND(D1357&lt;2010,D1357&gt;=2000),"00",AND(D1357&lt;=2019,D1357&gt;=2010),"10"),"1908-1970")</f>
        <v>1908-1970</v>
      </c>
      <c r="F1357" s="3" t="s">
        <v>28931</v>
      </c>
      <c r="G1357" t="s">
        <v>10861</v>
      </c>
      <c r="H1357" t="s">
        <v>10862</v>
      </c>
      <c r="I1357" t="s">
        <v>28931</v>
      </c>
      <c r="J1357" t="s">
        <v>28931</v>
      </c>
      <c r="K1357" t="s">
        <v>7057</v>
      </c>
      <c r="L1357" s="7" t="s">
        <v>28931</v>
      </c>
      <c r="M1357" t="s">
        <v>28931</v>
      </c>
      <c r="N1357" t="s">
        <v>5038</v>
      </c>
      <c r="O1357" t="s">
        <v>5038</v>
      </c>
      <c r="P1357" t="s">
        <v>5038</v>
      </c>
      <c r="Q1357">
        <v>9</v>
      </c>
      <c r="R1357" t="s">
        <v>5038</v>
      </c>
      <c r="S1357" t="s">
        <v>5038</v>
      </c>
      <c r="T1357" t="s">
        <v>5038</v>
      </c>
      <c r="U1357" t="s">
        <v>28927</v>
      </c>
      <c r="V1357" t="s">
        <v>5038</v>
      </c>
      <c r="W1357" s="50">
        <f>IFERROR(Tabla1[[#This Row],[Fatalities]]/Tabla1[[#This Row],[Aboard]],0)</f>
        <v>0</v>
      </c>
      <c r="X1357" s="51" t="str" cm="1">
        <f t="array" ref="X1357">_xlfn.IFS(Tabla1[[#This Row],[Porcentaje de muertes]]&lt;0.35,"LEVE",AND(Tabla1[[#This Row],[Porcentaje de muertes]]&gt;0.35,Tabla1[[#This Row],[Porcentaje de muertes]]&lt;0.65),"MEDIO",Tabla1[[#This Row],[Porcentaje de muertes]]&gt;0.65,"GRAVE")</f>
        <v>LEVE</v>
      </c>
    </row>
    <row r="1358" spans="2:24" x14ac:dyDescent="0.3">
      <c r="B1358" s="9">
        <v>1357</v>
      </c>
      <c r="C1358" s="49">
        <v>19353</v>
      </c>
      <c r="D1358" s="9">
        <f>YEAR(Tabla1[[#This Row],[Date]])</f>
        <v>1952</v>
      </c>
      <c r="E1358" s="9" t="str" cm="1">
        <f t="array" ref="E1358">IFERROR(_xlfn.IFS(AND(D1358&lt;1980,D1358&gt;=1970),"70",AND(D1358&lt;1990,D1358&gt;=1980),"80",AND(D1358&lt;2000,D1358&gt;=1990),"90",AND(D1358&lt;2010,D1358&gt;=2000),"00",AND(D1358&lt;=2019,D1358&gt;=2010),"10"),"1908-1970")</f>
        <v>1908-1970</v>
      </c>
      <c r="F1358" s="3" t="s">
        <v>28931</v>
      </c>
      <c r="G1358" t="s">
        <v>10863</v>
      </c>
      <c r="H1358" t="s">
        <v>9576</v>
      </c>
      <c r="I1358" t="s">
        <v>28931</v>
      </c>
      <c r="J1358" t="s">
        <v>28931</v>
      </c>
      <c r="K1358" t="s">
        <v>7057</v>
      </c>
      <c r="L1358" s="7" t="s">
        <v>10864</v>
      </c>
      <c r="M1358">
        <v>7391</v>
      </c>
      <c r="N1358">
        <v>5</v>
      </c>
      <c r="O1358" t="s">
        <v>5038</v>
      </c>
      <c r="P1358" t="s">
        <v>5038</v>
      </c>
      <c r="Q1358">
        <v>3</v>
      </c>
      <c r="R1358" t="s">
        <v>5038</v>
      </c>
      <c r="S1358" t="s">
        <v>5038</v>
      </c>
      <c r="T1358">
        <v>0</v>
      </c>
      <c r="U1358" t="s">
        <v>10865</v>
      </c>
      <c r="V1358">
        <f>Tabla1[[#This Row],[Aboard]]-Tabla1[[#This Row],[Fatalities]]</f>
        <v>2</v>
      </c>
      <c r="W1358" s="50">
        <f>IFERROR(Tabla1[[#This Row],[Fatalities]]/Tabla1[[#This Row],[Aboard]],0)</f>
        <v>0.6</v>
      </c>
      <c r="X1358" s="51" t="str" cm="1">
        <f t="array" ref="X1358">_xlfn.IFS(Tabla1[[#This Row],[Porcentaje de muertes]]&lt;0.35,"LEVE",AND(Tabla1[[#This Row],[Porcentaje de muertes]]&gt;0.35,Tabla1[[#This Row],[Porcentaje de muertes]]&lt;0.65),"MEDIO",Tabla1[[#This Row],[Porcentaje de muertes]]&gt;0.65,"GRAVE")</f>
        <v>MEDIO</v>
      </c>
    </row>
    <row r="1359" spans="2:24" x14ac:dyDescent="0.3">
      <c r="B1359" s="9">
        <v>1358</v>
      </c>
      <c r="C1359" s="49">
        <v>19353</v>
      </c>
      <c r="D1359" s="9">
        <f>YEAR(Tabla1[[#This Row],[Date]])</f>
        <v>1952</v>
      </c>
      <c r="E1359" s="9" t="str" cm="1">
        <f t="array" ref="E1359">IFERROR(_xlfn.IFS(AND(D1359&lt;1980,D1359&gt;=1970),"70",AND(D1359&lt;1990,D1359&gt;=1980),"80",AND(D1359&lt;2000,D1359&gt;=1990),"90",AND(D1359&lt;2010,D1359&gt;=2000),"00",AND(D1359&lt;=2019,D1359&gt;=2010),"10"),"1908-1970")</f>
        <v>1908-1970</v>
      </c>
      <c r="F1359" s="3" t="s">
        <v>28931</v>
      </c>
      <c r="G1359" t="s">
        <v>10175</v>
      </c>
      <c r="H1359" t="s">
        <v>10176</v>
      </c>
      <c r="I1359" t="s">
        <v>28931</v>
      </c>
      <c r="J1359" t="s">
        <v>10866</v>
      </c>
      <c r="K1359" t="s">
        <v>7057</v>
      </c>
      <c r="L1359" s="7" t="s">
        <v>10867</v>
      </c>
      <c r="M1359">
        <v>9692</v>
      </c>
      <c r="N1359">
        <v>29</v>
      </c>
      <c r="O1359">
        <v>25</v>
      </c>
      <c r="P1359">
        <v>4</v>
      </c>
      <c r="Q1359">
        <v>27</v>
      </c>
      <c r="R1359">
        <v>23</v>
      </c>
      <c r="S1359">
        <v>4</v>
      </c>
      <c r="T1359">
        <v>0</v>
      </c>
      <c r="U1359" t="s">
        <v>10868</v>
      </c>
      <c r="V1359">
        <f>Tabla1[[#This Row],[Aboard]]-Tabla1[[#This Row],[Fatalities]]</f>
        <v>2</v>
      </c>
      <c r="W1359" s="50">
        <f>IFERROR(Tabla1[[#This Row],[Fatalities]]/Tabla1[[#This Row],[Aboard]],0)</f>
        <v>0.93103448275862066</v>
      </c>
      <c r="X1359" s="51" t="str" cm="1">
        <f t="array" ref="X1359">_xlfn.IFS(Tabla1[[#This Row],[Porcentaje de muertes]]&lt;0.35,"LEVE",AND(Tabla1[[#This Row],[Porcentaje de muertes]]&gt;0.35,Tabla1[[#This Row],[Porcentaje de muertes]]&lt;0.65),"MEDIO",Tabla1[[#This Row],[Porcentaje de muertes]]&gt;0.65,"GRAVE")</f>
        <v>GRAVE</v>
      </c>
    </row>
    <row r="1360" spans="2:24" x14ac:dyDescent="0.3">
      <c r="B1360" s="9">
        <v>1359</v>
      </c>
      <c r="C1360" s="49">
        <v>19358</v>
      </c>
      <c r="D1360" s="9">
        <f>YEAR(Tabla1[[#This Row],[Date]])</f>
        <v>1952</v>
      </c>
      <c r="E1360" s="9" t="str" cm="1">
        <f t="array" ref="E1360">IFERROR(_xlfn.IFS(AND(D1360&lt;1980,D1360&gt;=1970),"70",AND(D1360&lt;1990,D1360&gt;=1980),"80",AND(D1360&lt;2000,D1360&gt;=1990),"90",AND(D1360&lt;2010,D1360&gt;=2000),"00",AND(D1360&lt;=2019,D1360&gt;=2010),"10"),"1908-1970")</f>
        <v>1908-1970</v>
      </c>
      <c r="F1360" s="3" t="s">
        <v>28931</v>
      </c>
      <c r="G1360" t="s">
        <v>10869</v>
      </c>
      <c r="H1360" t="s">
        <v>8992</v>
      </c>
      <c r="I1360" t="s">
        <v>28931</v>
      </c>
      <c r="J1360" t="s">
        <v>28931</v>
      </c>
      <c r="K1360" t="s">
        <v>7057</v>
      </c>
      <c r="L1360" s="7" t="s">
        <v>10870</v>
      </c>
      <c r="M1360" t="s">
        <v>28931</v>
      </c>
      <c r="N1360">
        <v>10</v>
      </c>
      <c r="O1360">
        <v>7</v>
      </c>
      <c r="P1360">
        <v>3</v>
      </c>
      <c r="Q1360">
        <v>2</v>
      </c>
      <c r="R1360">
        <v>0</v>
      </c>
      <c r="S1360">
        <v>2</v>
      </c>
      <c r="T1360">
        <v>0</v>
      </c>
      <c r="U1360" t="s">
        <v>10871</v>
      </c>
      <c r="V1360">
        <f>Tabla1[[#This Row],[Aboard]]-Tabla1[[#This Row],[Fatalities]]</f>
        <v>8</v>
      </c>
      <c r="W1360" s="50">
        <f>IFERROR(Tabla1[[#This Row],[Fatalities]]/Tabla1[[#This Row],[Aboard]],0)</f>
        <v>0.2</v>
      </c>
      <c r="X1360" s="51" t="str" cm="1">
        <f t="array" ref="X1360">_xlfn.IFS(Tabla1[[#This Row],[Porcentaje de muertes]]&lt;0.35,"LEVE",AND(Tabla1[[#This Row],[Porcentaje de muertes]]&gt;0.35,Tabla1[[#This Row],[Porcentaje de muertes]]&lt;0.65),"MEDIO",Tabla1[[#This Row],[Porcentaje de muertes]]&gt;0.65,"GRAVE")</f>
        <v>LEVE</v>
      </c>
    </row>
    <row r="1361" spans="2:24" x14ac:dyDescent="0.3">
      <c r="B1361" s="9">
        <v>1360</v>
      </c>
      <c r="C1361" s="49">
        <v>19480</v>
      </c>
      <c r="D1361" s="9">
        <f>YEAR(Tabla1[[#This Row],[Date]])</f>
        <v>1953</v>
      </c>
      <c r="E1361" s="9" t="str" cm="1">
        <f t="array" ref="E1361">IFERROR(_xlfn.IFS(AND(D1361&lt;1980,D1361&gt;=1970),"70",AND(D1361&lt;1990,D1361&gt;=1980),"80",AND(D1361&lt;2000,D1361&gt;=1990),"90",AND(D1361&lt;2010,D1361&gt;=2000),"00",AND(D1361&lt;=2019,D1361&gt;=2010),"10"),"1908-1970")</f>
        <v>1908-1970</v>
      </c>
      <c r="F1361" s="3">
        <v>0.90208333333333324</v>
      </c>
      <c r="G1361" t="s">
        <v>10872</v>
      </c>
      <c r="H1361" t="s">
        <v>8721</v>
      </c>
      <c r="I1361" t="s">
        <v>28931</v>
      </c>
      <c r="J1361" t="s">
        <v>10873</v>
      </c>
      <c r="K1361" t="s">
        <v>10874</v>
      </c>
      <c r="L1361" s="7" t="s">
        <v>10875</v>
      </c>
      <c r="M1361">
        <v>262</v>
      </c>
      <c r="N1361">
        <v>35</v>
      </c>
      <c r="O1361">
        <v>31</v>
      </c>
      <c r="P1361">
        <v>4</v>
      </c>
      <c r="Q1361">
        <v>27</v>
      </c>
      <c r="R1361">
        <v>24</v>
      </c>
      <c r="S1361">
        <v>3</v>
      </c>
      <c r="T1361">
        <v>0</v>
      </c>
      <c r="U1361" t="s">
        <v>10876</v>
      </c>
      <c r="V1361">
        <f>Tabla1[[#This Row],[Aboard]]-Tabla1[[#This Row],[Fatalities]]</f>
        <v>8</v>
      </c>
      <c r="W1361" s="50">
        <f>IFERROR(Tabla1[[#This Row],[Fatalities]]/Tabla1[[#This Row],[Aboard]],0)</f>
        <v>0.77142857142857146</v>
      </c>
      <c r="X1361" s="51" t="str" cm="1">
        <f t="array" ref="X1361">_xlfn.IFS(Tabla1[[#This Row],[Porcentaje de muertes]]&lt;0.35,"LEVE",AND(Tabla1[[#This Row],[Porcentaje de muertes]]&gt;0.35,Tabla1[[#This Row],[Porcentaje de muertes]]&lt;0.65),"MEDIO",Tabla1[[#This Row],[Porcentaje de muertes]]&gt;0.65,"GRAVE")</f>
        <v>GRAVE</v>
      </c>
    </row>
    <row r="1362" spans="2:24" x14ac:dyDescent="0.3">
      <c r="B1362" s="9">
        <v>1361</v>
      </c>
      <c r="C1362" s="49">
        <v>19541</v>
      </c>
      <c r="D1362" s="9">
        <f>YEAR(Tabla1[[#This Row],[Date]])</f>
        <v>1953</v>
      </c>
      <c r="E1362" s="9" t="str" cm="1">
        <f t="array" ref="E1362">IFERROR(_xlfn.IFS(AND(D1362&lt;1980,D1362&gt;=1970),"70",AND(D1362&lt;1990,D1362&gt;=1980),"80",AND(D1362&lt;2000,D1362&gt;=1990),"90",AND(D1362&lt;2010,D1362&gt;=2000),"00",AND(D1362&lt;=2019,D1362&gt;=2010),"10"),"1908-1970")</f>
        <v>1908-1970</v>
      </c>
      <c r="F1362" s="3">
        <v>0.87152777777777779</v>
      </c>
      <c r="G1362" t="s">
        <v>10877</v>
      </c>
      <c r="H1362" t="s">
        <v>10878</v>
      </c>
      <c r="I1362">
        <v>841</v>
      </c>
      <c r="J1362" t="s">
        <v>10879</v>
      </c>
      <c r="K1362" t="s">
        <v>10880</v>
      </c>
      <c r="L1362" s="7" t="s">
        <v>10881</v>
      </c>
      <c r="M1362">
        <v>18350</v>
      </c>
      <c r="N1362">
        <v>7</v>
      </c>
      <c r="O1362">
        <v>3</v>
      </c>
      <c r="P1362">
        <v>4</v>
      </c>
      <c r="Q1362">
        <v>7</v>
      </c>
      <c r="R1362">
        <v>3</v>
      </c>
      <c r="S1362">
        <v>4</v>
      </c>
      <c r="T1362">
        <v>0</v>
      </c>
      <c r="U1362" t="s">
        <v>10882</v>
      </c>
      <c r="V1362">
        <f>Tabla1[[#This Row],[Aboard]]-Tabla1[[#This Row],[Fatalities]]</f>
        <v>0</v>
      </c>
      <c r="W1362" s="50">
        <f>IFERROR(Tabla1[[#This Row],[Fatalities]]/Tabla1[[#This Row],[Aboard]],0)</f>
        <v>1</v>
      </c>
      <c r="X1362" s="51" t="str" cm="1">
        <f t="array" ref="X1362">_xlfn.IFS(Tabla1[[#This Row],[Porcentaje de muertes]]&lt;0.35,"LEVE",AND(Tabla1[[#This Row],[Porcentaje de muertes]]&gt;0.35,Tabla1[[#This Row],[Porcentaje de muertes]]&lt;0.65),"MEDIO",Tabla1[[#This Row],[Porcentaje de muertes]]&gt;0.65,"GRAVE")</f>
        <v>GRAVE</v>
      </c>
    </row>
    <row r="1363" spans="2:24" x14ac:dyDescent="0.3">
      <c r="B1363" s="9">
        <v>1362</v>
      </c>
      <c r="C1363" s="49">
        <v>19541</v>
      </c>
      <c r="D1363" s="9">
        <f>YEAR(Tabla1[[#This Row],[Date]])</f>
        <v>1953</v>
      </c>
      <c r="E1363" s="9" t="str" cm="1">
        <f t="array" ref="E1363">IFERROR(_xlfn.IFS(AND(D1363&lt;1980,D1363&gt;=1970),"70",AND(D1363&lt;1990,D1363&gt;=1980),"80",AND(D1363&lt;2000,D1363&gt;=1990),"90",AND(D1363&lt;2010,D1363&gt;=2000),"00",AND(D1363&lt;=2019,D1363&gt;=2010),"10"),"1908-1970")</f>
        <v>1908-1970</v>
      </c>
      <c r="F1363" s="3">
        <v>0.17500000000000002</v>
      </c>
      <c r="G1363" t="s">
        <v>10883</v>
      </c>
      <c r="H1363" t="s">
        <v>10884</v>
      </c>
      <c r="I1363" t="s">
        <v>10885</v>
      </c>
      <c r="J1363" t="s">
        <v>10886</v>
      </c>
      <c r="K1363" t="s">
        <v>8697</v>
      </c>
      <c r="L1363" s="7" t="s">
        <v>10887</v>
      </c>
      <c r="M1363">
        <v>22395</v>
      </c>
      <c r="N1363">
        <v>40</v>
      </c>
      <c r="O1363">
        <v>37</v>
      </c>
      <c r="P1363">
        <v>3</v>
      </c>
      <c r="Q1363">
        <v>40</v>
      </c>
      <c r="R1363">
        <v>37</v>
      </c>
      <c r="S1363">
        <v>3</v>
      </c>
      <c r="T1363">
        <v>0</v>
      </c>
      <c r="U1363" t="s">
        <v>10888</v>
      </c>
      <c r="V1363">
        <f>Tabla1[[#This Row],[Aboard]]-Tabla1[[#This Row],[Fatalities]]</f>
        <v>0</v>
      </c>
      <c r="W1363" s="50">
        <f>IFERROR(Tabla1[[#This Row],[Fatalities]]/Tabla1[[#This Row],[Aboard]],0)</f>
        <v>1</v>
      </c>
      <c r="X1363" s="51" t="str" cm="1">
        <f t="array" ref="X1363">_xlfn.IFS(Tabla1[[#This Row],[Porcentaje de muertes]]&lt;0.35,"LEVE",AND(Tabla1[[#This Row],[Porcentaje de muertes]]&gt;0.35,Tabla1[[#This Row],[Porcentaje de muertes]]&lt;0.65),"MEDIO",Tabla1[[#This Row],[Porcentaje de muertes]]&gt;0.65,"GRAVE")</f>
        <v>GRAVE</v>
      </c>
    </row>
    <row r="1364" spans="2:24" x14ac:dyDescent="0.3">
      <c r="B1364" s="9">
        <v>1363</v>
      </c>
      <c r="C1364" s="49">
        <v>19374</v>
      </c>
      <c r="D1364" s="9">
        <f>YEAR(Tabla1[[#This Row],[Date]])</f>
        <v>1953</v>
      </c>
      <c r="E1364" s="9" t="str" cm="1">
        <f t="array" ref="E1364">IFERROR(_xlfn.IFS(AND(D1364&lt;1980,D1364&gt;=1970),"70",AND(D1364&lt;1990,D1364&gt;=1980),"80",AND(D1364&lt;2000,D1364&gt;=1990),"90",AND(D1364&lt;2010,D1364&gt;=2000),"00",AND(D1364&lt;=2019,D1364&gt;=2010),"10"),"1908-1970")</f>
        <v>1908-1970</v>
      </c>
      <c r="F1364" s="3">
        <v>0.19999999999999998</v>
      </c>
      <c r="G1364" t="s">
        <v>10889</v>
      </c>
      <c r="H1364" t="s">
        <v>7660</v>
      </c>
      <c r="I1364" t="s">
        <v>8152</v>
      </c>
      <c r="J1364" t="s">
        <v>28931</v>
      </c>
      <c r="K1364" t="s">
        <v>10890</v>
      </c>
      <c r="L1364" s="7" t="s">
        <v>10891</v>
      </c>
      <c r="M1364" t="s">
        <v>28931</v>
      </c>
      <c r="N1364">
        <v>26</v>
      </c>
      <c r="O1364">
        <v>16</v>
      </c>
      <c r="P1364">
        <v>10</v>
      </c>
      <c r="Q1364">
        <v>26</v>
      </c>
      <c r="R1364">
        <v>16</v>
      </c>
      <c r="S1364">
        <v>10</v>
      </c>
      <c r="T1364">
        <v>0</v>
      </c>
      <c r="U1364" t="s">
        <v>10892</v>
      </c>
      <c r="V1364">
        <f>Tabla1[[#This Row],[Aboard]]-Tabla1[[#This Row],[Fatalities]]</f>
        <v>0</v>
      </c>
      <c r="W1364" s="50">
        <f>IFERROR(Tabla1[[#This Row],[Fatalities]]/Tabla1[[#This Row],[Aboard]],0)</f>
        <v>1</v>
      </c>
      <c r="X1364" s="51" t="str" cm="1">
        <f t="array" ref="X1364">_xlfn.IFS(Tabla1[[#This Row],[Porcentaje de muertes]]&lt;0.35,"LEVE",AND(Tabla1[[#This Row],[Porcentaje de muertes]]&gt;0.35,Tabla1[[#This Row],[Porcentaje de muertes]]&lt;0.65),"MEDIO",Tabla1[[#This Row],[Porcentaje de muertes]]&gt;0.65,"GRAVE")</f>
        <v>GRAVE</v>
      </c>
    </row>
    <row r="1365" spans="2:24" x14ac:dyDescent="0.3">
      <c r="B1365" s="9">
        <v>1364</v>
      </c>
      <c r="C1365" s="49">
        <v>19385</v>
      </c>
      <c r="D1365" s="9">
        <f>YEAR(Tabla1[[#This Row],[Date]])</f>
        <v>1953</v>
      </c>
      <c r="E1365" s="9" t="str" cm="1">
        <f t="array" ref="E1365">IFERROR(_xlfn.IFS(AND(D1365&lt;1980,D1365&gt;=1970),"70",AND(D1365&lt;1990,D1365&gt;=1980),"80",AND(D1365&lt;2000,D1365&gt;=1990),"90",AND(D1365&lt;2010,D1365&gt;=2000),"00",AND(D1365&lt;=2019,D1365&gt;=2010),"10"),"1908-1970")</f>
        <v>1908-1970</v>
      </c>
      <c r="F1365" s="3">
        <v>0.48888888888888887</v>
      </c>
      <c r="G1365" t="s">
        <v>10893</v>
      </c>
      <c r="H1365" t="s">
        <v>7490</v>
      </c>
      <c r="I1365" t="s">
        <v>28931</v>
      </c>
      <c r="J1365" t="s">
        <v>7230</v>
      </c>
      <c r="K1365" t="s">
        <v>7057</v>
      </c>
      <c r="L1365" s="7" t="s">
        <v>10894</v>
      </c>
      <c r="M1365">
        <v>4308</v>
      </c>
      <c r="N1365">
        <v>19</v>
      </c>
      <c r="O1365">
        <v>15</v>
      </c>
      <c r="P1365">
        <v>4</v>
      </c>
      <c r="Q1365">
        <v>19</v>
      </c>
      <c r="R1365">
        <v>15</v>
      </c>
      <c r="S1365">
        <v>4</v>
      </c>
      <c r="T1365">
        <v>0</v>
      </c>
      <c r="U1365" t="s">
        <v>10895</v>
      </c>
      <c r="V1365">
        <f>Tabla1[[#This Row],[Aboard]]-Tabla1[[#This Row],[Fatalities]]</f>
        <v>0</v>
      </c>
      <c r="W1365" s="50">
        <f>IFERROR(Tabla1[[#This Row],[Fatalities]]/Tabla1[[#This Row],[Aboard]],0)</f>
        <v>1</v>
      </c>
      <c r="X1365" s="51" t="str" cm="1">
        <f t="array" ref="X1365">_xlfn.IFS(Tabla1[[#This Row],[Porcentaje de muertes]]&lt;0.35,"LEVE",AND(Tabla1[[#This Row],[Porcentaje de muertes]]&gt;0.35,Tabla1[[#This Row],[Porcentaje de muertes]]&lt;0.65),"MEDIO",Tabla1[[#This Row],[Porcentaje de muertes]]&gt;0.65,"GRAVE")</f>
        <v>GRAVE</v>
      </c>
    </row>
    <row r="1366" spans="2:24" x14ac:dyDescent="0.3">
      <c r="B1366" s="9">
        <v>1365</v>
      </c>
      <c r="C1366" s="49">
        <v>19392</v>
      </c>
      <c r="D1366" s="9">
        <f>YEAR(Tabla1[[#This Row],[Date]])</f>
        <v>1953</v>
      </c>
      <c r="E1366" s="9" t="str" cm="1">
        <f t="array" ref="E1366">IFERROR(_xlfn.IFS(AND(D1366&lt;1980,D1366&gt;=1970),"70",AND(D1366&lt;1990,D1366&gt;=1980),"80",AND(D1366&lt;2000,D1366&gt;=1990),"90",AND(D1366&lt;2010,D1366&gt;=2000),"00",AND(D1366&lt;=2019,D1366&gt;=2010),"10"),"1908-1970")</f>
        <v>1908-1970</v>
      </c>
      <c r="F1366" s="3">
        <v>0.22916666666666666</v>
      </c>
      <c r="G1366" t="s">
        <v>10896</v>
      </c>
      <c r="H1366" t="s">
        <v>10897</v>
      </c>
      <c r="I1366" t="s">
        <v>28931</v>
      </c>
      <c r="J1366" t="s">
        <v>10898</v>
      </c>
      <c r="K1366" t="s">
        <v>8813</v>
      </c>
      <c r="L1366" s="7" t="s">
        <v>10899</v>
      </c>
      <c r="M1366">
        <v>1304</v>
      </c>
      <c r="N1366">
        <v>39</v>
      </c>
      <c r="O1366">
        <v>33</v>
      </c>
      <c r="P1366">
        <v>6</v>
      </c>
      <c r="Q1366">
        <v>39</v>
      </c>
      <c r="R1366">
        <v>33</v>
      </c>
      <c r="S1366">
        <v>6</v>
      </c>
      <c r="T1366">
        <v>0</v>
      </c>
      <c r="U1366" t="s">
        <v>10900</v>
      </c>
      <c r="V1366">
        <f>Tabla1[[#This Row],[Aboard]]-Tabla1[[#This Row],[Fatalities]]</f>
        <v>0</v>
      </c>
      <c r="W1366" s="50">
        <f>IFERROR(Tabla1[[#This Row],[Fatalities]]/Tabla1[[#This Row],[Aboard]],0)</f>
        <v>1</v>
      </c>
      <c r="X1366" s="51" t="str" cm="1">
        <f t="array" ref="X1366">_xlfn.IFS(Tabla1[[#This Row],[Porcentaje de muertes]]&lt;0.35,"LEVE",AND(Tabla1[[#This Row],[Porcentaje de muertes]]&gt;0.35,Tabla1[[#This Row],[Porcentaje de muertes]]&lt;0.65),"MEDIO",Tabla1[[#This Row],[Porcentaje de muertes]]&gt;0.65,"GRAVE")</f>
        <v>GRAVE</v>
      </c>
    </row>
    <row r="1367" spans="2:24" x14ac:dyDescent="0.3">
      <c r="B1367" s="9">
        <v>1366</v>
      </c>
      <c r="C1367" s="49">
        <v>19420</v>
      </c>
      <c r="D1367" s="9">
        <f>YEAR(Tabla1[[#This Row],[Date]])</f>
        <v>1953</v>
      </c>
      <c r="E1367" s="9" t="str" cm="1">
        <f t="array" ref="E1367">IFERROR(_xlfn.IFS(AND(D1367&lt;1980,D1367&gt;=1970),"70",AND(D1367&lt;1990,D1367&gt;=1980),"80",AND(D1367&lt;2000,D1367&gt;=1990),"90",AND(D1367&lt;2010,D1367&gt;=2000),"00",AND(D1367&lt;=2019,D1367&gt;=2010),"10"),"1908-1970")</f>
        <v>1908-1970</v>
      </c>
      <c r="F1367" s="3" t="s">
        <v>28931</v>
      </c>
      <c r="G1367" t="s">
        <v>10901</v>
      </c>
      <c r="H1367" t="s">
        <v>10902</v>
      </c>
      <c r="I1367" t="s">
        <v>28931</v>
      </c>
      <c r="J1367" t="s">
        <v>28931</v>
      </c>
      <c r="K1367" t="s">
        <v>10903</v>
      </c>
      <c r="L1367" s="7" t="s">
        <v>10904</v>
      </c>
      <c r="M1367" t="s">
        <v>10905</v>
      </c>
      <c r="N1367">
        <v>18</v>
      </c>
      <c r="O1367">
        <v>15</v>
      </c>
      <c r="P1367">
        <v>3</v>
      </c>
      <c r="Q1367">
        <v>18</v>
      </c>
      <c r="R1367">
        <v>15</v>
      </c>
      <c r="S1367">
        <v>3</v>
      </c>
      <c r="T1367">
        <v>0</v>
      </c>
      <c r="U1367" t="s">
        <v>10906</v>
      </c>
      <c r="V1367">
        <f>Tabla1[[#This Row],[Aboard]]-Tabla1[[#This Row],[Fatalities]]</f>
        <v>0</v>
      </c>
      <c r="W1367" s="50">
        <f>IFERROR(Tabla1[[#This Row],[Fatalities]]/Tabla1[[#This Row],[Aboard]],0)</f>
        <v>1</v>
      </c>
      <c r="X1367" s="51" t="str" cm="1">
        <f t="array" ref="X1367">_xlfn.IFS(Tabla1[[#This Row],[Porcentaje de muertes]]&lt;0.35,"LEVE",AND(Tabla1[[#This Row],[Porcentaje de muertes]]&gt;0.35,Tabla1[[#This Row],[Porcentaje de muertes]]&lt;0.65),"MEDIO",Tabla1[[#This Row],[Porcentaje de muertes]]&gt;0.65,"GRAVE")</f>
        <v>GRAVE</v>
      </c>
    </row>
    <row r="1368" spans="2:24" x14ac:dyDescent="0.3">
      <c r="B1368" s="9">
        <v>1367</v>
      </c>
      <c r="C1368" s="49">
        <v>19542</v>
      </c>
      <c r="D1368" s="9">
        <f>YEAR(Tabla1[[#This Row],[Date]])</f>
        <v>1953</v>
      </c>
      <c r="E1368" s="9" t="str" cm="1">
        <f t="array" ref="E1368">IFERROR(_xlfn.IFS(AND(D1368&lt;1980,D1368&gt;=1970),"70",AND(D1368&lt;1990,D1368&gt;=1980),"80",AND(D1368&lt;2000,D1368&gt;=1990),"90",AND(D1368&lt;2010,D1368&gt;=2000),"00",AND(D1368&lt;=2019,D1368&gt;=2010),"10"),"1908-1970")</f>
        <v>1908-1970</v>
      </c>
      <c r="F1368" s="3">
        <v>0.43611111111111112</v>
      </c>
      <c r="G1368" t="s">
        <v>10395</v>
      </c>
      <c r="H1368" t="s">
        <v>10907</v>
      </c>
      <c r="I1368" t="s">
        <v>28931</v>
      </c>
      <c r="J1368" t="s">
        <v>10908</v>
      </c>
      <c r="K1368" t="s">
        <v>10909</v>
      </c>
      <c r="L1368" s="7" t="s">
        <v>10910</v>
      </c>
      <c r="M1368">
        <v>10290</v>
      </c>
      <c r="N1368">
        <v>19</v>
      </c>
      <c r="O1368">
        <v>13</v>
      </c>
      <c r="P1368">
        <v>6</v>
      </c>
      <c r="Q1368">
        <v>9</v>
      </c>
      <c r="R1368">
        <v>3</v>
      </c>
      <c r="S1368">
        <v>6</v>
      </c>
      <c r="T1368">
        <v>0</v>
      </c>
      <c r="U1368" t="s">
        <v>10911</v>
      </c>
      <c r="V1368">
        <f>Tabla1[[#This Row],[Aboard]]-Tabla1[[#This Row],[Fatalities]]</f>
        <v>10</v>
      </c>
      <c r="W1368" s="50">
        <f>IFERROR(Tabla1[[#This Row],[Fatalities]]/Tabla1[[#This Row],[Aboard]],0)</f>
        <v>0.47368421052631576</v>
      </c>
      <c r="X1368" s="51" t="str" cm="1">
        <f t="array" ref="X1368">_xlfn.IFS(Tabla1[[#This Row],[Porcentaje de muertes]]&lt;0.35,"LEVE",AND(Tabla1[[#This Row],[Porcentaje de muertes]]&gt;0.35,Tabla1[[#This Row],[Porcentaje de muertes]]&lt;0.65),"MEDIO",Tabla1[[#This Row],[Porcentaje de muertes]]&gt;0.65,"GRAVE")</f>
        <v>MEDIO</v>
      </c>
    </row>
    <row r="1369" spans="2:24" x14ac:dyDescent="0.3">
      <c r="B1369" s="9">
        <v>1368</v>
      </c>
      <c r="C1369" s="49">
        <v>19604</v>
      </c>
      <c r="D1369" s="9">
        <f>YEAR(Tabla1[[#This Row],[Date]])</f>
        <v>1953</v>
      </c>
      <c r="E1369" s="9" t="str" cm="1">
        <f t="array" ref="E1369">IFERROR(_xlfn.IFS(AND(D1369&lt;1980,D1369&gt;=1970),"70",AND(D1369&lt;1990,D1369&gt;=1980),"80",AND(D1369&lt;2000,D1369&gt;=1990),"90",AND(D1369&lt;2010,D1369&gt;=2000),"00",AND(D1369&lt;=2019,D1369&gt;=2010),"10"),"1908-1970")</f>
        <v>1908-1970</v>
      </c>
      <c r="F1369" s="3">
        <v>0.79166666666666663</v>
      </c>
      <c r="G1369" t="s">
        <v>6648</v>
      </c>
      <c r="H1369" t="s">
        <v>10912</v>
      </c>
      <c r="I1369" t="s">
        <v>28931</v>
      </c>
      <c r="J1369" t="s">
        <v>10913</v>
      </c>
      <c r="K1369" t="s">
        <v>10914</v>
      </c>
      <c r="L1369" s="7">
        <v>1001</v>
      </c>
      <c r="M1369" t="s">
        <v>28931</v>
      </c>
      <c r="N1369">
        <v>40</v>
      </c>
      <c r="O1369">
        <v>35</v>
      </c>
      <c r="P1369">
        <v>5</v>
      </c>
      <c r="Q1369">
        <v>29</v>
      </c>
      <c r="R1369">
        <v>24</v>
      </c>
      <c r="S1369">
        <v>5</v>
      </c>
      <c r="T1369">
        <v>0</v>
      </c>
      <c r="U1369" t="s">
        <v>10915</v>
      </c>
      <c r="V1369">
        <f>Tabla1[[#This Row],[Aboard]]-Tabla1[[#This Row],[Fatalities]]</f>
        <v>11</v>
      </c>
      <c r="W1369" s="50">
        <f>IFERROR(Tabla1[[#This Row],[Fatalities]]/Tabla1[[#This Row],[Aboard]],0)</f>
        <v>0.72499999999999998</v>
      </c>
      <c r="X1369" s="51" t="str" cm="1">
        <f t="array" ref="X1369">_xlfn.IFS(Tabla1[[#This Row],[Porcentaje de muertes]]&lt;0.35,"LEVE",AND(Tabla1[[#This Row],[Porcentaje de muertes]]&gt;0.35,Tabla1[[#This Row],[Porcentaje de muertes]]&lt;0.65),"MEDIO",Tabla1[[#This Row],[Porcentaje de muertes]]&gt;0.65,"GRAVE")</f>
        <v>GRAVE</v>
      </c>
    </row>
    <row r="1370" spans="2:24" x14ac:dyDescent="0.3">
      <c r="B1370" s="9">
        <v>1369</v>
      </c>
      <c r="C1370" s="49">
        <v>19404</v>
      </c>
      <c r="D1370" s="9">
        <f>YEAR(Tabla1[[#This Row],[Date]])</f>
        <v>1953</v>
      </c>
      <c r="E1370" s="9" t="str" cm="1">
        <f t="array" ref="E1370">IFERROR(_xlfn.IFS(AND(D1370&lt;1980,D1370&gt;=1970),"70",AND(D1370&lt;1990,D1370&gt;=1980),"80",AND(D1370&lt;2000,D1370&gt;=1990),"90",AND(D1370&lt;2010,D1370&gt;=2000),"00",AND(D1370&lt;=2019,D1370&gt;=2010),"10"),"1908-1970")</f>
        <v>1908-1970</v>
      </c>
      <c r="F1370" s="3">
        <v>0.71527777777777779</v>
      </c>
      <c r="G1370" t="s">
        <v>10916</v>
      </c>
      <c r="H1370" t="s">
        <v>8437</v>
      </c>
      <c r="I1370">
        <v>470</v>
      </c>
      <c r="J1370" t="s">
        <v>10917</v>
      </c>
      <c r="K1370" t="s">
        <v>9230</v>
      </c>
      <c r="L1370" s="7" t="s">
        <v>10918</v>
      </c>
      <c r="M1370" t="s">
        <v>10919</v>
      </c>
      <c r="N1370">
        <v>46</v>
      </c>
      <c r="O1370">
        <v>41</v>
      </c>
      <c r="P1370">
        <v>5</v>
      </c>
      <c r="Q1370">
        <v>46</v>
      </c>
      <c r="R1370">
        <v>41</v>
      </c>
      <c r="S1370">
        <v>5</v>
      </c>
      <c r="T1370">
        <v>0</v>
      </c>
      <c r="U1370" t="s">
        <v>10920</v>
      </c>
      <c r="V1370">
        <f>Tabla1[[#This Row],[Aboard]]-Tabla1[[#This Row],[Fatalities]]</f>
        <v>0</v>
      </c>
      <c r="W1370" s="50">
        <f>IFERROR(Tabla1[[#This Row],[Fatalities]]/Tabla1[[#This Row],[Aboard]],0)</f>
        <v>1</v>
      </c>
      <c r="X1370" s="51" t="str" cm="1">
        <f t="array" ref="X1370">_xlfn.IFS(Tabla1[[#This Row],[Porcentaje de muertes]]&lt;0.35,"LEVE",AND(Tabla1[[#This Row],[Porcentaje de muertes]]&gt;0.35,Tabla1[[#This Row],[Porcentaje de muertes]]&lt;0.65),"MEDIO",Tabla1[[#This Row],[Porcentaje de muertes]]&gt;0.65,"GRAVE")</f>
        <v>GRAVE</v>
      </c>
    </row>
    <row r="1371" spans="2:24" x14ac:dyDescent="0.3">
      <c r="B1371" s="9">
        <v>1370</v>
      </c>
      <c r="C1371" s="49">
        <v>19421</v>
      </c>
      <c r="D1371" s="9">
        <f>YEAR(Tabla1[[#This Row],[Date]])</f>
        <v>1953</v>
      </c>
      <c r="E1371" s="9" t="str" cm="1">
        <f t="array" ref="E1371">IFERROR(_xlfn.IFS(AND(D1371&lt;1980,D1371&gt;=1970),"70",AND(D1371&lt;1990,D1371&gt;=1980),"80",AND(D1371&lt;2000,D1371&gt;=1990),"90",AND(D1371&lt;2010,D1371&gt;=2000),"00",AND(D1371&lt;=2019,D1371&gt;=2010),"10"),"1908-1970")</f>
        <v>1908-1970</v>
      </c>
      <c r="F1371" s="3">
        <v>0.14930555555555555</v>
      </c>
      <c r="G1371" t="s">
        <v>9559</v>
      </c>
      <c r="H1371" t="s">
        <v>7883</v>
      </c>
      <c r="I1371" t="s">
        <v>28931</v>
      </c>
      <c r="J1371" t="s">
        <v>10921</v>
      </c>
      <c r="K1371" t="s">
        <v>10922</v>
      </c>
      <c r="L1371" s="7" t="s">
        <v>10923</v>
      </c>
      <c r="M1371">
        <v>6014</v>
      </c>
      <c r="N1371">
        <v>11</v>
      </c>
      <c r="O1371">
        <v>6</v>
      </c>
      <c r="P1371">
        <v>5</v>
      </c>
      <c r="Q1371">
        <v>11</v>
      </c>
      <c r="R1371">
        <v>6</v>
      </c>
      <c r="S1371">
        <v>5</v>
      </c>
      <c r="T1371">
        <v>0</v>
      </c>
      <c r="U1371" t="s">
        <v>10924</v>
      </c>
      <c r="V1371">
        <f>Tabla1[[#This Row],[Aboard]]-Tabla1[[#This Row],[Fatalities]]</f>
        <v>0</v>
      </c>
      <c r="W1371" s="50">
        <f>IFERROR(Tabla1[[#This Row],[Fatalities]]/Tabla1[[#This Row],[Aboard]],0)</f>
        <v>1</v>
      </c>
      <c r="X1371" s="51" t="str" cm="1">
        <f t="array" ref="X1371">_xlfn.IFS(Tabla1[[#This Row],[Porcentaje de muertes]]&lt;0.35,"LEVE",AND(Tabla1[[#This Row],[Porcentaje de muertes]]&gt;0.35,Tabla1[[#This Row],[Porcentaje de muertes]]&lt;0.65),"MEDIO",Tabla1[[#This Row],[Porcentaje de muertes]]&gt;0.65,"GRAVE")</f>
        <v>GRAVE</v>
      </c>
    </row>
    <row r="1372" spans="2:24" x14ac:dyDescent="0.3">
      <c r="B1372" s="9">
        <v>1371</v>
      </c>
      <c r="C1372" s="49">
        <v>19452</v>
      </c>
      <c r="D1372" s="9">
        <f>YEAR(Tabla1[[#This Row],[Date]])</f>
        <v>1953</v>
      </c>
      <c r="E1372" s="9" t="str" cm="1">
        <f t="array" ref="E1372">IFERROR(_xlfn.IFS(AND(D1372&lt;1980,D1372&gt;=1970),"70",AND(D1372&lt;1990,D1372&gt;=1980),"80",AND(D1372&lt;2000,D1372&gt;=1990),"90",AND(D1372&lt;2010,D1372&gt;=2000),"00",AND(D1372&lt;=2019,D1372&gt;=2010),"10"),"1908-1970")</f>
        <v>1908-1970</v>
      </c>
      <c r="F1372" s="3">
        <v>7.6388888888888895E-2</v>
      </c>
      <c r="G1372" t="s">
        <v>10925</v>
      </c>
      <c r="H1372" t="s">
        <v>9022</v>
      </c>
      <c r="I1372">
        <v>162</v>
      </c>
      <c r="J1372" t="s">
        <v>10926</v>
      </c>
      <c r="K1372" t="s">
        <v>10927</v>
      </c>
      <c r="L1372" s="7" t="s">
        <v>10928</v>
      </c>
      <c r="M1372">
        <v>22400</v>
      </c>
      <c r="N1372">
        <v>2</v>
      </c>
      <c r="O1372">
        <v>0</v>
      </c>
      <c r="P1372">
        <v>2</v>
      </c>
      <c r="Q1372">
        <v>2</v>
      </c>
      <c r="R1372">
        <v>0</v>
      </c>
      <c r="S1372">
        <v>2</v>
      </c>
      <c r="T1372">
        <v>0</v>
      </c>
      <c r="U1372" t="s">
        <v>10929</v>
      </c>
      <c r="V1372">
        <f>Tabla1[[#This Row],[Aboard]]-Tabla1[[#This Row],[Fatalities]]</f>
        <v>0</v>
      </c>
      <c r="W1372" s="50">
        <f>IFERROR(Tabla1[[#This Row],[Fatalities]]/Tabla1[[#This Row],[Aboard]],0)</f>
        <v>1</v>
      </c>
      <c r="X1372" s="51" t="str" cm="1">
        <f t="array" ref="X1372">_xlfn.IFS(Tabla1[[#This Row],[Porcentaje de muertes]]&lt;0.35,"LEVE",AND(Tabla1[[#This Row],[Porcentaje de muertes]]&gt;0.35,Tabla1[[#This Row],[Porcentaje de muertes]]&lt;0.65),"MEDIO",Tabla1[[#This Row],[Porcentaje de muertes]]&gt;0.65,"GRAVE")</f>
        <v>GRAVE</v>
      </c>
    </row>
    <row r="1373" spans="2:24" x14ac:dyDescent="0.3">
      <c r="B1373" s="9">
        <v>1372</v>
      </c>
      <c r="C1373" s="49">
        <v>19432</v>
      </c>
      <c r="D1373" s="9">
        <f>YEAR(Tabla1[[#This Row],[Date]])</f>
        <v>1953</v>
      </c>
      <c r="E1373" s="9" t="str" cm="1">
        <f t="array" ref="E1373">IFERROR(_xlfn.IFS(AND(D1373&lt;1980,D1373&gt;=1970),"70",AND(D1373&lt;1990,D1373&gt;=1980),"80",AND(D1373&lt;2000,D1373&gt;=1990),"90",AND(D1373&lt;2010,D1373&gt;=2000),"00",AND(D1373&lt;=2019,D1373&gt;=2010),"10"),"1908-1970")</f>
        <v>1908-1970</v>
      </c>
      <c r="F1373" s="3" t="s">
        <v>28931</v>
      </c>
      <c r="G1373" t="s">
        <v>10930</v>
      </c>
      <c r="H1373" t="s">
        <v>10931</v>
      </c>
      <c r="I1373" t="s">
        <v>28931</v>
      </c>
      <c r="J1373" t="s">
        <v>10932</v>
      </c>
      <c r="K1373" t="s">
        <v>10933</v>
      </c>
      <c r="L1373" s="7" t="s">
        <v>10934</v>
      </c>
      <c r="M1373">
        <v>82</v>
      </c>
      <c r="N1373">
        <v>16</v>
      </c>
      <c r="O1373">
        <v>11</v>
      </c>
      <c r="P1373">
        <v>5</v>
      </c>
      <c r="Q1373">
        <v>16</v>
      </c>
      <c r="R1373">
        <v>11</v>
      </c>
      <c r="S1373">
        <v>5</v>
      </c>
      <c r="T1373">
        <v>0</v>
      </c>
      <c r="U1373" t="s">
        <v>10935</v>
      </c>
      <c r="V1373">
        <f>Tabla1[[#This Row],[Aboard]]-Tabla1[[#This Row],[Fatalities]]</f>
        <v>0</v>
      </c>
      <c r="W1373" s="50">
        <f>IFERROR(Tabla1[[#This Row],[Fatalities]]/Tabla1[[#This Row],[Aboard]],0)</f>
        <v>1</v>
      </c>
      <c r="X1373" s="51" t="str" cm="1">
        <f t="array" ref="X1373">_xlfn.IFS(Tabla1[[#This Row],[Porcentaje de muertes]]&lt;0.35,"LEVE",AND(Tabla1[[#This Row],[Porcentaje de muertes]]&gt;0.35,Tabla1[[#This Row],[Porcentaje de muertes]]&lt;0.65),"MEDIO",Tabla1[[#This Row],[Porcentaje de muertes]]&gt;0.65,"GRAVE")</f>
        <v>GRAVE</v>
      </c>
    </row>
    <row r="1374" spans="2:24" x14ac:dyDescent="0.3">
      <c r="B1374" s="9">
        <v>1373</v>
      </c>
      <c r="C1374" s="49">
        <v>19435</v>
      </c>
      <c r="D1374" s="9">
        <f>YEAR(Tabla1[[#This Row],[Date]])</f>
        <v>1953</v>
      </c>
      <c r="E1374" s="9" t="str" cm="1">
        <f t="array" ref="E1374">IFERROR(_xlfn.IFS(AND(D1374&lt;1980,D1374&gt;=1970),"70",AND(D1374&lt;1990,D1374&gt;=1980),"80",AND(D1374&lt;2000,D1374&gt;=1990),"90",AND(D1374&lt;2010,D1374&gt;=2000),"00",AND(D1374&lt;=2019,D1374&gt;=2010),"10"),"1908-1970")</f>
        <v>1908-1970</v>
      </c>
      <c r="F1374" s="3" t="s">
        <v>28931</v>
      </c>
      <c r="G1374" t="s">
        <v>10936</v>
      </c>
      <c r="H1374" t="s">
        <v>9530</v>
      </c>
      <c r="I1374" t="s">
        <v>28931</v>
      </c>
      <c r="J1374" t="s">
        <v>10937</v>
      </c>
      <c r="K1374" t="s">
        <v>7057</v>
      </c>
      <c r="L1374" s="7" t="s">
        <v>10938</v>
      </c>
      <c r="M1374">
        <v>19105</v>
      </c>
      <c r="N1374">
        <v>8</v>
      </c>
      <c r="O1374" t="s">
        <v>5038</v>
      </c>
      <c r="P1374" t="s">
        <v>5038</v>
      </c>
      <c r="Q1374">
        <v>8</v>
      </c>
      <c r="R1374" t="s">
        <v>5038</v>
      </c>
      <c r="S1374" t="s">
        <v>5038</v>
      </c>
      <c r="T1374">
        <v>0</v>
      </c>
      <c r="U1374" t="s">
        <v>10939</v>
      </c>
      <c r="V1374">
        <f>Tabla1[[#This Row],[Aboard]]-Tabla1[[#This Row],[Fatalities]]</f>
        <v>0</v>
      </c>
      <c r="W1374" s="50">
        <f>IFERROR(Tabla1[[#This Row],[Fatalities]]/Tabla1[[#This Row],[Aboard]],0)</f>
        <v>1</v>
      </c>
      <c r="X1374" s="51" t="str" cm="1">
        <f t="array" ref="X1374">_xlfn.IFS(Tabla1[[#This Row],[Porcentaje de muertes]]&lt;0.35,"LEVE",AND(Tabla1[[#This Row],[Porcentaje de muertes]]&gt;0.35,Tabla1[[#This Row],[Porcentaje de muertes]]&lt;0.65),"MEDIO",Tabla1[[#This Row],[Porcentaje de muertes]]&gt;0.65,"GRAVE")</f>
        <v>GRAVE</v>
      </c>
    </row>
    <row r="1375" spans="2:24" x14ac:dyDescent="0.3">
      <c r="B1375" s="9">
        <v>1374</v>
      </c>
      <c r="C1375" s="49">
        <v>19436</v>
      </c>
      <c r="D1375" s="9">
        <f>YEAR(Tabla1[[#This Row],[Date]])</f>
        <v>1953</v>
      </c>
      <c r="E1375" s="9" t="str" cm="1">
        <f t="array" ref="E1375">IFERROR(_xlfn.IFS(AND(D1375&lt;1980,D1375&gt;=1970),"70",AND(D1375&lt;1990,D1375&gt;=1980),"80",AND(D1375&lt;2000,D1375&gt;=1990),"90",AND(D1375&lt;2010,D1375&gt;=2000),"00",AND(D1375&lt;=2019,D1375&gt;=2010),"10"),"1908-1970")</f>
        <v>1908-1970</v>
      </c>
      <c r="F1375" s="3">
        <v>0.17361111111111113</v>
      </c>
      <c r="G1375" t="s">
        <v>10940</v>
      </c>
      <c r="H1375" t="s">
        <v>7987</v>
      </c>
      <c r="I1375" t="s">
        <v>28931</v>
      </c>
      <c r="J1375" t="s">
        <v>10941</v>
      </c>
      <c r="K1375" t="s">
        <v>10942</v>
      </c>
      <c r="L1375" s="7" t="s">
        <v>10943</v>
      </c>
      <c r="M1375" t="s">
        <v>28931</v>
      </c>
      <c r="N1375">
        <v>23</v>
      </c>
      <c r="O1375">
        <v>18</v>
      </c>
      <c r="P1375">
        <v>5</v>
      </c>
      <c r="Q1375">
        <v>23</v>
      </c>
      <c r="R1375">
        <v>18</v>
      </c>
      <c r="S1375">
        <v>5</v>
      </c>
      <c r="T1375">
        <v>0</v>
      </c>
      <c r="U1375" t="s">
        <v>10944</v>
      </c>
      <c r="V1375">
        <f>Tabla1[[#This Row],[Aboard]]-Tabla1[[#This Row],[Fatalities]]</f>
        <v>0</v>
      </c>
      <c r="W1375" s="50">
        <f>IFERROR(Tabla1[[#This Row],[Fatalities]]/Tabla1[[#This Row],[Aboard]],0)</f>
        <v>1</v>
      </c>
      <c r="X1375" s="51" t="str" cm="1">
        <f t="array" ref="X1375">_xlfn.IFS(Tabla1[[#This Row],[Porcentaje de muertes]]&lt;0.35,"LEVE",AND(Tabla1[[#This Row],[Porcentaje de muertes]]&gt;0.35,Tabla1[[#This Row],[Porcentaje de muertes]]&lt;0.65),"MEDIO",Tabla1[[#This Row],[Porcentaje de muertes]]&gt;0.65,"GRAVE")</f>
        <v>GRAVE</v>
      </c>
    </row>
    <row r="1376" spans="2:24" x14ac:dyDescent="0.3">
      <c r="B1376" s="9">
        <v>1375</v>
      </c>
      <c r="C1376" s="49">
        <v>19438</v>
      </c>
      <c r="D1376" s="9">
        <f>YEAR(Tabla1[[#This Row],[Date]])</f>
        <v>1953</v>
      </c>
      <c r="E1376" s="9" t="str" cm="1">
        <f t="array" ref="E1376">IFERROR(_xlfn.IFS(AND(D1376&lt;1980,D1376&gt;=1970),"70",AND(D1376&lt;1990,D1376&gt;=1980),"80",AND(D1376&lt;2000,D1376&gt;=1990),"90",AND(D1376&lt;2010,D1376&gt;=2000),"00",AND(D1376&lt;=2019,D1376&gt;=2010),"10"),"1908-1970")</f>
        <v>1908-1970</v>
      </c>
      <c r="F1376" s="3">
        <v>0.77638888888888891</v>
      </c>
      <c r="G1376" t="s">
        <v>10945</v>
      </c>
      <c r="H1376" t="s">
        <v>9888</v>
      </c>
      <c r="I1376">
        <v>942</v>
      </c>
      <c r="J1376" t="s">
        <v>10946</v>
      </c>
      <c r="K1376" t="s">
        <v>28953</v>
      </c>
      <c r="L1376" s="7" t="s">
        <v>10947</v>
      </c>
      <c r="M1376">
        <v>36076</v>
      </c>
      <c r="N1376">
        <v>35</v>
      </c>
      <c r="O1376">
        <v>30</v>
      </c>
      <c r="P1376">
        <v>5</v>
      </c>
      <c r="Q1376">
        <v>35</v>
      </c>
      <c r="R1376">
        <v>30</v>
      </c>
      <c r="S1376">
        <v>5</v>
      </c>
      <c r="T1376">
        <v>0</v>
      </c>
      <c r="U1376" t="s">
        <v>10948</v>
      </c>
      <c r="V1376">
        <f>Tabla1[[#This Row],[Aboard]]-Tabla1[[#This Row],[Fatalities]]</f>
        <v>0</v>
      </c>
      <c r="W1376" s="50">
        <f>IFERROR(Tabla1[[#This Row],[Fatalities]]/Tabla1[[#This Row],[Aboard]],0)</f>
        <v>1</v>
      </c>
      <c r="X1376" s="51" t="str" cm="1">
        <f t="array" ref="X1376">_xlfn.IFS(Tabla1[[#This Row],[Porcentaje de muertes]]&lt;0.35,"LEVE",AND(Tabla1[[#This Row],[Porcentaje de muertes]]&gt;0.35,Tabla1[[#This Row],[Porcentaje de muertes]]&lt;0.65),"MEDIO",Tabla1[[#This Row],[Porcentaje de muertes]]&gt;0.65,"GRAVE")</f>
        <v>GRAVE</v>
      </c>
    </row>
    <row r="1377" spans="2:24" x14ac:dyDescent="0.3">
      <c r="B1377" s="9">
        <v>1376</v>
      </c>
      <c r="C1377" s="49">
        <v>19445</v>
      </c>
      <c r="D1377" s="9">
        <f>YEAR(Tabla1[[#This Row],[Date]])</f>
        <v>1953</v>
      </c>
      <c r="E1377" s="9" t="str" cm="1">
        <f t="array" ref="E1377">IFERROR(_xlfn.IFS(AND(D1377&lt;1980,D1377&gt;=1970),"70",AND(D1377&lt;1990,D1377&gt;=1980),"80",AND(D1377&lt;2000,D1377&gt;=1990),"90",AND(D1377&lt;2010,D1377&gt;=2000),"00",AND(D1377&lt;=2019,D1377&gt;=2010),"10"),"1908-1970")</f>
        <v>1908-1970</v>
      </c>
      <c r="F1377" s="3" t="s">
        <v>28931</v>
      </c>
      <c r="G1377" t="s">
        <v>10949</v>
      </c>
      <c r="H1377" t="s">
        <v>10950</v>
      </c>
      <c r="I1377" t="s">
        <v>28931</v>
      </c>
      <c r="J1377" t="s">
        <v>28931</v>
      </c>
      <c r="K1377" t="s">
        <v>10951</v>
      </c>
      <c r="L1377" s="7" t="s">
        <v>10952</v>
      </c>
      <c r="M1377">
        <v>14004</v>
      </c>
      <c r="N1377">
        <v>14</v>
      </c>
      <c r="O1377">
        <v>12</v>
      </c>
      <c r="P1377">
        <v>2</v>
      </c>
      <c r="Q1377">
        <v>14</v>
      </c>
      <c r="R1377">
        <v>12</v>
      </c>
      <c r="S1377">
        <v>2</v>
      </c>
      <c r="T1377">
        <v>0</v>
      </c>
      <c r="U1377" t="s">
        <v>10953</v>
      </c>
      <c r="V1377">
        <f>Tabla1[[#This Row],[Aboard]]-Tabla1[[#This Row],[Fatalities]]</f>
        <v>0</v>
      </c>
      <c r="W1377" s="50">
        <f>IFERROR(Tabla1[[#This Row],[Fatalities]]/Tabla1[[#This Row],[Aboard]],0)</f>
        <v>1</v>
      </c>
      <c r="X1377" s="51" t="str" cm="1">
        <f t="array" ref="X1377">_xlfn.IFS(Tabla1[[#This Row],[Porcentaje de muertes]]&lt;0.35,"LEVE",AND(Tabla1[[#This Row],[Porcentaje de muertes]]&gt;0.35,Tabla1[[#This Row],[Porcentaje de muertes]]&lt;0.65),"MEDIO",Tabla1[[#This Row],[Porcentaje de muertes]]&gt;0.65,"GRAVE")</f>
        <v>GRAVE</v>
      </c>
    </row>
    <row r="1378" spans="2:24" x14ac:dyDescent="0.3">
      <c r="B1378" s="9">
        <v>1377</v>
      </c>
      <c r="C1378" s="49">
        <v>19447</v>
      </c>
      <c r="D1378" s="9">
        <f>YEAR(Tabla1[[#This Row],[Date]])</f>
        <v>1953</v>
      </c>
      <c r="E1378" s="9" t="str" cm="1">
        <f t="array" ref="E1378">IFERROR(_xlfn.IFS(AND(D1378&lt;1980,D1378&gt;=1970),"70",AND(D1378&lt;1990,D1378&gt;=1980),"80",AND(D1378&lt;2000,D1378&gt;=1990),"90",AND(D1378&lt;2010,D1378&gt;=2000),"00",AND(D1378&lt;=2019,D1378&gt;=2010),"10"),"1908-1970")</f>
        <v>1908-1970</v>
      </c>
      <c r="F1378" s="3" t="s">
        <v>28931</v>
      </c>
      <c r="G1378" t="s">
        <v>10954</v>
      </c>
      <c r="H1378" t="s">
        <v>10955</v>
      </c>
      <c r="I1378" t="s">
        <v>28931</v>
      </c>
      <c r="J1378" t="s">
        <v>10956</v>
      </c>
      <c r="K1378" t="s">
        <v>10957</v>
      </c>
      <c r="L1378" s="7" t="s">
        <v>10958</v>
      </c>
      <c r="M1378">
        <v>168</v>
      </c>
      <c r="N1378">
        <v>13</v>
      </c>
      <c r="O1378">
        <v>8</v>
      </c>
      <c r="P1378">
        <v>5</v>
      </c>
      <c r="Q1378">
        <v>13</v>
      </c>
      <c r="R1378">
        <v>8</v>
      </c>
      <c r="S1378">
        <v>5</v>
      </c>
      <c r="T1378">
        <v>0</v>
      </c>
      <c r="U1378" t="s">
        <v>10959</v>
      </c>
      <c r="V1378">
        <f>Tabla1[[#This Row],[Aboard]]-Tabla1[[#This Row],[Fatalities]]</f>
        <v>0</v>
      </c>
      <c r="W1378" s="50">
        <f>IFERROR(Tabla1[[#This Row],[Fatalities]]/Tabla1[[#This Row],[Aboard]],0)</f>
        <v>1</v>
      </c>
      <c r="X1378" s="51" t="str" cm="1">
        <f t="array" ref="X1378">_xlfn.IFS(Tabla1[[#This Row],[Porcentaje de muertes]]&lt;0.35,"LEVE",AND(Tabla1[[#This Row],[Porcentaje de muertes]]&gt;0.35,Tabla1[[#This Row],[Porcentaje de muertes]]&lt;0.65),"MEDIO",Tabla1[[#This Row],[Porcentaje de muertes]]&gt;0.65,"GRAVE")</f>
        <v>GRAVE</v>
      </c>
    </row>
    <row r="1379" spans="2:24" x14ac:dyDescent="0.3">
      <c r="B1379" s="9">
        <v>1378</v>
      </c>
      <c r="C1379" s="49">
        <v>19636</v>
      </c>
      <c r="D1379" s="9">
        <f>YEAR(Tabla1[[#This Row],[Date]])</f>
        <v>1953</v>
      </c>
      <c r="E1379" s="9" t="str" cm="1">
        <f t="array" ref="E1379">IFERROR(_xlfn.IFS(AND(D1379&lt;1980,D1379&gt;=1970),"70",AND(D1379&lt;1990,D1379&gt;=1980),"80",AND(D1379&lt;2000,D1379&gt;=1990),"90",AND(D1379&lt;2010,D1379&gt;=2000),"00",AND(D1379&lt;=2019,D1379&gt;=2010),"10"),"1908-1970")</f>
        <v>1908-1970</v>
      </c>
      <c r="F1379" s="3" t="s">
        <v>28931</v>
      </c>
      <c r="G1379" t="s">
        <v>10960</v>
      </c>
      <c r="H1379" t="s">
        <v>9960</v>
      </c>
      <c r="I1379" t="s">
        <v>28931</v>
      </c>
      <c r="J1379" t="s">
        <v>28931</v>
      </c>
      <c r="K1379" t="s">
        <v>10961</v>
      </c>
      <c r="L1379" s="7" t="s">
        <v>28931</v>
      </c>
      <c r="M1379" t="s">
        <v>28931</v>
      </c>
      <c r="N1379" t="s">
        <v>5038</v>
      </c>
      <c r="O1379" t="s">
        <v>5038</v>
      </c>
      <c r="P1379" t="s">
        <v>5038</v>
      </c>
      <c r="Q1379">
        <v>26</v>
      </c>
      <c r="R1379" t="s">
        <v>5038</v>
      </c>
      <c r="S1379" t="s">
        <v>5038</v>
      </c>
      <c r="T1379" t="s">
        <v>5038</v>
      </c>
      <c r="U1379" t="s">
        <v>28927</v>
      </c>
      <c r="V1379" t="s">
        <v>5038</v>
      </c>
      <c r="W1379" s="50">
        <f>IFERROR(Tabla1[[#This Row],[Fatalities]]/Tabla1[[#This Row],[Aboard]],0)</f>
        <v>0</v>
      </c>
      <c r="X1379" s="51" t="str" cm="1">
        <f t="array" ref="X1379">_xlfn.IFS(Tabla1[[#This Row],[Porcentaje de muertes]]&lt;0.35,"LEVE",AND(Tabla1[[#This Row],[Porcentaje de muertes]]&gt;0.35,Tabla1[[#This Row],[Porcentaje de muertes]]&lt;0.65),"MEDIO",Tabla1[[#This Row],[Porcentaje de muertes]]&gt;0.65,"GRAVE")</f>
        <v>LEVE</v>
      </c>
    </row>
    <row r="1380" spans="2:24" x14ac:dyDescent="0.3">
      <c r="B1380" s="9">
        <v>1379</v>
      </c>
      <c r="C1380" s="49">
        <v>19636</v>
      </c>
      <c r="D1380" s="9">
        <f>YEAR(Tabla1[[#This Row],[Date]])</f>
        <v>1953</v>
      </c>
      <c r="E1380" s="9" t="str" cm="1">
        <f t="array" ref="E1380">IFERROR(_xlfn.IFS(AND(D1380&lt;1980,D1380&gt;=1970),"70",AND(D1380&lt;1990,D1380&gt;=1980),"80",AND(D1380&lt;2000,D1380&gt;=1990),"90",AND(D1380&lt;2010,D1380&gt;=2000),"00",AND(D1380&lt;=2019,D1380&gt;=2010),"10"),"1908-1970")</f>
        <v>1908-1970</v>
      </c>
      <c r="F1380" s="3" t="s">
        <v>28931</v>
      </c>
      <c r="G1380" t="s">
        <v>10962</v>
      </c>
      <c r="H1380" t="s">
        <v>10963</v>
      </c>
      <c r="I1380" t="s">
        <v>28931</v>
      </c>
      <c r="J1380" t="s">
        <v>10964</v>
      </c>
      <c r="K1380" t="s">
        <v>10965</v>
      </c>
      <c r="L1380" s="7" t="s">
        <v>10966</v>
      </c>
      <c r="M1380">
        <v>2568</v>
      </c>
      <c r="N1380">
        <v>13</v>
      </c>
      <c r="O1380">
        <v>10</v>
      </c>
      <c r="P1380">
        <v>3</v>
      </c>
      <c r="Q1380">
        <v>13</v>
      </c>
      <c r="R1380">
        <v>10</v>
      </c>
      <c r="S1380">
        <v>3</v>
      </c>
      <c r="T1380">
        <v>0</v>
      </c>
      <c r="U1380" t="s">
        <v>10967</v>
      </c>
      <c r="V1380">
        <f>Tabla1[[#This Row],[Aboard]]-Tabla1[[#This Row],[Fatalities]]</f>
        <v>0</v>
      </c>
      <c r="W1380" s="50">
        <f>IFERROR(Tabla1[[#This Row],[Fatalities]]/Tabla1[[#This Row],[Aboard]],0)</f>
        <v>1</v>
      </c>
      <c r="X1380" s="51" t="str" cm="1">
        <f t="array" ref="X1380">_xlfn.IFS(Tabla1[[#This Row],[Porcentaje de muertes]]&lt;0.35,"LEVE",AND(Tabla1[[#This Row],[Porcentaje de muertes]]&gt;0.35,Tabla1[[#This Row],[Porcentaje de muertes]]&lt;0.65),"MEDIO",Tabla1[[#This Row],[Porcentaje de muertes]]&gt;0.65,"GRAVE")</f>
        <v>GRAVE</v>
      </c>
    </row>
    <row r="1381" spans="2:24" x14ac:dyDescent="0.3">
      <c r="B1381" s="9">
        <v>1380</v>
      </c>
      <c r="C1381" s="49">
        <v>19636</v>
      </c>
      <c r="D1381" s="9">
        <f>YEAR(Tabla1[[#This Row],[Date]])</f>
        <v>1953</v>
      </c>
      <c r="E1381" s="9" t="str" cm="1">
        <f t="array" ref="E1381">IFERROR(_xlfn.IFS(AND(D1381&lt;1980,D1381&gt;=1970),"70",AND(D1381&lt;1990,D1381&gt;=1980),"80",AND(D1381&lt;2000,D1381&gt;=1990),"90",AND(D1381&lt;2010,D1381&gt;=2000),"00",AND(D1381&lt;=2019,D1381&gt;=2010),"10"),"1908-1970")</f>
        <v>1908-1970</v>
      </c>
      <c r="F1381" s="3" t="s">
        <v>28931</v>
      </c>
      <c r="G1381" t="s">
        <v>10968</v>
      </c>
      <c r="H1381" t="s">
        <v>6375</v>
      </c>
      <c r="I1381" t="s">
        <v>28931</v>
      </c>
      <c r="J1381" t="s">
        <v>10969</v>
      </c>
      <c r="K1381" t="s">
        <v>10970</v>
      </c>
      <c r="L1381" s="7" t="s">
        <v>10971</v>
      </c>
      <c r="M1381">
        <v>90</v>
      </c>
      <c r="N1381">
        <v>15</v>
      </c>
      <c r="O1381">
        <v>12</v>
      </c>
      <c r="P1381">
        <v>3</v>
      </c>
      <c r="Q1381">
        <v>4</v>
      </c>
      <c r="R1381">
        <v>1</v>
      </c>
      <c r="S1381">
        <v>3</v>
      </c>
      <c r="T1381">
        <v>0</v>
      </c>
      <c r="U1381" t="s">
        <v>10972</v>
      </c>
      <c r="V1381">
        <f>Tabla1[[#This Row],[Aboard]]-Tabla1[[#This Row],[Fatalities]]</f>
        <v>11</v>
      </c>
      <c r="W1381" s="50">
        <f>IFERROR(Tabla1[[#This Row],[Fatalities]]/Tabla1[[#This Row],[Aboard]],0)</f>
        <v>0.26666666666666666</v>
      </c>
      <c r="X1381" s="51" t="str" cm="1">
        <f t="array" ref="X1381">_xlfn.IFS(Tabla1[[#This Row],[Porcentaje de muertes]]&lt;0.35,"LEVE",AND(Tabla1[[#This Row],[Porcentaje de muertes]]&gt;0.35,Tabla1[[#This Row],[Porcentaje de muertes]]&lt;0.65),"MEDIO",Tabla1[[#This Row],[Porcentaje de muertes]]&gt;0.65,"GRAVE")</f>
        <v>LEVE</v>
      </c>
    </row>
    <row r="1382" spans="2:24" x14ac:dyDescent="0.3">
      <c r="B1382" s="9">
        <v>1381</v>
      </c>
      <c r="C1382" s="49">
        <v>19463</v>
      </c>
      <c r="D1382" s="9">
        <f>YEAR(Tabla1[[#This Row],[Date]])</f>
        <v>1953</v>
      </c>
      <c r="E1382" s="9" t="str" cm="1">
        <f t="array" ref="E1382">IFERROR(_xlfn.IFS(AND(D1382&lt;1980,D1382&gt;=1970),"70",AND(D1382&lt;1990,D1382&gt;=1980),"80",AND(D1382&lt;2000,D1382&gt;=1990),"90",AND(D1382&lt;2010,D1382&gt;=2000),"00",AND(D1382&lt;=2019,D1382&gt;=2010),"10"),"1908-1970")</f>
        <v>1908-1970</v>
      </c>
      <c r="F1382" s="3">
        <v>9.8611111111111108E-2</v>
      </c>
      <c r="G1382" t="s">
        <v>10973</v>
      </c>
      <c r="H1382" t="s">
        <v>10584</v>
      </c>
      <c r="I1382" t="s">
        <v>28931</v>
      </c>
      <c r="J1382" t="s">
        <v>10974</v>
      </c>
      <c r="K1382" t="s">
        <v>9682</v>
      </c>
      <c r="L1382" s="7" t="s">
        <v>10975</v>
      </c>
      <c r="M1382">
        <v>20432</v>
      </c>
      <c r="N1382">
        <v>25</v>
      </c>
      <c r="O1382">
        <v>22</v>
      </c>
      <c r="P1382">
        <v>3</v>
      </c>
      <c r="Q1382">
        <v>7</v>
      </c>
      <c r="R1382">
        <v>5</v>
      </c>
      <c r="S1382">
        <v>2</v>
      </c>
      <c r="T1382">
        <v>0</v>
      </c>
      <c r="U1382" t="s">
        <v>10976</v>
      </c>
      <c r="V1382">
        <f>Tabla1[[#This Row],[Aboard]]-Tabla1[[#This Row],[Fatalities]]</f>
        <v>18</v>
      </c>
      <c r="W1382" s="50">
        <f>IFERROR(Tabla1[[#This Row],[Fatalities]]/Tabla1[[#This Row],[Aboard]],0)</f>
        <v>0.28000000000000003</v>
      </c>
      <c r="X1382" s="51" t="str" cm="1">
        <f t="array" ref="X1382">_xlfn.IFS(Tabla1[[#This Row],[Porcentaje de muertes]]&lt;0.35,"LEVE",AND(Tabla1[[#This Row],[Porcentaje de muertes]]&gt;0.35,Tabla1[[#This Row],[Porcentaje de muertes]]&lt;0.65),"MEDIO",Tabla1[[#This Row],[Porcentaje de muertes]]&gt;0.65,"GRAVE")</f>
        <v>LEVE</v>
      </c>
    </row>
    <row r="1383" spans="2:24" x14ac:dyDescent="0.3">
      <c r="B1383" s="9">
        <v>1382</v>
      </c>
      <c r="C1383" s="49">
        <v>19463</v>
      </c>
      <c r="D1383" s="9">
        <f>YEAR(Tabla1[[#This Row],[Date]])</f>
        <v>1953</v>
      </c>
      <c r="E1383" s="9" t="str" cm="1">
        <f t="array" ref="E1383">IFERROR(_xlfn.IFS(AND(D1383&lt;1980,D1383&gt;=1970),"70",AND(D1383&lt;1990,D1383&gt;=1980),"80",AND(D1383&lt;2000,D1383&gt;=1990),"90",AND(D1383&lt;2010,D1383&gt;=2000),"00",AND(D1383&lt;=2019,D1383&gt;=2010),"10"),"1908-1970")</f>
        <v>1908-1970</v>
      </c>
      <c r="F1383" s="3" t="s">
        <v>28931</v>
      </c>
      <c r="G1383" t="s">
        <v>10977</v>
      </c>
      <c r="H1383" t="s">
        <v>10978</v>
      </c>
      <c r="I1383" t="s">
        <v>28931</v>
      </c>
      <c r="J1383" t="s">
        <v>10979</v>
      </c>
      <c r="K1383" t="s">
        <v>8105</v>
      </c>
      <c r="L1383" s="7" t="s">
        <v>10980</v>
      </c>
      <c r="M1383">
        <v>19149</v>
      </c>
      <c r="N1383">
        <v>3</v>
      </c>
      <c r="O1383">
        <v>0</v>
      </c>
      <c r="P1383">
        <v>3</v>
      </c>
      <c r="Q1383">
        <v>3</v>
      </c>
      <c r="R1383">
        <v>0</v>
      </c>
      <c r="S1383">
        <v>3</v>
      </c>
      <c r="T1383">
        <v>0</v>
      </c>
      <c r="U1383" t="s">
        <v>10981</v>
      </c>
      <c r="V1383">
        <f>Tabla1[[#This Row],[Aboard]]-Tabla1[[#This Row],[Fatalities]]</f>
        <v>0</v>
      </c>
      <c r="W1383" s="50">
        <f>IFERROR(Tabla1[[#This Row],[Fatalities]]/Tabla1[[#This Row],[Aboard]],0)</f>
        <v>1</v>
      </c>
      <c r="X1383" s="51" t="str" cm="1">
        <f t="array" ref="X1383">_xlfn.IFS(Tabla1[[#This Row],[Porcentaje de muertes]]&lt;0.35,"LEVE",AND(Tabla1[[#This Row],[Porcentaje de muertes]]&gt;0.35,Tabla1[[#This Row],[Porcentaje de muertes]]&lt;0.65),"MEDIO",Tabla1[[#This Row],[Porcentaje de muertes]]&gt;0.65,"GRAVE")</f>
        <v>GRAVE</v>
      </c>
    </row>
    <row r="1384" spans="2:24" x14ac:dyDescent="0.3">
      <c r="B1384" s="9">
        <v>1383</v>
      </c>
      <c r="C1384" s="49">
        <v>19465</v>
      </c>
      <c r="D1384" s="9">
        <f>YEAR(Tabla1[[#This Row],[Date]])</f>
        <v>1953</v>
      </c>
      <c r="E1384" s="9" t="str" cm="1">
        <f t="array" ref="E1384">IFERROR(_xlfn.IFS(AND(D1384&lt;1980,D1384&gt;=1970),"70",AND(D1384&lt;1990,D1384&gt;=1980),"80",AND(D1384&lt;2000,D1384&gt;=1990),"90",AND(D1384&lt;2010,D1384&gt;=2000),"00",AND(D1384&lt;=2019,D1384&gt;=2010),"10"),"1908-1970")</f>
        <v>1908-1970</v>
      </c>
      <c r="F1384" s="3" t="s">
        <v>28931</v>
      </c>
      <c r="G1384" t="s">
        <v>10982</v>
      </c>
      <c r="H1384" t="s">
        <v>9530</v>
      </c>
      <c r="I1384" t="s">
        <v>28931</v>
      </c>
      <c r="J1384" t="s">
        <v>10983</v>
      </c>
      <c r="K1384" t="s">
        <v>7057</v>
      </c>
      <c r="L1384" s="7" t="s">
        <v>10984</v>
      </c>
      <c r="M1384">
        <v>19498</v>
      </c>
      <c r="N1384">
        <v>30</v>
      </c>
      <c r="O1384">
        <v>27</v>
      </c>
      <c r="P1384">
        <v>3</v>
      </c>
      <c r="Q1384">
        <v>30</v>
      </c>
      <c r="R1384">
        <v>27</v>
      </c>
      <c r="S1384">
        <v>3</v>
      </c>
      <c r="T1384">
        <v>0</v>
      </c>
      <c r="U1384" t="s">
        <v>10985</v>
      </c>
      <c r="V1384">
        <f>Tabla1[[#This Row],[Aboard]]-Tabla1[[#This Row],[Fatalities]]</f>
        <v>0</v>
      </c>
      <c r="W1384" s="50">
        <f>IFERROR(Tabla1[[#This Row],[Fatalities]]/Tabla1[[#This Row],[Aboard]],0)</f>
        <v>1</v>
      </c>
      <c r="X1384" s="51" t="str" cm="1">
        <f t="array" ref="X1384">_xlfn.IFS(Tabla1[[#This Row],[Porcentaje de muertes]]&lt;0.35,"LEVE",AND(Tabla1[[#This Row],[Porcentaje de muertes]]&gt;0.35,Tabla1[[#This Row],[Porcentaje de muertes]]&lt;0.65),"MEDIO",Tabla1[[#This Row],[Porcentaje de muertes]]&gt;0.65,"GRAVE")</f>
        <v>GRAVE</v>
      </c>
    </row>
    <row r="1385" spans="2:24" x14ac:dyDescent="0.3">
      <c r="B1385" s="9">
        <v>1384</v>
      </c>
      <c r="C1385" s="49">
        <v>19469</v>
      </c>
      <c r="D1385" s="9">
        <f>YEAR(Tabla1[[#This Row],[Date]])</f>
        <v>1953</v>
      </c>
      <c r="E1385" s="9" t="str" cm="1">
        <f t="array" ref="E1385">IFERROR(_xlfn.IFS(AND(D1385&lt;1980,D1385&gt;=1970),"70",AND(D1385&lt;1990,D1385&gt;=1980),"80",AND(D1385&lt;2000,D1385&gt;=1990),"90",AND(D1385&lt;2010,D1385&gt;=2000),"00",AND(D1385&lt;=2019,D1385&gt;=2010),"10"),"1908-1970")</f>
        <v>1908-1970</v>
      </c>
      <c r="F1385" s="3">
        <v>0.96388888888888891</v>
      </c>
      <c r="G1385" t="s">
        <v>10986</v>
      </c>
      <c r="H1385" t="s">
        <v>7873</v>
      </c>
      <c r="I1385">
        <v>636</v>
      </c>
      <c r="J1385" t="s">
        <v>6969</v>
      </c>
      <c r="K1385" t="s">
        <v>10428</v>
      </c>
      <c r="L1385" s="7" t="s">
        <v>10987</v>
      </c>
      <c r="M1385">
        <v>43823</v>
      </c>
      <c r="N1385">
        <v>10</v>
      </c>
      <c r="O1385">
        <v>5</v>
      </c>
      <c r="P1385">
        <v>5</v>
      </c>
      <c r="Q1385">
        <v>8</v>
      </c>
      <c r="R1385">
        <v>4</v>
      </c>
      <c r="S1385">
        <v>4</v>
      </c>
      <c r="T1385">
        <v>0</v>
      </c>
      <c r="U1385" t="s">
        <v>10988</v>
      </c>
      <c r="V1385">
        <f>Tabla1[[#This Row],[Aboard]]-Tabla1[[#This Row],[Fatalities]]</f>
        <v>2</v>
      </c>
      <c r="W1385" s="50">
        <f>IFERROR(Tabla1[[#This Row],[Fatalities]]/Tabla1[[#This Row],[Aboard]],0)</f>
        <v>0.8</v>
      </c>
      <c r="X1385" s="51" t="str" cm="1">
        <f t="array" ref="X1385">_xlfn.IFS(Tabla1[[#This Row],[Porcentaje de muertes]]&lt;0.35,"LEVE",AND(Tabla1[[#This Row],[Porcentaje de muertes]]&gt;0.35,Tabla1[[#This Row],[Porcentaje de muertes]]&lt;0.65),"MEDIO",Tabla1[[#This Row],[Porcentaje de muertes]]&gt;0.65,"GRAVE")</f>
        <v>GRAVE</v>
      </c>
    </row>
    <row r="1386" spans="2:24" x14ac:dyDescent="0.3">
      <c r="B1386" s="9">
        <v>1385</v>
      </c>
      <c r="C1386" s="49">
        <v>19395</v>
      </c>
      <c r="D1386" s="9">
        <f>YEAR(Tabla1[[#This Row],[Date]])</f>
        <v>1953</v>
      </c>
      <c r="E1386" s="9" t="str" cm="1">
        <f t="array" ref="E1386">IFERROR(_xlfn.IFS(AND(D1386&lt;1980,D1386&gt;=1970),"70",AND(D1386&lt;1990,D1386&gt;=1980),"80",AND(D1386&lt;2000,D1386&gt;=1990),"90",AND(D1386&lt;2010,D1386&gt;=2000),"00",AND(D1386&lt;=2019,D1386&gt;=2010),"10"),"1908-1970")</f>
        <v>1908-1970</v>
      </c>
      <c r="F1386" s="3">
        <v>0.69097222222222221</v>
      </c>
      <c r="G1386" t="s">
        <v>10989</v>
      </c>
      <c r="H1386" t="s">
        <v>7521</v>
      </c>
      <c r="I1386" t="s">
        <v>10990</v>
      </c>
      <c r="J1386" t="s">
        <v>10991</v>
      </c>
      <c r="K1386" t="s">
        <v>10992</v>
      </c>
      <c r="L1386" s="7" t="s">
        <v>10993</v>
      </c>
      <c r="M1386">
        <v>6008</v>
      </c>
      <c r="N1386">
        <v>43</v>
      </c>
      <c r="O1386">
        <v>37</v>
      </c>
      <c r="P1386">
        <v>6</v>
      </c>
      <c r="Q1386">
        <v>43</v>
      </c>
      <c r="R1386">
        <v>37</v>
      </c>
      <c r="S1386">
        <v>6</v>
      </c>
      <c r="T1386">
        <v>0</v>
      </c>
      <c r="U1386" t="s">
        <v>10994</v>
      </c>
      <c r="V1386">
        <f>Tabla1[[#This Row],[Aboard]]-Tabla1[[#This Row],[Fatalities]]</f>
        <v>0</v>
      </c>
      <c r="W1386" s="50">
        <f>IFERROR(Tabla1[[#This Row],[Fatalities]]/Tabla1[[#This Row],[Aboard]],0)</f>
        <v>1</v>
      </c>
      <c r="X1386" s="51" t="str" cm="1">
        <f t="array" ref="X1386">_xlfn.IFS(Tabla1[[#This Row],[Porcentaje de muertes]]&lt;0.35,"LEVE",AND(Tabla1[[#This Row],[Porcentaje de muertes]]&gt;0.35,Tabla1[[#This Row],[Porcentaje de muertes]]&lt;0.65),"MEDIO",Tabla1[[#This Row],[Porcentaje de muertes]]&gt;0.65,"GRAVE")</f>
        <v>GRAVE</v>
      </c>
    </row>
    <row r="1387" spans="2:24" x14ac:dyDescent="0.3">
      <c r="B1387" s="9">
        <v>1386</v>
      </c>
      <c r="C1387" s="49">
        <v>19545</v>
      </c>
      <c r="D1387" s="9">
        <f>YEAR(Tabla1[[#This Row],[Date]])</f>
        <v>1953</v>
      </c>
      <c r="E1387" s="9" t="str" cm="1">
        <f t="array" ref="E1387">IFERROR(_xlfn.IFS(AND(D1387&lt;1980,D1387&gt;=1970),"70",AND(D1387&lt;1990,D1387&gt;=1980),"80",AND(D1387&lt;2000,D1387&gt;=1990),"90",AND(D1387&lt;2010,D1387&gt;=2000),"00",AND(D1387&lt;=2019,D1387&gt;=2010),"10"),"1908-1970")</f>
        <v>1908-1970</v>
      </c>
      <c r="F1387" s="3" t="s">
        <v>28931</v>
      </c>
      <c r="G1387" t="s">
        <v>10995</v>
      </c>
      <c r="H1387" t="s">
        <v>7665</v>
      </c>
      <c r="I1387" t="s">
        <v>28931</v>
      </c>
      <c r="J1387" t="s">
        <v>6190</v>
      </c>
      <c r="K1387" t="s">
        <v>10996</v>
      </c>
      <c r="L1387" s="7" t="s">
        <v>10997</v>
      </c>
      <c r="M1387">
        <v>506</v>
      </c>
      <c r="N1387">
        <v>10</v>
      </c>
      <c r="O1387">
        <v>0</v>
      </c>
      <c r="P1387">
        <v>10</v>
      </c>
      <c r="Q1387">
        <v>10</v>
      </c>
      <c r="R1387">
        <v>0</v>
      </c>
      <c r="S1387">
        <v>10</v>
      </c>
      <c r="T1387">
        <v>0</v>
      </c>
      <c r="U1387" t="s">
        <v>10998</v>
      </c>
      <c r="V1387">
        <f>Tabla1[[#This Row],[Aboard]]-Tabla1[[#This Row],[Fatalities]]</f>
        <v>0</v>
      </c>
      <c r="W1387" s="50">
        <f>IFERROR(Tabla1[[#This Row],[Fatalities]]/Tabla1[[#This Row],[Aboard]],0)</f>
        <v>1</v>
      </c>
      <c r="X1387" s="51" t="str" cm="1">
        <f t="array" ref="X1387">_xlfn.IFS(Tabla1[[#This Row],[Porcentaje de muertes]]&lt;0.35,"LEVE",AND(Tabla1[[#This Row],[Porcentaje de muertes]]&gt;0.35,Tabla1[[#This Row],[Porcentaje de muertes]]&lt;0.65),"MEDIO",Tabla1[[#This Row],[Porcentaje de muertes]]&gt;0.65,"GRAVE")</f>
        <v>GRAVE</v>
      </c>
    </row>
    <row r="1388" spans="2:24" x14ac:dyDescent="0.3">
      <c r="B1388" s="9">
        <v>1387</v>
      </c>
      <c r="C1388" s="49">
        <v>19607</v>
      </c>
      <c r="D1388" s="9">
        <f>YEAR(Tabla1[[#This Row],[Date]])</f>
        <v>1953</v>
      </c>
      <c r="E1388" s="9" t="str" cm="1">
        <f t="array" ref="E1388">IFERROR(_xlfn.IFS(AND(D1388&lt;1980,D1388&gt;=1970),"70",AND(D1388&lt;1990,D1388&gt;=1980),"80",AND(D1388&lt;2000,D1388&gt;=1990),"90",AND(D1388&lt;2010,D1388&gt;=2000),"00",AND(D1388&lt;=2019,D1388&gt;=2010),"10"),"1908-1970")</f>
        <v>1908-1970</v>
      </c>
      <c r="F1388" s="3">
        <v>6.1111111111111116E-2</v>
      </c>
      <c r="G1388" t="s">
        <v>10999</v>
      </c>
      <c r="H1388" t="s">
        <v>9312</v>
      </c>
      <c r="I1388" t="s">
        <v>28931</v>
      </c>
      <c r="J1388" t="s">
        <v>11000</v>
      </c>
      <c r="K1388" t="s">
        <v>7057</v>
      </c>
      <c r="L1388" s="7" t="s">
        <v>11001</v>
      </c>
      <c r="M1388">
        <v>13716</v>
      </c>
      <c r="N1388">
        <v>18</v>
      </c>
      <c r="O1388">
        <v>13</v>
      </c>
      <c r="P1388">
        <v>5</v>
      </c>
      <c r="Q1388">
        <v>18</v>
      </c>
      <c r="R1388">
        <v>13</v>
      </c>
      <c r="S1388">
        <v>5</v>
      </c>
      <c r="T1388">
        <v>0</v>
      </c>
      <c r="U1388" t="s">
        <v>11002</v>
      </c>
      <c r="V1388">
        <f>Tabla1[[#This Row],[Aboard]]-Tabla1[[#This Row],[Fatalities]]</f>
        <v>0</v>
      </c>
      <c r="W1388" s="50">
        <f>IFERROR(Tabla1[[#This Row],[Fatalities]]/Tabla1[[#This Row],[Aboard]],0)</f>
        <v>1</v>
      </c>
      <c r="X1388" s="51" t="str" cm="1">
        <f t="array" ref="X1388">_xlfn.IFS(Tabla1[[#This Row],[Porcentaje de muertes]]&lt;0.35,"LEVE",AND(Tabla1[[#This Row],[Porcentaje de muertes]]&gt;0.35,Tabla1[[#This Row],[Porcentaje de muertes]]&lt;0.65),"MEDIO",Tabla1[[#This Row],[Porcentaje de muertes]]&gt;0.65,"GRAVE")</f>
        <v>GRAVE</v>
      </c>
    </row>
    <row r="1389" spans="2:24" x14ac:dyDescent="0.3">
      <c r="B1389" s="9">
        <v>1388</v>
      </c>
      <c r="C1389" s="49">
        <v>19668</v>
      </c>
      <c r="D1389" s="9">
        <f>YEAR(Tabla1[[#This Row],[Date]])</f>
        <v>1953</v>
      </c>
      <c r="E1389" s="9" t="str" cm="1">
        <f t="array" ref="E1389">IFERROR(_xlfn.IFS(AND(D1389&lt;1980,D1389&gt;=1970),"70",AND(D1389&lt;1990,D1389&gt;=1980),"80",AND(D1389&lt;2000,D1389&gt;=1990),"90",AND(D1389&lt;2010,D1389&gt;=2000),"00",AND(D1389&lt;=2019,D1389&gt;=2010),"10"),"1908-1970")</f>
        <v>1908-1970</v>
      </c>
      <c r="F1389" s="3" t="s">
        <v>28931</v>
      </c>
      <c r="G1389" t="s">
        <v>5988</v>
      </c>
      <c r="H1389" t="s">
        <v>7883</v>
      </c>
      <c r="I1389" t="s">
        <v>28931</v>
      </c>
      <c r="J1389" t="s">
        <v>11003</v>
      </c>
      <c r="K1389" t="s">
        <v>9179</v>
      </c>
      <c r="L1389" s="7" t="s">
        <v>11004</v>
      </c>
      <c r="M1389">
        <v>21984</v>
      </c>
      <c r="N1389">
        <v>19</v>
      </c>
      <c r="O1389">
        <v>16</v>
      </c>
      <c r="P1389">
        <v>3</v>
      </c>
      <c r="Q1389">
        <v>2</v>
      </c>
      <c r="R1389">
        <v>1</v>
      </c>
      <c r="S1389">
        <v>1</v>
      </c>
      <c r="T1389">
        <v>0</v>
      </c>
      <c r="U1389" t="s">
        <v>11005</v>
      </c>
      <c r="V1389">
        <f>Tabla1[[#This Row],[Aboard]]-Tabla1[[#This Row],[Fatalities]]</f>
        <v>17</v>
      </c>
      <c r="W1389" s="50">
        <f>IFERROR(Tabla1[[#This Row],[Fatalities]]/Tabla1[[#This Row],[Aboard]],0)</f>
        <v>0.10526315789473684</v>
      </c>
      <c r="X1389" s="51" t="str" cm="1">
        <f t="array" ref="X1389">_xlfn.IFS(Tabla1[[#This Row],[Porcentaje de muertes]]&lt;0.35,"LEVE",AND(Tabla1[[#This Row],[Porcentaje de muertes]]&gt;0.35,Tabla1[[#This Row],[Porcentaje de muertes]]&lt;0.65),"MEDIO",Tabla1[[#This Row],[Porcentaje de muertes]]&gt;0.65,"GRAVE")</f>
        <v>LEVE</v>
      </c>
    </row>
    <row r="1390" spans="2:24" x14ac:dyDescent="0.3">
      <c r="B1390" s="9">
        <v>1389</v>
      </c>
      <c r="C1390" s="49">
        <v>19496</v>
      </c>
      <c r="D1390" s="9">
        <f>YEAR(Tabla1[[#This Row],[Date]])</f>
        <v>1953</v>
      </c>
      <c r="E1390" s="9" t="str" cm="1">
        <f t="array" ref="E1390">IFERROR(_xlfn.IFS(AND(D1390&lt;1980,D1390&gt;=1970),"70",AND(D1390&lt;1990,D1390&gt;=1980),"80",AND(D1390&lt;2000,D1390&gt;=1990),"90",AND(D1390&lt;2010,D1390&gt;=2000),"00",AND(D1390&lt;=2019,D1390&gt;=2010),"10"),"1908-1970")</f>
        <v>1908-1970</v>
      </c>
      <c r="F1390" s="3">
        <v>0.59375</v>
      </c>
      <c r="G1390" t="s">
        <v>11006</v>
      </c>
      <c r="H1390" t="s">
        <v>6658</v>
      </c>
      <c r="I1390">
        <v>318</v>
      </c>
      <c r="J1390" t="s">
        <v>11007</v>
      </c>
      <c r="K1390" t="s">
        <v>7057</v>
      </c>
      <c r="L1390" s="7" t="s">
        <v>11008</v>
      </c>
      <c r="M1390">
        <v>2224</v>
      </c>
      <c r="N1390">
        <v>20</v>
      </c>
      <c r="O1390">
        <v>17</v>
      </c>
      <c r="P1390">
        <v>3</v>
      </c>
      <c r="Q1390">
        <v>19</v>
      </c>
      <c r="R1390">
        <v>16</v>
      </c>
      <c r="S1390">
        <v>3</v>
      </c>
      <c r="T1390">
        <v>0</v>
      </c>
      <c r="U1390" t="s">
        <v>11009</v>
      </c>
      <c r="V1390">
        <f>Tabla1[[#This Row],[Aboard]]-Tabla1[[#This Row],[Fatalities]]</f>
        <v>1</v>
      </c>
      <c r="W1390" s="50">
        <f>IFERROR(Tabla1[[#This Row],[Fatalities]]/Tabla1[[#This Row],[Aboard]],0)</f>
        <v>0.95</v>
      </c>
      <c r="X1390" s="51" t="str" cm="1">
        <f t="array" ref="X1390">_xlfn.IFS(Tabla1[[#This Row],[Porcentaje de muertes]]&lt;0.35,"LEVE",AND(Tabla1[[#This Row],[Porcentaje de muertes]]&gt;0.35,Tabla1[[#This Row],[Porcentaje de muertes]]&lt;0.65),"MEDIO",Tabla1[[#This Row],[Porcentaje de muertes]]&gt;0.65,"GRAVE")</f>
        <v>GRAVE</v>
      </c>
    </row>
    <row r="1391" spans="2:24" x14ac:dyDescent="0.3">
      <c r="B1391" s="9">
        <v>1390</v>
      </c>
      <c r="C1391" s="49">
        <v>19503</v>
      </c>
      <c r="D1391" s="9">
        <f>YEAR(Tabla1[[#This Row],[Date]])</f>
        <v>1953</v>
      </c>
      <c r="E1391" s="9" t="str" cm="1">
        <f t="array" ref="E1391">IFERROR(_xlfn.IFS(AND(D1391&lt;1980,D1391&gt;=1970),"70",AND(D1391&lt;1990,D1391&gt;=1980),"80",AND(D1391&lt;2000,D1391&gt;=1990),"90",AND(D1391&lt;2010,D1391&gt;=2000),"00",AND(D1391&lt;=2019,D1391&gt;=2010),"10"),"1908-1970")</f>
        <v>1908-1970</v>
      </c>
      <c r="F1391" s="3">
        <v>0.17916666666666667</v>
      </c>
      <c r="G1391" t="s">
        <v>6852</v>
      </c>
      <c r="H1391" t="s">
        <v>11010</v>
      </c>
      <c r="I1391" t="s">
        <v>28931</v>
      </c>
      <c r="J1391" t="s">
        <v>11011</v>
      </c>
      <c r="K1391" t="s">
        <v>7057</v>
      </c>
      <c r="L1391" s="7" t="s">
        <v>11012</v>
      </c>
      <c r="M1391">
        <v>20433</v>
      </c>
      <c r="N1391">
        <v>7</v>
      </c>
      <c r="O1391">
        <v>2</v>
      </c>
      <c r="P1391">
        <v>5</v>
      </c>
      <c r="Q1391">
        <v>6</v>
      </c>
      <c r="R1391">
        <v>1</v>
      </c>
      <c r="S1391">
        <v>5</v>
      </c>
      <c r="T1391" t="s">
        <v>5038</v>
      </c>
      <c r="U1391" t="s">
        <v>11013</v>
      </c>
      <c r="V1391">
        <f>Tabla1[[#This Row],[Aboard]]-Tabla1[[#This Row],[Fatalities]]</f>
        <v>1</v>
      </c>
      <c r="W1391" s="50">
        <f>IFERROR(Tabla1[[#This Row],[Fatalities]]/Tabla1[[#This Row],[Aboard]],0)</f>
        <v>0.8571428571428571</v>
      </c>
      <c r="X1391" s="51" t="str" cm="1">
        <f t="array" ref="X1391">_xlfn.IFS(Tabla1[[#This Row],[Porcentaje de muertes]]&lt;0.35,"LEVE",AND(Tabla1[[#This Row],[Porcentaje de muertes]]&gt;0.35,Tabla1[[#This Row],[Porcentaje de muertes]]&lt;0.65),"MEDIO",Tabla1[[#This Row],[Porcentaje de muertes]]&gt;0.65,"GRAVE")</f>
        <v>GRAVE</v>
      </c>
    </row>
    <row r="1392" spans="2:24" x14ac:dyDescent="0.3">
      <c r="B1392" s="9">
        <v>1391</v>
      </c>
      <c r="C1392" s="49">
        <v>19504</v>
      </c>
      <c r="D1392" s="9">
        <f>YEAR(Tabla1[[#This Row],[Date]])</f>
        <v>1953</v>
      </c>
      <c r="E1392" s="9" t="str" cm="1">
        <f t="array" ref="E1392">IFERROR(_xlfn.IFS(AND(D1392&lt;1980,D1392&gt;=1970),"70",AND(D1392&lt;1990,D1392&gt;=1980),"80",AND(D1392&lt;2000,D1392&gt;=1990),"90",AND(D1392&lt;2010,D1392&gt;=2000),"00",AND(D1392&lt;=2019,D1392&gt;=2010),"10"),"1908-1970")</f>
        <v>1908-1970</v>
      </c>
      <c r="F1392" s="3">
        <v>0.64583333333333337</v>
      </c>
      <c r="G1392" t="s">
        <v>6622</v>
      </c>
      <c r="H1392" t="s">
        <v>5332</v>
      </c>
      <c r="I1392" t="s">
        <v>28931</v>
      </c>
      <c r="J1392" t="s">
        <v>5364</v>
      </c>
      <c r="K1392" t="s">
        <v>11014</v>
      </c>
      <c r="L1392" s="7" t="s">
        <v>11015</v>
      </c>
      <c r="M1392">
        <v>125</v>
      </c>
      <c r="N1392">
        <v>34</v>
      </c>
      <c r="O1392">
        <v>28</v>
      </c>
      <c r="P1392">
        <v>6</v>
      </c>
      <c r="Q1392">
        <v>0</v>
      </c>
      <c r="R1392">
        <v>0</v>
      </c>
      <c r="S1392">
        <v>0</v>
      </c>
      <c r="T1392">
        <v>2</v>
      </c>
      <c r="U1392" t="s">
        <v>11016</v>
      </c>
      <c r="V1392">
        <f>Tabla1[[#This Row],[Aboard]]-Tabla1[[#This Row],[Fatalities]]</f>
        <v>34</v>
      </c>
      <c r="W1392" s="50">
        <f>IFERROR(Tabla1[[#This Row],[Fatalities]]/Tabla1[[#This Row],[Aboard]],0)</f>
        <v>0</v>
      </c>
      <c r="X1392" s="51" t="str" cm="1">
        <f t="array" ref="X1392">_xlfn.IFS(Tabla1[[#This Row],[Porcentaje de muertes]]&lt;0.35,"LEVE",AND(Tabla1[[#This Row],[Porcentaje de muertes]]&gt;0.35,Tabla1[[#This Row],[Porcentaje de muertes]]&lt;0.65),"MEDIO",Tabla1[[#This Row],[Porcentaje de muertes]]&gt;0.65,"GRAVE")</f>
        <v>LEVE</v>
      </c>
    </row>
    <row r="1393" spans="2:24" x14ac:dyDescent="0.3">
      <c r="B1393" s="9">
        <v>1392</v>
      </c>
      <c r="C1393" s="49">
        <v>19506</v>
      </c>
      <c r="D1393" s="9">
        <f>YEAR(Tabla1[[#This Row],[Date]])</f>
        <v>1953</v>
      </c>
      <c r="E1393" s="9" t="str" cm="1">
        <f t="array" ref="E1393">IFERROR(_xlfn.IFS(AND(D1393&lt;1980,D1393&gt;=1970),"70",AND(D1393&lt;1990,D1393&gt;=1980),"80",AND(D1393&lt;2000,D1393&gt;=1990),"90",AND(D1393&lt;2010,D1393&gt;=2000),"00",AND(D1393&lt;=2019,D1393&gt;=2010),"10"),"1908-1970")</f>
        <v>1908-1970</v>
      </c>
      <c r="F1393" s="3">
        <v>0.15972222222222224</v>
      </c>
      <c r="G1393" t="s">
        <v>11017</v>
      </c>
      <c r="H1393" t="s">
        <v>6541</v>
      </c>
      <c r="I1393">
        <v>18</v>
      </c>
      <c r="J1393" t="s">
        <v>11018</v>
      </c>
      <c r="K1393" t="s">
        <v>11019</v>
      </c>
      <c r="L1393" s="7" t="s">
        <v>11020</v>
      </c>
      <c r="M1393">
        <v>18429005</v>
      </c>
      <c r="N1393">
        <v>20</v>
      </c>
      <c r="O1393">
        <v>16</v>
      </c>
      <c r="P1393">
        <v>11</v>
      </c>
      <c r="Q1393">
        <v>20</v>
      </c>
      <c r="R1393">
        <v>16</v>
      </c>
      <c r="S1393">
        <v>11</v>
      </c>
      <c r="T1393">
        <v>0</v>
      </c>
      <c r="U1393" t="s">
        <v>11021</v>
      </c>
      <c r="V1393">
        <f>Tabla1[[#This Row],[Aboard]]-Tabla1[[#This Row],[Fatalities]]</f>
        <v>0</v>
      </c>
      <c r="W1393" s="50">
        <f>IFERROR(Tabla1[[#This Row],[Fatalities]]/Tabla1[[#This Row],[Aboard]],0)</f>
        <v>1</v>
      </c>
      <c r="X1393" s="51" t="str" cm="1">
        <f t="array" ref="X1393">_xlfn.IFS(Tabla1[[#This Row],[Porcentaje de muertes]]&lt;0.35,"LEVE",AND(Tabla1[[#This Row],[Porcentaje de muertes]]&gt;0.35,Tabla1[[#This Row],[Porcentaje de muertes]]&lt;0.65),"MEDIO",Tabla1[[#This Row],[Porcentaje de muertes]]&gt;0.65,"GRAVE")</f>
        <v>GRAVE</v>
      </c>
    </row>
    <row r="1394" spans="2:24" x14ac:dyDescent="0.3">
      <c r="B1394" s="9">
        <v>1393</v>
      </c>
      <c r="C1394" s="49">
        <v>19524</v>
      </c>
      <c r="D1394" s="9">
        <f>YEAR(Tabla1[[#This Row],[Date]])</f>
        <v>1953</v>
      </c>
      <c r="E1394" s="9" t="str" cm="1">
        <f t="array" ref="E1394">IFERROR(_xlfn.IFS(AND(D1394&lt;1980,D1394&gt;=1970),"70",AND(D1394&lt;1990,D1394&gt;=1980),"80",AND(D1394&lt;2000,D1394&gt;=1990),"90",AND(D1394&lt;2010,D1394&gt;=2000),"00",AND(D1394&lt;=2019,D1394&gt;=2010),"10"),"1908-1970")</f>
        <v>1908-1970</v>
      </c>
      <c r="F1394" s="3">
        <v>0.69097222222222221</v>
      </c>
      <c r="G1394" t="s">
        <v>11022</v>
      </c>
      <c r="H1394" t="s">
        <v>6541</v>
      </c>
      <c r="I1394">
        <v>229</v>
      </c>
      <c r="J1394" t="s">
        <v>11023</v>
      </c>
      <c r="K1394" t="s">
        <v>11024</v>
      </c>
      <c r="L1394" s="7" t="s">
        <v>11025</v>
      </c>
      <c r="M1394">
        <v>30103</v>
      </c>
      <c r="N1394">
        <v>18</v>
      </c>
      <c r="O1394">
        <v>12</v>
      </c>
      <c r="P1394">
        <v>6</v>
      </c>
      <c r="Q1394">
        <v>18</v>
      </c>
      <c r="R1394">
        <v>12</v>
      </c>
      <c r="S1394">
        <v>6</v>
      </c>
      <c r="T1394">
        <v>0</v>
      </c>
      <c r="U1394" t="s">
        <v>11026</v>
      </c>
      <c r="V1394">
        <f>Tabla1[[#This Row],[Aboard]]-Tabla1[[#This Row],[Fatalities]]</f>
        <v>0</v>
      </c>
      <c r="W1394" s="50">
        <f>IFERROR(Tabla1[[#This Row],[Fatalities]]/Tabla1[[#This Row],[Aboard]],0)</f>
        <v>1</v>
      </c>
      <c r="X1394" s="51" t="str" cm="1">
        <f t="array" ref="X1394">_xlfn.IFS(Tabla1[[#This Row],[Porcentaje de muertes]]&lt;0.35,"LEVE",AND(Tabla1[[#This Row],[Porcentaje de muertes]]&gt;0.35,Tabla1[[#This Row],[Porcentaje de muertes]]&lt;0.65),"MEDIO",Tabla1[[#This Row],[Porcentaje de muertes]]&gt;0.65,"GRAVE")</f>
        <v>GRAVE</v>
      </c>
    </row>
    <row r="1395" spans="2:24" x14ac:dyDescent="0.3">
      <c r="B1395" s="9">
        <v>1394</v>
      </c>
      <c r="C1395" s="49">
        <v>19525</v>
      </c>
      <c r="D1395" s="9">
        <f>YEAR(Tabla1[[#This Row],[Date]])</f>
        <v>1953</v>
      </c>
      <c r="E1395" s="9" t="str" cm="1">
        <f t="array" ref="E1395">IFERROR(_xlfn.IFS(AND(D1395&lt;1980,D1395&gt;=1970),"70",AND(D1395&lt;1990,D1395&gt;=1980),"80",AND(D1395&lt;2000,D1395&gt;=1990),"90",AND(D1395&lt;2010,D1395&gt;=2000),"00",AND(D1395&lt;=2019,D1395&gt;=2010),"10"),"1908-1970")</f>
        <v>1908-1970</v>
      </c>
      <c r="F1395" s="3" t="s">
        <v>28931</v>
      </c>
      <c r="G1395" t="s">
        <v>11027</v>
      </c>
      <c r="H1395" t="s">
        <v>11028</v>
      </c>
      <c r="I1395" t="s">
        <v>28931</v>
      </c>
      <c r="J1395" t="s">
        <v>11029</v>
      </c>
      <c r="K1395" t="s">
        <v>7823</v>
      </c>
      <c r="L1395" s="7" t="s">
        <v>11030</v>
      </c>
      <c r="M1395">
        <v>2617</v>
      </c>
      <c r="N1395">
        <v>7</v>
      </c>
      <c r="O1395">
        <v>5</v>
      </c>
      <c r="P1395">
        <v>2</v>
      </c>
      <c r="Q1395">
        <v>7</v>
      </c>
      <c r="R1395">
        <v>5</v>
      </c>
      <c r="S1395">
        <v>2</v>
      </c>
      <c r="T1395">
        <v>0</v>
      </c>
      <c r="U1395" t="s">
        <v>11031</v>
      </c>
      <c r="V1395">
        <f>Tabla1[[#This Row],[Aboard]]-Tabla1[[#This Row],[Fatalities]]</f>
        <v>0</v>
      </c>
      <c r="W1395" s="50">
        <f>IFERROR(Tabla1[[#This Row],[Fatalities]]/Tabla1[[#This Row],[Aboard]],0)</f>
        <v>1</v>
      </c>
      <c r="X1395" s="51" t="str" cm="1">
        <f t="array" ref="X1395">_xlfn.IFS(Tabla1[[#This Row],[Porcentaje de muertes]]&lt;0.35,"LEVE",AND(Tabla1[[#This Row],[Porcentaje de muertes]]&gt;0.35,Tabla1[[#This Row],[Porcentaje de muertes]]&lt;0.65),"MEDIO",Tabla1[[#This Row],[Porcentaje de muertes]]&gt;0.65,"GRAVE")</f>
        <v>GRAVE</v>
      </c>
    </row>
    <row r="1396" spans="2:24" x14ac:dyDescent="0.3">
      <c r="B1396" s="9">
        <v>1395</v>
      </c>
      <c r="C1396" s="49">
        <v>19525</v>
      </c>
      <c r="D1396" s="9">
        <f>YEAR(Tabla1[[#This Row],[Date]])</f>
        <v>1953</v>
      </c>
      <c r="E1396" s="9" t="str" cm="1">
        <f t="array" ref="E1396">IFERROR(_xlfn.IFS(AND(D1396&lt;1980,D1396&gt;=1970),"70",AND(D1396&lt;1990,D1396&gt;=1980),"80",AND(D1396&lt;2000,D1396&gt;=1990),"90",AND(D1396&lt;2010,D1396&gt;=2000),"00",AND(D1396&lt;=2019,D1396&gt;=2010),"10"),"1908-1970")</f>
        <v>1908-1970</v>
      </c>
      <c r="F1396" s="3" t="s">
        <v>28931</v>
      </c>
      <c r="G1396" t="s">
        <v>11032</v>
      </c>
      <c r="H1396" t="s">
        <v>11033</v>
      </c>
      <c r="I1396" t="s">
        <v>28931</v>
      </c>
      <c r="J1396" t="s">
        <v>11034</v>
      </c>
      <c r="K1396" t="s">
        <v>7057</v>
      </c>
      <c r="L1396" s="7" t="s">
        <v>11035</v>
      </c>
      <c r="M1396" t="s">
        <v>11036</v>
      </c>
      <c r="N1396">
        <v>17</v>
      </c>
      <c r="O1396">
        <v>14</v>
      </c>
      <c r="P1396">
        <v>3</v>
      </c>
      <c r="Q1396">
        <v>9</v>
      </c>
      <c r="R1396">
        <v>6</v>
      </c>
      <c r="S1396">
        <v>3</v>
      </c>
      <c r="T1396">
        <v>0</v>
      </c>
      <c r="U1396" t="s">
        <v>11037</v>
      </c>
      <c r="V1396">
        <f>Tabla1[[#This Row],[Aboard]]-Tabla1[[#This Row],[Fatalities]]</f>
        <v>8</v>
      </c>
      <c r="W1396" s="50">
        <f>IFERROR(Tabla1[[#This Row],[Fatalities]]/Tabla1[[#This Row],[Aboard]],0)</f>
        <v>0.52941176470588236</v>
      </c>
      <c r="X1396" s="51" t="str" cm="1">
        <f t="array" ref="X1396">_xlfn.IFS(Tabla1[[#This Row],[Porcentaje de muertes]]&lt;0.35,"LEVE",AND(Tabla1[[#This Row],[Porcentaje de muertes]]&gt;0.35,Tabla1[[#This Row],[Porcentaje de muertes]]&lt;0.65),"MEDIO",Tabla1[[#This Row],[Porcentaje de muertes]]&gt;0.65,"GRAVE")</f>
        <v>MEDIO</v>
      </c>
    </row>
    <row r="1397" spans="2:24" x14ac:dyDescent="0.3">
      <c r="B1397" s="9">
        <v>1396</v>
      </c>
      <c r="C1397" s="49">
        <v>19526</v>
      </c>
      <c r="D1397" s="9">
        <f>YEAR(Tabla1[[#This Row],[Date]])</f>
        <v>1953</v>
      </c>
      <c r="E1397" s="9" t="str" cm="1">
        <f t="array" ref="E1397">IFERROR(_xlfn.IFS(AND(D1397&lt;1980,D1397&gt;=1970),"70",AND(D1397&lt;1990,D1397&gt;=1980),"80",AND(D1397&lt;2000,D1397&gt;=1990),"90",AND(D1397&lt;2010,D1397&gt;=2000),"00",AND(D1397&lt;=2019,D1397&gt;=2010),"10"),"1908-1970")</f>
        <v>1908-1970</v>
      </c>
      <c r="F1397" s="3" t="s">
        <v>28931</v>
      </c>
      <c r="G1397" t="s">
        <v>11038</v>
      </c>
      <c r="H1397" t="s">
        <v>9530</v>
      </c>
      <c r="I1397" t="s">
        <v>28931</v>
      </c>
      <c r="J1397" t="s">
        <v>11039</v>
      </c>
      <c r="K1397" t="s">
        <v>7057</v>
      </c>
      <c r="L1397" s="7" t="s">
        <v>11040</v>
      </c>
      <c r="M1397">
        <v>19100</v>
      </c>
      <c r="N1397">
        <v>34</v>
      </c>
      <c r="O1397">
        <v>31</v>
      </c>
      <c r="P1397">
        <v>3</v>
      </c>
      <c r="Q1397">
        <v>34</v>
      </c>
      <c r="R1397">
        <v>31</v>
      </c>
      <c r="S1397">
        <v>3</v>
      </c>
      <c r="T1397">
        <v>0</v>
      </c>
      <c r="U1397" t="s">
        <v>11041</v>
      </c>
      <c r="V1397">
        <f>Tabla1[[#This Row],[Aboard]]-Tabla1[[#This Row],[Fatalities]]</f>
        <v>0</v>
      </c>
      <c r="W1397" s="50">
        <f>IFERROR(Tabla1[[#This Row],[Fatalities]]/Tabla1[[#This Row],[Aboard]],0)</f>
        <v>1</v>
      </c>
      <c r="X1397" s="51" t="str" cm="1">
        <f t="array" ref="X1397">_xlfn.IFS(Tabla1[[#This Row],[Porcentaje de muertes]]&lt;0.35,"LEVE",AND(Tabla1[[#This Row],[Porcentaje de muertes]]&gt;0.35,Tabla1[[#This Row],[Porcentaje de muertes]]&lt;0.65),"MEDIO",Tabla1[[#This Row],[Porcentaje de muertes]]&gt;0.65,"GRAVE")</f>
        <v>GRAVE</v>
      </c>
    </row>
    <row r="1398" spans="2:24" x14ac:dyDescent="0.3">
      <c r="B1398" s="9">
        <v>1397</v>
      </c>
      <c r="C1398" s="49">
        <v>19527</v>
      </c>
      <c r="D1398" s="9">
        <f>YEAR(Tabla1[[#This Row],[Date]])</f>
        <v>1953</v>
      </c>
      <c r="E1398" s="9" t="str" cm="1">
        <f t="array" ref="E1398">IFERROR(_xlfn.IFS(AND(D1398&lt;1980,D1398&gt;=1970),"70",AND(D1398&lt;1990,D1398&gt;=1980),"80",AND(D1398&lt;2000,D1398&gt;=1990),"90",AND(D1398&lt;2010,D1398&gt;=2000),"00",AND(D1398&lt;=2019,D1398&gt;=2010),"10"),"1908-1970")</f>
        <v>1908-1970</v>
      </c>
      <c r="F1398" s="3">
        <v>0.91666666666666663</v>
      </c>
      <c r="G1398" t="s">
        <v>7197</v>
      </c>
      <c r="H1398" t="s">
        <v>7669</v>
      </c>
      <c r="I1398" t="s">
        <v>28931</v>
      </c>
      <c r="J1398" t="s">
        <v>11042</v>
      </c>
      <c r="K1398" t="s">
        <v>9141</v>
      </c>
      <c r="L1398" s="7" t="s">
        <v>11043</v>
      </c>
      <c r="M1398">
        <v>2066</v>
      </c>
      <c r="N1398">
        <v>17</v>
      </c>
      <c r="O1398">
        <v>10</v>
      </c>
      <c r="P1398">
        <v>7</v>
      </c>
      <c r="Q1398">
        <v>17</v>
      </c>
      <c r="R1398">
        <v>10</v>
      </c>
      <c r="S1398">
        <v>7</v>
      </c>
      <c r="T1398">
        <v>0</v>
      </c>
      <c r="U1398" t="s">
        <v>11044</v>
      </c>
      <c r="V1398">
        <f>Tabla1[[#This Row],[Aboard]]-Tabla1[[#This Row],[Fatalities]]</f>
        <v>0</v>
      </c>
      <c r="W1398" s="50">
        <f>IFERROR(Tabla1[[#This Row],[Fatalities]]/Tabla1[[#This Row],[Aboard]],0)</f>
        <v>1</v>
      </c>
      <c r="X1398" s="51" t="str" cm="1">
        <f t="array" ref="X1398">_xlfn.IFS(Tabla1[[#This Row],[Porcentaje de muertes]]&lt;0.35,"LEVE",AND(Tabla1[[#This Row],[Porcentaje de muertes]]&gt;0.35,Tabla1[[#This Row],[Porcentaje de muertes]]&lt;0.65),"MEDIO",Tabla1[[#This Row],[Porcentaje de muertes]]&gt;0.65,"GRAVE")</f>
        <v>GRAVE</v>
      </c>
    </row>
    <row r="1399" spans="2:24" x14ac:dyDescent="0.3">
      <c r="B1399" s="9">
        <v>1398</v>
      </c>
      <c r="C1399" s="49">
        <v>19528</v>
      </c>
      <c r="D1399" s="9">
        <f>YEAR(Tabla1[[#This Row],[Date]])</f>
        <v>1953</v>
      </c>
      <c r="E1399" s="9" t="str" cm="1">
        <f t="array" ref="E1399">IFERROR(_xlfn.IFS(AND(D1399&lt;1980,D1399&gt;=1970),"70",AND(D1399&lt;1990,D1399&gt;=1980),"80",AND(D1399&lt;2000,D1399&gt;=1990),"90",AND(D1399&lt;2010,D1399&gt;=2000),"00",AND(D1399&lt;=2019,D1399&gt;=2010),"10"),"1908-1970")</f>
        <v>1908-1970</v>
      </c>
      <c r="F1399" s="3">
        <v>0.69027777777777777</v>
      </c>
      <c r="G1399" t="s">
        <v>11045</v>
      </c>
      <c r="H1399" t="s">
        <v>7987</v>
      </c>
      <c r="I1399" t="s">
        <v>28931</v>
      </c>
      <c r="J1399" t="s">
        <v>11046</v>
      </c>
      <c r="K1399" t="s">
        <v>11047</v>
      </c>
      <c r="L1399" s="7" t="s">
        <v>11048</v>
      </c>
      <c r="M1399">
        <v>43471</v>
      </c>
      <c r="N1399">
        <v>129</v>
      </c>
      <c r="O1399">
        <v>122</v>
      </c>
      <c r="P1399">
        <v>7</v>
      </c>
      <c r="Q1399">
        <v>129</v>
      </c>
      <c r="R1399">
        <v>122</v>
      </c>
      <c r="S1399">
        <v>7</v>
      </c>
      <c r="T1399">
        <v>0</v>
      </c>
      <c r="U1399" t="s">
        <v>11049</v>
      </c>
      <c r="V1399">
        <f>Tabla1[[#This Row],[Aboard]]-Tabla1[[#This Row],[Fatalities]]</f>
        <v>0</v>
      </c>
      <c r="W1399" s="50">
        <f>IFERROR(Tabla1[[#This Row],[Fatalities]]/Tabla1[[#This Row],[Aboard]],0)</f>
        <v>1</v>
      </c>
      <c r="X1399" s="51" t="str" cm="1">
        <f t="array" ref="X1399">_xlfn.IFS(Tabla1[[#This Row],[Porcentaje de muertes]]&lt;0.35,"LEVE",AND(Tabla1[[#This Row],[Porcentaje de muertes]]&gt;0.35,Tabla1[[#This Row],[Porcentaje de muertes]]&lt;0.65),"MEDIO",Tabla1[[#This Row],[Porcentaje de muertes]]&gt;0.65,"GRAVE")</f>
        <v>GRAVE</v>
      </c>
    </row>
    <row r="1400" spans="2:24" x14ac:dyDescent="0.3">
      <c r="B1400" s="9">
        <v>1399</v>
      </c>
      <c r="C1400" s="49">
        <v>19700</v>
      </c>
      <c r="D1400" s="9">
        <f>YEAR(Tabla1[[#This Row],[Date]])</f>
        <v>1953</v>
      </c>
      <c r="E1400" s="9" t="str" cm="1">
        <f t="array" ref="E1400">IFERROR(_xlfn.IFS(AND(D1400&lt;1980,D1400&gt;=1970),"70",AND(D1400&lt;1990,D1400&gt;=1980),"80",AND(D1400&lt;2000,D1400&gt;=1990),"90",AND(D1400&lt;2010,D1400&gt;=2000),"00",AND(D1400&lt;=2019,D1400&gt;=2010),"10"),"1908-1970")</f>
        <v>1908-1970</v>
      </c>
      <c r="F1400" s="3">
        <v>0.36180555555555555</v>
      </c>
      <c r="G1400" t="s">
        <v>11050</v>
      </c>
      <c r="H1400" t="s">
        <v>9888</v>
      </c>
      <c r="I1400">
        <v>512</v>
      </c>
      <c r="J1400" t="s">
        <v>11051</v>
      </c>
      <c r="K1400" t="s">
        <v>11052</v>
      </c>
      <c r="L1400" s="7" t="s">
        <v>11053</v>
      </c>
      <c r="M1400" t="s">
        <v>11054</v>
      </c>
      <c r="N1400">
        <v>58</v>
      </c>
      <c r="O1400">
        <v>50</v>
      </c>
      <c r="P1400">
        <v>8</v>
      </c>
      <c r="Q1400">
        <v>58</v>
      </c>
      <c r="R1400">
        <v>50</v>
      </c>
      <c r="S1400">
        <v>8</v>
      </c>
      <c r="T1400">
        <v>0</v>
      </c>
      <c r="U1400" t="s">
        <v>11055</v>
      </c>
      <c r="V1400">
        <f>Tabla1[[#This Row],[Aboard]]-Tabla1[[#This Row],[Fatalities]]</f>
        <v>0</v>
      </c>
      <c r="W1400" s="50">
        <f>IFERROR(Tabla1[[#This Row],[Fatalities]]/Tabla1[[#This Row],[Aboard]],0)</f>
        <v>1</v>
      </c>
      <c r="X1400" s="51" t="str" cm="1">
        <f t="array" ref="X1400">_xlfn.IFS(Tabla1[[#This Row],[Porcentaje de muertes]]&lt;0.35,"LEVE",AND(Tabla1[[#This Row],[Porcentaje de muertes]]&gt;0.35,Tabla1[[#This Row],[Porcentaje de muertes]]&lt;0.65),"MEDIO",Tabla1[[#This Row],[Porcentaje de muertes]]&gt;0.65,"GRAVE")</f>
        <v>GRAVE</v>
      </c>
    </row>
    <row r="1401" spans="2:24" x14ac:dyDescent="0.3">
      <c r="B1401" s="9">
        <v>1400</v>
      </c>
      <c r="C1401" s="49">
        <v>19557</v>
      </c>
      <c r="D1401" s="9">
        <f>YEAR(Tabla1[[#This Row],[Date]])</f>
        <v>1953</v>
      </c>
      <c r="E1401" s="9" t="str" cm="1">
        <f t="array" ref="E1401">IFERROR(_xlfn.IFS(AND(D1401&lt;1980,D1401&gt;=1970),"70",AND(D1401&lt;1990,D1401&gt;=1980),"80",AND(D1401&lt;2000,D1401&gt;=1990),"90",AND(D1401&lt;2010,D1401&gt;=2000),"00",AND(D1401&lt;=2019,D1401&gt;=2010),"10"),"1908-1970")</f>
        <v>1908-1970</v>
      </c>
      <c r="F1401" s="3">
        <v>0.96875</v>
      </c>
      <c r="G1401" t="s">
        <v>11056</v>
      </c>
      <c r="H1401" t="s">
        <v>5027</v>
      </c>
      <c r="I1401" t="s">
        <v>28931</v>
      </c>
      <c r="J1401" t="s">
        <v>11057</v>
      </c>
      <c r="K1401" t="s">
        <v>11058</v>
      </c>
      <c r="L1401" s="7">
        <v>131663</v>
      </c>
      <c r="M1401">
        <v>10830</v>
      </c>
      <c r="N1401">
        <v>46</v>
      </c>
      <c r="O1401">
        <v>40</v>
      </c>
      <c r="P1401">
        <v>6</v>
      </c>
      <c r="Q1401">
        <v>44</v>
      </c>
      <c r="R1401">
        <v>39</v>
      </c>
      <c r="S1401">
        <v>5</v>
      </c>
      <c r="T1401">
        <v>0</v>
      </c>
      <c r="U1401" t="s">
        <v>11059</v>
      </c>
      <c r="V1401">
        <f>Tabla1[[#This Row],[Aboard]]-Tabla1[[#This Row],[Fatalities]]</f>
        <v>2</v>
      </c>
      <c r="W1401" s="50">
        <f>IFERROR(Tabla1[[#This Row],[Fatalities]]/Tabla1[[#This Row],[Aboard]],0)</f>
        <v>0.95652173913043481</v>
      </c>
      <c r="X1401" s="51" t="str" cm="1">
        <f t="array" ref="X1401">_xlfn.IFS(Tabla1[[#This Row],[Porcentaje de muertes]]&lt;0.35,"LEVE",AND(Tabla1[[#This Row],[Porcentaje de muertes]]&gt;0.35,Tabla1[[#This Row],[Porcentaje de muertes]]&lt;0.65),"MEDIO",Tabla1[[#This Row],[Porcentaje de muertes]]&gt;0.65,"GRAVE")</f>
        <v>GRAVE</v>
      </c>
    </row>
    <row r="1402" spans="2:24" x14ac:dyDescent="0.3">
      <c r="B1402" s="9">
        <v>1401</v>
      </c>
      <c r="C1402" s="49">
        <v>19567</v>
      </c>
      <c r="D1402" s="9">
        <f>YEAR(Tabla1[[#This Row],[Date]])</f>
        <v>1953</v>
      </c>
      <c r="E1402" s="9" t="str" cm="1">
        <f t="array" ref="E1402">IFERROR(_xlfn.IFS(AND(D1402&lt;1980,D1402&gt;=1970),"70",AND(D1402&lt;1990,D1402&gt;=1980),"80",AND(D1402&lt;2000,D1402&gt;=1990),"90",AND(D1402&lt;2010,D1402&gt;=2000),"00",AND(D1402&lt;=2019,D1402&gt;=2010),"10"),"1908-1970")</f>
        <v>1908-1970</v>
      </c>
      <c r="F1402" s="3">
        <v>0.52083333333333337</v>
      </c>
      <c r="G1402" t="s">
        <v>11060</v>
      </c>
      <c r="H1402" t="s">
        <v>6541</v>
      </c>
      <c r="I1402" t="s">
        <v>28931</v>
      </c>
      <c r="J1402" t="s">
        <v>28931</v>
      </c>
      <c r="K1402" t="s">
        <v>9305</v>
      </c>
      <c r="L1402" s="7" t="s">
        <v>28931</v>
      </c>
      <c r="M1402" t="s">
        <v>28931</v>
      </c>
      <c r="N1402">
        <v>21</v>
      </c>
      <c r="O1402">
        <v>15</v>
      </c>
      <c r="P1402">
        <v>6</v>
      </c>
      <c r="Q1402">
        <v>21</v>
      </c>
      <c r="R1402">
        <v>15</v>
      </c>
      <c r="S1402">
        <v>6</v>
      </c>
      <c r="T1402">
        <v>0</v>
      </c>
      <c r="U1402" t="s">
        <v>11061</v>
      </c>
      <c r="V1402">
        <f>Tabla1[[#This Row],[Aboard]]-Tabla1[[#This Row],[Fatalities]]</f>
        <v>0</v>
      </c>
      <c r="W1402" s="50">
        <f>IFERROR(Tabla1[[#This Row],[Fatalities]]/Tabla1[[#This Row],[Aboard]],0)</f>
        <v>1</v>
      </c>
      <c r="X1402" s="51" t="str" cm="1">
        <f t="array" ref="X1402">_xlfn.IFS(Tabla1[[#This Row],[Porcentaje de muertes]]&lt;0.35,"LEVE",AND(Tabla1[[#This Row],[Porcentaje de muertes]]&gt;0.35,Tabla1[[#This Row],[Porcentaje de muertes]]&lt;0.65),"MEDIO",Tabla1[[#This Row],[Porcentaje de muertes]]&gt;0.65,"GRAVE")</f>
        <v>GRAVE</v>
      </c>
    </row>
    <row r="1403" spans="2:24" x14ac:dyDescent="0.3">
      <c r="B1403" s="9">
        <v>1402</v>
      </c>
      <c r="C1403" s="49">
        <v>19426</v>
      </c>
      <c r="D1403" s="9">
        <f>YEAR(Tabla1[[#This Row],[Date]])</f>
        <v>1953</v>
      </c>
      <c r="E1403" s="9" t="str" cm="1">
        <f t="array" ref="E1403">IFERROR(_xlfn.IFS(AND(D1403&lt;1980,D1403&gt;=1970),"70",AND(D1403&lt;1990,D1403&gt;=1980),"80",AND(D1403&lt;2000,D1403&gt;=1990),"90",AND(D1403&lt;2010,D1403&gt;=2000),"00",AND(D1403&lt;=2019,D1403&gt;=2010),"10"),"1908-1970")</f>
        <v>1908-1970</v>
      </c>
      <c r="F1403" s="3">
        <v>0.10277777777777779</v>
      </c>
      <c r="G1403" t="s">
        <v>11062</v>
      </c>
      <c r="H1403" t="s">
        <v>6375</v>
      </c>
      <c r="I1403" t="s">
        <v>28931</v>
      </c>
      <c r="J1403" t="s">
        <v>11063</v>
      </c>
      <c r="K1403" t="s">
        <v>11064</v>
      </c>
      <c r="L1403" s="7" t="s">
        <v>11065</v>
      </c>
      <c r="M1403">
        <v>2628</v>
      </c>
      <c r="N1403">
        <v>42</v>
      </c>
      <c r="O1403">
        <v>34</v>
      </c>
      <c r="P1403">
        <v>8</v>
      </c>
      <c r="Q1403">
        <v>4</v>
      </c>
      <c r="R1403">
        <v>4</v>
      </c>
      <c r="S1403">
        <v>0</v>
      </c>
      <c r="T1403">
        <v>0</v>
      </c>
      <c r="U1403" t="s">
        <v>11066</v>
      </c>
      <c r="V1403">
        <f>Tabla1[[#This Row],[Aboard]]-Tabla1[[#This Row],[Fatalities]]</f>
        <v>38</v>
      </c>
      <c r="W1403" s="50">
        <f>IFERROR(Tabla1[[#This Row],[Fatalities]]/Tabla1[[#This Row],[Aboard]],0)</f>
        <v>9.5238095238095233E-2</v>
      </c>
      <c r="X1403" s="51" t="str" cm="1">
        <f t="array" ref="X1403">_xlfn.IFS(Tabla1[[#This Row],[Porcentaje de muertes]]&lt;0.35,"LEVE",AND(Tabla1[[#This Row],[Porcentaje de muertes]]&gt;0.35,Tabla1[[#This Row],[Porcentaje de muertes]]&lt;0.65),"MEDIO",Tabla1[[#This Row],[Porcentaje de muertes]]&gt;0.65,"GRAVE")</f>
        <v>LEVE</v>
      </c>
    </row>
    <row r="1404" spans="2:24" x14ac:dyDescent="0.3">
      <c r="B1404" s="9">
        <v>1403</v>
      </c>
      <c r="C1404" s="49">
        <v>19426</v>
      </c>
      <c r="D1404" s="9">
        <f>YEAR(Tabla1[[#This Row],[Date]])</f>
        <v>1953</v>
      </c>
      <c r="E1404" s="9" t="str" cm="1">
        <f t="array" ref="E1404">IFERROR(_xlfn.IFS(AND(D1404&lt;1980,D1404&gt;=1970),"70",AND(D1404&lt;1990,D1404&gt;=1980),"80",AND(D1404&lt;2000,D1404&gt;=1990),"90",AND(D1404&lt;2010,D1404&gt;=2000),"00",AND(D1404&lt;=2019,D1404&gt;=2010),"10"),"1908-1970")</f>
        <v>1908-1970</v>
      </c>
      <c r="F1404" s="3">
        <v>0.94236111111111109</v>
      </c>
      <c r="G1404" t="s">
        <v>11067</v>
      </c>
      <c r="H1404" t="s">
        <v>10931</v>
      </c>
      <c r="I1404" t="s">
        <v>28931</v>
      </c>
      <c r="J1404" t="s">
        <v>11068</v>
      </c>
      <c r="K1404" t="s">
        <v>7057</v>
      </c>
      <c r="L1404" s="7" t="s">
        <v>11069</v>
      </c>
      <c r="M1404">
        <v>9143</v>
      </c>
      <c r="N1404">
        <v>25</v>
      </c>
      <c r="O1404">
        <v>21</v>
      </c>
      <c r="P1404">
        <v>4</v>
      </c>
      <c r="Q1404">
        <v>1</v>
      </c>
      <c r="R1404">
        <v>1</v>
      </c>
      <c r="S1404">
        <v>0</v>
      </c>
      <c r="T1404">
        <v>0</v>
      </c>
      <c r="U1404" t="s">
        <v>11070</v>
      </c>
      <c r="V1404">
        <f>Tabla1[[#This Row],[Aboard]]-Tabla1[[#This Row],[Fatalities]]</f>
        <v>24</v>
      </c>
      <c r="W1404" s="50">
        <f>IFERROR(Tabla1[[#This Row],[Fatalities]]/Tabla1[[#This Row],[Aboard]],0)</f>
        <v>0.04</v>
      </c>
      <c r="X1404" s="51" t="str" cm="1">
        <f t="array" ref="X1404">_xlfn.IFS(Tabla1[[#This Row],[Porcentaje de muertes]]&lt;0.35,"LEVE",AND(Tabla1[[#This Row],[Porcentaje de muertes]]&gt;0.35,Tabla1[[#This Row],[Porcentaje de muertes]]&lt;0.65),"MEDIO",Tabla1[[#This Row],[Porcentaje de muertes]]&gt;0.65,"GRAVE")</f>
        <v>LEVE</v>
      </c>
    </row>
    <row r="1405" spans="2:24" x14ac:dyDescent="0.3">
      <c r="B1405" s="9">
        <v>1404</v>
      </c>
      <c r="C1405" s="49">
        <v>19487</v>
      </c>
      <c r="D1405" s="9">
        <f>YEAR(Tabla1[[#This Row],[Date]])</f>
        <v>1953</v>
      </c>
      <c r="E1405" s="9" t="str" cm="1">
        <f t="array" ref="E1405">IFERROR(_xlfn.IFS(AND(D1405&lt;1980,D1405&gt;=1970),"70",AND(D1405&lt;1990,D1405&gt;=1980),"80",AND(D1405&lt;2000,D1405&gt;=1990),"90",AND(D1405&lt;2010,D1405&gt;=2000),"00",AND(D1405&lt;=2019,D1405&gt;=2010),"10"),"1908-1970")</f>
        <v>1908-1970</v>
      </c>
      <c r="F1405" s="3" t="s">
        <v>28931</v>
      </c>
      <c r="G1405" t="s">
        <v>11071</v>
      </c>
      <c r="H1405" t="s">
        <v>7987</v>
      </c>
      <c r="I1405" t="s">
        <v>28931</v>
      </c>
      <c r="J1405" t="s">
        <v>11072</v>
      </c>
      <c r="K1405" t="s">
        <v>28940</v>
      </c>
      <c r="L1405" s="7" t="s">
        <v>11073</v>
      </c>
      <c r="M1405">
        <v>303</v>
      </c>
      <c r="N1405">
        <v>23</v>
      </c>
      <c r="O1405">
        <v>0</v>
      </c>
      <c r="P1405">
        <v>23</v>
      </c>
      <c r="Q1405">
        <v>19</v>
      </c>
      <c r="R1405">
        <v>0</v>
      </c>
      <c r="S1405">
        <v>19</v>
      </c>
      <c r="T1405">
        <v>0</v>
      </c>
      <c r="U1405" t="s">
        <v>11074</v>
      </c>
      <c r="V1405">
        <f>Tabla1[[#This Row],[Aboard]]-Tabla1[[#This Row],[Fatalities]]</f>
        <v>4</v>
      </c>
      <c r="W1405" s="50">
        <f>IFERROR(Tabla1[[#This Row],[Fatalities]]/Tabla1[[#This Row],[Aboard]],0)</f>
        <v>0.82608695652173914</v>
      </c>
      <c r="X1405" s="51" t="str" cm="1">
        <f t="array" ref="X1405">_xlfn.IFS(Tabla1[[#This Row],[Porcentaje de muertes]]&lt;0.35,"LEVE",AND(Tabla1[[#This Row],[Porcentaje de muertes]]&gt;0.35,Tabla1[[#This Row],[Porcentaje de muertes]]&lt;0.65),"MEDIO",Tabla1[[#This Row],[Porcentaje de muertes]]&gt;0.65,"GRAVE")</f>
        <v>GRAVE</v>
      </c>
    </row>
    <row r="1406" spans="2:24" x14ac:dyDescent="0.3">
      <c r="B1406" s="9">
        <v>1405</v>
      </c>
      <c r="C1406" s="49">
        <v>19589</v>
      </c>
      <c r="D1406" s="9">
        <f>YEAR(Tabla1[[#This Row],[Date]])</f>
        <v>1953</v>
      </c>
      <c r="E1406" s="9" t="str" cm="1">
        <f t="array" ref="E1406">IFERROR(_xlfn.IFS(AND(D1406&lt;1980,D1406&gt;=1970),"70",AND(D1406&lt;1990,D1406&gt;=1980),"80",AND(D1406&lt;2000,D1406&gt;=1990),"90",AND(D1406&lt;2010,D1406&gt;=2000),"00",AND(D1406&lt;=2019,D1406&gt;=2010),"10"),"1908-1970")</f>
        <v>1908-1970</v>
      </c>
      <c r="F1406" s="3" t="s">
        <v>28931</v>
      </c>
      <c r="G1406" t="s">
        <v>8912</v>
      </c>
      <c r="H1406" t="s">
        <v>11075</v>
      </c>
      <c r="I1406" t="s">
        <v>28931</v>
      </c>
      <c r="J1406" t="s">
        <v>28931</v>
      </c>
      <c r="K1406" t="s">
        <v>8305</v>
      </c>
      <c r="L1406" s="7" t="s">
        <v>11076</v>
      </c>
      <c r="M1406">
        <v>26403</v>
      </c>
      <c r="N1406">
        <v>2</v>
      </c>
      <c r="O1406">
        <v>0</v>
      </c>
      <c r="P1406">
        <v>2</v>
      </c>
      <c r="Q1406">
        <v>2</v>
      </c>
      <c r="R1406">
        <v>0</v>
      </c>
      <c r="S1406">
        <v>2</v>
      </c>
      <c r="T1406">
        <v>0</v>
      </c>
      <c r="U1406" t="s">
        <v>11077</v>
      </c>
      <c r="V1406">
        <f>Tabla1[[#This Row],[Aboard]]-Tabla1[[#This Row],[Fatalities]]</f>
        <v>0</v>
      </c>
      <c r="W1406" s="50">
        <f>IFERROR(Tabla1[[#This Row],[Fatalities]]/Tabla1[[#This Row],[Aboard]],0)</f>
        <v>1</v>
      </c>
      <c r="X1406" s="51" t="str" cm="1">
        <f t="array" ref="X1406">_xlfn.IFS(Tabla1[[#This Row],[Porcentaje de muertes]]&lt;0.35,"LEVE",AND(Tabla1[[#This Row],[Porcentaje de muertes]]&gt;0.35,Tabla1[[#This Row],[Porcentaje de muertes]]&lt;0.65),"MEDIO",Tabla1[[#This Row],[Porcentaje de muertes]]&gt;0.65,"GRAVE")</f>
        <v>GRAVE</v>
      </c>
    </row>
    <row r="1407" spans="2:24" x14ac:dyDescent="0.3">
      <c r="B1407" s="9">
        <v>1406</v>
      </c>
      <c r="C1407" s="49">
        <v>19368</v>
      </c>
      <c r="D1407" s="9">
        <f>YEAR(Tabla1[[#This Row],[Date]])</f>
        <v>1953</v>
      </c>
      <c r="E1407" s="9" t="str" cm="1">
        <f t="array" ref="E1407">IFERROR(_xlfn.IFS(AND(D1407&lt;1980,D1407&gt;=1970),"70",AND(D1407&lt;1990,D1407&gt;=1980),"80",AND(D1407&lt;2000,D1407&gt;=1990),"90",AND(D1407&lt;2010,D1407&gt;=2000),"00",AND(D1407&lt;=2019,D1407&gt;=2010),"10"),"1908-1970")</f>
        <v>1908-1970</v>
      </c>
      <c r="F1407" s="3">
        <v>0.97916666666666663</v>
      </c>
      <c r="G1407" t="s">
        <v>11078</v>
      </c>
      <c r="H1407" t="s">
        <v>6375</v>
      </c>
      <c r="I1407" t="s">
        <v>28931</v>
      </c>
      <c r="J1407" t="s">
        <v>11079</v>
      </c>
      <c r="K1407" t="s">
        <v>10167</v>
      </c>
      <c r="L1407" s="7" t="s">
        <v>11080</v>
      </c>
      <c r="M1407">
        <v>2674</v>
      </c>
      <c r="N1407">
        <v>42</v>
      </c>
      <c r="O1407">
        <v>33</v>
      </c>
      <c r="P1407">
        <v>9</v>
      </c>
      <c r="Q1407">
        <v>42</v>
      </c>
      <c r="R1407">
        <v>33</v>
      </c>
      <c r="S1407">
        <v>9</v>
      </c>
      <c r="T1407">
        <v>0</v>
      </c>
      <c r="U1407" t="s">
        <v>11081</v>
      </c>
      <c r="V1407">
        <f>Tabla1[[#This Row],[Aboard]]-Tabla1[[#This Row],[Fatalities]]</f>
        <v>0</v>
      </c>
      <c r="W1407" s="50">
        <f>IFERROR(Tabla1[[#This Row],[Fatalities]]/Tabla1[[#This Row],[Aboard]],0)</f>
        <v>1</v>
      </c>
      <c r="X1407" s="51" t="str" cm="1">
        <f t="array" ref="X1407">_xlfn.IFS(Tabla1[[#This Row],[Porcentaje de muertes]]&lt;0.35,"LEVE",AND(Tabla1[[#This Row],[Porcentaje de muertes]]&gt;0.35,Tabla1[[#This Row],[Porcentaje de muertes]]&lt;0.65),"MEDIO",Tabla1[[#This Row],[Porcentaje de muertes]]&gt;0.65,"GRAVE")</f>
        <v>GRAVE</v>
      </c>
    </row>
    <row r="1408" spans="2:24" x14ac:dyDescent="0.3">
      <c r="B1408" s="9">
        <v>1407</v>
      </c>
      <c r="C1408" s="49">
        <v>19368</v>
      </c>
      <c r="D1408" s="9">
        <f>YEAR(Tabla1[[#This Row],[Date]])</f>
        <v>1953</v>
      </c>
      <c r="E1408" s="9" t="str" cm="1">
        <f t="array" ref="E1408">IFERROR(_xlfn.IFS(AND(D1408&lt;1980,D1408&gt;=1970),"70",AND(D1408&lt;1990,D1408&gt;=1980),"80",AND(D1408&lt;2000,D1408&gt;=1990),"90",AND(D1408&lt;2010,D1408&gt;=2000),"00",AND(D1408&lt;=2019,D1408&gt;=2010),"10"),"1908-1970")</f>
        <v>1908-1970</v>
      </c>
      <c r="F1408" s="3">
        <v>0.77916666666666667</v>
      </c>
      <c r="G1408" t="s">
        <v>11082</v>
      </c>
      <c r="H1408" t="s">
        <v>10085</v>
      </c>
      <c r="I1408" t="s">
        <v>28931</v>
      </c>
      <c r="J1408" t="s">
        <v>11083</v>
      </c>
      <c r="K1408" t="s">
        <v>7057</v>
      </c>
      <c r="L1408" s="7" t="s">
        <v>11084</v>
      </c>
      <c r="M1408">
        <v>6333</v>
      </c>
      <c r="N1408">
        <v>21</v>
      </c>
      <c r="O1408">
        <v>19</v>
      </c>
      <c r="P1408">
        <v>2</v>
      </c>
      <c r="Q1408">
        <v>21</v>
      </c>
      <c r="R1408">
        <v>19</v>
      </c>
      <c r="S1408">
        <v>2</v>
      </c>
      <c r="T1408">
        <v>0</v>
      </c>
      <c r="U1408" t="s">
        <v>11085</v>
      </c>
      <c r="V1408">
        <f>Tabla1[[#This Row],[Aboard]]-Tabla1[[#This Row],[Fatalities]]</f>
        <v>0</v>
      </c>
      <c r="W1408" s="50">
        <f>IFERROR(Tabla1[[#This Row],[Fatalities]]/Tabla1[[#This Row],[Aboard]],0)</f>
        <v>1</v>
      </c>
      <c r="X1408" s="51" t="str" cm="1">
        <f t="array" ref="X1408">_xlfn.IFS(Tabla1[[#This Row],[Porcentaje de muertes]]&lt;0.35,"LEVE",AND(Tabla1[[#This Row],[Porcentaje de muertes]]&gt;0.35,Tabla1[[#This Row],[Porcentaje de muertes]]&lt;0.65),"MEDIO",Tabla1[[#This Row],[Porcentaje de muertes]]&gt;0.65,"GRAVE")</f>
        <v>GRAVE</v>
      </c>
    </row>
    <row r="1409" spans="2:24" x14ac:dyDescent="0.3">
      <c r="B1409" s="9">
        <v>1408</v>
      </c>
      <c r="C1409" s="49">
        <v>19580</v>
      </c>
      <c r="D1409" s="9">
        <f>YEAR(Tabla1[[#This Row],[Date]])</f>
        <v>1953</v>
      </c>
      <c r="E1409" s="9" t="str" cm="1">
        <f t="array" ref="E1409">IFERROR(_xlfn.IFS(AND(D1409&lt;1980,D1409&gt;=1970),"70",AND(D1409&lt;1990,D1409&gt;=1980),"80",AND(D1409&lt;2000,D1409&gt;=1990),"90",AND(D1409&lt;2010,D1409&gt;=2000),"00",AND(D1409&lt;=2019,D1409&gt;=2010),"10"),"1908-1970")</f>
        <v>1908-1970</v>
      </c>
      <c r="F1409" s="3">
        <v>0.55277777777777781</v>
      </c>
      <c r="G1409" t="s">
        <v>11086</v>
      </c>
      <c r="H1409" t="s">
        <v>8239</v>
      </c>
      <c r="I1409" t="s">
        <v>28931</v>
      </c>
      <c r="J1409" t="s">
        <v>11087</v>
      </c>
      <c r="K1409" t="s">
        <v>8105</v>
      </c>
      <c r="L1409" s="7" t="s">
        <v>11088</v>
      </c>
      <c r="M1409" t="s">
        <v>11089</v>
      </c>
      <c r="N1409">
        <v>3</v>
      </c>
      <c r="O1409">
        <v>0</v>
      </c>
      <c r="P1409">
        <v>3</v>
      </c>
      <c r="Q1409">
        <v>3</v>
      </c>
      <c r="R1409">
        <v>0</v>
      </c>
      <c r="S1409">
        <v>3</v>
      </c>
      <c r="T1409">
        <v>0</v>
      </c>
      <c r="U1409" t="s">
        <v>11090</v>
      </c>
      <c r="V1409">
        <f>Tabla1[[#This Row],[Aboard]]-Tabla1[[#This Row],[Fatalities]]</f>
        <v>0</v>
      </c>
      <c r="W1409" s="50">
        <f>IFERROR(Tabla1[[#This Row],[Fatalities]]/Tabla1[[#This Row],[Aboard]],0)</f>
        <v>1</v>
      </c>
      <c r="X1409" s="51" t="str" cm="1">
        <f t="array" ref="X1409">_xlfn.IFS(Tabla1[[#This Row],[Porcentaje de muertes]]&lt;0.35,"LEVE",AND(Tabla1[[#This Row],[Porcentaje de muertes]]&gt;0.35,Tabla1[[#This Row],[Porcentaje de muertes]]&lt;0.65),"MEDIO",Tabla1[[#This Row],[Porcentaje de muertes]]&gt;0.65,"GRAVE")</f>
        <v>GRAVE</v>
      </c>
    </row>
    <row r="1410" spans="2:24" x14ac:dyDescent="0.3">
      <c r="B1410" s="9">
        <v>1409</v>
      </c>
      <c r="C1410" s="49">
        <v>19616</v>
      </c>
      <c r="D1410" s="9">
        <f>YEAR(Tabla1[[#This Row],[Date]])</f>
        <v>1953</v>
      </c>
      <c r="E1410" s="9" t="str" cm="1">
        <f t="array" ref="E1410">IFERROR(_xlfn.IFS(AND(D1410&lt;1980,D1410&gt;=1970),"70",AND(D1410&lt;1990,D1410&gt;=1980),"80",AND(D1410&lt;2000,D1410&gt;=1990),"90",AND(D1410&lt;2010,D1410&gt;=2000),"00",AND(D1410&lt;=2019,D1410&gt;=2010),"10"),"1908-1970")</f>
        <v>1908-1970</v>
      </c>
      <c r="F1410" s="3" t="s">
        <v>28931</v>
      </c>
      <c r="G1410" t="s">
        <v>11091</v>
      </c>
      <c r="H1410" t="s">
        <v>11092</v>
      </c>
      <c r="I1410" t="s">
        <v>28931</v>
      </c>
      <c r="J1410" t="s">
        <v>11093</v>
      </c>
      <c r="K1410" t="s">
        <v>8105</v>
      </c>
      <c r="L1410" s="7" t="s">
        <v>11094</v>
      </c>
      <c r="M1410">
        <v>13113</v>
      </c>
      <c r="N1410">
        <v>2</v>
      </c>
      <c r="O1410">
        <v>0</v>
      </c>
      <c r="P1410">
        <v>2</v>
      </c>
      <c r="Q1410">
        <v>1</v>
      </c>
      <c r="R1410">
        <v>0</v>
      </c>
      <c r="S1410">
        <v>1</v>
      </c>
      <c r="T1410">
        <v>0</v>
      </c>
      <c r="U1410" t="s">
        <v>11095</v>
      </c>
      <c r="V1410">
        <f>Tabla1[[#This Row],[Aboard]]-Tabla1[[#This Row],[Fatalities]]</f>
        <v>1</v>
      </c>
      <c r="W1410" s="50">
        <f>IFERROR(Tabla1[[#This Row],[Fatalities]]/Tabla1[[#This Row],[Aboard]],0)</f>
        <v>0.5</v>
      </c>
      <c r="X1410" s="51" t="str" cm="1">
        <f t="array" ref="X1410">_xlfn.IFS(Tabla1[[#This Row],[Porcentaje de muertes]]&lt;0.35,"LEVE",AND(Tabla1[[#This Row],[Porcentaje de muertes]]&gt;0.35,Tabla1[[#This Row],[Porcentaje de muertes]]&lt;0.65),"MEDIO",Tabla1[[#This Row],[Porcentaje de muertes]]&gt;0.65,"GRAVE")</f>
        <v>MEDIO</v>
      </c>
    </row>
    <row r="1411" spans="2:24" x14ac:dyDescent="0.3">
      <c r="B1411" s="9">
        <v>1410</v>
      </c>
      <c r="C1411" s="49">
        <v>19618</v>
      </c>
      <c r="D1411" s="9">
        <f>YEAR(Tabla1[[#This Row],[Date]])</f>
        <v>1953</v>
      </c>
      <c r="E1411" s="9" t="str" cm="1">
        <f t="array" ref="E1411">IFERROR(_xlfn.IFS(AND(D1411&lt;1980,D1411&gt;=1970),"70",AND(D1411&lt;1990,D1411&gt;=1980),"80",AND(D1411&lt;2000,D1411&gt;=1990),"90",AND(D1411&lt;2010,D1411&gt;=2000),"00",AND(D1411&lt;=2019,D1411&gt;=2010),"10"),"1908-1970")</f>
        <v>1908-1970</v>
      </c>
      <c r="F1411" s="3">
        <v>0.35694444444444445</v>
      </c>
      <c r="G1411" t="s">
        <v>11096</v>
      </c>
      <c r="H1411" t="s">
        <v>6536</v>
      </c>
      <c r="I1411">
        <v>723</v>
      </c>
      <c r="J1411" t="s">
        <v>11097</v>
      </c>
      <c r="K1411" t="s">
        <v>10625</v>
      </c>
      <c r="L1411" s="7" t="s">
        <v>11098</v>
      </c>
      <c r="M1411">
        <v>116</v>
      </c>
      <c r="N1411">
        <v>28</v>
      </c>
      <c r="O1411">
        <v>25</v>
      </c>
      <c r="P1411">
        <v>3</v>
      </c>
      <c r="Q1411">
        <v>28</v>
      </c>
      <c r="R1411">
        <v>25</v>
      </c>
      <c r="S1411">
        <v>3</v>
      </c>
      <c r="T1411">
        <v>0</v>
      </c>
      <c r="U1411" t="s">
        <v>11099</v>
      </c>
      <c r="V1411">
        <f>Tabla1[[#This Row],[Aboard]]-Tabla1[[#This Row],[Fatalities]]</f>
        <v>0</v>
      </c>
      <c r="W1411" s="50">
        <f>IFERROR(Tabla1[[#This Row],[Fatalities]]/Tabla1[[#This Row],[Aboard]],0)</f>
        <v>1</v>
      </c>
      <c r="X1411" s="51" t="str" cm="1">
        <f t="array" ref="X1411">_xlfn.IFS(Tabla1[[#This Row],[Porcentaje de muertes]]&lt;0.35,"LEVE",AND(Tabla1[[#This Row],[Porcentaje de muertes]]&gt;0.35,Tabla1[[#This Row],[Porcentaje de muertes]]&lt;0.65),"MEDIO",Tabla1[[#This Row],[Porcentaje de muertes]]&gt;0.65,"GRAVE")</f>
        <v>GRAVE</v>
      </c>
    </row>
    <row r="1412" spans="2:24" x14ac:dyDescent="0.3">
      <c r="B1412" s="9">
        <v>1411</v>
      </c>
      <c r="C1412" s="49">
        <v>19627</v>
      </c>
      <c r="D1412" s="9">
        <f>YEAR(Tabla1[[#This Row],[Date]])</f>
        <v>1953</v>
      </c>
      <c r="E1412" s="9" t="str" cm="1">
        <f t="array" ref="E1412">IFERROR(_xlfn.IFS(AND(D1412&lt;1980,D1412&gt;=1970),"70",AND(D1412&lt;1990,D1412&gt;=1980),"80",AND(D1412&lt;2000,D1412&gt;=1990),"90",AND(D1412&lt;2010,D1412&gt;=2000),"00",AND(D1412&lt;=2019,D1412&gt;=2010),"10"),"1908-1970")</f>
        <v>1908-1970</v>
      </c>
      <c r="F1412" s="3">
        <v>0.4236111111111111</v>
      </c>
      <c r="G1412" t="s">
        <v>10043</v>
      </c>
      <c r="H1412" t="s">
        <v>10560</v>
      </c>
      <c r="I1412" t="s">
        <v>28931</v>
      </c>
      <c r="J1412" t="s">
        <v>11100</v>
      </c>
      <c r="K1412" t="s">
        <v>7057</v>
      </c>
      <c r="L1412" s="7" t="s">
        <v>11101</v>
      </c>
      <c r="M1412">
        <v>9694</v>
      </c>
      <c r="N1412">
        <v>21</v>
      </c>
      <c r="O1412">
        <v>16</v>
      </c>
      <c r="P1412">
        <v>5</v>
      </c>
      <c r="Q1412">
        <v>5</v>
      </c>
      <c r="R1412">
        <v>1</v>
      </c>
      <c r="S1412">
        <v>4</v>
      </c>
      <c r="T1412">
        <v>0</v>
      </c>
      <c r="U1412" t="s">
        <v>11102</v>
      </c>
      <c r="V1412">
        <f>Tabla1[[#This Row],[Aboard]]-Tabla1[[#This Row],[Fatalities]]</f>
        <v>16</v>
      </c>
      <c r="W1412" s="50">
        <f>IFERROR(Tabla1[[#This Row],[Fatalities]]/Tabla1[[#This Row],[Aboard]],0)</f>
        <v>0.23809523809523808</v>
      </c>
      <c r="X1412" s="51" t="str" cm="1">
        <f t="array" ref="X1412">_xlfn.IFS(Tabla1[[#This Row],[Porcentaje de muertes]]&lt;0.35,"LEVE",AND(Tabla1[[#This Row],[Porcentaje de muertes]]&gt;0.35,Tabla1[[#This Row],[Porcentaje de muertes]]&lt;0.65),"MEDIO",Tabla1[[#This Row],[Porcentaje de muertes]]&gt;0.65,"GRAVE")</f>
        <v>LEVE</v>
      </c>
    </row>
    <row r="1413" spans="2:24" x14ac:dyDescent="0.3">
      <c r="B1413" s="9">
        <v>1412</v>
      </c>
      <c r="C1413" s="49">
        <v>19630</v>
      </c>
      <c r="D1413" s="9">
        <f>YEAR(Tabla1[[#This Row],[Date]])</f>
        <v>1953</v>
      </c>
      <c r="E1413" s="9" t="str" cm="1">
        <f t="array" ref="E1413">IFERROR(_xlfn.IFS(AND(D1413&lt;1980,D1413&gt;=1970),"70",AND(D1413&lt;1990,D1413&gt;=1980),"80",AND(D1413&lt;2000,D1413&gt;=1990),"90",AND(D1413&lt;2010,D1413&gt;=2000),"00",AND(D1413&lt;=2019,D1413&gt;=2010),"10"),"1908-1970")</f>
        <v>1908-1970</v>
      </c>
      <c r="F1413" s="3">
        <v>0.6791666666666667</v>
      </c>
      <c r="G1413" t="s">
        <v>11103</v>
      </c>
      <c r="H1413" t="s">
        <v>11104</v>
      </c>
      <c r="I1413" t="s">
        <v>28931</v>
      </c>
      <c r="J1413" t="s">
        <v>11105</v>
      </c>
      <c r="K1413" t="s">
        <v>9851</v>
      </c>
      <c r="L1413" s="7" t="s">
        <v>11106</v>
      </c>
      <c r="M1413">
        <v>22384</v>
      </c>
      <c r="N1413">
        <v>41</v>
      </c>
      <c r="O1413">
        <v>38</v>
      </c>
      <c r="P1413">
        <v>3</v>
      </c>
      <c r="Q1413">
        <v>25</v>
      </c>
      <c r="R1413">
        <v>22</v>
      </c>
      <c r="S1413">
        <v>3</v>
      </c>
      <c r="T1413">
        <v>0</v>
      </c>
      <c r="U1413" t="s">
        <v>11107</v>
      </c>
      <c r="V1413">
        <f>Tabla1[[#This Row],[Aboard]]-Tabla1[[#This Row],[Fatalities]]</f>
        <v>16</v>
      </c>
      <c r="W1413" s="50">
        <f>IFERROR(Tabla1[[#This Row],[Fatalities]]/Tabla1[[#This Row],[Aboard]],0)</f>
        <v>0.6097560975609756</v>
      </c>
      <c r="X1413" s="51" t="str" cm="1">
        <f t="array" ref="X1413">_xlfn.IFS(Tabla1[[#This Row],[Porcentaje de muertes]]&lt;0.35,"LEVE",AND(Tabla1[[#This Row],[Porcentaje de muertes]]&gt;0.35,Tabla1[[#This Row],[Porcentaje de muertes]]&lt;0.65),"MEDIO",Tabla1[[#This Row],[Porcentaje de muertes]]&gt;0.65,"GRAVE")</f>
        <v>MEDIO</v>
      </c>
    </row>
    <row r="1414" spans="2:24" x14ac:dyDescent="0.3">
      <c r="B1414" s="9">
        <v>1413</v>
      </c>
      <c r="C1414" s="49">
        <v>19646</v>
      </c>
      <c r="D1414" s="9">
        <f>YEAR(Tabla1[[#This Row],[Date]])</f>
        <v>1953</v>
      </c>
      <c r="E1414" s="9" t="str" cm="1">
        <f t="array" ref="E1414">IFERROR(_xlfn.IFS(AND(D1414&lt;1980,D1414&gt;=1970),"70",AND(D1414&lt;1990,D1414&gt;=1980),"80",AND(D1414&lt;2000,D1414&gt;=1990),"90",AND(D1414&lt;2010,D1414&gt;=2000),"00",AND(D1414&lt;=2019,D1414&gt;=2010),"10"),"1908-1970")</f>
        <v>1908-1970</v>
      </c>
      <c r="F1414" s="3">
        <v>0.62083333333333335</v>
      </c>
      <c r="G1414" t="s">
        <v>5590</v>
      </c>
      <c r="H1414" t="s">
        <v>5957</v>
      </c>
      <c r="I1414" t="s">
        <v>28931</v>
      </c>
      <c r="J1414" t="s">
        <v>11108</v>
      </c>
      <c r="K1414" t="s">
        <v>11109</v>
      </c>
      <c r="L1414" s="7" t="s">
        <v>11110</v>
      </c>
      <c r="M1414">
        <v>154</v>
      </c>
      <c r="N1414">
        <v>44</v>
      </c>
      <c r="O1414">
        <v>40</v>
      </c>
      <c r="P1414">
        <v>4</v>
      </c>
      <c r="Q1414">
        <v>44</v>
      </c>
      <c r="R1414">
        <v>40</v>
      </c>
      <c r="S1414">
        <v>4</v>
      </c>
      <c r="T1414">
        <v>0</v>
      </c>
      <c r="U1414" t="s">
        <v>11111</v>
      </c>
      <c r="V1414">
        <f>Tabla1[[#This Row],[Aboard]]-Tabla1[[#This Row],[Fatalities]]</f>
        <v>0</v>
      </c>
      <c r="W1414" s="50">
        <f>IFERROR(Tabla1[[#This Row],[Fatalities]]/Tabla1[[#This Row],[Aboard]],0)</f>
        <v>1</v>
      </c>
      <c r="X1414" s="51" t="str" cm="1">
        <f t="array" ref="X1414">_xlfn.IFS(Tabla1[[#This Row],[Porcentaje de muertes]]&lt;0.35,"LEVE",AND(Tabla1[[#This Row],[Porcentaje de muertes]]&gt;0.35,Tabla1[[#This Row],[Porcentaje de muertes]]&lt;0.65),"MEDIO",Tabla1[[#This Row],[Porcentaje de muertes]]&gt;0.65,"GRAVE")</f>
        <v>GRAVE</v>
      </c>
    </row>
    <row r="1415" spans="2:24" x14ac:dyDescent="0.3">
      <c r="B1415" s="9">
        <v>1414</v>
      </c>
      <c r="C1415" s="49">
        <v>19649</v>
      </c>
      <c r="D1415" s="9">
        <f>YEAR(Tabla1[[#This Row],[Date]])</f>
        <v>1953</v>
      </c>
      <c r="E1415" s="9" t="str" cm="1">
        <f t="array" ref="E1415">IFERROR(_xlfn.IFS(AND(D1415&lt;1980,D1415&gt;=1970),"70",AND(D1415&lt;1990,D1415&gt;=1980),"80",AND(D1415&lt;2000,D1415&gt;=1990),"90",AND(D1415&lt;2010,D1415&gt;=2000),"00",AND(D1415&lt;=2019,D1415&gt;=2010),"10"),"1908-1970")</f>
        <v>1908-1970</v>
      </c>
      <c r="F1415" s="3" t="s">
        <v>28931</v>
      </c>
      <c r="G1415" t="s">
        <v>10901</v>
      </c>
      <c r="H1415" t="s">
        <v>11112</v>
      </c>
      <c r="I1415" t="s">
        <v>28931</v>
      </c>
      <c r="J1415" t="s">
        <v>28931</v>
      </c>
      <c r="K1415" t="s">
        <v>8465</v>
      </c>
      <c r="L1415" s="7" t="s">
        <v>11113</v>
      </c>
      <c r="M1415">
        <v>25591</v>
      </c>
      <c r="N1415">
        <v>7</v>
      </c>
      <c r="O1415">
        <v>0</v>
      </c>
      <c r="P1415">
        <v>7</v>
      </c>
      <c r="Q1415">
        <v>2</v>
      </c>
      <c r="R1415">
        <v>0</v>
      </c>
      <c r="S1415">
        <v>2</v>
      </c>
      <c r="T1415">
        <v>0</v>
      </c>
      <c r="U1415" t="s">
        <v>11114</v>
      </c>
      <c r="V1415">
        <f>Tabla1[[#This Row],[Aboard]]-Tabla1[[#This Row],[Fatalities]]</f>
        <v>5</v>
      </c>
      <c r="W1415" s="50">
        <f>IFERROR(Tabla1[[#This Row],[Fatalities]]/Tabla1[[#This Row],[Aboard]],0)</f>
        <v>0.2857142857142857</v>
      </c>
      <c r="X1415" s="51" t="str" cm="1">
        <f t="array" ref="X1415">_xlfn.IFS(Tabla1[[#This Row],[Porcentaje de muertes]]&lt;0.35,"LEVE",AND(Tabla1[[#This Row],[Porcentaje de muertes]]&gt;0.35,Tabla1[[#This Row],[Porcentaje de muertes]]&lt;0.65),"MEDIO",Tabla1[[#This Row],[Porcentaje de muertes]]&gt;0.65,"GRAVE")</f>
        <v>LEVE</v>
      </c>
    </row>
    <row r="1416" spans="2:24" x14ac:dyDescent="0.3">
      <c r="B1416" s="9">
        <v>1415</v>
      </c>
      <c r="C1416" s="49">
        <v>19651</v>
      </c>
      <c r="D1416" s="9">
        <f>YEAR(Tabla1[[#This Row],[Date]])</f>
        <v>1953</v>
      </c>
      <c r="E1416" s="9" t="str" cm="1">
        <f t="array" ref="E1416">IFERROR(_xlfn.IFS(AND(D1416&lt;1980,D1416&gt;=1970),"70",AND(D1416&lt;1990,D1416&gt;=1980),"80",AND(D1416&lt;2000,D1416&gt;=1990),"90",AND(D1416&lt;2010,D1416&gt;=2000),"00",AND(D1416&lt;=2019,D1416&gt;=2010),"10"),"1908-1970")</f>
        <v>1908-1970</v>
      </c>
      <c r="F1416" s="3">
        <v>3.888888888888889E-2</v>
      </c>
      <c r="G1416" t="s">
        <v>8557</v>
      </c>
      <c r="H1416" t="s">
        <v>6941</v>
      </c>
      <c r="I1416">
        <v>627</v>
      </c>
      <c r="J1416" t="s">
        <v>11115</v>
      </c>
      <c r="K1416" t="s">
        <v>10167</v>
      </c>
      <c r="L1416" s="7" t="s">
        <v>11116</v>
      </c>
      <c r="M1416">
        <v>2616</v>
      </c>
      <c r="N1416">
        <v>27</v>
      </c>
      <c r="O1416">
        <v>22</v>
      </c>
      <c r="P1416">
        <v>5</v>
      </c>
      <c r="Q1416">
        <v>2</v>
      </c>
      <c r="R1416">
        <v>2</v>
      </c>
      <c r="S1416">
        <v>0</v>
      </c>
      <c r="T1416">
        <v>0</v>
      </c>
      <c r="U1416" t="s">
        <v>11117</v>
      </c>
      <c r="V1416">
        <f>Tabla1[[#This Row],[Aboard]]-Tabla1[[#This Row],[Fatalities]]</f>
        <v>25</v>
      </c>
      <c r="W1416" s="50">
        <f>IFERROR(Tabla1[[#This Row],[Fatalities]]/Tabla1[[#This Row],[Aboard]],0)</f>
        <v>7.407407407407407E-2</v>
      </c>
      <c r="X1416" s="51" t="str" cm="1">
        <f t="array" ref="X1416">_xlfn.IFS(Tabla1[[#This Row],[Porcentaje de muertes]]&lt;0.35,"LEVE",AND(Tabla1[[#This Row],[Porcentaje de muertes]]&gt;0.35,Tabla1[[#This Row],[Porcentaje de muertes]]&lt;0.65),"MEDIO",Tabla1[[#This Row],[Porcentaje de muertes]]&gt;0.65,"GRAVE")</f>
        <v>LEVE</v>
      </c>
    </row>
    <row r="1417" spans="2:24" x14ac:dyDescent="0.3">
      <c r="B1417" s="9">
        <v>1416</v>
      </c>
      <c r="C1417" s="49">
        <v>19651</v>
      </c>
      <c r="D1417" s="9">
        <f>YEAR(Tabla1[[#This Row],[Date]])</f>
        <v>1953</v>
      </c>
      <c r="E1417" s="9" t="str" cm="1">
        <f t="array" ref="E1417">IFERROR(_xlfn.IFS(AND(D1417&lt;1980,D1417&gt;=1970),"70",AND(D1417&lt;1990,D1417&gt;=1980),"80",AND(D1417&lt;2000,D1417&gt;=1990),"90",AND(D1417&lt;2010,D1417&gt;=2000),"00",AND(D1417&lt;=2019,D1417&gt;=2010),"10"),"1908-1970")</f>
        <v>1908-1970</v>
      </c>
      <c r="F1417" s="3">
        <v>0.2986111111111111</v>
      </c>
      <c r="G1417" t="s">
        <v>11118</v>
      </c>
      <c r="H1417" t="s">
        <v>11075</v>
      </c>
      <c r="I1417" t="s">
        <v>28931</v>
      </c>
      <c r="J1417" t="s">
        <v>11119</v>
      </c>
      <c r="K1417" t="s">
        <v>11120</v>
      </c>
      <c r="L1417" s="7" t="s">
        <v>11076</v>
      </c>
      <c r="M1417">
        <v>26403</v>
      </c>
      <c r="N1417">
        <v>21</v>
      </c>
      <c r="O1417">
        <v>18</v>
      </c>
      <c r="P1417">
        <v>3</v>
      </c>
      <c r="Q1417">
        <v>21</v>
      </c>
      <c r="R1417">
        <v>18</v>
      </c>
      <c r="S1417">
        <v>3</v>
      </c>
      <c r="T1417">
        <v>0</v>
      </c>
      <c r="U1417" t="s">
        <v>11121</v>
      </c>
      <c r="V1417">
        <f>Tabla1[[#This Row],[Aboard]]-Tabla1[[#This Row],[Fatalities]]</f>
        <v>0</v>
      </c>
      <c r="W1417" s="50">
        <f>IFERROR(Tabla1[[#This Row],[Fatalities]]/Tabla1[[#This Row],[Aboard]],0)</f>
        <v>1</v>
      </c>
      <c r="X1417" s="51" t="str" cm="1">
        <f t="array" ref="X1417">_xlfn.IFS(Tabla1[[#This Row],[Porcentaje de muertes]]&lt;0.35,"LEVE",AND(Tabla1[[#This Row],[Porcentaje de muertes]]&gt;0.35,Tabla1[[#This Row],[Porcentaje de muertes]]&lt;0.65),"MEDIO",Tabla1[[#This Row],[Porcentaje de muertes]]&gt;0.65,"GRAVE")</f>
        <v>GRAVE</v>
      </c>
    </row>
    <row r="1418" spans="2:24" x14ac:dyDescent="0.3">
      <c r="B1418" s="9">
        <v>1417</v>
      </c>
      <c r="C1418" s="49">
        <v>19659</v>
      </c>
      <c r="D1418" s="9">
        <f>YEAR(Tabla1[[#This Row],[Date]])</f>
        <v>1953</v>
      </c>
      <c r="E1418" s="9" t="str" cm="1">
        <f t="array" ref="E1418">IFERROR(_xlfn.IFS(AND(D1418&lt;1980,D1418&gt;=1970),"70",AND(D1418&lt;1990,D1418&gt;=1980),"80",AND(D1418&lt;2000,D1418&gt;=1990),"90",AND(D1418&lt;2010,D1418&gt;=2000),"00",AND(D1418&lt;=2019,D1418&gt;=2010),"10"),"1908-1970")</f>
        <v>1908-1970</v>
      </c>
      <c r="F1418" s="3">
        <v>0.47083333333333338</v>
      </c>
      <c r="G1418" t="s">
        <v>11122</v>
      </c>
      <c r="H1418" t="s">
        <v>6541</v>
      </c>
      <c r="I1418">
        <v>783</v>
      </c>
      <c r="J1418" t="s">
        <v>11123</v>
      </c>
      <c r="K1418" t="s">
        <v>9305</v>
      </c>
      <c r="L1418" s="7" t="s">
        <v>11124</v>
      </c>
      <c r="M1418">
        <v>93013102</v>
      </c>
      <c r="N1418">
        <v>32</v>
      </c>
      <c r="O1418">
        <v>27</v>
      </c>
      <c r="P1418">
        <v>5</v>
      </c>
      <c r="Q1418">
        <v>22</v>
      </c>
      <c r="R1418">
        <v>17</v>
      </c>
      <c r="S1418">
        <v>5</v>
      </c>
      <c r="T1418" t="s">
        <v>5038</v>
      </c>
      <c r="U1418" t="s">
        <v>11125</v>
      </c>
      <c r="V1418">
        <f>Tabla1[[#This Row],[Aboard]]-Tabla1[[#This Row],[Fatalities]]</f>
        <v>10</v>
      </c>
      <c r="W1418" s="50">
        <f>IFERROR(Tabla1[[#This Row],[Fatalities]]/Tabla1[[#This Row],[Aboard]],0)</f>
        <v>0.6875</v>
      </c>
      <c r="X1418" s="51" t="str" cm="1">
        <f t="array" ref="X1418">_xlfn.IFS(Tabla1[[#This Row],[Porcentaje de muertes]]&lt;0.35,"LEVE",AND(Tabla1[[#This Row],[Porcentaje de muertes]]&gt;0.35,Tabla1[[#This Row],[Porcentaje de muertes]]&lt;0.65),"MEDIO",Tabla1[[#This Row],[Porcentaje de muertes]]&gt;0.65,"GRAVE")</f>
        <v>GRAVE</v>
      </c>
    </row>
    <row r="1419" spans="2:24" x14ac:dyDescent="0.3">
      <c r="B1419" s="9">
        <v>1418</v>
      </c>
      <c r="C1419" s="49">
        <v>19661</v>
      </c>
      <c r="D1419" s="9">
        <f>YEAR(Tabla1[[#This Row],[Date]])</f>
        <v>1953</v>
      </c>
      <c r="E1419" s="9" t="str" cm="1">
        <f t="array" ref="E1419">IFERROR(_xlfn.IFS(AND(D1419&lt;1980,D1419&gt;=1970),"70",AND(D1419&lt;1990,D1419&gt;=1980),"80",AND(D1419&lt;2000,D1419&gt;=1990),"90",AND(D1419&lt;2010,D1419&gt;=2000),"00",AND(D1419&lt;=2019,D1419&gt;=2010),"10"),"1908-1970")</f>
        <v>1908-1970</v>
      </c>
      <c r="F1419" s="3">
        <v>0.36388888888888887</v>
      </c>
      <c r="G1419" t="s">
        <v>11126</v>
      </c>
      <c r="H1419" t="s">
        <v>11127</v>
      </c>
      <c r="I1419" t="s">
        <v>11128</v>
      </c>
      <c r="J1419" t="s">
        <v>11129</v>
      </c>
      <c r="K1419" t="s">
        <v>9230</v>
      </c>
      <c r="L1419" s="7" t="s">
        <v>11130</v>
      </c>
      <c r="M1419" t="s">
        <v>11131</v>
      </c>
      <c r="N1419">
        <v>19</v>
      </c>
      <c r="O1419">
        <v>11</v>
      </c>
      <c r="P1419">
        <v>8</v>
      </c>
      <c r="Q1419">
        <v>19</v>
      </c>
      <c r="R1419">
        <v>11</v>
      </c>
      <c r="S1419">
        <v>8</v>
      </c>
      <c r="T1419">
        <v>0</v>
      </c>
      <c r="U1419" t="s">
        <v>11132</v>
      </c>
      <c r="V1419">
        <f>Tabla1[[#This Row],[Aboard]]-Tabla1[[#This Row],[Fatalities]]</f>
        <v>0</v>
      </c>
      <c r="W1419" s="50">
        <f>IFERROR(Tabla1[[#This Row],[Fatalities]]/Tabla1[[#This Row],[Aboard]],0)</f>
        <v>1</v>
      </c>
      <c r="X1419" s="51" t="str" cm="1">
        <f t="array" ref="X1419">_xlfn.IFS(Tabla1[[#This Row],[Porcentaje de muertes]]&lt;0.35,"LEVE",AND(Tabla1[[#This Row],[Porcentaje de muertes]]&gt;0.35,Tabla1[[#This Row],[Porcentaje de muertes]]&lt;0.65),"MEDIO",Tabla1[[#This Row],[Porcentaje de muertes]]&gt;0.65,"GRAVE")</f>
        <v>GRAVE</v>
      </c>
    </row>
    <row r="1420" spans="2:24" x14ac:dyDescent="0.3">
      <c r="B1420" s="9">
        <v>1419</v>
      </c>
      <c r="C1420" s="49">
        <v>19663</v>
      </c>
      <c r="D1420" s="9">
        <f>YEAR(Tabla1[[#This Row],[Date]])</f>
        <v>1953</v>
      </c>
      <c r="E1420" s="9" t="str" cm="1">
        <f t="array" ref="E1420">IFERROR(_xlfn.IFS(AND(D1420&lt;1980,D1420&gt;=1970),"70",AND(D1420&lt;1990,D1420&gt;=1980),"80",AND(D1420&lt;2000,D1420&gt;=1990),"90",AND(D1420&lt;2010,D1420&gt;=2000),"00",AND(D1420&lt;=2019,D1420&gt;=2010),"10"),"1908-1970")</f>
        <v>1908-1970</v>
      </c>
      <c r="F1420" s="3">
        <v>2.0833333333333332E-2</v>
      </c>
      <c r="G1420" t="s">
        <v>11133</v>
      </c>
      <c r="H1420" t="s">
        <v>6541</v>
      </c>
      <c r="I1420">
        <v>270</v>
      </c>
      <c r="J1420" t="s">
        <v>11134</v>
      </c>
      <c r="K1420" t="s">
        <v>9145</v>
      </c>
      <c r="L1420" s="7" t="s">
        <v>11135</v>
      </c>
      <c r="M1420">
        <v>18432509</v>
      </c>
      <c r="N1420">
        <v>16</v>
      </c>
      <c r="O1420">
        <v>11</v>
      </c>
      <c r="P1420">
        <v>5</v>
      </c>
      <c r="Q1420">
        <v>15</v>
      </c>
      <c r="R1420">
        <v>10</v>
      </c>
      <c r="S1420">
        <v>5</v>
      </c>
      <c r="T1420">
        <v>0</v>
      </c>
      <c r="U1420" t="s">
        <v>11136</v>
      </c>
      <c r="V1420">
        <f>Tabla1[[#This Row],[Aboard]]-Tabla1[[#This Row],[Fatalities]]</f>
        <v>1</v>
      </c>
      <c r="W1420" s="50">
        <f>IFERROR(Tabla1[[#This Row],[Fatalities]]/Tabla1[[#This Row],[Aboard]],0)</f>
        <v>0.9375</v>
      </c>
      <c r="X1420" s="51" t="str" cm="1">
        <f t="array" ref="X1420">_xlfn.IFS(Tabla1[[#This Row],[Porcentaje de muertes]]&lt;0.35,"LEVE",AND(Tabla1[[#This Row],[Porcentaje de muertes]]&gt;0.35,Tabla1[[#This Row],[Porcentaje de muertes]]&lt;0.65),"MEDIO",Tabla1[[#This Row],[Porcentaje de muertes]]&gt;0.65,"GRAVE")</f>
        <v>GRAVE</v>
      </c>
    </row>
    <row r="1421" spans="2:24" x14ac:dyDescent="0.3">
      <c r="B1421" s="9">
        <v>1420</v>
      </c>
      <c r="C1421" s="49">
        <v>19429</v>
      </c>
      <c r="D1421" s="9">
        <f>YEAR(Tabla1[[#This Row],[Date]])</f>
        <v>1953</v>
      </c>
      <c r="E1421" s="9" t="str" cm="1">
        <f t="array" ref="E1421">IFERROR(_xlfn.IFS(AND(D1421&lt;1980,D1421&gt;=1970),"70",AND(D1421&lt;1990,D1421&gt;=1980),"80",AND(D1421&lt;2000,D1421&gt;=1990),"90",AND(D1421&lt;2010,D1421&gt;=2000),"00",AND(D1421&lt;=2019,D1421&gt;=2010),"10"),"1908-1970")</f>
        <v>1908-1970</v>
      </c>
      <c r="F1421" s="3" t="s">
        <v>28931</v>
      </c>
      <c r="G1421" t="s">
        <v>11137</v>
      </c>
      <c r="H1421" t="s">
        <v>6750</v>
      </c>
      <c r="I1421" t="s">
        <v>28931</v>
      </c>
      <c r="J1421" t="s">
        <v>11138</v>
      </c>
      <c r="K1421" t="s">
        <v>7057</v>
      </c>
      <c r="L1421" s="7" t="s">
        <v>11139</v>
      </c>
      <c r="M1421">
        <v>2181</v>
      </c>
      <c r="N1421">
        <v>28</v>
      </c>
      <c r="O1421">
        <v>25</v>
      </c>
      <c r="P1421">
        <v>3</v>
      </c>
      <c r="Q1421">
        <v>28</v>
      </c>
      <c r="R1421">
        <v>25</v>
      </c>
      <c r="S1421">
        <v>3</v>
      </c>
      <c r="T1421">
        <v>0</v>
      </c>
      <c r="U1421" t="s">
        <v>11140</v>
      </c>
      <c r="V1421">
        <f>Tabla1[[#This Row],[Aboard]]-Tabla1[[#This Row],[Fatalities]]</f>
        <v>0</v>
      </c>
      <c r="W1421" s="50">
        <f>IFERROR(Tabla1[[#This Row],[Fatalities]]/Tabla1[[#This Row],[Aboard]],0)</f>
        <v>1</v>
      </c>
      <c r="X1421" s="51" t="str" cm="1">
        <f t="array" ref="X1421">_xlfn.IFS(Tabla1[[#This Row],[Porcentaje de muertes]]&lt;0.35,"LEVE",AND(Tabla1[[#This Row],[Porcentaje de muertes]]&gt;0.35,Tabla1[[#This Row],[Porcentaje de muertes]]&lt;0.65),"MEDIO",Tabla1[[#This Row],[Porcentaje de muertes]]&gt;0.65,"GRAVE")</f>
        <v>GRAVE</v>
      </c>
    </row>
    <row r="1422" spans="2:24" x14ac:dyDescent="0.3">
      <c r="B1422" s="9">
        <v>1421</v>
      </c>
      <c r="C1422" s="49">
        <v>19674</v>
      </c>
      <c r="D1422" s="9">
        <f>YEAR(Tabla1[[#This Row],[Date]])</f>
        <v>1953</v>
      </c>
      <c r="E1422" s="9" t="str" cm="1">
        <f t="array" ref="E1422">IFERROR(_xlfn.IFS(AND(D1422&lt;1980,D1422&gt;=1970),"70",AND(D1422&lt;1990,D1422&gt;=1980),"80",AND(D1422&lt;2000,D1422&gt;=1990),"90",AND(D1422&lt;2010,D1422&gt;=2000),"00",AND(D1422&lt;=2019,D1422&gt;=2010),"10"),"1908-1970")</f>
        <v>1908-1970</v>
      </c>
      <c r="F1422" s="3">
        <v>0.72916666666666663</v>
      </c>
      <c r="G1422" t="s">
        <v>11141</v>
      </c>
      <c r="H1422" t="s">
        <v>7665</v>
      </c>
      <c r="I1422" t="s">
        <v>28931</v>
      </c>
      <c r="J1422" t="s">
        <v>6190</v>
      </c>
      <c r="K1422" t="s">
        <v>11142</v>
      </c>
      <c r="L1422" s="7" t="s">
        <v>11143</v>
      </c>
      <c r="M1422" t="s">
        <v>28931</v>
      </c>
      <c r="N1422">
        <v>10</v>
      </c>
      <c r="O1422">
        <v>0</v>
      </c>
      <c r="P1422">
        <v>10</v>
      </c>
      <c r="Q1422">
        <v>10</v>
      </c>
      <c r="R1422">
        <v>0</v>
      </c>
      <c r="S1422">
        <v>10</v>
      </c>
      <c r="T1422">
        <v>0</v>
      </c>
      <c r="U1422" t="s">
        <v>11144</v>
      </c>
      <c r="V1422">
        <f>Tabla1[[#This Row],[Aboard]]-Tabla1[[#This Row],[Fatalities]]</f>
        <v>0</v>
      </c>
      <c r="W1422" s="50">
        <f>IFERROR(Tabla1[[#This Row],[Fatalities]]/Tabla1[[#This Row],[Aboard]],0)</f>
        <v>1</v>
      </c>
      <c r="X1422" s="51" t="str" cm="1">
        <f t="array" ref="X1422">_xlfn.IFS(Tabla1[[#This Row],[Porcentaje de muertes]]&lt;0.35,"LEVE",AND(Tabla1[[#This Row],[Porcentaje de muertes]]&gt;0.35,Tabla1[[#This Row],[Porcentaje de muertes]]&lt;0.65),"MEDIO",Tabla1[[#This Row],[Porcentaje de muertes]]&gt;0.65,"GRAVE")</f>
        <v>GRAVE</v>
      </c>
    </row>
    <row r="1423" spans="2:24" x14ac:dyDescent="0.3">
      <c r="B1423" s="9">
        <v>1422</v>
      </c>
      <c r="C1423" s="49">
        <v>19461</v>
      </c>
      <c r="D1423" s="9">
        <f>YEAR(Tabla1[[#This Row],[Date]])</f>
        <v>1953</v>
      </c>
      <c r="E1423" s="9" t="str" cm="1">
        <f t="array" ref="E1423">IFERROR(_xlfn.IFS(AND(D1423&lt;1980,D1423&gt;=1970),"70",AND(D1423&lt;1990,D1423&gt;=1980),"80",AND(D1423&lt;2000,D1423&gt;=1990),"90",AND(D1423&lt;2010,D1423&gt;=2000),"00",AND(D1423&lt;=2019,D1423&gt;=2010),"10"),"1908-1970")</f>
        <v>1908-1970</v>
      </c>
      <c r="F1423" s="3">
        <v>0.70833333333333337</v>
      </c>
      <c r="G1423" t="s">
        <v>11145</v>
      </c>
      <c r="H1423" t="s">
        <v>11146</v>
      </c>
      <c r="I1423" t="s">
        <v>28931</v>
      </c>
      <c r="J1423" t="s">
        <v>11147</v>
      </c>
      <c r="K1423" t="s">
        <v>9876</v>
      </c>
      <c r="L1423" s="7" t="s">
        <v>11148</v>
      </c>
      <c r="M1423">
        <v>12797</v>
      </c>
      <c r="N1423">
        <v>33</v>
      </c>
      <c r="O1423">
        <v>28</v>
      </c>
      <c r="P1423">
        <v>5</v>
      </c>
      <c r="Q1423">
        <v>23</v>
      </c>
      <c r="R1423">
        <v>22</v>
      </c>
      <c r="S1423">
        <v>1</v>
      </c>
      <c r="T1423">
        <v>0</v>
      </c>
      <c r="U1423" t="s">
        <v>11149</v>
      </c>
      <c r="V1423">
        <f>Tabla1[[#This Row],[Aboard]]-Tabla1[[#This Row],[Fatalities]]</f>
        <v>10</v>
      </c>
      <c r="W1423" s="50">
        <f>IFERROR(Tabla1[[#This Row],[Fatalities]]/Tabla1[[#This Row],[Aboard]],0)</f>
        <v>0.69696969696969702</v>
      </c>
      <c r="X1423" s="51" t="str" cm="1">
        <f t="array" ref="X1423">_xlfn.IFS(Tabla1[[#This Row],[Porcentaje de muertes]]&lt;0.35,"LEVE",AND(Tabla1[[#This Row],[Porcentaje de muertes]]&gt;0.35,Tabla1[[#This Row],[Porcentaje de muertes]]&lt;0.65),"MEDIO",Tabla1[[#This Row],[Porcentaje de muertes]]&gt;0.65,"GRAVE")</f>
        <v>GRAVE</v>
      </c>
    </row>
    <row r="1424" spans="2:24" x14ac:dyDescent="0.3">
      <c r="B1424" s="9">
        <v>1423</v>
      </c>
      <c r="C1424" s="49">
        <v>19705</v>
      </c>
      <c r="D1424" s="9">
        <f>YEAR(Tabla1[[#This Row],[Date]])</f>
        <v>1953</v>
      </c>
      <c r="E1424" s="9" t="str" cm="1">
        <f t="array" ref="E1424">IFERROR(_xlfn.IFS(AND(D1424&lt;1980,D1424&gt;=1970),"70",AND(D1424&lt;1990,D1424&gt;=1980),"80",AND(D1424&lt;2000,D1424&gt;=1990),"90",AND(D1424&lt;2010,D1424&gt;=2000),"00",AND(D1424&lt;=2019,D1424&gt;=2010),"10"),"1908-1970")</f>
        <v>1908-1970</v>
      </c>
      <c r="F1424" s="3">
        <v>0.1423611111111111</v>
      </c>
      <c r="G1424" t="s">
        <v>10643</v>
      </c>
      <c r="H1424" t="s">
        <v>11150</v>
      </c>
      <c r="I1424" t="s">
        <v>28931</v>
      </c>
      <c r="J1424" t="s">
        <v>11151</v>
      </c>
      <c r="K1424" t="s">
        <v>7057</v>
      </c>
      <c r="L1424" s="7" t="s">
        <v>11152</v>
      </c>
      <c r="M1424">
        <v>11810</v>
      </c>
      <c r="N1424">
        <v>14</v>
      </c>
      <c r="O1424">
        <v>10</v>
      </c>
      <c r="P1424">
        <v>4</v>
      </c>
      <c r="Q1424">
        <v>13</v>
      </c>
      <c r="R1424">
        <v>10</v>
      </c>
      <c r="S1424">
        <v>3</v>
      </c>
      <c r="T1424">
        <v>0</v>
      </c>
      <c r="U1424" t="s">
        <v>11153</v>
      </c>
      <c r="V1424">
        <f>Tabla1[[#This Row],[Aboard]]-Tabla1[[#This Row],[Fatalities]]</f>
        <v>1</v>
      </c>
      <c r="W1424" s="50">
        <f>IFERROR(Tabla1[[#This Row],[Fatalities]]/Tabla1[[#This Row],[Aboard]],0)</f>
        <v>0.9285714285714286</v>
      </c>
      <c r="X1424" s="51" t="str" cm="1">
        <f t="array" ref="X1424">_xlfn.IFS(Tabla1[[#This Row],[Porcentaje de muertes]]&lt;0.35,"LEVE",AND(Tabla1[[#This Row],[Porcentaje de muertes]]&gt;0.35,Tabla1[[#This Row],[Porcentaje de muertes]]&lt;0.65),"MEDIO",Tabla1[[#This Row],[Porcentaje de muertes]]&gt;0.65,"GRAVE")</f>
        <v>GRAVE</v>
      </c>
    </row>
    <row r="1425" spans="2:24" x14ac:dyDescent="0.3">
      <c r="B1425" s="9">
        <v>1424</v>
      </c>
      <c r="C1425" s="49">
        <v>19708</v>
      </c>
      <c r="D1425" s="9">
        <f>YEAR(Tabla1[[#This Row],[Date]])</f>
        <v>1953</v>
      </c>
      <c r="E1425" s="9" t="str" cm="1">
        <f t="array" ref="E1425">IFERROR(_xlfn.IFS(AND(D1425&lt;1980,D1425&gt;=1970),"70",AND(D1425&lt;1990,D1425&gt;=1980),"80",AND(D1425&lt;2000,D1425&gt;=1990),"90",AND(D1425&lt;2010,D1425&gt;=2000),"00",AND(D1425&lt;=2019,D1425&gt;=2010),"10"),"1908-1970")</f>
        <v>1908-1970</v>
      </c>
      <c r="F1425" s="3" t="s">
        <v>28931</v>
      </c>
      <c r="G1425" t="s">
        <v>11154</v>
      </c>
      <c r="H1425" t="s">
        <v>11155</v>
      </c>
      <c r="I1425" t="s">
        <v>28931</v>
      </c>
      <c r="J1425" t="s">
        <v>11156</v>
      </c>
      <c r="K1425" t="s">
        <v>8433</v>
      </c>
      <c r="L1425" s="7" t="s">
        <v>11157</v>
      </c>
      <c r="M1425">
        <v>33589</v>
      </c>
      <c r="N1425">
        <v>2</v>
      </c>
      <c r="O1425">
        <v>0</v>
      </c>
      <c r="P1425">
        <v>2</v>
      </c>
      <c r="Q1425">
        <v>2</v>
      </c>
      <c r="R1425">
        <v>0</v>
      </c>
      <c r="S1425">
        <v>2</v>
      </c>
      <c r="T1425">
        <v>0</v>
      </c>
      <c r="U1425" t="s">
        <v>11158</v>
      </c>
      <c r="V1425">
        <f>Tabla1[[#This Row],[Aboard]]-Tabla1[[#This Row],[Fatalities]]</f>
        <v>0</v>
      </c>
      <c r="W1425" s="50">
        <f>IFERROR(Tabla1[[#This Row],[Fatalities]]/Tabla1[[#This Row],[Aboard]],0)</f>
        <v>1</v>
      </c>
      <c r="X1425" s="51" t="str" cm="1">
        <f t="array" ref="X1425">_xlfn.IFS(Tabla1[[#This Row],[Porcentaje de muertes]]&lt;0.35,"LEVE",AND(Tabla1[[#This Row],[Porcentaje de muertes]]&gt;0.35,Tabla1[[#This Row],[Porcentaje de muertes]]&lt;0.65),"MEDIO",Tabla1[[#This Row],[Porcentaje de muertes]]&gt;0.65,"GRAVE")</f>
        <v>GRAVE</v>
      </c>
    </row>
    <row r="1426" spans="2:24" x14ac:dyDescent="0.3">
      <c r="B1426" s="9">
        <v>1425</v>
      </c>
      <c r="C1426" s="49">
        <v>19708</v>
      </c>
      <c r="D1426" s="9">
        <f>YEAR(Tabla1[[#This Row],[Date]])</f>
        <v>1953</v>
      </c>
      <c r="E1426" s="9" t="str" cm="1">
        <f t="array" ref="E1426">IFERROR(_xlfn.IFS(AND(D1426&lt;1980,D1426&gt;=1970),"70",AND(D1426&lt;1990,D1426&gt;=1980),"80",AND(D1426&lt;2000,D1426&gt;=1990),"90",AND(D1426&lt;2010,D1426&gt;=2000),"00",AND(D1426&lt;=2019,D1426&gt;=2010),"10"),"1908-1970")</f>
        <v>1908-1970</v>
      </c>
      <c r="F1426" s="3" t="s">
        <v>28931</v>
      </c>
      <c r="G1426" t="s">
        <v>11159</v>
      </c>
      <c r="H1426" t="s">
        <v>11160</v>
      </c>
      <c r="I1426" t="s">
        <v>28931</v>
      </c>
      <c r="J1426" t="s">
        <v>11161</v>
      </c>
      <c r="K1426" t="s">
        <v>11162</v>
      </c>
      <c r="L1426" s="7" t="s">
        <v>11163</v>
      </c>
      <c r="M1426">
        <v>213</v>
      </c>
      <c r="N1426">
        <v>6</v>
      </c>
      <c r="O1426">
        <v>5</v>
      </c>
      <c r="P1426">
        <v>1</v>
      </c>
      <c r="Q1426">
        <v>6</v>
      </c>
      <c r="R1426">
        <v>5</v>
      </c>
      <c r="S1426">
        <v>1</v>
      </c>
      <c r="T1426" t="s">
        <v>5038</v>
      </c>
      <c r="U1426" t="s">
        <v>11164</v>
      </c>
      <c r="V1426">
        <f>Tabla1[[#This Row],[Aboard]]-Tabla1[[#This Row],[Fatalities]]</f>
        <v>0</v>
      </c>
      <c r="W1426" s="50">
        <f>IFERROR(Tabla1[[#This Row],[Fatalities]]/Tabla1[[#This Row],[Aboard]],0)</f>
        <v>1</v>
      </c>
      <c r="X1426" s="51" t="str" cm="1">
        <f t="array" ref="X1426">_xlfn.IFS(Tabla1[[#This Row],[Porcentaje de muertes]]&lt;0.35,"LEVE",AND(Tabla1[[#This Row],[Porcentaje de muertes]]&gt;0.35,Tabla1[[#This Row],[Porcentaje de muertes]]&lt;0.65),"MEDIO",Tabla1[[#This Row],[Porcentaje de muertes]]&gt;0.65,"GRAVE")</f>
        <v>GRAVE</v>
      </c>
    </row>
    <row r="1427" spans="2:24" x14ac:dyDescent="0.3">
      <c r="B1427" s="9">
        <v>1426</v>
      </c>
      <c r="C1427" s="49">
        <v>19710</v>
      </c>
      <c r="D1427" s="9">
        <f>YEAR(Tabla1[[#This Row],[Date]])</f>
        <v>1953</v>
      </c>
      <c r="E1427" s="9" t="str" cm="1">
        <f t="array" ref="E1427">IFERROR(_xlfn.IFS(AND(D1427&lt;1980,D1427&gt;=1970),"70",AND(D1427&lt;1990,D1427&gt;=1980),"80",AND(D1427&lt;2000,D1427&gt;=1990),"90",AND(D1427&lt;2010,D1427&gt;=2000),"00",AND(D1427&lt;=2019,D1427&gt;=2010),"10"),"1908-1970")</f>
        <v>1908-1970</v>
      </c>
      <c r="F1427" s="3">
        <v>0.28472222222222221</v>
      </c>
      <c r="G1427" t="s">
        <v>11165</v>
      </c>
      <c r="H1427" t="s">
        <v>7987</v>
      </c>
      <c r="I1427" t="s">
        <v>28931</v>
      </c>
      <c r="J1427" t="s">
        <v>28931</v>
      </c>
      <c r="K1427" t="s">
        <v>10075</v>
      </c>
      <c r="L1427" s="7" t="s">
        <v>11166</v>
      </c>
      <c r="M1427" t="s">
        <v>28931</v>
      </c>
      <c r="N1427">
        <v>16</v>
      </c>
      <c r="O1427">
        <v>6</v>
      </c>
      <c r="P1427">
        <v>10</v>
      </c>
      <c r="Q1427">
        <v>11</v>
      </c>
      <c r="R1427">
        <v>5</v>
      </c>
      <c r="S1427">
        <v>6</v>
      </c>
      <c r="T1427">
        <v>8</v>
      </c>
      <c r="U1427" t="s">
        <v>11167</v>
      </c>
      <c r="V1427">
        <f>Tabla1[[#This Row],[Aboard]]-Tabla1[[#This Row],[Fatalities]]</f>
        <v>5</v>
      </c>
      <c r="W1427" s="50">
        <f>IFERROR(Tabla1[[#This Row],[Fatalities]]/Tabla1[[#This Row],[Aboard]],0)</f>
        <v>0.6875</v>
      </c>
      <c r="X1427" s="51" t="str" cm="1">
        <f t="array" ref="X1427">_xlfn.IFS(Tabla1[[#This Row],[Porcentaje de muertes]]&lt;0.35,"LEVE",AND(Tabla1[[#This Row],[Porcentaje de muertes]]&gt;0.35,Tabla1[[#This Row],[Porcentaje de muertes]]&lt;0.65),"MEDIO",Tabla1[[#This Row],[Porcentaje de muertes]]&gt;0.65,"GRAVE")</f>
        <v>GRAVE</v>
      </c>
    </row>
    <row r="1428" spans="2:24" x14ac:dyDescent="0.3">
      <c r="B1428" s="9">
        <v>1427</v>
      </c>
      <c r="C1428" s="49">
        <v>19712</v>
      </c>
      <c r="D1428" s="9">
        <f>YEAR(Tabla1[[#This Row],[Date]])</f>
        <v>1953</v>
      </c>
      <c r="E1428" s="9" t="str" cm="1">
        <f t="array" ref="E1428">IFERROR(_xlfn.IFS(AND(D1428&lt;1980,D1428&gt;=1970),"70",AND(D1428&lt;1990,D1428&gt;=1980),"80",AND(D1428&lt;2000,D1428&gt;=1990),"90",AND(D1428&lt;2010,D1428&gt;=2000),"00",AND(D1428&lt;=2019,D1428&gt;=2010),"10"),"1908-1970")</f>
        <v>1908-1970</v>
      </c>
      <c r="F1428" s="3">
        <v>0.78819444444444453</v>
      </c>
      <c r="G1428" t="s">
        <v>10567</v>
      </c>
      <c r="H1428" t="s">
        <v>5957</v>
      </c>
      <c r="I1428" t="s">
        <v>28931</v>
      </c>
      <c r="J1428" t="s">
        <v>11168</v>
      </c>
      <c r="K1428" t="s">
        <v>11169</v>
      </c>
      <c r="L1428" s="7" t="s">
        <v>11170</v>
      </c>
      <c r="M1428">
        <v>128</v>
      </c>
      <c r="N1428">
        <v>44</v>
      </c>
      <c r="O1428">
        <v>41</v>
      </c>
      <c r="P1428">
        <v>3</v>
      </c>
      <c r="Q1428">
        <v>1</v>
      </c>
      <c r="R1428">
        <v>1</v>
      </c>
      <c r="S1428">
        <v>0</v>
      </c>
      <c r="T1428">
        <v>0</v>
      </c>
      <c r="U1428" t="s">
        <v>11171</v>
      </c>
      <c r="V1428">
        <f>Tabla1[[#This Row],[Aboard]]-Tabla1[[#This Row],[Fatalities]]</f>
        <v>43</v>
      </c>
      <c r="W1428" s="50">
        <f>IFERROR(Tabla1[[#This Row],[Fatalities]]/Tabla1[[#This Row],[Aboard]],0)</f>
        <v>2.2727272727272728E-2</v>
      </c>
      <c r="X1428" s="51" t="str" cm="1">
        <f t="array" ref="X1428">_xlfn.IFS(Tabla1[[#This Row],[Porcentaje de muertes]]&lt;0.35,"LEVE",AND(Tabla1[[#This Row],[Porcentaje de muertes]]&gt;0.35,Tabla1[[#This Row],[Porcentaje de muertes]]&lt;0.65),"MEDIO",Tabla1[[#This Row],[Porcentaje de muertes]]&gt;0.65,"GRAVE")</f>
        <v>LEVE</v>
      </c>
    </row>
    <row r="1429" spans="2:24" x14ac:dyDescent="0.3">
      <c r="B1429" s="9">
        <v>1428</v>
      </c>
      <c r="C1429" s="49">
        <v>19714</v>
      </c>
      <c r="D1429" s="9">
        <f>YEAR(Tabla1[[#This Row],[Date]])</f>
        <v>1953</v>
      </c>
      <c r="E1429" s="9" t="str" cm="1">
        <f t="array" ref="E1429">IFERROR(_xlfn.IFS(AND(D1429&lt;1980,D1429&gt;=1970),"70",AND(D1429&lt;1990,D1429&gt;=1980),"80",AND(D1429&lt;2000,D1429&gt;=1990),"90",AND(D1429&lt;2010,D1429&gt;=2000),"00",AND(D1429&lt;=2019,D1429&gt;=2010),"10"),"1908-1970")</f>
        <v>1908-1970</v>
      </c>
      <c r="F1429" s="3" t="s">
        <v>28931</v>
      </c>
      <c r="G1429" t="s">
        <v>11172</v>
      </c>
      <c r="H1429" t="s">
        <v>11173</v>
      </c>
      <c r="I1429" t="s">
        <v>28931</v>
      </c>
      <c r="J1429" t="s">
        <v>28931</v>
      </c>
      <c r="K1429" t="s">
        <v>7057</v>
      </c>
      <c r="L1429" s="7" t="s">
        <v>11174</v>
      </c>
      <c r="M1429" t="s">
        <v>11175</v>
      </c>
      <c r="N1429">
        <v>15</v>
      </c>
      <c r="O1429" t="s">
        <v>5038</v>
      </c>
      <c r="P1429" t="s">
        <v>5038</v>
      </c>
      <c r="Q1429">
        <v>9</v>
      </c>
      <c r="R1429" t="s">
        <v>5038</v>
      </c>
      <c r="S1429" t="s">
        <v>5038</v>
      </c>
      <c r="T1429">
        <v>0</v>
      </c>
      <c r="U1429" t="s">
        <v>28927</v>
      </c>
      <c r="V1429">
        <f>Tabla1[[#This Row],[Aboard]]-Tabla1[[#This Row],[Fatalities]]</f>
        <v>6</v>
      </c>
      <c r="W1429" s="50">
        <f>IFERROR(Tabla1[[#This Row],[Fatalities]]/Tabla1[[#This Row],[Aboard]],0)</f>
        <v>0.6</v>
      </c>
      <c r="X1429" s="51" t="str" cm="1">
        <f t="array" ref="X1429">_xlfn.IFS(Tabla1[[#This Row],[Porcentaje de muertes]]&lt;0.35,"LEVE",AND(Tabla1[[#This Row],[Porcentaje de muertes]]&gt;0.35,Tabla1[[#This Row],[Porcentaje de muertes]]&lt;0.65),"MEDIO",Tabla1[[#This Row],[Porcentaje de muertes]]&gt;0.65,"GRAVE")</f>
        <v>MEDIO</v>
      </c>
    </row>
    <row r="1430" spans="2:24" x14ac:dyDescent="0.3">
      <c r="B1430" s="9">
        <v>1429</v>
      </c>
      <c r="C1430" s="49">
        <v>19756</v>
      </c>
      <c r="D1430" s="9">
        <f>YEAR(Tabla1[[#This Row],[Date]])</f>
        <v>1954</v>
      </c>
      <c r="E1430" s="9" t="str" cm="1">
        <f t="array" ref="E1430">IFERROR(_xlfn.IFS(AND(D1430&lt;1980,D1430&gt;=1970),"70",AND(D1430&lt;1990,D1430&gt;=1980),"80",AND(D1430&lt;2000,D1430&gt;=1990),"90",AND(D1430&lt;2010,D1430&gt;=2000),"00",AND(D1430&lt;=2019,D1430&gt;=2010),"10"),"1908-1970")</f>
        <v>1908-1970</v>
      </c>
      <c r="F1430" s="3" t="s">
        <v>28931</v>
      </c>
      <c r="G1430" t="s">
        <v>11176</v>
      </c>
      <c r="H1430" t="s">
        <v>11177</v>
      </c>
      <c r="I1430" t="s">
        <v>28931</v>
      </c>
      <c r="J1430" t="s">
        <v>28931</v>
      </c>
      <c r="K1430" t="s">
        <v>7057</v>
      </c>
      <c r="L1430" s="7" t="s">
        <v>28931</v>
      </c>
      <c r="M1430" t="s">
        <v>28931</v>
      </c>
      <c r="N1430">
        <v>21</v>
      </c>
      <c r="O1430" t="s">
        <v>5038</v>
      </c>
      <c r="P1430" t="s">
        <v>5038</v>
      </c>
      <c r="Q1430">
        <v>21</v>
      </c>
      <c r="R1430" t="s">
        <v>5038</v>
      </c>
      <c r="S1430" t="s">
        <v>5038</v>
      </c>
      <c r="T1430">
        <v>0</v>
      </c>
      <c r="U1430" t="s">
        <v>11178</v>
      </c>
      <c r="V1430">
        <f>Tabla1[[#This Row],[Aboard]]-Tabla1[[#This Row],[Fatalities]]</f>
        <v>0</v>
      </c>
      <c r="W1430" s="50">
        <f>IFERROR(Tabla1[[#This Row],[Fatalities]]/Tabla1[[#This Row],[Aboard]],0)</f>
        <v>1</v>
      </c>
      <c r="X1430" s="51" t="str" cm="1">
        <f t="array" ref="X1430">_xlfn.IFS(Tabla1[[#This Row],[Porcentaje de muertes]]&lt;0.35,"LEVE",AND(Tabla1[[#This Row],[Porcentaje de muertes]]&gt;0.35,Tabla1[[#This Row],[Porcentaje de muertes]]&lt;0.65),"MEDIO",Tabla1[[#This Row],[Porcentaje de muertes]]&gt;0.65,"GRAVE")</f>
        <v>GRAVE</v>
      </c>
    </row>
    <row r="1431" spans="2:24" x14ac:dyDescent="0.3">
      <c r="B1431" s="9">
        <v>1430</v>
      </c>
      <c r="C1431" s="49">
        <v>19845</v>
      </c>
      <c r="D1431" s="9">
        <f>YEAR(Tabla1[[#This Row],[Date]])</f>
        <v>1954</v>
      </c>
      <c r="E1431" s="9" t="str" cm="1">
        <f t="array" ref="E1431">IFERROR(_xlfn.IFS(AND(D1431&lt;1980,D1431&gt;=1970),"70",AND(D1431&lt;1990,D1431&gt;=1980),"80",AND(D1431&lt;2000,D1431&gt;=1990),"90",AND(D1431&lt;2010,D1431&gt;=2000),"00",AND(D1431&lt;=2019,D1431&gt;=2010),"10"),"1908-1970")</f>
        <v>1908-1970</v>
      </c>
      <c r="F1431" s="3" t="s">
        <v>28931</v>
      </c>
      <c r="G1431" t="s">
        <v>11179</v>
      </c>
      <c r="H1431" t="s">
        <v>10560</v>
      </c>
      <c r="I1431" t="s">
        <v>28931</v>
      </c>
      <c r="J1431" t="s">
        <v>11180</v>
      </c>
      <c r="K1431" t="s">
        <v>7057</v>
      </c>
      <c r="L1431" s="7" t="s">
        <v>11181</v>
      </c>
      <c r="M1431">
        <v>19616</v>
      </c>
      <c r="N1431">
        <v>10</v>
      </c>
      <c r="O1431">
        <v>5</v>
      </c>
      <c r="P1431">
        <v>5</v>
      </c>
      <c r="Q1431">
        <v>4</v>
      </c>
      <c r="R1431">
        <v>2</v>
      </c>
      <c r="S1431">
        <v>2</v>
      </c>
      <c r="T1431">
        <v>0</v>
      </c>
      <c r="U1431" t="s">
        <v>11182</v>
      </c>
      <c r="V1431">
        <f>Tabla1[[#This Row],[Aboard]]-Tabla1[[#This Row],[Fatalities]]</f>
        <v>6</v>
      </c>
      <c r="W1431" s="50">
        <f>IFERROR(Tabla1[[#This Row],[Fatalities]]/Tabla1[[#This Row],[Aboard]],0)</f>
        <v>0.4</v>
      </c>
      <c r="X1431" s="51" t="str" cm="1">
        <f t="array" ref="X1431">_xlfn.IFS(Tabla1[[#This Row],[Porcentaje de muertes]]&lt;0.35,"LEVE",AND(Tabla1[[#This Row],[Porcentaje de muertes]]&gt;0.35,Tabla1[[#This Row],[Porcentaje de muertes]]&lt;0.65),"MEDIO",Tabla1[[#This Row],[Porcentaje de muertes]]&gt;0.65,"GRAVE")</f>
        <v>MEDIO</v>
      </c>
    </row>
    <row r="1432" spans="2:24" x14ac:dyDescent="0.3">
      <c r="B1432" s="9">
        <v>1431</v>
      </c>
      <c r="C1432" s="49">
        <v>19876</v>
      </c>
      <c r="D1432" s="9">
        <f>YEAR(Tabla1[[#This Row],[Date]])</f>
        <v>1954</v>
      </c>
      <c r="E1432" s="9" t="str" cm="1">
        <f t="array" ref="E1432">IFERROR(_xlfn.IFS(AND(D1432&lt;1980,D1432&gt;=1970),"70",AND(D1432&lt;1990,D1432&gt;=1980),"80",AND(D1432&lt;2000,D1432&gt;=1990),"90",AND(D1432&lt;2010,D1432&gt;=2000),"00",AND(D1432&lt;=2019,D1432&gt;=2010),"10"),"1908-1970")</f>
        <v>1908-1970</v>
      </c>
      <c r="F1432" s="3">
        <v>0.72222222222222221</v>
      </c>
      <c r="G1432" t="s">
        <v>11183</v>
      </c>
      <c r="H1432" t="s">
        <v>7660</v>
      </c>
      <c r="I1432" t="s">
        <v>28931</v>
      </c>
      <c r="J1432" t="s">
        <v>11184</v>
      </c>
      <c r="K1432" t="s">
        <v>11185</v>
      </c>
      <c r="L1432" s="7" t="s">
        <v>11186</v>
      </c>
      <c r="M1432">
        <v>599</v>
      </c>
      <c r="N1432">
        <v>17</v>
      </c>
      <c r="O1432">
        <v>13</v>
      </c>
      <c r="P1432">
        <v>4</v>
      </c>
      <c r="Q1432">
        <v>16</v>
      </c>
      <c r="R1432">
        <v>12</v>
      </c>
      <c r="S1432">
        <v>4</v>
      </c>
      <c r="T1432">
        <v>0</v>
      </c>
      <c r="U1432" t="s">
        <v>11187</v>
      </c>
      <c r="V1432">
        <f>Tabla1[[#This Row],[Aboard]]-Tabla1[[#This Row],[Fatalities]]</f>
        <v>1</v>
      </c>
      <c r="W1432" s="50">
        <f>IFERROR(Tabla1[[#This Row],[Fatalities]]/Tabla1[[#This Row],[Aboard]],0)</f>
        <v>0.94117647058823528</v>
      </c>
      <c r="X1432" s="51" t="str" cm="1">
        <f t="array" ref="X1432">_xlfn.IFS(Tabla1[[#This Row],[Porcentaje de muertes]]&lt;0.35,"LEVE",AND(Tabla1[[#This Row],[Porcentaje de muertes]]&gt;0.35,Tabla1[[#This Row],[Porcentaje de muertes]]&lt;0.65),"MEDIO",Tabla1[[#This Row],[Porcentaje de muertes]]&gt;0.65,"GRAVE")</f>
        <v>GRAVE</v>
      </c>
    </row>
    <row r="1433" spans="2:24" x14ac:dyDescent="0.3">
      <c r="B1433" s="9">
        <v>1432</v>
      </c>
      <c r="C1433" s="49">
        <v>19998</v>
      </c>
      <c r="D1433" s="9">
        <f>YEAR(Tabla1[[#This Row],[Date]])</f>
        <v>1954</v>
      </c>
      <c r="E1433" s="9" t="str" cm="1">
        <f t="array" ref="E1433">IFERROR(_xlfn.IFS(AND(D1433&lt;1980,D1433&gt;=1970),"70",AND(D1433&lt;1990,D1433&gt;=1980),"80",AND(D1433&lt;2000,D1433&gt;=1990),"90",AND(D1433&lt;2010,D1433&gt;=2000),"00",AND(D1433&lt;=2019,D1433&gt;=2010),"10"),"1908-1970")</f>
        <v>1908-1970</v>
      </c>
      <c r="F1433" s="3">
        <v>0.46180555555555558</v>
      </c>
      <c r="G1433" t="s">
        <v>11188</v>
      </c>
      <c r="H1433" t="s">
        <v>7521</v>
      </c>
      <c r="I1433">
        <v>781</v>
      </c>
      <c r="J1433" t="s">
        <v>11189</v>
      </c>
      <c r="K1433" t="s">
        <v>10992</v>
      </c>
      <c r="L1433" s="7" t="s">
        <v>11190</v>
      </c>
      <c r="M1433">
        <v>6003</v>
      </c>
      <c r="N1433">
        <v>35</v>
      </c>
      <c r="O1433">
        <v>29</v>
      </c>
      <c r="P1433">
        <v>6</v>
      </c>
      <c r="Q1433">
        <v>35</v>
      </c>
      <c r="R1433">
        <v>29</v>
      </c>
      <c r="S1433">
        <v>6</v>
      </c>
      <c r="T1433">
        <v>0</v>
      </c>
      <c r="U1433" t="s">
        <v>11191</v>
      </c>
      <c r="V1433">
        <f>Tabla1[[#This Row],[Aboard]]-Tabla1[[#This Row],[Fatalities]]</f>
        <v>0</v>
      </c>
      <c r="W1433" s="50">
        <f>IFERROR(Tabla1[[#This Row],[Fatalities]]/Tabla1[[#This Row],[Aboard]],0)</f>
        <v>1</v>
      </c>
      <c r="X1433" s="51" t="str" cm="1">
        <f t="array" ref="X1433">_xlfn.IFS(Tabla1[[#This Row],[Porcentaje de muertes]]&lt;0.35,"LEVE",AND(Tabla1[[#This Row],[Porcentaje de muertes]]&gt;0.35,Tabla1[[#This Row],[Porcentaje de muertes]]&lt;0.65),"MEDIO",Tabla1[[#This Row],[Porcentaje de muertes]]&gt;0.65,"GRAVE")</f>
        <v>GRAVE</v>
      </c>
    </row>
    <row r="1434" spans="2:24" x14ac:dyDescent="0.3">
      <c r="B1434" s="9">
        <v>1433</v>
      </c>
      <c r="C1434" s="49">
        <v>20029</v>
      </c>
      <c r="D1434" s="9">
        <f>YEAR(Tabla1[[#This Row],[Date]])</f>
        <v>1954</v>
      </c>
      <c r="E1434" s="9" t="str" cm="1">
        <f t="array" ref="E1434">IFERROR(_xlfn.IFS(AND(D1434&lt;1980,D1434&gt;=1970),"70",AND(D1434&lt;1990,D1434&gt;=1980),"80",AND(D1434&lt;2000,D1434&gt;=1990),"90",AND(D1434&lt;2010,D1434&gt;=2000),"00",AND(D1434&lt;=2019,D1434&gt;=2010),"10"),"1908-1970")</f>
        <v>1908-1970</v>
      </c>
      <c r="F1434" s="3">
        <v>0.26041666666666669</v>
      </c>
      <c r="G1434" t="s">
        <v>11192</v>
      </c>
      <c r="H1434" t="s">
        <v>8976</v>
      </c>
      <c r="I1434" t="s">
        <v>28931</v>
      </c>
      <c r="J1434" t="s">
        <v>11193</v>
      </c>
      <c r="K1434" t="s">
        <v>7057</v>
      </c>
      <c r="L1434" s="7" t="s">
        <v>11194</v>
      </c>
      <c r="M1434">
        <v>19540</v>
      </c>
      <c r="N1434">
        <v>21</v>
      </c>
      <c r="O1434">
        <v>18</v>
      </c>
      <c r="P1434">
        <v>3</v>
      </c>
      <c r="Q1434">
        <v>21</v>
      </c>
      <c r="R1434">
        <v>18</v>
      </c>
      <c r="S1434">
        <v>3</v>
      </c>
      <c r="T1434">
        <v>0</v>
      </c>
      <c r="U1434" t="s">
        <v>11195</v>
      </c>
      <c r="V1434">
        <f>Tabla1[[#This Row],[Aboard]]-Tabla1[[#This Row],[Fatalities]]</f>
        <v>0</v>
      </c>
      <c r="W1434" s="50">
        <f>IFERROR(Tabla1[[#This Row],[Fatalities]]/Tabla1[[#This Row],[Aboard]],0)</f>
        <v>1</v>
      </c>
      <c r="X1434" s="51" t="str" cm="1">
        <f t="array" ref="X1434">_xlfn.IFS(Tabla1[[#This Row],[Porcentaje de muertes]]&lt;0.35,"LEVE",AND(Tabla1[[#This Row],[Porcentaje de muertes]]&gt;0.35,Tabla1[[#This Row],[Porcentaje de muertes]]&lt;0.65),"MEDIO",Tabla1[[#This Row],[Porcentaje de muertes]]&gt;0.65,"GRAVE")</f>
        <v>GRAVE</v>
      </c>
    </row>
    <row r="1435" spans="2:24" x14ac:dyDescent="0.3">
      <c r="B1435" s="9">
        <v>1434</v>
      </c>
      <c r="C1435" s="49">
        <v>20059</v>
      </c>
      <c r="D1435" s="9">
        <f>YEAR(Tabla1[[#This Row],[Date]])</f>
        <v>1954</v>
      </c>
      <c r="E1435" s="9" t="str" cm="1">
        <f t="array" ref="E1435">IFERROR(_xlfn.IFS(AND(D1435&lt;1980,D1435&gt;=1970),"70",AND(D1435&lt;1990,D1435&gt;=1980),"80",AND(D1435&lt;2000,D1435&gt;=1990),"90",AND(D1435&lt;2010,D1435&gt;=2000),"00",AND(D1435&lt;=2019,D1435&gt;=2010),"10"),"1908-1970")</f>
        <v>1908-1970</v>
      </c>
      <c r="F1435" s="3">
        <v>0.57986111111111105</v>
      </c>
      <c r="G1435" t="s">
        <v>11196</v>
      </c>
      <c r="H1435" t="s">
        <v>11197</v>
      </c>
      <c r="I1435" t="s">
        <v>28931</v>
      </c>
      <c r="J1435" t="s">
        <v>11198</v>
      </c>
      <c r="K1435" t="s">
        <v>7959</v>
      </c>
      <c r="L1435" s="7" t="s">
        <v>11199</v>
      </c>
      <c r="M1435">
        <v>11854</v>
      </c>
      <c r="N1435">
        <v>18</v>
      </c>
      <c r="O1435">
        <v>14</v>
      </c>
      <c r="P1435">
        <v>4</v>
      </c>
      <c r="Q1435">
        <v>13</v>
      </c>
      <c r="R1435">
        <v>9</v>
      </c>
      <c r="S1435">
        <v>4</v>
      </c>
      <c r="T1435">
        <v>0</v>
      </c>
      <c r="U1435" t="s">
        <v>11200</v>
      </c>
      <c r="V1435">
        <f>Tabla1[[#This Row],[Aboard]]-Tabla1[[#This Row],[Fatalities]]</f>
        <v>5</v>
      </c>
      <c r="W1435" s="50">
        <f>IFERROR(Tabla1[[#This Row],[Fatalities]]/Tabla1[[#This Row],[Aboard]],0)</f>
        <v>0.72222222222222221</v>
      </c>
      <c r="X1435" s="51" t="str" cm="1">
        <f t="array" ref="X1435">_xlfn.IFS(Tabla1[[#This Row],[Porcentaje de muertes]]&lt;0.35,"LEVE",AND(Tabla1[[#This Row],[Porcentaje de muertes]]&gt;0.35,Tabla1[[#This Row],[Porcentaje de muertes]]&lt;0.65),"MEDIO",Tabla1[[#This Row],[Porcentaje de muertes]]&gt;0.65,"GRAVE")</f>
        <v>GRAVE</v>
      </c>
    </row>
    <row r="1436" spans="2:24" x14ac:dyDescent="0.3">
      <c r="B1436" s="9">
        <v>1435</v>
      </c>
      <c r="C1436" s="49">
        <v>19737</v>
      </c>
      <c r="D1436" s="9">
        <f>YEAR(Tabla1[[#This Row],[Date]])</f>
        <v>1954</v>
      </c>
      <c r="E1436" s="9" t="str" cm="1">
        <f t="array" ref="E1436">IFERROR(_xlfn.IFS(AND(D1436&lt;1980,D1436&gt;=1970),"70",AND(D1436&lt;1990,D1436&gt;=1980),"80",AND(D1436&lt;2000,D1436&gt;=1990),"90",AND(D1436&lt;2010,D1436&gt;=2000),"00",AND(D1436&lt;=2019,D1436&gt;=2010),"10"),"1908-1970")</f>
        <v>1908-1970</v>
      </c>
      <c r="F1436" s="3" t="s">
        <v>28931</v>
      </c>
      <c r="G1436" t="s">
        <v>11201</v>
      </c>
      <c r="H1436" t="s">
        <v>7987</v>
      </c>
      <c r="I1436" t="s">
        <v>28931</v>
      </c>
      <c r="J1436" t="s">
        <v>11202</v>
      </c>
      <c r="K1436" t="s">
        <v>11203</v>
      </c>
      <c r="L1436" s="7" t="s">
        <v>28931</v>
      </c>
      <c r="M1436" t="s">
        <v>28931</v>
      </c>
      <c r="N1436">
        <v>1</v>
      </c>
      <c r="O1436">
        <v>0</v>
      </c>
      <c r="P1436">
        <v>1</v>
      </c>
      <c r="Q1436">
        <v>1</v>
      </c>
      <c r="R1436">
        <v>0</v>
      </c>
      <c r="S1436">
        <v>1</v>
      </c>
      <c r="T1436">
        <v>6</v>
      </c>
      <c r="U1436" t="s">
        <v>11204</v>
      </c>
      <c r="V1436">
        <f>Tabla1[[#This Row],[Aboard]]-Tabla1[[#This Row],[Fatalities]]</f>
        <v>0</v>
      </c>
      <c r="W1436" s="50">
        <f>IFERROR(Tabla1[[#This Row],[Fatalities]]/Tabla1[[#This Row],[Aboard]],0)</f>
        <v>1</v>
      </c>
      <c r="X1436" s="51" t="str" cm="1">
        <f t="array" ref="X1436">_xlfn.IFS(Tabla1[[#This Row],[Porcentaje de muertes]]&lt;0.35,"LEVE",AND(Tabla1[[#This Row],[Porcentaje de muertes]]&gt;0.35,Tabla1[[#This Row],[Porcentaje de muertes]]&lt;0.65),"MEDIO",Tabla1[[#This Row],[Porcentaje de muertes]]&gt;0.65,"GRAVE")</f>
        <v>GRAVE</v>
      </c>
    </row>
    <row r="1437" spans="2:24" x14ac:dyDescent="0.3">
      <c r="B1437" s="9">
        <v>1436</v>
      </c>
      <c r="C1437" s="49">
        <v>19738</v>
      </c>
      <c r="D1437" s="9">
        <f>YEAR(Tabla1[[#This Row],[Date]])</f>
        <v>1954</v>
      </c>
      <c r="E1437" s="9" t="str" cm="1">
        <f t="array" ref="E1437">IFERROR(_xlfn.IFS(AND(D1437&lt;1980,D1437&gt;=1970),"70",AND(D1437&lt;1990,D1437&gt;=1980),"80",AND(D1437&lt;2000,D1437&gt;=1990),"90",AND(D1437&lt;2010,D1437&gt;=2000),"00",AND(D1437&lt;=2019,D1437&gt;=2010),"10"),"1908-1970")</f>
        <v>1908-1970</v>
      </c>
      <c r="F1437" s="3">
        <v>0.49305555555555558</v>
      </c>
      <c r="G1437" t="s">
        <v>7654</v>
      </c>
      <c r="H1437" t="s">
        <v>8992</v>
      </c>
      <c r="I1437" t="s">
        <v>28931</v>
      </c>
      <c r="J1437" t="s">
        <v>11205</v>
      </c>
      <c r="K1437" t="s">
        <v>9230</v>
      </c>
      <c r="L1437" s="7" t="s">
        <v>11206</v>
      </c>
      <c r="M1437" t="s">
        <v>11207</v>
      </c>
      <c r="N1437">
        <v>16</v>
      </c>
      <c r="O1437">
        <v>9</v>
      </c>
      <c r="P1437">
        <v>7</v>
      </c>
      <c r="Q1437">
        <v>16</v>
      </c>
      <c r="R1437">
        <v>9</v>
      </c>
      <c r="S1437">
        <v>7</v>
      </c>
      <c r="T1437">
        <v>0</v>
      </c>
      <c r="U1437" t="s">
        <v>11208</v>
      </c>
      <c r="V1437">
        <f>Tabla1[[#This Row],[Aboard]]-Tabla1[[#This Row],[Fatalities]]</f>
        <v>0</v>
      </c>
      <c r="W1437" s="50">
        <f>IFERROR(Tabla1[[#This Row],[Fatalities]]/Tabla1[[#This Row],[Aboard]],0)</f>
        <v>1</v>
      </c>
      <c r="X1437" s="51" t="str" cm="1">
        <f t="array" ref="X1437">_xlfn.IFS(Tabla1[[#This Row],[Porcentaje de muertes]]&lt;0.35,"LEVE",AND(Tabla1[[#This Row],[Porcentaje de muertes]]&gt;0.35,Tabla1[[#This Row],[Porcentaje de muertes]]&lt;0.65),"MEDIO",Tabla1[[#This Row],[Porcentaje de muertes]]&gt;0.65,"GRAVE")</f>
        <v>GRAVE</v>
      </c>
    </row>
    <row r="1438" spans="2:24" x14ac:dyDescent="0.3">
      <c r="B1438" s="9">
        <v>1437</v>
      </c>
      <c r="C1438" s="49">
        <v>19744</v>
      </c>
      <c r="D1438" s="9">
        <f>YEAR(Tabla1[[#This Row],[Date]])</f>
        <v>1954</v>
      </c>
      <c r="E1438" s="9" t="str" cm="1">
        <f t="array" ref="E1438">IFERROR(_xlfn.IFS(AND(D1438&lt;1980,D1438&gt;=1970),"70",AND(D1438&lt;1990,D1438&gt;=1980),"80",AND(D1438&lt;2000,D1438&gt;=1990),"90",AND(D1438&lt;2010,D1438&gt;=2000),"00",AND(D1438&lt;=2019,D1438&gt;=2010),"10"),"1908-1970")</f>
        <v>1908-1970</v>
      </c>
      <c r="F1438" s="3">
        <v>0.29722222222222222</v>
      </c>
      <c r="G1438" t="s">
        <v>5906</v>
      </c>
      <c r="H1438" t="s">
        <v>11209</v>
      </c>
      <c r="I1438" t="s">
        <v>28931</v>
      </c>
      <c r="J1438" t="s">
        <v>11210</v>
      </c>
      <c r="K1438" t="s">
        <v>6970</v>
      </c>
      <c r="L1438" s="7" t="s">
        <v>11211</v>
      </c>
      <c r="M1438">
        <v>4940</v>
      </c>
      <c r="N1438">
        <v>3</v>
      </c>
      <c r="O1438">
        <v>0</v>
      </c>
      <c r="P1438">
        <v>3</v>
      </c>
      <c r="Q1438">
        <v>3</v>
      </c>
      <c r="R1438">
        <v>0</v>
      </c>
      <c r="S1438">
        <v>3</v>
      </c>
      <c r="T1438">
        <v>0</v>
      </c>
      <c r="U1438" t="s">
        <v>11212</v>
      </c>
      <c r="V1438">
        <f>Tabla1[[#This Row],[Aboard]]-Tabla1[[#This Row],[Fatalities]]</f>
        <v>0</v>
      </c>
      <c r="W1438" s="50">
        <f>IFERROR(Tabla1[[#This Row],[Fatalities]]/Tabla1[[#This Row],[Aboard]],0)</f>
        <v>1</v>
      </c>
      <c r="X1438" s="51" t="str" cm="1">
        <f t="array" ref="X1438">_xlfn.IFS(Tabla1[[#This Row],[Porcentaje de muertes]]&lt;0.35,"LEVE",AND(Tabla1[[#This Row],[Porcentaje de muertes]]&gt;0.35,Tabla1[[#This Row],[Porcentaje de muertes]]&lt;0.65),"MEDIO",Tabla1[[#This Row],[Porcentaje de muertes]]&gt;0.65,"GRAVE")</f>
        <v>GRAVE</v>
      </c>
    </row>
    <row r="1439" spans="2:24" x14ac:dyDescent="0.3">
      <c r="B1439" s="9">
        <v>1438</v>
      </c>
      <c r="C1439" s="49">
        <v>19726</v>
      </c>
      <c r="D1439" s="9">
        <f>YEAR(Tabla1[[#This Row],[Date]])</f>
        <v>1954</v>
      </c>
      <c r="E1439" s="9" t="str" cm="1">
        <f t="array" ref="E1439">IFERROR(_xlfn.IFS(AND(D1439&lt;1980,D1439&gt;=1970),"70",AND(D1439&lt;1990,D1439&gt;=1980),"80",AND(D1439&lt;2000,D1439&gt;=1990),"90",AND(D1439&lt;2010,D1439&gt;=2000),"00",AND(D1439&lt;=2019,D1439&gt;=2010),"10"),"1908-1970")</f>
        <v>1908-1970</v>
      </c>
      <c r="F1439" s="3">
        <v>0.57638888888888895</v>
      </c>
      <c r="G1439" t="s">
        <v>11213</v>
      </c>
      <c r="H1439" t="s">
        <v>7987</v>
      </c>
      <c r="I1439" t="s">
        <v>28931</v>
      </c>
      <c r="J1439" t="s">
        <v>11214</v>
      </c>
      <c r="K1439" t="s">
        <v>11215</v>
      </c>
      <c r="L1439" s="7" t="s">
        <v>11216</v>
      </c>
      <c r="M1439">
        <v>33423</v>
      </c>
      <c r="N1439">
        <v>35</v>
      </c>
      <c r="O1439">
        <v>30</v>
      </c>
      <c r="P1439">
        <v>5</v>
      </c>
      <c r="Q1439">
        <v>35</v>
      </c>
      <c r="R1439">
        <v>30</v>
      </c>
      <c r="S1439">
        <v>5</v>
      </c>
      <c r="T1439">
        <v>0</v>
      </c>
      <c r="U1439" t="s">
        <v>11217</v>
      </c>
      <c r="V1439">
        <f>Tabla1[[#This Row],[Aboard]]-Tabla1[[#This Row],[Fatalities]]</f>
        <v>0</v>
      </c>
      <c r="W1439" s="50">
        <f>IFERROR(Tabla1[[#This Row],[Fatalities]]/Tabla1[[#This Row],[Aboard]],0)</f>
        <v>1</v>
      </c>
      <c r="X1439" s="51" t="str" cm="1">
        <f t="array" ref="X1439">_xlfn.IFS(Tabla1[[#This Row],[Porcentaje de muertes]]&lt;0.35,"LEVE",AND(Tabla1[[#This Row],[Porcentaje de muertes]]&gt;0.35,Tabla1[[#This Row],[Porcentaje de muertes]]&lt;0.65),"MEDIO",Tabla1[[#This Row],[Porcentaje de muertes]]&gt;0.65,"GRAVE")</f>
        <v>GRAVE</v>
      </c>
    </row>
    <row r="1440" spans="2:24" x14ac:dyDescent="0.3">
      <c r="B1440" s="9">
        <v>1439</v>
      </c>
      <c r="C1440" s="49">
        <v>19846</v>
      </c>
      <c r="D1440" s="9">
        <f>YEAR(Tabla1[[#This Row],[Date]])</f>
        <v>1954</v>
      </c>
      <c r="E1440" s="9" t="str" cm="1">
        <f t="array" ref="E1440">IFERROR(_xlfn.IFS(AND(D1440&lt;1980,D1440&gt;=1970),"70",AND(D1440&lt;1990,D1440&gt;=1980),"80",AND(D1440&lt;2000,D1440&gt;=1990),"90",AND(D1440&lt;2010,D1440&gt;=2000),"00",AND(D1440&lt;=2019,D1440&gt;=2010),"10"),"1908-1970")</f>
        <v>1908-1970</v>
      </c>
      <c r="F1440" s="3" t="s">
        <v>28931</v>
      </c>
      <c r="G1440" t="s">
        <v>11218</v>
      </c>
      <c r="H1440" t="s">
        <v>7987</v>
      </c>
      <c r="I1440" t="s">
        <v>28931</v>
      </c>
      <c r="J1440" t="s">
        <v>11219</v>
      </c>
      <c r="K1440" t="s">
        <v>7826</v>
      </c>
      <c r="L1440" s="7">
        <v>5895</v>
      </c>
      <c r="M1440" t="s">
        <v>28931</v>
      </c>
      <c r="N1440">
        <v>16</v>
      </c>
      <c r="O1440">
        <v>0</v>
      </c>
      <c r="P1440">
        <v>16</v>
      </c>
      <c r="Q1440">
        <v>10</v>
      </c>
      <c r="R1440">
        <v>0</v>
      </c>
      <c r="S1440">
        <v>10</v>
      </c>
      <c r="T1440">
        <v>0</v>
      </c>
      <c r="U1440" t="s">
        <v>11220</v>
      </c>
      <c r="V1440">
        <f>Tabla1[[#This Row],[Aboard]]-Tabla1[[#This Row],[Fatalities]]</f>
        <v>6</v>
      </c>
      <c r="W1440" s="50">
        <f>IFERROR(Tabla1[[#This Row],[Fatalities]]/Tabla1[[#This Row],[Aboard]],0)</f>
        <v>0.625</v>
      </c>
      <c r="X1440" s="51" t="str" cm="1">
        <f t="array" ref="X1440">_xlfn.IFS(Tabla1[[#This Row],[Porcentaje de muertes]]&lt;0.35,"LEVE",AND(Tabla1[[#This Row],[Porcentaje de muertes]]&gt;0.35,Tabla1[[#This Row],[Porcentaje de muertes]]&lt;0.65),"MEDIO",Tabla1[[#This Row],[Porcentaje de muertes]]&gt;0.65,"GRAVE")</f>
        <v>MEDIO</v>
      </c>
    </row>
    <row r="1441" spans="2:24" x14ac:dyDescent="0.3">
      <c r="B1441" s="9">
        <v>1440</v>
      </c>
      <c r="C1441" s="49">
        <v>20060</v>
      </c>
      <c r="D1441" s="9">
        <f>YEAR(Tabla1[[#This Row],[Date]])</f>
        <v>1954</v>
      </c>
      <c r="E1441" s="9" t="str" cm="1">
        <f t="array" ref="E1441">IFERROR(_xlfn.IFS(AND(D1441&lt;1980,D1441&gt;=1970),"70",AND(D1441&lt;1990,D1441&gt;=1980),"80",AND(D1441&lt;2000,D1441&gt;=1990),"90",AND(D1441&lt;2010,D1441&gt;=2000),"00",AND(D1441&lt;=2019,D1441&gt;=2010),"10"),"1908-1970")</f>
        <v>1908-1970</v>
      </c>
      <c r="F1441" s="3" t="s">
        <v>28931</v>
      </c>
      <c r="G1441" t="s">
        <v>11221</v>
      </c>
      <c r="H1441" t="s">
        <v>7665</v>
      </c>
      <c r="I1441" t="s">
        <v>28931</v>
      </c>
      <c r="J1441" t="s">
        <v>11222</v>
      </c>
      <c r="K1441" t="s">
        <v>11142</v>
      </c>
      <c r="L1441" s="7" t="s">
        <v>11223</v>
      </c>
      <c r="M1441" t="s">
        <v>28931</v>
      </c>
      <c r="N1441">
        <v>10</v>
      </c>
      <c r="O1441">
        <v>0</v>
      </c>
      <c r="P1441">
        <v>10</v>
      </c>
      <c r="Q1441">
        <v>10</v>
      </c>
      <c r="R1441">
        <v>0</v>
      </c>
      <c r="S1441">
        <v>10</v>
      </c>
      <c r="T1441">
        <v>0</v>
      </c>
      <c r="U1441" t="s">
        <v>11224</v>
      </c>
      <c r="V1441">
        <f>Tabla1[[#This Row],[Aboard]]-Tabla1[[#This Row],[Fatalities]]</f>
        <v>0</v>
      </c>
      <c r="W1441" s="50">
        <f>IFERROR(Tabla1[[#This Row],[Fatalities]]/Tabla1[[#This Row],[Aboard]],0)</f>
        <v>1</v>
      </c>
      <c r="X1441" s="51" t="str" cm="1">
        <f t="array" ref="X1441">_xlfn.IFS(Tabla1[[#This Row],[Porcentaje de muertes]]&lt;0.35,"LEVE",AND(Tabla1[[#This Row],[Porcentaje de muertes]]&gt;0.35,Tabla1[[#This Row],[Porcentaje de muertes]]&lt;0.65),"MEDIO",Tabla1[[#This Row],[Porcentaje de muertes]]&gt;0.65,"GRAVE")</f>
        <v>GRAVE</v>
      </c>
    </row>
    <row r="1442" spans="2:24" x14ac:dyDescent="0.3">
      <c r="B1442" s="9">
        <v>1441</v>
      </c>
      <c r="C1442" s="49">
        <v>19780</v>
      </c>
      <c r="D1442" s="9">
        <f>YEAR(Tabla1[[#This Row],[Date]])</f>
        <v>1954</v>
      </c>
      <c r="E1442" s="9" t="str" cm="1">
        <f t="array" ref="E1442">IFERROR(_xlfn.IFS(AND(D1442&lt;1980,D1442&gt;=1970),"70",AND(D1442&lt;1990,D1442&gt;=1980),"80",AND(D1442&lt;2000,D1442&gt;=1990),"90",AND(D1442&lt;2010,D1442&gt;=2000),"00",AND(D1442&lt;=2019,D1442&gt;=2010),"10"),"1908-1970")</f>
        <v>1908-1970</v>
      </c>
      <c r="F1442" s="3">
        <v>0.45833333333333331</v>
      </c>
      <c r="G1442" t="s">
        <v>10999</v>
      </c>
      <c r="H1442" t="s">
        <v>11150</v>
      </c>
      <c r="I1442" t="s">
        <v>28931</v>
      </c>
      <c r="J1442" t="s">
        <v>5028</v>
      </c>
      <c r="K1442" t="s">
        <v>7057</v>
      </c>
      <c r="L1442" s="7" t="s">
        <v>11225</v>
      </c>
      <c r="M1442">
        <v>20358</v>
      </c>
      <c r="N1442">
        <v>3</v>
      </c>
      <c r="O1442">
        <v>0</v>
      </c>
      <c r="P1442">
        <v>3</v>
      </c>
      <c r="Q1442">
        <v>3</v>
      </c>
      <c r="R1442">
        <v>0</v>
      </c>
      <c r="S1442">
        <v>3</v>
      </c>
      <c r="T1442">
        <v>0</v>
      </c>
      <c r="U1442" t="s">
        <v>11226</v>
      </c>
      <c r="V1442">
        <f>Tabla1[[#This Row],[Aboard]]-Tabla1[[#This Row],[Fatalities]]</f>
        <v>0</v>
      </c>
      <c r="W1442" s="50">
        <f>IFERROR(Tabla1[[#This Row],[Fatalities]]/Tabla1[[#This Row],[Aboard]],0)</f>
        <v>1</v>
      </c>
      <c r="X1442" s="51" t="str" cm="1">
        <f t="array" ref="X1442">_xlfn.IFS(Tabla1[[#This Row],[Porcentaje de muertes]]&lt;0.35,"LEVE",AND(Tabla1[[#This Row],[Porcentaje de muertes]]&gt;0.35,Tabla1[[#This Row],[Porcentaje de muertes]]&lt;0.65),"MEDIO",Tabla1[[#This Row],[Porcentaje de muertes]]&gt;0.65,"GRAVE")</f>
        <v>GRAVE</v>
      </c>
    </row>
    <row r="1443" spans="2:24" x14ac:dyDescent="0.3">
      <c r="B1443" s="9">
        <v>1442</v>
      </c>
      <c r="C1443" s="49">
        <v>19781</v>
      </c>
      <c r="D1443" s="9">
        <f>YEAR(Tabla1[[#This Row],[Date]])</f>
        <v>1954</v>
      </c>
      <c r="E1443" s="9" t="str" cm="1">
        <f t="array" ref="E1443">IFERROR(_xlfn.IFS(AND(D1443&lt;1980,D1443&gt;=1970),"70",AND(D1443&lt;1990,D1443&gt;=1980),"80",AND(D1443&lt;2000,D1443&gt;=1990),"90",AND(D1443&lt;2010,D1443&gt;=2000),"00",AND(D1443&lt;=2019,D1443&gt;=2010),"10"),"1908-1970")</f>
        <v>1908-1970</v>
      </c>
      <c r="F1443" s="3">
        <v>0.43888888888888888</v>
      </c>
      <c r="G1443" t="s">
        <v>11227</v>
      </c>
      <c r="H1443" t="s">
        <v>7873</v>
      </c>
      <c r="I1443">
        <v>314</v>
      </c>
      <c r="J1443" t="s">
        <v>11228</v>
      </c>
      <c r="K1443" t="s">
        <v>11169</v>
      </c>
      <c r="L1443" s="7" t="s">
        <v>11229</v>
      </c>
      <c r="M1443">
        <v>37</v>
      </c>
      <c r="N1443">
        <v>9</v>
      </c>
      <c r="O1443">
        <v>6</v>
      </c>
      <c r="P1443">
        <v>3</v>
      </c>
      <c r="Q1443">
        <v>9</v>
      </c>
      <c r="R1443">
        <v>6</v>
      </c>
      <c r="S1443">
        <v>3</v>
      </c>
      <c r="T1443">
        <v>0</v>
      </c>
      <c r="U1443" t="s">
        <v>11230</v>
      </c>
      <c r="V1443">
        <f>Tabla1[[#This Row],[Aboard]]-Tabla1[[#This Row],[Fatalities]]</f>
        <v>0</v>
      </c>
      <c r="W1443" s="50">
        <f>IFERROR(Tabla1[[#This Row],[Fatalities]]/Tabla1[[#This Row],[Aboard]],0)</f>
        <v>1</v>
      </c>
      <c r="X1443" s="51" t="str" cm="1">
        <f t="array" ref="X1443">_xlfn.IFS(Tabla1[[#This Row],[Porcentaje de muertes]]&lt;0.35,"LEVE",AND(Tabla1[[#This Row],[Porcentaje de muertes]]&gt;0.35,Tabla1[[#This Row],[Porcentaje de muertes]]&lt;0.65),"MEDIO",Tabla1[[#This Row],[Porcentaje de muertes]]&gt;0.65,"GRAVE")</f>
        <v>GRAVE</v>
      </c>
    </row>
    <row r="1444" spans="2:24" x14ac:dyDescent="0.3">
      <c r="B1444" s="9">
        <v>1443</v>
      </c>
      <c r="C1444" s="49">
        <v>19817</v>
      </c>
      <c r="D1444" s="9">
        <f>YEAR(Tabla1[[#This Row],[Date]])</f>
        <v>1954</v>
      </c>
      <c r="E1444" s="9" t="str" cm="1">
        <f t="array" ref="E1444">IFERROR(_xlfn.IFS(AND(D1444&lt;1980,D1444&gt;=1970),"70",AND(D1444&lt;1990,D1444&gt;=1980),"80",AND(D1444&lt;2000,D1444&gt;=1990),"90",AND(D1444&lt;2010,D1444&gt;=2000),"00",AND(D1444&lt;=2019,D1444&gt;=2010),"10"),"1908-1970")</f>
        <v>1908-1970</v>
      </c>
      <c r="F1444" s="3">
        <v>0.60416666666666663</v>
      </c>
      <c r="G1444" t="s">
        <v>11231</v>
      </c>
      <c r="H1444" t="s">
        <v>7987</v>
      </c>
      <c r="I1444" t="s">
        <v>28931</v>
      </c>
      <c r="J1444" t="s">
        <v>11232</v>
      </c>
      <c r="K1444" t="s">
        <v>7953</v>
      </c>
      <c r="L1444" s="7" t="s">
        <v>11233</v>
      </c>
      <c r="M1444">
        <v>9958</v>
      </c>
      <c r="N1444">
        <v>20</v>
      </c>
      <c r="O1444">
        <v>18</v>
      </c>
      <c r="P1444">
        <v>2</v>
      </c>
      <c r="Q1444">
        <v>20</v>
      </c>
      <c r="R1444">
        <v>18</v>
      </c>
      <c r="S1444">
        <v>2</v>
      </c>
      <c r="T1444">
        <v>0</v>
      </c>
      <c r="U1444" t="s">
        <v>11234</v>
      </c>
      <c r="V1444">
        <f>Tabla1[[#This Row],[Aboard]]-Tabla1[[#This Row],[Fatalities]]</f>
        <v>0</v>
      </c>
      <c r="W1444" s="50">
        <f>IFERROR(Tabla1[[#This Row],[Fatalities]]/Tabla1[[#This Row],[Aboard]],0)</f>
        <v>1</v>
      </c>
      <c r="X1444" s="51" t="str" cm="1">
        <f t="array" ref="X1444">_xlfn.IFS(Tabla1[[#This Row],[Porcentaje de muertes]]&lt;0.35,"LEVE",AND(Tabla1[[#This Row],[Porcentaje de muertes]]&gt;0.35,Tabla1[[#This Row],[Porcentaje de muertes]]&lt;0.65),"MEDIO",Tabla1[[#This Row],[Porcentaje de muertes]]&gt;0.65,"GRAVE")</f>
        <v>GRAVE</v>
      </c>
    </row>
    <row r="1445" spans="2:24" x14ac:dyDescent="0.3">
      <c r="B1445" s="9">
        <v>1444</v>
      </c>
      <c r="C1445" s="49">
        <v>19796</v>
      </c>
      <c r="D1445" s="9">
        <f>YEAR(Tabla1[[#This Row],[Date]])</f>
        <v>1954</v>
      </c>
      <c r="E1445" s="9" t="str" cm="1">
        <f t="array" ref="E1445">IFERROR(_xlfn.IFS(AND(D1445&lt;1980,D1445&gt;=1970),"70",AND(D1445&lt;1990,D1445&gt;=1980),"80",AND(D1445&lt;2000,D1445&gt;=1990),"90",AND(D1445&lt;2010,D1445&gt;=2000),"00",AND(D1445&lt;=2019,D1445&gt;=2010),"10"),"1908-1970")</f>
        <v>1908-1970</v>
      </c>
      <c r="F1445" s="3" t="s">
        <v>28931</v>
      </c>
      <c r="G1445" t="s">
        <v>11235</v>
      </c>
      <c r="H1445" t="s">
        <v>9530</v>
      </c>
      <c r="I1445" t="s">
        <v>28931</v>
      </c>
      <c r="J1445" t="s">
        <v>28931</v>
      </c>
      <c r="K1445" t="s">
        <v>11236</v>
      </c>
      <c r="L1445" s="7" t="s">
        <v>28931</v>
      </c>
      <c r="M1445" t="s">
        <v>28931</v>
      </c>
      <c r="N1445" t="s">
        <v>5038</v>
      </c>
      <c r="O1445" t="s">
        <v>5038</v>
      </c>
      <c r="P1445" t="s">
        <v>5038</v>
      </c>
      <c r="Q1445" t="s">
        <v>5038</v>
      </c>
      <c r="R1445" t="s">
        <v>5038</v>
      </c>
      <c r="S1445" t="s">
        <v>5038</v>
      </c>
      <c r="T1445" t="s">
        <v>5038</v>
      </c>
      <c r="U1445" t="s">
        <v>11237</v>
      </c>
      <c r="V1445" t="s">
        <v>5038</v>
      </c>
      <c r="W1445" s="50">
        <f>IFERROR(Tabla1[[#This Row],[Fatalities]]/Tabla1[[#This Row],[Aboard]],0)</f>
        <v>0</v>
      </c>
      <c r="X1445" s="51" t="str" cm="1">
        <f t="array" ref="X1445">_xlfn.IFS(Tabla1[[#This Row],[Porcentaje de muertes]]&lt;0.35,"LEVE",AND(Tabla1[[#This Row],[Porcentaje de muertes]]&gt;0.35,Tabla1[[#This Row],[Porcentaje de muertes]]&lt;0.65),"MEDIO",Tabla1[[#This Row],[Porcentaje de muertes]]&gt;0.65,"GRAVE")</f>
        <v>LEVE</v>
      </c>
    </row>
    <row r="1446" spans="2:24" x14ac:dyDescent="0.3">
      <c r="B1446" s="9">
        <v>1445</v>
      </c>
      <c r="C1446" s="49">
        <v>19796</v>
      </c>
      <c r="D1446" s="9">
        <f>YEAR(Tabla1[[#This Row],[Date]])</f>
        <v>1954</v>
      </c>
      <c r="E1446" s="9" t="str" cm="1">
        <f t="array" ref="E1446">IFERROR(_xlfn.IFS(AND(D1446&lt;1980,D1446&gt;=1970),"70",AND(D1446&lt;1990,D1446&gt;=1980),"80",AND(D1446&lt;2000,D1446&gt;=1990),"90",AND(D1446&lt;2010,D1446&gt;=2000),"00",AND(D1446&lt;=2019,D1446&gt;=2010),"10"),"1908-1970")</f>
        <v>1908-1970</v>
      </c>
      <c r="F1446" s="3">
        <v>0.6069444444444444</v>
      </c>
      <c r="G1446" t="s">
        <v>11238</v>
      </c>
      <c r="H1446" t="s">
        <v>7521</v>
      </c>
      <c r="I1446" t="s">
        <v>28931</v>
      </c>
      <c r="J1446" t="s">
        <v>11239</v>
      </c>
      <c r="K1446" t="s">
        <v>11240</v>
      </c>
      <c r="L1446" s="7" t="s">
        <v>11241</v>
      </c>
      <c r="M1446">
        <v>2554</v>
      </c>
      <c r="N1446">
        <v>40</v>
      </c>
      <c r="O1446">
        <v>31</v>
      </c>
      <c r="P1446">
        <v>9</v>
      </c>
      <c r="Q1446">
        <v>33</v>
      </c>
      <c r="R1446">
        <v>31</v>
      </c>
      <c r="S1446">
        <v>2</v>
      </c>
      <c r="T1446">
        <v>0</v>
      </c>
      <c r="U1446" t="s">
        <v>11242</v>
      </c>
      <c r="V1446">
        <f>Tabla1[[#This Row],[Aboard]]-Tabla1[[#This Row],[Fatalities]]</f>
        <v>7</v>
      </c>
      <c r="W1446" s="50">
        <f>IFERROR(Tabla1[[#This Row],[Fatalities]]/Tabla1[[#This Row],[Aboard]],0)</f>
        <v>0.82499999999999996</v>
      </c>
      <c r="X1446" s="51" t="str" cm="1">
        <f t="array" ref="X1446">_xlfn.IFS(Tabla1[[#This Row],[Porcentaje de muertes]]&lt;0.35,"LEVE",AND(Tabla1[[#This Row],[Porcentaje de muertes]]&gt;0.35,Tabla1[[#This Row],[Porcentaje de muertes]]&lt;0.65),"MEDIO",Tabla1[[#This Row],[Porcentaje de muertes]]&gt;0.65,"GRAVE")</f>
        <v>GRAVE</v>
      </c>
    </row>
    <row r="1447" spans="2:24" x14ac:dyDescent="0.3">
      <c r="B1447" s="9">
        <v>1446</v>
      </c>
      <c r="C1447" s="49">
        <v>19797</v>
      </c>
      <c r="D1447" s="9">
        <f>YEAR(Tabla1[[#This Row],[Date]])</f>
        <v>1954</v>
      </c>
      <c r="E1447" s="9" t="str" cm="1">
        <f t="array" ref="E1447">IFERROR(_xlfn.IFS(AND(D1447&lt;1980,D1447&gt;=1970),"70",AND(D1447&lt;1990,D1447&gt;=1980),"80",AND(D1447&lt;2000,D1447&gt;=1990),"90",AND(D1447&lt;2010,D1447&gt;=2000),"00",AND(D1447&lt;=2019,D1447&gt;=2010),"10"),"1908-1970")</f>
        <v>1908-1970</v>
      </c>
      <c r="F1447" s="3">
        <v>0.18055555555555555</v>
      </c>
      <c r="G1447" t="s">
        <v>11243</v>
      </c>
      <c r="H1447" t="s">
        <v>9776</v>
      </c>
      <c r="I1447" t="s">
        <v>28931</v>
      </c>
      <c r="J1447" t="s">
        <v>11244</v>
      </c>
      <c r="K1447" t="s">
        <v>8105</v>
      </c>
      <c r="L1447" s="7" t="s">
        <v>11245</v>
      </c>
      <c r="M1447">
        <v>12360</v>
      </c>
      <c r="N1447">
        <v>2</v>
      </c>
      <c r="O1447">
        <v>0</v>
      </c>
      <c r="P1447">
        <v>2</v>
      </c>
      <c r="Q1447">
        <v>2</v>
      </c>
      <c r="R1447">
        <v>0</v>
      </c>
      <c r="S1447">
        <v>2</v>
      </c>
      <c r="T1447">
        <v>0</v>
      </c>
      <c r="U1447" t="s">
        <v>11246</v>
      </c>
      <c r="V1447">
        <f>Tabla1[[#This Row],[Aboard]]-Tabla1[[#This Row],[Fatalities]]</f>
        <v>0</v>
      </c>
      <c r="W1447" s="50">
        <f>IFERROR(Tabla1[[#This Row],[Fatalities]]/Tabla1[[#This Row],[Aboard]],0)</f>
        <v>1</v>
      </c>
      <c r="X1447" s="51" t="str" cm="1">
        <f t="array" ref="X1447">_xlfn.IFS(Tabla1[[#This Row],[Porcentaje de muertes]]&lt;0.35,"LEVE",AND(Tabla1[[#This Row],[Porcentaje de muertes]]&gt;0.35,Tabla1[[#This Row],[Porcentaje de muertes]]&lt;0.65),"MEDIO",Tabla1[[#This Row],[Porcentaje de muertes]]&gt;0.65,"GRAVE")</f>
        <v>GRAVE</v>
      </c>
    </row>
    <row r="1448" spans="2:24" x14ac:dyDescent="0.3">
      <c r="B1448" s="9">
        <v>1447</v>
      </c>
      <c r="C1448" s="49">
        <v>19802</v>
      </c>
      <c r="D1448" s="9">
        <f>YEAR(Tabla1[[#This Row],[Date]])</f>
        <v>1954</v>
      </c>
      <c r="E1448" s="9" t="str" cm="1">
        <f t="array" ref="E1448">IFERROR(_xlfn.IFS(AND(D1448&lt;1980,D1448&gt;=1970),"70",AND(D1448&lt;1990,D1448&gt;=1980),"80",AND(D1448&lt;2000,D1448&gt;=1990),"90",AND(D1448&lt;2010,D1448&gt;=2000),"00",AND(D1448&lt;=2019,D1448&gt;=2010),"10"),"1908-1970")</f>
        <v>1908-1970</v>
      </c>
      <c r="F1448" s="3">
        <v>0.9375</v>
      </c>
      <c r="G1448" t="s">
        <v>11247</v>
      </c>
      <c r="H1448" t="s">
        <v>7987</v>
      </c>
      <c r="I1448" t="s">
        <v>28931</v>
      </c>
      <c r="J1448" t="s">
        <v>11248</v>
      </c>
      <c r="K1448" t="s">
        <v>11249</v>
      </c>
      <c r="L1448" s="7" t="s">
        <v>11250</v>
      </c>
      <c r="M1448">
        <v>10732</v>
      </c>
      <c r="N1448">
        <v>18</v>
      </c>
      <c r="O1448">
        <v>12</v>
      </c>
      <c r="P1448">
        <v>6</v>
      </c>
      <c r="Q1448">
        <v>18</v>
      </c>
      <c r="R1448">
        <v>12</v>
      </c>
      <c r="S1448">
        <v>6</v>
      </c>
      <c r="T1448">
        <v>0</v>
      </c>
      <c r="U1448" t="s">
        <v>11251</v>
      </c>
      <c r="V1448">
        <f>Tabla1[[#This Row],[Aboard]]-Tabla1[[#This Row],[Fatalities]]</f>
        <v>0</v>
      </c>
      <c r="W1448" s="50">
        <f>IFERROR(Tabla1[[#This Row],[Fatalities]]/Tabla1[[#This Row],[Aboard]],0)</f>
        <v>1</v>
      </c>
      <c r="X1448" s="51" t="str" cm="1">
        <f t="array" ref="X1448">_xlfn.IFS(Tabla1[[#This Row],[Porcentaje de muertes]]&lt;0.35,"LEVE",AND(Tabla1[[#This Row],[Porcentaje de muertes]]&gt;0.35,Tabla1[[#This Row],[Porcentaje de muertes]]&lt;0.65),"MEDIO",Tabla1[[#This Row],[Porcentaje de muertes]]&gt;0.65,"GRAVE")</f>
        <v>GRAVE</v>
      </c>
    </row>
    <row r="1449" spans="2:24" x14ac:dyDescent="0.3">
      <c r="B1449" s="9">
        <v>1448</v>
      </c>
      <c r="C1449" s="49">
        <v>19809</v>
      </c>
      <c r="D1449" s="9">
        <f>YEAR(Tabla1[[#This Row],[Date]])</f>
        <v>1954</v>
      </c>
      <c r="E1449" s="9" t="str" cm="1">
        <f t="array" ref="E1449">IFERROR(_xlfn.IFS(AND(D1449&lt;1980,D1449&gt;=1970),"70",AND(D1449&lt;1990,D1449&gt;=1980),"80",AND(D1449&lt;2000,D1449&gt;=1990),"90",AND(D1449&lt;2010,D1449&gt;=2000),"00",AND(D1449&lt;=2019,D1449&gt;=2010),"10"),"1908-1970")</f>
        <v>1908-1970</v>
      </c>
      <c r="F1449" s="3" t="s">
        <v>28931</v>
      </c>
      <c r="G1449" t="s">
        <v>11252</v>
      </c>
      <c r="H1449" t="s">
        <v>11253</v>
      </c>
      <c r="I1449" t="s">
        <v>28931</v>
      </c>
      <c r="J1449" t="s">
        <v>11254</v>
      </c>
      <c r="K1449" t="s">
        <v>7057</v>
      </c>
      <c r="L1449" s="7" t="s">
        <v>11255</v>
      </c>
      <c r="M1449">
        <v>7358</v>
      </c>
      <c r="N1449">
        <v>18</v>
      </c>
      <c r="O1449">
        <v>15</v>
      </c>
      <c r="P1449">
        <v>3</v>
      </c>
      <c r="Q1449">
        <v>18</v>
      </c>
      <c r="R1449">
        <v>15</v>
      </c>
      <c r="S1449">
        <v>3</v>
      </c>
      <c r="T1449">
        <v>0</v>
      </c>
      <c r="U1449" t="s">
        <v>11256</v>
      </c>
      <c r="V1449">
        <f>Tabla1[[#This Row],[Aboard]]-Tabla1[[#This Row],[Fatalities]]</f>
        <v>0</v>
      </c>
      <c r="W1449" s="50">
        <f>IFERROR(Tabla1[[#This Row],[Fatalities]]/Tabla1[[#This Row],[Aboard]],0)</f>
        <v>1</v>
      </c>
      <c r="X1449" s="51" t="str" cm="1">
        <f t="array" ref="X1449">_xlfn.IFS(Tabla1[[#This Row],[Porcentaje de muertes]]&lt;0.35,"LEVE",AND(Tabla1[[#This Row],[Porcentaje de muertes]]&gt;0.35,Tabla1[[#This Row],[Porcentaje de muertes]]&lt;0.65),"MEDIO",Tabla1[[#This Row],[Porcentaje de muertes]]&gt;0.65,"GRAVE")</f>
        <v>GRAVE</v>
      </c>
    </row>
    <row r="1450" spans="2:24" x14ac:dyDescent="0.3">
      <c r="B1450" s="9">
        <v>1449</v>
      </c>
      <c r="C1450" s="49">
        <v>19787</v>
      </c>
      <c r="D1450" s="9">
        <f>YEAR(Tabla1[[#This Row],[Date]])</f>
        <v>1954</v>
      </c>
      <c r="E1450" s="9" t="str" cm="1">
        <f t="array" ref="E1450">IFERROR(_xlfn.IFS(AND(D1450&lt;1980,D1450&gt;=1970),"70",AND(D1450&lt;1990,D1450&gt;=1980),"80",AND(D1450&lt;2000,D1450&gt;=1990),"90",AND(D1450&lt;2010,D1450&gt;=2000),"00",AND(D1450&lt;=2019,D1450&gt;=2010),"10"),"1908-1970")</f>
        <v>1908-1970</v>
      </c>
      <c r="F1450" s="3">
        <v>0.56944444444444442</v>
      </c>
      <c r="G1450" t="s">
        <v>11257</v>
      </c>
      <c r="H1450" t="s">
        <v>10560</v>
      </c>
      <c r="I1450" t="s">
        <v>28931</v>
      </c>
      <c r="J1450" t="s">
        <v>11258</v>
      </c>
      <c r="K1450" t="s">
        <v>7057</v>
      </c>
      <c r="L1450" s="7" t="s">
        <v>11259</v>
      </c>
      <c r="M1450">
        <v>19509</v>
      </c>
      <c r="N1450">
        <v>25</v>
      </c>
      <c r="O1450">
        <v>20</v>
      </c>
      <c r="P1450">
        <v>5</v>
      </c>
      <c r="Q1450">
        <v>25</v>
      </c>
      <c r="R1450">
        <v>20</v>
      </c>
      <c r="S1450">
        <v>5</v>
      </c>
      <c r="T1450">
        <v>0</v>
      </c>
      <c r="U1450" t="s">
        <v>11260</v>
      </c>
      <c r="V1450">
        <f>Tabla1[[#This Row],[Aboard]]-Tabla1[[#This Row],[Fatalities]]</f>
        <v>0</v>
      </c>
      <c r="W1450" s="50">
        <f>IFERROR(Tabla1[[#This Row],[Fatalities]]/Tabla1[[#This Row],[Aboard]],0)</f>
        <v>1</v>
      </c>
      <c r="X1450" s="51" t="str" cm="1">
        <f t="array" ref="X1450">_xlfn.IFS(Tabla1[[#This Row],[Porcentaje de muertes]]&lt;0.35,"LEVE",AND(Tabla1[[#This Row],[Porcentaje de muertes]]&gt;0.35,Tabla1[[#This Row],[Porcentaje de muertes]]&lt;0.65),"MEDIO",Tabla1[[#This Row],[Porcentaje de muertes]]&gt;0.65,"GRAVE")</f>
        <v>GRAVE</v>
      </c>
    </row>
    <row r="1451" spans="2:24" x14ac:dyDescent="0.3">
      <c r="B1451" s="9">
        <v>1450</v>
      </c>
      <c r="C1451" s="49">
        <v>19818</v>
      </c>
      <c r="D1451" s="9">
        <f>YEAR(Tabla1[[#This Row],[Date]])</f>
        <v>1954</v>
      </c>
      <c r="E1451" s="9" t="str" cm="1">
        <f t="array" ref="E1451">IFERROR(_xlfn.IFS(AND(D1451&lt;1980,D1451&gt;=1970),"70",AND(D1451&lt;1990,D1451&gt;=1980),"80",AND(D1451&lt;2000,D1451&gt;=1990),"90",AND(D1451&lt;2010,D1451&gt;=2000),"00",AND(D1451&lt;=2019,D1451&gt;=2010),"10"),"1908-1970")</f>
        <v>1908-1970</v>
      </c>
      <c r="F1451" s="3" t="s">
        <v>28931</v>
      </c>
      <c r="G1451" t="s">
        <v>11261</v>
      </c>
      <c r="H1451" t="s">
        <v>11262</v>
      </c>
      <c r="I1451" t="s">
        <v>28931</v>
      </c>
      <c r="J1451" t="s">
        <v>28931</v>
      </c>
      <c r="K1451" t="s">
        <v>7894</v>
      </c>
      <c r="L1451" s="7" t="s">
        <v>11263</v>
      </c>
      <c r="M1451">
        <v>10341</v>
      </c>
      <c r="N1451">
        <v>4</v>
      </c>
      <c r="O1451">
        <v>0</v>
      </c>
      <c r="P1451">
        <v>4</v>
      </c>
      <c r="Q1451">
        <v>4</v>
      </c>
      <c r="R1451">
        <v>0</v>
      </c>
      <c r="S1451">
        <v>4</v>
      </c>
      <c r="T1451">
        <v>0</v>
      </c>
      <c r="U1451" t="s">
        <v>11264</v>
      </c>
      <c r="V1451">
        <f>Tabla1[[#This Row],[Aboard]]-Tabla1[[#This Row],[Fatalities]]</f>
        <v>0</v>
      </c>
      <c r="W1451" s="50">
        <f>IFERROR(Tabla1[[#This Row],[Fatalities]]/Tabla1[[#This Row],[Aboard]],0)</f>
        <v>1</v>
      </c>
      <c r="X1451" s="51" t="str" cm="1">
        <f t="array" ref="X1451">_xlfn.IFS(Tabla1[[#This Row],[Porcentaje de muertes]]&lt;0.35,"LEVE",AND(Tabla1[[#This Row],[Porcentaje de muertes]]&gt;0.35,Tabla1[[#This Row],[Porcentaje de muertes]]&lt;0.65),"MEDIO",Tabla1[[#This Row],[Porcentaje de muertes]]&gt;0.65,"GRAVE")</f>
        <v>GRAVE</v>
      </c>
    </row>
    <row r="1452" spans="2:24" x14ac:dyDescent="0.3">
      <c r="B1452" s="9">
        <v>1451</v>
      </c>
      <c r="C1452" s="49">
        <v>19940</v>
      </c>
      <c r="D1452" s="9">
        <f>YEAR(Tabla1[[#This Row],[Date]])</f>
        <v>1954</v>
      </c>
      <c r="E1452" s="9" t="str" cm="1">
        <f t="array" ref="E1452">IFERROR(_xlfn.IFS(AND(D1452&lt;1980,D1452&gt;=1970),"70",AND(D1452&lt;1990,D1452&gt;=1980),"80",AND(D1452&lt;2000,D1452&gt;=1990),"90",AND(D1452&lt;2010,D1452&gt;=2000),"00",AND(D1452&lt;=2019,D1452&gt;=2010),"10"),"1908-1970")</f>
        <v>1908-1970</v>
      </c>
      <c r="F1452" s="3">
        <v>0.83611111111111114</v>
      </c>
      <c r="G1452" t="s">
        <v>11265</v>
      </c>
      <c r="H1452" t="s">
        <v>11266</v>
      </c>
      <c r="I1452">
        <v>201</v>
      </c>
      <c r="J1452" t="s">
        <v>9032</v>
      </c>
      <c r="K1452" t="s">
        <v>10992</v>
      </c>
      <c r="L1452" s="7" t="s">
        <v>11267</v>
      </c>
      <c r="M1452">
        <v>6011</v>
      </c>
      <c r="N1452">
        <v>21</v>
      </c>
      <c r="O1452">
        <v>14</v>
      </c>
      <c r="P1452">
        <v>7</v>
      </c>
      <c r="Q1452">
        <v>21</v>
      </c>
      <c r="R1452">
        <v>14</v>
      </c>
      <c r="S1452">
        <v>7</v>
      </c>
      <c r="T1452">
        <v>0</v>
      </c>
      <c r="U1452" t="s">
        <v>11268</v>
      </c>
      <c r="V1452">
        <f>Tabla1[[#This Row],[Aboard]]-Tabla1[[#This Row],[Fatalities]]</f>
        <v>0</v>
      </c>
      <c r="W1452" s="50">
        <f>IFERROR(Tabla1[[#This Row],[Fatalities]]/Tabla1[[#This Row],[Aboard]],0)</f>
        <v>1</v>
      </c>
      <c r="X1452" s="51" t="str" cm="1">
        <f t="array" ref="X1452">_xlfn.IFS(Tabla1[[#This Row],[Porcentaje de muertes]]&lt;0.35,"LEVE",AND(Tabla1[[#This Row],[Porcentaje de muertes]]&gt;0.35,Tabla1[[#This Row],[Porcentaje de muertes]]&lt;0.65),"MEDIO",Tabla1[[#This Row],[Porcentaje de muertes]]&gt;0.65,"GRAVE")</f>
        <v>GRAVE</v>
      </c>
    </row>
    <row r="1453" spans="2:24" x14ac:dyDescent="0.3">
      <c r="B1453" s="9">
        <v>1452</v>
      </c>
      <c r="C1453" s="49">
        <v>19940</v>
      </c>
      <c r="D1453" s="9">
        <f>YEAR(Tabla1[[#This Row],[Date]])</f>
        <v>1954</v>
      </c>
      <c r="E1453" s="9" t="str" cm="1">
        <f t="array" ref="E1453">IFERROR(_xlfn.IFS(AND(D1453&lt;1980,D1453&gt;=1970),"70",AND(D1453&lt;1990,D1453&gt;=1980),"80",AND(D1453&lt;2000,D1453&gt;=1990),"90",AND(D1453&lt;2010,D1453&gt;=2000),"00",AND(D1453&lt;=2019,D1453&gt;=2010),"10"),"1908-1970")</f>
        <v>1908-1970</v>
      </c>
      <c r="F1453" s="3">
        <v>0.41875000000000001</v>
      </c>
      <c r="G1453" t="s">
        <v>11269</v>
      </c>
      <c r="H1453" t="s">
        <v>11270</v>
      </c>
      <c r="I1453" t="s">
        <v>28931</v>
      </c>
      <c r="J1453" t="s">
        <v>11271</v>
      </c>
      <c r="K1453" t="s">
        <v>11272</v>
      </c>
      <c r="L1453" s="7" t="s">
        <v>11273</v>
      </c>
      <c r="M1453">
        <v>150</v>
      </c>
      <c r="N1453">
        <v>36</v>
      </c>
      <c r="O1453">
        <v>31</v>
      </c>
      <c r="P1453">
        <v>5</v>
      </c>
      <c r="Q1453">
        <v>36</v>
      </c>
      <c r="R1453">
        <v>31</v>
      </c>
      <c r="S1453">
        <v>5</v>
      </c>
      <c r="T1453">
        <v>1</v>
      </c>
      <c r="U1453" t="s">
        <v>11274</v>
      </c>
      <c r="V1453">
        <f>Tabla1[[#This Row],[Aboard]]-Tabla1[[#This Row],[Fatalities]]</f>
        <v>0</v>
      </c>
      <c r="W1453" s="50">
        <f>IFERROR(Tabla1[[#This Row],[Fatalities]]/Tabla1[[#This Row],[Aboard]],0)</f>
        <v>1</v>
      </c>
      <c r="X1453" s="51" t="str" cm="1">
        <f t="array" ref="X1453">_xlfn.IFS(Tabla1[[#This Row],[Porcentaje de muertes]]&lt;0.35,"LEVE",AND(Tabla1[[#This Row],[Porcentaje de muertes]]&gt;0.35,Tabla1[[#This Row],[Porcentaje de muertes]]&lt;0.65),"MEDIO",Tabla1[[#This Row],[Porcentaje de muertes]]&gt;0.65,"GRAVE")</f>
        <v>GRAVE</v>
      </c>
    </row>
    <row r="1454" spans="2:24" x14ac:dyDescent="0.3">
      <c r="B1454" s="9">
        <v>1453</v>
      </c>
      <c r="C1454" s="49">
        <v>19827</v>
      </c>
      <c r="D1454" s="9">
        <f>YEAR(Tabla1[[#This Row],[Date]])</f>
        <v>1954</v>
      </c>
      <c r="E1454" s="9" t="str" cm="1">
        <f t="array" ref="E1454">IFERROR(_xlfn.IFS(AND(D1454&lt;1980,D1454&gt;=1970),"70",AND(D1454&lt;1990,D1454&gt;=1980),"80",AND(D1454&lt;2000,D1454&gt;=1990),"90",AND(D1454&lt;2010,D1454&gt;=2000),"00",AND(D1454&lt;=2019,D1454&gt;=2010),"10"),"1908-1970")</f>
        <v>1908-1970</v>
      </c>
      <c r="F1454" s="3" t="s">
        <v>28931</v>
      </c>
      <c r="G1454" t="s">
        <v>11275</v>
      </c>
      <c r="H1454" t="s">
        <v>11276</v>
      </c>
      <c r="I1454" t="s">
        <v>28931</v>
      </c>
      <c r="J1454" t="s">
        <v>28931</v>
      </c>
      <c r="K1454" t="s">
        <v>7640</v>
      </c>
      <c r="L1454" s="7" t="s">
        <v>11277</v>
      </c>
      <c r="M1454">
        <v>2603</v>
      </c>
      <c r="N1454">
        <v>23</v>
      </c>
      <c r="O1454">
        <v>20</v>
      </c>
      <c r="P1454">
        <v>3</v>
      </c>
      <c r="Q1454">
        <v>16</v>
      </c>
      <c r="R1454">
        <v>13</v>
      </c>
      <c r="S1454">
        <v>3</v>
      </c>
      <c r="T1454">
        <v>0</v>
      </c>
      <c r="U1454" t="s">
        <v>11278</v>
      </c>
      <c r="V1454">
        <f>Tabla1[[#This Row],[Aboard]]-Tabla1[[#This Row],[Fatalities]]</f>
        <v>7</v>
      </c>
      <c r="W1454" s="50">
        <f>IFERROR(Tabla1[[#This Row],[Fatalities]]/Tabla1[[#This Row],[Aboard]],0)</f>
        <v>0.69565217391304346</v>
      </c>
      <c r="X1454" s="51" t="str" cm="1">
        <f t="array" ref="X1454">_xlfn.IFS(Tabla1[[#This Row],[Porcentaje de muertes]]&lt;0.35,"LEVE",AND(Tabla1[[#This Row],[Porcentaje de muertes]]&gt;0.35,Tabla1[[#This Row],[Porcentaje de muertes]]&lt;0.65),"MEDIO",Tabla1[[#This Row],[Porcentaje de muertes]]&gt;0.65,"GRAVE")</f>
        <v>GRAVE</v>
      </c>
    </row>
    <row r="1455" spans="2:24" x14ac:dyDescent="0.3">
      <c r="B1455" s="9">
        <v>1454</v>
      </c>
      <c r="C1455" s="49">
        <v>19827</v>
      </c>
      <c r="D1455" s="9">
        <f>YEAR(Tabla1[[#This Row],[Date]])</f>
        <v>1954</v>
      </c>
      <c r="E1455" s="9" t="str" cm="1">
        <f t="array" ref="E1455">IFERROR(_xlfn.IFS(AND(D1455&lt;1980,D1455&gt;=1970),"70",AND(D1455&lt;1990,D1455&gt;=1980),"80",AND(D1455&lt;2000,D1455&gt;=1990),"90",AND(D1455&lt;2010,D1455&gt;=2000),"00",AND(D1455&lt;=2019,D1455&gt;=2010),"10"),"1908-1970")</f>
        <v>1908-1970</v>
      </c>
      <c r="F1455" s="3">
        <v>0.54861111111111105</v>
      </c>
      <c r="G1455" t="s">
        <v>11279</v>
      </c>
      <c r="H1455" t="s">
        <v>11280</v>
      </c>
      <c r="I1455" t="s">
        <v>28931</v>
      </c>
      <c r="J1455" t="s">
        <v>11281</v>
      </c>
      <c r="K1455" t="s">
        <v>7057</v>
      </c>
      <c r="L1455" s="7">
        <v>956</v>
      </c>
      <c r="M1455">
        <v>4470</v>
      </c>
      <c r="N1455">
        <v>14</v>
      </c>
      <c r="O1455">
        <v>9</v>
      </c>
      <c r="P1455">
        <v>5</v>
      </c>
      <c r="Q1455">
        <v>14</v>
      </c>
      <c r="R1455">
        <v>9</v>
      </c>
      <c r="S1455">
        <v>5</v>
      </c>
      <c r="T1455">
        <v>0</v>
      </c>
      <c r="U1455" t="s">
        <v>11282</v>
      </c>
      <c r="V1455">
        <f>Tabla1[[#This Row],[Aboard]]-Tabla1[[#This Row],[Fatalities]]</f>
        <v>0</v>
      </c>
      <c r="W1455" s="50">
        <f>IFERROR(Tabla1[[#This Row],[Fatalities]]/Tabla1[[#This Row],[Aboard]],0)</f>
        <v>1</v>
      </c>
      <c r="X1455" s="51" t="str" cm="1">
        <f t="array" ref="X1455">_xlfn.IFS(Tabla1[[#This Row],[Porcentaje de muertes]]&lt;0.35,"LEVE",AND(Tabla1[[#This Row],[Porcentaje de muertes]]&gt;0.35,Tabla1[[#This Row],[Porcentaje de muertes]]&lt;0.65),"MEDIO",Tabla1[[#This Row],[Porcentaje de muertes]]&gt;0.65,"GRAVE")</f>
        <v>GRAVE</v>
      </c>
    </row>
    <row r="1456" spans="2:24" x14ac:dyDescent="0.3">
      <c r="B1456" s="9">
        <v>1455</v>
      </c>
      <c r="C1456" s="49">
        <v>19837</v>
      </c>
      <c r="D1456" s="9">
        <f>YEAR(Tabla1[[#This Row],[Date]])</f>
        <v>1954</v>
      </c>
      <c r="E1456" s="9" t="str" cm="1">
        <f t="array" ref="E1456">IFERROR(_xlfn.IFS(AND(D1456&lt;1980,D1456&gt;=1970),"70",AND(D1456&lt;1990,D1456&gt;=1980),"80",AND(D1456&lt;2000,D1456&gt;=1990),"90",AND(D1456&lt;2010,D1456&gt;=2000),"00",AND(D1456&lt;=2019,D1456&gt;=2010),"10"),"1908-1970")</f>
        <v>1908-1970</v>
      </c>
      <c r="F1456" s="3">
        <v>0.89236111111111116</v>
      </c>
      <c r="G1456" t="s">
        <v>11283</v>
      </c>
      <c r="H1456" t="s">
        <v>10275</v>
      </c>
      <c r="I1456" t="s">
        <v>28931</v>
      </c>
      <c r="J1456" t="s">
        <v>11284</v>
      </c>
      <c r="K1456" t="s">
        <v>7057</v>
      </c>
      <c r="L1456" s="7" t="s">
        <v>11285</v>
      </c>
      <c r="M1456">
        <v>12387</v>
      </c>
      <c r="N1456">
        <v>25</v>
      </c>
      <c r="O1456">
        <v>21</v>
      </c>
      <c r="P1456">
        <v>4</v>
      </c>
      <c r="Q1456">
        <v>25</v>
      </c>
      <c r="R1456">
        <v>21</v>
      </c>
      <c r="S1456">
        <v>4</v>
      </c>
      <c r="T1456">
        <v>0</v>
      </c>
      <c r="U1456" t="s">
        <v>11286</v>
      </c>
      <c r="V1456">
        <f>Tabla1[[#This Row],[Aboard]]-Tabla1[[#This Row],[Fatalities]]</f>
        <v>0</v>
      </c>
      <c r="W1456" s="50">
        <f>IFERROR(Tabla1[[#This Row],[Fatalities]]/Tabla1[[#This Row],[Aboard]],0)</f>
        <v>1</v>
      </c>
      <c r="X1456" s="51" t="str" cm="1">
        <f t="array" ref="X1456">_xlfn.IFS(Tabla1[[#This Row],[Porcentaje de muertes]]&lt;0.35,"LEVE",AND(Tabla1[[#This Row],[Porcentaje de muertes]]&gt;0.35,Tabla1[[#This Row],[Porcentaje de muertes]]&lt;0.65),"MEDIO",Tabla1[[#This Row],[Porcentaje de muertes]]&gt;0.65,"GRAVE")</f>
        <v>GRAVE</v>
      </c>
    </row>
    <row r="1457" spans="2:24" x14ac:dyDescent="0.3">
      <c r="B1457" s="9">
        <v>1456</v>
      </c>
      <c r="C1457" s="49">
        <v>19844</v>
      </c>
      <c r="D1457" s="9">
        <f>YEAR(Tabla1[[#This Row],[Date]])</f>
        <v>1954</v>
      </c>
      <c r="E1457" s="9" t="str" cm="1">
        <f t="array" ref="E1457">IFERROR(_xlfn.IFS(AND(D1457&lt;1980,D1457&gt;=1970),"70",AND(D1457&lt;1990,D1457&gt;=1980),"80",AND(D1457&lt;2000,D1457&gt;=1990),"90",AND(D1457&lt;2010,D1457&gt;=2000),"00",AND(D1457&lt;=2019,D1457&gt;=2010),"10"),"1908-1970")</f>
        <v>1908-1970</v>
      </c>
      <c r="F1457" s="3">
        <v>0.38750000000000001</v>
      </c>
      <c r="G1457" t="s">
        <v>8012</v>
      </c>
      <c r="H1457" t="s">
        <v>11287</v>
      </c>
      <c r="I1457" t="s">
        <v>28931</v>
      </c>
      <c r="J1457" t="s">
        <v>28931</v>
      </c>
      <c r="K1457" t="s">
        <v>11288</v>
      </c>
      <c r="L1457" s="7" t="s">
        <v>11289</v>
      </c>
      <c r="M1457">
        <v>13792</v>
      </c>
      <c r="N1457">
        <v>11</v>
      </c>
      <c r="O1457">
        <v>8</v>
      </c>
      <c r="P1457">
        <v>3</v>
      </c>
      <c r="Q1457">
        <v>5</v>
      </c>
      <c r="R1457">
        <v>3</v>
      </c>
      <c r="S1457">
        <v>2</v>
      </c>
      <c r="T1457">
        <v>0</v>
      </c>
      <c r="U1457" t="s">
        <v>11290</v>
      </c>
      <c r="V1457">
        <f>Tabla1[[#This Row],[Aboard]]-Tabla1[[#This Row],[Fatalities]]</f>
        <v>6</v>
      </c>
      <c r="W1457" s="50">
        <f>IFERROR(Tabla1[[#This Row],[Fatalities]]/Tabla1[[#This Row],[Aboard]],0)</f>
        <v>0.45454545454545453</v>
      </c>
      <c r="X1457" s="51" t="str" cm="1">
        <f t="array" ref="X1457">_xlfn.IFS(Tabla1[[#This Row],[Porcentaje de muertes]]&lt;0.35,"LEVE",AND(Tabla1[[#This Row],[Porcentaje de muertes]]&gt;0.35,Tabla1[[#This Row],[Porcentaje de muertes]]&lt;0.65),"MEDIO",Tabla1[[#This Row],[Porcentaje de muertes]]&gt;0.65,"GRAVE")</f>
        <v>MEDIO</v>
      </c>
    </row>
    <row r="1458" spans="2:24" x14ac:dyDescent="0.3">
      <c r="B1458" s="9">
        <v>1457</v>
      </c>
      <c r="C1458" s="49">
        <v>19866</v>
      </c>
      <c r="D1458" s="9">
        <f>YEAR(Tabla1[[#This Row],[Date]])</f>
        <v>1954</v>
      </c>
      <c r="E1458" s="9" t="str" cm="1">
        <f t="array" ref="E1458">IFERROR(_xlfn.IFS(AND(D1458&lt;1980,D1458&gt;=1970),"70",AND(D1458&lt;1990,D1458&gt;=1980),"80",AND(D1458&lt;2000,D1458&gt;=1990),"90",AND(D1458&lt;2010,D1458&gt;=2000),"00",AND(D1458&lt;=2019,D1458&gt;=2010),"10"),"1908-1970")</f>
        <v>1908-1970</v>
      </c>
      <c r="F1458" s="3">
        <v>0.39097222222222222</v>
      </c>
      <c r="G1458" t="s">
        <v>11291</v>
      </c>
      <c r="H1458" t="s">
        <v>9570</v>
      </c>
      <c r="I1458" t="s">
        <v>28931</v>
      </c>
      <c r="J1458" t="s">
        <v>11292</v>
      </c>
      <c r="K1458" t="s">
        <v>7057</v>
      </c>
      <c r="L1458" s="7" t="s">
        <v>11293</v>
      </c>
      <c r="M1458" t="s">
        <v>11294</v>
      </c>
      <c r="N1458">
        <v>28</v>
      </c>
      <c r="O1458">
        <v>26</v>
      </c>
      <c r="P1458">
        <v>2</v>
      </c>
      <c r="Q1458">
        <v>3</v>
      </c>
      <c r="R1458">
        <v>3</v>
      </c>
      <c r="S1458">
        <v>0</v>
      </c>
      <c r="T1458">
        <v>0</v>
      </c>
      <c r="U1458" t="s">
        <v>11295</v>
      </c>
      <c r="V1458">
        <f>Tabla1[[#This Row],[Aboard]]-Tabla1[[#This Row],[Fatalities]]</f>
        <v>25</v>
      </c>
      <c r="W1458" s="50">
        <f>IFERROR(Tabla1[[#This Row],[Fatalities]]/Tabla1[[#This Row],[Aboard]],0)</f>
        <v>0.10714285714285714</v>
      </c>
      <c r="X1458" s="51" t="str" cm="1">
        <f t="array" ref="X1458">_xlfn.IFS(Tabla1[[#This Row],[Porcentaje de muertes]]&lt;0.35,"LEVE",AND(Tabla1[[#This Row],[Porcentaje de muertes]]&gt;0.35,Tabla1[[#This Row],[Porcentaje de muertes]]&lt;0.65),"MEDIO",Tabla1[[#This Row],[Porcentaje de muertes]]&gt;0.65,"GRAVE")</f>
        <v>LEVE</v>
      </c>
    </row>
    <row r="1459" spans="2:24" x14ac:dyDescent="0.3">
      <c r="B1459" s="9">
        <v>1458</v>
      </c>
      <c r="C1459" s="49">
        <v>19875</v>
      </c>
      <c r="D1459" s="9">
        <f>YEAR(Tabla1[[#This Row],[Date]])</f>
        <v>1954</v>
      </c>
      <c r="E1459" s="9" t="str" cm="1">
        <f t="array" ref="E1459">IFERROR(_xlfn.IFS(AND(D1459&lt;1980,D1459&gt;=1970),"70",AND(D1459&lt;1990,D1459&gt;=1980),"80",AND(D1459&lt;2000,D1459&gt;=1990),"90",AND(D1459&lt;2010,D1459&gt;=2000),"00",AND(D1459&lt;=2019,D1459&gt;=2010),"10"),"1908-1970")</f>
        <v>1908-1970</v>
      </c>
      <c r="F1459" s="3" t="s">
        <v>28931</v>
      </c>
      <c r="G1459" t="s">
        <v>11296</v>
      </c>
      <c r="H1459" t="s">
        <v>11297</v>
      </c>
      <c r="I1459" t="s">
        <v>28931</v>
      </c>
      <c r="J1459" t="s">
        <v>11298</v>
      </c>
      <c r="K1459" t="s">
        <v>7057</v>
      </c>
      <c r="L1459" s="7" t="s">
        <v>11299</v>
      </c>
      <c r="M1459">
        <v>19830</v>
      </c>
      <c r="N1459">
        <v>19</v>
      </c>
      <c r="O1459">
        <v>16</v>
      </c>
      <c r="P1459">
        <v>3</v>
      </c>
      <c r="Q1459">
        <v>19</v>
      </c>
      <c r="R1459">
        <v>16</v>
      </c>
      <c r="S1459">
        <v>3</v>
      </c>
      <c r="T1459">
        <v>0</v>
      </c>
      <c r="U1459" t="s">
        <v>11300</v>
      </c>
      <c r="V1459">
        <f>Tabla1[[#This Row],[Aboard]]-Tabla1[[#This Row],[Fatalities]]</f>
        <v>0</v>
      </c>
      <c r="W1459" s="50">
        <f>IFERROR(Tabla1[[#This Row],[Fatalities]]/Tabla1[[#This Row],[Aboard]],0)</f>
        <v>1</v>
      </c>
      <c r="X1459" s="51" t="str" cm="1">
        <f t="array" ref="X1459">_xlfn.IFS(Tabla1[[#This Row],[Porcentaje de muertes]]&lt;0.35,"LEVE",AND(Tabla1[[#This Row],[Porcentaje de muertes]]&gt;0.35,Tabla1[[#This Row],[Porcentaje de muertes]]&lt;0.65),"MEDIO",Tabla1[[#This Row],[Porcentaje de muertes]]&gt;0.65,"GRAVE")</f>
        <v>GRAVE</v>
      </c>
    </row>
    <row r="1460" spans="2:24" x14ac:dyDescent="0.3">
      <c r="B1460" s="9">
        <v>1459</v>
      </c>
      <c r="C1460" s="49">
        <v>19789</v>
      </c>
      <c r="D1460" s="9">
        <f>YEAR(Tabla1[[#This Row],[Date]])</f>
        <v>1954</v>
      </c>
      <c r="E1460" s="9" t="str" cm="1">
        <f t="array" ref="E1460">IFERROR(_xlfn.IFS(AND(D1460&lt;1980,D1460&gt;=1970),"70",AND(D1460&lt;1990,D1460&gt;=1980),"80",AND(D1460&lt;2000,D1460&gt;=1990),"90",AND(D1460&lt;2010,D1460&gt;=2000),"00",AND(D1460&lt;=2019,D1460&gt;=2010),"10"),"1908-1970")</f>
        <v>1908-1970</v>
      </c>
      <c r="F1460" s="3" t="s">
        <v>28931</v>
      </c>
      <c r="G1460" t="s">
        <v>11301</v>
      </c>
      <c r="H1460" t="s">
        <v>5957</v>
      </c>
      <c r="I1460" t="s">
        <v>28931</v>
      </c>
      <c r="J1460" t="s">
        <v>11302</v>
      </c>
      <c r="K1460" t="s">
        <v>8105</v>
      </c>
      <c r="L1460" s="7" t="s">
        <v>11303</v>
      </c>
      <c r="M1460">
        <v>11982</v>
      </c>
      <c r="N1460">
        <v>4</v>
      </c>
      <c r="O1460">
        <v>0</v>
      </c>
      <c r="P1460">
        <v>4</v>
      </c>
      <c r="Q1460">
        <v>1</v>
      </c>
      <c r="R1460">
        <v>0</v>
      </c>
      <c r="S1460">
        <v>1</v>
      </c>
      <c r="T1460">
        <v>0</v>
      </c>
      <c r="U1460" t="s">
        <v>11304</v>
      </c>
      <c r="V1460">
        <f>Tabla1[[#This Row],[Aboard]]-Tabla1[[#This Row],[Fatalities]]</f>
        <v>3</v>
      </c>
      <c r="W1460" s="50">
        <f>IFERROR(Tabla1[[#This Row],[Fatalities]]/Tabla1[[#This Row],[Aboard]],0)</f>
        <v>0.25</v>
      </c>
      <c r="X1460" s="51" t="str" cm="1">
        <f t="array" ref="X1460">_xlfn.IFS(Tabla1[[#This Row],[Porcentaje de muertes]]&lt;0.35,"LEVE",AND(Tabla1[[#This Row],[Porcentaje de muertes]]&gt;0.35,Tabla1[[#This Row],[Porcentaje de muertes]]&lt;0.65),"MEDIO",Tabla1[[#This Row],[Porcentaje de muertes]]&gt;0.65,"GRAVE")</f>
        <v>LEVE</v>
      </c>
    </row>
    <row r="1461" spans="2:24" x14ac:dyDescent="0.3">
      <c r="B1461" s="9">
        <v>1460</v>
      </c>
      <c r="C1461" s="49">
        <v>19820</v>
      </c>
      <c r="D1461" s="9">
        <f>YEAR(Tabla1[[#This Row],[Date]])</f>
        <v>1954</v>
      </c>
      <c r="E1461" s="9" t="str" cm="1">
        <f t="array" ref="E1461">IFERROR(_xlfn.IFS(AND(D1461&lt;1980,D1461&gt;=1970),"70",AND(D1461&lt;1990,D1461&gt;=1980),"80",AND(D1461&lt;2000,D1461&gt;=1990),"90",AND(D1461&lt;2010,D1461&gt;=2000),"00",AND(D1461&lt;=2019,D1461&gt;=2010),"10"),"1908-1970")</f>
        <v>1908-1970</v>
      </c>
      <c r="F1461" s="3">
        <v>0.45833333333333331</v>
      </c>
      <c r="G1461" t="s">
        <v>7197</v>
      </c>
      <c r="H1461" t="s">
        <v>8118</v>
      </c>
      <c r="I1461" t="s">
        <v>28931</v>
      </c>
      <c r="J1461" t="s">
        <v>9866</v>
      </c>
      <c r="K1461" t="s">
        <v>8305</v>
      </c>
      <c r="L1461" s="7" t="s">
        <v>11305</v>
      </c>
      <c r="M1461">
        <v>30400</v>
      </c>
      <c r="N1461">
        <v>3</v>
      </c>
      <c r="O1461">
        <v>0</v>
      </c>
      <c r="P1461">
        <v>3</v>
      </c>
      <c r="Q1461">
        <v>3</v>
      </c>
      <c r="R1461">
        <v>0</v>
      </c>
      <c r="S1461">
        <v>3</v>
      </c>
      <c r="T1461">
        <v>0</v>
      </c>
      <c r="U1461" t="s">
        <v>11306</v>
      </c>
      <c r="V1461">
        <f>Tabla1[[#This Row],[Aboard]]-Tabla1[[#This Row],[Fatalities]]</f>
        <v>0</v>
      </c>
      <c r="W1461" s="50">
        <f>IFERROR(Tabla1[[#This Row],[Fatalities]]/Tabla1[[#This Row],[Aboard]],0)</f>
        <v>1</v>
      </c>
      <c r="X1461" s="51" t="str" cm="1">
        <f t="array" ref="X1461">_xlfn.IFS(Tabla1[[#This Row],[Porcentaje de muertes]]&lt;0.35,"LEVE",AND(Tabla1[[#This Row],[Porcentaje de muertes]]&gt;0.35,Tabla1[[#This Row],[Porcentaje de muertes]]&lt;0.65),"MEDIO",Tabla1[[#This Row],[Porcentaje de muertes]]&gt;0.65,"GRAVE")</f>
        <v>GRAVE</v>
      </c>
    </row>
    <row r="1462" spans="2:24" x14ac:dyDescent="0.3">
      <c r="B1462" s="9">
        <v>1461</v>
      </c>
      <c r="C1462" s="49">
        <v>19942</v>
      </c>
      <c r="D1462" s="9">
        <f>YEAR(Tabla1[[#This Row],[Date]])</f>
        <v>1954</v>
      </c>
      <c r="E1462" s="9" t="str" cm="1">
        <f t="array" ref="E1462">IFERROR(_xlfn.IFS(AND(D1462&lt;1980,D1462&gt;=1970),"70",AND(D1462&lt;1990,D1462&gt;=1980),"80",AND(D1462&lt;2000,D1462&gt;=1990),"90",AND(D1462&lt;2010,D1462&gt;=2000),"00",AND(D1462&lt;=2019,D1462&gt;=2010),"10"),"1908-1970")</f>
        <v>1908-1970</v>
      </c>
      <c r="F1462" s="3" t="s">
        <v>28931</v>
      </c>
      <c r="G1462" t="s">
        <v>11307</v>
      </c>
      <c r="H1462" t="s">
        <v>11308</v>
      </c>
      <c r="I1462" t="s">
        <v>28931</v>
      </c>
      <c r="J1462" t="s">
        <v>11309</v>
      </c>
      <c r="K1462" t="s">
        <v>7934</v>
      </c>
      <c r="L1462" s="7" t="s">
        <v>11310</v>
      </c>
      <c r="M1462">
        <v>4464</v>
      </c>
      <c r="N1462">
        <v>4</v>
      </c>
      <c r="O1462">
        <v>2</v>
      </c>
      <c r="P1462">
        <v>2</v>
      </c>
      <c r="Q1462">
        <v>4</v>
      </c>
      <c r="R1462">
        <v>2</v>
      </c>
      <c r="S1462">
        <v>2</v>
      </c>
      <c r="T1462">
        <v>0</v>
      </c>
      <c r="U1462" t="s">
        <v>11311</v>
      </c>
      <c r="V1462">
        <f>Tabla1[[#This Row],[Aboard]]-Tabla1[[#This Row],[Fatalities]]</f>
        <v>0</v>
      </c>
      <c r="W1462" s="50">
        <f>IFERROR(Tabla1[[#This Row],[Fatalities]]/Tabla1[[#This Row],[Aboard]],0)</f>
        <v>1</v>
      </c>
      <c r="X1462" s="51" t="str" cm="1">
        <f t="array" ref="X1462">_xlfn.IFS(Tabla1[[#This Row],[Porcentaje de muertes]]&lt;0.35,"LEVE",AND(Tabla1[[#This Row],[Porcentaje de muertes]]&gt;0.35,Tabla1[[#This Row],[Porcentaje de muertes]]&lt;0.65),"MEDIO",Tabla1[[#This Row],[Porcentaje de muertes]]&gt;0.65,"GRAVE")</f>
        <v>GRAVE</v>
      </c>
    </row>
    <row r="1463" spans="2:24" x14ac:dyDescent="0.3">
      <c r="B1463" s="9">
        <v>1462</v>
      </c>
      <c r="C1463" s="49">
        <v>19894</v>
      </c>
      <c r="D1463" s="9">
        <f>YEAR(Tabla1[[#This Row],[Date]])</f>
        <v>1954</v>
      </c>
      <c r="E1463" s="9" t="str" cm="1">
        <f t="array" ref="E1463">IFERROR(_xlfn.IFS(AND(D1463&lt;1980,D1463&gt;=1970),"70",AND(D1463&lt;1990,D1463&gt;=1980),"80",AND(D1463&lt;2000,D1463&gt;=1990),"90",AND(D1463&lt;2010,D1463&gt;=2000),"00",AND(D1463&lt;=2019,D1463&gt;=2010),"10"),"1908-1970")</f>
        <v>1908-1970</v>
      </c>
      <c r="F1463" s="3">
        <v>0.95833333333333337</v>
      </c>
      <c r="G1463" t="s">
        <v>11312</v>
      </c>
      <c r="H1463" t="s">
        <v>6471</v>
      </c>
      <c r="I1463" t="s">
        <v>28931</v>
      </c>
      <c r="J1463" t="s">
        <v>11313</v>
      </c>
      <c r="K1463" t="s">
        <v>11014</v>
      </c>
      <c r="L1463" s="7" t="s">
        <v>11314</v>
      </c>
      <c r="M1463">
        <v>61</v>
      </c>
      <c r="N1463">
        <v>9</v>
      </c>
      <c r="O1463">
        <v>5</v>
      </c>
      <c r="P1463">
        <v>4</v>
      </c>
      <c r="Q1463">
        <v>3</v>
      </c>
      <c r="R1463">
        <v>3</v>
      </c>
      <c r="S1463">
        <v>0</v>
      </c>
      <c r="T1463">
        <v>0</v>
      </c>
      <c r="U1463" t="s">
        <v>11315</v>
      </c>
      <c r="V1463">
        <f>Tabla1[[#This Row],[Aboard]]-Tabla1[[#This Row],[Fatalities]]</f>
        <v>6</v>
      </c>
      <c r="W1463" s="50">
        <f>IFERROR(Tabla1[[#This Row],[Fatalities]]/Tabla1[[#This Row],[Aboard]],0)</f>
        <v>0.33333333333333331</v>
      </c>
      <c r="X1463" s="51" t="str" cm="1">
        <f t="array" ref="X1463">_xlfn.IFS(Tabla1[[#This Row],[Porcentaje de muertes]]&lt;0.35,"LEVE",AND(Tabla1[[#This Row],[Porcentaje de muertes]]&gt;0.35,Tabla1[[#This Row],[Porcentaje de muertes]]&lt;0.65),"MEDIO",Tabla1[[#This Row],[Porcentaje de muertes]]&gt;0.65,"GRAVE")</f>
        <v>LEVE</v>
      </c>
    </row>
    <row r="1464" spans="2:24" x14ac:dyDescent="0.3">
      <c r="B1464" s="9">
        <v>1463</v>
      </c>
      <c r="C1464" s="49">
        <v>19762</v>
      </c>
      <c r="D1464" s="9">
        <f>YEAR(Tabla1[[#This Row],[Date]])</f>
        <v>1954</v>
      </c>
      <c r="E1464" s="9" t="str" cm="1">
        <f t="array" ref="E1464">IFERROR(_xlfn.IFS(AND(D1464&lt;1980,D1464&gt;=1970),"70",AND(D1464&lt;1990,D1464&gt;=1980),"80",AND(D1464&lt;2000,D1464&gt;=1990),"90",AND(D1464&lt;2010,D1464&gt;=2000),"00",AND(D1464&lt;=2019,D1464&gt;=2010),"10"),"1908-1970")</f>
        <v>1908-1970</v>
      </c>
      <c r="F1464" s="3">
        <v>0.5</v>
      </c>
      <c r="G1464" t="s">
        <v>11316</v>
      </c>
      <c r="H1464" t="s">
        <v>9398</v>
      </c>
      <c r="I1464" t="s">
        <v>28931</v>
      </c>
      <c r="J1464" t="s">
        <v>28931</v>
      </c>
      <c r="K1464" t="s">
        <v>11317</v>
      </c>
      <c r="L1464" s="7" t="s">
        <v>11318</v>
      </c>
      <c r="M1464" t="s">
        <v>28931</v>
      </c>
      <c r="N1464">
        <v>24</v>
      </c>
      <c r="O1464">
        <v>20</v>
      </c>
      <c r="P1464">
        <v>4</v>
      </c>
      <c r="Q1464">
        <v>24</v>
      </c>
      <c r="R1464">
        <v>20</v>
      </c>
      <c r="S1464">
        <v>4</v>
      </c>
      <c r="T1464">
        <v>0</v>
      </c>
      <c r="U1464" t="s">
        <v>11319</v>
      </c>
      <c r="V1464">
        <f>Tabla1[[#This Row],[Aboard]]-Tabla1[[#This Row],[Fatalities]]</f>
        <v>0</v>
      </c>
      <c r="W1464" s="50">
        <f>IFERROR(Tabla1[[#This Row],[Fatalities]]/Tabla1[[#This Row],[Aboard]],0)</f>
        <v>1</v>
      </c>
      <c r="X1464" s="51" t="str" cm="1">
        <f t="array" ref="X1464">_xlfn.IFS(Tabla1[[#This Row],[Porcentaje de muertes]]&lt;0.35,"LEVE",AND(Tabla1[[#This Row],[Porcentaje de muertes]]&gt;0.35,Tabla1[[#This Row],[Porcentaje de muertes]]&lt;0.65),"MEDIO",Tabla1[[#This Row],[Porcentaje de muertes]]&gt;0.65,"GRAVE")</f>
        <v>GRAVE</v>
      </c>
    </row>
    <row r="1465" spans="2:24" x14ac:dyDescent="0.3">
      <c r="B1465" s="9">
        <v>1464</v>
      </c>
      <c r="C1465" s="49">
        <v>19928</v>
      </c>
      <c r="D1465" s="9">
        <f>YEAR(Tabla1[[#This Row],[Date]])</f>
        <v>1954</v>
      </c>
      <c r="E1465" s="9" t="str" cm="1">
        <f t="array" ref="E1465">IFERROR(_xlfn.IFS(AND(D1465&lt;1980,D1465&gt;=1970),"70",AND(D1465&lt;1990,D1465&gt;=1980),"80",AND(D1465&lt;2000,D1465&gt;=1990),"90",AND(D1465&lt;2010,D1465&gt;=2000),"00",AND(D1465&lt;=2019,D1465&gt;=2010),"10"),"1908-1970")</f>
        <v>1908-1970</v>
      </c>
      <c r="F1465" s="3">
        <v>0.36458333333333331</v>
      </c>
      <c r="G1465" t="s">
        <v>11320</v>
      </c>
      <c r="H1465" t="s">
        <v>9539</v>
      </c>
      <c r="I1465" t="s">
        <v>28931</v>
      </c>
      <c r="J1465" t="s">
        <v>11321</v>
      </c>
      <c r="K1465" t="s">
        <v>8822</v>
      </c>
      <c r="L1465" s="7" t="s">
        <v>11322</v>
      </c>
      <c r="M1465">
        <v>10310</v>
      </c>
      <c r="N1465">
        <v>18</v>
      </c>
      <c r="O1465">
        <v>12</v>
      </c>
      <c r="P1465">
        <v>6</v>
      </c>
      <c r="Q1465">
        <v>10</v>
      </c>
      <c r="R1465">
        <v>8</v>
      </c>
      <c r="S1465">
        <v>2</v>
      </c>
      <c r="T1465">
        <v>0</v>
      </c>
      <c r="U1465" t="s">
        <v>11323</v>
      </c>
      <c r="V1465">
        <f>Tabla1[[#This Row],[Aboard]]-Tabla1[[#This Row],[Fatalities]]</f>
        <v>8</v>
      </c>
      <c r="W1465" s="50">
        <f>IFERROR(Tabla1[[#This Row],[Fatalities]]/Tabla1[[#This Row],[Aboard]],0)</f>
        <v>0.55555555555555558</v>
      </c>
      <c r="X1465" s="51" t="str" cm="1">
        <f t="array" ref="X1465">_xlfn.IFS(Tabla1[[#This Row],[Porcentaje de muertes]]&lt;0.35,"LEVE",AND(Tabla1[[#This Row],[Porcentaje de muertes]]&gt;0.35,Tabla1[[#This Row],[Porcentaje de muertes]]&lt;0.65),"MEDIO",Tabla1[[#This Row],[Porcentaje de muertes]]&gt;0.65,"GRAVE")</f>
        <v>MEDIO</v>
      </c>
    </row>
    <row r="1466" spans="2:24" x14ac:dyDescent="0.3">
      <c r="B1466" s="9">
        <v>1465</v>
      </c>
      <c r="C1466" s="49">
        <v>19944</v>
      </c>
      <c r="D1466" s="9">
        <f>YEAR(Tabla1[[#This Row],[Date]])</f>
        <v>1954</v>
      </c>
      <c r="E1466" s="9" t="str" cm="1">
        <f t="array" ref="E1466">IFERROR(_xlfn.IFS(AND(D1466&lt;1980,D1466&gt;=1970),"70",AND(D1466&lt;1990,D1466&gt;=1980),"80",AND(D1466&lt;2000,D1466&gt;=1990),"90",AND(D1466&lt;2010,D1466&gt;=2000),"00",AND(D1466&lt;=2019,D1466&gt;=2010),"10"),"1908-1970")</f>
        <v>1908-1970</v>
      </c>
      <c r="F1466" s="3">
        <v>0.65277777777777779</v>
      </c>
      <c r="G1466" t="s">
        <v>11324</v>
      </c>
      <c r="H1466" t="s">
        <v>9289</v>
      </c>
      <c r="I1466" t="s">
        <v>28931</v>
      </c>
      <c r="J1466" t="s">
        <v>11325</v>
      </c>
      <c r="K1466" t="s">
        <v>6635</v>
      </c>
      <c r="L1466" s="7" t="s">
        <v>11326</v>
      </c>
      <c r="M1466" t="s">
        <v>11327</v>
      </c>
      <c r="N1466">
        <v>2</v>
      </c>
      <c r="O1466">
        <v>0</v>
      </c>
      <c r="P1466">
        <v>2</v>
      </c>
      <c r="Q1466">
        <v>2</v>
      </c>
      <c r="R1466">
        <v>0</v>
      </c>
      <c r="S1466">
        <v>2</v>
      </c>
      <c r="T1466">
        <v>0</v>
      </c>
      <c r="U1466" t="s">
        <v>11328</v>
      </c>
      <c r="V1466">
        <f>Tabla1[[#This Row],[Aboard]]-Tabla1[[#This Row],[Fatalities]]</f>
        <v>0</v>
      </c>
      <c r="W1466" s="50">
        <f>IFERROR(Tabla1[[#This Row],[Fatalities]]/Tabla1[[#This Row],[Aboard]],0)</f>
        <v>1</v>
      </c>
      <c r="X1466" s="51" t="str" cm="1">
        <f t="array" ref="X1466">_xlfn.IFS(Tabla1[[#This Row],[Porcentaje de muertes]]&lt;0.35,"LEVE",AND(Tabla1[[#This Row],[Porcentaje de muertes]]&gt;0.35,Tabla1[[#This Row],[Porcentaje de muertes]]&lt;0.65),"MEDIO",Tabla1[[#This Row],[Porcentaje de muertes]]&gt;0.65,"GRAVE")</f>
        <v>GRAVE</v>
      </c>
    </row>
    <row r="1467" spans="2:24" x14ac:dyDescent="0.3">
      <c r="B1467" s="9">
        <v>1466</v>
      </c>
      <c r="C1467" s="49">
        <v>19975</v>
      </c>
      <c r="D1467" s="9">
        <f>YEAR(Tabla1[[#This Row],[Date]])</f>
        <v>1954</v>
      </c>
      <c r="E1467" s="9" t="str" cm="1">
        <f t="array" ref="E1467">IFERROR(_xlfn.IFS(AND(D1467&lt;1980,D1467&gt;=1970),"70",AND(D1467&lt;1990,D1467&gt;=1980),"80",AND(D1467&lt;2000,D1467&gt;=1990),"90",AND(D1467&lt;2010,D1467&gt;=2000),"00",AND(D1467&lt;=2019,D1467&gt;=2010),"10"),"1908-1970")</f>
        <v>1908-1970</v>
      </c>
      <c r="F1467" s="3">
        <v>0.1111111111111111</v>
      </c>
      <c r="G1467" t="s">
        <v>11329</v>
      </c>
      <c r="H1467" t="s">
        <v>8976</v>
      </c>
      <c r="I1467" t="s">
        <v>28931</v>
      </c>
      <c r="J1467" t="s">
        <v>11330</v>
      </c>
      <c r="K1467" t="s">
        <v>11331</v>
      </c>
      <c r="L1467" s="7" t="s">
        <v>11332</v>
      </c>
      <c r="M1467">
        <v>2664</v>
      </c>
      <c r="N1467">
        <v>30</v>
      </c>
      <c r="O1467">
        <v>21</v>
      </c>
      <c r="P1467">
        <v>9</v>
      </c>
      <c r="Q1467">
        <v>30</v>
      </c>
      <c r="R1467">
        <v>21</v>
      </c>
      <c r="S1467">
        <v>9</v>
      </c>
      <c r="T1467">
        <v>0</v>
      </c>
      <c r="U1467" t="s">
        <v>11333</v>
      </c>
      <c r="V1467">
        <f>Tabla1[[#This Row],[Aboard]]-Tabla1[[#This Row],[Fatalities]]</f>
        <v>0</v>
      </c>
      <c r="W1467" s="50">
        <f>IFERROR(Tabla1[[#This Row],[Fatalities]]/Tabla1[[#This Row],[Aboard]],0)</f>
        <v>1</v>
      </c>
      <c r="X1467" s="51" t="str" cm="1">
        <f t="array" ref="X1467">_xlfn.IFS(Tabla1[[#This Row],[Porcentaje de muertes]]&lt;0.35,"LEVE",AND(Tabla1[[#This Row],[Porcentaje de muertes]]&gt;0.35,Tabla1[[#This Row],[Porcentaje de muertes]]&lt;0.65),"MEDIO",Tabla1[[#This Row],[Porcentaje de muertes]]&gt;0.65,"GRAVE")</f>
        <v>GRAVE</v>
      </c>
    </row>
    <row r="1468" spans="2:24" x14ac:dyDescent="0.3">
      <c r="B1468" s="9">
        <v>1467</v>
      </c>
      <c r="C1468" s="49">
        <v>20066</v>
      </c>
      <c r="D1468" s="9">
        <f>YEAR(Tabla1[[#This Row],[Date]])</f>
        <v>1954</v>
      </c>
      <c r="E1468" s="9" t="str" cm="1">
        <f t="array" ref="E1468">IFERROR(_xlfn.IFS(AND(D1468&lt;1980,D1468&gt;=1970),"70",AND(D1468&lt;1990,D1468&gt;=1980),"80",AND(D1468&lt;2000,D1468&gt;=1990),"90",AND(D1468&lt;2010,D1468&gt;=2000),"00",AND(D1468&lt;=2019,D1468&gt;=2010),"10"),"1908-1970")</f>
        <v>1908-1970</v>
      </c>
      <c r="F1468" s="3" t="s">
        <v>28931</v>
      </c>
      <c r="G1468" t="s">
        <v>11334</v>
      </c>
      <c r="H1468" t="s">
        <v>11262</v>
      </c>
      <c r="I1468" t="s">
        <v>28931</v>
      </c>
      <c r="J1468" t="s">
        <v>11335</v>
      </c>
      <c r="K1468" t="s">
        <v>7057</v>
      </c>
      <c r="L1468" s="7" t="s">
        <v>11336</v>
      </c>
      <c r="M1468" t="s">
        <v>28931</v>
      </c>
      <c r="N1468">
        <v>3</v>
      </c>
      <c r="O1468">
        <v>0</v>
      </c>
      <c r="P1468">
        <v>3</v>
      </c>
      <c r="Q1468">
        <v>3</v>
      </c>
      <c r="R1468">
        <v>0</v>
      </c>
      <c r="S1468">
        <v>3</v>
      </c>
      <c r="T1468">
        <v>0</v>
      </c>
      <c r="U1468" t="s">
        <v>11337</v>
      </c>
      <c r="V1468">
        <f>Tabla1[[#This Row],[Aboard]]-Tabla1[[#This Row],[Fatalities]]</f>
        <v>0</v>
      </c>
      <c r="W1468" s="50">
        <f>IFERROR(Tabla1[[#This Row],[Fatalities]]/Tabla1[[#This Row],[Aboard]],0)</f>
        <v>1</v>
      </c>
      <c r="X1468" s="51" t="str" cm="1">
        <f t="array" ref="X1468">_xlfn.IFS(Tabla1[[#This Row],[Porcentaje de muertes]]&lt;0.35,"LEVE",AND(Tabla1[[#This Row],[Porcentaje de muertes]]&gt;0.35,Tabla1[[#This Row],[Porcentaje de muertes]]&lt;0.65),"MEDIO",Tabla1[[#This Row],[Porcentaje de muertes]]&gt;0.65,"GRAVE")</f>
        <v>GRAVE</v>
      </c>
    </row>
    <row r="1469" spans="2:24" x14ac:dyDescent="0.3">
      <c r="B1469" s="9">
        <v>1468</v>
      </c>
      <c r="C1469" s="49">
        <v>19952</v>
      </c>
      <c r="D1469" s="9">
        <f>YEAR(Tabla1[[#This Row],[Date]])</f>
        <v>1954</v>
      </c>
      <c r="E1469" s="9" t="str" cm="1">
        <f t="array" ref="E1469">IFERROR(_xlfn.IFS(AND(D1469&lt;1980,D1469&gt;=1970),"70",AND(D1469&lt;1990,D1469&gt;=1980),"80",AND(D1469&lt;2000,D1469&gt;=1990),"90",AND(D1469&lt;2010,D1469&gt;=2000),"00",AND(D1469&lt;=2019,D1469&gt;=2010),"10"),"1908-1970")</f>
        <v>1908-1970</v>
      </c>
      <c r="F1469" s="3" t="s">
        <v>28931</v>
      </c>
      <c r="G1469" t="s">
        <v>11338</v>
      </c>
      <c r="H1469" t="s">
        <v>11339</v>
      </c>
      <c r="I1469" t="s">
        <v>28931</v>
      </c>
      <c r="J1469" t="s">
        <v>11340</v>
      </c>
      <c r="K1469" t="s">
        <v>11341</v>
      </c>
      <c r="L1469" s="7" t="s">
        <v>11342</v>
      </c>
      <c r="M1469">
        <v>12809</v>
      </c>
      <c r="N1469">
        <v>55</v>
      </c>
      <c r="O1469">
        <v>51</v>
      </c>
      <c r="P1469">
        <v>4</v>
      </c>
      <c r="Q1469">
        <v>47</v>
      </c>
      <c r="R1469">
        <v>46</v>
      </c>
      <c r="S1469">
        <v>1</v>
      </c>
      <c r="T1469">
        <v>0</v>
      </c>
      <c r="U1469" t="s">
        <v>11343</v>
      </c>
      <c r="V1469">
        <f>Tabla1[[#This Row],[Aboard]]-Tabla1[[#This Row],[Fatalities]]</f>
        <v>8</v>
      </c>
      <c r="W1469" s="50">
        <f>IFERROR(Tabla1[[#This Row],[Fatalities]]/Tabla1[[#This Row],[Aboard]],0)</f>
        <v>0.8545454545454545</v>
      </c>
      <c r="X1469" s="51" t="str" cm="1">
        <f t="array" ref="X1469">_xlfn.IFS(Tabla1[[#This Row],[Porcentaje de muertes]]&lt;0.35,"LEVE",AND(Tabla1[[#This Row],[Porcentaje de muertes]]&gt;0.35,Tabla1[[#This Row],[Porcentaje de muertes]]&lt;0.65),"MEDIO",Tabla1[[#This Row],[Porcentaje de muertes]]&gt;0.65,"GRAVE")</f>
        <v>GRAVE</v>
      </c>
    </row>
    <row r="1470" spans="2:24" x14ac:dyDescent="0.3">
      <c r="B1470" s="9">
        <v>1469</v>
      </c>
      <c r="C1470" s="49">
        <v>19958</v>
      </c>
      <c r="D1470" s="9">
        <f>YEAR(Tabla1[[#This Row],[Date]])</f>
        <v>1954</v>
      </c>
      <c r="E1470" s="9" t="str" cm="1">
        <f t="array" ref="E1470">IFERROR(_xlfn.IFS(AND(D1470&lt;1980,D1470&gt;=1970),"70",AND(D1470&lt;1990,D1470&gt;=1980),"80",AND(D1470&lt;2000,D1470&gt;=1990),"90",AND(D1470&lt;2010,D1470&gt;=2000),"00",AND(D1470&lt;=2019,D1470&gt;=2010),"10"),"1908-1970")</f>
        <v>1908-1970</v>
      </c>
      <c r="F1470" s="3">
        <v>0.7104166666666667</v>
      </c>
      <c r="G1470" t="s">
        <v>11344</v>
      </c>
      <c r="H1470" t="s">
        <v>6080</v>
      </c>
      <c r="I1470">
        <v>152</v>
      </c>
      <c r="J1470" t="s">
        <v>11345</v>
      </c>
      <c r="K1470" t="s">
        <v>7057</v>
      </c>
      <c r="L1470" s="7" t="s">
        <v>11346</v>
      </c>
      <c r="M1470">
        <v>4630</v>
      </c>
      <c r="N1470">
        <v>19</v>
      </c>
      <c r="O1470">
        <v>16</v>
      </c>
      <c r="P1470">
        <v>3</v>
      </c>
      <c r="Q1470">
        <v>12</v>
      </c>
      <c r="R1470">
        <v>10</v>
      </c>
      <c r="S1470">
        <v>2</v>
      </c>
      <c r="T1470">
        <v>0</v>
      </c>
      <c r="U1470" t="s">
        <v>11347</v>
      </c>
      <c r="V1470">
        <f>Tabla1[[#This Row],[Aboard]]-Tabla1[[#This Row],[Fatalities]]</f>
        <v>7</v>
      </c>
      <c r="W1470" s="50">
        <f>IFERROR(Tabla1[[#This Row],[Fatalities]]/Tabla1[[#This Row],[Aboard]],0)</f>
        <v>0.63157894736842102</v>
      </c>
      <c r="X1470" s="51" t="str" cm="1">
        <f t="array" ref="X1470">_xlfn.IFS(Tabla1[[#This Row],[Porcentaje de muertes]]&lt;0.35,"LEVE",AND(Tabla1[[#This Row],[Porcentaje de muertes]]&gt;0.35,Tabla1[[#This Row],[Porcentaje de muertes]]&lt;0.65),"MEDIO",Tabla1[[#This Row],[Porcentaje de muertes]]&gt;0.65,"GRAVE")</f>
        <v>MEDIO</v>
      </c>
    </row>
    <row r="1471" spans="2:24" x14ac:dyDescent="0.3">
      <c r="B1471" s="9">
        <v>1470</v>
      </c>
      <c r="C1471" s="49">
        <v>19959</v>
      </c>
      <c r="D1471" s="9">
        <f>YEAR(Tabla1[[#This Row],[Date]])</f>
        <v>1954</v>
      </c>
      <c r="E1471" s="9" t="str" cm="1">
        <f t="array" ref="E1471">IFERROR(_xlfn.IFS(AND(D1471&lt;1980,D1471&gt;=1970),"70",AND(D1471&lt;1990,D1471&gt;=1980),"80",AND(D1471&lt;2000,D1471&gt;=1990),"90",AND(D1471&lt;2010,D1471&gt;=2000),"00",AND(D1471&lt;=2019,D1471&gt;=2010),"10"),"1908-1970")</f>
        <v>1908-1970</v>
      </c>
      <c r="F1471" s="3">
        <v>0.4826388888888889</v>
      </c>
      <c r="G1471" t="s">
        <v>11348</v>
      </c>
      <c r="H1471" t="s">
        <v>5332</v>
      </c>
      <c r="I1471" t="s">
        <v>28931</v>
      </c>
      <c r="J1471" t="s">
        <v>11349</v>
      </c>
      <c r="K1471" t="s">
        <v>10428</v>
      </c>
      <c r="L1471" s="7" t="s">
        <v>11350</v>
      </c>
      <c r="M1471" t="s">
        <v>11351</v>
      </c>
      <c r="N1471">
        <v>21</v>
      </c>
      <c r="O1471">
        <v>12</v>
      </c>
      <c r="P1471">
        <v>9</v>
      </c>
      <c r="Q1471">
        <v>21</v>
      </c>
      <c r="R1471">
        <v>12</v>
      </c>
      <c r="S1471">
        <v>9</v>
      </c>
      <c r="T1471">
        <v>0</v>
      </c>
      <c r="U1471" t="s">
        <v>11352</v>
      </c>
      <c r="V1471">
        <f>Tabla1[[#This Row],[Aboard]]-Tabla1[[#This Row],[Fatalities]]</f>
        <v>0</v>
      </c>
      <c r="W1471" s="50">
        <f>IFERROR(Tabla1[[#This Row],[Fatalities]]/Tabla1[[#This Row],[Aboard]],0)</f>
        <v>1</v>
      </c>
      <c r="X1471" s="51" t="str" cm="1">
        <f t="array" ref="X1471">_xlfn.IFS(Tabla1[[#This Row],[Porcentaje de muertes]]&lt;0.35,"LEVE",AND(Tabla1[[#This Row],[Porcentaje de muertes]]&gt;0.35,Tabla1[[#This Row],[Porcentaje de muertes]]&lt;0.65),"MEDIO",Tabla1[[#This Row],[Porcentaje de muertes]]&gt;0.65,"GRAVE")</f>
        <v>GRAVE</v>
      </c>
    </row>
    <row r="1472" spans="2:24" x14ac:dyDescent="0.3">
      <c r="B1472" s="9">
        <v>1471</v>
      </c>
      <c r="C1472" s="49">
        <v>19962</v>
      </c>
      <c r="D1472" s="9">
        <f>YEAR(Tabla1[[#This Row],[Date]])</f>
        <v>1954</v>
      </c>
      <c r="E1472" s="9" t="str" cm="1">
        <f t="array" ref="E1472">IFERROR(_xlfn.IFS(AND(D1472&lt;1980,D1472&gt;=1970),"70",AND(D1472&lt;1990,D1472&gt;=1980),"80",AND(D1472&lt;2000,D1472&gt;=1990),"90",AND(D1472&lt;2010,D1472&gt;=2000),"00",AND(D1472&lt;=2019,D1472&gt;=2010),"10"),"1908-1970")</f>
        <v>1908-1970</v>
      </c>
      <c r="F1472" s="3">
        <v>0.4513888888888889</v>
      </c>
      <c r="G1472" t="s">
        <v>11353</v>
      </c>
      <c r="H1472" t="s">
        <v>6541</v>
      </c>
      <c r="I1472">
        <v>971</v>
      </c>
      <c r="J1472" t="s">
        <v>11354</v>
      </c>
      <c r="K1472" t="s">
        <v>8258</v>
      </c>
      <c r="L1472" s="7" t="s">
        <v>11355</v>
      </c>
      <c r="M1472">
        <v>6803</v>
      </c>
      <c r="N1472">
        <v>27</v>
      </c>
      <c r="O1472">
        <v>22</v>
      </c>
      <c r="P1472">
        <v>5</v>
      </c>
      <c r="Q1472">
        <v>26</v>
      </c>
      <c r="R1472">
        <v>21</v>
      </c>
      <c r="S1472">
        <v>5</v>
      </c>
      <c r="T1472">
        <v>1</v>
      </c>
      <c r="U1472" t="s">
        <v>11356</v>
      </c>
      <c r="V1472">
        <f>Tabla1[[#This Row],[Aboard]]-Tabla1[[#This Row],[Fatalities]]</f>
        <v>1</v>
      </c>
      <c r="W1472" s="50">
        <f>IFERROR(Tabla1[[#This Row],[Fatalities]]/Tabla1[[#This Row],[Aboard]],0)</f>
        <v>0.96296296296296291</v>
      </c>
      <c r="X1472" s="51" t="str" cm="1">
        <f t="array" ref="X1472">_xlfn.IFS(Tabla1[[#This Row],[Porcentaje de muertes]]&lt;0.35,"LEVE",AND(Tabla1[[#This Row],[Porcentaje de muertes]]&gt;0.35,Tabla1[[#This Row],[Porcentaje de muertes]]&lt;0.65),"MEDIO",Tabla1[[#This Row],[Porcentaje de muertes]]&gt;0.65,"GRAVE")</f>
        <v>GRAVE</v>
      </c>
    </row>
    <row r="1473" spans="2:24" x14ac:dyDescent="0.3">
      <c r="B1473" s="9">
        <v>1472</v>
      </c>
      <c r="C1473" s="49">
        <v>19963</v>
      </c>
      <c r="D1473" s="9">
        <f>YEAR(Tabla1[[#This Row],[Date]])</f>
        <v>1954</v>
      </c>
      <c r="E1473" s="9" t="str" cm="1">
        <f t="array" ref="E1473">IFERROR(_xlfn.IFS(AND(D1473&lt;1980,D1473&gt;=1970),"70",AND(D1473&lt;1990,D1473&gt;=1980),"80",AND(D1473&lt;2000,D1473&gt;=1990),"90",AND(D1473&lt;2010,D1473&gt;=2000),"00",AND(D1473&lt;=2019,D1473&gt;=2010),"10"),"1908-1970")</f>
        <v>1908-1970</v>
      </c>
      <c r="F1473" s="3">
        <v>0.9243055555555556</v>
      </c>
      <c r="G1473" t="s">
        <v>11357</v>
      </c>
      <c r="H1473" t="s">
        <v>7987</v>
      </c>
      <c r="I1473" t="s">
        <v>28931</v>
      </c>
      <c r="J1473" t="s">
        <v>6190</v>
      </c>
      <c r="K1473" t="s">
        <v>10942</v>
      </c>
      <c r="L1473" s="7" t="s">
        <v>11358</v>
      </c>
      <c r="M1473" t="s">
        <v>28931</v>
      </c>
      <c r="N1473">
        <v>27</v>
      </c>
      <c r="O1473">
        <v>23</v>
      </c>
      <c r="P1473">
        <v>4</v>
      </c>
      <c r="Q1473">
        <v>26</v>
      </c>
      <c r="R1473">
        <v>23</v>
      </c>
      <c r="S1473">
        <v>3</v>
      </c>
      <c r="T1473">
        <v>0</v>
      </c>
      <c r="U1473" t="s">
        <v>11359</v>
      </c>
      <c r="V1473">
        <f>Tabla1[[#This Row],[Aboard]]-Tabla1[[#This Row],[Fatalities]]</f>
        <v>1</v>
      </c>
      <c r="W1473" s="50">
        <f>IFERROR(Tabla1[[#This Row],[Fatalities]]/Tabla1[[#This Row],[Aboard]],0)</f>
        <v>0.96296296296296291</v>
      </c>
      <c r="X1473" s="51" t="str" cm="1">
        <f t="array" ref="X1473">_xlfn.IFS(Tabla1[[#This Row],[Porcentaje de muertes]]&lt;0.35,"LEVE",AND(Tabla1[[#This Row],[Porcentaje de muertes]]&gt;0.35,Tabla1[[#This Row],[Porcentaje de muertes]]&lt;0.65),"MEDIO",Tabla1[[#This Row],[Porcentaje de muertes]]&gt;0.65,"GRAVE")</f>
        <v>GRAVE</v>
      </c>
    </row>
    <row r="1474" spans="2:24" x14ac:dyDescent="0.3">
      <c r="B1474" s="9">
        <v>1473</v>
      </c>
      <c r="C1474" s="49">
        <v>19853</v>
      </c>
      <c r="D1474" s="9">
        <f>YEAR(Tabla1[[#This Row],[Date]])</f>
        <v>1954</v>
      </c>
      <c r="E1474" s="9" t="str" cm="1">
        <f t="array" ref="E1474">IFERROR(_xlfn.IFS(AND(D1474&lt;1980,D1474&gt;=1970),"70",AND(D1474&lt;1990,D1474&gt;=1980),"80",AND(D1474&lt;2000,D1474&gt;=1990),"90",AND(D1474&lt;2010,D1474&gt;=2000),"00",AND(D1474&lt;=2019,D1474&gt;=2010),"10"),"1908-1970")</f>
        <v>1908-1970</v>
      </c>
      <c r="F1474" s="3">
        <v>0.11041666666666666</v>
      </c>
      <c r="G1474" t="s">
        <v>11360</v>
      </c>
      <c r="H1474" t="s">
        <v>5332</v>
      </c>
      <c r="I1474">
        <v>633</v>
      </c>
      <c r="J1474" t="s">
        <v>11361</v>
      </c>
      <c r="K1474" t="s">
        <v>11362</v>
      </c>
      <c r="L1474" s="7" t="s">
        <v>11363</v>
      </c>
      <c r="M1474">
        <v>4509</v>
      </c>
      <c r="N1474">
        <v>56</v>
      </c>
      <c r="O1474">
        <v>46</v>
      </c>
      <c r="P1474">
        <v>10</v>
      </c>
      <c r="Q1474">
        <v>28</v>
      </c>
      <c r="R1474">
        <v>25</v>
      </c>
      <c r="S1474">
        <v>3</v>
      </c>
      <c r="T1474">
        <v>0</v>
      </c>
      <c r="U1474" t="s">
        <v>11364</v>
      </c>
      <c r="V1474">
        <f>Tabla1[[#This Row],[Aboard]]-Tabla1[[#This Row],[Fatalities]]</f>
        <v>28</v>
      </c>
      <c r="W1474" s="50">
        <f>IFERROR(Tabla1[[#This Row],[Fatalities]]/Tabla1[[#This Row],[Aboard]],0)</f>
        <v>0.5</v>
      </c>
      <c r="X1474" s="51" t="str" cm="1">
        <f t="array" ref="X1474">_xlfn.IFS(Tabla1[[#This Row],[Porcentaje de muertes]]&lt;0.35,"LEVE",AND(Tabla1[[#This Row],[Porcentaje de muertes]]&gt;0.35,Tabla1[[#This Row],[Porcentaje de muertes]]&lt;0.65),"MEDIO",Tabla1[[#This Row],[Porcentaje de muertes]]&gt;0.65,"GRAVE")</f>
        <v>MEDIO</v>
      </c>
    </row>
    <row r="1475" spans="2:24" x14ac:dyDescent="0.3">
      <c r="B1475" s="9">
        <v>1474</v>
      </c>
      <c r="C1475" s="49">
        <v>20067</v>
      </c>
      <c r="D1475" s="9">
        <f>YEAR(Tabla1[[#This Row],[Date]])</f>
        <v>1954</v>
      </c>
      <c r="E1475" s="9" t="str" cm="1">
        <f t="array" ref="E1475">IFERROR(_xlfn.IFS(AND(D1475&lt;1980,D1475&gt;=1970),"70",AND(D1475&lt;1990,D1475&gt;=1980),"80",AND(D1475&lt;2000,D1475&gt;=1990),"90",AND(D1475&lt;2010,D1475&gt;=2000),"00",AND(D1475&lt;=2019,D1475&gt;=2010),"10"),"1908-1970")</f>
        <v>1908-1970</v>
      </c>
      <c r="F1475" s="3">
        <v>0.83888888888888891</v>
      </c>
      <c r="G1475" t="s">
        <v>10767</v>
      </c>
      <c r="H1475" t="s">
        <v>9425</v>
      </c>
      <c r="I1475" t="s">
        <v>28931</v>
      </c>
      <c r="J1475" t="s">
        <v>7996</v>
      </c>
      <c r="K1475" t="s">
        <v>7057</v>
      </c>
      <c r="L1475" s="7" t="s">
        <v>11365</v>
      </c>
      <c r="M1475">
        <v>19278</v>
      </c>
      <c r="N1475">
        <v>26</v>
      </c>
      <c r="O1475">
        <v>22</v>
      </c>
      <c r="P1475">
        <v>4</v>
      </c>
      <c r="Q1475">
        <v>6</v>
      </c>
      <c r="R1475">
        <v>6</v>
      </c>
      <c r="S1475">
        <v>0</v>
      </c>
      <c r="T1475">
        <v>0</v>
      </c>
      <c r="U1475" t="s">
        <v>11366</v>
      </c>
      <c r="V1475">
        <f>Tabla1[[#This Row],[Aboard]]-Tabla1[[#This Row],[Fatalities]]</f>
        <v>20</v>
      </c>
      <c r="W1475" s="50">
        <f>IFERROR(Tabla1[[#This Row],[Fatalities]]/Tabla1[[#This Row],[Aboard]],0)</f>
        <v>0.23076923076923078</v>
      </c>
      <c r="X1475" s="51" t="str" cm="1">
        <f t="array" ref="X1475">_xlfn.IFS(Tabla1[[#This Row],[Porcentaje de muertes]]&lt;0.35,"LEVE",AND(Tabla1[[#This Row],[Porcentaje de muertes]]&gt;0.35,Tabla1[[#This Row],[Porcentaje de muertes]]&lt;0.65),"MEDIO",Tabla1[[#This Row],[Porcentaje de muertes]]&gt;0.65,"GRAVE")</f>
        <v>LEVE</v>
      </c>
    </row>
    <row r="1476" spans="2:24" x14ac:dyDescent="0.3">
      <c r="B1476" s="9">
        <v>1475</v>
      </c>
      <c r="C1476" s="49">
        <v>19982</v>
      </c>
      <c r="D1476" s="9">
        <f>YEAR(Tabla1[[#This Row],[Date]])</f>
        <v>1954</v>
      </c>
      <c r="E1476" s="9" t="str" cm="1">
        <f t="array" ref="E1476">IFERROR(_xlfn.IFS(AND(D1476&lt;1980,D1476&gt;=1970),"70",AND(D1476&lt;1990,D1476&gt;=1980),"80",AND(D1476&lt;2000,D1476&gt;=1990),"90",AND(D1476&lt;2010,D1476&gt;=2000),"00",AND(D1476&lt;=2019,D1476&gt;=2010),"10"),"1908-1970")</f>
        <v>1908-1970</v>
      </c>
      <c r="F1476" s="3" t="s">
        <v>28931</v>
      </c>
      <c r="G1476" t="s">
        <v>6648</v>
      </c>
      <c r="H1476" t="s">
        <v>6563</v>
      </c>
      <c r="I1476" t="s">
        <v>28931</v>
      </c>
      <c r="J1476" t="s">
        <v>5243</v>
      </c>
      <c r="K1476" t="s">
        <v>11367</v>
      </c>
      <c r="L1476" s="7" t="s">
        <v>11368</v>
      </c>
      <c r="M1476">
        <v>212</v>
      </c>
      <c r="N1476">
        <v>4</v>
      </c>
      <c r="O1476">
        <v>0</v>
      </c>
      <c r="P1476">
        <v>4</v>
      </c>
      <c r="Q1476">
        <v>3</v>
      </c>
      <c r="R1476">
        <v>0</v>
      </c>
      <c r="S1476">
        <v>3</v>
      </c>
      <c r="T1476">
        <v>0</v>
      </c>
      <c r="U1476" t="s">
        <v>11369</v>
      </c>
      <c r="V1476">
        <f>Tabla1[[#This Row],[Aboard]]-Tabla1[[#This Row],[Fatalities]]</f>
        <v>1</v>
      </c>
      <c r="W1476" s="50">
        <f>IFERROR(Tabla1[[#This Row],[Fatalities]]/Tabla1[[#This Row],[Aboard]],0)</f>
        <v>0.75</v>
      </c>
      <c r="X1476" s="51" t="str" cm="1">
        <f t="array" ref="X1476">_xlfn.IFS(Tabla1[[#This Row],[Porcentaje de muertes]]&lt;0.35,"LEVE",AND(Tabla1[[#This Row],[Porcentaje de muertes]]&gt;0.35,Tabla1[[#This Row],[Porcentaje de muertes]]&lt;0.65),"MEDIO",Tabla1[[#This Row],[Porcentaje de muertes]]&gt;0.65,"GRAVE")</f>
        <v>GRAVE</v>
      </c>
    </row>
    <row r="1477" spans="2:24" x14ac:dyDescent="0.3">
      <c r="B1477" s="9">
        <v>1476</v>
      </c>
      <c r="C1477" s="49">
        <v>19994</v>
      </c>
      <c r="D1477" s="9">
        <f>YEAR(Tabla1[[#This Row],[Date]])</f>
        <v>1954</v>
      </c>
      <c r="E1477" s="9" t="str" cm="1">
        <f t="array" ref="E1477">IFERROR(_xlfn.IFS(AND(D1477&lt;1980,D1477&gt;=1970),"70",AND(D1477&lt;1990,D1477&gt;=1980),"80",AND(D1477&lt;2000,D1477&gt;=1990),"90",AND(D1477&lt;2010,D1477&gt;=2000),"00",AND(D1477&lt;=2019,D1477&gt;=2010),"10"),"1908-1970")</f>
        <v>1908-1970</v>
      </c>
      <c r="F1477" s="3">
        <v>3.9583333333333331E-2</v>
      </c>
      <c r="G1477" t="s">
        <v>11370</v>
      </c>
      <c r="H1477" t="s">
        <v>6541</v>
      </c>
      <c r="I1477">
        <v>10</v>
      </c>
      <c r="J1477" t="s">
        <v>11018</v>
      </c>
      <c r="K1477" t="s">
        <v>9305</v>
      </c>
      <c r="L1477" s="7" t="s">
        <v>11371</v>
      </c>
      <c r="M1477" t="s">
        <v>11372</v>
      </c>
      <c r="N1477">
        <v>29</v>
      </c>
      <c r="O1477">
        <v>24</v>
      </c>
      <c r="P1477">
        <v>5</v>
      </c>
      <c r="Q1477">
        <v>29</v>
      </c>
      <c r="R1477">
        <v>24</v>
      </c>
      <c r="S1477">
        <v>5</v>
      </c>
      <c r="T1477">
        <v>0</v>
      </c>
      <c r="U1477" t="s">
        <v>11373</v>
      </c>
      <c r="V1477">
        <f>Tabla1[[#This Row],[Aboard]]-Tabla1[[#This Row],[Fatalities]]</f>
        <v>0</v>
      </c>
      <c r="W1477" s="50">
        <f>IFERROR(Tabla1[[#This Row],[Fatalities]]/Tabla1[[#This Row],[Aboard]],0)</f>
        <v>1</v>
      </c>
      <c r="X1477" s="51" t="str" cm="1">
        <f t="array" ref="X1477">_xlfn.IFS(Tabla1[[#This Row],[Porcentaje de muertes]]&lt;0.35,"LEVE",AND(Tabla1[[#This Row],[Porcentaje de muertes]]&gt;0.35,Tabla1[[#This Row],[Porcentaje de muertes]]&lt;0.65),"MEDIO",Tabla1[[#This Row],[Porcentaje de muertes]]&gt;0.65,"GRAVE")</f>
        <v>GRAVE</v>
      </c>
    </row>
    <row r="1478" spans="2:24" x14ac:dyDescent="0.3">
      <c r="B1478" s="9">
        <v>1477</v>
      </c>
      <c r="C1478" s="49">
        <v>20021</v>
      </c>
      <c r="D1478" s="9">
        <f>YEAR(Tabla1[[#This Row],[Date]])</f>
        <v>1954</v>
      </c>
      <c r="E1478" s="9" t="str" cm="1">
        <f t="array" ref="E1478">IFERROR(_xlfn.IFS(AND(D1478&lt;1980,D1478&gt;=1970),"70",AND(D1478&lt;1990,D1478&gt;=1980),"80",AND(D1478&lt;2000,D1478&gt;=1990),"90",AND(D1478&lt;2010,D1478&gt;=2000),"00",AND(D1478&lt;=2019,D1478&gt;=2010),"10"),"1908-1970")</f>
        <v>1908-1970</v>
      </c>
      <c r="F1478" s="3">
        <v>0.74305555555555547</v>
      </c>
      <c r="G1478" t="s">
        <v>11374</v>
      </c>
      <c r="H1478" t="s">
        <v>7987</v>
      </c>
      <c r="I1478" t="s">
        <v>28931</v>
      </c>
      <c r="J1478" t="s">
        <v>11375</v>
      </c>
      <c r="K1478" t="s">
        <v>7953</v>
      </c>
      <c r="L1478" s="7" t="s">
        <v>11376</v>
      </c>
      <c r="M1478">
        <v>20510</v>
      </c>
      <c r="N1478">
        <v>21</v>
      </c>
      <c r="O1478">
        <v>18</v>
      </c>
      <c r="P1478">
        <v>3</v>
      </c>
      <c r="Q1478">
        <v>21</v>
      </c>
      <c r="R1478">
        <v>18</v>
      </c>
      <c r="S1478">
        <v>3</v>
      </c>
      <c r="T1478">
        <v>0</v>
      </c>
      <c r="U1478" t="s">
        <v>11377</v>
      </c>
      <c r="V1478">
        <f>Tabla1[[#This Row],[Aboard]]-Tabla1[[#This Row],[Fatalities]]</f>
        <v>0</v>
      </c>
      <c r="W1478" s="50">
        <f>IFERROR(Tabla1[[#This Row],[Fatalities]]/Tabla1[[#This Row],[Aboard]],0)</f>
        <v>1</v>
      </c>
      <c r="X1478" s="51" t="str" cm="1">
        <f t="array" ref="X1478">_xlfn.IFS(Tabla1[[#This Row],[Porcentaje de muertes]]&lt;0.35,"LEVE",AND(Tabla1[[#This Row],[Porcentaje de muertes]]&gt;0.35,Tabla1[[#This Row],[Porcentaje de muertes]]&lt;0.65),"MEDIO",Tabla1[[#This Row],[Porcentaje de muertes]]&gt;0.65,"GRAVE")</f>
        <v>GRAVE</v>
      </c>
    </row>
    <row r="1479" spans="2:24" x14ac:dyDescent="0.3">
      <c r="B1479" s="9">
        <v>1478</v>
      </c>
      <c r="C1479" s="49">
        <v>20025</v>
      </c>
      <c r="D1479" s="9">
        <f>YEAR(Tabla1[[#This Row],[Date]])</f>
        <v>1954</v>
      </c>
      <c r="E1479" s="9" t="str" cm="1">
        <f t="array" ref="E1479">IFERROR(_xlfn.IFS(AND(D1479&lt;1980,D1479&gt;=1970),"70",AND(D1479&lt;1990,D1479&gt;=1980),"80",AND(D1479&lt;2000,D1479&gt;=1990),"90",AND(D1479&lt;2010,D1479&gt;=2000),"00",AND(D1479&lt;=2019,D1479&gt;=2010),"10"),"1908-1970")</f>
        <v>1908-1970</v>
      </c>
      <c r="F1479" s="3">
        <v>6.9444444444444441E-3</v>
      </c>
      <c r="G1479" t="s">
        <v>11378</v>
      </c>
      <c r="H1479" t="s">
        <v>6541</v>
      </c>
      <c r="I1479">
        <v>136</v>
      </c>
      <c r="J1479" t="s">
        <v>9855</v>
      </c>
      <c r="K1479" t="s">
        <v>11379</v>
      </c>
      <c r="L1479" s="7" t="s">
        <v>11380</v>
      </c>
      <c r="M1479">
        <v>93013206</v>
      </c>
      <c r="N1479">
        <v>16</v>
      </c>
      <c r="O1479">
        <v>13</v>
      </c>
      <c r="P1479">
        <v>3</v>
      </c>
      <c r="Q1479">
        <v>16</v>
      </c>
      <c r="R1479">
        <v>13</v>
      </c>
      <c r="S1479">
        <v>3</v>
      </c>
      <c r="T1479">
        <v>0</v>
      </c>
      <c r="U1479" t="s">
        <v>11381</v>
      </c>
      <c r="V1479">
        <f>Tabla1[[#This Row],[Aboard]]-Tabla1[[#This Row],[Fatalities]]</f>
        <v>0</v>
      </c>
      <c r="W1479" s="50">
        <f>IFERROR(Tabla1[[#This Row],[Fatalities]]/Tabla1[[#This Row],[Aboard]],0)</f>
        <v>1</v>
      </c>
      <c r="X1479" s="51" t="str" cm="1">
        <f t="array" ref="X1479">_xlfn.IFS(Tabla1[[#This Row],[Porcentaje de muertes]]&lt;0.35,"LEVE",AND(Tabla1[[#This Row],[Porcentaje de muertes]]&gt;0.35,Tabla1[[#This Row],[Porcentaje de muertes]]&lt;0.65),"MEDIO",Tabla1[[#This Row],[Porcentaje de muertes]]&gt;0.65,"GRAVE")</f>
        <v>GRAVE</v>
      </c>
    </row>
    <row r="1480" spans="2:24" x14ac:dyDescent="0.3">
      <c r="B1480" s="9">
        <v>1479</v>
      </c>
      <c r="C1480" s="49">
        <v>20027</v>
      </c>
      <c r="D1480" s="9">
        <f>YEAR(Tabla1[[#This Row],[Date]])</f>
        <v>1954</v>
      </c>
      <c r="E1480" s="9" t="str" cm="1">
        <f t="array" ref="E1480">IFERROR(_xlfn.IFS(AND(D1480&lt;1980,D1480&gt;=1970),"70",AND(D1480&lt;1990,D1480&gt;=1980),"80",AND(D1480&lt;2000,D1480&gt;=1990),"90",AND(D1480&lt;2010,D1480&gt;=2000),"00",AND(D1480&lt;=2019,D1480&gt;=2010),"10"),"1908-1970")</f>
        <v>1908-1970</v>
      </c>
      <c r="F1480" s="3">
        <v>4.1666666666666664E-2</v>
      </c>
      <c r="G1480" t="s">
        <v>11382</v>
      </c>
      <c r="H1480" t="s">
        <v>5027</v>
      </c>
      <c r="I1480">
        <v>57</v>
      </c>
      <c r="J1480" t="s">
        <v>11383</v>
      </c>
      <c r="K1480" t="s">
        <v>11384</v>
      </c>
      <c r="L1480" s="7">
        <v>128441</v>
      </c>
      <c r="M1480">
        <v>4108</v>
      </c>
      <c r="N1480">
        <v>42</v>
      </c>
      <c r="O1480">
        <v>21</v>
      </c>
      <c r="P1480">
        <v>21</v>
      </c>
      <c r="Q1480">
        <v>42</v>
      </c>
      <c r="R1480">
        <v>21</v>
      </c>
      <c r="S1480">
        <v>21</v>
      </c>
      <c r="T1480">
        <v>0</v>
      </c>
      <c r="U1480" t="s">
        <v>11385</v>
      </c>
      <c r="V1480">
        <f>Tabla1[[#This Row],[Aboard]]-Tabla1[[#This Row],[Fatalities]]</f>
        <v>0</v>
      </c>
      <c r="W1480" s="50">
        <f>IFERROR(Tabla1[[#This Row],[Fatalities]]/Tabla1[[#This Row],[Aboard]],0)</f>
        <v>1</v>
      </c>
      <c r="X1480" s="51" t="str" cm="1">
        <f t="array" ref="X1480">_xlfn.IFS(Tabla1[[#This Row],[Porcentaje de muertes]]&lt;0.35,"LEVE",AND(Tabla1[[#This Row],[Porcentaje de muertes]]&gt;0.35,Tabla1[[#This Row],[Porcentaje de muertes]]&lt;0.65),"MEDIO",Tabla1[[#This Row],[Porcentaje de muertes]]&gt;0.65,"GRAVE")</f>
        <v>GRAVE</v>
      </c>
    </row>
    <row r="1481" spans="2:24" x14ac:dyDescent="0.3">
      <c r="B1481" s="9">
        <v>1480</v>
      </c>
      <c r="C1481" s="49">
        <v>20028</v>
      </c>
      <c r="D1481" s="9">
        <f>YEAR(Tabla1[[#This Row],[Date]])</f>
        <v>1954</v>
      </c>
      <c r="E1481" s="9" t="str" cm="1">
        <f t="array" ref="E1481">IFERROR(_xlfn.IFS(AND(D1481&lt;1980,D1481&gt;=1970),"70",AND(D1481&lt;1990,D1481&gt;=1980),"80",AND(D1481&lt;2000,D1481&gt;=1990),"90",AND(D1481&lt;2010,D1481&gt;=2000),"00",AND(D1481&lt;=2019,D1481&gt;=2010),"10"),"1908-1970")</f>
        <v>1908-1970</v>
      </c>
      <c r="F1481" s="3">
        <v>0.63194444444444442</v>
      </c>
      <c r="G1481" t="s">
        <v>11386</v>
      </c>
      <c r="H1481" t="s">
        <v>11387</v>
      </c>
      <c r="I1481" t="s">
        <v>28931</v>
      </c>
      <c r="J1481" t="s">
        <v>6190</v>
      </c>
      <c r="K1481" t="s">
        <v>11388</v>
      </c>
      <c r="L1481" s="7" t="s">
        <v>11389</v>
      </c>
      <c r="M1481">
        <v>44</v>
      </c>
      <c r="N1481">
        <v>8</v>
      </c>
      <c r="O1481">
        <v>0</v>
      </c>
      <c r="P1481">
        <v>8</v>
      </c>
      <c r="Q1481">
        <v>3</v>
      </c>
      <c r="R1481">
        <v>0</v>
      </c>
      <c r="S1481">
        <v>3</v>
      </c>
      <c r="T1481">
        <v>0</v>
      </c>
      <c r="U1481" t="s">
        <v>11390</v>
      </c>
      <c r="V1481">
        <f>Tabla1[[#This Row],[Aboard]]-Tabla1[[#This Row],[Fatalities]]</f>
        <v>5</v>
      </c>
      <c r="W1481" s="50">
        <f>IFERROR(Tabla1[[#This Row],[Fatalities]]/Tabla1[[#This Row],[Aboard]],0)</f>
        <v>0.375</v>
      </c>
      <c r="X1481" s="51" t="str" cm="1">
        <f t="array" ref="X1481">_xlfn.IFS(Tabla1[[#This Row],[Porcentaje de muertes]]&lt;0.35,"LEVE",AND(Tabla1[[#This Row],[Porcentaje de muertes]]&gt;0.35,Tabla1[[#This Row],[Porcentaje de muertes]]&lt;0.65),"MEDIO",Tabla1[[#This Row],[Porcentaje de muertes]]&gt;0.65,"GRAVE")</f>
        <v>MEDIO</v>
      </c>
    </row>
    <row r="1482" spans="2:24" x14ac:dyDescent="0.3">
      <c r="B1482" s="9">
        <v>1481</v>
      </c>
      <c r="C1482" s="49">
        <v>20044</v>
      </c>
      <c r="D1482" s="9">
        <f>YEAR(Tabla1[[#This Row],[Date]])</f>
        <v>1954</v>
      </c>
      <c r="E1482" s="9" t="str" cm="1">
        <f t="array" ref="E1482">IFERROR(_xlfn.IFS(AND(D1482&lt;1980,D1482&gt;=1970),"70",AND(D1482&lt;1990,D1482&gt;=1980),"80",AND(D1482&lt;2000,D1482&gt;=1990),"90",AND(D1482&lt;2010,D1482&gt;=2000),"00",AND(D1482&lt;=2019,D1482&gt;=2010),"10"),"1908-1970")</f>
        <v>1908-1970</v>
      </c>
      <c r="F1482" s="3" t="s">
        <v>28931</v>
      </c>
      <c r="G1482" t="s">
        <v>11391</v>
      </c>
      <c r="H1482" t="s">
        <v>11392</v>
      </c>
      <c r="I1482" t="s">
        <v>28931</v>
      </c>
      <c r="J1482" t="s">
        <v>11393</v>
      </c>
      <c r="K1482" t="s">
        <v>7057</v>
      </c>
      <c r="L1482" s="7" t="s">
        <v>11394</v>
      </c>
      <c r="M1482" t="s">
        <v>28931</v>
      </c>
      <c r="N1482">
        <v>24</v>
      </c>
      <c r="O1482">
        <v>21</v>
      </c>
      <c r="P1482">
        <v>3</v>
      </c>
      <c r="Q1482">
        <v>24</v>
      </c>
      <c r="R1482">
        <v>21</v>
      </c>
      <c r="S1482">
        <v>3</v>
      </c>
      <c r="T1482">
        <v>0</v>
      </c>
      <c r="U1482" t="s">
        <v>11395</v>
      </c>
      <c r="V1482">
        <f>Tabla1[[#This Row],[Aboard]]-Tabla1[[#This Row],[Fatalities]]</f>
        <v>0</v>
      </c>
      <c r="W1482" s="50">
        <f>IFERROR(Tabla1[[#This Row],[Fatalities]]/Tabla1[[#This Row],[Aboard]],0)</f>
        <v>1</v>
      </c>
      <c r="X1482" s="51" t="str" cm="1">
        <f t="array" ref="X1482">_xlfn.IFS(Tabla1[[#This Row],[Porcentaje de muertes]]&lt;0.35,"LEVE",AND(Tabla1[[#This Row],[Porcentaje de muertes]]&gt;0.35,Tabla1[[#This Row],[Porcentaje de muertes]]&lt;0.65),"MEDIO",Tabla1[[#This Row],[Porcentaje de muertes]]&gt;0.65,"GRAVE")</f>
        <v>GRAVE</v>
      </c>
    </row>
    <row r="1483" spans="2:24" x14ac:dyDescent="0.3">
      <c r="B1483" s="9">
        <v>1482</v>
      </c>
      <c r="C1483" s="49">
        <v>20058</v>
      </c>
      <c r="D1483" s="9">
        <f>YEAR(Tabla1[[#This Row],[Date]])</f>
        <v>1954</v>
      </c>
      <c r="E1483" s="9" t="str" cm="1">
        <f t="array" ref="E1483">IFERROR(_xlfn.IFS(AND(D1483&lt;1980,D1483&gt;=1970),"70",AND(D1483&lt;1990,D1483&gt;=1980),"80",AND(D1483&lt;2000,D1483&gt;=1990),"90",AND(D1483&lt;2010,D1483&gt;=2000),"00",AND(D1483&lt;=2019,D1483&gt;=2010),"10"),"1908-1970")</f>
        <v>1908-1970</v>
      </c>
      <c r="F1483" s="3">
        <v>0.46875</v>
      </c>
      <c r="G1483" t="s">
        <v>11396</v>
      </c>
      <c r="H1483" t="s">
        <v>11397</v>
      </c>
      <c r="I1483">
        <v>792</v>
      </c>
      <c r="J1483" t="s">
        <v>11398</v>
      </c>
      <c r="K1483" t="s">
        <v>7057</v>
      </c>
      <c r="L1483" s="7" t="s">
        <v>11399</v>
      </c>
      <c r="M1483">
        <v>11745</v>
      </c>
      <c r="N1483">
        <v>7</v>
      </c>
      <c r="O1483">
        <v>3</v>
      </c>
      <c r="P1483">
        <v>4</v>
      </c>
      <c r="Q1483">
        <v>2</v>
      </c>
      <c r="R1483">
        <v>0</v>
      </c>
      <c r="S1483">
        <v>2</v>
      </c>
      <c r="T1483">
        <v>0</v>
      </c>
      <c r="U1483" t="s">
        <v>11400</v>
      </c>
      <c r="V1483">
        <f>Tabla1[[#This Row],[Aboard]]-Tabla1[[#This Row],[Fatalities]]</f>
        <v>5</v>
      </c>
      <c r="W1483" s="50">
        <f>IFERROR(Tabla1[[#This Row],[Fatalities]]/Tabla1[[#This Row],[Aboard]],0)</f>
        <v>0.2857142857142857</v>
      </c>
      <c r="X1483" s="51" t="str" cm="1">
        <f t="array" ref="X1483">_xlfn.IFS(Tabla1[[#This Row],[Porcentaje de muertes]]&lt;0.35,"LEVE",AND(Tabla1[[#This Row],[Porcentaje de muertes]]&gt;0.35,Tabla1[[#This Row],[Porcentaje de muertes]]&lt;0.65),"MEDIO",Tabla1[[#This Row],[Porcentaje de muertes]]&gt;0.65,"GRAVE")</f>
        <v>LEVE</v>
      </c>
    </row>
    <row r="1484" spans="2:24" x14ac:dyDescent="0.3">
      <c r="B1484" s="9">
        <v>1483</v>
      </c>
      <c r="C1484" s="49">
        <v>19826</v>
      </c>
      <c r="D1484" s="9">
        <f>YEAR(Tabla1[[#This Row],[Date]])</f>
        <v>1954</v>
      </c>
      <c r="E1484" s="9" t="str" cm="1">
        <f t="array" ref="E1484">IFERROR(_xlfn.IFS(AND(D1484&lt;1980,D1484&gt;=1970),"70",AND(D1484&lt;1990,D1484&gt;=1980),"80",AND(D1484&lt;2000,D1484&gt;=1990),"90",AND(D1484&lt;2010,D1484&gt;=2000),"00",AND(D1484&lt;=2019,D1484&gt;=2010),"10"),"1908-1970")</f>
        <v>1908-1970</v>
      </c>
      <c r="F1484" s="3" t="s">
        <v>28931</v>
      </c>
      <c r="G1484" t="s">
        <v>11401</v>
      </c>
      <c r="H1484" t="s">
        <v>11402</v>
      </c>
      <c r="I1484" t="s">
        <v>28931</v>
      </c>
      <c r="J1484" t="s">
        <v>11403</v>
      </c>
      <c r="K1484" t="s">
        <v>7057</v>
      </c>
      <c r="L1484" s="7" t="s">
        <v>11404</v>
      </c>
      <c r="M1484">
        <v>19211</v>
      </c>
      <c r="N1484">
        <v>29</v>
      </c>
      <c r="O1484">
        <v>25</v>
      </c>
      <c r="P1484">
        <v>4</v>
      </c>
      <c r="Q1484">
        <v>29</v>
      </c>
      <c r="R1484">
        <v>25</v>
      </c>
      <c r="S1484">
        <v>4</v>
      </c>
      <c r="T1484">
        <v>0</v>
      </c>
      <c r="U1484" t="s">
        <v>11405</v>
      </c>
      <c r="V1484">
        <f>Tabla1[[#This Row],[Aboard]]-Tabla1[[#This Row],[Fatalities]]</f>
        <v>0</v>
      </c>
      <c r="W1484" s="50">
        <f>IFERROR(Tabla1[[#This Row],[Fatalities]]/Tabla1[[#This Row],[Aboard]],0)</f>
        <v>1</v>
      </c>
      <c r="X1484" s="51" t="str" cm="1">
        <f t="array" ref="X1484">_xlfn.IFS(Tabla1[[#This Row],[Porcentaje de muertes]]&lt;0.35,"LEVE",AND(Tabla1[[#This Row],[Porcentaje de muertes]]&gt;0.35,Tabla1[[#This Row],[Porcentaje de muertes]]&lt;0.65),"MEDIO",Tabla1[[#This Row],[Porcentaje de muertes]]&gt;0.65,"GRAVE")</f>
        <v>GRAVE</v>
      </c>
    </row>
    <row r="1485" spans="2:24" x14ac:dyDescent="0.3">
      <c r="B1485" s="9">
        <v>1484</v>
      </c>
      <c r="C1485" s="49">
        <v>20070</v>
      </c>
      <c r="D1485" s="9">
        <f>YEAR(Tabla1[[#This Row],[Date]])</f>
        <v>1954</v>
      </c>
      <c r="E1485" s="9" t="str" cm="1">
        <f t="array" ref="E1485">IFERROR(_xlfn.IFS(AND(D1485&lt;1980,D1485&gt;=1970),"70",AND(D1485&lt;1990,D1485&gt;=1980),"80",AND(D1485&lt;2000,D1485&gt;=1990),"90",AND(D1485&lt;2010,D1485&gt;=2000),"00",AND(D1485&lt;=2019,D1485&gt;=2010),"10"),"1908-1970")</f>
        <v>1908-1970</v>
      </c>
      <c r="F1485" s="3">
        <v>0.96111111111111114</v>
      </c>
      <c r="G1485" t="s">
        <v>11406</v>
      </c>
      <c r="H1485" t="s">
        <v>11407</v>
      </c>
      <c r="I1485" t="s">
        <v>28931</v>
      </c>
      <c r="J1485" t="s">
        <v>11408</v>
      </c>
      <c r="K1485" t="s">
        <v>8105</v>
      </c>
      <c r="L1485" s="7" t="s">
        <v>11409</v>
      </c>
      <c r="M1485">
        <v>12549</v>
      </c>
      <c r="N1485">
        <v>4</v>
      </c>
      <c r="O1485">
        <v>0</v>
      </c>
      <c r="P1485">
        <v>4</v>
      </c>
      <c r="Q1485">
        <v>4</v>
      </c>
      <c r="R1485">
        <v>0</v>
      </c>
      <c r="S1485">
        <v>4</v>
      </c>
      <c r="T1485">
        <v>0</v>
      </c>
      <c r="U1485" t="s">
        <v>11410</v>
      </c>
      <c r="V1485">
        <f>Tabla1[[#This Row],[Aboard]]-Tabla1[[#This Row],[Fatalities]]</f>
        <v>0</v>
      </c>
      <c r="W1485" s="50">
        <f>IFERROR(Tabla1[[#This Row],[Fatalities]]/Tabla1[[#This Row],[Aboard]],0)</f>
        <v>1</v>
      </c>
      <c r="X1485" s="51" t="str" cm="1">
        <f t="array" ref="X1485">_xlfn.IFS(Tabla1[[#This Row],[Porcentaje de muertes]]&lt;0.35,"LEVE",AND(Tabla1[[#This Row],[Porcentaje de muertes]]&gt;0.35,Tabla1[[#This Row],[Porcentaje de muertes]]&lt;0.65),"MEDIO",Tabla1[[#This Row],[Porcentaje de muertes]]&gt;0.65,"GRAVE")</f>
        <v>GRAVE</v>
      </c>
    </row>
    <row r="1486" spans="2:24" x14ac:dyDescent="0.3">
      <c r="B1486" s="9">
        <v>1485</v>
      </c>
      <c r="C1486" s="49">
        <v>20076</v>
      </c>
      <c r="D1486" s="9">
        <f>YEAR(Tabla1[[#This Row],[Date]])</f>
        <v>1954</v>
      </c>
      <c r="E1486" s="9" t="str" cm="1">
        <f t="array" ref="E1486">IFERROR(_xlfn.IFS(AND(D1486&lt;1980,D1486&gt;=1970),"70",AND(D1486&lt;1990,D1486&gt;=1980),"80",AND(D1486&lt;2000,D1486&gt;=1990),"90",AND(D1486&lt;2010,D1486&gt;=2000),"00",AND(D1486&lt;=2019,D1486&gt;=2010),"10"),"1908-1970")</f>
        <v>1908-1970</v>
      </c>
      <c r="F1486" s="3">
        <v>0.58333333333333337</v>
      </c>
      <c r="G1486" t="s">
        <v>5425</v>
      </c>
      <c r="H1486" t="s">
        <v>7490</v>
      </c>
      <c r="I1486">
        <v>451</v>
      </c>
      <c r="J1486" t="s">
        <v>11411</v>
      </c>
      <c r="K1486" t="s">
        <v>10428</v>
      </c>
      <c r="L1486" s="7" t="s">
        <v>11412</v>
      </c>
      <c r="M1486" t="s">
        <v>11413</v>
      </c>
      <c r="N1486">
        <v>32</v>
      </c>
      <c r="O1486">
        <v>22</v>
      </c>
      <c r="P1486">
        <v>10</v>
      </c>
      <c r="Q1486">
        <v>26</v>
      </c>
      <c r="R1486">
        <v>16</v>
      </c>
      <c r="S1486">
        <v>10</v>
      </c>
      <c r="T1486">
        <v>0</v>
      </c>
      <c r="U1486" t="s">
        <v>11414</v>
      </c>
      <c r="V1486">
        <f>Tabla1[[#This Row],[Aboard]]-Tabla1[[#This Row],[Fatalities]]</f>
        <v>6</v>
      </c>
      <c r="W1486" s="50">
        <f>IFERROR(Tabla1[[#This Row],[Fatalities]]/Tabla1[[#This Row],[Aboard]],0)</f>
        <v>0.8125</v>
      </c>
      <c r="X1486" s="51" t="str" cm="1">
        <f t="array" ref="X1486">_xlfn.IFS(Tabla1[[#This Row],[Porcentaje de muertes]]&lt;0.35,"LEVE",AND(Tabla1[[#This Row],[Porcentaje de muertes]]&gt;0.35,Tabla1[[#This Row],[Porcentaje de muertes]]&lt;0.65),"MEDIO",Tabla1[[#This Row],[Porcentaje de muertes]]&gt;0.65,"GRAVE")</f>
        <v>GRAVE</v>
      </c>
    </row>
    <row r="1487" spans="2:24" x14ac:dyDescent="0.3">
      <c r="B1487" s="9">
        <v>1486</v>
      </c>
      <c r="C1487" s="49">
        <v>20076</v>
      </c>
      <c r="D1487" s="9">
        <f>YEAR(Tabla1[[#This Row],[Date]])</f>
        <v>1954</v>
      </c>
      <c r="E1487" s="9" t="str" cm="1">
        <f t="array" ref="E1487">IFERROR(_xlfn.IFS(AND(D1487&lt;1980,D1487&gt;=1970),"70",AND(D1487&lt;1990,D1487&gt;=1980),"80",AND(D1487&lt;2000,D1487&gt;=1990),"90",AND(D1487&lt;2010,D1487&gt;=2000),"00",AND(D1487&lt;=2019,D1487&gt;=2010),"10"),"1908-1970")</f>
        <v>1908-1970</v>
      </c>
      <c r="F1487" s="3" t="s">
        <v>28931</v>
      </c>
      <c r="G1487" t="s">
        <v>11415</v>
      </c>
      <c r="H1487" t="s">
        <v>9074</v>
      </c>
      <c r="I1487" t="s">
        <v>28931</v>
      </c>
      <c r="J1487" t="s">
        <v>11416</v>
      </c>
      <c r="K1487" t="s">
        <v>8105</v>
      </c>
      <c r="L1487" s="7" t="s">
        <v>11417</v>
      </c>
      <c r="M1487">
        <v>19292</v>
      </c>
      <c r="N1487">
        <v>2</v>
      </c>
      <c r="O1487">
        <v>0</v>
      </c>
      <c r="P1487">
        <v>2</v>
      </c>
      <c r="Q1487">
        <v>2</v>
      </c>
      <c r="R1487">
        <v>0</v>
      </c>
      <c r="S1487">
        <v>2</v>
      </c>
      <c r="T1487">
        <v>0</v>
      </c>
      <c r="U1487" t="s">
        <v>11418</v>
      </c>
      <c r="V1487">
        <f>Tabla1[[#This Row],[Aboard]]-Tabla1[[#This Row],[Fatalities]]</f>
        <v>0</v>
      </c>
      <c r="W1487" s="50">
        <f>IFERROR(Tabla1[[#This Row],[Fatalities]]/Tabla1[[#This Row],[Aboard]],0)</f>
        <v>1</v>
      </c>
      <c r="X1487" s="51" t="str" cm="1">
        <f t="array" ref="X1487">_xlfn.IFS(Tabla1[[#This Row],[Porcentaje de muertes]]&lt;0.35,"LEVE",AND(Tabla1[[#This Row],[Porcentaje de muertes]]&gt;0.35,Tabla1[[#This Row],[Porcentaje de muertes]]&lt;0.65),"MEDIO",Tabla1[[#This Row],[Porcentaje de muertes]]&gt;0.65,"GRAVE")</f>
        <v>GRAVE</v>
      </c>
    </row>
    <row r="1488" spans="2:24" x14ac:dyDescent="0.3">
      <c r="B1488" s="9">
        <v>1487</v>
      </c>
      <c r="C1488" s="49">
        <v>20080</v>
      </c>
      <c r="D1488" s="9">
        <f>YEAR(Tabla1[[#This Row],[Date]])</f>
        <v>1954</v>
      </c>
      <c r="E1488" s="9" t="str" cm="1">
        <f t="array" ref="E1488">IFERROR(_xlfn.IFS(AND(D1488&lt;1980,D1488&gt;=1970),"70",AND(D1488&lt;1990,D1488&gt;=1980),"80",AND(D1488&lt;2000,D1488&gt;=1990),"90",AND(D1488&lt;2010,D1488&gt;=2000),"00",AND(D1488&lt;=2019,D1488&gt;=2010),"10"),"1908-1970")</f>
        <v>1908-1970</v>
      </c>
      <c r="F1488" s="3">
        <v>0.95833333333333337</v>
      </c>
      <c r="G1488" t="s">
        <v>6547</v>
      </c>
      <c r="H1488" t="s">
        <v>11419</v>
      </c>
      <c r="I1488" t="s">
        <v>11420</v>
      </c>
      <c r="J1488" t="s">
        <v>11421</v>
      </c>
      <c r="K1488" t="s">
        <v>7057</v>
      </c>
      <c r="L1488" s="7" t="s">
        <v>11422</v>
      </c>
      <c r="M1488">
        <v>20197</v>
      </c>
      <c r="N1488">
        <v>28</v>
      </c>
      <c r="O1488">
        <v>23</v>
      </c>
      <c r="P1488">
        <v>5</v>
      </c>
      <c r="Q1488">
        <v>10</v>
      </c>
      <c r="R1488">
        <v>9</v>
      </c>
      <c r="S1488">
        <v>1</v>
      </c>
      <c r="T1488">
        <v>0</v>
      </c>
      <c r="U1488" t="s">
        <v>11423</v>
      </c>
      <c r="V1488">
        <f>Tabla1[[#This Row],[Aboard]]-Tabla1[[#This Row],[Fatalities]]</f>
        <v>18</v>
      </c>
      <c r="W1488" s="50">
        <f>IFERROR(Tabla1[[#This Row],[Fatalities]]/Tabla1[[#This Row],[Aboard]],0)</f>
        <v>0.35714285714285715</v>
      </c>
      <c r="X1488" s="51" t="str" cm="1">
        <f t="array" ref="X1488">_xlfn.IFS(Tabla1[[#This Row],[Porcentaje de muertes]]&lt;0.35,"LEVE",AND(Tabla1[[#This Row],[Porcentaje de muertes]]&gt;0.35,Tabla1[[#This Row],[Porcentaje de muertes]]&lt;0.65),"MEDIO",Tabla1[[#This Row],[Porcentaje de muertes]]&gt;0.65,"GRAVE")</f>
        <v>MEDIO</v>
      </c>
    </row>
    <row r="1489" spans="2:24" x14ac:dyDescent="0.3">
      <c r="B1489" s="9">
        <v>1488</v>
      </c>
      <c r="C1489" s="49">
        <v>20083</v>
      </c>
      <c r="D1489" s="9">
        <f>YEAR(Tabla1[[#This Row],[Date]])</f>
        <v>1954</v>
      </c>
      <c r="E1489" s="9" t="str" cm="1">
        <f t="array" ref="E1489">IFERROR(_xlfn.IFS(AND(D1489&lt;1980,D1489&gt;=1970),"70",AND(D1489&lt;1990,D1489&gt;=1980),"80",AND(D1489&lt;2000,D1489&gt;=1990),"90",AND(D1489&lt;2010,D1489&gt;=2000),"00",AND(D1489&lt;=2019,D1489&gt;=2010),"10"),"1908-1970")</f>
        <v>1908-1970</v>
      </c>
      <c r="F1489" s="3" t="s">
        <v>28931</v>
      </c>
      <c r="G1489" t="s">
        <v>11424</v>
      </c>
      <c r="H1489" t="s">
        <v>7521</v>
      </c>
      <c r="I1489" t="s">
        <v>28931</v>
      </c>
      <c r="J1489" t="s">
        <v>11425</v>
      </c>
      <c r="K1489" t="s">
        <v>11426</v>
      </c>
      <c r="L1489" s="7" t="s">
        <v>11427</v>
      </c>
      <c r="M1489">
        <v>15943</v>
      </c>
      <c r="N1489">
        <v>36</v>
      </c>
      <c r="O1489">
        <v>25</v>
      </c>
      <c r="P1489">
        <v>11</v>
      </c>
      <c r="Q1489">
        <v>28</v>
      </c>
      <c r="R1489">
        <v>24</v>
      </c>
      <c r="S1489">
        <v>4</v>
      </c>
      <c r="T1489">
        <v>0</v>
      </c>
      <c r="U1489" t="s">
        <v>11428</v>
      </c>
      <c r="V1489">
        <f>Tabla1[[#This Row],[Aboard]]-Tabla1[[#This Row],[Fatalities]]</f>
        <v>8</v>
      </c>
      <c r="W1489" s="50">
        <f>IFERROR(Tabla1[[#This Row],[Fatalities]]/Tabla1[[#This Row],[Aboard]],0)</f>
        <v>0.77777777777777779</v>
      </c>
      <c r="X1489" s="51" t="str" cm="1">
        <f t="array" ref="X1489">_xlfn.IFS(Tabla1[[#This Row],[Porcentaje de muertes]]&lt;0.35,"LEVE",AND(Tabla1[[#This Row],[Porcentaje de muertes]]&gt;0.35,Tabla1[[#This Row],[Porcentaje de muertes]]&lt;0.65),"MEDIO",Tabla1[[#This Row],[Porcentaje de muertes]]&gt;0.65,"GRAVE")</f>
        <v>GRAVE</v>
      </c>
    </row>
    <row r="1490" spans="2:24" x14ac:dyDescent="0.3">
      <c r="B1490" s="9">
        <v>1489</v>
      </c>
      <c r="C1490" s="49">
        <v>20089</v>
      </c>
      <c r="D1490" s="9">
        <f>YEAR(Tabla1[[#This Row],[Date]])</f>
        <v>1954</v>
      </c>
      <c r="E1490" s="9" t="str" cm="1">
        <f t="array" ref="E1490">IFERROR(_xlfn.IFS(AND(D1490&lt;1980,D1490&gt;=1970),"70",AND(D1490&lt;1990,D1490&gt;=1980),"80",AND(D1490&lt;2000,D1490&gt;=1990),"90",AND(D1490&lt;2010,D1490&gt;=2000),"00",AND(D1490&lt;=2019,D1490&gt;=2010),"10"),"1908-1970")</f>
        <v>1908-1970</v>
      </c>
      <c r="F1490" s="3" t="s">
        <v>28931</v>
      </c>
      <c r="G1490" t="s">
        <v>11429</v>
      </c>
      <c r="H1490" t="s">
        <v>6541</v>
      </c>
      <c r="I1490" t="s">
        <v>28931</v>
      </c>
      <c r="J1490" t="s">
        <v>11430</v>
      </c>
      <c r="K1490" t="s">
        <v>11431</v>
      </c>
      <c r="L1490" s="7" t="s">
        <v>28931</v>
      </c>
      <c r="M1490" t="s">
        <v>28931</v>
      </c>
      <c r="N1490">
        <v>17</v>
      </c>
      <c r="O1490">
        <v>14</v>
      </c>
      <c r="P1490">
        <v>3</v>
      </c>
      <c r="Q1490">
        <v>17</v>
      </c>
      <c r="R1490">
        <v>14</v>
      </c>
      <c r="S1490">
        <v>3</v>
      </c>
      <c r="T1490">
        <v>0</v>
      </c>
      <c r="U1490" t="s">
        <v>11432</v>
      </c>
      <c r="V1490">
        <f>Tabla1[[#This Row],[Aboard]]-Tabla1[[#This Row],[Fatalities]]</f>
        <v>0</v>
      </c>
      <c r="W1490" s="50">
        <f>IFERROR(Tabla1[[#This Row],[Fatalities]]/Tabla1[[#This Row],[Aboard]],0)</f>
        <v>1</v>
      </c>
      <c r="X1490" s="51" t="str" cm="1">
        <f t="array" ref="X1490">_xlfn.IFS(Tabla1[[#This Row],[Porcentaje de muertes]]&lt;0.35,"LEVE",AND(Tabla1[[#This Row],[Porcentaje de muertes]]&gt;0.35,Tabla1[[#This Row],[Porcentaje de muertes]]&lt;0.65),"MEDIO",Tabla1[[#This Row],[Porcentaje de muertes]]&gt;0.65,"GRAVE")</f>
        <v>GRAVE</v>
      </c>
    </row>
    <row r="1491" spans="2:24" x14ac:dyDescent="0.3">
      <c r="B1491" s="9">
        <v>1490</v>
      </c>
      <c r="C1491" s="49">
        <v>20090</v>
      </c>
      <c r="D1491" s="9">
        <f>YEAR(Tabla1[[#This Row],[Date]])</f>
        <v>1955</v>
      </c>
      <c r="E1491" s="9" t="str" cm="1">
        <f t="array" ref="E1491">IFERROR(_xlfn.IFS(AND(D1491&lt;1980,D1491&gt;=1970),"70",AND(D1491&lt;1990,D1491&gt;=1980),"80",AND(D1491&lt;2000,D1491&gt;=1990),"90",AND(D1491&lt;2010,D1491&gt;=2000),"00",AND(D1491&lt;=2019,D1491&gt;=2010),"10"),"1908-1970")</f>
        <v>1908-1970</v>
      </c>
      <c r="F1491" s="3" t="s">
        <v>28931</v>
      </c>
      <c r="G1491" t="s">
        <v>10834</v>
      </c>
      <c r="H1491" t="s">
        <v>10504</v>
      </c>
      <c r="I1491" t="s">
        <v>28931</v>
      </c>
      <c r="J1491" t="s">
        <v>11433</v>
      </c>
      <c r="K1491" t="s">
        <v>11434</v>
      </c>
      <c r="L1491" s="7" t="s">
        <v>28931</v>
      </c>
      <c r="M1491" t="s">
        <v>28931</v>
      </c>
      <c r="N1491">
        <v>12</v>
      </c>
      <c r="O1491" t="s">
        <v>5038</v>
      </c>
      <c r="P1491" t="s">
        <v>5038</v>
      </c>
      <c r="Q1491">
        <v>12</v>
      </c>
      <c r="R1491" t="s">
        <v>5038</v>
      </c>
      <c r="S1491" t="s">
        <v>5038</v>
      </c>
      <c r="T1491">
        <v>0</v>
      </c>
      <c r="U1491" t="s">
        <v>11435</v>
      </c>
      <c r="V1491">
        <f>Tabla1[[#This Row],[Aboard]]-Tabla1[[#This Row],[Fatalities]]</f>
        <v>0</v>
      </c>
      <c r="W1491" s="50">
        <f>IFERROR(Tabla1[[#This Row],[Fatalities]]/Tabla1[[#This Row],[Aboard]],0)</f>
        <v>1</v>
      </c>
      <c r="X1491" s="51" t="str" cm="1">
        <f t="array" ref="X1491">_xlfn.IFS(Tabla1[[#This Row],[Porcentaje de muertes]]&lt;0.35,"LEVE",AND(Tabla1[[#This Row],[Porcentaje de muertes]]&gt;0.35,Tabla1[[#This Row],[Porcentaje de muertes]]&lt;0.65),"MEDIO",Tabla1[[#This Row],[Porcentaje de muertes]]&gt;0.65,"GRAVE")</f>
        <v>GRAVE</v>
      </c>
    </row>
    <row r="1492" spans="2:24" x14ac:dyDescent="0.3">
      <c r="B1492" s="9">
        <v>1491</v>
      </c>
      <c r="C1492" s="49">
        <v>20394</v>
      </c>
      <c r="D1492" s="9">
        <f>YEAR(Tabla1[[#This Row],[Date]])</f>
        <v>1955</v>
      </c>
      <c r="E1492" s="9" t="str" cm="1">
        <f t="array" ref="E1492">IFERROR(_xlfn.IFS(AND(D1492&lt;1980,D1492&gt;=1970),"70",AND(D1492&lt;1990,D1492&gt;=1980),"80",AND(D1492&lt;2000,D1492&gt;=1990),"90",AND(D1492&lt;2010,D1492&gt;=2000),"00",AND(D1492&lt;=2019,D1492&gt;=2010),"10"),"1908-1970")</f>
        <v>1908-1970</v>
      </c>
      <c r="F1492" s="3">
        <v>0.875</v>
      </c>
      <c r="G1492" t="s">
        <v>11436</v>
      </c>
      <c r="H1492" t="s">
        <v>7660</v>
      </c>
      <c r="I1492" t="s">
        <v>28931</v>
      </c>
      <c r="J1492" t="s">
        <v>28931</v>
      </c>
      <c r="K1492" t="s">
        <v>11437</v>
      </c>
      <c r="L1492" s="7" t="s">
        <v>11438</v>
      </c>
      <c r="M1492" t="s">
        <v>28931</v>
      </c>
      <c r="N1492">
        <v>18</v>
      </c>
      <c r="O1492" t="s">
        <v>5038</v>
      </c>
      <c r="P1492" t="s">
        <v>5038</v>
      </c>
      <c r="Q1492">
        <v>18</v>
      </c>
      <c r="R1492" t="s">
        <v>5038</v>
      </c>
      <c r="S1492" t="s">
        <v>5038</v>
      </c>
      <c r="T1492">
        <v>0</v>
      </c>
      <c r="U1492" t="s">
        <v>11439</v>
      </c>
      <c r="V1492">
        <f>Tabla1[[#This Row],[Aboard]]-Tabla1[[#This Row],[Fatalities]]</f>
        <v>0</v>
      </c>
      <c r="W1492" s="50">
        <f>IFERROR(Tabla1[[#This Row],[Fatalities]]/Tabla1[[#This Row],[Aboard]],0)</f>
        <v>1</v>
      </c>
      <c r="X1492" s="51" t="str" cm="1">
        <f t="array" ref="X1492">_xlfn.IFS(Tabla1[[#This Row],[Porcentaje de muertes]]&lt;0.35,"LEVE",AND(Tabla1[[#This Row],[Porcentaje de muertes]]&gt;0.35,Tabla1[[#This Row],[Porcentaje de muertes]]&lt;0.65),"MEDIO",Tabla1[[#This Row],[Porcentaje de muertes]]&gt;0.65,"GRAVE")</f>
        <v>GRAVE</v>
      </c>
    </row>
    <row r="1493" spans="2:24" x14ac:dyDescent="0.3">
      <c r="B1493" s="9">
        <v>1492</v>
      </c>
      <c r="C1493" s="49">
        <v>20424</v>
      </c>
      <c r="D1493" s="9">
        <f>YEAR(Tabla1[[#This Row],[Date]])</f>
        <v>1955</v>
      </c>
      <c r="E1493" s="9" t="str" cm="1">
        <f t="array" ref="E1493">IFERROR(_xlfn.IFS(AND(D1493&lt;1980,D1493&gt;=1970),"70",AND(D1493&lt;1990,D1493&gt;=1980),"80",AND(D1493&lt;2000,D1493&gt;=1990),"90",AND(D1493&lt;2010,D1493&gt;=2000),"00",AND(D1493&lt;=2019,D1493&gt;=2010),"10"),"1908-1970")</f>
        <v>1908-1970</v>
      </c>
      <c r="F1493" s="3">
        <v>0.37847222222222227</v>
      </c>
      <c r="G1493" t="s">
        <v>11440</v>
      </c>
      <c r="H1493" t="s">
        <v>11441</v>
      </c>
      <c r="I1493" t="s">
        <v>28931</v>
      </c>
      <c r="J1493" t="s">
        <v>11442</v>
      </c>
      <c r="K1493" t="s">
        <v>11443</v>
      </c>
      <c r="L1493" s="7" t="s">
        <v>11444</v>
      </c>
      <c r="M1493" t="s">
        <v>11445</v>
      </c>
      <c r="N1493">
        <v>15</v>
      </c>
      <c r="O1493">
        <v>10</v>
      </c>
      <c r="P1493">
        <v>5</v>
      </c>
      <c r="Q1493">
        <v>15</v>
      </c>
      <c r="R1493">
        <v>10</v>
      </c>
      <c r="S1493">
        <v>5</v>
      </c>
      <c r="T1493">
        <v>0</v>
      </c>
      <c r="U1493" t="s">
        <v>11446</v>
      </c>
      <c r="V1493">
        <f>Tabla1[[#This Row],[Aboard]]-Tabla1[[#This Row],[Fatalities]]</f>
        <v>0</v>
      </c>
      <c r="W1493" s="50">
        <f>IFERROR(Tabla1[[#This Row],[Fatalities]]/Tabla1[[#This Row],[Aboard]],0)</f>
        <v>1</v>
      </c>
      <c r="X1493" s="51" t="str" cm="1">
        <f t="array" ref="X1493">_xlfn.IFS(Tabla1[[#This Row],[Porcentaje de muertes]]&lt;0.35,"LEVE",AND(Tabla1[[#This Row],[Porcentaje de muertes]]&gt;0.35,Tabla1[[#This Row],[Porcentaje de muertes]]&lt;0.65),"MEDIO",Tabla1[[#This Row],[Porcentaje de muertes]]&gt;0.65,"GRAVE")</f>
        <v>GRAVE</v>
      </c>
    </row>
    <row r="1494" spans="2:24" x14ac:dyDescent="0.3">
      <c r="B1494" s="9">
        <v>1493</v>
      </c>
      <c r="C1494" s="49">
        <v>20104</v>
      </c>
      <c r="D1494" s="9">
        <f>YEAR(Tabla1[[#This Row],[Date]])</f>
        <v>1955</v>
      </c>
      <c r="E1494" s="9" t="str" cm="1">
        <f t="array" ref="E1494">IFERROR(_xlfn.IFS(AND(D1494&lt;1980,D1494&gt;=1970),"70",AND(D1494&lt;1990,D1494&gt;=1980),"80",AND(D1494&lt;2000,D1494&gt;=1990),"90",AND(D1494&lt;2010,D1494&gt;=2000),"00",AND(D1494&lt;=2019,D1494&gt;=2010),"10"),"1908-1970")</f>
        <v>1908-1970</v>
      </c>
      <c r="F1494" s="3">
        <v>3.472222222222222E-3</v>
      </c>
      <c r="G1494" t="s">
        <v>11447</v>
      </c>
      <c r="H1494" t="s">
        <v>11448</v>
      </c>
      <c r="I1494" t="s">
        <v>28931</v>
      </c>
      <c r="J1494" t="s">
        <v>11449</v>
      </c>
      <c r="K1494" t="s">
        <v>11450</v>
      </c>
      <c r="L1494" s="7" t="s">
        <v>11451</v>
      </c>
      <c r="M1494" t="s">
        <v>28931</v>
      </c>
      <c r="N1494">
        <v>5</v>
      </c>
      <c r="O1494">
        <v>3</v>
      </c>
      <c r="P1494">
        <v>2</v>
      </c>
      <c r="Q1494">
        <v>1</v>
      </c>
      <c r="R1494">
        <v>1</v>
      </c>
      <c r="S1494">
        <v>0</v>
      </c>
      <c r="T1494">
        <v>0</v>
      </c>
      <c r="U1494" t="s">
        <v>11452</v>
      </c>
      <c r="V1494">
        <f>Tabla1[[#This Row],[Aboard]]-Tabla1[[#This Row],[Fatalities]]</f>
        <v>4</v>
      </c>
      <c r="W1494" s="50">
        <f>IFERROR(Tabla1[[#This Row],[Fatalities]]/Tabla1[[#This Row],[Aboard]],0)</f>
        <v>0.2</v>
      </c>
      <c r="X1494" s="51" t="str" cm="1">
        <f t="array" ref="X1494">_xlfn.IFS(Tabla1[[#This Row],[Porcentaje de muertes]]&lt;0.35,"LEVE",AND(Tabla1[[#This Row],[Porcentaje de muertes]]&gt;0.35,Tabla1[[#This Row],[Porcentaje de muertes]]&lt;0.65),"MEDIO",Tabla1[[#This Row],[Porcentaje de muertes]]&gt;0.65,"GRAVE")</f>
        <v>LEVE</v>
      </c>
    </row>
    <row r="1495" spans="2:24" x14ac:dyDescent="0.3">
      <c r="B1495" s="9">
        <v>1494</v>
      </c>
      <c r="C1495" s="49">
        <v>20108</v>
      </c>
      <c r="D1495" s="9">
        <f>YEAR(Tabla1[[#This Row],[Date]])</f>
        <v>1955</v>
      </c>
      <c r="E1495" s="9" t="str" cm="1">
        <f t="array" ref="E1495">IFERROR(_xlfn.IFS(AND(D1495&lt;1980,D1495&gt;=1970),"70",AND(D1495&lt;1990,D1495&gt;=1980),"80",AND(D1495&lt;2000,D1495&gt;=1990),"90",AND(D1495&lt;2010,D1495&gt;=2000),"00",AND(D1495&lt;=2019,D1495&gt;=2010),"10"),"1908-1970")</f>
        <v>1908-1970</v>
      </c>
      <c r="F1495" s="3">
        <v>0.68402777777777779</v>
      </c>
      <c r="G1495" t="s">
        <v>11453</v>
      </c>
      <c r="H1495" t="s">
        <v>6369</v>
      </c>
      <c r="I1495">
        <v>329</v>
      </c>
      <c r="J1495" t="s">
        <v>11454</v>
      </c>
      <c r="K1495" t="s">
        <v>11455</v>
      </c>
      <c r="L1495" s="7" t="s">
        <v>11456</v>
      </c>
      <c r="M1495">
        <v>180</v>
      </c>
      <c r="N1495">
        <v>39</v>
      </c>
      <c r="O1495">
        <v>36</v>
      </c>
      <c r="P1495">
        <v>3</v>
      </c>
      <c r="Q1495">
        <v>0</v>
      </c>
      <c r="R1495">
        <v>0</v>
      </c>
      <c r="S1495">
        <v>0</v>
      </c>
      <c r="T1495">
        <v>0</v>
      </c>
      <c r="U1495" t="s">
        <v>11457</v>
      </c>
      <c r="V1495">
        <f>Tabla1[[#This Row],[Aboard]]-Tabla1[[#This Row],[Fatalities]]</f>
        <v>39</v>
      </c>
      <c r="W1495" s="50">
        <f>IFERROR(Tabla1[[#This Row],[Fatalities]]/Tabla1[[#This Row],[Aboard]],0)</f>
        <v>0</v>
      </c>
      <c r="X1495" s="51" t="str" cm="1">
        <f t="array" ref="X1495">_xlfn.IFS(Tabla1[[#This Row],[Porcentaje de muertes]]&lt;0.35,"LEVE",AND(Tabla1[[#This Row],[Porcentaje de muertes]]&gt;0.35,Tabla1[[#This Row],[Porcentaje de muertes]]&lt;0.65),"MEDIO",Tabla1[[#This Row],[Porcentaje de muertes]]&gt;0.65,"GRAVE")</f>
        <v>LEVE</v>
      </c>
    </row>
    <row r="1496" spans="2:24" x14ac:dyDescent="0.3">
      <c r="B1496" s="9">
        <v>1495</v>
      </c>
      <c r="C1496" s="49">
        <v>20120</v>
      </c>
      <c r="D1496" s="9">
        <f>YEAR(Tabla1[[#This Row],[Date]])</f>
        <v>1955</v>
      </c>
      <c r="E1496" s="9" t="str" cm="1">
        <f t="array" ref="E1496">IFERROR(_xlfn.IFS(AND(D1496&lt;1980,D1496&gt;=1970),"70",AND(D1496&lt;1990,D1496&gt;=1980),"80",AND(D1496&lt;2000,D1496&gt;=1990),"90",AND(D1496&lt;2010,D1496&gt;=2000),"00",AND(D1496&lt;=2019,D1496&gt;=2010),"10"),"1908-1970")</f>
        <v>1908-1970</v>
      </c>
      <c r="F1496" s="3" t="s">
        <v>28931</v>
      </c>
      <c r="G1496" t="s">
        <v>11458</v>
      </c>
      <c r="H1496" t="s">
        <v>11459</v>
      </c>
      <c r="I1496" t="s">
        <v>28931</v>
      </c>
      <c r="J1496" t="s">
        <v>11460</v>
      </c>
      <c r="K1496" t="s">
        <v>11461</v>
      </c>
      <c r="L1496" s="7" t="s">
        <v>11462</v>
      </c>
      <c r="M1496" t="s">
        <v>28931</v>
      </c>
      <c r="N1496">
        <v>5</v>
      </c>
      <c r="O1496">
        <v>4</v>
      </c>
      <c r="P1496">
        <v>1</v>
      </c>
      <c r="Q1496">
        <v>5</v>
      </c>
      <c r="R1496">
        <v>4</v>
      </c>
      <c r="S1496">
        <v>1</v>
      </c>
      <c r="T1496">
        <v>0</v>
      </c>
      <c r="U1496" t="s">
        <v>11463</v>
      </c>
      <c r="V1496">
        <f>Tabla1[[#This Row],[Aboard]]-Tabla1[[#This Row],[Fatalities]]</f>
        <v>0</v>
      </c>
      <c r="W1496" s="50">
        <f>IFERROR(Tabla1[[#This Row],[Fatalities]]/Tabla1[[#This Row],[Aboard]],0)</f>
        <v>1</v>
      </c>
      <c r="X1496" s="51" t="str" cm="1">
        <f t="array" ref="X1496">_xlfn.IFS(Tabla1[[#This Row],[Porcentaje de muertes]]&lt;0.35,"LEVE",AND(Tabla1[[#This Row],[Porcentaje de muertes]]&gt;0.35,Tabla1[[#This Row],[Porcentaje de muertes]]&lt;0.65),"MEDIO",Tabla1[[#This Row],[Porcentaje de muertes]]&gt;0.65,"GRAVE")</f>
        <v>GRAVE</v>
      </c>
    </row>
    <row r="1497" spans="2:24" x14ac:dyDescent="0.3">
      <c r="B1497" s="9">
        <v>1496</v>
      </c>
      <c r="C1497" s="49">
        <v>20122</v>
      </c>
      <c r="D1497" s="9">
        <f>YEAR(Tabla1[[#This Row],[Date]])</f>
        <v>1955</v>
      </c>
      <c r="E1497" s="9" t="str" cm="1">
        <f t="array" ref="E1497">IFERROR(_xlfn.IFS(AND(D1497&lt;1980,D1497&gt;=1970),"70",AND(D1497&lt;1990,D1497&gt;=1980),"80",AND(D1497&lt;2000,D1497&gt;=1990),"90",AND(D1497&lt;2010,D1497&gt;=2000),"00",AND(D1497&lt;=2019,D1497&gt;=2010),"10"),"1908-1970")</f>
        <v>1908-1970</v>
      </c>
      <c r="F1497" s="3">
        <v>0.15972222222222224</v>
      </c>
      <c r="G1497" t="s">
        <v>10643</v>
      </c>
      <c r="H1497" t="s">
        <v>11150</v>
      </c>
      <c r="I1497" t="s">
        <v>28931</v>
      </c>
      <c r="J1497" t="s">
        <v>11464</v>
      </c>
      <c r="K1497" t="s">
        <v>7057</v>
      </c>
      <c r="L1497" s="7" t="s">
        <v>11465</v>
      </c>
      <c r="M1497">
        <v>13037</v>
      </c>
      <c r="N1497">
        <v>10</v>
      </c>
      <c r="O1497">
        <v>6</v>
      </c>
      <c r="P1497">
        <v>4</v>
      </c>
      <c r="Q1497">
        <v>10</v>
      </c>
      <c r="R1497">
        <v>6</v>
      </c>
      <c r="S1497">
        <v>4</v>
      </c>
      <c r="T1497">
        <v>0</v>
      </c>
      <c r="U1497" t="s">
        <v>11466</v>
      </c>
      <c r="V1497">
        <f>Tabla1[[#This Row],[Aboard]]-Tabla1[[#This Row],[Fatalities]]</f>
        <v>0</v>
      </c>
      <c r="W1497" s="50">
        <f>IFERROR(Tabla1[[#This Row],[Fatalities]]/Tabla1[[#This Row],[Aboard]],0)</f>
        <v>1</v>
      </c>
      <c r="X1497" s="51" t="str" cm="1">
        <f t="array" ref="X1497">_xlfn.IFS(Tabla1[[#This Row],[Porcentaje de muertes]]&lt;0.35,"LEVE",AND(Tabla1[[#This Row],[Porcentaje de muertes]]&gt;0.35,Tabla1[[#This Row],[Porcentaje de muertes]]&lt;0.65),"MEDIO",Tabla1[[#This Row],[Porcentaje de muertes]]&gt;0.65,"GRAVE")</f>
        <v>GRAVE</v>
      </c>
    </row>
    <row r="1498" spans="2:24" x14ac:dyDescent="0.3">
      <c r="B1498" s="9">
        <v>1497</v>
      </c>
      <c r="C1498" s="49">
        <v>20211</v>
      </c>
      <c r="D1498" s="9">
        <f>YEAR(Tabla1[[#This Row],[Date]])</f>
        <v>1955</v>
      </c>
      <c r="E1498" s="9" t="str" cm="1">
        <f t="array" ref="E1498">IFERROR(_xlfn.IFS(AND(D1498&lt;1980,D1498&gt;=1970),"70",AND(D1498&lt;1990,D1498&gt;=1980),"80",AND(D1498&lt;2000,D1498&gt;=1990),"90",AND(D1498&lt;2010,D1498&gt;=2000),"00",AND(D1498&lt;=2019,D1498&gt;=2010),"10"),"1908-1970")</f>
        <v>1908-1970</v>
      </c>
      <c r="F1498" s="3">
        <v>0.41944444444444445</v>
      </c>
      <c r="G1498" t="s">
        <v>11467</v>
      </c>
      <c r="H1498" t="s">
        <v>11468</v>
      </c>
      <c r="I1498" t="s">
        <v>28931</v>
      </c>
      <c r="J1498" t="s">
        <v>11469</v>
      </c>
      <c r="K1498" t="s">
        <v>11341</v>
      </c>
      <c r="L1498" s="7" t="s">
        <v>11470</v>
      </c>
      <c r="M1498">
        <v>12779</v>
      </c>
      <c r="N1498">
        <v>13</v>
      </c>
      <c r="O1498">
        <v>9</v>
      </c>
      <c r="P1498">
        <v>4</v>
      </c>
      <c r="Q1498">
        <v>13</v>
      </c>
      <c r="R1498">
        <v>9</v>
      </c>
      <c r="S1498">
        <v>4</v>
      </c>
      <c r="T1498">
        <v>0</v>
      </c>
      <c r="U1498" t="s">
        <v>11471</v>
      </c>
      <c r="V1498">
        <f>Tabla1[[#This Row],[Aboard]]-Tabla1[[#This Row],[Fatalities]]</f>
        <v>0</v>
      </c>
      <c r="W1498" s="50">
        <f>IFERROR(Tabla1[[#This Row],[Fatalities]]/Tabla1[[#This Row],[Aboard]],0)</f>
        <v>1</v>
      </c>
      <c r="X1498" s="51" t="str" cm="1">
        <f t="array" ref="X1498">_xlfn.IFS(Tabla1[[#This Row],[Porcentaje de muertes]]&lt;0.35,"LEVE",AND(Tabla1[[#This Row],[Porcentaje de muertes]]&gt;0.35,Tabla1[[#This Row],[Porcentaje de muertes]]&lt;0.65),"MEDIO",Tabla1[[#This Row],[Porcentaje de muertes]]&gt;0.65,"GRAVE")</f>
        <v>GRAVE</v>
      </c>
    </row>
    <row r="1499" spans="2:24" x14ac:dyDescent="0.3">
      <c r="B1499" s="9">
        <v>1498</v>
      </c>
      <c r="C1499" s="49">
        <v>20133</v>
      </c>
      <c r="D1499" s="9">
        <f>YEAR(Tabla1[[#This Row],[Date]])</f>
        <v>1955</v>
      </c>
      <c r="E1499" s="9" t="str" cm="1">
        <f t="array" ref="E1499">IFERROR(_xlfn.IFS(AND(D1499&lt;1980,D1499&gt;=1970),"70",AND(D1499&lt;1990,D1499&gt;=1980),"80",AND(D1499&lt;2000,D1499&gt;=1990),"90",AND(D1499&lt;2010,D1499&gt;=2000),"00",AND(D1499&lt;=2019,D1499&gt;=2010),"10"),"1908-1970")</f>
        <v>1908-1970</v>
      </c>
      <c r="F1499" s="3">
        <v>0.82847222222222217</v>
      </c>
      <c r="G1499" t="s">
        <v>11472</v>
      </c>
      <c r="H1499" t="s">
        <v>5957</v>
      </c>
      <c r="I1499" t="s">
        <v>28931</v>
      </c>
      <c r="J1499" t="s">
        <v>11473</v>
      </c>
      <c r="K1499" t="s">
        <v>9230</v>
      </c>
      <c r="L1499" s="7" t="s">
        <v>11474</v>
      </c>
      <c r="M1499" t="s">
        <v>11475</v>
      </c>
      <c r="N1499">
        <v>29</v>
      </c>
      <c r="O1499">
        <v>21</v>
      </c>
      <c r="P1499">
        <v>8</v>
      </c>
      <c r="Q1499">
        <v>29</v>
      </c>
      <c r="R1499">
        <v>21</v>
      </c>
      <c r="S1499">
        <v>8</v>
      </c>
      <c r="T1499">
        <v>0</v>
      </c>
      <c r="U1499" t="s">
        <v>11476</v>
      </c>
      <c r="V1499">
        <f>Tabla1[[#This Row],[Aboard]]-Tabla1[[#This Row],[Fatalities]]</f>
        <v>0</v>
      </c>
      <c r="W1499" s="50">
        <f>IFERROR(Tabla1[[#This Row],[Fatalities]]/Tabla1[[#This Row],[Aboard]],0)</f>
        <v>1</v>
      </c>
      <c r="X1499" s="51" t="str" cm="1">
        <f t="array" ref="X1499">_xlfn.IFS(Tabla1[[#This Row],[Porcentaje de muertes]]&lt;0.35,"LEVE",AND(Tabla1[[#This Row],[Porcentaje de muertes]]&gt;0.35,Tabla1[[#This Row],[Porcentaje de muertes]]&lt;0.65),"MEDIO",Tabla1[[#This Row],[Porcentaje de muertes]]&gt;0.65,"GRAVE")</f>
        <v>GRAVE</v>
      </c>
    </row>
    <row r="1500" spans="2:24" x14ac:dyDescent="0.3">
      <c r="B1500" s="9">
        <v>1499</v>
      </c>
      <c r="C1500" s="49">
        <v>20139</v>
      </c>
      <c r="D1500" s="9">
        <f>YEAR(Tabla1[[#This Row],[Date]])</f>
        <v>1955</v>
      </c>
      <c r="E1500" s="9" t="str" cm="1">
        <f t="array" ref="E1500">IFERROR(_xlfn.IFS(AND(D1500&lt;1980,D1500&gt;=1970),"70",AND(D1500&lt;1990,D1500&gt;=1980),"80",AND(D1500&lt;2000,D1500&gt;=1990),"90",AND(D1500&lt;2010,D1500&gt;=2000),"00",AND(D1500&lt;=2019,D1500&gt;=2010),"10"),"1908-1970")</f>
        <v>1908-1970</v>
      </c>
      <c r="F1500" s="3">
        <v>0.31319444444444444</v>
      </c>
      <c r="G1500" t="s">
        <v>11477</v>
      </c>
      <c r="H1500" t="s">
        <v>10166</v>
      </c>
      <c r="I1500">
        <v>260</v>
      </c>
      <c r="J1500" t="s">
        <v>11478</v>
      </c>
      <c r="K1500" t="s">
        <v>11479</v>
      </c>
      <c r="L1500" s="7" t="s">
        <v>11480</v>
      </c>
      <c r="M1500">
        <v>14120</v>
      </c>
      <c r="N1500">
        <v>16</v>
      </c>
      <c r="O1500">
        <v>13</v>
      </c>
      <c r="P1500">
        <v>3</v>
      </c>
      <c r="Q1500">
        <v>16</v>
      </c>
      <c r="R1500">
        <v>13</v>
      </c>
      <c r="S1500">
        <v>3</v>
      </c>
      <c r="T1500">
        <v>0</v>
      </c>
      <c r="U1500" t="s">
        <v>11481</v>
      </c>
      <c r="V1500">
        <f>Tabla1[[#This Row],[Aboard]]-Tabla1[[#This Row],[Fatalities]]</f>
        <v>0</v>
      </c>
      <c r="W1500" s="50">
        <f>IFERROR(Tabla1[[#This Row],[Fatalities]]/Tabla1[[#This Row],[Aboard]],0)</f>
        <v>1</v>
      </c>
      <c r="X1500" s="51" t="str" cm="1">
        <f t="array" ref="X1500">_xlfn.IFS(Tabla1[[#This Row],[Porcentaje de muertes]]&lt;0.35,"LEVE",AND(Tabla1[[#This Row],[Porcentaje de muertes]]&gt;0.35,Tabla1[[#This Row],[Porcentaje de muertes]]&lt;0.65),"MEDIO",Tabla1[[#This Row],[Porcentaje de muertes]]&gt;0.65,"GRAVE")</f>
        <v>GRAVE</v>
      </c>
    </row>
    <row r="1501" spans="2:24" x14ac:dyDescent="0.3">
      <c r="B1501" s="9">
        <v>1500</v>
      </c>
      <c r="C1501" s="49">
        <v>20143</v>
      </c>
      <c r="D1501" s="9">
        <f>YEAR(Tabla1[[#This Row],[Date]])</f>
        <v>1955</v>
      </c>
      <c r="E1501" s="9" t="str" cm="1">
        <f t="array" ref="E1501">IFERROR(_xlfn.IFS(AND(D1501&lt;1980,D1501&gt;=1970),"70",AND(D1501&lt;1990,D1501&gt;=1980),"80",AND(D1501&lt;2000,D1501&gt;=1990),"90",AND(D1501&lt;2010,D1501&gt;=2000),"00",AND(D1501&lt;=2019,D1501&gt;=2010),"10"),"1908-1970")</f>
        <v>1908-1970</v>
      </c>
      <c r="F1501" s="3">
        <v>0.3888888888888889</v>
      </c>
      <c r="G1501" t="s">
        <v>11482</v>
      </c>
      <c r="H1501" t="s">
        <v>10955</v>
      </c>
      <c r="I1501">
        <v>626</v>
      </c>
      <c r="J1501" t="s">
        <v>11483</v>
      </c>
      <c r="K1501" t="s">
        <v>7057</v>
      </c>
      <c r="L1501" s="7" t="s">
        <v>11484</v>
      </c>
      <c r="M1501" t="s">
        <v>11485</v>
      </c>
      <c r="N1501">
        <v>26</v>
      </c>
      <c r="O1501">
        <v>21</v>
      </c>
      <c r="P1501">
        <v>5</v>
      </c>
      <c r="Q1501">
        <v>1</v>
      </c>
      <c r="R1501">
        <v>0</v>
      </c>
      <c r="S1501">
        <v>1</v>
      </c>
      <c r="T1501">
        <v>0</v>
      </c>
      <c r="U1501" t="s">
        <v>11486</v>
      </c>
      <c r="V1501">
        <f>Tabla1[[#This Row],[Aboard]]-Tabla1[[#This Row],[Fatalities]]</f>
        <v>25</v>
      </c>
      <c r="W1501" s="50">
        <f>IFERROR(Tabla1[[#This Row],[Fatalities]]/Tabla1[[#This Row],[Aboard]],0)</f>
        <v>3.8461538461538464E-2</v>
      </c>
      <c r="X1501" s="51" t="str" cm="1">
        <f t="array" ref="X1501">_xlfn.IFS(Tabla1[[#This Row],[Porcentaje de muertes]]&lt;0.35,"LEVE",AND(Tabla1[[#This Row],[Porcentaje de muertes]]&gt;0.35,Tabla1[[#This Row],[Porcentaje de muertes]]&lt;0.65),"MEDIO",Tabla1[[#This Row],[Porcentaje de muertes]]&gt;0.65,"GRAVE")</f>
        <v>LEVE</v>
      </c>
    </row>
    <row r="1502" spans="2:24" x14ac:dyDescent="0.3">
      <c r="B1502" s="9">
        <v>1501</v>
      </c>
      <c r="C1502" s="49">
        <v>20146</v>
      </c>
      <c r="D1502" s="9">
        <f>YEAR(Tabla1[[#This Row],[Date]])</f>
        <v>1955</v>
      </c>
      <c r="E1502" s="9" t="str" cm="1">
        <f t="array" ref="E1502">IFERROR(_xlfn.IFS(AND(D1502&lt;1980,D1502&gt;=1970),"70",AND(D1502&lt;1990,D1502&gt;=1980),"80",AND(D1502&lt;2000,D1502&gt;=1990),"90",AND(D1502&lt;2010,D1502&gt;=2000),"00",AND(D1502&lt;=2019,D1502&gt;=2010),"10"),"1908-1970")</f>
        <v>1908-1970</v>
      </c>
      <c r="F1502" s="3">
        <v>0.65972222222222221</v>
      </c>
      <c r="G1502" t="s">
        <v>11487</v>
      </c>
      <c r="H1502" t="s">
        <v>11488</v>
      </c>
      <c r="I1502" t="s">
        <v>28931</v>
      </c>
      <c r="J1502" t="s">
        <v>28931</v>
      </c>
      <c r="K1502" t="s">
        <v>11489</v>
      </c>
      <c r="L1502" s="7" t="s">
        <v>11490</v>
      </c>
      <c r="M1502">
        <v>4094</v>
      </c>
      <c r="N1502">
        <v>7</v>
      </c>
      <c r="O1502">
        <v>4</v>
      </c>
      <c r="P1502">
        <v>3</v>
      </c>
      <c r="Q1502">
        <v>6</v>
      </c>
      <c r="R1502">
        <v>4</v>
      </c>
      <c r="S1502">
        <v>2</v>
      </c>
      <c r="T1502" t="s">
        <v>5038</v>
      </c>
      <c r="U1502" t="s">
        <v>11491</v>
      </c>
      <c r="V1502">
        <f>Tabla1[[#This Row],[Aboard]]-Tabla1[[#This Row],[Fatalities]]</f>
        <v>1</v>
      </c>
      <c r="W1502" s="50">
        <f>IFERROR(Tabla1[[#This Row],[Fatalities]]/Tabla1[[#This Row],[Aboard]],0)</f>
        <v>0.8571428571428571</v>
      </c>
      <c r="X1502" s="51" t="str" cm="1">
        <f t="array" ref="X1502">_xlfn.IFS(Tabla1[[#This Row],[Porcentaje de muertes]]&lt;0.35,"LEVE",AND(Tabla1[[#This Row],[Porcentaje de muertes]]&gt;0.35,Tabla1[[#This Row],[Porcentaje de muertes]]&lt;0.65),"MEDIO",Tabla1[[#This Row],[Porcentaje de muertes]]&gt;0.65,"GRAVE")</f>
        <v>GRAVE</v>
      </c>
    </row>
    <row r="1503" spans="2:24" x14ac:dyDescent="0.3">
      <c r="B1503" s="9">
        <v>1502</v>
      </c>
      <c r="C1503" s="49">
        <v>20243</v>
      </c>
      <c r="D1503" s="9">
        <f>YEAR(Tabla1[[#This Row],[Date]])</f>
        <v>1955</v>
      </c>
      <c r="E1503" s="9" t="str" cm="1">
        <f t="array" ref="E1503">IFERROR(_xlfn.IFS(AND(D1503&lt;1980,D1503&gt;=1970),"70",AND(D1503&lt;1990,D1503&gt;=1980),"80",AND(D1503&lt;2000,D1503&gt;=1990),"90",AND(D1503&lt;2010,D1503&gt;=2000),"00",AND(D1503&lt;=2019,D1503&gt;=2010),"10"),"1908-1970")</f>
        <v>1908-1970</v>
      </c>
      <c r="F1503" s="3" t="s">
        <v>28931</v>
      </c>
      <c r="G1503" t="s">
        <v>11492</v>
      </c>
      <c r="H1503" t="s">
        <v>9960</v>
      </c>
      <c r="I1503" t="s">
        <v>28931</v>
      </c>
      <c r="J1503" t="s">
        <v>28931</v>
      </c>
      <c r="K1503" t="s">
        <v>7057</v>
      </c>
      <c r="L1503" s="7" t="s">
        <v>11493</v>
      </c>
      <c r="M1503">
        <v>11699</v>
      </c>
      <c r="N1503">
        <v>21</v>
      </c>
      <c r="O1503">
        <v>18</v>
      </c>
      <c r="P1503">
        <v>3</v>
      </c>
      <c r="Q1503">
        <v>5</v>
      </c>
      <c r="R1503">
        <v>4</v>
      </c>
      <c r="S1503">
        <v>1</v>
      </c>
      <c r="T1503">
        <v>0</v>
      </c>
      <c r="U1503" t="s">
        <v>11494</v>
      </c>
      <c r="V1503">
        <f>Tabla1[[#This Row],[Aboard]]-Tabla1[[#This Row],[Fatalities]]</f>
        <v>16</v>
      </c>
      <c r="W1503" s="50">
        <f>IFERROR(Tabla1[[#This Row],[Fatalities]]/Tabla1[[#This Row],[Aboard]],0)</f>
        <v>0.23809523809523808</v>
      </c>
      <c r="X1503" s="51" t="str" cm="1">
        <f t="array" ref="X1503">_xlfn.IFS(Tabla1[[#This Row],[Porcentaje de muertes]]&lt;0.35,"LEVE",AND(Tabla1[[#This Row],[Porcentaje de muertes]]&gt;0.35,Tabla1[[#This Row],[Porcentaje de muertes]]&lt;0.65),"MEDIO",Tabla1[[#This Row],[Porcentaje de muertes]]&gt;0.65,"GRAVE")</f>
        <v>LEVE</v>
      </c>
    </row>
    <row r="1504" spans="2:24" x14ac:dyDescent="0.3">
      <c r="B1504" s="9">
        <v>1503</v>
      </c>
      <c r="C1504" s="49">
        <v>20273</v>
      </c>
      <c r="D1504" s="9">
        <f>YEAR(Tabla1[[#This Row],[Date]])</f>
        <v>1955</v>
      </c>
      <c r="E1504" s="9" t="str" cm="1">
        <f t="array" ref="E1504">IFERROR(_xlfn.IFS(AND(D1504&lt;1980,D1504&gt;=1970),"70",AND(D1504&lt;1990,D1504&gt;=1980),"80",AND(D1504&lt;2000,D1504&gt;=1990),"90",AND(D1504&lt;2010,D1504&gt;=2000),"00",AND(D1504&lt;=2019,D1504&gt;=2010),"10"),"1908-1970")</f>
        <v>1908-1970</v>
      </c>
      <c r="F1504" s="3" t="s">
        <v>28931</v>
      </c>
      <c r="G1504" t="s">
        <v>11495</v>
      </c>
      <c r="H1504" t="s">
        <v>5032</v>
      </c>
      <c r="I1504" t="s">
        <v>28931</v>
      </c>
      <c r="J1504" t="s">
        <v>11496</v>
      </c>
      <c r="K1504" t="s">
        <v>7671</v>
      </c>
      <c r="L1504" s="7" t="s">
        <v>11497</v>
      </c>
      <c r="M1504" t="s">
        <v>28931</v>
      </c>
      <c r="N1504">
        <v>6</v>
      </c>
      <c r="O1504">
        <v>4</v>
      </c>
      <c r="P1504">
        <v>2</v>
      </c>
      <c r="Q1504">
        <v>6</v>
      </c>
      <c r="R1504">
        <v>4</v>
      </c>
      <c r="S1504">
        <v>2</v>
      </c>
      <c r="T1504" t="s">
        <v>5038</v>
      </c>
      <c r="U1504" t="s">
        <v>11498</v>
      </c>
      <c r="V1504">
        <f>Tabla1[[#This Row],[Aboard]]-Tabla1[[#This Row],[Fatalities]]</f>
        <v>0</v>
      </c>
      <c r="W1504" s="50">
        <f>IFERROR(Tabla1[[#This Row],[Fatalities]]/Tabla1[[#This Row],[Aboard]],0)</f>
        <v>1</v>
      </c>
      <c r="X1504" s="51" t="str" cm="1">
        <f t="array" ref="X1504">_xlfn.IFS(Tabla1[[#This Row],[Porcentaje de muertes]]&lt;0.35,"LEVE",AND(Tabla1[[#This Row],[Porcentaje de muertes]]&gt;0.35,Tabla1[[#This Row],[Porcentaje de muertes]]&lt;0.65),"MEDIO",Tabla1[[#This Row],[Porcentaje de muertes]]&gt;0.65,"GRAVE")</f>
        <v>GRAVE</v>
      </c>
    </row>
    <row r="1505" spans="2:24" x14ac:dyDescent="0.3">
      <c r="B1505" s="9">
        <v>1504</v>
      </c>
      <c r="C1505" s="49">
        <v>20304</v>
      </c>
      <c r="D1505" s="9">
        <f>YEAR(Tabla1[[#This Row],[Date]])</f>
        <v>1955</v>
      </c>
      <c r="E1505" s="9" t="str" cm="1">
        <f t="array" ref="E1505">IFERROR(_xlfn.IFS(AND(D1505&lt;1980,D1505&gt;=1970),"70",AND(D1505&lt;1990,D1505&gt;=1980),"80",AND(D1505&lt;2000,D1505&gt;=1990),"90",AND(D1505&lt;2010,D1505&gt;=2000),"00",AND(D1505&lt;=2019,D1505&gt;=2010),"10"),"1908-1970")</f>
        <v>1908-1970</v>
      </c>
      <c r="F1505" s="3">
        <v>0.56944444444444442</v>
      </c>
      <c r="G1505" t="s">
        <v>11499</v>
      </c>
      <c r="H1505" t="s">
        <v>5740</v>
      </c>
      <c r="I1505">
        <v>591</v>
      </c>
      <c r="J1505" t="s">
        <v>11500</v>
      </c>
      <c r="K1505" t="s">
        <v>7057</v>
      </c>
      <c r="L1505" s="7" t="s">
        <v>11501</v>
      </c>
      <c r="M1505">
        <v>3992</v>
      </c>
      <c r="N1505">
        <v>26</v>
      </c>
      <c r="O1505">
        <v>23</v>
      </c>
      <c r="P1505">
        <v>3</v>
      </c>
      <c r="Q1505">
        <v>26</v>
      </c>
      <c r="R1505">
        <v>23</v>
      </c>
      <c r="S1505">
        <v>3</v>
      </c>
      <c r="T1505">
        <v>0</v>
      </c>
      <c r="U1505" t="s">
        <v>11502</v>
      </c>
      <c r="V1505">
        <f>Tabla1[[#This Row],[Aboard]]-Tabla1[[#This Row],[Fatalities]]</f>
        <v>0</v>
      </c>
      <c r="W1505" s="50">
        <f>IFERROR(Tabla1[[#This Row],[Fatalities]]/Tabla1[[#This Row],[Aboard]],0)</f>
        <v>1</v>
      </c>
      <c r="X1505" s="51" t="str" cm="1">
        <f t="array" ref="X1505">_xlfn.IFS(Tabla1[[#This Row],[Porcentaje de muertes]]&lt;0.35,"LEVE",AND(Tabla1[[#This Row],[Porcentaje de muertes]]&gt;0.35,Tabla1[[#This Row],[Porcentaje de muertes]]&lt;0.65),"MEDIO",Tabla1[[#This Row],[Porcentaje de muertes]]&gt;0.65,"GRAVE")</f>
        <v>GRAVE</v>
      </c>
    </row>
    <row r="1506" spans="2:24" x14ac:dyDescent="0.3">
      <c r="B1506" s="9">
        <v>1505</v>
      </c>
      <c r="C1506" s="49">
        <v>20335</v>
      </c>
      <c r="D1506" s="9">
        <f>YEAR(Tabla1[[#This Row],[Date]])</f>
        <v>1955</v>
      </c>
      <c r="E1506" s="9" t="str" cm="1">
        <f t="array" ref="E1506">IFERROR(_xlfn.IFS(AND(D1506&lt;1980,D1506&gt;=1970),"70",AND(D1506&lt;1990,D1506&gt;=1980),"80",AND(D1506&lt;2000,D1506&gt;=1990),"90",AND(D1506&lt;2010,D1506&gt;=2000),"00",AND(D1506&lt;=2019,D1506&gt;=2010),"10"),"1908-1970")</f>
        <v>1908-1970</v>
      </c>
      <c r="F1506" s="3">
        <v>0.63541666666666663</v>
      </c>
      <c r="G1506" t="s">
        <v>11503</v>
      </c>
      <c r="H1506" t="s">
        <v>8976</v>
      </c>
      <c r="I1506" t="s">
        <v>28931</v>
      </c>
      <c r="J1506" t="s">
        <v>11504</v>
      </c>
      <c r="K1506" t="s">
        <v>8105</v>
      </c>
      <c r="L1506" s="7" t="s">
        <v>11505</v>
      </c>
      <c r="M1506">
        <v>20224</v>
      </c>
      <c r="N1506">
        <v>8</v>
      </c>
      <c r="O1506">
        <v>5</v>
      </c>
      <c r="P1506">
        <v>3</v>
      </c>
      <c r="Q1506">
        <v>8</v>
      </c>
      <c r="R1506">
        <v>5</v>
      </c>
      <c r="S1506">
        <v>3</v>
      </c>
      <c r="T1506">
        <v>0</v>
      </c>
      <c r="U1506" t="s">
        <v>11506</v>
      </c>
      <c r="V1506">
        <f>Tabla1[[#This Row],[Aboard]]-Tabla1[[#This Row],[Fatalities]]</f>
        <v>0</v>
      </c>
      <c r="W1506" s="50">
        <f>IFERROR(Tabla1[[#This Row],[Fatalities]]/Tabla1[[#This Row],[Aboard]],0)</f>
        <v>1</v>
      </c>
      <c r="X1506" s="51" t="str" cm="1">
        <f t="array" ref="X1506">_xlfn.IFS(Tabla1[[#This Row],[Porcentaje de muertes]]&lt;0.35,"LEVE",AND(Tabla1[[#This Row],[Porcentaje de muertes]]&gt;0.35,Tabla1[[#This Row],[Porcentaje de muertes]]&lt;0.65),"MEDIO",Tabla1[[#This Row],[Porcentaje de muertes]]&gt;0.65,"GRAVE")</f>
        <v>GRAVE</v>
      </c>
    </row>
    <row r="1507" spans="2:24" x14ac:dyDescent="0.3">
      <c r="B1507" s="9">
        <v>1506</v>
      </c>
      <c r="C1507" s="49">
        <v>20168</v>
      </c>
      <c r="D1507" s="9">
        <f>YEAR(Tabla1[[#This Row],[Date]])</f>
        <v>1955</v>
      </c>
      <c r="E1507" s="9" t="str" cm="1">
        <f t="array" ref="E1507">IFERROR(_xlfn.IFS(AND(D1507&lt;1980,D1507&gt;=1970),"70",AND(D1507&lt;1990,D1507&gt;=1980),"80",AND(D1507&lt;2000,D1507&gt;=1990),"90",AND(D1507&lt;2010,D1507&gt;=2000),"00",AND(D1507&lt;=2019,D1507&gt;=2010),"10"),"1908-1970")</f>
        <v>1908-1970</v>
      </c>
      <c r="F1507" s="3">
        <v>0.94166666666666676</v>
      </c>
      <c r="G1507" t="s">
        <v>11507</v>
      </c>
      <c r="H1507" t="s">
        <v>6536</v>
      </c>
      <c r="I1507">
        <v>711</v>
      </c>
      <c r="J1507" t="s">
        <v>11508</v>
      </c>
      <c r="K1507" t="s">
        <v>10625</v>
      </c>
      <c r="L1507" s="7" t="s">
        <v>11509</v>
      </c>
      <c r="M1507">
        <v>66</v>
      </c>
      <c r="N1507">
        <v>35</v>
      </c>
      <c r="O1507">
        <v>32</v>
      </c>
      <c r="P1507">
        <v>3</v>
      </c>
      <c r="Q1507">
        <v>13</v>
      </c>
      <c r="R1507">
        <v>11</v>
      </c>
      <c r="S1507">
        <v>2</v>
      </c>
      <c r="T1507">
        <v>0</v>
      </c>
      <c r="U1507" t="s">
        <v>11510</v>
      </c>
      <c r="V1507">
        <f>Tabla1[[#This Row],[Aboard]]-Tabla1[[#This Row],[Fatalities]]</f>
        <v>22</v>
      </c>
      <c r="W1507" s="50">
        <f>IFERROR(Tabla1[[#This Row],[Fatalities]]/Tabla1[[#This Row],[Aboard]],0)</f>
        <v>0.37142857142857144</v>
      </c>
      <c r="X1507" s="51" t="str" cm="1">
        <f t="array" ref="X1507">_xlfn.IFS(Tabla1[[#This Row],[Porcentaje de muertes]]&lt;0.35,"LEVE",AND(Tabla1[[#This Row],[Porcentaje de muertes]]&gt;0.35,Tabla1[[#This Row],[Porcentaje de muertes]]&lt;0.65),"MEDIO",Tabla1[[#This Row],[Porcentaje de muertes]]&gt;0.65,"GRAVE")</f>
        <v>MEDIO</v>
      </c>
    </row>
    <row r="1508" spans="2:24" x14ac:dyDescent="0.3">
      <c r="B1508" s="9">
        <v>1507</v>
      </c>
      <c r="C1508" s="49">
        <v>20170</v>
      </c>
      <c r="D1508" s="9">
        <f>YEAR(Tabla1[[#This Row],[Date]])</f>
        <v>1955</v>
      </c>
      <c r="E1508" s="9" t="str" cm="1">
        <f t="array" ref="E1508">IFERROR(_xlfn.IFS(AND(D1508&lt;1980,D1508&gt;=1970),"70",AND(D1508&lt;1990,D1508&gt;=1980),"80",AND(D1508&lt;2000,D1508&gt;=1990),"90",AND(D1508&lt;2010,D1508&gt;=2000),"00",AND(D1508&lt;=2019,D1508&gt;=2010),"10"),"1908-1970")</f>
        <v>1908-1970</v>
      </c>
      <c r="F1508" s="3">
        <v>8.5416666666666655E-2</v>
      </c>
      <c r="G1508" t="s">
        <v>11511</v>
      </c>
      <c r="H1508" t="s">
        <v>5027</v>
      </c>
      <c r="I1508" t="s">
        <v>28931</v>
      </c>
      <c r="J1508" t="s">
        <v>11512</v>
      </c>
      <c r="K1508" t="s">
        <v>11513</v>
      </c>
      <c r="L1508" s="7">
        <v>131612</v>
      </c>
      <c r="M1508">
        <v>43715</v>
      </c>
      <c r="N1508">
        <v>66</v>
      </c>
      <c r="O1508">
        <v>57</v>
      </c>
      <c r="P1508">
        <v>9</v>
      </c>
      <c r="Q1508">
        <v>66</v>
      </c>
      <c r="R1508">
        <v>57</v>
      </c>
      <c r="S1508">
        <v>9</v>
      </c>
      <c r="T1508">
        <v>0</v>
      </c>
      <c r="U1508" t="s">
        <v>11514</v>
      </c>
      <c r="V1508">
        <f>Tabla1[[#This Row],[Aboard]]-Tabla1[[#This Row],[Fatalities]]</f>
        <v>0</v>
      </c>
      <c r="W1508" s="50">
        <f>IFERROR(Tabla1[[#This Row],[Fatalities]]/Tabla1[[#This Row],[Aboard]],0)</f>
        <v>1</v>
      </c>
      <c r="X1508" s="51" t="str" cm="1">
        <f t="array" ref="X1508">_xlfn.IFS(Tabla1[[#This Row],[Porcentaje de muertes]]&lt;0.35,"LEVE",AND(Tabla1[[#This Row],[Porcentaje de muertes]]&gt;0.35,Tabla1[[#This Row],[Porcentaje de muertes]]&lt;0.65),"MEDIO",Tabla1[[#This Row],[Porcentaje de muertes]]&gt;0.65,"GRAVE")</f>
        <v>GRAVE</v>
      </c>
    </row>
    <row r="1509" spans="2:24" x14ac:dyDescent="0.3">
      <c r="B1509" s="9">
        <v>1508</v>
      </c>
      <c r="C1509" s="49">
        <v>20174</v>
      </c>
      <c r="D1509" s="9">
        <f>YEAR(Tabla1[[#This Row],[Date]])</f>
        <v>1955</v>
      </c>
      <c r="E1509" s="9" t="str" cm="1">
        <f t="array" ref="E1509">IFERROR(_xlfn.IFS(AND(D1509&lt;1980,D1509&gt;=1970),"70",AND(D1509&lt;1990,D1509&gt;=1980),"80",AND(D1509&lt;2000,D1509&gt;=1990),"90",AND(D1509&lt;2010,D1509&gt;=2000),"00",AND(D1509&lt;=2019,D1509&gt;=2010),"10"),"1908-1970")</f>
        <v>1908-1970</v>
      </c>
      <c r="F1509" s="3">
        <v>0.46666666666666662</v>
      </c>
      <c r="G1509" t="s">
        <v>11515</v>
      </c>
      <c r="H1509" t="s">
        <v>7121</v>
      </c>
      <c r="I1509" t="s">
        <v>11516</v>
      </c>
      <c r="J1509" t="s">
        <v>11517</v>
      </c>
      <c r="K1509" t="s">
        <v>11518</v>
      </c>
      <c r="L1509" s="7" t="s">
        <v>11519</v>
      </c>
      <c r="M1509">
        <v>15932</v>
      </c>
      <c r="N1509">
        <v>23</v>
      </c>
      <c r="O1509">
        <v>15</v>
      </c>
      <c r="P1509">
        <v>8</v>
      </c>
      <c r="Q1509">
        <v>4</v>
      </c>
      <c r="R1509">
        <v>2</v>
      </c>
      <c r="S1509">
        <v>2</v>
      </c>
      <c r="T1509">
        <v>0</v>
      </c>
      <c r="U1509" t="s">
        <v>11520</v>
      </c>
      <c r="V1509">
        <f>Tabla1[[#This Row],[Aboard]]-Tabla1[[#This Row],[Fatalities]]</f>
        <v>19</v>
      </c>
      <c r="W1509" s="50">
        <f>IFERROR(Tabla1[[#This Row],[Fatalities]]/Tabla1[[#This Row],[Aboard]],0)</f>
        <v>0.17391304347826086</v>
      </c>
      <c r="X1509" s="51" t="str" cm="1">
        <f t="array" ref="X1509">_xlfn.IFS(Tabla1[[#This Row],[Porcentaje de muertes]]&lt;0.35,"LEVE",AND(Tabla1[[#This Row],[Porcentaje de muertes]]&gt;0.35,Tabla1[[#This Row],[Porcentaje de muertes]]&lt;0.65),"MEDIO",Tabla1[[#This Row],[Porcentaje de muertes]]&gt;0.65,"GRAVE")</f>
        <v>LEVE</v>
      </c>
    </row>
    <row r="1510" spans="2:24" x14ac:dyDescent="0.3">
      <c r="B1510" s="9">
        <v>1509</v>
      </c>
      <c r="C1510" s="49">
        <v>20124</v>
      </c>
      <c r="D1510" s="9">
        <f>YEAR(Tabla1[[#This Row],[Date]])</f>
        <v>1955</v>
      </c>
      <c r="E1510" s="9" t="str" cm="1">
        <f t="array" ref="E1510">IFERROR(_xlfn.IFS(AND(D1510&lt;1980,D1510&gt;=1970),"70",AND(D1510&lt;1990,D1510&gt;=1980),"80",AND(D1510&lt;2000,D1510&gt;=1990),"90",AND(D1510&lt;2010,D1510&gt;=2000),"00",AND(D1510&lt;=2019,D1510&gt;=2010),"10"),"1908-1970")</f>
        <v>1908-1970</v>
      </c>
      <c r="F1510" s="3" t="s">
        <v>28931</v>
      </c>
      <c r="G1510" t="s">
        <v>11521</v>
      </c>
      <c r="H1510" t="s">
        <v>11522</v>
      </c>
      <c r="I1510" t="s">
        <v>28931</v>
      </c>
      <c r="J1510" t="s">
        <v>11523</v>
      </c>
      <c r="K1510" t="s">
        <v>8305</v>
      </c>
      <c r="L1510" s="7" t="s">
        <v>11524</v>
      </c>
      <c r="M1510">
        <v>30430</v>
      </c>
      <c r="N1510">
        <v>2</v>
      </c>
      <c r="O1510">
        <v>0</v>
      </c>
      <c r="P1510">
        <v>2</v>
      </c>
      <c r="Q1510">
        <v>2</v>
      </c>
      <c r="R1510">
        <v>0</v>
      </c>
      <c r="S1510">
        <v>2</v>
      </c>
      <c r="T1510">
        <v>0</v>
      </c>
      <c r="U1510" t="s">
        <v>11525</v>
      </c>
      <c r="V1510">
        <f>Tabla1[[#This Row],[Aboard]]-Tabla1[[#This Row],[Fatalities]]</f>
        <v>0</v>
      </c>
      <c r="W1510" s="50">
        <f>IFERROR(Tabla1[[#This Row],[Fatalities]]/Tabla1[[#This Row],[Aboard]],0)</f>
        <v>1</v>
      </c>
      <c r="X1510" s="51" t="str" cm="1">
        <f t="array" ref="X1510">_xlfn.IFS(Tabla1[[#This Row],[Porcentaje de muertes]]&lt;0.35,"LEVE",AND(Tabla1[[#This Row],[Porcentaje de muertes]]&gt;0.35,Tabla1[[#This Row],[Porcentaje de muertes]]&lt;0.65),"MEDIO",Tabla1[[#This Row],[Porcentaje de muertes]]&gt;0.65,"GRAVE")</f>
        <v>GRAVE</v>
      </c>
    </row>
    <row r="1511" spans="2:24" x14ac:dyDescent="0.3">
      <c r="B1511" s="9">
        <v>1510</v>
      </c>
      <c r="C1511" s="49">
        <v>20183</v>
      </c>
      <c r="D1511" s="9">
        <f>YEAR(Tabla1[[#This Row],[Date]])</f>
        <v>1955</v>
      </c>
      <c r="E1511" s="9" t="str" cm="1">
        <f t="array" ref="E1511">IFERROR(_xlfn.IFS(AND(D1511&lt;1980,D1511&gt;=1970),"70",AND(D1511&lt;1990,D1511&gt;=1980),"80",AND(D1511&lt;2000,D1511&gt;=1990),"90",AND(D1511&lt;2010,D1511&gt;=2000),"00",AND(D1511&lt;=2019,D1511&gt;=2010),"10"),"1908-1970")</f>
        <v>1908-1970</v>
      </c>
      <c r="F1511" s="3">
        <v>0.66319444444444442</v>
      </c>
      <c r="G1511" t="s">
        <v>11526</v>
      </c>
      <c r="H1511" t="s">
        <v>6369</v>
      </c>
      <c r="I1511" t="s">
        <v>28931</v>
      </c>
      <c r="J1511" t="s">
        <v>6190</v>
      </c>
      <c r="K1511" t="s">
        <v>9230</v>
      </c>
      <c r="L1511" s="7" t="s">
        <v>11527</v>
      </c>
      <c r="M1511" t="s">
        <v>11528</v>
      </c>
      <c r="N1511">
        <v>3</v>
      </c>
      <c r="O1511">
        <v>0</v>
      </c>
      <c r="P1511">
        <v>3</v>
      </c>
      <c r="Q1511">
        <v>3</v>
      </c>
      <c r="R1511">
        <v>0</v>
      </c>
      <c r="S1511">
        <v>3</v>
      </c>
      <c r="T1511">
        <v>0</v>
      </c>
      <c r="U1511" t="s">
        <v>11529</v>
      </c>
      <c r="V1511">
        <f>Tabla1[[#This Row],[Aboard]]-Tabla1[[#This Row],[Fatalities]]</f>
        <v>0</v>
      </c>
      <c r="W1511" s="50">
        <f>IFERROR(Tabla1[[#This Row],[Fatalities]]/Tabla1[[#This Row],[Aboard]],0)</f>
        <v>1</v>
      </c>
      <c r="X1511" s="51" t="str" cm="1">
        <f t="array" ref="X1511">_xlfn.IFS(Tabla1[[#This Row],[Porcentaje de muertes]]&lt;0.35,"LEVE",AND(Tabla1[[#This Row],[Porcentaje de muertes]]&gt;0.35,Tabla1[[#This Row],[Porcentaje de muertes]]&lt;0.65),"MEDIO",Tabla1[[#This Row],[Porcentaje de muertes]]&gt;0.65,"GRAVE")</f>
        <v>GRAVE</v>
      </c>
    </row>
    <row r="1512" spans="2:24" x14ac:dyDescent="0.3">
      <c r="B1512" s="9">
        <v>1511</v>
      </c>
      <c r="C1512" s="49">
        <v>20397</v>
      </c>
      <c r="D1512" s="9">
        <f>YEAR(Tabla1[[#This Row],[Date]])</f>
        <v>1955</v>
      </c>
      <c r="E1512" s="9" t="str" cm="1">
        <f t="array" ref="E1512">IFERROR(_xlfn.IFS(AND(D1512&lt;1980,D1512&gt;=1970),"70",AND(D1512&lt;1990,D1512&gt;=1980),"80",AND(D1512&lt;2000,D1512&gt;=1990),"90",AND(D1512&lt;2010,D1512&gt;=2000),"00",AND(D1512&lt;=2019,D1512&gt;=2010),"10"),"1908-1970")</f>
        <v>1908-1970</v>
      </c>
      <c r="F1512" s="3">
        <v>0.72916666666666663</v>
      </c>
      <c r="G1512" t="s">
        <v>11530</v>
      </c>
      <c r="H1512" t="s">
        <v>9312</v>
      </c>
      <c r="I1512" t="s">
        <v>28931</v>
      </c>
      <c r="J1512" t="s">
        <v>11531</v>
      </c>
      <c r="K1512" t="s">
        <v>10167</v>
      </c>
      <c r="L1512" s="7" t="s">
        <v>11532</v>
      </c>
      <c r="M1512">
        <v>2666</v>
      </c>
      <c r="N1512">
        <v>19</v>
      </c>
      <c r="O1512">
        <v>11</v>
      </c>
      <c r="P1512">
        <v>8</v>
      </c>
      <c r="Q1512">
        <v>19</v>
      </c>
      <c r="R1512">
        <v>11</v>
      </c>
      <c r="S1512">
        <v>8</v>
      </c>
      <c r="T1512">
        <v>0</v>
      </c>
      <c r="U1512" t="s">
        <v>11533</v>
      </c>
      <c r="V1512">
        <f>Tabla1[[#This Row],[Aboard]]-Tabla1[[#This Row],[Fatalities]]</f>
        <v>0</v>
      </c>
      <c r="W1512" s="50">
        <f>IFERROR(Tabla1[[#This Row],[Fatalities]]/Tabla1[[#This Row],[Aboard]],0)</f>
        <v>1</v>
      </c>
      <c r="X1512" s="51" t="str" cm="1">
        <f t="array" ref="X1512">_xlfn.IFS(Tabla1[[#This Row],[Porcentaje de muertes]]&lt;0.35,"LEVE",AND(Tabla1[[#This Row],[Porcentaje de muertes]]&gt;0.35,Tabla1[[#This Row],[Porcentaje de muertes]]&lt;0.65),"MEDIO",Tabla1[[#This Row],[Porcentaje de muertes]]&gt;0.65,"GRAVE")</f>
        <v>GRAVE</v>
      </c>
    </row>
    <row r="1513" spans="2:24" x14ac:dyDescent="0.3">
      <c r="B1513" s="9">
        <v>1512</v>
      </c>
      <c r="C1513" s="49">
        <v>20197</v>
      </c>
      <c r="D1513" s="9">
        <f>YEAR(Tabla1[[#This Row],[Date]])</f>
        <v>1955</v>
      </c>
      <c r="E1513" s="9" t="str" cm="1">
        <f t="array" ref="E1513">IFERROR(_xlfn.IFS(AND(D1513&lt;1980,D1513&gt;=1970),"70",AND(D1513&lt;1990,D1513&gt;=1980),"80",AND(D1513&lt;2000,D1513&gt;=1990),"90",AND(D1513&lt;2010,D1513&gt;=2000),"00",AND(D1513&lt;=2019,D1513&gt;=2010),"10"),"1908-1970")</f>
        <v>1908-1970</v>
      </c>
      <c r="F1513" s="3" t="s">
        <v>28931</v>
      </c>
      <c r="G1513" t="s">
        <v>11534</v>
      </c>
      <c r="H1513" t="s">
        <v>11535</v>
      </c>
      <c r="I1513" t="s">
        <v>28931</v>
      </c>
      <c r="J1513" t="s">
        <v>11536</v>
      </c>
      <c r="K1513" t="s">
        <v>10951</v>
      </c>
      <c r="L1513" s="7" t="s">
        <v>11537</v>
      </c>
      <c r="M1513">
        <v>14010</v>
      </c>
      <c r="N1513">
        <v>14</v>
      </c>
      <c r="O1513">
        <v>10</v>
      </c>
      <c r="P1513">
        <v>4</v>
      </c>
      <c r="Q1513">
        <v>12</v>
      </c>
      <c r="R1513">
        <v>9</v>
      </c>
      <c r="S1513">
        <v>3</v>
      </c>
      <c r="T1513">
        <v>0</v>
      </c>
      <c r="U1513" t="s">
        <v>11538</v>
      </c>
      <c r="V1513">
        <f>Tabla1[[#This Row],[Aboard]]-Tabla1[[#This Row],[Fatalities]]</f>
        <v>2</v>
      </c>
      <c r="W1513" s="50">
        <f>IFERROR(Tabla1[[#This Row],[Fatalities]]/Tabla1[[#This Row],[Aboard]],0)</f>
        <v>0.8571428571428571</v>
      </c>
      <c r="X1513" s="51" t="str" cm="1">
        <f t="array" ref="X1513">_xlfn.IFS(Tabla1[[#This Row],[Porcentaje de muertes]]&lt;0.35,"LEVE",AND(Tabla1[[#This Row],[Porcentaje de muertes]]&gt;0.35,Tabla1[[#This Row],[Porcentaje de muertes]]&lt;0.65),"MEDIO",Tabla1[[#This Row],[Porcentaje de muertes]]&gt;0.65,"GRAVE")</f>
        <v>GRAVE</v>
      </c>
    </row>
    <row r="1514" spans="2:24" x14ac:dyDescent="0.3">
      <c r="B1514" s="9">
        <v>1513</v>
      </c>
      <c r="C1514" s="49">
        <v>20227</v>
      </c>
      <c r="D1514" s="9">
        <f>YEAR(Tabla1[[#This Row],[Date]])</f>
        <v>1955</v>
      </c>
      <c r="E1514" s="9" t="str" cm="1">
        <f t="array" ref="E1514">IFERROR(_xlfn.IFS(AND(D1514&lt;1980,D1514&gt;=1970),"70",AND(D1514&lt;1990,D1514&gt;=1980),"80",AND(D1514&lt;2000,D1514&gt;=1990),"90",AND(D1514&lt;2010,D1514&gt;=2000),"00",AND(D1514&lt;=2019,D1514&gt;=2010),"10"),"1908-1970")</f>
        <v>1908-1970</v>
      </c>
      <c r="F1514" s="3">
        <v>0.49722222222222223</v>
      </c>
      <c r="G1514" t="s">
        <v>11539</v>
      </c>
      <c r="H1514" t="s">
        <v>11540</v>
      </c>
      <c r="I1514" t="s">
        <v>28931</v>
      </c>
      <c r="J1514" t="s">
        <v>11541</v>
      </c>
      <c r="K1514" t="s">
        <v>7057</v>
      </c>
      <c r="L1514" s="7" t="s">
        <v>11542</v>
      </c>
      <c r="M1514" t="s">
        <v>11543</v>
      </c>
      <c r="N1514">
        <v>20</v>
      </c>
      <c r="O1514">
        <v>16</v>
      </c>
      <c r="P1514">
        <v>4</v>
      </c>
      <c r="Q1514">
        <v>20</v>
      </c>
      <c r="R1514">
        <v>16</v>
      </c>
      <c r="S1514">
        <v>4</v>
      </c>
      <c r="T1514">
        <v>0</v>
      </c>
      <c r="U1514" t="s">
        <v>11544</v>
      </c>
      <c r="V1514">
        <f>Tabla1[[#This Row],[Aboard]]-Tabla1[[#This Row],[Fatalities]]</f>
        <v>0</v>
      </c>
      <c r="W1514" s="50">
        <f>IFERROR(Tabla1[[#This Row],[Fatalities]]/Tabla1[[#This Row],[Aboard]],0)</f>
        <v>1</v>
      </c>
      <c r="X1514" s="51" t="str" cm="1">
        <f t="array" ref="X1514">_xlfn.IFS(Tabla1[[#This Row],[Porcentaje de muertes]]&lt;0.35,"LEVE",AND(Tabla1[[#This Row],[Porcentaje de muertes]]&gt;0.35,Tabla1[[#This Row],[Porcentaje de muertes]]&lt;0.65),"MEDIO",Tabla1[[#This Row],[Porcentaje de muertes]]&gt;0.65,"GRAVE")</f>
        <v>GRAVE</v>
      </c>
    </row>
    <row r="1515" spans="2:24" x14ac:dyDescent="0.3">
      <c r="B1515" s="9">
        <v>1514</v>
      </c>
      <c r="C1515" s="49">
        <v>20230</v>
      </c>
      <c r="D1515" s="9">
        <f>YEAR(Tabla1[[#This Row],[Date]])</f>
        <v>1955</v>
      </c>
      <c r="E1515" s="9" t="str" cm="1">
        <f t="array" ref="E1515">IFERROR(_xlfn.IFS(AND(D1515&lt;1980,D1515&gt;=1970),"70",AND(D1515&lt;1990,D1515&gt;=1980),"80",AND(D1515&lt;2000,D1515&gt;=1990),"90",AND(D1515&lt;2010,D1515&gt;=2000),"00",AND(D1515&lt;=2019,D1515&gt;=2010),"10"),"1908-1970")</f>
        <v>1908-1970</v>
      </c>
      <c r="F1515" s="3" t="s">
        <v>28931</v>
      </c>
      <c r="G1515" t="s">
        <v>11545</v>
      </c>
      <c r="H1515" t="s">
        <v>9074</v>
      </c>
      <c r="I1515" t="s">
        <v>28931</v>
      </c>
      <c r="J1515" t="s">
        <v>11546</v>
      </c>
      <c r="K1515" t="s">
        <v>7934</v>
      </c>
      <c r="L1515" s="7" t="s">
        <v>11547</v>
      </c>
      <c r="M1515">
        <v>4791</v>
      </c>
      <c r="N1515">
        <v>16</v>
      </c>
      <c r="O1515">
        <v>13</v>
      </c>
      <c r="P1515">
        <v>3</v>
      </c>
      <c r="Q1515">
        <v>4</v>
      </c>
      <c r="R1515">
        <v>4</v>
      </c>
      <c r="S1515">
        <v>0</v>
      </c>
      <c r="T1515">
        <v>0</v>
      </c>
      <c r="U1515" t="s">
        <v>11548</v>
      </c>
      <c r="V1515">
        <f>Tabla1[[#This Row],[Aboard]]-Tabla1[[#This Row],[Fatalities]]</f>
        <v>12</v>
      </c>
      <c r="W1515" s="50">
        <f>IFERROR(Tabla1[[#This Row],[Fatalities]]/Tabla1[[#This Row],[Aboard]],0)</f>
        <v>0.25</v>
      </c>
      <c r="X1515" s="51" t="str" cm="1">
        <f t="array" ref="X1515">_xlfn.IFS(Tabla1[[#This Row],[Porcentaje de muertes]]&lt;0.35,"LEVE",AND(Tabla1[[#This Row],[Porcentaje de muertes]]&gt;0.35,Tabla1[[#This Row],[Porcentaje de muertes]]&lt;0.65),"MEDIO",Tabla1[[#This Row],[Porcentaje de muertes]]&gt;0.65,"GRAVE")</f>
        <v>LEVE</v>
      </c>
    </row>
    <row r="1516" spans="2:24" x14ac:dyDescent="0.3">
      <c r="B1516" s="9">
        <v>1515</v>
      </c>
      <c r="C1516" s="49">
        <v>20235</v>
      </c>
      <c r="D1516" s="9">
        <f>YEAR(Tabla1[[#This Row],[Date]])</f>
        <v>1955</v>
      </c>
      <c r="E1516" s="9" t="str" cm="1">
        <f t="array" ref="E1516">IFERROR(_xlfn.IFS(AND(D1516&lt;1980,D1516&gt;=1970),"70",AND(D1516&lt;1990,D1516&gt;=1980),"80",AND(D1516&lt;2000,D1516&gt;=1990),"90",AND(D1516&lt;2010,D1516&gt;=2000),"00",AND(D1516&lt;=2019,D1516&gt;=2010),"10"),"1908-1970")</f>
        <v>1908-1970</v>
      </c>
      <c r="F1516" s="3">
        <v>0.6020833333333333</v>
      </c>
      <c r="G1516" t="s">
        <v>5962</v>
      </c>
      <c r="H1516" t="s">
        <v>11549</v>
      </c>
      <c r="I1516" t="s">
        <v>28931</v>
      </c>
      <c r="J1516" t="s">
        <v>28931</v>
      </c>
      <c r="K1516" t="s">
        <v>11550</v>
      </c>
      <c r="L1516" s="7" t="s">
        <v>11551</v>
      </c>
      <c r="M1516" t="s">
        <v>11552</v>
      </c>
      <c r="N1516">
        <v>2</v>
      </c>
      <c r="O1516">
        <v>0</v>
      </c>
      <c r="P1516">
        <v>2</v>
      </c>
      <c r="Q1516">
        <v>2</v>
      </c>
      <c r="R1516">
        <v>0</v>
      </c>
      <c r="S1516">
        <v>2</v>
      </c>
      <c r="T1516">
        <v>0</v>
      </c>
      <c r="U1516" t="s">
        <v>11553</v>
      </c>
      <c r="V1516">
        <f>Tabla1[[#This Row],[Aboard]]-Tabla1[[#This Row],[Fatalities]]</f>
        <v>0</v>
      </c>
      <c r="W1516" s="50">
        <f>IFERROR(Tabla1[[#This Row],[Fatalities]]/Tabla1[[#This Row],[Aboard]],0)</f>
        <v>1</v>
      </c>
      <c r="X1516" s="51" t="str" cm="1">
        <f t="array" ref="X1516">_xlfn.IFS(Tabla1[[#This Row],[Porcentaje de muertes]]&lt;0.35,"LEVE",AND(Tabla1[[#This Row],[Porcentaje de muertes]]&gt;0.35,Tabla1[[#This Row],[Porcentaje de muertes]]&lt;0.65),"MEDIO",Tabla1[[#This Row],[Porcentaje de muertes]]&gt;0.65,"GRAVE")</f>
        <v>GRAVE</v>
      </c>
    </row>
    <row r="1517" spans="2:24" x14ac:dyDescent="0.3">
      <c r="B1517" s="9">
        <v>1516</v>
      </c>
      <c r="C1517" s="49">
        <v>20154</v>
      </c>
      <c r="D1517" s="9">
        <f>YEAR(Tabla1[[#This Row],[Date]])</f>
        <v>1955</v>
      </c>
      <c r="E1517" s="9" t="str" cm="1">
        <f t="array" ref="E1517">IFERROR(_xlfn.IFS(AND(D1517&lt;1980,D1517&gt;=1970),"70",AND(D1517&lt;1990,D1517&gt;=1980),"80",AND(D1517&lt;2000,D1517&gt;=1990),"90",AND(D1517&lt;2010,D1517&gt;=2000),"00",AND(D1517&lt;=2019,D1517&gt;=2010),"10"),"1908-1970")</f>
        <v>1908-1970</v>
      </c>
      <c r="F1517" s="3" t="s">
        <v>28931</v>
      </c>
      <c r="G1517" t="s">
        <v>11554</v>
      </c>
      <c r="H1517" t="s">
        <v>11555</v>
      </c>
      <c r="I1517" t="s">
        <v>28931</v>
      </c>
      <c r="J1517" t="s">
        <v>11556</v>
      </c>
      <c r="K1517" t="s">
        <v>7894</v>
      </c>
      <c r="L1517" s="7" t="s">
        <v>11557</v>
      </c>
      <c r="M1517">
        <v>10292</v>
      </c>
      <c r="N1517">
        <v>3</v>
      </c>
      <c r="O1517">
        <v>0</v>
      </c>
      <c r="P1517">
        <v>3</v>
      </c>
      <c r="Q1517">
        <v>3</v>
      </c>
      <c r="R1517">
        <v>0</v>
      </c>
      <c r="S1517">
        <v>3</v>
      </c>
      <c r="T1517">
        <v>0</v>
      </c>
      <c r="U1517" t="s">
        <v>9781</v>
      </c>
      <c r="V1517">
        <f>Tabla1[[#This Row],[Aboard]]-Tabla1[[#This Row],[Fatalities]]</f>
        <v>0</v>
      </c>
      <c r="W1517" s="50">
        <f>IFERROR(Tabla1[[#This Row],[Fatalities]]/Tabla1[[#This Row],[Aboard]],0)</f>
        <v>1</v>
      </c>
      <c r="X1517" s="51" t="str" cm="1">
        <f t="array" ref="X1517">_xlfn.IFS(Tabla1[[#This Row],[Porcentaje de muertes]]&lt;0.35,"LEVE",AND(Tabla1[[#This Row],[Porcentaje de muertes]]&gt;0.35,Tabla1[[#This Row],[Porcentaje de muertes]]&lt;0.65),"MEDIO",Tabla1[[#This Row],[Porcentaje de muertes]]&gt;0.65,"GRAVE")</f>
        <v>GRAVE</v>
      </c>
    </row>
    <row r="1518" spans="2:24" x14ac:dyDescent="0.3">
      <c r="B1518" s="9">
        <v>1517</v>
      </c>
      <c r="C1518" s="49">
        <v>20256</v>
      </c>
      <c r="D1518" s="9">
        <f>YEAR(Tabla1[[#This Row],[Date]])</f>
        <v>1955</v>
      </c>
      <c r="E1518" s="9" t="str" cm="1">
        <f t="array" ref="E1518">IFERROR(_xlfn.IFS(AND(D1518&lt;1980,D1518&gt;=1970),"70",AND(D1518&lt;1990,D1518&gt;=1980),"80",AND(D1518&lt;2000,D1518&gt;=1990),"90",AND(D1518&lt;2010,D1518&gt;=2000),"00",AND(D1518&lt;=2019,D1518&gt;=2010),"10"),"1908-1970")</f>
        <v>1908-1970</v>
      </c>
      <c r="F1518" s="3">
        <v>5.2083333333333336E-2</v>
      </c>
      <c r="G1518" t="s">
        <v>11558</v>
      </c>
      <c r="H1518" t="s">
        <v>7669</v>
      </c>
      <c r="I1518" t="s">
        <v>28931</v>
      </c>
      <c r="J1518" t="s">
        <v>11559</v>
      </c>
      <c r="K1518" t="s">
        <v>9141</v>
      </c>
      <c r="L1518" s="7" t="s">
        <v>11560</v>
      </c>
      <c r="M1518">
        <v>2032</v>
      </c>
      <c r="N1518">
        <v>24</v>
      </c>
      <c r="O1518">
        <v>14</v>
      </c>
      <c r="P1518">
        <v>10</v>
      </c>
      <c r="Q1518">
        <v>16</v>
      </c>
      <c r="R1518">
        <v>9</v>
      </c>
      <c r="S1518">
        <v>7</v>
      </c>
      <c r="T1518">
        <v>0</v>
      </c>
      <c r="U1518" t="s">
        <v>11561</v>
      </c>
      <c r="V1518">
        <f>Tabla1[[#This Row],[Aboard]]-Tabla1[[#This Row],[Fatalities]]</f>
        <v>8</v>
      </c>
      <c r="W1518" s="50">
        <f>IFERROR(Tabla1[[#This Row],[Fatalities]]/Tabla1[[#This Row],[Aboard]],0)</f>
        <v>0.66666666666666663</v>
      </c>
      <c r="X1518" s="51" t="str" cm="1">
        <f t="array" ref="X1518">_xlfn.IFS(Tabla1[[#This Row],[Porcentaje de muertes]]&lt;0.35,"LEVE",AND(Tabla1[[#This Row],[Porcentaje de muertes]]&gt;0.35,Tabla1[[#This Row],[Porcentaje de muertes]]&lt;0.65),"MEDIO",Tabla1[[#This Row],[Porcentaje de muertes]]&gt;0.65,"GRAVE")</f>
        <v>GRAVE</v>
      </c>
    </row>
    <row r="1519" spans="2:24" x14ac:dyDescent="0.3">
      <c r="B1519" s="9">
        <v>1518</v>
      </c>
      <c r="C1519" s="49">
        <v>20258</v>
      </c>
      <c r="D1519" s="9">
        <f>YEAR(Tabla1[[#This Row],[Date]])</f>
        <v>1955</v>
      </c>
      <c r="E1519" s="9" t="str" cm="1">
        <f t="array" ref="E1519">IFERROR(_xlfn.IFS(AND(D1519&lt;1980,D1519&gt;=1970),"70",AND(D1519&lt;1990,D1519&gt;=1980),"80",AND(D1519&lt;2000,D1519&gt;=1990),"90",AND(D1519&lt;2010,D1519&gt;=2000),"00",AND(D1519&lt;=2019,D1519&gt;=2010),"10"),"1908-1970")</f>
        <v>1908-1970</v>
      </c>
      <c r="F1519" s="3" t="s">
        <v>28931</v>
      </c>
      <c r="G1519" t="s">
        <v>9317</v>
      </c>
      <c r="H1519" t="s">
        <v>11562</v>
      </c>
      <c r="I1519" t="s">
        <v>28931</v>
      </c>
      <c r="J1519" t="s">
        <v>11563</v>
      </c>
      <c r="K1519" t="s">
        <v>8697</v>
      </c>
      <c r="L1519" s="7" t="s">
        <v>11564</v>
      </c>
      <c r="M1519" t="s">
        <v>28931</v>
      </c>
      <c r="N1519">
        <v>39</v>
      </c>
      <c r="O1519">
        <v>36</v>
      </c>
      <c r="P1519">
        <v>3</v>
      </c>
      <c r="Q1519">
        <v>18</v>
      </c>
      <c r="R1519">
        <v>18</v>
      </c>
      <c r="S1519">
        <v>0</v>
      </c>
      <c r="T1519">
        <v>0</v>
      </c>
      <c r="U1519" t="s">
        <v>11565</v>
      </c>
      <c r="V1519">
        <f>Tabla1[[#This Row],[Aboard]]-Tabla1[[#This Row],[Fatalities]]</f>
        <v>21</v>
      </c>
      <c r="W1519" s="50">
        <f>IFERROR(Tabla1[[#This Row],[Fatalities]]/Tabla1[[#This Row],[Aboard]],0)</f>
        <v>0.46153846153846156</v>
      </c>
      <c r="X1519" s="51" t="str" cm="1">
        <f t="array" ref="X1519">_xlfn.IFS(Tabla1[[#This Row],[Porcentaje de muertes]]&lt;0.35,"LEVE",AND(Tabla1[[#This Row],[Porcentaje de muertes]]&gt;0.35,Tabla1[[#This Row],[Porcentaje de muertes]]&lt;0.65),"MEDIO",Tabla1[[#This Row],[Porcentaje de muertes]]&gt;0.65,"GRAVE")</f>
        <v>MEDIO</v>
      </c>
    </row>
    <row r="1520" spans="2:24" x14ac:dyDescent="0.3">
      <c r="B1520" s="9">
        <v>1519</v>
      </c>
      <c r="C1520" s="49">
        <v>20284</v>
      </c>
      <c r="D1520" s="9">
        <f>YEAR(Tabla1[[#This Row],[Date]])</f>
        <v>1955</v>
      </c>
      <c r="E1520" s="9" t="str" cm="1">
        <f t="array" ref="E1520">IFERROR(_xlfn.IFS(AND(D1520&lt;1980,D1520&gt;=1970),"70",AND(D1520&lt;1990,D1520&gt;=1980),"80",AND(D1520&lt;2000,D1520&gt;=1990),"90",AND(D1520&lt;2010,D1520&gt;=2000),"00",AND(D1520&lt;=2019,D1520&gt;=2010),"10"),"1908-1970")</f>
        <v>1908-1970</v>
      </c>
      <c r="F1520" s="3">
        <v>0.65625</v>
      </c>
      <c r="G1520" t="s">
        <v>11566</v>
      </c>
      <c r="H1520" t="s">
        <v>11567</v>
      </c>
      <c r="I1520" t="s">
        <v>28931</v>
      </c>
      <c r="J1520" t="s">
        <v>11568</v>
      </c>
      <c r="K1520" t="s">
        <v>8412</v>
      </c>
      <c r="L1520" s="7" t="s">
        <v>11569</v>
      </c>
      <c r="M1520">
        <v>2088</v>
      </c>
      <c r="N1520">
        <v>22</v>
      </c>
      <c r="O1520">
        <v>19</v>
      </c>
      <c r="P1520">
        <v>3</v>
      </c>
      <c r="Q1520">
        <v>22</v>
      </c>
      <c r="R1520">
        <v>19</v>
      </c>
      <c r="S1520">
        <v>3</v>
      </c>
      <c r="T1520">
        <v>0</v>
      </c>
      <c r="U1520" t="s">
        <v>11570</v>
      </c>
      <c r="V1520">
        <f>Tabla1[[#This Row],[Aboard]]-Tabla1[[#This Row],[Fatalities]]</f>
        <v>0</v>
      </c>
      <c r="W1520" s="50">
        <f>IFERROR(Tabla1[[#This Row],[Fatalities]]/Tabla1[[#This Row],[Aboard]],0)</f>
        <v>1</v>
      </c>
      <c r="X1520" s="51" t="str" cm="1">
        <f t="array" ref="X1520">_xlfn.IFS(Tabla1[[#This Row],[Porcentaje de muertes]]&lt;0.35,"LEVE",AND(Tabla1[[#This Row],[Porcentaje de muertes]]&gt;0.35,Tabla1[[#This Row],[Porcentaje de muertes]]&lt;0.65),"MEDIO",Tabla1[[#This Row],[Porcentaje de muertes]]&gt;0.65,"GRAVE")</f>
        <v>GRAVE</v>
      </c>
    </row>
    <row r="1521" spans="2:24" x14ac:dyDescent="0.3">
      <c r="B1521" s="9">
        <v>1520</v>
      </c>
      <c r="C1521" s="49">
        <v>20287</v>
      </c>
      <c r="D1521" s="9">
        <f>YEAR(Tabla1[[#This Row],[Date]])</f>
        <v>1955</v>
      </c>
      <c r="E1521" s="9" t="str" cm="1">
        <f t="array" ref="E1521">IFERROR(_xlfn.IFS(AND(D1521&lt;1980,D1521&gt;=1970),"70",AND(D1521&lt;1990,D1521&gt;=1980),"80",AND(D1521&lt;2000,D1521&gt;=1990),"90",AND(D1521&lt;2010,D1521&gt;=2000),"00",AND(D1521&lt;=2019,D1521&gt;=2010),"10"),"1908-1970")</f>
        <v>1908-1970</v>
      </c>
      <c r="F1521" s="3">
        <v>0.26666666666666666</v>
      </c>
      <c r="G1521" t="s">
        <v>5103</v>
      </c>
      <c r="H1521" t="s">
        <v>6080</v>
      </c>
      <c r="I1521">
        <v>560</v>
      </c>
      <c r="J1521" t="s">
        <v>11571</v>
      </c>
      <c r="K1521" t="s">
        <v>11572</v>
      </c>
      <c r="L1521" s="7" t="s">
        <v>11573</v>
      </c>
      <c r="M1521">
        <v>71</v>
      </c>
      <c r="N1521">
        <v>43</v>
      </c>
      <c r="O1521">
        <v>40</v>
      </c>
      <c r="P1521">
        <v>3</v>
      </c>
      <c r="Q1521">
        <v>22</v>
      </c>
      <c r="R1521">
        <v>20</v>
      </c>
      <c r="S1521">
        <v>2</v>
      </c>
      <c r="T1521">
        <v>0</v>
      </c>
      <c r="U1521" t="s">
        <v>11574</v>
      </c>
      <c r="V1521">
        <f>Tabla1[[#This Row],[Aboard]]-Tabla1[[#This Row],[Fatalities]]</f>
        <v>21</v>
      </c>
      <c r="W1521" s="50">
        <f>IFERROR(Tabla1[[#This Row],[Fatalities]]/Tabla1[[#This Row],[Aboard]],0)</f>
        <v>0.51162790697674421</v>
      </c>
      <c r="X1521" s="51" t="str" cm="1">
        <f t="array" ref="X1521">_xlfn.IFS(Tabla1[[#This Row],[Porcentaje de muertes]]&lt;0.35,"LEVE",AND(Tabla1[[#This Row],[Porcentaje de muertes]]&gt;0.35,Tabla1[[#This Row],[Porcentaje de muertes]]&lt;0.65),"MEDIO",Tabla1[[#This Row],[Porcentaje de muertes]]&gt;0.65,"GRAVE")</f>
        <v>MEDIO</v>
      </c>
    </row>
    <row r="1522" spans="2:24" x14ac:dyDescent="0.3">
      <c r="B1522" s="9">
        <v>1521</v>
      </c>
      <c r="C1522" s="49">
        <v>20297</v>
      </c>
      <c r="D1522" s="9">
        <f>YEAR(Tabla1[[#This Row],[Date]])</f>
        <v>1955</v>
      </c>
      <c r="E1522" s="9" t="str" cm="1">
        <f t="array" ref="E1522">IFERROR(_xlfn.IFS(AND(D1522&lt;1980,D1522&gt;=1970),"70",AND(D1522&lt;1990,D1522&gt;=1980),"80",AND(D1522&lt;2000,D1522&gt;=1990),"90",AND(D1522&lt;2010,D1522&gt;=2000),"00",AND(D1522&lt;=2019,D1522&gt;=2010),"10"),"1908-1970")</f>
        <v>1908-1970</v>
      </c>
      <c r="F1522" s="3">
        <v>0.31805555555555554</v>
      </c>
      <c r="G1522" t="s">
        <v>11575</v>
      </c>
      <c r="H1522" t="s">
        <v>10568</v>
      </c>
      <c r="I1522" t="s">
        <v>11576</v>
      </c>
      <c r="J1522" t="s">
        <v>11577</v>
      </c>
      <c r="K1522" t="s">
        <v>10138</v>
      </c>
      <c r="L1522" s="7" t="s">
        <v>11578</v>
      </c>
      <c r="M1522">
        <v>1968</v>
      </c>
      <c r="N1522">
        <v>58</v>
      </c>
      <c r="O1522">
        <v>51</v>
      </c>
      <c r="P1522">
        <v>7</v>
      </c>
      <c r="Q1522">
        <v>58</v>
      </c>
      <c r="R1522">
        <v>51</v>
      </c>
      <c r="S1522">
        <v>7</v>
      </c>
      <c r="T1522">
        <v>0</v>
      </c>
      <c r="U1522" t="s">
        <v>11579</v>
      </c>
      <c r="V1522">
        <f>Tabla1[[#This Row],[Aboard]]-Tabla1[[#This Row],[Fatalities]]</f>
        <v>0</v>
      </c>
      <c r="W1522" s="50">
        <f>IFERROR(Tabla1[[#This Row],[Fatalities]]/Tabla1[[#This Row],[Aboard]],0)</f>
        <v>1</v>
      </c>
      <c r="X1522" s="51" t="str" cm="1">
        <f t="array" ref="X1522">_xlfn.IFS(Tabla1[[#This Row],[Porcentaje de muertes]]&lt;0.35,"LEVE",AND(Tabla1[[#This Row],[Porcentaje de muertes]]&gt;0.35,Tabla1[[#This Row],[Porcentaje de muertes]]&lt;0.65),"MEDIO",Tabla1[[#This Row],[Porcentaje de muertes]]&gt;0.65,"GRAVE")</f>
        <v>GRAVE</v>
      </c>
    </row>
    <row r="1523" spans="2:24" x14ac:dyDescent="0.3">
      <c r="B1523" s="9">
        <v>1522</v>
      </c>
      <c r="C1523" s="49">
        <v>20187</v>
      </c>
      <c r="D1523" s="9">
        <f>YEAR(Tabla1[[#This Row],[Date]])</f>
        <v>1955</v>
      </c>
      <c r="E1523" s="9" t="str" cm="1">
        <f t="array" ref="E1523">IFERROR(_xlfn.IFS(AND(D1523&lt;1980,D1523&gt;=1970),"70",AND(D1523&lt;1990,D1523&gt;=1980),"80",AND(D1523&lt;2000,D1523&gt;=1990),"90",AND(D1523&lt;2010,D1523&gt;=2000),"00",AND(D1523&lt;=2019,D1523&gt;=2010),"10"),"1908-1970")</f>
        <v>1908-1970</v>
      </c>
      <c r="F1523" s="3">
        <v>0.51597222222222217</v>
      </c>
      <c r="G1523" t="s">
        <v>11580</v>
      </c>
      <c r="H1523" t="s">
        <v>6536</v>
      </c>
      <c r="I1523">
        <v>476</v>
      </c>
      <c r="J1523" t="s">
        <v>11581</v>
      </c>
      <c r="K1523" t="s">
        <v>10625</v>
      </c>
      <c r="L1523" s="7" t="s">
        <v>11582</v>
      </c>
      <c r="M1523">
        <v>40</v>
      </c>
      <c r="N1523">
        <v>30</v>
      </c>
      <c r="O1523">
        <v>27</v>
      </c>
      <c r="P1523">
        <v>3</v>
      </c>
      <c r="Q1523">
        <v>30</v>
      </c>
      <c r="R1523">
        <v>27</v>
      </c>
      <c r="S1523">
        <v>3</v>
      </c>
      <c r="T1523">
        <v>0</v>
      </c>
      <c r="U1523" t="s">
        <v>11583</v>
      </c>
      <c r="V1523">
        <f>Tabla1[[#This Row],[Aboard]]-Tabla1[[#This Row],[Fatalities]]</f>
        <v>0</v>
      </c>
      <c r="W1523" s="50">
        <f>IFERROR(Tabla1[[#This Row],[Fatalities]]/Tabla1[[#This Row],[Aboard]],0)</f>
        <v>1</v>
      </c>
      <c r="X1523" s="51" t="str" cm="1">
        <f t="array" ref="X1523">_xlfn.IFS(Tabla1[[#This Row],[Porcentaje de muertes]]&lt;0.35,"LEVE",AND(Tabla1[[#This Row],[Porcentaje de muertes]]&gt;0.35,Tabla1[[#This Row],[Porcentaje de muertes]]&lt;0.65),"MEDIO",Tabla1[[#This Row],[Porcentaje de muertes]]&gt;0.65,"GRAVE")</f>
        <v>GRAVE</v>
      </c>
    </row>
    <row r="1524" spans="2:24" x14ac:dyDescent="0.3">
      <c r="B1524" s="9">
        <v>1523</v>
      </c>
      <c r="C1524" s="49">
        <v>20217</v>
      </c>
      <c r="D1524" s="9">
        <f>YEAR(Tabla1[[#This Row],[Date]])</f>
        <v>1955</v>
      </c>
      <c r="E1524" s="9" t="str" cm="1">
        <f t="array" ref="E1524">IFERROR(_xlfn.IFS(AND(D1524&lt;1980,D1524&gt;=1970),"70",AND(D1524&lt;1990,D1524&gt;=1980),"80",AND(D1524&lt;2000,D1524&gt;=1990),"90",AND(D1524&lt;2010,D1524&gt;=2000),"00",AND(D1524&lt;=2019,D1524&gt;=2010),"10"),"1908-1970")</f>
        <v>1908-1970</v>
      </c>
      <c r="F1524" s="3">
        <v>0.63750000000000007</v>
      </c>
      <c r="G1524" t="s">
        <v>11584</v>
      </c>
      <c r="H1524" t="s">
        <v>6541</v>
      </c>
      <c r="I1524">
        <v>214</v>
      </c>
      <c r="J1524" t="s">
        <v>11585</v>
      </c>
      <c r="K1524" t="s">
        <v>6541</v>
      </c>
      <c r="L1524" s="7" t="s">
        <v>11586</v>
      </c>
      <c r="M1524">
        <v>4340408</v>
      </c>
      <c r="N1524">
        <v>25</v>
      </c>
      <c r="O1524">
        <v>20</v>
      </c>
      <c r="P1524">
        <v>5</v>
      </c>
      <c r="Q1524">
        <v>25</v>
      </c>
      <c r="R1524">
        <v>20</v>
      </c>
      <c r="S1524">
        <v>5</v>
      </c>
      <c r="T1524">
        <v>0</v>
      </c>
      <c r="U1524" t="s">
        <v>11587</v>
      </c>
      <c r="V1524">
        <f>Tabla1[[#This Row],[Aboard]]-Tabla1[[#This Row],[Fatalities]]</f>
        <v>0</v>
      </c>
      <c r="W1524" s="50">
        <f>IFERROR(Tabla1[[#This Row],[Fatalities]]/Tabla1[[#This Row],[Aboard]],0)</f>
        <v>1</v>
      </c>
      <c r="X1524" s="51" t="str" cm="1">
        <f t="array" ref="X1524">_xlfn.IFS(Tabla1[[#This Row],[Porcentaje de muertes]]&lt;0.35,"LEVE",AND(Tabla1[[#This Row],[Porcentaje de muertes]]&gt;0.35,Tabla1[[#This Row],[Porcentaje de muertes]]&lt;0.65),"MEDIO",Tabla1[[#This Row],[Porcentaje de muertes]]&gt;0.65,"GRAVE")</f>
        <v>GRAVE</v>
      </c>
    </row>
    <row r="1525" spans="2:24" x14ac:dyDescent="0.3">
      <c r="B1525" s="9">
        <v>1524</v>
      </c>
      <c r="C1525" s="49">
        <v>20401</v>
      </c>
      <c r="D1525" s="9">
        <f>YEAR(Tabla1[[#This Row],[Date]])</f>
        <v>1955</v>
      </c>
      <c r="E1525" s="9" t="str" cm="1">
        <f t="array" ref="E1525">IFERROR(_xlfn.IFS(AND(D1525&lt;1980,D1525&gt;=1970),"70",AND(D1525&lt;1990,D1525&gt;=1980),"80",AND(D1525&lt;2000,D1525&gt;=1990),"90",AND(D1525&lt;2010,D1525&gt;=2000),"00",AND(D1525&lt;=2019,D1525&gt;=2010),"10"),"1908-1970")</f>
        <v>1908-1970</v>
      </c>
      <c r="F1525" s="3">
        <v>0.59722222222222221</v>
      </c>
      <c r="G1525" t="s">
        <v>11588</v>
      </c>
      <c r="H1525" t="s">
        <v>11589</v>
      </c>
      <c r="I1525" t="s">
        <v>28931</v>
      </c>
      <c r="J1525" t="s">
        <v>11590</v>
      </c>
      <c r="K1525" t="s">
        <v>11591</v>
      </c>
      <c r="L1525" s="7" t="s">
        <v>11592</v>
      </c>
      <c r="M1525">
        <v>11258</v>
      </c>
      <c r="N1525">
        <v>67</v>
      </c>
      <c r="O1525">
        <v>57</v>
      </c>
      <c r="P1525">
        <v>10</v>
      </c>
      <c r="Q1525">
        <v>67</v>
      </c>
      <c r="R1525">
        <v>57</v>
      </c>
      <c r="S1525">
        <v>10</v>
      </c>
      <c r="T1525">
        <v>0</v>
      </c>
      <c r="U1525" t="s">
        <v>11593</v>
      </c>
      <c r="V1525">
        <f>Tabla1[[#This Row],[Aboard]]-Tabla1[[#This Row],[Fatalities]]</f>
        <v>0</v>
      </c>
      <c r="W1525" s="50">
        <f>IFERROR(Tabla1[[#This Row],[Fatalities]]/Tabla1[[#This Row],[Aboard]],0)</f>
        <v>1</v>
      </c>
      <c r="X1525" s="51" t="str" cm="1">
        <f t="array" ref="X1525">_xlfn.IFS(Tabla1[[#This Row],[Porcentaje de muertes]]&lt;0.35,"LEVE",AND(Tabla1[[#This Row],[Porcentaje de muertes]]&gt;0.35,Tabla1[[#This Row],[Porcentaje de muertes]]&lt;0.65),"MEDIO",Tabla1[[#This Row],[Porcentaje de muertes]]&gt;0.65,"GRAVE")</f>
        <v>GRAVE</v>
      </c>
    </row>
    <row r="1526" spans="2:24" x14ac:dyDescent="0.3">
      <c r="B1526" s="9">
        <v>1525</v>
      </c>
      <c r="C1526" s="49">
        <v>20327</v>
      </c>
      <c r="D1526" s="9">
        <f>YEAR(Tabla1[[#This Row],[Date]])</f>
        <v>1955</v>
      </c>
      <c r="E1526" s="9" t="str" cm="1">
        <f t="array" ref="E1526">IFERROR(_xlfn.IFS(AND(D1526&lt;1980,D1526&gt;=1970),"70",AND(D1526&lt;1990,D1526&gt;=1980),"80",AND(D1526&lt;2000,D1526&gt;=1990),"90",AND(D1526&lt;2010,D1526&gt;=2000),"00",AND(D1526&lt;=2019,D1526&gt;=2010),"10"),"1908-1970")</f>
        <v>1908-1970</v>
      </c>
      <c r="F1526" s="3">
        <v>0.33333333333333331</v>
      </c>
      <c r="G1526" t="s">
        <v>11594</v>
      </c>
      <c r="H1526" t="s">
        <v>9425</v>
      </c>
      <c r="I1526" t="s">
        <v>28931</v>
      </c>
      <c r="J1526" t="s">
        <v>11595</v>
      </c>
      <c r="K1526" t="s">
        <v>7057</v>
      </c>
      <c r="L1526" s="7" t="s">
        <v>11596</v>
      </c>
      <c r="M1526">
        <v>11692</v>
      </c>
      <c r="N1526">
        <v>13</v>
      </c>
      <c r="O1526">
        <v>9</v>
      </c>
      <c r="P1526">
        <v>4</v>
      </c>
      <c r="Q1526">
        <v>13</v>
      </c>
      <c r="R1526">
        <v>9</v>
      </c>
      <c r="S1526">
        <v>4</v>
      </c>
      <c r="T1526">
        <v>0</v>
      </c>
      <c r="U1526" t="s">
        <v>11597</v>
      </c>
      <c r="V1526">
        <f>Tabla1[[#This Row],[Aboard]]-Tabla1[[#This Row],[Fatalities]]</f>
        <v>0</v>
      </c>
      <c r="W1526" s="50">
        <f>IFERROR(Tabla1[[#This Row],[Fatalities]]/Tabla1[[#This Row],[Aboard]],0)</f>
        <v>1</v>
      </c>
      <c r="X1526" s="51" t="str" cm="1">
        <f t="array" ref="X1526">_xlfn.IFS(Tabla1[[#This Row],[Porcentaje de muertes]]&lt;0.35,"LEVE",AND(Tabla1[[#This Row],[Porcentaje de muertes]]&gt;0.35,Tabla1[[#This Row],[Porcentaje de muertes]]&lt;0.65),"MEDIO",Tabla1[[#This Row],[Porcentaje de muertes]]&gt;0.65,"GRAVE")</f>
        <v>GRAVE</v>
      </c>
    </row>
    <row r="1527" spans="2:24" x14ac:dyDescent="0.3">
      <c r="B1527" s="9">
        <v>1526</v>
      </c>
      <c r="C1527" s="49">
        <v>20331</v>
      </c>
      <c r="D1527" s="9">
        <f>YEAR(Tabla1[[#This Row],[Date]])</f>
        <v>1955</v>
      </c>
      <c r="E1527" s="9" t="str" cm="1">
        <f t="array" ref="E1527">IFERROR(_xlfn.IFS(AND(D1527&lt;1980,D1527&gt;=1970),"70",AND(D1527&lt;1990,D1527&gt;=1980),"80",AND(D1527&lt;2000,D1527&gt;=1990),"90",AND(D1527&lt;2010,D1527&gt;=2000),"00",AND(D1527&lt;=2019,D1527&gt;=2010),"10"),"1908-1970")</f>
        <v>1908-1970</v>
      </c>
      <c r="F1527" s="3" t="s">
        <v>28931</v>
      </c>
      <c r="G1527" t="s">
        <v>11598</v>
      </c>
      <c r="H1527" t="s">
        <v>10608</v>
      </c>
      <c r="I1527" t="s">
        <v>28931</v>
      </c>
      <c r="J1527" t="s">
        <v>28931</v>
      </c>
      <c r="K1527" t="s">
        <v>8105</v>
      </c>
      <c r="L1527" s="7" t="s">
        <v>11599</v>
      </c>
      <c r="M1527">
        <v>13285</v>
      </c>
      <c r="N1527">
        <v>3</v>
      </c>
      <c r="O1527">
        <v>0</v>
      </c>
      <c r="P1527">
        <v>3</v>
      </c>
      <c r="Q1527">
        <v>2</v>
      </c>
      <c r="R1527">
        <v>0</v>
      </c>
      <c r="S1527">
        <v>2</v>
      </c>
      <c r="T1527">
        <v>0</v>
      </c>
      <c r="U1527" t="s">
        <v>11600</v>
      </c>
      <c r="V1527">
        <f>Tabla1[[#This Row],[Aboard]]-Tabla1[[#This Row],[Fatalities]]</f>
        <v>1</v>
      </c>
      <c r="W1527" s="50">
        <f>IFERROR(Tabla1[[#This Row],[Fatalities]]/Tabla1[[#This Row],[Aboard]],0)</f>
        <v>0.66666666666666663</v>
      </c>
      <c r="X1527" s="51" t="str" cm="1">
        <f t="array" ref="X1527">_xlfn.IFS(Tabla1[[#This Row],[Porcentaje de muertes]]&lt;0.35,"LEVE",AND(Tabla1[[#This Row],[Porcentaje de muertes]]&gt;0.35,Tabla1[[#This Row],[Porcentaje de muertes]]&lt;0.65),"MEDIO",Tabla1[[#This Row],[Porcentaje de muertes]]&gt;0.65,"GRAVE")</f>
        <v>GRAVE</v>
      </c>
    </row>
    <row r="1528" spans="2:24" x14ac:dyDescent="0.3">
      <c r="B1528" s="9">
        <v>1527</v>
      </c>
      <c r="C1528" s="49">
        <v>20129</v>
      </c>
      <c r="D1528" s="9">
        <f>YEAR(Tabla1[[#This Row],[Date]])</f>
        <v>1955</v>
      </c>
      <c r="E1528" s="9" t="str" cm="1">
        <f t="array" ref="E1528">IFERROR(_xlfn.IFS(AND(D1528&lt;1980,D1528&gt;=1970),"70",AND(D1528&lt;1990,D1528&gt;=1980),"80",AND(D1528&lt;2000,D1528&gt;=1990),"90",AND(D1528&lt;2010,D1528&gt;=2000),"00",AND(D1528&lt;=2019,D1528&gt;=2010),"10"),"1908-1970")</f>
        <v>1908-1970</v>
      </c>
      <c r="F1528" s="3" t="s">
        <v>28931</v>
      </c>
      <c r="G1528" t="s">
        <v>11601</v>
      </c>
      <c r="H1528" t="s">
        <v>11602</v>
      </c>
      <c r="I1528" t="s">
        <v>28931</v>
      </c>
      <c r="J1528" t="s">
        <v>11603</v>
      </c>
      <c r="K1528" t="s">
        <v>7057</v>
      </c>
      <c r="L1528" s="7" t="s">
        <v>11604</v>
      </c>
      <c r="M1528">
        <v>12579</v>
      </c>
      <c r="N1528">
        <v>12</v>
      </c>
      <c r="O1528">
        <v>9</v>
      </c>
      <c r="P1528">
        <v>3</v>
      </c>
      <c r="Q1528">
        <v>12</v>
      </c>
      <c r="R1528">
        <v>9</v>
      </c>
      <c r="S1528">
        <v>3</v>
      </c>
      <c r="T1528">
        <v>0</v>
      </c>
      <c r="U1528" t="s">
        <v>11605</v>
      </c>
      <c r="V1528">
        <f>Tabla1[[#This Row],[Aboard]]-Tabla1[[#This Row],[Fatalities]]</f>
        <v>0</v>
      </c>
      <c r="W1528" s="50">
        <f>IFERROR(Tabla1[[#This Row],[Fatalities]]/Tabla1[[#This Row],[Aboard]],0)</f>
        <v>1</v>
      </c>
      <c r="X1528" s="51" t="str" cm="1">
        <f t="array" ref="X1528">_xlfn.IFS(Tabla1[[#This Row],[Porcentaje de muertes]]&lt;0.35,"LEVE",AND(Tabla1[[#This Row],[Porcentaje de muertes]]&gt;0.35,Tabla1[[#This Row],[Porcentaje de muertes]]&lt;0.65),"MEDIO",Tabla1[[#This Row],[Porcentaje de muertes]]&gt;0.65,"GRAVE")</f>
        <v>GRAVE</v>
      </c>
    </row>
    <row r="1529" spans="2:24" x14ac:dyDescent="0.3">
      <c r="B1529" s="9">
        <v>1528</v>
      </c>
      <c r="C1529" s="49">
        <v>20310</v>
      </c>
      <c r="D1529" s="9">
        <f>YEAR(Tabla1[[#This Row],[Date]])</f>
        <v>1955</v>
      </c>
      <c r="E1529" s="9" t="str" cm="1">
        <f t="array" ref="E1529">IFERROR(_xlfn.IFS(AND(D1529&lt;1980,D1529&gt;=1970),"70",AND(D1529&lt;1990,D1529&gt;=1980),"80",AND(D1529&lt;2000,D1529&gt;=1990),"90",AND(D1529&lt;2010,D1529&gt;=2000),"00",AND(D1529&lt;=2019,D1529&gt;=2010),"10"),"1908-1970")</f>
        <v>1908-1970</v>
      </c>
      <c r="F1529" s="3">
        <v>0.33124999999999999</v>
      </c>
      <c r="G1529" t="s">
        <v>6053</v>
      </c>
      <c r="H1529" t="s">
        <v>11606</v>
      </c>
      <c r="I1529">
        <v>24</v>
      </c>
      <c r="J1529" t="s">
        <v>9356</v>
      </c>
      <c r="K1529" t="s">
        <v>7057</v>
      </c>
      <c r="L1529" s="7" t="s">
        <v>11607</v>
      </c>
      <c r="M1529">
        <v>6257</v>
      </c>
      <c r="N1529">
        <v>33</v>
      </c>
      <c r="O1529">
        <v>30</v>
      </c>
      <c r="P1529">
        <v>3</v>
      </c>
      <c r="Q1529">
        <v>2</v>
      </c>
      <c r="R1529">
        <v>0</v>
      </c>
      <c r="S1529">
        <v>2</v>
      </c>
      <c r="T1529">
        <v>1</v>
      </c>
      <c r="U1529" t="s">
        <v>11608</v>
      </c>
      <c r="V1529">
        <f>Tabla1[[#This Row],[Aboard]]-Tabla1[[#This Row],[Fatalities]]</f>
        <v>31</v>
      </c>
      <c r="W1529" s="50">
        <f>IFERROR(Tabla1[[#This Row],[Fatalities]]/Tabla1[[#This Row],[Aboard]],0)</f>
        <v>6.0606060606060608E-2</v>
      </c>
      <c r="X1529" s="51" t="str" cm="1">
        <f t="array" ref="X1529">_xlfn.IFS(Tabla1[[#This Row],[Porcentaje de muertes]]&lt;0.35,"LEVE",AND(Tabla1[[#This Row],[Porcentaje de muertes]]&gt;0.35,Tabla1[[#This Row],[Porcentaje de muertes]]&lt;0.65),"MEDIO",Tabla1[[#This Row],[Porcentaje de muertes]]&gt;0.65,"GRAVE")</f>
        <v>LEVE</v>
      </c>
    </row>
    <row r="1530" spans="2:24" x14ac:dyDescent="0.3">
      <c r="B1530" s="9">
        <v>1529</v>
      </c>
      <c r="C1530" s="49">
        <v>20371</v>
      </c>
      <c r="D1530" s="9">
        <f>YEAR(Tabla1[[#This Row],[Date]])</f>
        <v>1955</v>
      </c>
      <c r="E1530" s="9" t="str" cm="1">
        <f t="array" ref="E1530">IFERROR(_xlfn.IFS(AND(D1530&lt;1980,D1530&gt;=1970),"70",AND(D1530&lt;1990,D1530&gt;=1980),"80",AND(D1530&lt;2000,D1530&gt;=1990),"90",AND(D1530&lt;2010,D1530&gt;=2000),"00",AND(D1530&lt;=2019,D1530&gt;=2010),"10"),"1908-1970")</f>
        <v>1908-1970</v>
      </c>
      <c r="F1530" s="3" t="s">
        <v>28931</v>
      </c>
      <c r="G1530" t="s">
        <v>11609</v>
      </c>
      <c r="H1530" t="s">
        <v>11610</v>
      </c>
      <c r="I1530" t="s">
        <v>28931</v>
      </c>
      <c r="J1530" t="s">
        <v>11611</v>
      </c>
      <c r="K1530" t="s">
        <v>9386</v>
      </c>
      <c r="L1530" s="7" t="s">
        <v>11612</v>
      </c>
      <c r="M1530">
        <v>8</v>
      </c>
      <c r="N1530">
        <v>16</v>
      </c>
      <c r="O1530">
        <v>8</v>
      </c>
      <c r="P1530">
        <v>8</v>
      </c>
      <c r="Q1530">
        <v>16</v>
      </c>
      <c r="R1530">
        <v>8</v>
      </c>
      <c r="S1530">
        <v>8</v>
      </c>
      <c r="T1530">
        <v>0</v>
      </c>
      <c r="U1530" t="s">
        <v>11613</v>
      </c>
      <c r="V1530">
        <f>Tabla1[[#This Row],[Aboard]]-Tabla1[[#This Row],[Fatalities]]</f>
        <v>0</v>
      </c>
      <c r="W1530" s="50">
        <f>IFERROR(Tabla1[[#This Row],[Fatalities]]/Tabla1[[#This Row],[Aboard]],0)</f>
        <v>1</v>
      </c>
      <c r="X1530" s="51" t="str" cm="1">
        <f t="array" ref="X1530">_xlfn.IFS(Tabla1[[#This Row],[Porcentaje de muertes]]&lt;0.35,"LEVE",AND(Tabla1[[#This Row],[Porcentaje de muertes]]&gt;0.35,Tabla1[[#This Row],[Porcentaje de muertes]]&lt;0.65),"MEDIO",Tabla1[[#This Row],[Porcentaje de muertes]]&gt;0.65,"GRAVE")</f>
        <v>GRAVE</v>
      </c>
    </row>
    <row r="1531" spans="2:24" x14ac:dyDescent="0.3">
      <c r="B1531" s="9">
        <v>1530</v>
      </c>
      <c r="C1531" s="49">
        <v>20349</v>
      </c>
      <c r="D1531" s="9">
        <f>YEAR(Tabla1[[#This Row],[Date]])</f>
        <v>1955</v>
      </c>
      <c r="E1531" s="9" t="str" cm="1">
        <f t="array" ref="E1531">IFERROR(_xlfn.IFS(AND(D1531&lt;1980,D1531&gt;=1970),"70",AND(D1531&lt;1990,D1531&gt;=1980),"80",AND(D1531&lt;2000,D1531&gt;=1990),"90",AND(D1531&lt;2010,D1531&gt;=2000),"00",AND(D1531&lt;=2019,D1531&gt;=2010),"10"),"1908-1970")</f>
        <v>1908-1970</v>
      </c>
      <c r="F1531" s="3">
        <v>3.4722222222222224E-2</v>
      </c>
      <c r="G1531" t="s">
        <v>11614</v>
      </c>
      <c r="H1531" t="s">
        <v>11615</v>
      </c>
      <c r="I1531" t="s">
        <v>28931</v>
      </c>
      <c r="J1531" t="s">
        <v>11616</v>
      </c>
      <c r="K1531" t="s">
        <v>11617</v>
      </c>
      <c r="L1531" s="7" t="s">
        <v>11618</v>
      </c>
      <c r="M1531">
        <v>12831</v>
      </c>
      <c r="N1531">
        <v>6</v>
      </c>
      <c r="O1531">
        <v>4</v>
      </c>
      <c r="P1531">
        <v>2</v>
      </c>
      <c r="Q1531">
        <v>2</v>
      </c>
      <c r="R1531">
        <v>1</v>
      </c>
      <c r="S1531">
        <v>1</v>
      </c>
      <c r="T1531">
        <v>0</v>
      </c>
      <c r="U1531" t="s">
        <v>11619</v>
      </c>
      <c r="V1531">
        <f>Tabla1[[#This Row],[Aboard]]-Tabla1[[#This Row],[Fatalities]]</f>
        <v>4</v>
      </c>
      <c r="W1531" s="50">
        <f>IFERROR(Tabla1[[#This Row],[Fatalities]]/Tabla1[[#This Row],[Aboard]],0)</f>
        <v>0.33333333333333331</v>
      </c>
      <c r="X1531" s="51" t="str" cm="1">
        <f t="array" ref="X1531">_xlfn.IFS(Tabla1[[#This Row],[Porcentaje de muertes]]&lt;0.35,"LEVE",AND(Tabla1[[#This Row],[Porcentaje de muertes]]&gt;0.35,Tabla1[[#This Row],[Porcentaje de muertes]]&lt;0.65),"MEDIO",Tabla1[[#This Row],[Porcentaje de muertes]]&gt;0.65,"GRAVE")</f>
        <v>LEVE</v>
      </c>
    </row>
    <row r="1532" spans="2:24" x14ac:dyDescent="0.3">
      <c r="B1532" s="9">
        <v>1531</v>
      </c>
      <c r="C1532" s="49">
        <v>20354</v>
      </c>
      <c r="D1532" s="9">
        <f>YEAR(Tabla1[[#This Row],[Date]])</f>
        <v>1955</v>
      </c>
      <c r="E1532" s="9" t="str" cm="1">
        <f t="array" ref="E1532">IFERROR(_xlfn.IFS(AND(D1532&lt;1980,D1532&gt;=1970),"70",AND(D1532&lt;1990,D1532&gt;=1980),"80",AND(D1532&lt;2000,D1532&gt;=1990),"90",AND(D1532&lt;2010,D1532&gt;=2000),"00",AND(D1532&lt;=2019,D1532&gt;=2010),"10"),"1908-1970")</f>
        <v>1908-1970</v>
      </c>
      <c r="F1532" s="3">
        <v>1.5972222222222224E-2</v>
      </c>
      <c r="G1532" t="s">
        <v>11620</v>
      </c>
      <c r="H1532" t="s">
        <v>7521</v>
      </c>
      <c r="I1532" t="s">
        <v>28931</v>
      </c>
      <c r="J1532" t="s">
        <v>11621</v>
      </c>
      <c r="K1532" t="s">
        <v>11622</v>
      </c>
      <c r="L1532" s="7" t="s">
        <v>11623</v>
      </c>
      <c r="M1532">
        <v>158</v>
      </c>
      <c r="N1532">
        <v>47</v>
      </c>
      <c r="O1532">
        <v>40</v>
      </c>
      <c r="P1532">
        <v>7</v>
      </c>
      <c r="Q1532">
        <v>15</v>
      </c>
      <c r="R1532">
        <v>13</v>
      </c>
      <c r="S1532">
        <v>2</v>
      </c>
      <c r="T1532">
        <v>0</v>
      </c>
      <c r="U1532" t="s">
        <v>11624</v>
      </c>
      <c r="V1532">
        <f>Tabla1[[#This Row],[Aboard]]-Tabla1[[#This Row],[Fatalities]]</f>
        <v>32</v>
      </c>
      <c r="W1532" s="50">
        <f>IFERROR(Tabla1[[#This Row],[Fatalities]]/Tabla1[[#This Row],[Aboard]],0)</f>
        <v>0.31914893617021278</v>
      </c>
      <c r="X1532" s="51" t="str" cm="1">
        <f t="array" ref="X1532">_xlfn.IFS(Tabla1[[#This Row],[Porcentaje de muertes]]&lt;0.35,"LEVE",AND(Tabla1[[#This Row],[Porcentaje de muertes]]&gt;0.35,Tabla1[[#This Row],[Porcentaje de muertes]]&lt;0.65),"MEDIO",Tabla1[[#This Row],[Porcentaje de muertes]]&gt;0.65,"GRAVE")</f>
        <v>LEVE</v>
      </c>
    </row>
    <row r="1533" spans="2:24" x14ac:dyDescent="0.3">
      <c r="B1533" s="9">
        <v>1532</v>
      </c>
      <c r="C1533" s="49">
        <v>20356</v>
      </c>
      <c r="D1533" s="9">
        <f>YEAR(Tabla1[[#This Row],[Date]])</f>
        <v>1955</v>
      </c>
      <c r="E1533" s="9" t="str" cm="1">
        <f t="array" ref="E1533">IFERROR(_xlfn.IFS(AND(D1533&lt;1980,D1533&gt;=1970),"70",AND(D1533&lt;1990,D1533&gt;=1980),"80",AND(D1533&lt;2000,D1533&gt;=1990),"90",AND(D1533&lt;2010,D1533&gt;=2000),"00",AND(D1533&lt;=2019,D1533&gt;=2010),"10"),"1908-1970")</f>
        <v>1908-1970</v>
      </c>
      <c r="F1533" s="3">
        <v>0.8666666666666667</v>
      </c>
      <c r="G1533" t="s">
        <v>11625</v>
      </c>
      <c r="H1533" t="s">
        <v>10878</v>
      </c>
      <c r="I1533" t="s">
        <v>28931</v>
      </c>
      <c r="J1533" t="s">
        <v>11626</v>
      </c>
      <c r="K1533" t="s">
        <v>7894</v>
      </c>
      <c r="L1533" s="7" t="s">
        <v>11627</v>
      </c>
      <c r="M1533">
        <v>10410</v>
      </c>
      <c r="N1533">
        <v>5</v>
      </c>
      <c r="O1533">
        <v>0</v>
      </c>
      <c r="P1533">
        <v>5</v>
      </c>
      <c r="Q1533">
        <v>3</v>
      </c>
      <c r="R1533">
        <v>0</v>
      </c>
      <c r="S1533">
        <v>3</v>
      </c>
      <c r="T1533">
        <v>0</v>
      </c>
      <c r="U1533" t="s">
        <v>11628</v>
      </c>
      <c r="V1533">
        <f>Tabla1[[#This Row],[Aboard]]-Tabla1[[#This Row],[Fatalities]]</f>
        <v>2</v>
      </c>
      <c r="W1533" s="50">
        <f>IFERROR(Tabla1[[#This Row],[Fatalities]]/Tabla1[[#This Row],[Aboard]],0)</f>
        <v>0.6</v>
      </c>
      <c r="X1533" s="51" t="str" cm="1">
        <f t="array" ref="X1533">_xlfn.IFS(Tabla1[[#This Row],[Porcentaje de muertes]]&lt;0.35,"LEVE",AND(Tabla1[[#This Row],[Porcentaje de muertes]]&gt;0.35,Tabla1[[#This Row],[Porcentaje de muertes]]&lt;0.65),"MEDIO",Tabla1[[#This Row],[Porcentaje de muertes]]&gt;0.65,"GRAVE")</f>
        <v>MEDIO</v>
      </c>
    </row>
    <row r="1534" spans="2:24" x14ac:dyDescent="0.3">
      <c r="B1534" s="9">
        <v>1533</v>
      </c>
      <c r="C1534" s="49">
        <v>20361</v>
      </c>
      <c r="D1534" s="9">
        <f>YEAR(Tabla1[[#This Row],[Date]])</f>
        <v>1955</v>
      </c>
      <c r="E1534" s="9" t="str" cm="1">
        <f t="array" ref="E1534">IFERROR(_xlfn.IFS(AND(D1534&lt;1980,D1534&gt;=1970),"70",AND(D1534&lt;1990,D1534&gt;=1980),"80",AND(D1534&lt;2000,D1534&gt;=1990),"90",AND(D1534&lt;2010,D1534&gt;=2000),"00",AND(D1534&lt;=2019,D1534&gt;=2010),"10"),"1908-1970")</f>
        <v>1908-1970</v>
      </c>
      <c r="F1534" s="3">
        <v>0.54861111111111105</v>
      </c>
      <c r="G1534" t="s">
        <v>11629</v>
      </c>
      <c r="H1534" t="s">
        <v>11549</v>
      </c>
      <c r="I1534" t="s">
        <v>28931</v>
      </c>
      <c r="J1534" t="s">
        <v>11630</v>
      </c>
      <c r="K1534" t="s">
        <v>11550</v>
      </c>
      <c r="L1534" s="7" t="s">
        <v>11631</v>
      </c>
      <c r="M1534" t="s">
        <v>28931</v>
      </c>
      <c r="N1534">
        <v>2</v>
      </c>
      <c r="O1534">
        <v>0</v>
      </c>
      <c r="P1534">
        <v>2</v>
      </c>
      <c r="Q1534">
        <v>1</v>
      </c>
      <c r="R1534">
        <v>0</v>
      </c>
      <c r="S1534">
        <v>1</v>
      </c>
      <c r="T1534">
        <v>0</v>
      </c>
      <c r="U1534" t="s">
        <v>11632</v>
      </c>
      <c r="V1534">
        <f>Tabla1[[#This Row],[Aboard]]-Tabla1[[#This Row],[Fatalities]]</f>
        <v>1</v>
      </c>
      <c r="W1534" s="50">
        <f>IFERROR(Tabla1[[#This Row],[Fatalities]]/Tabla1[[#This Row],[Aboard]],0)</f>
        <v>0.5</v>
      </c>
      <c r="X1534" s="51" t="str" cm="1">
        <f t="array" ref="X1534">_xlfn.IFS(Tabla1[[#This Row],[Porcentaje de muertes]]&lt;0.35,"LEVE",AND(Tabla1[[#This Row],[Porcentaje de muertes]]&gt;0.35,Tabla1[[#This Row],[Porcentaje de muertes]]&lt;0.65),"MEDIO",Tabla1[[#This Row],[Porcentaje de muertes]]&gt;0.65,"GRAVE")</f>
        <v>MEDIO</v>
      </c>
    </row>
    <row r="1535" spans="2:24" x14ac:dyDescent="0.3">
      <c r="B1535" s="9">
        <v>1534</v>
      </c>
      <c r="C1535" s="49">
        <v>20130</v>
      </c>
      <c r="D1535" s="9">
        <f>YEAR(Tabla1[[#This Row],[Date]])</f>
        <v>1955</v>
      </c>
      <c r="E1535" s="9" t="str" cm="1">
        <f t="array" ref="E1535">IFERROR(_xlfn.IFS(AND(D1535&lt;1980,D1535&gt;=1970),"70",AND(D1535&lt;1990,D1535&gt;=1980),"80",AND(D1535&lt;2000,D1535&gt;=1990),"90",AND(D1535&lt;2010,D1535&gt;=2000),"00",AND(D1535&lt;=2019,D1535&gt;=2010),"10"),"1908-1970")</f>
        <v>1908-1970</v>
      </c>
      <c r="F1535" s="3" t="s">
        <v>28931</v>
      </c>
      <c r="G1535" t="s">
        <v>11633</v>
      </c>
      <c r="H1535" t="s">
        <v>8477</v>
      </c>
      <c r="I1535" t="s">
        <v>28931</v>
      </c>
      <c r="J1535" t="s">
        <v>11634</v>
      </c>
      <c r="K1535" t="s">
        <v>11635</v>
      </c>
      <c r="L1535" s="7" t="s">
        <v>11636</v>
      </c>
      <c r="M1535">
        <v>10277</v>
      </c>
      <c r="N1535">
        <v>35</v>
      </c>
      <c r="O1535">
        <v>31</v>
      </c>
      <c r="P1535">
        <v>4</v>
      </c>
      <c r="Q1535">
        <v>19</v>
      </c>
      <c r="R1535">
        <v>15</v>
      </c>
      <c r="S1535">
        <v>4</v>
      </c>
      <c r="T1535">
        <v>0</v>
      </c>
      <c r="U1535" t="s">
        <v>11637</v>
      </c>
      <c r="V1535">
        <f>Tabla1[[#This Row],[Aboard]]-Tabla1[[#This Row],[Fatalities]]</f>
        <v>16</v>
      </c>
      <c r="W1535" s="50">
        <f>IFERROR(Tabla1[[#This Row],[Fatalities]]/Tabla1[[#This Row],[Aboard]],0)</f>
        <v>0.54285714285714282</v>
      </c>
      <c r="X1535" s="51" t="str" cm="1">
        <f t="array" ref="X1535">_xlfn.IFS(Tabla1[[#This Row],[Porcentaje de muertes]]&lt;0.35,"LEVE",AND(Tabla1[[#This Row],[Porcentaje de muertes]]&gt;0.35,Tabla1[[#This Row],[Porcentaje de muertes]]&lt;0.65),"MEDIO",Tabla1[[#This Row],[Porcentaje de muertes]]&gt;0.65,"GRAVE")</f>
        <v>MEDIO</v>
      </c>
    </row>
    <row r="1536" spans="2:24" x14ac:dyDescent="0.3">
      <c r="B1536" s="9">
        <v>1535</v>
      </c>
      <c r="C1536" s="49">
        <v>20250</v>
      </c>
      <c r="D1536" s="9">
        <f>YEAR(Tabla1[[#This Row],[Date]])</f>
        <v>1955</v>
      </c>
      <c r="E1536" s="9" t="str" cm="1">
        <f t="array" ref="E1536">IFERROR(_xlfn.IFS(AND(D1536&lt;1980,D1536&gt;=1970),"70",AND(D1536&lt;1990,D1536&gt;=1980),"80",AND(D1536&lt;2000,D1536&gt;=1990),"90",AND(D1536&lt;2010,D1536&gt;=2000),"00",AND(D1536&lt;=2019,D1536&gt;=2010),"10"),"1908-1970")</f>
        <v>1908-1970</v>
      </c>
      <c r="F1536" s="3">
        <v>0.30972222222222223</v>
      </c>
      <c r="G1536" t="s">
        <v>11638</v>
      </c>
      <c r="H1536" t="s">
        <v>6369</v>
      </c>
      <c r="I1536">
        <v>409</v>
      </c>
      <c r="J1536" t="s">
        <v>11639</v>
      </c>
      <c r="K1536" t="s">
        <v>8822</v>
      </c>
      <c r="L1536" s="7" t="s">
        <v>11640</v>
      </c>
      <c r="M1536">
        <v>18389</v>
      </c>
      <c r="N1536">
        <v>66</v>
      </c>
      <c r="O1536">
        <v>63</v>
      </c>
      <c r="P1536">
        <v>3</v>
      </c>
      <c r="Q1536">
        <v>66</v>
      </c>
      <c r="R1536">
        <v>63</v>
      </c>
      <c r="S1536">
        <v>3</v>
      </c>
      <c r="T1536">
        <v>0</v>
      </c>
      <c r="U1536" t="s">
        <v>11641</v>
      </c>
      <c r="V1536">
        <f>Tabla1[[#This Row],[Aboard]]-Tabla1[[#This Row],[Fatalities]]</f>
        <v>0</v>
      </c>
      <c r="W1536" s="50">
        <f>IFERROR(Tabla1[[#This Row],[Fatalities]]/Tabla1[[#This Row],[Aboard]],0)</f>
        <v>1</v>
      </c>
      <c r="X1536" s="51" t="str" cm="1">
        <f t="array" ref="X1536">_xlfn.IFS(Tabla1[[#This Row],[Porcentaje de muertes]]&lt;0.35,"LEVE",AND(Tabla1[[#This Row],[Porcentaje de muertes]]&gt;0.35,Tabla1[[#This Row],[Porcentaje de muertes]]&lt;0.65),"MEDIO",Tabla1[[#This Row],[Porcentaje de muertes]]&gt;0.65,"GRAVE")</f>
        <v>GRAVE</v>
      </c>
    </row>
    <row r="1537" spans="2:24" x14ac:dyDescent="0.3">
      <c r="B1537" s="9">
        <v>1536</v>
      </c>
      <c r="C1537" s="49">
        <v>20372</v>
      </c>
      <c r="D1537" s="9">
        <f>YEAR(Tabla1[[#This Row],[Date]])</f>
        <v>1955</v>
      </c>
      <c r="E1537" s="9" t="str" cm="1">
        <f t="array" ref="E1537">IFERROR(_xlfn.IFS(AND(D1537&lt;1980,D1537&gt;=1970),"70",AND(D1537&lt;1990,D1537&gt;=1980),"80",AND(D1537&lt;2000,D1537&gt;=1990),"90",AND(D1537&lt;2010,D1537&gt;=2000),"00",AND(D1537&lt;=2019,D1537&gt;=2010),"10"),"1908-1970")</f>
        <v>1908-1970</v>
      </c>
      <c r="F1537" s="3">
        <v>0.65277777777777779</v>
      </c>
      <c r="G1537" t="s">
        <v>11642</v>
      </c>
      <c r="H1537" t="s">
        <v>9280</v>
      </c>
      <c r="I1537" t="s">
        <v>28931</v>
      </c>
      <c r="J1537" t="s">
        <v>11643</v>
      </c>
      <c r="K1537" t="s">
        <v>11644</v>
      </c>
      <c r="L1537" s="7" t="s">
        <v>11645</v>
      </c>
      <c r="M1537">
        <v>178</v>
      </c>
      <c r="N1537">
        <v>29</v>
      </c>
      <c r="O1537">
        <v>25</v>
      </c>
      <c r="P1537">
        <v>4</v>
      </c>
      <c r="Q1537">
        <v>7</v>
      </c>
      <c r="R1537">
        <v>6</v>
      </c>
      <c r="S1537">
        <v>1</v>
      </c>
      <c r="T1537">
        <v>0</v>
      </c>
      <c r="U1537" t="s">
        <v>11646</v>
      </c>
      <c r="V1537">
        <f>Tabla1[[#This Row],[Aboard]]-Tabla1[[#This Row],[Fatalities]]</f>
        <v>22</v>
      </c>
      <c r="W1537" s="50">
        <f>IFERROR(Tabla1[[#This Row],[Fatalities]]/Tabla1[[#This Row],[Aboard]],0)</f>
        <v>0.2413793103448276</v>
      </c>
      <c r="X1537" s="51" t="str" cm="1">
        <f t="array" ref="X1537">_xlfn.IFS(Tabla1[[#This Row],[Porcentaje de muertes]]&lt;0.35,"LEVE",AND(Tabla1[[#This Row],[Porcentaje de muertes]]&gt;0.35,Tabla1[[#This Row],[Porcentaje de muertes]]&lt;0.65),"MEDIO",Tabla1[[#This Row],[Porcentaje de muertes]]&gt;0.65,"GRAVE")</f>
        <v>LEVE</v>
      </c>
    </row>
    <row r="1538" spans="2:24" x14ac:dyDescent="0.3">
      <c r="B1538" s="9">
        <v>1537</v>
      </c>
      <c r="C1538" s="49">
        <v>20100</v>
      </c>
      <c r="D1538" s="9">
        <f>YEAR(Tabla1[[#This Row],[Date]])</f>
        <v>1955</v>
      </c>
      <c r="E1538" s="9" t="str" cm="1">
        <f t="array" ref="E1538">IFERROR(_xlfn.IFS(AND(D1538&lt;1980,D1538&gt;=1970),"70",AND(D1538&lt;1990,D1538&gt;=1980),"80",AND(D1538&lt;2000,D1538&gt;=1990),"90",AND(D1538&lt;2010,D1538&gt;=2000),"00",AND(D1538&lt;=2019,D1538&gt;=2010),"10"),"1908-1970")</f>
        <v>1908-1970</v>
      </c>
      <c r="F1538" s="3">
        <v>0.79375000000000007</v>
      </c>
      <c r="G1538" t="s">
        <v>11647</v>
      </c>
      <c r="H1538" t="s">
        <v>6369</v>
      </c>
      <c r="I1538">
        <v>629</v>
      </c>
      <c r="J1538" t="s">
        <v>11648</v>
      </c>
      <c r="K1538" t="s">
        <v>10428</v>
      </c>
      <c r="L1538" s="7" t="s">
        <v>11649</v>
      </c>
      <c r="M1538">
        <v>43538</v>
      </c>
      <c r="N1538">
        <v>44</v>
      </c>
      <c r="O1538">
        <v>39</v>
      </c>
      <c r="P1538">
        <v>5</v>
      </c>
      <c r="Q1538">
        <v>44</v>
      </c>
      <c r="R1538">
        <v>39</v>
      </c>
      <c r="S1538">
        <v>5</v>
      </c>
      <c r="T1538">
        <v>0</v>
      </c>
      <c r="U1538" t="s">
        <v>11650</v>
      </c>
      <c r="V1538">
        <f>Tabla1[[#This Row],[Aboard]]-Tabla1[[#This Row],[Fatalities]]</f>
        <v>0</v>
      </c>
      <c r="W1538" s="50">
        <f>IFERROR(Tabla1[[#This Row],[Fatalities]]/Tabla1[[#This Row],[Aboard]],0)</f>
        <v>1</v>
      </c>
      <c r="X1538" s="51" t="str" cm="1">
        <f t="array" ref="X1538">_xlfn.IFS(Tabla1[[#This Row],[Porcentaje de muertes]]&lt;0.35,"LEVE",AND(Tabla1[[#This Row],[Porcentaje de muertes]]&gt;0.35,Tabla1[[#This Row],[Porcentaje de muertes]]&lt;0.65),"MEDIO",Tabla1[[#This Row],[Porcentaje de muertes]]&gt;0.65,"GRAVE")</f>
        <v>GRAVE</v>
      </c>
    </row>
    <row r="1539" spans="2:24" x14ac:dyDescent="0.3">
      <c r="B1539" s="9">
        <v>1538</v>
      </c>
      <c r="C1539" s="49">
        <v>20410</v>
      </c>
      <c r="D1539" s="9">
        <f>YEAR(Tabla1[[#This Row],[Date]])</f>
        <v>1955</v>
      </c>
      <c r="E1539" s="9" t="str" cm="1">
        <f t="array" ref="E1539">IFERROR(_xlfn.IFS(AND(D1539&lt;1980,D1539&gt;=1970),"70",AND(D1539&lt;1990,D1539&gt;=1980),"80",AND(D1539&lt;2000,D1539&gt;=1990),"90",AND(D1539&lt;2010,D1539&gt;=2000),"00",AND(D1539&lt;=2019,D1539&gt;=2010),"10"),"1908-1970")</f>
        <v>1908-1970</v>
      </c>
      <c r="F1539" s="3" t="s">
        <v>28931</v>
      </c>
      <c r="G1539" t="s">
        <v>7720</v>
      </c>
      <c r="H1539" t="s">
        <v>7987</v>
      </c>
      <c r="I1539" t="s">
        <v>28931</v>
      </c>
      <c r="J1539" t="s">
        <v>11651</v>
      </c>
      <c r="K1539" t="s">
        <v>11652</v>
      </c>
      <c r="L1539" s="7" t="s">
        <v>11653</v>
      </c>
      <c r="M1539">
        <v>27294</v>
      </c>
      <c r="N1539">
        <v>14</v>
      </c>
      <c r="O1539">
        <v>10</v>
      </c>
      <c r="P1539">
        <v>4</v>
      </c>
      <c r="Q1539">
        <v>14</v>
      </c>
      <c r="R1539">
        <v>10</v>
      </c>
      <c r="S1539">
        <v>4</v>
      </c>
      <c r="T1539">
        <v>0</v>
      </c>
      <c r="U1539" t="s">
        <v>11654</v>
      </c>
      <c r="V1539">
        <f>Tabla1[[#This Row],[Aboard]]-Tabla1[[#This Row],[Fatalities]]</f>
        <v>0</v>
      </c>
      <c r="W1539" s="50">
        <f>IFERROR(Tabla1[[#This Row],[Fatalities]]/Tabla1[[#This Row],[Aboard]],0)</f>
        <v>1</v>
      </c>
      <c r="X1539" s="51" t="str" cm="1">
        <f t="array" ref="X1539">_xlfn.IFS(Tabla1[[#This Row],[Porcentaje de muertes]]&lt;0.35,"LEVE",AND(Tabla1[[#This Row],[Porcentaje de muertes]]&gt;0.35,Tabla1[[#This Row],[Porcentaje de muertes]]&lt;0.65),"MEDIO",Tabla1[[#This Row],[Porcentaje de muertes]]&gt;0.65,"GRAVE")</f>
        <v>GRAVE</v>
      </c>
    </row>
    <row r="1540" spans="2:24" x14ac:dyDescent="0.3">
      <c r="B1540" s="9">
        <v>1539</v>
      </c>
      <c r="C1540" s="49">
        <v>20410</v>
      </c>
      <c r="D1540" s="9">
        <f>YEAR(Tabla1[[#This Row],[Date]])</f>
        <v>1955</v>
      </c>
      <c r="E1540" s="9" t="str" cm="1">
        <f t="array" ref="E1540">IFERROR(_xlfn.IFS(AND(D1540&lt;1980,D1540&gt;=1970),"70",AND(D1540&lt;1990,D1540&gt;=1980),"80",AND(D1540&lt;2000,D1540&gt;=1990),"90",AND(D1540&lt;2010,D1540&gt;=2000),"00",AND(D1540&lt;=2019,D1540&gt;=2010),"10"),"1908-1970")</f>
        <v>1908-1970</v>
      </c>
      <c r="F1540" s="3">
        <v>0.99930555555555556</v>
      </c>
      <c r="G1540" t="s">
        <v>11655</v>
      </c>
      <c r="H1540" t="s">
        <v>11656</v>
      </c>
      <c r="I1540" t="s">
        <v>11657</v>
      </c>
      <c r="J1540" t="s">
        <v>11658</v>
      </c>
      <c r="K1540" t="s">
        <v>8513</v>
      </c>
      <c r="L1540" s="7" t="s">
        <v>11659</v>
      </c>
      <c r="M1540">
        <v>3123</v>
      </c>
      <c r="N1540">
        <v>74</v>
      </c>
      <c r="O1540">
        <v>70</v>
      </c>
      <c r="P1540">
        <v>4</v>
      </c>
      <c r="Q1540">
        <v>28</v>
      </c>
      <c r="R1540">
        <v>27</v>
      </c>
      <c r="S1540">
        <v>1</v>
      </c>
      <c r="T1540">
        <v>0</v>
      </c>
      <c r="U1540" t="s">
        <v>11660</v>
      </c>
      <c r="V1540">
        <f>Tabla1[[#This Row],[Aboard]]-Tabla1[[#This Row],[Fatalities]]</f>
        <v>46</v>
      </c>
      <c r="W1540" s="50">
        <f>IFERROR(Tabla1[[#This Row],[Fatalities]]/Tabla1[[#This Row],[Aboard]],0)</f>
        <v>0.3783783783783784</v>
      </c>
      <c r="X1540" s="51" t="str" cm="1">
        <f t="array" ref="X1540">_xlfn.IFS(Tabla1[[#This Row],[Porcentaje de muertes]]&lt;0.35,"LEVE",AND(Tabla1[[#This Row],[Porcentaje de muertes]]&gt;0.35,Tabla1[[#This Row],[Porcentaje de muertes]]&lt;0.65),"MEDIO",Tabla1[[#This Row],[Porcentaje de muertes]]&gt;0.65,"GRAVE")</f>
        <v>MEDIO</v>
      </c>
    </row>
    <row r="1541" spans="2:24" x14ac:dyDescent="0.3">
      <c r="B1541" s="9">
        <v>1540</v>
      </c>
      <c r="C1541" s="49">
        <v>20413</v>
      </c>
      <c r="D1541" s="9">
        <f>YEAR(Tabla1[[#This Row],[Date]])</f>
        <v>1955</v>
      </c>
      <c r="E1541" s="9" t="str" cm="1">
        <f t="array" ref="E1541">IFERROR(_xlfn.IFS(AND(D1541&lt;1980,D1541&gt;=1970),"70",AND(D1541&lt;1990,D1541&gt;=1980),"80",AND(D1541&lt;2000,D1541&gt;=1990),"90",AND(D1541&lt;2010,D1541&gt;=2000),"00",AND(D1541&lt;=2019,D1541&gt;=2010),"10"),"1908-1970")</f>
        <v>1908-1970</v>
      </c>
      <c r="F1541" s="3">
        <v>0.7909722222222223</v>
      </c>
      <c r="G1541" t="s">
        <v>11661</v>
      </c>
      <c r="H1541" t="s">
        <v>10504</v>
      </c>
      <c r="I1541" t="s">
        <v>28931</v>
      </c>
      <c r="J1541" t="s">
        <v>11662</v>
      </c>
      <c r="K1541" t="s">
        <v>11663</v>
      </c>
      <c r="L1541" s="7" t="s">
        <v>11664</v>
      </c>
      <c r="M1541">
        <v>43483</v>
      </c>
      <c r="N1541">
        <v>11</v>
      </c>
      <c r="O1541">
        <v>2</v>
      </c>
      <c r="P1541">
        <v>9</v>
      </c>
      <c r="Q1541">
        <v>10</v>
      </c>
      <c r="R1541">
        <v>2</v>
      </c>
      <c r="S1541">
        <v>8</v>
      </c>
      <c r="T1541">
        <v>0</v>
      </c>
      <c r="U1541" t="s">
        <v>11665</v>
      </c>
      <c r="V1541">
        <f>Tabla1[[#This Row],[Aboard]]-Tabla1[[#This Row],[Fatalities]]</f>
        <v>1</v>
      </c>
      <c r="W1541" s="50">
        <f>IFERROR(Tabla1[[#This Row],[Fatalities]]/Tabla1[[#This Row],[Aboard]],0)</f>
        <v>0.90909090909090906</v>
      </c>
      <c r="X1541" s="51" t="str" cm="1">
        <f t="array" ref="X1541">_xlfn.IFS(Tabla1[[#This Row],[Porcentaje de muertes]]&lt;0.35,"LEVE",AND(Tabla1[[#This Row],[Porcentaje de muertes]]&gt;0.35,Tabla1[[#This Row],[Porcentaje de muertes]]&lt;0.65),"MEDIO",Tabla1[[#This Row],[Porcentaje de muertes]]&gt;0.65,"GRAVE")</f>
        <v>GRAVE</v>
      </c>
    </row>
    <row r="1542" spans="2:24" x14ac:dyDescent="0.3">
      <c r="B1542" s="9">
        <v>1541</v>
      </c>
      <c r="C1542" s="49">
        <v>20423</v>
      </c>
      <c r="D1542" s="9">
        <f>YEAR(Tabla1[[#This Row],[Date]])</f>
        <v>1955</v>
      </c>
      <c r="E1542" s="9" t="str" cm="1">
        <f t="array" ref="E1542">IFERROR(_xlfn.IFS(AND(D1542&lt;1980,D1542&gt;=1970),"70",AND(D1542&lt;1990,D1542&gt;=1980),"80",AND(D1542&lt;2000,D1542&gt;=1990),"90",AND(D1542&lt;2010,D1542&gt;=2000),"00",AND(D1542&lt;=2019,D1542&gt;=2010),"10"),"1908-1970")</f>
        <v>1908-1970</v>
      </c>
      <c r="F1542" s="3">
        <v>0.91666666666666663</v>
      </c>
      <c r="G1542" t="s">
        <v>11666</v>
      </c>
      <c r="H1542" t="s">
        <v>7987</v>
      </c>
      <c r="I1542" t="s">
        <v>28931</v>
      </c>
      <c r="J1542" t="s">
        <v>28931</v>
      </c>
      <c r="K1542" t="s">
        <v>11667</v>
      </c>
      <c r="L1542" s="7" t="s">
        <v>11668</v>
      </c>
      <c r="M1542" t="s">
        <v>28931</v>
      </c>
      <c r="N1542">
        <v>10</v>
      </c>
      <c r="O1542">
        <v>0</v>
      </c>
      <c r="P1542">
        <v>10</v>
      </c>
      <c r="Q1542">
        <v>10</v>
      </c>
      <c r="R1542">
        <v>0</v>
      </c>
      <c r="S1542">
        <v>10</v>
      </c>
      <c r="T1542">
        <v>0</v>
      </c>
      <c r="U1542" t="s">
        <v>11669</v>
      </c>
      <c r="V1542">
        <f>Tabla1[[#This Row],[Aboard]]-Tabla1[[#This Row],[Fatalities]]</f>
        <v>0</v>
      </c>
      <c r="W1542" s="50">
        <f>IFERROR(Tabla1[[#This Row],[Fatalities]]/Tabla1[[#This Row],[Aboard]],0)</f>
        <v>1</v>
      </c>
      <c r="X1542" s="51" t="str" cm="1">
        <f t="array" ref="X1542">_xlfn.IFS(Tabla1[[#This Row],[Porcentaje de muertes]]&lt;0.35,"LEVE",AND(Tabla1[[#This Row],[Porcentaje de muertes]]&gt;0.35,Tabla1[[#This Row],[Porcentaje de muertes]]&lt;0.65),"MEDIO",Tabla1[[#This Row],[Porcentaje de muertes]]&gt;0.65,"GRAVE")</f>
        <v>GRAVE</v>
      </c>
    </row>
    <row r="1543" spans="2:24" x14ac:dyDescent="0.3">
      <c r="B1543" s="9">
        <v>1542</v>
      </c>
      <c r="C1543" s="49">
        <v>20101</v>
      </c>
      <c r="D1543" s="9">
        <f>YEAR(Tabla1[[#This Row],[Date]])</f>
        <v>1955</v>
      </c>
      <c r="E1543" s="9" t="str" cm="1">
        <f t="array" ref="E1543">IFERROR(_xlfn.IFS(AND(D1543&lt;1980,D1543&gt;=1970),"70",AND(D1543&lt;1990,D1543&gt;=1980),"80",AND(D1543&lt;2000,D1543&gt;=1990),"90",AND(D1543&lt;2010,D1543&gt;=2000),"00",AND(D1543&lt;=2019,D1543&gt;=2010),"10"),"1908-1970")</f>
        <v>1908-1970</v>
      </c>
      <c r="F1543" s="3">
        <v>0.28958333333333336</v>
      </c>
      <c r="G1543" t="s">
        <v>9534</v>
      </c>
      <c r="H1543" t="s">
        <v>9425</v>
      </c>
      <c r="I1543" t="s">
        <v>28931</v>
      </c>
      <c r="J1543" t="s">
        <v>11670</v>
      </c>
      <c r="K1543" t="s">
        <v>7057</v>
      </c>
      <c r="L1543" s="7" t="s">
        <v>11671</v>
      </c>
      <c r="M1543" t="s">
        <v>11672</v>
      </c>
      <c r="N1543">
        <v>6</v>
      </c>
      <c r="O1543">
        <v>4</v>
      </c>
      <c r="P1543">
        <v>2</v>
      </c>
      <c r="Q1543">
        <v>6</v>
      </c>
      <c r="R1543">
        <v>4</v>
      </c>
      <c r="S1543">
        <v>2</v>
      </c>
      <c r="T1543">
        <v>0</v>
      </c>
      <c r="U1543" t="s">
        <v>11673</v>
      </c>
      <c r="V1543">
        <f>Tabla1[[#This Row],[Aboard]]-Tabla1[[#This Row],[Fatalities]]</f>
        <v>0</v>
      </c>
      <c r="W1543" s="50">
        <f>IFERROR(Tabla1[[#This Row],[Fatalities]]/Tabla1[[#This Row],[Aboard]],0)</f>
        <v>1</v>
      </c>
      <c r="X1543" s="51" t="str" cm="1">
        <f t="array" ref="X1543">_xlfn.IFS(Tabla1[[#This Row],[Porcentaje de muertes]]&lt;0.35,"LEVE",AND(Tabla1[[#This Row],[Porcentaje de muertes]]&gt;0.35,Tabla1[[#This Row],[Porcentaje de muertes]]&lt;0.65),"MEDIO",Tabla1[[#This Row],[Porcentaje de muertes]]&gt;0.65,"GRAVE")</f>
        <v>GRAVE</v>
      </c>
    </row>
    <row r="1544" spans="2:24" x14ac:dyDescent="0.3">
      <c r="B1544" s="9">
        <v>1543</v>
      </c>
      <c r="C1544" s="49">
        <v>20344</v>
      </c>
      <c r="D1544" s="9">
        <f>YEAR(Tabla1[[#This Row],[Date]])</f>
        <v>1955</v>
      </c>
      <c r="E1544" s="9" t="str" cm="1">
        <f t="array" ref="E1544">IFERROR(_xlfn.IFS(AND(D1544&lt;1980,D1544&gt;=1970),"70",AND(D1544&lt;1990,D1544&gt;=1980),"80",AND(D1544&lt;2000,D1544&gt;=1990),"90",AND(D1544&lt;2010,D1544&gt;=2000),"00",AND(D1544&lt;=2019,D1544&gt;=2010),"10"),"1908-1970")</f>
        <v>1908-1970</v>
      </c>
      <c r="F1544" s="3">
        <v>0.50486111111111109</v>
      </c>
      <c r="G1544" t="s">
        <v>11674</v>
      </c>
      <c r="H1544" t="s">
        <v>6541</v>
      </c>
      <c r="I1544">
        <v>976</v>
      </c>
      <c r="J1544" t="s">
        <v>11675</v>
      </c>
      <c r="K1544" t="s">
        <v>9145</v>
      </c>
      <c r="L1544" s="7" t="s">
        <v>11676</v>
      </c>
      <c r="M1544">
        <v>23443306</v>
      </c>
      <c r="N1544">
        <v>21</v>
      </c>
      <c r="O1544">
        <v>16</v>
      </c>
      <c r="P1544">
        <v>5</v>
      </c>
      <c r="Q1544">
        <v>21</v>
      </c>
      <c r="R1544">
        <v>16</v>
      </c>
      <c r="S1544">
        <v>5</v>
      </c>
      <c r="T1544">
        <v>0</v>
      </c>
      <c r="U1544" t="s">
        <v>11677</v>
      </c>
      <c r="V1544">
        <f>Tabla1[[#This Row],[Aboard]]-Tabla1[[#This Row],[Fatalities]]</f>
        <v>0</v>
      </c>
      <c r="W1544" s="50">
        <f>IFERROR(Tabla1[[#This Row],[Fatalities]]/Tabla1[[#This Row],[Aboard]],0)</f>
        <v>1</v>
      </c>
      <c r="X1544" s="51" t="str" cm="1">
        <f t="array" ref="X1544">_xlfn.IFS(Tabla1[[#This Row],[Porcentaje de muertes]]&lt;0.35,"LEVE",AND(Tabla1[[#This Row],[Porcentaje de muertes]]&gt;0.35,Tabla1[[#This Row],[Porcentaje de muertes]]&lt;0.65),"MEDIO",Tabla1[[#This Row],[Porcentaje de muertes]]&gt;0.65,"GRAVE")</f>
        <v>GRAVE</v>
      </c>
    </row>
    <row r="1545" spans="2:24" x14ac:dyDescent="0.3">
      <c r="B1545" s="9">
        <v>1544</v>
      </c>
      <c r="C1545" s="49">
        <v>20440</v>
      </c>
      <c r="D1545" s="9">
        <f>YEAR(Tabla1[[#This Row],[Date]])</f>
        <v>1955</v>
      </c>
      <c r="E1545" s="9" t="str" cm="1">
        <f t="array" ref="E1545">IFERROR(_xlfn.IFS(AND(D1545&lt;1980,D1545&gt;=1970),"70",AND(D1545&lt;1990,D1545&gt;=1980),"80",AND(D1545&lt;2000,D1545&gt;=1990),"90",AND(D1545&lt;2010,D1545&gt;=2000),"00",AND(D1545&lt;=2019,D1545&gt;=2010),"10"),"1908-1970")</f>
        <v>1908-1970</v>
      </c>
      <c r="F1545" s="3">
        <v>0.86111111111111116</v>
      </c>
      <c r="G1545" t="s">
        <v>11678</v>
      </c>
      <c r="H1545" t="s">
        <v>11679</v>
      </c>
      <c r="I1545" t="s">
        <v>28931</v>
      </c>
      <c r="J1545" t="s">
        <v>11680</v>
      </c>
      <c r="K1545" t="s">
        <v>8305</v>
      </c>
      <c r="L1545" s="7" t="s">
        <v>11681</v>
      </c>
      <c r="M1545">
        <v>30262</v>
      </c>
      <c r="N1545">
        <v>2</v>
      </c>
      <c r="O1545">
        <v>0</v>
      </c>
      <c r="P1545">
        <v>2</v>
      </c>
      <c r="Q1545">
        <v>2</v>
      </c>
      <c r="R1545">
        <v>0</v>
      </c>
      <c r="S1545">
        <v>2</v>
      </c>
      <c r="T1545">
        <v>0</v>
      </c>
      <c r="U1545" t="s">
        <v>11682</v>
      </c>
      <c r="V1545">
        <f>Tabla1[[#This Row],[Aboard]]-Tabla1[[#This Row],[Fatalities]]</f>
        <v>0</v>
      </c>
      <c r="W1545" s="50">
        <f>IFERROR(Tabla1[[#This Row],[Fatalities]]/Tabla1[[#This Row],[Aboard]],0)</f>
        <v>1</v>
      </c>
      <c r="X1545" s="51" t="str" cm="1">
        <f t="array" ref="X1545">_xlfn.IFS(Tabla1[[#This Row],[Porcentaje de muertes]]&lt;0.35,"LEVE",AND(Tabla1[[#This Row],[Porcentaje de muertes]]&gt;0.35,Tabla1[[#This Row],[Porcentaje de muertes]]&lt;0.65),"MEDIO",Tabla1[[#This Row],[Porcentaje de muertes]]&gt;0.65,"GRAVE")</f>
        <v>GRAVE</v>
      </c>
    </row>
    <row r="1546" spans="2:24" x14ac:dyDescent="0.3">
      <c r="B1546" s="9">
        <v>1545</v>
      </c>
      <c r="C1546" s="49">
        <v>20442</v>
      </c>
      <c r="D1546" s="9">
        <f>YEAR(Tabla1[[#This Row],[Date]])</f>
        <v>1955</v>
      </c>
      <c r="E1546" s="9" t="str" cm="1">
        <f t="array" ref="E1546">IFERROR(_xlfn.IFS(AND(D1546&lt;1980,D1546&gt;=1970),"70",AND(D1546&lt;1990,D1546&gt;=1980),"80",AND(D1546&lt;2000,D1546&gt;=1990),"90",AND(D1546&lt;2010,D1546&gt;=2000),"00",AND(D1546&lt;=2019,D1546&gt;=2010),"10"),"1908-1970")</f>
        <v>1908-1970</v>
      </c>
      <c r="F1546" s="3" t="s">
        <v>28931</v>
      </c>
      <c r="G1546" t="s">
        <v>7197</v>
      </c>
      <c r="H1546" t="s">
        <v>11683</v>
      </c>
      <c r="I1546" t="s">
        <v>28931</v>
      </c>
      <c r="J1546" t="s">
        <v>11684</v>
      </c>
      <c r="K1546" t="s">
        <v>7057</v>
      </c>
      <c r="L1546" s="7" t="s">
        <v>28931</v>
      </c>
      <c r="M1546" t="s">
        <v>28931</v>
      </c>
      <c r="N1546">
        <v>26</v>
      </c>
      <c r="O1546" t="s">
        <v>5038</v>
      </c>
      <c r="P1546" t="s">
        <v>5038</v>
      </c>
      <c r="Q1546">
        <v>26</v>
      </c>
      <c r="R1546" t="s">
        <v>5038</v>
      </c>
      <c r="S1546" t="s">
        <v>5038</v>
      </c>
      <c r="T1546">
        <v>0</v>
      </c>
      <c r="U1546" t="s">
        <v>8480</v>
      </c>
      <c r="V1546">
        <f>Tabla1[[#This Row],[Aboard]]-Tabla1[[#This Row],[Fatalities]]</f>
        <v>0</v>
      </c>
      <c r="W1546" s="50">
        <f>IFERROR(Tabla1[[#This Row],[Fatalities]]/Tabla1[[#This Row],[Aboard]],0)</f>
        <v>1</v>
      </c>
      <c r="X1546" s="51" t="str" cm="1">
        <f t="array" ref="X1546">_xlfn.IFS(Tabla1[[#This Row],[Porcentaje de muertes]]&lt;0.35,"LEVE",AND(Tabla1[[#This Row],[Porcentaje de muertes]]&gt;0.35,Tabla1[[#This Row],[Porcentaje de muertes]]&lt;0.65),"MEDIO",Tabla1[[#This Row],[Porcentaje de muertes]]&gt;0.65,"GRAVE")</f>
        <v>GRAVE</v>
      </c>
    </row>
    <row r="1547" spans="2:24" x14ac:dyDescent="0.3">
      <c r="B1547" s="9">
        <v>1546</v>
      </c>
      <c r="C1547" s="49">
        <v>20444</v>
      </c>
      <c r="D1547" s="9">
        <f>YEAR(Tabla1[[#This Row],[Date]])</f>
        <v>1955</v>
      </c>
      <c r="E1547" s="9" t="str" cm="1">
        <f t="array" ref="E1547">IFERROR(_xlfn.IFS(AND(D1547&lt;1980,D1547&gt;=1970),"70",AND(D1547&lt;1990,D1547&gt;=1980),"80",AND(D1547&lt;2000,D1547&gt;=1990),"90",AND(D1547&lt;2010,D1547&gt;=2000),"00",AND(D1547&lt;=2019,D1547&gt;=2010),"10"),"1908-1970")</f>
        <v>1908-1970</v>
      </c>
      <c r="F1547" s="3">
        <v>0.15486111111111112</v>
      </c>
      <c r="G1547" t="s">
        <v>8223</v>
      </c>
      <c r="H1547" t="s">
        <v>6941</v>
      </c>
      <c r="I1547">
        <v>642</v>
      </c>
      <c r="J1547" t="s">
        <v>11685</v>
      </c>
      <c r="K1547" t="s">
        <v>11686</v>
      </c>
      <c r="L1547" s="7" t="s">
        <v>11687</v>
      </c>
      <c r="M1547">
        <v>2533</v>
      </c>
      <c r="N1547">
        <v>17</v>
      </c>
      <c r="O1547">
        <v>12</v>
      </c>
      <c r="P1547">
        <v>5</v>
      </c>
      <c r="Q1547">
        <v>17</v>
      </c>
      <c r="R1547">
        <v>12</v>
      </c>
      <c r="S1547">
        <v>5</v>
      </c>
      <c r="T1547">
        <v>0</v>
      </c>
      <c r="U1547" t="s">
        <v>11688</v>
      </c>
      <c r="V1547">
        <f>Tabla1[[#This Row],[Aboard]]-Tabla1[[#This Row],[Fatalities]]</f>
        <v>0</v>
      </c>
      <c r="W1547" s="50">
        <f>IFERROR(Tabla1[[#This Row],[Fatalities]]/Tabla1[[#This Row],[Aboard]],0)</f>
        <v>1</v>
      </c>
      <c r="X1547" s="51" t="str" cm="1">
        <f t="array" ref="X1547">_xlfn.IFS(Tabla1[[#This Row],[Porcentaje de muertes]]&lt;0.35,"LEVE",AND(Tabla1[[#This Row],[Porcentaje de muertes]]&gt;0.35,Tabla1[[#This Row],[Porcentaje de muertes]]&lt;0.65),"MEDIO",Tabla1[[#This Row],[Porcentaje de muertes]]&gt;0.65,"GRAVE")</f>
        <v>GRAVE</v>
      </c>
    </row>
    <row r="1548" spans="2:24" x14ac:dyDescent="0.3">
      <c r="B1548" s="9">
        <v>1547</v>
      </c>
      <c r="C1548" s="49">
        <v>20790</v>
      </c>
      <c r="D1548" s="9">
        <f>YEAR(Tabla1[[#This Row],[Date]])</f>
        <v>1956</v>
      </c>
      <c r="E1548" s="9" t="str" cm="1">
        <f t="array" ref="E1548">IFERROR(_xlfn.IFS(AND(D1548&lt;1980,D1548&gt;=1970),"70",AND(D1548&lt;1990,D1548&gt;=1980),"80",AND(D1548&lt;2000,D1548&gt;=1990),"90",AND(D1548&lt;2010,D1548&gt;=2000),"00",AND(D1548&lt;=2019,D1548&gt;=2010),"10"),"1908-1970")</f>
        <v>1908-1970</v>
      </c>
      <c r="F1548" s="3">
        <v>0.15277777777777776</v>
      </c>
      <c r="G1548" t="s">
        <v>11689</v>
      </c>
      <c r="H1548" t="s">
        <v>10114</v>
      </c>
      <c r="I1548" t="s">
        <v>28931</v>
      </c>
      <c r="J1548" t="s">
        <v>11690</v>
      </c>
      <c r="K1548" t="s">
        <v>7826</v>
      </c>
      <c r="L1548" s="7" t="s">
        <v>11691</v>
      </c>
      <c r="M1548">
        <v>4651</v>
      </c>
      <c r="N1548">
        <v>2</v>
      </c>
      <c r="O1548">
        <v>0</v>
      </c>
      <c r="P1548">
        <v>2</v>
      </c>
      <c r="Q1548">
        <v>1</v>
      </c>
      <c r="R1548">
        <v>0</v>
      </c>
      <c r="S1548">
        <v>1</v>
      </c>
      <c r="T1548">
        <v>0</v>
      </c>
      <c r="U1548" t="s">
        <v>11692</v>
      </c>
      <c r="V1548">
        <f>Tabla1[[#This Row],[Aboard]]-Tabla1[[#This Row],[Fatalities]]</f>
        <v>1</v>
      </c>
      <c r="W1548" s="50">
        <f>IFERROR(Tabla1[[#This Row],[Fatalities]]/Tabla1[[#This Row],[Aboard]],0)</f>
        <v>0.5</v>
      </c>
      <c r="X1548" s="51" t="str" cm="1">
        <f t="array" ref="X1548">_xlfn.IFS(Tabla1[[#This Row],[Porcentaje de muertes]]&lt;0.35,"LEVE",AND(Tabla1[[#This Row],[Porcentaje de muertes]]&gt;0.35,Tabla1[[#This Row],[Porcentaje de muertes]]&lt;0.65),"MEDIO",Tabla1[[#This Row],[Porcentaje de muertes]]&gt;0.65,"GRAVE")</f>
        <v>MEDIO</v>
      </c>
    </row>
    <row r="1549" spans="2:24" x14ac:dyDescent="0.3">
      <c r="B1549" s="9">
        <v>1548</v>
      </c>
      <c r="C1549" s="49">
        <v>20471</v>
      </c>
      <c r="D1549" s="9">
        <f>YEAR(Tabla1[[#This Row],[Date]])</f>
        <v>1956</v>
      </c>
      <c r="E1549" s="9" t="str" cm="1">
        <f t="array" ref="E1549">IFERROR(_xlfn.IFS(AND(D1549&lt;1980,D1549&gt;=1970),"70",AND(D1549&lt;1990,D1549&gt;=1980),"80",AND(D1549&lt;2000,D1549&gt;=1990),"90",AND(D1549&lt;2010,D1549&gt;=2000),"00",AND(D1549&lt;=2019,D1549&gt;=2010),"10"),"1908-1970")</f>
        <v>1908-1970</v>
      </c>
      <c r="F1549" s="3">
        <v>3.6111111111111115E-2</v>
      </c>
      <c r="G1549" t="s">
        <v>11693</v>
      </c>
      <c r="H1549" t="s">
        <v>11694</v>
      </c>
      <c r="I1549" t="s">
        <v>28931</v>
      </c>
      <c r="J1549" t="s">
        <v>11695</v>
      </c>
      <c r="K1549" t="s">
        <v>7057</v>
      </c>
      <c r="L1549" s="7" t="s">
        <v>11696</v>
      </c>
      <c r="M1549" t="s">
        <v>11697</v>
      </c>
      <c r="N1549">
        <v>18</v>
      </c>
      <c r="O1549">
        <v>15</v>
      </c>
      <c r="P1549">
        <v>3</v>
      </c>
      <c r="Q1549">
        <v>4</v>
      </c>
      <c r="R1549">
        <v>1</v>
      </c>
      <c r="S1549">
        <v>3</v>
      </c>
      <c r="T1549">
        <v>0</v>
      </c>
      <c r="U1549" t="s">
        <v>11698</v>
      </c>
      <c r="V1549">
        <f>Tabla1[[#This Row],[Aboard]]-Tabla1[[#This Row],[Fatalities]]</f>
        <v>14</v>
      </c>
      <c r="W1549" s="50">
        <f>IFERROR(Tabla1[[#This Row],[Fatalities]]/Tabla1[[#This Row],[Aboard]],0)</f>
        <v>0.22222222222222221</v>
      </c>
      <c r="X1549" s="51" t="str" cm="1">
        <f t="array" ref="X1549">_xlfn.IFS(Tabla1[[#This Row],[Porcentaje de muertes]]&lt;0.35,"LEVE",AND(Tabla1[[#This Row],[Porcentaje de muertes]]&gt;0.35,Tabla1[[#This Row],[Porcentaje de muertes]]&lt;0.65),"MEDIO",Tabla1[[#This Row],[Porcentaje de muertes]]&gt;0.65,"GRAVE")</f>
        <v>LEVE</v>
      </c>
    </row>
    <row r="1550" spans="2:24" x14ac:dyDescent="0.3">
      <c r="B1550" s="9">
        <v>1549</v>
      </c>
      <c r="C1550" s="49">
        <v>20472</v>
      </c>
      <c r="D1550" s="9">
        <f>YEAR(Tabla1[[#This Row],[Date]])</f>
        <v>1956</v>
      </c>
      <c r="E1550" s="9" t="str" cm="1">
        <f t="array" ref="E1550">IFERROR(_xlfn.IFS(AND(D1550&lt;1980,D1550&gt;=1970),"70",AND(D1550&lt;1990,D1550&gt;=1980),"80",AND(D1550&lt;2000,D1550&gt;=1990),"90",AND(D1550&lt;2010,D1550&gt;=2000),"00",AND(D1550&lt;=2019,D1550&gt;=2010),"10"),"1908-1970")</f>
        <v>1908-1970</v>
      </c>
      <c r="F1550" s="3">
        <v>0.61736111111111114</v>
      </c>
      <c r="G1550" t="s">
        <v>11699</v>
      </c>
      <c r="H1550" t="s">
        <v>5951</v>
      </c>
      <c r="I1550" t="s">
        <v>28931</v>
      </c>
      <c r="J1550" t="s">
        <v>11700</v>
      </c>
      <c r="K1550" t="s">
        <v>7057</v>
      </c>
      <c r="L1550" s="7" t="s">
        <v>11701</v>
      </c>
      <c r="M1550">
        <v>9385</v>
      </c>
      <c r="N1550">
        <v>26</v>
      </c>
      <c r="O1550">
        <v>23</v>
      </c>
      <c r="P1550">
        <v>3</v>
      </c>
      <c r="Q1550">
        <v>22</v>
      </c>
      <c r="R1550">
        <v>19</v>
      </c>
      <c r="S1550">
        <v>3</v>
      </c>
      <c r="T1550">
        <v>0</v>
      </c>
      <c r="U1550" t="s">
        <v>11702</v>
      </c>
      <c r="V1550">
        <f>Tabla1[[#This Row],[Aboard]]-Tabla1[[#This Row],[Fatalities]]</f>
        <v>4</v>
      </c>
      <c r="W1550" s="50">
        <f>IFERROR(Tabla1[[#This Row],[Fatalities]]/Tabla1[[#This Row],[Aboard]],0)</f>
        <v>0.84615384615384615</v>
      </c>
      <c r="X1550" s="51" t="str" cm="1">
        <f t="array" ref="X1550">_xlfn.IFS(Tabla1[[#This Row],[Porcentaje de muertes]]&lt;0.35,"LEVE",AND(Tabla1[[#This Row],[Porcentaje de muertes]]&gt;0.35,Tabla1[[#This Row],[Porcentaje de muertes]]&lt;0.65),"MEDIO",Tabla1[[#This Row],[Porcentaje de muertes]]&gt;0.65,"GRAVE")</f>
        <v>GRAVE</v>
      </c>
    </row>
    <row r="1551" spans="2:24" x14ac:dyDescent="0.3">
      <c r="B1551" s="9">
        <v>1550</v>
      </c>
      <c r="C1551" s="49">
        <v>20482</v>
      </c>
      <c r="D1551" s="9">
        <f>YEAR(Tabla1[[#This Row],[Date]])</f>
        <v>1956</v>
      </c>
      <c r="E1551" s="9" t="str" cm="1">
        <f t="array" ref="E1551">IFERROR(_xlfn.IFS(AND(D1551&lt;1980,D1551&gt;=1970),"70",AND(D1551&lt;1990,D1551&gt;=1980),"80",AND(D1551&lt;2000,D1551&gt;=1990),"90",AND(D1551&lt;2010,D1551&gt;=2000),"00",AND(D1551&lt;=2019,D1551&gt;=2010),"10"),"1908-1970")</f>
        <v>1908-1970</v>
      </c>
      <c r="F1551" s="3">
        <v>1.1805555555555555E-2</v>
      </c>
      <c r="G1551" t="s">
        <v>11703</v>
      </c>
      <c r="H1551" t="s">
        <v>6375</v>
      </c>
      <c r="I1551" t="s">
        <v>28931</v>
      </c>
      <c r="J1551" t="s">
        <v>11704</v>
      </c>
      <c r="K1551" t="s">
        <v>7826</v>
      </c>
      <c r="L1551" s="7" t="s">
        <v>11705</v>
      </c>
      <c r="M1551">
        <v>4509</v>
      </c>
      <c r="N1551">
        <v>3</v>
      </c>
      <c r="O1551">
        <v>0</v>
      </c>
      <c r="P1551">
        <v>3</v>
      </c>
      <c r="Q1551">
        <v>3</v>
      </c>
      <c r="R1551">
        <v>0</v>
      </c>
      <c r="S1551">
        <v>3</v>
      </c>
      <c r="T1551">
        <v>0</v>
      </c>
      <c r="U1551" t="s">
        <v>11706</v>
      </c>
      <c r="V1551">
        <f>Tabla1[[#This Row],[Aboard]]-Tabla1[[#This Row],[Fatalities]]</f>
        <v>0</v>
      </c>
      <c r="W1551" s="50">
        <f>IFERROR(Tabla1[[#This Row],[Fatalities]]/Tabla1[[#This Row],[Aboard]],0)</f>
        <v>1</v>
      </c>
      <c r="X1551" s="51" t="str" cm="1">
        <f t="array" ref="X1551">_xlfn.IFS(Tabla1[[#This Row],[Porcentaje de muertes]]&lt;0.35,"LEVE",AND(Tabla1[[#This Row],[Porcentaje de muertes]]&gt;0.35,Tabla1[[#This Row],[Porcentaje de muertes]]&lt;0.65),"MEDIO",Tabla1[[#This Row],[Porcentaje de muertes]]&gt;0.65,"GRAVE")</f>
        <v>GRAVE</v>
      </c>
    </row>
    <row r="1552" spans="2:24" x14ac:dyDescent="0.3">
      <c r="B1552" s="9">
        <v>1551</v>
      </c>
      <c r="C1552" s="49">
        <v>20498</v>
      </c>
      <c r="D1552" s="9">
        <f>YEAR(Tabla1[[#This Row],[Date]])</f>
        <v>1956</v>
      </c>
      <c r="E1552" s="9" t="str" cm="1">
        <f t="array" ref="E1552">IFERROR(_xlfn.IFS(AND(D1552&lt;1980,D1552&gt;=1970),"70",AND(D1552&lt;1990,D1552&gt;=1980),"80",AND(D1552&lt;2000,D1552&gt;=1990),"90",AND(D1552&lt;2010,D1552&gt;=2000),"00",AND(D1552&lt;=2019,D1552&gt;=2010),"10"),"1908-1970")</f>
        <v>1908-1970</v>
      </c>
      <c r="F1552" s="3" t="s">
        <v>28931</v>
      </c>
      <c r="G1552" t="s">
        <v>11707</v>
      </c>
      <c r="H1552" t="s">
        <v>10668</v>
      </c>
      <c r="I1552" t="s">
        <v>28931</v>
      </c>
      <c r="J1552" t="s">
        <v>11708</v>
      </c>
      <c r="K1552" t="s">
        <v>11617</v>
      </c>
      <c r="L1552" s="7" t="s">
        <v>11709</v>
      </c>
      <c r="M1552" t="s">
        <v>28931</v>
      </c>
      <c r="N1552">
        <v>2</v>
      </c>
      <c r="O1552">
        <v>0</v>
      </c>
      <c r="P1552">
        <v>2</v>
      </c>
      <c r="Q1552">
        <v>2</v>
      </c>
      <c r="R1552">
        <v>0</v>
      </c>
      <c r="S1552">
        <v>2</v>
      </c>
      <c r="T1552">
        <v>0</v>
      </c>
      <c r="U1552" t="s">
        <v>11710</v>
      </c>
      <c r="V1552">
        <f>Tabla1[[#This Row],[Aboard]]-Tabla1[[#This Row],[Fatalities]]</f>
        <v>0</v>
      </c>
      <c r="W1552" s="50">
        <f>IFERROR(Tabla1[[#This Row],[Fatalities]]/Tabla1[[#This Row],[Aboard]],0)</f>
        <v>1</v>
      </c>
      <c r="X1552" s="51" t="str" cm="1">
        <f t="array" ref="X1552">_xlfn.IFS(Tabla1[[#This Row],[Porcentaje de muertes]]&lt;0.35,"LEVE",AND(Tabla1[[#This Row],[Porcentaje de muertes]]&gt;0.35,Tabla1[[#This Row],[Porcentaje de muertes]]&lt;0.65),"MEDIO",Tabla1[[#This Row],[Porcentaje de muertes]]&gt;0.65,"GRAVE")</f>
        <v>GRAVE</v>
      </c>
    </row>
    <row r="1553" spans="2:24" x14ac:dyDescent="0.3">
      <c r="B1553" s="9">
        <v>1552</v>
      </c>
      <c r="C1553" s="49">
        <v>20499</v>
      </c>
      <c r="D1553" s="9">
        <f>YEAR(Tabla1[[#This Row],[Date]])</f>
        <v>1956</v>
      </c>
      <c r="E1553" s="9" t="str" cm="1">
        <f t="array" ref="E1553">IFERROR(_xlfn.IFS(AND(D1553&lt;1980,D1553&gt;=1970),"70",AND(D1553&lt;1990,D1553&gt;=1980),"80",AND(D1553&lt;2000,D1553&gt;=1990),"90",AND(D1553&lt;2010,D1553&gt;=2000),"00",AND(D1553&lt;=2019,D1553&gt;=2010),"10"),"1908-1970")</f>
        <v>1908-1970</v>
      </c>
      <c r="F1553" s="3" t="s">
        <v>28931</v>
      </c>
      <c r="G1553" t="s">
        <v>11711</v>
      </c>
      <c r="H1553" t="s">
        <v>11712</v>
      </c>
      <c r="I1553" t="s">
        <v>28931</v>
      </c>
      <c r="J1553" t="s">
        <v>11708</v>
      </c>
      <c r="K1553" t="s">
        <v>7934</v>
      </c>
      <c r="L1553" s="7" t="s">
        <v>11713</v>
      </c>
      <c r="M1553">
        <v>6079</v>
      </c>
      <c r="N1553">
        <v>3</v>
      </c>
      <c r="O1553">
        <v>0</v>
      </c>
      <c r="P1553">
        <v>3</v>
      </c>
      <c r="Q1553">
        <v>2</v>
      </c>
      <c r="R1553">
        <v>0</v>
      </c>
      <c r="S1553">
        <v>2</v>
      </c>
      <c r="T1553">
        <v>0</v>
      </c>
      <c r="U1553" t="s">
        <v>11714</v>
      </c>
      <c r="V1553">
        <f>Tabla1[[#This Row],[Aboard]]-Tabla1[[#This Row],[Fatalities]]</f>
        <v>1</v>
      </c>
      <c r="W1553" s="50">
        <f>IFERROR(Tabla1[[#This Row],[Fatalities]]/Tabla1[[#This Row],[Aboard]],0)</f>
        <v>0.66666666666666663</v>
      </c>
      <c r="X1553" s="51" t="str" cm="1">
        <f t="array" ref="X1553">_xlfn.IFS(Tabla1[[#This Row],[Porcentaje de muertes]]&lt;0.35,"LEVE",AND(Tabla1[[#This Row],[Porcentaje de muertes]]&gt;0.35,Tabla1[[#This Row],[Porcentaje de muertes]]&lt;0.65),"MEDIO",Tabla1[[#This Row],[Porcentaje de muertes]]&gt;0.65,"GRAVE")</f>
        <v>GRAVE</v>
      </c>
    </row>
    <row r="1554" spans="2:24" x14ac:dyDescent="0.3">
      <c r="B1554" s="9">
        <v>1553</v>
      </c>
      <c r="C1554" s="49">
        <v>20502</v>
      </c>
      <c r="D1554" s="9">
        <f>YEAR(Tabla1[[#This Row],[Date]])</f>
        <v>1956</v>
      </c>
      <c r="E1554" s="9" t="str" cm="1">
        <f t="array" ref="E1554">IFERROR(_xlfn.IFS(AND(D1554&lt;1980,D1554&gt;=1970),"70",AND(D1554&lt;1990,D1554&gt;=1980),"80",AND(D1554&lt;2000,D1554&gt;=1990),"90",AND(D1554&lt;2010,D1554&gt;=2000),"00",AND(D1554&lt;=2019,D1554&gt;=2010),"10"),"1908-1970")</f>
        <v>1908-1970</v>
      </c>
      <c r="F1554" s="3">
        <v>0.5708333333333333</v>
      </c>
      <c r="G1554" t="s">
        <v>11715</v>
      </c>
      <c r="H1554" t="s">
        <v>8891</v>
      </c>
      <c r="I1554" t="s">
        <v>28931</v>
      </c>
      <c r="J1554" t="s">
        <v>11716</v>
      </c>
      <c r="K1554" t="s">
        <v>11717</v>
      </c>
      <c r="L1554" s="7">
        <v>39116</v>
      </c>
      <c r="M1554">
        <v>18331</v>
      </c>
      <c r="N1554">
        <v>40</v>
      </c>
      <c r="O1554">
        <v>35</v>
      </c>
      <c r="P1554">
        <v>5</v>
      </c>
      <c r="Q1554">
        <v>40</v>
      </c>
      <c r="R1554">
        <v>35</v>
      </c>
      <c r="S1554">
        <v>5</v>
      </c>
      <c r="T1554">
        <v>0</v>
      </c>
      <c r="U1554" t="s">
        <v>11718</v>
      </c>
      <c r="V1554">
        <f>Tabla1[[#This Row],[Aboard]]-Tabla1[[#This Row],[Fatalities]]</f>
        <v>0</v>
      </c>
      <c r="W1554" s="50">
        <f>IFERROR(Tabla1[[#This Row],[Fatalities]]/Tabla1[[#This Row],[Aboard]],0)</f>
        <v>1</v>
      </c>
      <c r="X1554" s="51" t="str" cm="1">
        <f t="array" ref="X1554">_xlfn.IFS(Tabla1[[#This Row],[Porcentaje de muertes]]&lt;0.35,"LEVE",AND(Tabla1[[#This Row],[Porcentaje de muertes]]&gt;0.35,Tabla1[[#This Row],[Porcentaje de muertes]]&lt;0.65),"MEDIO",Tabla1[[#This Row],[Porcentaje de muertes]]&gt;0.65,"GRAVE")</f>
        <v>GRAVE</v>
      </c>
    </row>
    <row r="1555" spans="2:24" x14ac:dyDescent="0.3">
      <c r="B1555" s="9">
        <v>1554</v>
      </c>
      <c r="C1555" s="49">
        <v>20503</v>
      </c>
      <c r="D1555" s="9">
        <f>YEAR(Tabla1[[#This Row],[Date]])</f>
        <v>1956</v>
      </c>
      <c r="E1555" s="9" t="str" cm="1">
        <f t="array" ref="E1555">IFERROR(_xlfn.IFS(AND(D1555&lt;1980,D1555&gt;=1970),"70",AND(D1555&lt;1990,D1555&gt;=1980),"80",AND(D1555&lt;2000,D1555&gt;=1990),"90",AND(D1555&lt;2010,D1555&gt;=2000),"00",AND(D1555&lt;=2019,D1555&gt;=2010),"10"),"1908-1970")</f>
        <v>1908-1970</v>
      </c>
      <c r="F1555" s="3">
        <v>0.55763888888888891</v>
      </c>
      <c r="G1555" t="s">
        <v>11719</v>
      </c>
      <c r="H1555" t="s">
        <v>11720</v>
      </c>
      <c r="I1555" t="s">
        <v>28931</v>
      </c>
      <c r="J1555" t="s">
        <v>11721</v>
      </c>
      <c r="K1555" t="s">
        <v>11550</v>
      </c>
      <c r="L1555" s="7" t="s">
        <v>11722</v>
      </c>
      <c r="M1555" t="s">
        <v>11723</v>
      </c>
      <c r="N1555">
        <v>50</v>
      </c>
      <c r="O1555">
        <v>45</v>
      </c>
      <c r="P1555">
        <v>5</v>
      </c>
      <c r="Q1555">
        <v>50</v>
      </c>
      <c r="R1555">
        <v>45</v>
      </c>
      <c r="S1555">
        <v>5</v>
      </c>
      <c r="T1555">
        <v>0</v>
      </c>
      <c r="U1555" t="s">
        <v>11724</v>
      </c>
      <c r="V1555">
        <f>Tabla1[[#This Row],[Aboard]]-Tabla1[[#This Row],[Fatalities]]</f>
        <v>0</v>
      </c>
      <c r="W1555" s="50">
        <f>IFERROR(Tabla1[[#This Row],[Fatalities]]/Tabla1[[#This Row],[Aboard]],0)</f>
        <v>1</v>
      </c>
      <c r="X1555" s="51" t="str" cm="1">
        <f t="array" ref="X1555">_xlfn.IFS(Tabla1[[#This Row],[Porcentaje de muertes]]&lt;0.35,"LEVE",AND(Tabla1[[#This Row],[Porcentaje de muertes]]&gt;0.35,Tabla1[[#This Row],[Porcentaje de muertes]]&lt;0.65),"MEDIO",Tabla1[[#This Row],[Porcentaje de muertes]]&gt;0.65,"GRAVE")</f>
        <v>GRAVE</v>
      </c>
    </row>
    <row r="1556" spans="2:24" x14ac:dyDescent="0.3">
      <c r="B1556" s="9">
        <v>1555</v>
      </c>
      <c r="C1556" s="49">
        <v>20505</v>
      </c>
      <c r="D1556" s="9">
        <f>YEAR(Tabla1[[#This Row],[Date]])</f>
        <v>1956</v>
      </c>
      <c r="E1556" s="9" t="str" cm="1">
        <f t="array" ref="E1556">IFERROR(_xlfn.IFS(AND(D1556&lt;1980,D1556&gt;=1970),"70",AND(D1556&lt;1990,D1556&gt;=1980),"80",AND(D1556&lt;2000,D1556&gt;=1990),"90",AND(D1556&lt;2010,D1556&gt;=2000),"00",AND(D1556&lt;=2019,D1556&gt;=2010),"10"),"1908-1970")</f>
        <v>1908-1970</v>
      </c>
      <c r="F1556" s="3">
        <v>0.15625</v>
      </c>
      <c r="G1556" t="s">
        <v>11159</v>
      </c>
      <c r="H1556" t="s">
        <v>11725</v>
      </c>
      <c r="I1556" t="s">
        <v>28931</v>
      </c>
      <c r="J1556" t="s">
        <v>11726</v>
      </c>
      <c r="K1556" t="s">
        <v>10428</v>
      </c>
      <c r="L1556" s="7" t="s">
        <v>11727</v>
      </c>
      <c r="M1556" t="s">
        <v>11728</v>
      </c>
      <c r="N1556">
        <v>64</v>
      </c>
      <c r="O1556">
        <v>55</v>
      </c>
      <c r="P1556">
        <v>9</v>
      </c>
      <c r="Q1556">
        <v>52</v>
      </c>
      <c r="R1556">
        <v>49</v>
      </c>
      <c r="S1556">
        <v>3</v>
      </c>
      <c r="T1556">
        <v>0</v>
      </c>
      <c r="U1556" t="s">
        <v>11729</v>
      </c>
      <c r="V1556">
        <f>Tabla1[[#This Row],[Aboard]]-Tabla1[[#This Row],[Fatalities]]</f>
        <v>12</v>
      </c>
      <c r="W1556" s="50">
        <f>IFERROR(Tabla1[[#This Row],[Fatalities]]/Tabla1[[#This Row],[Aboard]],0)</f>
        <v>0.8125</v>
      </c>
      <c r="X1556" s="51" t="str" cm="1">
        <f t="array" ref="X1556">_xlfn.IFS(Tabla1[[#This Row],[Porcentaje de muertes]]&lt;0.35,"LEVE",AND(Tabla1[[#This Row],[Porcentaje de muertes]]&gt;0.35,Tabla1[[#This Row],[Porcentaje de muertes]]&lt;0.65),"MEDIO",Tabla1[[#This Row],[Porcentaje de muertes]]&gt;0.65,"GRAVE")</f>
        <v>GRAVE</v>
      </c>
    </row>
    <row r="1557" spans="2:24" x14ac:dyDescent="0.3">
      <c r="B1557" s="9">
        <v>1556</v>
      </c>
      <c r="C1557" s="49">
        <v>20509</v>
      </c>
      <c r="D1557" s="9">
        <f>YEAR(Tabla1[[#This Row],[Date]])</f>
        <v>1956</v>
      </c>
      <c r="E1557" s="9" t="str" cm="1">
        <f t="array" ref="E1557">IFERROR(_xlfn.IFS(AND(D1557&lt;1980,D1557&gt;=1970),"70",AND(D1557&lt;1990,D1557&gt;=1980),"80",AND(D1557&lt;2000,D1557&gt;=1990),"90",AND(D1557&lt;2010,D1557&gt;=2000),"00",AND(D1557&lt;=2019,D1557&gt;=2010),"10"),"1908-1970")</f>
        <v>1908-1970</v>
      </c>
      <c r="F1557" s="3" t="s">
        <v>28931</v>
      </c>
      <c r="G1557" t="s">
        <v>11730</v>
      </c>
      <c r="H1557" t="s">
        <v>11173</v>
      </c>
      <c r="I1557" t="s">
        <v>28931</v>
      </c>
      <c r="J1557" t="s">
        <v>11731</v>
      </c>
      <c r="K1557" t="s">
        <v>7057</v>
      </c>
      <c r="L1557" s="7" t="s">
        <v>11732</v>
      </c>
      <c r="M1557" t="s">
        <v>11733</v>
      </c>
      <c r="N1557">
        <v>19</v>
      </c>
      <c r="O1557">
        <v>16</v>
      </c>
      <c r="P1557">
        <v>3</v>
      </c>
      <c r="Q1557">
        <v>19</v>
      </c>
      <c r="R1557">
        <v>16</v>
      </c>
      <c r="S1557">
        <v>3</v>
      </c>
      <c r="T1557">
        <v>0</v>
      </c>
      <c r="U1557" t="s">
        <v>11734</v>
      </c>
      <c r="V1557">
        <f>Tabla1[[#This Row],[Aboard]]-Tabla1[[#This Row],[Fatalities]]</f>
        <v>0</v>
      </c>
      <c r="W1557" s="50">
        <f>IFERROR(Tabla1[[#This Row],[Fatalities]]/Tabla1[[#This Row],[Aboard]],0)</f>
        <v>1</v>
      </c>
      <c r="X1557" s="51" t="str" cm="1">
        <f t="array" ref="X1557">_xlfn.IFS(Tabla1[[#This Row],[Porcentaje de muertes]]&lt;0.35,"LEVE",AND(Tabla1[[#This Row],[Porcentaje de muertes]]&gt;0.35,Tabla1[[#This Row],[Porcentaje de muertes]]&lt;0.65),"MEDIO",Tabla1[[#This Row],[Porcentaje de muertes]]&gt;0.65,"GRAVE")</f>
        <v>GRAVE</v>
      </c>
    </row>
    <row r="1558" spans="2:24" x14ac:dyDescent="0.3">
      <c r="B1558" s="9">
        <v>1557</v>
      </c>
      <c r="C1558" s="49">
        <v>20510</v>
      </c>
      <c r="D1558" s="9">
        <f>YEAR(Tabla1[[#This Row],[Date]])</f>
        <v>1956</v>
      </c>
      <c r="E1558" s="9" t="str" cm="1">
        <f t="array" ref="E1558">IFERROR(_xlfn.IFS(AND(D1558&lt;1980,D1558&gt;=1970),"70",AND(D1558&lt;1990,D1558&gt;=1980),"80",AND(D1558&lt;2000,D1558&gt;=1990),"90",AND(D1558&lt;2010,D1558&gt;=2000),"00",AND(D1558&lt;=2019,D1558&gt;=2010),"10"),"1908-1970")</f>
        <v>1908-1970</v>
      </c>
      <c r="F1558" s="3">
        <v>0.62152777777777779</v>
      </c>
      <c r="G1558" t="s">
        <v>11735</v>
      </c>
      <c r="H1558" t="s">
        <v>11736</v>
      </c>
      <c r="I1558" t="s">
        <v>28931</v>
      </c>
      <c r="J1558" t="s">
        <v>11737</v>
      </c>
      <c r="K1558" t="s">
        <v>8465</v>
      </c>
      <c r="L1558" s="7" t="s">
        <v>11738</v>
      </c>
      <c r="M1558" t="s">
        <v>11739</v>
      </c>
      <c r="N1558">
        <v>3</v>
      </c>
      <c r="O1558">
        <v>0</v>
      </c>
      <c r="P1558">
        <v>3</v>
      </c>
      <c r="Q1558">
        <v>3</v>
      </c>
      <c r="R1558">
        <v>0</v>
      </c>
      <c r="S1558">
        <v>3</v>
      </c>
      <c r="T1558">
        <v>0</v>
      </c>
      <c r="U1558" t="s">
        <v>11740</v>
      </c>
      <c r="V1558">
        <f>Tabla1[[#This Row],[Aboard]]-Tabla1[[#This Row],[Fatalities]]</f>
        <v>0</v>
      </c>
      <c r="W1558" s="50">
        <f>IFERROR(Tabla1[[#This Row],[Fatalities]]/Tabla1[[#This Row],[Aboard]],0)</f>
        <v>1</v>
      </c>
      <c r="X1558" s="51" t="str" cm="1">
        <f t="array" ref="X1558">_xlfn.IFS(Tabla1[[#This Row],[Porcentaje de muertes]]&lt;0.35,"LEVE",AND(Tabla1[[#This Row],[Porcentaje de muertes]]&gt;0.35,Tabla1[[#This Row],[Porcentaje de muertes]]&lt;0.65),"MEDIO",Tabla1[[#This Row],[Porcentaje de muertes]]&gt;0.65,"GRAVE")</f>
        <v>GRAVE</v>
      </c>
    </row>
    <row r="1559" spans="2:24" x14ac:dyDescent="0.3">
      <c r="B1559" s="9">
        <v>1558</v>
      </c>
      <c r="C1559" s="49">
        <v>20535</v>
      </c>
      <c r="D1559" s="9">
        <f>YEAR(Tabla1[[#This Row],[Date]])</f>
        <v>1956</v>
      </c>
      <c r="E1559" s="9" t="str" cm="1">
        <f t="array" ref="E1559">IFERROR(_xlfn.IFS(AND(D1559&lt;1980,D1559&gt;=1970),"70",AND(D1559&lt;1990,D1559&gt;=1980),"80",AND(D1559&lt;2000,D1559&gt;=1990),"90",AND(D1559&lt;2010,D1559&gt;=2000),"00",AND(D1559&lt;=2019,D1559&gt;=2010),"10"),"1908-1970")</f>
        <v>1908-1970</v>
      </c>
      <c r="F1559" s="3" t="s">
        <v>28931</v>
      </c>
      <c r="G1559" t="s">
        <v>11741</v>
      </c>
      <c r="H1559" t="s">
        <v>11150</v>
      </c>
      <c r="I1559" t="s">
        <v>28931</v>
      </c>
      <c r="J1559" t="s">
        <v>11742</v>
      </c>
      <c r="K1559" t="s">
        <v>7057</v>
      </c>
      <c r="L1559" s="7" t="s">
        <v>11743</v>
      </c>
      <c r="M1559">
        <v>12989</v>
      </c>
      <c r="N1559">
        <v>21</v>
      </c>
      <c r="O1559">
        <v>18</v>
      </c>
      <c r="P1559">
        <v>3</v>
      </c>
      <c r="Q1559">
        <v>2</v>
      </c>
      <c r="R1559">
        <v>2</v>
      </c>
      <c r="S1559">
        <v>0</v>
      </c>
      <c r="T1559">
        <v>0</v>
      </c>
      <c r="U1559" t="s">
        <v>11744</v>
      </c>
      <c r="V1559">
        <f>Tabla1[[#This Row],[Aboard]]-Tabla1[[#This Row],[Fatalities]]</f>
        <v>19</v>
      </c>
      <c r="W1559" s="50">
        <f>IFERROR(Tabla1[[#This Row],[Fatalities]]/Tabla1[[#This Row],[Aboard]],0)</f>
        <v>9.5238095238095233E-2</v>
      </c>
      <c r="X1559" s="51" t="str" cm="1">
        <f t="array" ref="X1559">_xlfn.IFS(Tabla1[[#This Row],[Porcentaje de muertes]]&lt;0.35,"LEVE",AND(Tabla1[[#This Row],[Porcentaje de muertes]]&gt;0.35,Tabla1[[#This Row],[Porcentaje de muertes]]&lt;0.65),"MEDIO",Tabla1[[#This Row],[Porcentaje de muertes]]&gt;0.65,"GRAVE")</f>
        <v>LEVE</v>
      </c>
    </row>
    <row r="1560" spans="2:24" x14ac:dyDescent="0.3">
      <c r="B1560" s="9">
        <v>1559</v>
      </c>
      <c r="C1560" s="49">
        <v>20542</v>
      </c>
      <c r="D1560" s="9">
        <f>YEAR(Tabla1[[#This Row],[Date]])</f>
        <v>1956</v>
      </c>
      <c r="E1560" s="9" t="str" cm="1">
        <f t="array" ref="E1560">IFERROR(_xlfn.IFS(AND(D1560&lt;1980,D1560&gt;=1970),"70",AND(D1560&lt;1990,D1560&gt;=1980),"80",AND(D1560&lt;2000,D1560&gt;=1990),"90",AND(D1560&lt;2010,D1560&gt;=2000),"00",AND(D1560&lt;=2019,D1560&gt;=2010),"10"),"1908-1970")</f>
        <v>1908-1970</v>
      </c>
      <c r="F1560" s="3" t="s">
        <v>28931</v>
      </c>
      <c r="G1560" t="s">
        <v>11745</v>
      </c>
      <c r="H1560" t="s">
        <v>11746</v>
      </c>
      <c r="I1560" t="s">
        <v>28931</v>
      </c>
      <c r="J1560" t="s">
        <v>11747</v>
      </c>
      <c r="K1560" t="s">
        <v>8465</v>
      </c>
      <c r="L1560" s="7" t="s">
        <v>11748</v>
      </c>
      <c r="M1560" t="s">
        <v>11749</v>
      </c>
      <c r="N1560">
        <v>3</v>
      </c>
      <c r="O1560">
        <v>0</v>
      </c>
      <c r="P1560">
        <v>3</v>
      </c>
      <c r="Q1560">
        <v>1</v>
      </c>
      <c r="R1560">
        <v>0</v>
      </c>
      <c r="S1560">
        <v>1</v>
      </c>
      <c r="T1560">
        <v>0</v>
      </c>
      <c r="U1560" t="s">
        <v>11750</v>
      </c>
      <c r="V1560">
        <f>Tabla1[[#This Row],[Aboard]]-Tabla1[[#This Row],[Fatalities]]</f>
        <v>2</v>
      </c>
      <c r="W1560" s="50">
        <f>IFERROR(Tabla1[[#This Row],[Fatalities]]/Tabla1[[#This Row],[Aboard]],0)</f>
        <v>0.33333333333333331</v>
      </c>
      <c r="X1560" s="51" t="str" cm="1">
        <f t="array" ref="X1560">_xlfn.IFS(Tabla1[[#This Row],[Porcentaje de muertes]]&lt;0.35,"LEVE",AND(Tabla1[[#This Row],[Porcentaje de muertes]]&gt;0.35,Tabla1[[#This Row],[Porcentaje de muertes]]&lt;0.65),"MEDIO",Tabla1[[#This Row],[Porcentaje de muertes]]&gt;0.65,"GRAVE")</f>
        <v>LEVE</v>
      </c>
    </row>
    <row r="1561" spans="2:24" x14ac:dyDescent="0.3">
      <c r="B1561" s="9">
        <v>1560</v>
      </c>
      <c r="C1561" s="49">
        <v>20545</v>
      </c>
      <c r="D1561" s="9">
        <f>YEAR(Tabla1[[#This Row],[Date]])</f>
        <v>1956</v>
      </c>
      <c r="E1561" s="9" t="str" cm="1">
        <f t="array" ref="E1561">IFERROR(_xlfn.IFS(AND(D1561&lt;1980,D1561&gt;=1970),"70",AND(D1561&lt;1990,D1561&gt;=1980),"80",AND(D1561&lt;2000,D1561&gt;=1990),"90",AND(D1561&lt;2010,D1561&gt;=2000),"00",AND(D1561&lt;=2019,D1561&gt;=2010),"10"),"1908-1970")</f>
        <v>1908-1970</v>
      </c>
      <c r="F1561" s="3">
        <v>0.22222222222222221</v>
      </c>
      <c r="G1561" t="s">
        <v>11751</v>
      </c>
      <c r="H1561" t="s">
        <v>11752</v>
      </c>
      <c r="I1561" t="s">
        <v>28931</v>
      </c>
      <c r="J1561" t="s">
        <v>11753</v>
      </c>
      <c r="K1561" t="s">
        <v>8105</v>
      </c>
      <c r="L1561" s="7" t="s">
        <v>11754</v>
      </c>
      <c r="M1561">
        <v>10230</v>
      </c>
      <c r="N1561">
        <v>3</v>
      </c>
      <c r="O1561">
        <v>0</v>
      </c>
      <c r="P1561">
        <v>3</v>
      </c>
      <c r="Q1561">
        <v>3</v>
      </c>
      <c r="R1561">
        <v>0</v>
      </c>
      <c r="S1561">
        <v>3</v>
      </c>
      <c r="T1561">
        <v>0</v>
      </c>
      <c r="U1561" t="s">
        <v>11755</v>
      </c>
      <c r="V1561">
        <f>Tabla1[[#This Row],[Aboard]]-Tabla1[[#This Row],[Fatalities]]</f>
        <v>0</v>
      </c>
      <c r="W1561" s="50">
        <f>IFERROR(Tabla1[[#This Row],[Fatalities]]/Tabla1[[#This Row],[Aboard]],0)</f>
        <v>1</v>
      </c>
      <c r="X1561" s="51" t="str" cm="1">
        <f t="array" ref="X1561">_xlfn.IFS(Tabla1[[#This Row],[Porcentaje de muertes]]&lt;0.35,"LEVE",AND(Tabla1[[#This Row],[Porcentaje de muertes]]&gt;0.35,Tabla1[[#This Row],[Porcentaje de muertes]]&lt;0.65),"MEDIO",Tabla1[[#This Row],[Porcentaje de muertes]]&gt;0.65,"GRAVE")</f>
        <v>GRAVE</v>
      </c>
    </row>
    <row r="1562" spans="2:24" x14ac:dyDescent="0.3">
      <c r="B1562" s="9">
        <v>1561</v>
      </c>
      <c r="C1562" s="49">
        <v>20545</v>
      </c>
      <c r="D1562" s="9">
        <f>YEAR(Tabla1[[#This Row],[Date]])</f>
        <v>1956</v>
      </c>
      <c r="E1562" s="9" t="str" cm="1">
        <f t="array" ref="E1562">IFERROR(_xlfn.IFS(AND(D1562&lt;1980,D1562&gt;=1970),"70",AND(D1562&lt;1990,D1562&gt;=1980),"80",AND(D1562&lt;2000,D1562&gt;=1990),"90",AND(D1562&lt;2010,D1562&gt;=2000),"00",AND(D1562&lt;=2019,D1562&gt;=2010),"10"),"1908-1970")</f>
        <v>1908-1970</v>
      </c>
      <c r="F1562" s="3" t="s">
        <v>28931</v>
      </c>
      <c r="G1562" t="s">
        <v>11756</v>
      </c>
      <c r="H1562" t="s">
        <v>11757</v>
      </c>
      <c r="I1562" t="s">
        <v>28931</v>
      </c>
      <c r="J1562" t="s">
        <v>11758</v>
      </c>
      <c r="K1562" t="s">
        <v>8105</v>
      </c>
      <c r="L1562" s="7" t="s">
        <v>11759</v>
      </c>
      <c r="M1562">
        <v>12667</v>
      </c>
      <c r="N1562">
        <v>19</v>
      </c>
      <c r="O1562">
        <v>17</v>
      </c>
      <c r="P1562">
        <v>2</v>
      </c>
      <c r="Q1562">
        <v>19</v>
      </c>
      <c r="R1562">
        <v>17</v>
      </c>
      <c r="S1562">
        <v>2</v>
      </c>
      <c r="T1562">
        <v>0</v>
      </c>
      <c r="U1562" t="s">
        <v>9744</v>
      </c>
      <c r="V1562">
        <f>Tabla1[[#This Row],[Aboard]]-Tabla1[[#This Row],[Fatalities]]</f>
        <v>0</v>
      </c>
      <c r="W1562" s="50">
        <f>IFERROR(Tabla1[[#This Row],[Fatalities]]/Tabla1[[#This Row],[Aboard]],0)</f>
        <v>1</v>
      </c>
      <c r="X1562" s="51" t="str" cm="1">
        <f t="array" ref="X1562">_xlfn.IFS(Tabla1[[#This Row],[Porcentaje de muertes]]&lt;0.35,"LEVE",AND(Tabla1[[#This Row],[Porcentaje de muertes]]&gt;0.35,Tabla1[[#This Row],[Porcentaje de muertes]]&lt;0.65),"MEDIO",Tabla1[[#This Row],[Porcentaje de muertes]]&gt;0.65,"GRAVE")</f>
        <v>GRAVE</v>
      </c>
    </row>
    <row r="1563" spans="2:24" x14ac:dyDescent="0.3">
      <c r="B1563" s="9">
        <v>1562</v>
      </c>
      <c r="C1563" s="49">
        <v>20458</v>
      </c>
      <c r="D1563" s="9">
        <f>YEAR(Tabla1[[#This Row],[Date]])</f>
        <v>1956</v>
      </c>
      <c r="E1563" s="9" t="str" cm="1">
        <f t="array" ref="E1563">IFERROR(_xlfn.IFS(AND(D1563&lt;1980,D1563&gt;=1970),"70",AND(D1563&lt;1990,D1563&gt;=1980),"80",AND(D1563&lt;2000,D1563&gt;=1990),"90",AND(D1563&lt;2010,D1563&gt;=2000),"00",AND(D1563&lt;=2019,D1563&gt;=2010),"10"),"1908-1970")</f>
        <v>1908-1970</v>
      </c>
      <c r="F1563" s="3">
        <v>0.80555555555555547</v>
      </c>
      <c r="G1563" t="s">
        <v>6547</v>
      </c>
      <c r="H1563" t="s">
        <v>10166</v>
      </c>
      <c r="I1563">
        <v>400</v>
      </c>
      <c r="J1563" t="s">
        <v>11760</v>
      </c>
      <c r="K1563" t="s">
        <v>11479</v>
      </c>
      <c r="L1563" s="7" t="s">
        <v>11761</v>
      </c>
      <c r="M1563">
        <v>14103</v>
      </c>
      <c r="N1563">
        <v>36</v>
      </c>
      <c r="O1563">
        <v>33</v>
      </c>
      <c r="P1563">
        <v>3</v>
      </c>
      <c r="Q1563">
        <v>22</v>
      </c>
      <c r="R1563">
        <v>21</v>
      </c>
      <c r="S1563">
        <v>1</v>
      </c>
      <c r="T1563">
        <v>0</v>
      </c>
      <c r="U1563" t="s">
        <v>11762</v>
      </c>
      <c r="V1563">
        <f>Tabla1[[#This Row],[Aboard]]-Tabla1[[#This Row],[Fatalities]]</f>
        <v>14</v>
      </c>
      <c r="W1563" s="50">
        <f>IFERROR(Tabla1[[#This Row],[Fatalities]]/Tabla1[[#This Row],[Aboard]],0)</f>
        <v>0.61111111111111116</v>
      </c>
      <c r="X1563" s="51" t="str" cm="1">
        <f t="array" ref="X1563">_xlfn.IFS(Tabla1[[#This Row],[Porcentaje de muertes]]&lt;0.35,"LEVE",AND(Tabla1[[#This Row],[Porcentaje de muertes]]&gt;0.35,Tabla1[[#This Row],[Porcentaje de muertes]]&lt;0.65),"MEDIO",Tabla1[[#This Row],[Porcentaje de muertes]]&gt;0.65,"GRAVE")</f>
        <v>MEDIO</v>
      </c>
    </row>
    <row r="1564" spans="2:24" x14ac:dyDescent="0.3">
      <c r="B1564" s="9">
        <v>1563</v>
      </c>
      <c r="C1564" s="49">
        <v>20489</v>
      </c>
      <c r="D1564" s="9">
        <f>YEAR(Tabla1[[#This Row],[Date]])</f>
        <v>1956</v>
      </c>
      <c r="E1564" s="9" t="str" cm="1">
        <f t="array" ref="E1564">IFERROR(_xlfn.IFS(AND(D1564&lt;1980,D1564&gt;=1970),"70",AND(D1564&lt;1990,D1564&gt;=1980),"80",AND(D1564&lt;2000,D1564&gt;=1990),"90",AND(D1564&lt;2010,D1564&gt;=2000),"00",AND(D1564&lt;=2019,D1564&gt;=2010),"10"),"1908-1970")</f>
        <v>1908-1970</v>
      </c>
      <c r="F1564" s="3">
        <v>0.34027777777777773</v>
      </c>
      <c r="G1564" t="s">
        <v>7915</v>
      </c>
      <c r="H1564" t="s">
        <v>5769</v>
      </c>
      <c r="I1564">
        <v>2</v>
      </c>
      <c r="J1564" t="s">
        <v>11763</v>
      </c>
      <c r="K1564" t="s">
        <v>11764</v>
      </c>
      <c r="L1564" s="7" t="s">
        <v>11765</v>
      </c>
      <c r="M1564">
        <v>15954</v>
      </c>
      <c r="N1564">
        <v>38</v>
      </c>
      <c r="O1564">
        <v>32</v>
      </c>
      <c r="P1564">
        <v>6</v>
      </c>
      <c r="Q1564">
        <v>5</v>
      </c>
      <c r="R1564">
        <v>4</v>
      </c>
      <c r="S1564">
        <v>1</v>
      </c>
      <c r="T1564">
        <v>0</v>
      </c>
      <c r="U1564" t="s">
        <v>11766</v>
      </c>
      <c r="V1564">
        <f>Tabla1[[#This Row],[Aboard]]-Tabla1[[#This Row],[Fatalities]]</f>
        <v>33</v>
      </c>
      <c r="W1564" s="50">
        <f>IFERROR(Tabla1[[#This Row],[Fatalities]]/Tabla1[[#This Row],[Aboard]],0)</f>
        <v>0.13157894736842105</v>
      </c>
      <c r="X1564" s="51" t="str" cm="1">
        <f t="array" ref="X1564">_xlfn.IFS(Tabla1[[#This Row],[Porcentaje de muertes]]&lt;0.35,"LEVE",AND(Tabla1[[#This Row],[Porcentaje de muertes]]&gt;0.35,Tabla1[[#This Row],[Porcentaje de muertes]]&lt;0.65),"MEDIO",Tabla1[[#This Row],[Porcentaje de muertes]]&gt;0.65,"GRAVE")</f>
        <v>LEVE</v>
      </c>
    </row>
    <row r="1565" spans="2:24" x14ac:dyDescent="0.3">
      <c r="B1565" s="9">
        <v>1564</v>
      </c>
      <c r="C1565" s="49">
        <v>20702</v>
      </c>
      <c r="D1565" s="9">
        <f>YEAR(Tabla1[[#This Row],[Date]])</f>
        <v>1956</v>
      </c>
      <c r="E1565" s="9" t="str" cm="1">
        <f t="array" ref="E1565">IFERROR(_xlfn.IFS(AND(D1565&lt;1980,D1565&gt;=1970),"70",AND(D1565&lt;1990,D1565&gt;=1980),"80",AND(D1565&lt;2000,D1565&gt;=1990),"90",AND(D1565&lt;2010,D1565&gt;=2000),"00",AND(D1565&lt;=2019,D1565&gt;=2010),"10"),"1908-1970")</f>
        <v>1908-1970</v>
      </c>
      <c r="F1565" s="3">
        <v>0.41041666666666665</v>
      </c>
      <c r="G1565" t="s">
        <v>11767</v>
      </c>
      <c r="H1565" t="s">
        <v>11768</v>
      </c>
      <c r="I1565">
        <v>6</v>
      </c>
      <c r="J1565" t="s">
        <v>11769</v>
      </c>
      <c r="K1565" t="s">
        <v>28944</v>
      </c>
      <c r="L1565" s="7" t="s">
        <v>11770</v>
      </c>
      <c r="M1565" t="s">
        <v>11771</v>
      </c>
      <c r="N1565">
        <v>6</v>
      </c>
      <c r="O1565">
        <v>5</v>
      </c>
      <c r="P1565">
        <v>1</v>
      </c>
      <c r="Q1565">
        <v>6</v>
      </c>
      <c r="R1565">
        <v>5</v>
      </c>
      <c r="S1565">
        <v>1</v>
      </c>
      <c r="T1565">
        <v>0</v>
      </c>
      <c r="U1565" t="s">
        <v>11772</v>
      </c>
      <c r="V1565">
        <f>Tabla1[[#This Row],[Aboard]]-Tabla1[[#This Row],[Fatalities]]</f>
        <v>0</v>
      </c>
      <c r="W1565" s="50">
        <f>IFERROR(Tabla1[[#This Row],[Fatalities]]/Tabla1[[#This Row],[Aboard]],0)</f>
        <v>1</v>
      </c>
      <c r="X1565" s="51" t="str" cm="1">
        <f t="array" ref="X1565">_xlfn.IFS(Tabla1[[#This Row],[Porcentaje de muertes]]&lt;0.35,"LEVE",AND(Tabla1[[#This Row],[Porcentaje de muertes]]&gt;0.35,Tabla1[[#This Row],[Porcentaje de muertes]]&lt;0.65),"MEDIO",Tabla1[[#This Row],[Porcentaje de muertes]]&gt;0.65,"GRAVE")</f>
        <v>GRAVE</v>
      </c>
    </row>
    <row r="1566" spans="2:24" x14ac:dyDescent="0.3">
      <c r="B1566" s="9">
        <v>1565</v>
      </c>
      <c r="C1566" s="49">
        <v>20563</v>
      </c>
      <c r="D1566" s="9">
        <f>YEAR(Tabla1[[#This Row],[Date]])</f>
        <v>1956</v>
      </c>
      <c r="E1566" s="9" t="str" cm="1">
        <f t="array" ref="E1566">IFERROR(_xlfn.IFS(AND(D1566&lt;1980,D1566&gt;=1970),"70",AND(D1566&lt;1990,D1566&gt;=1980),"80",AND(D1566&lt;2000,D1566&gt;=1990),"90",AND(D1566&lt;2010,D1566&gt;=2000),"00",AND(D1566&lt;=2019,D1566&gt;=2010),"10"),"1908-1970")</f>
        <v>1908-1970</v>
      </c>
      <c r="F1566" s="3" t="s">
        <v>28931</v>
      </c>
      <c r="G1566" t="s">
        <v>11773</v>
      </c>
      <c r="H1566" t="s">
        <v>7669</v>
      </c>
      <c r="I1566" t="s">
        <v>28931</v>
      </c>
      <c r="J1566" t="s">
        <v>11774</v>
      </c>
      <c r="K1566" t="s">
        <v>9179</v>
      </c>
      <c r="L1566" s="7" t="s">
        <v>11775</v>
      </c>
      <c r="M1566">
        <v>22021</v>
      </c>
      <c r="N1566">
        <v>12</v>
      </c>
      <c r="O1566">
        <v>7</v>
      </c>
      <c r="P1566">
        <v>5</v>
      </c>
      <c r="Q1566">
        <v>3</v>
      </c>
      <c r="R1566">
        <v>1</v>
      </c>
      <c r="S1566">
        <v>2</v>
      </c>
      <c r="T1566">
        <v>0</v>
      </c>
      <c r="U1566" t="s">
        <v>11776</v>
      </c>
      <c r="V1566">
        <f>Tabla1[[#This Row],[Aboard]]-Tabla1[[#This Row],[Fatalities]]</f>
        <v>9</v>
      </c>
      <c r="W1566" s="50">
        <f>IFERROR(Tabla1[[#This Row],[Fatalities]]/Tabla1[[#This Row],[Aboard]],0)</f>
        <v>0.25</v>
      </c>
      <c r="X1566" s="51" t="str" cm="1">
        <f t="array" ref="X1566">_xlfn.IFS(Tabla1[[#This Row],[Porcentaje de muertes]]&lt;0.35,"LEVE",AND(Tabla1[[#This Row],[Porcentaje de muertes]]&gt;0.35,Tabla1[[#This Row],[Porcentaje de muertes]]&lt;0.65),"MEDIO",Tabla1[[#This Row],[Porcentaje de muertes]]&gt;0.65,"GRAVE")</f>
        <v>LEVE</v>
      </c>
    </row>
    <row r="1567" spans="2:24" x14ac:dyDescent="0.3">
      <c r="B1567" s="9">
        <v>1566</v>
      </c>
      <c r="C1567" s="49">
        <v>20575</v>
      </c>
      <c r="D1567" s="9">
        <f>YEAR(Tabla1[[#This Row],[Date]])</f>
        <v>1956</v>
      </c>
      <c r="E1567" s="9" t="str" cm="1">
        <f t="array" ref="E1567">IFERROR(_xlfn.IFS(AND(D1567&lt;1980,D1567&gt;=1970),"70",AND(D1567&lt;1990,D1567&gt;=1980),"80",AND(D1567&lt;2000,D1567&gt;=1990),"90",AND(D1567&lt;2010,D1567&gt;=2000),"00",AND(D1567&lt;=2019,D1567&gt;=2010),"10"),"1908-1970")</f>
        <v>1908-1970</v>
      </c>
      <c r="F1567" s="3">
        <v>0.39583333333333331</v>
      </c>
      <c r="G1567" t="s">
        <v>5174</v>
      </c>
      <c r="H1567" t="s">
        <v>11720</v>
      </c>
      <c r="I1567" t="s">
        <v>28931</v>
      </c>
      <c r="J1567" t="s">
        <v>11777</v>
      </c>
      <c r="K1567" t="s">
        <v>11550</v>
      </c>
      <c r="L1567" s="7" t="s">
        <v>11778</v>
      </c>
      <c r="M1567" t="s">
        <v>11779</v>
      </c>
      <c r="N1567">
        <v>54</v>
      </c>
      <c r="O1567">
        <v>49</v>
      </c>
      <c r="P1567">
        <v>5</v>
      </c>
      <c r="Q1567">
        <v>2</v>
      </c>
      <c r="R1567">
        <v>2</v>
      </c>
      <c r="S1567">
        <v>0</v>
      </c>
      <c r="T1567">
        <v>0</v>
      </c>
      <c r="U1567" t="s">
        <v>11780</v>
      </c>
      <c r="V1567">
        <f>Tabla1[[#This Row],[Aboard]]-Tabla1[[#This Row],[Fatalities]]</f>
        <v>52</v>
      </c>
      <c r="W1567" s="50">
        <f>IFERROR(Tabla1[[#This Row],[Fatalities]]/Tabla1[[#This Row],[Aboard]],0)</f>
        <v>3.7037037037037035E-2</v>
      </c>
      <c r="X1567" s="51" t="str" cm="1">
        <f t="array" ref="X1567">_xlfn.IFS(Tabla1[[#This Row],[Porcentaje de muertes]]&lt;0.35,"LEVE",AND(Tabla1[[#This Row],[Porcentaje de muertes]]&gt;0.35,Tabla1[[#This Row],[Porcentaje de muertes]]&lt;0.65),"MEDIO",Tabla1[[#This Row],[Porcentaje de muertes]]&gt;0.65,"GRAVE")</f>
        <v>LEVE</v>
      </c>
    </row>
    <row r="1568" spans="2:24" x14ac:dyDescent="0.3">
      <c r="B1568" s="9">
        <v>1567</v>
      </c>
      <c r="C1568" s="49">
        <v>20590</v>
      </c>
      <c r="D1568" s="9">
        <f>YEAR(Tabla1[[#This Row],[Date]])</f>
        <v>1956</v>
      </c>
      <c r="E1568" s="9" t="str" cm="1">
        <f t="array" ref="E1568">IFERROR(_xlfn.IFS(AND(D1568&lt;1980,D1568&gt;=1970),"70",AND(D1568&lt;1990,D1568&gt;=1980),"80",AND(D1568&lt;2000,D1568&gt;=1990),"90",AND(D1568&lt;2010,D1568&gt;=2000),"00",AND(D1568&lt;=2019,D1568&gt;=2010),"10"),"1908-1970")</f>
        <v>1908-1970</v>
      </c>
      <c r="F1568" s="3" t="s">
        <v>28931</v>
      </c>
      <c r="G1568" t="s">
        <v>11781</v>
      </c>
      <c r="H1568" t="s">
        <v>11150</v>
      </c>
      <c r="I1568" t="s">
        <v>28931</v>
      </c>
      <c r="J1568" t="s">
        <v>11782</v>
      </c>
      <c r="K1568" t="s">
        <v>7057</v>
      </c>
      <c r="L1568" s="7" t="s">
        <v>11783</v>
      </c>
      <c r="M1568">
        <v>13165</v>
      </c>
      <c r="N1568">
        <v>31</v>
      </c>
      <c r="O1568">
        <v>28</v>
      </c>
      <c r="P1568">
        <v>3</v>
      </c>
      <c r="Q1568">
        <v>14</v>
      </c>
      <c r="R1568">
        <v>14</v>
      </c>
      <c r="S1568">
        <v>0</v>
      </c>
      <c r="T1568">
        <v>1</v>
      </c>
      <c r="U1568" t="s">
        <v>11784</v>
      </c>
      <c r="V1568">
        <f>Tabla1[[#This Row],[Aboard]]-Tabla1[[#This Row],[Fatalities]]</f>
        <v>17</v>
      </c>
      <c r="W1568" s="50">
        <f>IFERROR(Tabla1[[#This Row],[Fatalities]]/Tabla1[[#This Row],[Aboard]],0)</f>
        <v>0.45161290322580644</v>
      </c>
      <c r="X1568" s="51" t="str" cm="1">
        <f t="array" ref="X1568">_xlfn.IFS(Tabla1[[#This Row],[Porcentaje de muertes]]&lt;0.35,"LEVE",AND(Tabla1[[#This Row],[Porcentaje de muertes]]&gt;0.35,Tabla1[[#This Row],[Porcentaje de muertes]]&lt;0.65),"MEDIO",Tabla1[[#This Row],[Porcentaje de muertes]]&gt;0.65,"GRAVE")</f>
        <v>MEDIO</v>
      </c>
    </row>
    <row r="1569" spans="2:24" x14ac:dyDescent="0.3">
      <c r="B1569" s="9">
        <v>1568</v>
      </c>
      <c r="C1569" s="49">
        <v>20590</v>
      </c>
      <c r="D1569" s="9">
        <f>YEAR(Tabla1[[#This Row],[Date]])</f>
        <v>1956</v>
      </c>
      <c r="E1569" s="9" t="str" cm="1">
        <f t="array" ref="E1569">IFERROR(_xlfn.IFS(AND(D1569&lt;1980,D1569&gt;=1970),"70",AND(D1569&lt;1990,D1569&gt;=1980),"80",AND(D1569&lt;2000,D1569&gt;=1990),"90",AND(D1569&lt;2010,D1569&gt;=2000),"00",AND(D1569&lt;=2019,D1569&gt;=2010),"10"),"1908-1970")</f>
        <v>1908-1970</v>
      </c>
      <c r="F1569" s="3">
        <v>0.92847222222222225</v>
      </c>
      <c r="G1569" t="s">
        <v>11785</v>
      </c>
      <c r="H1569" t="s">
        <v>8021</v>
      </c>
      <c r="I1569" t="s">
        <v>28931</v>
      </c>
      <c r="J1569" t="s">
        <v>11786</v>
      </c>
      <c r="K1569" t="s">
        <v>11787</v>
      </c>
      <c r="L1569" s="7">
        <v>18367</v>
      </c>
      <c r="M1569" t="s">
        <v>11788</v>
      </c>
      <c r="N1569">
        <v>2</v>
      </c>
      <c r="O1569">
        <v>0</v>
      </c>
      <c r="P1569">
        <v>2</v>
      </c>
      <c r="Q1569">
        <v>2</v>
      </c>
      <c r="R1569">
        <v>0</v>
      </c>
      <c r="S1569">
        <v>2</v>
      </c>
      <c r="T1569">
        <v>13</v>
      </c>
      <c r="U1569" t="s">
        <v>11789</v>
      </c>
      <c r="V1569">
        <f>Tabla1[[#This Row],[Aboard]]-Tabla1[[#This Row],[Fatalities]]</f>
        <v>0</v>
      </c>
      <c r="W1569" s="50">
        <f>IFERROR(Tabla1[[#This Row],[Fatalities]]/Tabla1[[#This Row],[Aboard]],0)</f>
        <v>1</v>
      </c>
      <c r="X1569" s="51" t="str" cm="1">
        <f t="array" ref="X1569">_xlfn.IFS(Tabla1[[#This Row],[Porcentaje de muertes]]&lt;0.35,"LEVE",AND(Tabla1[[#This Row],[Porcentaje de muertes]]&gt;0.35,Tabla1[[#This Row],[Porcentaje de muertes]]&lt;0.65),"MEDIO",Tabla1[[#This Row],[Porcentaje de muertes]]&gt;0.65,"GRAVE")</f>
        <v>GRAVE</v>
      </c>
    </row>
    <row r="1570" spans="2:24" x14ac:dyDescent="0.3">
      <c r="B1570" s="9">
        <v>1569</v>
      </c>
      <c r="C1570" s="49">
        <v>20599</v>
      </c>
      <c r="D1570" s="9">
        <f>YEAR(Tabla1[[#This Row],[Date]])</f>
        <v>1956</v>
      </c>
      <c r="E1570" s="9" t="str" cm="1">
        <f t="array" ref="E1570">IFERROR(_xlfn.IFS(AND(D1570&lt;1980,D1570&gt;=1970),"70",AND(D1570&lt;1990,D1570&gt;=1980),"80",AND(D1570&lt;2000,D1570&gt;=1990),"90",AND(D1570&lt;2010,D1570&gt;=2000),"00",AND(D1570&lt;=2019,D1570&gt;=2010),"10"),"1908-1970")</f>
        <v>1908-1970</v>
      </c>
      <c r="F1570" s="3">
        <v>0.43055555555555558</v>
      </c>
      <c r="G1570" t="s">
        <v>11790</v>
      </c>
      <c r="H1570" t="s">
        <v>11155</v>
      </c>
      <c r="I1570" t="s">
        <v>28931</v>
      </c>
      <c r="J1570" t="s">
        <v>11791</v>
      </c>
      <c r="K1570" t="s">
        <v>11792</v>
      </c>
      <c r="L1570" s="7" t="s">
        <v>11793</v>
      </c>
      <c r="M1570">
        <v>6052</v>
      </c>
      <c r="N1570">
        <v>31</v>
      </c>
      <c r="O1570">
        <v>28</v>
      </c>
      <c r="P1570">
        <v>3</v>
      </c>
      <c r="Q1570">
        <v>30</v>
      </c>
      <c r="R1570">
        <v>27</v>
      </c>
      <c r="S1570">
        <v>3</v>
      </c>
      <c r="T1570">
        <v>0</v>
      </c>
      <c r="U1570" t="s">
        <v>11794</v>
      </c>
      <c r="V1570">
        <f>Tabla1[[#This Row],[Aboard]]-Tabla1[[#This Row],[Fatalities]]</f>
        <v>1</v>
      </c>
      <c r="W1570" s="50">
        <f>IFERROR(Tabla1[[#This Row],[Fatalities]]/Tabla1[[#This Row],[Aboard]],0)</f>
        <v>0.967741935483871</v>
      </c>
      <c r="X1570" s="51" t="str" cm="1">
        <f t="array" ref="X1570">_xlfn.IFS(Tabla1[[#This Row],[Porcentaje de muertes]]&lt;0.35,"LEVE",AND(Tabla1[[#This Row],[Porcentaje de muertes]]&gt;0.35,Tabla1[[#This Row],[Porcentaje de muertes]]&lt;0.65),"MEDIO",Tabla1[[#This Row],[Porcentaje de muertes]]&gt;0.65,"GRAVE")</f>
        <v>GRAVE</v>
      </c>
    </row>
    <row r="1571" spans="2:24" x14ac:dyDescent="0.3">
      <c r="B1571" s="9">
        <v>1570</v>
      </c>
      <c r="C1571" s="49">
        <v>20619</v>
      </c>
      <c r="D1571" s="9">
        <f>YEAR(Tabla1[[#This Row],[Date]])</f>
        <v>1956</v>
      </c>
      <c r="E1571" s="9" t="str" cm="1">
        <f t="array" ref="E1571">IFERROR(_xlfn.IFS(AND(D1571&lt;1980,D1571&gt;=1970),"70",AND(D1571&lt;1990,D1571&gt;=1980),"80",AND(D1571&lt;2000,D1571&gt;=1990),"90",AND(D1571&lt;2010,D1571&gt;=2000),"00",AND(D1571&lt;=2019,D1571&gt;=2010),"10"),"1908-1970")</f>
        <v>1908-1970</v>
      </c>
      <c r="F1571" s="3" t="s">
        <v>28931</v>
      </c>
      <c r="G1571" t="s">
        <v>11795</v>
      </c>
      <c r="H1571" t="s">
        <v>11796</v>
      </c>
      <c r="I1571" t="s">
        <v>28931</v>
      </c>
      <c r="J1571" t="s">
        <v>28931</v>
      </c>
      <c r="K1571" t="s">
        <v>7057</v>
      </c>
      <c r="L1571" s="7" t="s">
        <v>28931</v>
      </c>
      <c r="M1571" t="s">
        <v>28931</v>
      </c>
      <c r="N1571" t="s">
        <v>5038</v>
      </c>
      <c r="O1571" t="s">
        <v>5038</v>
      </c>
      <c r="P1571" t="s">
        <v>5038</v>
      </c>
      <c r="Q1571">
        <v>1</v>
      </c>
      <c r="R1571">
        <v>1</v>
      </c>
      <c r="S1571" t="s">
        <v>5038</v>
      </c>
      <c r="T1571">
        <v>0</v>
      </c>
      <c r="U1571" t="s">
        <v>11797</v>
      </c>
      <c r="V1571" t="s">
        <v>5038</v>
      </c>
      <c r="W1571" s="50">
        <f>IFERROR(Tabla1[[#This Row],[Fatalities]]/Tabla1[[#This Row],[Aboard]],0)</f>
        <v>0</v>
      </c>
      <c r="X1571" s="51" t="str" cm="1">
        <f t="array" ref="X1571">_xlfn.IFS(Tabla1[[#This Row],[Porcentaje de muertes]]&lt;0.35,"LEVE",AND(Tabla1[[#This Row],[Porcentaje de muertes]]&gt;0.35,Tabla1[[#This Row],[Porcentaje de muertes]]&lt;0.65),"MEDIO",Tabla1[[#This Row],[Porcentaje de muertes]]&gt;0.65,"GRAVE")</f>
        <v>LEVE</v>
      </c>
    </row>
    <row r="1572" spans="2:24" x14ac:dyDescent="0.3">
      <c r="B1572" s="9">
        <v>1571</v>
      </c>
      <c r="C1572" s="49">
        <v>20626</v>
      </c>
      <c r="D1572" s="9">
        <f>YEAR(Tabla1[[#This Row],[Date]])</f>
        <v>1956</v>
      </c>
      <c r="E1572" s="9" t="str" cm="1">
        <f t="array" ref="E1572">IFERROR(_xlfn.IFS(AND(D1572&lt;1980,D1572&gt;=1970),"70",AND(D1572&lt;1990,D1572&gt;=1980),"80",AND(D1572&lt;2000,D1572&gt;=1990),"90",AND(D1572&lt;2010,D1572&gt;=2000),"00",AND(D1572&lt;=2019,D1572&gt;=2010),"10"),"1908-1970")</f>
        <v>1908-1970</v>
      </c>
      <c r="F1572" s="3">
        <v>6.3888888888888884E-2</v>
      </c>
      <c r="G1572" t="s">
        <v>11798</v>
      </c>
      <c r="H1572" t="s">
        <v>9074</v>
      </c>
      <c r="I1572">
        <v>253</v>
      </c>
      <c r="J1572" t="s">
        <v>11799</v>
      </c>
      <c r="K1572" t="s">
        <v>11800</v>
      </c>
      <c r="L1572" s="7" t="s">
        <v>11801</v>
      </c>
      <c r="M1572">
        <v>4561</v>
      </c>
      <c r="N1572">
        <v>74</v>
      </c>
      <c r="O1572">
        <v>64</v>
      </c>
      <c r="P1572">
        <v>10</v>
      </c>
      <c r="Q1572">
        <v>74</v>
      </c>
      <c r="R1572">
        <v>64</v>
      </c>
      <c r="S1572">
        <v>10</v>
      </c>
      <c r="T1572">
        <v>0</v>
      </c>
      <c r="U1572" t="s">
        <v>11802</v>
      </c>
      <c r="V1572">
        <f>Tabla1[[#This Row],[Aboard]]-Tabla1[[#This Row],[Fatalities]]</f>
        <v>0</v>
      </c>
      <c r="W1572" s="50">
        <f>IFERROR(Tabla1[[#This Row],[Fatalities]]/Tabla1[[#This Row],[Aboard]],0)</f>
        <v>1</v>
      </c>
      <c r="X1572" s="51" t="str" cm="1">
        <f t="array" ref="X1572">_xlfn.IFS(Tabla1[[#This Row],[Porcentaje de muertes]]&lt;0.35,"LEVE",AND(Tabla1[[#This Row],[Porcentaje de muertes]]&gt;0.35,Tabla1[[#This Row],[Porcentaje de muertes]]&lt;0.65),"MEDIO",Tabla1[[#This Row],[Porcentaje de muertes]]&gt;0.65,"GRAVE")</f>
        <v>GRAVE</v>
      </c>
    </row>
    <row r="1573" spans="2:24" x14ac:dyDescent="0.3">
      <c r="B1573" s="9">
        <v>1572</v>
      </c>
      <c r="C1573" s="49">
        <v>20630</v>
      </c>
      <c r="D1573" s="9">
        <f>YEAR(Tabla1[[#This Row],[Date]])</f>
        <v>1956</v>
      </c>
      <c r="E1573" s="9" t="str" cm="1">
        <f t="array" ref="E1573">IFERROR(_xlfn.IFS(AND(D1573&lt;1980,D1573&gt;=1970),"70",AND(D1573&lt;1990,D1573&gt;=1980),"80",AND(D1573&lt;2000,D1573&gt;=1990),"90",AND(D1573&lt;2010,D1573&gt;=2000),"00",AND(D1573&lt;=2019,D1573&gt;=2010),"10"),"1908-1970")</f>
        <v>1908-1970</v>
      </c>
      <c r="F1573" s="3">
        <v>0.72569444444444453</v>
      </c>
      <c r="G1573" t="s">
        <v>11803</v>
      </c>
      <c r="H1573" t="s">
        <v>7521</v>
      </c>
      <c r="I1573" t="s">
        <v>28931</v>
      </c>
      <c r="J1573" t="s">
        <v>11804</v>
      </c>
      <c r="K1573" t="s">
        <v>11622</v>
      </c>
      <c r="L1573" s="7" t="s">
        <v>11805</v>
      </c>
      <c r="M1573">
        <v>151</v>
      </c>
      <c r="N1573">
        <v>45</v>
      </c>
      <c r="O1573">
        <v>38</v>
      </c>
      <c r="P1573">
        <v>7</v>
      </c>
      <c r="Q1573">
        <v>32</v>
      </c>
      <c r="R1573">
        <v>29</v>
      </c>
      <c r="S1573">
        <v>3</v>
      </c>
      <c r="T1573">
        <v>0</v>
      </c>
      <c r="U1573" t="s">
        <v>11806</v>
      </c>
      <c r="V1573">
        <f>Tabla1[[#This Row],[Aboard]]-Tabla1[[#This Row],[Fatalities]]</f>
        <v>13</v>
      </c>
      <c r="W1573" s="50">
        <f>IFERROR(Tabla1[[#This Row],[Fatalities]]/Tabla1[[#This Row],[Aboard]],0)</f>
        <v>0.71111111111111114</v>
      </c>
      <c r="X1573" s="51" t="str" cm="1">
        <f t="array" ref="X1573">_xlfn.IFS(Tabla1[[#This Row],[Porcentaje de muertes]]&lt;0.35,"LEVE",AND(Tabla1[[#This Row],[Porcentaje de muertes]]&gt;0.35,Tabla1[[#This Row],[Porcentaje de muertes]]&lt;0.65),"MEDIO",Tabla1[[#This Row],[Porcentaje de muertes]]&gt;0.65,"GRAVE")</f>
        <v>GRAVE</v>
      </c>
    </row>
    <row r="1574" spans="2:24" x14ac:dyDescent="0.3">
      <c r="B1574" s="9">
        <v>1573</v>
      </c>
      <c r="C1574" s="49">
        <v>20636</v>
      </c>
      <c r="D1574" s="9">
        <f>YEAR(Tabla1[[#This Row],[Date]])</f>
        <v>1956</v>
      </c>
      <c r="E1574" s="9" t="str" cm="1">
        <f t="array" ref="E1574">IFERROR(_xlfn.IFS(AND(D1574&lt;1980,D1574&gt;=1970),"70",AND(D1574&lt;1990,D1574&gt;=1980),"80",AND(D1574&lt;2000,D1574&gt;=1990),"90",AND(D1574&lt;2010,D1574&gt;=2000),"00",AND(D1574&lt;=2019,D1574&gt;=2010),"10"),"1908-1970")</f>
        <v>1908-1970</v>
      </c>
      <c r="F1574" s="3">
        <v>0.43888888888888888</v>
      </c>
      <c r="G1574" t="s">
        <v>11807</v>
      </c>
      <c r="H1574" t="s">
        <v>11808</v>
      </c>
      <c r="I1574" t="s">
        <v>11809</v>
      </c>
      <c r="J1574" t="s">
        <v>11810</v>
      </c>
      <c r="K1574" t="s">
        <v>11811</v>
      </c>
      <c r="L1574" s="7" t="s">
        <v>11812</v>
      </c>
      <c r="M1574" t="s">
        <v>11813</v>
      </c>
      <c r="N1574">
        <v>128</v>
      </c>
      <c r="O1574">
        <v>117</v>
      </c>
      <c r="P1574">
        <v>11</v>
      </c>
      <c r="Q1574">
        <v>128</v>
      </c>
      <c r="R1574">
        <v>117</v>
      </c>
      <c r="S1574">
        <v>11</v>
      </c>
      <c r="T1574">
        <v>0</v>
      </c>
      <c r="U1574" t="s">
        <v>11814</v>
      </c>
      <c r="V1574">
        <f>Tabla1[[#This Row],[Aboard]]-Tabla1[[#This Row],[Fatalities]]</f>
        <v>0</v>
      </c>
      <c r="W1574" s="50">
        <f>IFERROR(Tabla1[[#This Row],[Fatalities]]/Tabla1[[#This Row],[Aboard]],0)</f>
        <v>1</v>
      </c>
      <c r="X1574" s="51" t="str" cm="1">
        <f t="array" ref="X1574">_xlfn.IFS(Tabla1[[#This Row],[Porcentaje de muertes]]&lt;0.35,"LEVE",AND(Tabla1[[#This Row],[Porcentaje de muertes]]&gt;0.35,Tabla1[[#This Row],[Porcentaje de muertes]]&lt;0.65),"MEDIO",Tabla1[[#This Row],[Porcentaje de muertes]]&gt;0.65,"GRAVE")</f>
        <v>GRAVE</v>
      </c>
    </row>
    <row r="1575" spans="2:24" x14ac:dyDescent="0.3">
      <c r="B1575" s="9">
        <v>1574</v>
      </c>
      <c r="C1575" s="49">
        <v>20705</v>
      </c>
      <c r="D1575" s="9">
        <f>YEAR(Tabla1[[#This Row],[Date]])</f>
        <v>1956</v>
      </c>
      <c r="E1575" s="9" t="str" cm="1">
        <f t="array" ref="E1575">IFERROR(_xlfn.IFS(AND(D1575&lt;1980,D1575&gt;=1970),"70",AND(D1575&lt;1990,D1575&gt;=1980),"80",AND(D1575&lt;2000,D1575&gt;=1990),"90",AND(D1575&lt;2010,D1575&gt;=2000),"00",AND(D1575&lt;=2019,D1575&gt;=2010),"10"),"1908-1970")</f>
        <v>1908-1970</v>
      </c>
      <c r="F1575" s="3">
        <v>0.57847222222222217</v>
      </c>
      <c r="G1575" t="s">
        <v>11815</v>
      </c>
      <c r="H1575" t="s">
        <v>7329</v>
      </c>
      <c r="I1575">
        <v>304</v>
      </c>
      <c r="J1575" t="s">
        <v>11816</v>
      </c>
      <c r="K1575" t="s">
        <v>11817</v>
      </c>
      <c r="L1575" s="7" t="s">
        <v>11818</v>
      </c>
      <c r="M1575">
        <v>55</v>
      </c>
      <c r="N1575">
        <v>35</v>
      </c>
      <c r="O1575">
        <v>31</v>
      </c>
      <c r="P1575">
        <v>4</v>
      </c>
      <c r="Q1575">
        <v>1</v>
      </c>
      <c r="R1575">
        <v>1</v>
      </c>
      <c r="S1575">
        <v>0</v>
      </c>
      <c r="T1575">
        <v>0</v>
      </c>
      <c r="U1575" t="s">
        <v>11819</v>
      </c>
      <c r="V1575">
        <f>Tabla1[[#This Row],[Aboard]]-Tabla1[[#This Row],[Fatalities]]</f>
        <v>34</v>
      </c>
      <c r="W1575" s="50">
        <f>IFERROR(Tabla1[[#This Row],[Fatalities]]/Tabla1[[#This Row],[Aboard]],0)</f>
        <v>2.8571428571428571E-2</v>
      </c>
      <c r="X1575" s="51" t="str" cm="1">
        <f t="array" ref="X1575">_xlfn.IFS(Tabla1[[#This Row],[Porcentaje de muertes]]&lt;0.35,"LEVE",AND(Tabla1[[#This Row],[Porcentaje de muertes]]&gt;0.35,Tabla1[[#This Row],[Porcentaje de muertes]]&lt;0.65),"MEDIO",Tabla1[[#This Row],[Porcentaje de muertes]]&gt;0.65,"GRAVE")</f>
        <v>LEVE</v>
      </c>
    </row>
    <row r="1576" spans="2:24" x14ac:dyDescent="0.3">
      <c r="B1576" s="9">
        <v>1575</v>
      </c>
      <c r="C1576" s="49">
        <v>20649</v>
      </c>
      <c r="D1576" s="9">
        <f>YEAR(Tabla1[[#This Row],[Date]])</f>
        <v>1956</v>
      </c>
      <c r="E1576" s="9" t="str" cm="1">
        <f t="array" ref="E1576">IFERROR(_xlfn.IFS(AND(D1576&lt;1980,D1576&gt;=1970),"70",AND(D1576&lt;1990,D1576&gt;=1980),"80",AND(D1576&lt;2000,D1576&gt;=1990),"90",AND(D1576&lt;2010,D1576&gt;=2000),"00",AND(D1576&lt;=2019,D1576&gt;=2010),"10"),"1908-1970")</f>
        <v>1908-1970</v>
      </c>
      <c r="F1576" s="3">
        <v>0.64930555555555558</v>
      </c>
      <c r="G1576" t="s">
        <v>11820</v>
      </c>
      <c r="H1576" t="s">
        <v>7987</v>
      </c>
      <c r="I1576" t="s">
        <v>28931</v>
      </c>
      <c r="J1576" t="s">
        <v>11821</v>
      </c>
      <c r="K1576" t="s">
        <v>11822</v>
      </c>
      <c r="L1576" s="7" t="s">
        <v>11823</v>
      </c>
      <c r="M1576">
        <v>44672</v>
      </c>
      <c r="N1576">
        <v>66</v>
      </c>
      <c r="O1576">
        <v>56</v>
      </c>
      <c r="P1576">
        <v>10</v>
      </c>
      <c r="Q1576">
        <v>46</v>
      </c>
      <c r="R1576">
        <v>38</v>
      </c>
      <c r="S1576">
        <v>8</v>
      </c>
      <c r="T1576">
        <v>0</v>
      </c>
      <c r="U1576" t="s">
        <v>11824</v>
      </c>
      <c r="V1576">
        <f>Tabla1[[#This Row],[Aboard]]-Tabla1[[#This Row],[Fatalities]]</f>
        <v>20</v>
      </c>
      <c r="W1576" s="50">
        <f>IFERROR(Tabla1[[#This Row],[Fatalities]]/Tabla1[[#This Row],[Aboard]],0)</f>
        <v>0.69696969696969702</v>
      </c>
      <c r="X1576" s="51" t="str" cm="1">
        <f t="array" ref="X1576">_xlfn.IFS(Tabla1[[#This Row],[Porcentaje de muertes]]&lt;0.35,"LEVE",AND(Tabla1[[#This Row],[Porcentaje de muertes]]&gt;0.35,Tabla1[[#This Row],[Porcentaje de muertes]]&lt;0.65),"MEDIO",Tabla1[[#This Row],[Porcentaje de muertes]]&gt;0.65,"GRAVE")</f>
        <v>GRAVE</v>
      </c>
    </row>
    <row r="1577" spans="2:24" x14ac:dyDescent="0.3">
      <c r="B1577" s="9">
        <v>1576</v>
      </c>
      <c r="C1577" s="49">
        <v>20651</v>
      </c>
      <c r="D1577" s="9">
        <f>YEAR(Tabla1[[#This Row],[Date]])</f>
        <v>1956</v>
      </c>
      <c r="E1577" s="9" t="str" cm="1">
        <f t="array" ref="E1577">IFERROR(_xlfn.IFS(AND(D1577&lt;1980,D1577&gt;=1970),"70",AND(D1577&lt;1990,D1577&gt;=1980),"80",AND(D1577&lt;2000,D1577&gt;=1990),"90",AND(D1577&lt;2010,D1577&gt;=2000),"00",AND(D1577&lt;=2019,D1577&gt;=2010),"10"),"1908-1970")</f>
        <v>1908-1970</v>
      </c>
      <c r="F1577" s="3">
        <v>6.5972222222222224E-2</v>
      </c>
      <c r="G1577" t="s">
        <v>9445</v>
      </c>
      <c r="H1577" t="s">
        <v>6471</v>
      </c>
      <c r="I1577" t="s">
        <v>28931</v>
      </c>
      <c r="J1577" t="s">
        <v>8808</v>
      </c>
      <c r="K1577" t="s">
        <v>11825</v>
      </c>
      <c r="L1577" s="7" t="s">
        <v>11826</v>
      </c>
      <c r="M1577">
        <v>335</v>
      </c>
      <c r="N1577">
        <v>4</v>
      </c>
      <c r="O1577">
        <v>0</v>
      </c>
      <c r="P1577">
        <v>4</v>
      </c>
      <c r="Q1577">
        <v>4</v>
      </c>
      <c r="R1577">
        <v>0</v>
      </c>
      <c r="S1577">
        <v>4</v>
      </c>
      <c r="T1577">
        <v>0</v>
      </c>
      <c r="U1577" t="s">
        <v>11827</v>
      </c>
      <c r="V1577">
        <f>Tabla1[[#This Row],[Aboard]]-Tabla1[[#This Row],[Fatalities]]</f>
        <v>0</v>
      </c>
      <c r="W1577" s="50">
        <f>IFERROR(Tabla1[[#This Row],[Fatalities]]/Tabla1[[#This Row],[Aboard]],0)</f>
        <v>1</v>
      </c>
      <c r="X1577" s="51" t="str" cm="1">
        <f t="array" ref="X1577">_xlfn.IFS(Tabla1[[#This Row],[Porcentaje de muertes]]&lt;0.35,"LEVE",AND(Tabla1[[#This Row],[Porcentaje de muertes]]&gt;0.35,Tabla1[[#This Row],[Porcentaje de muertes]]&lt;0.65),"MEDIO",Tabla1[[#This Row],[Porcentaje de muertes]]&gt;0.65,"GRAVE")</f>
        <v>GRAVE</v>
      </c>
    </row>
    <row r="1578" spans="2:24" x14ac:dyDescent="0.3">
      <c r="B1578" s="9">
        <v>1577</v>
      </c>
      <c r="C1578" s="49">
        <v>20652</v>
      </c>
      <c r="D1578" s="9">
        <f>YEAR(Tabla1[[#This Row],[Date]])</f>
        <v>1956</v>
      </c>
      <c r="E1578" s="9" t="str" cm="1">
        <f t="array" ref="E1578">IFERROR(_xlfn.IFS(AND(D1578&lt;1980,D1578&gt;=1970),"70",AND(D1578&lt;1990,D1578&gt;=1980),"80",AND(D1578&lt;2000,D1578&gt;=1990),"90",AND(D1578&lt;2010,D1578&gt;=2000),"00",AND(D1578&lt;=2019,D1578&gt;=2010),"10"),"1908-1970")</f>
        <v>1908-1970</v>
      </c>
      <c r="F1578" s="3">
        <v>0.30208333333333331</v>
      </c>
      <c r="G1578" t="s">
        <v>11828</v>
      </c>
      <c r="H1578" t="s">
        <v>10275</v>
      </c>
      <c r="I1578" t="s">
        <v>28931</v>
      </c>
      <c r="J1578" t="s">
        <v>11829</v>
      </c>
      <c r="K1578" t="s">
        <v>7057</v>
      </c>
      <c r="L1578" s="7" t="s">
        <v>11830</v>
      </c>
      <c r="M1578">
        <v>13328</v>
      </c>
      <c r="N1578">
        <v>18</v>
      </c>
      <c r="O1578">
        <v>14</v>
      </c>
      <c r="P1578">
        <v>4</v>
      </c>
      <c r="Q1578">
        <v>18</v>
      </c>
      <c r="R1578">
        <v>14</v>
      </c>
      <c r="S1578">
        <v>4</v>
      </c>
      <c r="T1578">
        <v>0</v>
      </c>
      <c r="U1578" t="s">
        <v>11831</v>
      </c>
      <c r="V1578">
        <f>Tabla1[[#This Row],[Aboard]]-Tabla1[[#This Row],[Fatalities]]</f>
        <v>0</v>
      </c>
      <c r="W1578" s="50">
        <f>IFERROR(Tabla1[[#This Row],[Fatalities]]/Tabla1[[#This Row],[Aboard]],0)</f>
        <v>1</v>
      </c>
      <c r="X1578" s="51" t="str" cm="1">
        <f t="array" ref="X1578">_xlfn.IFS(Tabla1[[#This Row],[Porcentaje de muertes]]&lt;0.35,"LEVE",AND(Tabla1[[#This Row],[Porcentaje de muertes]]&gt;0.35,Tabla1[[#This Row],[Porcentaje de muertes]]&lt;0.65),"MEDIO",Tabla1[[#This Row],[Porcentaje de muertes]]&gt;0.65,"GRAVE")</f>
        <v>GRAVE</v>
      </c>
    </row>
    <row r="1579" spans="2:24" x14ac:dyDescent="0.3">
      <c r="B1579" s="9">
        <v>1578</v>
      </c>
      <c r="C1579" s="49">
        <v>20675</v>
      </c>
      <c r="D1579" s="9">
        <f>YEAR(Tabla1[[#This Row],[Date]])</f>
        <v>1956</v>
      </c>
      <c r="E1579" s="9" t="str" cm="1">
        <f t="array" ref="E1579">IFERROR(_xlfn.IFS(AND(D1579&lt;1980,D1579&gt;=1970),"70",AND(D1579&lt;1990,D1579&gt;=1980),"80",AND(D1579&lt;2000,D1579&gt;=1990),"90",AND(D1579&lt;2010,D1579&gt;=2000),"00",AND(D1579&lt;=2019,D1579&gt;=2010),"10"),"1908-1970")</f>
        <v>1908-1970</v>
      </c>
      <c r="F1579" s="3" t="s">
        <v>28931</v>
      </c>
      <c r="G1579" t="s">
        <v>11832</v>
      </c>
      <c r="H1579" t="s">
        <v>11602</v>
      </c>
      <c r="I1579" t="s">
        <v>28931</v>
      </c>
      <c r="J1579" t="s">
        <v>11833</v>
      </c>
      <c r="K1579" t="s">
        <v>7057</v>
      </c>
      <c r="L1579" s="7" t="s">
        <v>11834</v>
      </c>
      <c r="M1579" t="s">
        <v>11835</v>
      </c>
      <c r="N1579">
        <v>22</v>
      </c>
      <c r="O1579">
        <v>18</v>
      </c>
      <c r="P1579">
        <v>4</v>
      </c>
      <c r="Q1579">
        <v>12</v>
      </c>
      <c r="R1579">
        <v>9</v>
      </c>
      <c r="S1579">
        <v>3</v>
      </c>
      <c r="T1579">
        <v>0</v>
      </c>
      <c r="U1579" t="s">
        <v>11836</v>
      </c>
      <c r="V1579">
        <f>Tabla1[[#This Row],[Aboard]]-Tabla1[[#This Row],[Fatalities]]</f>
        <v>10</v>
      </c>
      <c r="W1579" s="50">
        <f>IFERROR(Tabla1[[#This Row],[Fatalities]]/Tabla1[[#This Row],[Aboard]],0)</f>
        <v>0.54545454545454541</v>
      </c>
      <c r="X1579" s="51" t="str" cm="1">
        <f t="array" ref="X1579">_xlfn.IFS(Tabla1[[#This Row],[Porcentaje de muertes]]&lt;0.35,"LEVE",AND(Tabla1[[#This Row],[Porcentaje de muertes]]&gt;0.35,Tabla1[[#This Row],[Porcentaje de muertes]]&lt;0.65),"MEDIO",Tabla1[[#This Row],[Porcentaje de muertes]]&gt;0.65,"GRAVE")</f>
        <v>MEDIO</v>
      </c>
    </row>
    <row r="1580" spans="2:24" x14ac:dyDescent="0.3">
      <c r="B1580" s="9">
        <v>1579</v>
      </c>
      <c r="C1580" s="49">
        <v>20696</v>
      </c>
      <c r="D1580" s="9">
        <f>YEAR(Tabla1[[#This Row],[Date]])</f>
        <v>1956</v>
      </c>
      <c r="E1580" s="9" t="str" cm="1">
        <f t="array" ref="E1580">IFERROR(_xlfn.IFS(AND(D1580&lt;1980,D1580&gt;=1970),"70",AND(D1580&lt;1990,D1580&gt;=1980),"80",AND(D1580&lt;2000,D1580&gt;=1990),"90",AND(D1580&lt;2010,D1580&gt;=2000),"00",AND(D1580&lt;=2019,D1580&gt;=2010),"10"),"1908-1970")</f>
        <v>1908-1970</v>
      </c>
      <c r="F1580" s="3">
        <v>0.86458333333333337</v>
      </c>
      <c r="G1580" t="s">
        <v>11837</v>
      </c>
      <c r="H1580" t="s">
        <v>7883</v>
      </c>
      <c r="I1580">
        <v>307</v>
      </c>
      <c r="J1580" t="s">
        <v>11838</v>
      </c>
      <c r="K1580" t="s">
        <v>10428</v>
      </c>
      <c r="L1580" s="7" t="s">
        <v>11839</v>
      </c>
      <c r="M1580" t="s">
        <v>11840</v>
      </c>
      <c r="N1580">
        <v>22</v>
      </c>
      <c r="O1580">
        <v>14</v>
      </c>
      <c r="P1580">
        <v>8</v>
      </c>
      <c r="Q1580">
        <v>15</v>
      </c>
      <c r="R1580">
        <v>11</v>
      </c>
      <c r="S1580">
        <v>4</v>
      </c>
      <c r="T1580">
        <v>0</v>
      </c>
      <c r="U1580" t="s">
        <v>11841</v>
      </c>
      <c r="V1580">
        <f>Tabla1[[#This Row],[Aboard]]-Tabla1[[#This Row],[Fatalities]]</f>
        <v>7</v>
      </c>
      <c r="W1580" s="50">
        <f>IFERROR(Tabla1[[#This Row],[Fatalities]]/Tabla1[[#This Row],[Aboard]],0)</f>
        <v>0.68181818181818177</v>
      </c>
      <c r="X1580" s="51" t="str" cm="1">
        <f t="array" ref="X1580">_xlfn.IFS(Tabla1[[#This Row],[Porcentaje de muertes]]&lt;0.35,"LEVE",AND(Tabla1[[#This Row],[Porcentaje de muertes]]&gt;0.35,Tabla1[[#This Row],[Porcentaje de muertes]]&lt;0.65),"MEDIO",Tabla1[[#This Row],[Porcentaje de muertes]]&gt;0.65,"GRAVE")</f>
        <v>GRAVE</v>
      </c>
    </row>
    <row r="1581" spans="2:24" x14ac:dyDescent="0.3">
      <c r="B1581" s="9">
        <v>1580</v>
      </c>
      <c r="C1581" s="49">
        <v>20707</v>
      </c>
      <c r="D1581" s="9">
        <f>YEAR(Tabla1[[#This Row],[Date]])</f>
        <v>1956</v>
      </c>
      <c r="E1581" s="9" t="str" cm="1">
        <f t="array" ref="E1581">IFERROR(_xlfn.IFS(AND(D1581&lt;1980,D1581&gt;=1970),"70",AND(D1581&lt;1990,D1581&gt;=1980),"80",AND(D1581&lt;2000,D1581&gt;=1990),"90",AND(D1581&lt;2010,D1581&gt;=2000),"00",AND(D1581&lt;=2019,D1581&gt;=2010),"10"),"1908-1970")</f>
        <v>1908-1970</v>
      </c>
      <c r="F1581" s="3">
        <v>0.60555555555555551</v>
      </c>
      <c r="G1581" t="s">
        <v>11842</v>
      </c>
      <c r="H1581" t="s">
        <v>11843</v>
      </c>
      <c r="I1581">
        <v>190</v>
      </c>
      <c r="J1581" t="s">
        <v>11844</v>
      </c>
      <c r="K1581" t="s">
        <v>11845</v>
      </c>
      <c r="L1581" s="7" t="s">
        <v>11846</v>
      </c>
      <c r="M1581" t="s">
        <v>11847</v>
      </c>
      <c r="N1581">
        <v>18</v>
      </c>
      <c r="O1581">
        <v>14</v>
      </c>
      <c r="P1581">
        <v>4</v>
      </c>
      <c r="Q1581">
        <v>0</v>
      </c>
      <c r="R1581">
        <v>0</v>
      </c>
      <c r="S1581">
        <v>0</v>
      </c>
      <c r="T1581">
        <v>0</v>
      </c>
      <c r="U1581" t="s">
        <v>11848</v>
      </c>
      <c r="V1581">
        <f>Tabla1[[#This Row],[Aboard]]-Tabla1[[#This Row],[Fatalities]]</f>
        <v>18</v>
      </c>
      <c r="W1581" s="50">
        <f>IFERROR(Tabla1[[#This Row],[Fatalities]]/Tabla1[[#This Row],[Aboard]],0)</f>
        <v>0</v>
      </c>
      <c r="X1581" s="51" t="str" cm="1">
        <f t="array" ref="X1581">_xlfn.IFS(Tabla1[[#This Row],[Porcentaje de muertes]]&lt;0.35,"LEVE",AND(Tabla1[[#This Row],[Porcentaje de muertes]]&gt;0.35,Tabla1[[#This Row],[Porcentaje de muertes]]&lt;0.65),"MEDIO",Tabla1[[#This Row],[Porcentaje de muertes]]&gt;0.65,"GRAVE")</f>
        <v>LEVE</v>
      </c>
    </row>
    <row r="1582" spans="2:24" x14ac:dyDescent="0.3">
      <c r="B1582" s="9">
        <v>1581</v>
      </c>
      <c r="C1582" s="49">
        <v>20707</v>
      </c>
      <c r="D1582" s="9">
        <f>YEAR(Tabla1[[#This Row],[Date]])</f>
        <v>1956</v>
      </c>
      <c r="E1582" s="9" t="str" cm="1">
        <f t="array" ref="E1582">IFERROR(_xlfn.IFS(AND(D1582&lt;1980,D1582&gt;=1970),"70",AND(D1582&lt;1990,D1582&gt;=1980),"80",AND(D1582&lt;2000,D1582&gt;=1990),"90",AND(D1582&lt;2010,D1582&gt;=2000),"00",AND(D1582&lt;=2019,D1582&gt;=2010),"10"),"1908-1970")</f>
        <v>1908-1970</v>
      </c>
      <c r="F1582" s="3" t="s">
        <v>28931</v>
      </c>
      <c r="G1582" t="s">
        <v>11849</v>
      </c>
      <c r="H1582" t="s">
        <v>11850</v>
      </c>
      <c r="I1582" t="s">
        <v>28931</v>
      </c>
      <c r="J1582" t="s">
        <v>11851</v>
      </c>
      <c r="K1582" t="s">
        <v>11852</v>
      </c>
      <c r="L1582" s="7" t="s">
        <v>11853</v>
      </c>
      <c r="M1582">
        <v>27069</v>
      </c>
      <c r="N1582">
        <v>57</v>
      </c>
      <c r="O1582">
        <v>53</v>
      </c>
      <c r="P1582">
        <v>4</v>
      </c>
      <c r="Q1582">
        <v>1</v>
      </c>
      <c r="R1582">
        <v>1</v>
      </c>
      <c r="S1582">
        <v>0</v>
      </c>
      <c r="T1582">
        <v>0</v>
      </c>
      <c r="U1582" t="s">
        <v>11854</v>
      </c>
      <c r="V1582">
        <f>Tabla1[[#This Row],[Aboard]]-Tabla1[[#This Row],[Fatalities]]</f>
        <v>56</v>
      </c>
      <c r="W1582" s="50">
        <f>IFERROR(Tabla1[[#This Row],[Fatalities]]/Tabla1[[#This Row],[Aboard]],0)</f>
        <v>1.7543859649122806E-2</v>
      </c>
      <c r="X1582" s="51" t="str" cm="1">
        <f t="array" ref="X1582">_xlfn.IFS(Tabla1[[#This Row],[Porcentaje de muertes]]&lt;0.35,"LEVE",AND(Tabla1[[#This Row],[Porcentaje de muertes]]&gt;0.35,Tabla1[[#This Row],[Porcentaje de muertes]]&lt;0.65),"MEDIO",Tabla1[[#This Row],[Porcentaje de muertes]]&gt;0.65,"GRAVE")</f>
        <v>LEVE</v>
      </c>
    </row>
    <row r="1583" spans="2:24" x14ac:dyDescent="0.3">
      <c r="B1583" s="9">
        <v>1582</v>
      </c>
      <c r="C1583" s="49">
        <v>20495</v>
      </c>
      <c r="D1583" s="9">
        <f>YEAR(Tabla1[[#This Row],[Date]])</f>
        <v>1956</v>
      </c>
      <c r="E1583" s="9" t="str" cm="1">
        <f t="array" ref="E1583">IFERROR(_xlfn.IFS(AND(D1583&lt;1980,D1583&gt;=1970),"70",AND(D1583&lt;1990,D1583&gt;=1980),"80",AND(D1583&lt;2000,D1583&gt;=1990),"90",AND(D1583&lt;2010,D1583&gt;=2000),"00",AND(D1583&lt;=2019,D1583&gt;=2010),"10"),"1908-1970")</f>
        <v>1908-1970</v>
      </c>
      <c r="F1583" s="3">
        <v>0.76736111111111116</v>
      </c>
      <c r="G1583" t="s">
        <v>8084</v>
      </c>
      <c r="H1583" t="s">
        <v>9289</v>
      </c>
      <c r="I1583">
        <v>701</v>
      </c>
      <c r="J1583" t="s">
        <v>11855</v>
      </c>
      <c r="K1583" t="s">
        <v>11856</v>
      </c>
      <c r="L1583" s="7" t="s">
        <v>11857</v>
      </c>
      <c r="M1583" t="s">
        <v>11858</v>
      </c>
      <c r="N1583">
        <v>5</v>
      </c>
      <c r="O1583">
        <v>4</v>
      </c>
      <c r="P1583">
        <v>1</v>
      </c>
      <c r="Q1583">
        <v>5</v>
      </c>
      <c r="R1583">
        <v>4</v>
      </c>
      <c r="S1583">
        <v>1</v>
      </c>
      <c r="T1583">
        <v>0</v>
      </c>
      <c r="U1583" t="s">
        <v>11859</v>
      </c>
      <c r="V1583">
        <f>Tabla1[[#This Row],[Aboard]]-Tabla1[[#This Row],[Fatalities]]</f>
        <v>0</v>
      </c>
      <c r="W1583" s="50">
        <f>IFERROR(Tabla1[[#This Row],[Fatalities]]/Tabla1[[#This Row],[Aboard]],0)</f>
        <v>1</v>
      </c>
      <c r="X1583" s="51" t="str" cm="1">
        <f t="array" ref="X1583">_xlfn.IFS(Tabla1[[#This Row],[Porcentaje de muertes]]&lt;0.35,"LEVE",AND(Tabla1[[#This Row],[Porcentaje de muertes]]&gt;0.35,Tabla1[[#This Row],[Porcentaje de muertes]]&lt;0.65),"MEDIO",Tabla1[[#This Row],[Porcentaje de muertes]]&gt;0.65,"GRAVE")</f>
        <v>GRAVE</v>
      </c>
    </row>
    <row r="1584" spans="2:24" x14ac:dyDescent="0.3">
      <c r="B1584" s="9">
        <v>1583</v>
      </c>
      <c r="C1584" s="49">
        <v>20738</v>
      </c>
      <c r="D1584" s="9">
        <f>YEAR(Tabla1[[#This Row],[Date]])</f>
        <v>1956</v>
      </c>
      <c r="E1584" s="9" t="str" cm="1">
        <f t="array" ref="E1584">IFERROR(_xlfn.IFS(AND(D1584&lt;1980,D1584&gt;=1970),"70",AND(D1584&lt;1990,D1584&gt;=1980),"80",AND(D1584&lt;2000,D1584&gt;=1990),"90",AND(D1584&lt;2010,D1584&gt;=2000),"00",AND(D1584&lt;=2019,D1584&gt;=2010),"10"),"1908-1970")</f>
        <v>1908-1970</v>
      </c>
      <c r="F1584" s="3">
        <v>0.92361111111111116</v>
      </c>
      <c r="G1584" t="s">
        <v>11860</v>
      </c>
      <c r="H1584" t="s">
        <v>5027</v>
      </c>
      <c r="I1584" t="s">
        <v>28931</v>
      </c>
      <c r="J1584" t="s">
        <v>11861</v>
      </c>
      <c r="K1584" t="s">
        <v>11862</v>
      </c>
      <c r="L1584" s="7">
        <v>1311588</v>
      </c>
      <c r="M1584" t="s">
        <v>11863</v>
      </c>
      <c r="N1584">
        <v>59</v>
      </c>
      <c r="O1584">
        <v>50</v>
      </c>
      <c r="P1584">
        <v>9</v>
      </c>
      <c r="Q1584">
        <v>59</v>
      </c>
      <c r="R1584">
        <v>50</v>
      </c>
      <c r="S1584">
        <v>9</v>
      </c>
      <c r="T1584">
        <v>0</v>
      </c>
      <c r="U1584" t="s">
        <v>11864</v>
      </c>
      <c r="V1584">
        <f>Tabla1[[#This Row],[Aboard]]-Tabla1[[#This Row],[Fatalities]]</f>
        <v>0</v>
      </c>
      <c r="W1584" s="50">
        <f>IFERROR(Tabla1[[#This Row],[Fatalities]]/Tabla1[[#This Row],[Aboard]],0)</f>
        <v>1</v>
      </c>
      <c r="X1584" s="51" t="str" cm="1">
        <f t="array" ref="X1584">_xlfn.IFS(Tabla1[[#This Row],[Porcentaje de muertes]]&lt;0.35,"LEVE",AND(Tabla1[[#This Row],[Porcentaje de muertes]]&gt;0.35,Tabla1[[#This Row],[Porcentaje de muertes]]&lt;0.65),"MEDIO",Tabla1[[#This Row],[Porcentaje de muertes]]&gt;0.65,"GRAVE")</f>
        <v>GRAVE</v>
      </c>
    </row>
    <row r="1585" spans="2:24" x14ac:dyDescent="0.3">
      <c r="B1585" s="9">
        <v>1584</v>
      </c>
      <c r="C1585" s="49">
        <v>20744</v>
      </c>
      <c r="D1585" s="9">
        <f>YEAR(Tabla1[[#This Row],[Date]])</f>
        <v>1956</v>
      </c>
      <c r="E1585" s="9" t="str" cm="1">
        <f t="array" ref="E1585">IFERROR(_xlfn.IFS(AND(D1585&lt;1980,D1585&gt;=1970),"70",AND(D1585&lt;1990,D1585&gt;=1980),"80",AND(D1585&lt;2000,D1585&gt;=1990),"90",AND(D1585&lt;2010,D1585&gt;=2000),"00",AND(D1585&lt;=2019,D1585&gt;=2010),"10"),"1908-1970")</f>
        <v>1908-1970</v>
      </c>
      <c r="F1585" s="3">
        <v>0.26041666666666669</v>
      </c>
      <c r="G1585" t="s">
        <v>11865</v>
      </c>
      <c r="H1585" t="s">
        <v>7121</v>
      </c>
      <c r="I1585">
        <v>943</v>
      </c>
      <c r="J1585" t="s">
        <v>7904</v>
      </c>
      <c r="K1585" t="s">
        <v>10769</v>
      </c>
      <c r="L1585" s="7" t="s">
        <v>11866</v>
      </c>
      <c r="M1585">
        <v>15959</v>
      </c>
      <c r="N1585">
        <v>31</v>
      </c>
      <c r="O1585">
        <v>24</v>
      </c>
      <c r="P1585">
        <v>7</v>
      </c>
      <c r="Q1585">
        <v>0</v>
      </c>
      <c r="R1585">
        <v>0</v>
      </c>
      <c r="S1585">
        <v>0</v>
      </c>
      <c r="T1585">
        <v>0</v>
      </c>
      <c r="U1585" t="s">
        <v>11867</v>
      </c>
      <c r="V1585">
        <f>Tabla1[[#This Row],[Aboard]]-Tabla1[[#This Row],[Fatalities]]</f>
        <v>31</v>
      </c>
      <c r="W1585" s="50">
        <f>IFERROR(Tabla1[[#This Row],[Fatalities]]/Tabla1[[#This Row],[Aboard]],0)</f>
        <v>0</v>
      </c>
      <c r="X1585" s="51" t="str" cm="1">
        <f t="array" ref="X1585">_xlfn.IFS(Tabla1[[#This Row],[Porcentaje de muertes]]&lt;0.35,"LEVE",AND(Tabla1[[#This Row],[Porcentaje de muertes]]&gt;0.35,Tabla1[[#This Row],[Porcentaje de muertes]]&lt;0.65),"MEDIO",Tabla1[[#This Row],[Porcentaje de muertes]]&gt;0.65,"GRAVE")</f>
        <v>LEVE</v>
      </c>
    </row>
    <row r="1586" spans="2:24" x14ac:dyDescent="0.3">
      <c r="B1586" s="9">
        <v>1585</v>
      </c>
      <c r="C1586" s="49">
        <v>20747</v>
      </c>
      <c r="D1586" s="9">
        <f>YEAR(Tabla1[[#This Row],[Date]])</f>
        <v>1956</v>
      </c>
      <c r="E1586" s="9" t="str" cm="1">
        <f t="array" ref="E1586">IFERROR(_xlfn.IFS(AND(D1586&lt;1980,D1586&gt;=1970),"70",AND(D1586&lt;1990,D1586&gt;=1980),"80",AND(D1586&lt;2000,D1586&gt;=1990),"90",AND(D1586&lt;2010,D1586&gt;=2000),"00",AND(D1586&lt;=2019,D1586&gt;=2010),"10"),"1908-1970")</f>
        <v>1908-1970</v>
      </c>
      <c r="F1586" s="3" t="s">
        <v>28931</v>
      </c>
      <c r="G1586" t="s">
        <v>10699</v>
      </c>
      <c r="H1586" t="s">
        <v>11150</v>
      </c>
      <c r="I1586" t="s">
        <v>28931</v>
      </c>
      <c r="J1586" t="s">
        <v>28931</v>
      </c>
      <c r="K1586" t="s">
        <v>7057</v>
      </c>
      <c r="L1586" s="7" t="s">
        <v>11868</v>
      </c>
      <c r="M1586" t="s">
        <v>11869</v>
      </c>
      <c r="N1586">
        <v>3</v>
      </c>
      <c r="O1586">
        <v>0</v>
      </c>
      <c r="P1586">
        <v>3</v>
      </c>
      <c r="Q1586">
        <v>3</v>
      </c>
      <c r="R1586">
        <v>0</v>
      </c>
      <c r="S1586">
        <v>3</v>
      </c>
      <c r="T1586">
        <v>0</v>
      </c>
      <c r="U1586" t="s">
        <v>11870</v>
      </c>
      <c r="V1586">
        <f>Tabla1[[#This Row],[Aboard]]-Tabla1[[#This Row],[Fatalities]]</f>
        <v>0</v>
      </c>
      <c r="W1586" s="50">
        <f>IFERROR(Tabla1[[#This Row],[Fatalities]]/Tabla1[[#This Row],[Aboard]],0)</f>
        <v>1</v>
      </c>
      <c r="X1586" s="51" t="str" cm="1">
        <f t="array" ref="X1586">_xlfn.IFS(Tabla1[[#This Row],[Porcentaje de muertes]]&lt;0.35,"LEVE",AND(Tabla1[[#This Row],[Porcentaje de muertes]]&gt;0.35,Tabla1[[#This Row],[Porcentaje de muertes]]&lt;0.65),"MEDIO",Tabla1[[#This Row],[Porcentaje de muertes]]&gt;0.65,"GRAVE")</f>
        <v>GRAVE</v>
      </c>
    </row>
    <row r="1587" spans="2:24" x14ac:dyDescent="0.3">
      <c r="B1587" s="9">
        <v>1586</v>
      </c>
      <c r="C1587" s="49">
        <v>20756</v>
      </c>
      <c r="D1587" s="9">
        <f>YEAR(Tabla1[[#This Row],[Date]])</f>
        <v>1956</v>
      </c>
      <c r="E1587" s="9" t="str" cm="1">
        <f t="array" ref="E1587">IFERROR(_xlfn.IFS(AND(D1587&lt;1980,D1587&gt;=1970),"70",AND(D1587&lt;1990,D1587&gt;=1980),"80",AND(D1587&lt;2000,D1587&gt;=1990),"90",AND(D1587&lt;2010,D1587&gt;=2000),"00",AND(D1587&lt;=2019,D1587&gt;=2010),"10"),"1908-1970")</f>
        <v>1908-1970</v>
      </c>
      <c r="F1587" s="3">
        <v>0.91666666666666663</v>
      </c>
      <c r="G1587" t="s">
        <v>5321</v>
      </c>
      <c r="H1587" t="s">
        <v>10912</v>
      </c>
      <c r="I1587" t="s">
        <v>28931</v>
      </c>
      <c r="J1587" t="s">
        <v>11871</v>
      </c>
      <c r="K1587" t="s">
        <v>8697</v>
      </c>
      <c r="L1587" s="7" t="s">
        <v>11872</v>
      </c>
      <c r="M1587" t="s">
        <v>28931</v>
      </c>
      <c r="N1587">
        <v>16</v>
      </c>
      <c r="O1587">
        <v>12</v>
      </c>
      <c r="P1587">
        <v>4</v>
      </c>
      <c r="Q1587">
        <v>16</v>
      </c>
      <c r="R1587">
        <v>12</v>
      </c>
      <c r="S1587">
        <v>4</v>
      </c>
      <c r="T1587">
        <v>0</v>
      </c>
      <c r="U1587" t="s">
        <v>11873</v>
      </c>
      <c r="V1587">
        <f>Tabla1[[#This Row],[Aboard]]-Tabla1[[#This Row],[Fatalities]]</f>
        <v>0</v>
      </c>
      <c r="W1587" s="50">
        <f>IFERROR(Tabla1[[#This Row],[Fatalities]]/Tabla1[[#This Row],[Aboard]],0)</f>
        <v>1</v>
      </c>
      <c r="X1587" s="51" t="str" cm="1">
        <f t="array" ref="X1587">_xlfn.IFS(Tabla1[[#This Row],[Porcentaje de muertes]]&lt;0.35,"LEVE",AND(Tabla1[[#This Row],[Porcentaje de muertes]]&gt;0.35,Tabla1[[#This Row],[Porcentaje de muertes]]&lt;0.65),"MEDIO",Tabla1[[#This Row],[Porcentaje de muertes]]&gt;0.65,"GRAVE")</f>
        <v>GRAVE</v>
      </c>
    </row>
    <row r="1588" spans="2:24" x14ac:dyDescent="0.3">
      <c r="B1588" s="9">
        <v>1587</v>
      </c>
      <c r="C1588" s="49">
        <v>20586</v>
      </c>
      <c r="D1588" s="9">
        <f>YEAR(Tabla1[[#This Row],[Date]])</f>
        <v>1956</v>
      </c>
      <c r="E1588" s="9" t="str" cm="1">
        <f t="array" ref="E1588">IFERROR(_xlfn.IFS(AND(D1588&lt;1980,D1588&gt;=1970),"70",AND(D1588&lt;1990,D1588&gt;=1980),"80",AND(D1588&lt;2000,D1588&gt;=1990),"90",AND(D1588&lt;2010,D1588&gt;=2000),"00",AND(D1588&lt;=2019,D1588&gt;=2010),"10"),"1908-1970")</f>
        <v>1908-1970</v>
      </c>
      <c r="F1588" s="3">
        <v>0.99444444444444446</v>
      </c>
      <c r="G1588" t="s">
        <v>11874</v>
      </c>
      <c r="H1588" t="s">
        <v>11875</v>
      </c>
      <c r="I1588" t="s">
        <v>28931</v>
      </c>
      <c r="J1588" t="s">
        <v>11876</v>
      </c>
      <c r="K1588" t="s">
        <v>11877</v>
      </c>
      <c r="L1588" s="7" t="s">
        <v>11878</v>
      </c>
      <c r="M1588" t="s">
        <v>11879</v>
      </c>
      <c r="N1588">
        <v>80</v>
      </c>
      <c r="O1588">
        <v>74</v>
      </c>
      <c r="P1588">
        <v>6</v>
      </c>
      <c r="Q1588">
        <v>7</v>
      </c>
      <c r="R1588">
        <v>5</v>
      </c>
      <c r="S1588">
        <v>2</v>
      </c>
      <c r="T1588">
        <v>0</v>
      </c>
      <c r="U1588" t="s">
        <v>11880</v>
      </c>
      <c r="V1588">
        <f>Tabla1[[#This Row],[Aboard]]-Tabla1[[#This Row],[Fatalities]]</f>
        <v>73</v>
      </c>
      <c r="W1588" s="50">
        <f>IFERROR(Tabla1[[#This Row],[Fatalities]]/Tabla1[[#This Row],[Aboard]],0)</f>
        <v>8.7499999999999994E-2</v>
      </c>
      <c r="X1588" s="51" t="str" cm="1">
        <f t="array" ref="X1588">_xlfn.IFS(Tabla1[[#This Row],[Porcentaje de muertes]]&lt;0.35,"LEVE",AND(Tabla1[[#This Row],[Porcentaje de muertes]]&gt;0.35,Tabla1[[#This Row],[Porcentaje de muertes]]&lt;0.65),"MEDIO",Tabla1[[#This Row],[Porcentaje de muertes]]&gt;0.65,"GRAVE")</f>
        <v>LEVE</v>
      </c>
    </row>
    <row r="1589" spans="2:24" x14ac:dyDescent="0.3">
      <c r="B1589" s="9">
        <v>1588</v>
      </c>
      <c r="C1589" s="49">
        <v>20647</v>
      </c>
      <c r="D1589" s="9">
        <f>YEAR(Tabla1[[#This Row],[Date]])</f>
        <v>1956</v>
      </c>
      <c r="E1589" s="9" t="str" cm="1">
        <f t="array" ref="E1589">IFERROR(_xlfn.IFS(AND(D1589&lt;1980,D1589&gt;=1970),"70",AND(D1589&lt;1990,D1589&gt;=1980),"80",AND(D1589&lt;2000,D1589&gt;=1990),"90",AND(D1589&lt;2010,D1589&gt;=2000),"00",AND(D1589&lt;=2019,D1589&gt;=2010),"10"),"1908-1970")</f>
        <v>1908-1970</v>
      </c>
      <c r="F1589" s="3">
        <v>0.40972222222222227</v>
      </c>
      <c r="G1589" t="s">
        <v>11881</v>
      </c>
      <c r="H1589" t="s">
        <v>11882</v>
      </c>
      <c r="I1589" t="s">
        <v>28931</v>
      </c>
      <c r="J1589" t="s">
        <v>11883</v>
      </c>
      <c r="K1589" t="s">
        <v>11884</v>
      </c>
      <c r="L1589" s="7" t="s">
        <v>11885</v>
      </c>
      <c r="M1589">
        <v>14093</v>
      </c>
      <c r="N1589">
        <v>12</v>
      </c>
      <c r="O1589">
        <v>10</v>
      </c>
      <c r="P1589">
        <v>2</v>
      </c>
      <c r="Q1589">
        <v>2</v>
      </c>
      <c r="R1589">
        <v>1</v>
      </c>
      <c r="S1589">
        <v>1</v>
      </c>
      <c r="T1589">
        <v>0</v>
      </c>
      <c r="U1589" t="s">
        <v>11886</v>
      </c>
      <c r="V1589">
        <f>Tabla1[[#This Row],[Aboard]]-Tabla1[[#This Row],[Fatalities]]</f>
        <v>10</v>
      </c>
      <c r="W1589" s="50">
        <f>IFERROR(Tabla1[[#This Row],[Fatalities]]/Tabla1[[#This Row],[Aboard]],0)</f>
        <v>0.16666666666666666</v>
      </c>
      <c r="X1589" s="51" t="str" cm="1">
        <f t="array" ref="X1589">_xlfn.IFS(Tabla1[[#This Row],[Porcentaje de muertes]]&lt;0.35,"LEVE",AND(Tabla1[[#This Row],[Porcentaje de muertes]]&gt;0.35,Tabla1[[#This Row],[Porcentaje de muertes]]&lt;0.65),"MEDIO",Tabla1[[#This Row],[Porcentaje de muertes]]&gt;0.65,"GRAVE")</f>
        <v>LEVE</v>
      </c>
    </row>
    <row r="1590" spans="2:24" x14ac:dyDescent="0.3">
      <c r="B1590" s="9">
        <v>1589</v>
      </c>
      <c r="C1590" s="49">
        <v>20774</v>
      </c>
      <c r="D1590" s="9">
        <f>YEAR(Tabla1[[#This Row],[Date]])</f>
        <v>1956</v>
      </c>
      <c r="E1590" s="9" t="str" cm="1">
        <f t="array" ref="E1590">IFERROR(_xlfn.IFS(AND(D1590&lt;1980,D1590&gt;=1970),"70",AND(D1590&lt;1990,D1590&gt;=1980),"80",AND(D1590&lt;2000,D1590&gt;=1990),"90",AND(D1590&lt;2010,D1590&gt;=2000),"00",AND(D1590&lt;=2019,D1590&gt;=2010),"10"),"1908-1970")</f>
        <v>1908-1970</v>
      </c>
      <c r="F1590" s="3">
        <v>0.62013888888888891</v>
      </c>
      <c r="G1590" t="s">
        <v>11887</v>
      </c>
      <c r="H1590" t="s">
        <v>11888</v>
      </c>
      <c r="I1590" t="s">
        <v>28931</v>
      </c>
      <c r="J1590" t="s">
        <v>11889</v>
      </c>
      <c r="K1590" t="s">
        <v>11890</v>
      </c>
      <c r="L1590" s="7" t="s">
        <v>11891</v>
      </c>
      <c r="M1590">
        <v>10324</v>
      </c>
      <c r="N1590">
        <v>25</v>
      </c>
      <c r="O1590">
        <v>20</v>
      </c>
      <c r="P1590">
        <v>5</v>
      </c>
      <c r="Q1590">
        <v>25</v>
      </c>
      <c r="R1590">
        <v>20</v>
      </c>
      <c r="S1590">
        <v>5</v>
      </c>
      <c r="T1590">
        <v>0</v>
      </c>
      <c r="U1590" t="s">
        <v>11892</v>
      </c>
      <c r="V1590">
        <f>Tabla1[[#This Row],[Aboard]]-Tabla1[[#This Row],[Fatalities]]</f>
        <v>0</v>
      </c>
      <c r="W1590" s="50">
        <f>IFERROR(Tabla1[[#This Row],[Fatalities]]/Tabla1[[#This Row],[Aboard]],0)</f>
        <v>1</v>
      </c>
      <c r="X1590" s="51" t="str" cm="1">
        <f t="array" ref="X1590">_xlfn.IFS(Tabla1[[#This Row],[Porcentaje de muertes]]&lt;0.35,"LEVE",AND(Tabla1[[#This Row],[Porcentaje de muertes]]&gt;0.35,Tabla1[[#This Row],[Porcentaje de muertes]]&lt;0.65),"MEDIO",Tabla1[[#This Row],[Porcentaje de muertes]]&gt;0.65,"GRAVE")</f>
        <v>GRAVE</v>
      </c>
    </row>
    <row r="1591" spans="2:24" x14ac:dyDescent="0.3">
      <c r="B1591" s="9">
        <v>1590</v>
      </c>
      <c r="C1591" s="49">
        <v>20776</v>
      </c>
      <c r="D1591" s="9">
        <f>YEAR(Tabla1[[#This Row],[Date]])</f>
        <v>1956</v>
      </c>
      <c r="E1591" s="9" t="str" cm="1">
        <f t="array" ref="E1591">IFERROR(_xlfn.IFS(AND(D1591&lt;1980,D1591&gt;=1970),"70",AND(D1591&lt;1990,D1591&gt;=1980),"80",AND(D1591&lt;2000,D1591&gt;=1990),"90",AND(D1591&lt;2010,D1591&gt;=2000),"00",AND(D1591&lt;=2019,D1591&gt;=2010),"10"),"1908-1970")</f>
        <v>1908-1970</v>
      </c>
      <c r="F1591" s="3">
        <v>0.69791666666666663</v>
      </c>
      <c r="G1591" t="s">
        <v>11893</v>
      </c>
      <c r="H1591" t="s">
        <v>11894</v>
      </c>
      <c r="I1591" t="s">
        <v>28931</v>
      </c>
      <c r="J1591" t="s">
        <v>11895</v>
      </c>
      <c r="K1591" t="s">
        <v>7057</v>
      </c>
      <c r="L1591" s="7" t="s">
        <v>11896</v>
      </c>
      <c r="M1591">
        <v>1971</v>
      </c>
      <c r="N1591">
        <v>36</v>
      </c>
      <c r="O1591">
        <v>33</v>
      </c>
      <c r="P1591">
        <v>3</v>
      </c>
      <c r="Q1591">
        <v>36</v>
      </c>
      <c r="R1591">
        <v>33</v>
      </c>
      <c r="S1591">
        <v>3</v>
      </c>
      <c r="T1591">
        <v>0</v>
      </c>
      <c r="U1591" t="s">
        <v>11897</v>
      </c>
      <c r="V1591">
        <f>Tabla1[[#This Row],[Aboard]]-Tabla1[[#This Row],[Fatalities]]</f>
        <v>0</v>
      </c>
      <c r="W1591" s="50">
        <f>IFERROR(Tabla1[[#This Row],[Fatalities]]/Tabla1[[#This Row],[Aboard]],0)</f>
        <v>1</v>
      </c>
      <c r="X1591" s="51" t="str" cm="1">
        <f t="array" ref="X1591">_xlfn.IFS(Tabla1[[#This Row],[Porcentaje de muertes]]&lt;0.35,"LEVE",AND(Tabla1[[#This Row],[Porcentaje de muertes]]&gt;0.35,Tabla1[[#This Row],[Porcentaje de muertes]]&lt;0.65),"MEDIO",Tabla1[[#This Row],[Porcentaje de muertes]]&gt;0.65,"GRAVE")</f>
        <v>GRAVE</v>
      </c>
    </row>
    <row r="1592" spans="2:24" x14ac:dyDescent="0.3">
      <c r="B1592" s="9">
        <v>1591</v>
      </c>
      <c r="C1592" s="49">
        <v>20783</v>
      </c>
      <c r="D1592" s="9">
        <f>YEAR(Tabla1[[#This Row],[Date]])</f>
        <v>1956</v>
      </c>
      <c r="E1592" s="9" t="str" cm="1">
        <f t="array" ref="E1592">IFERROR(_xlfn.IFS(AND(D1592&lt;1980,D1592&gt;=1970),"70",AND(D1592&lt;1990,D1592&gt;=1980),"80",AND(D1592&lt;2000,D1592&gt;=1990),"90",AND(D1592&lt;2010,D1592&gt;=2000),"00",AND(D1592&lt;=2019,D1592&gt;=2010),"10"),"1908-1970")</f>
        <v>1908-1970</v>
      </c>
      <c r="F1592" s="3">
        <v>1.2499999999999999E-2</v>
      </c>
      <c r="G1592" t="s">
        <v>5211</v>
      </c>
      <c r="H1592" t="s">
        <v>7490</v>
      </c>
      <c r="I1592" t="s">
        <v>28931</v>
      </c>
      <c r="J1592" t="s">
        <v>11898</v>
      </c>
      <c r="K1592" t="s">
        <v>10428</v>
      </c>
      <c r="L1592" s="7" t="s">
        <v>11899</v>
      </c>
      <c r="M1592">
        <v>45075</v>
      </c>
      <c r="N1592">
        <v>35</v>
      </c>
      <c r="O1592">
        <v>25</v>
      </c>
      <c r="P1592">
        <v>10</v>
      </c>
      <c r="Q1592">
        <v>34</v>
      </c>
      <c r="R1592">
        <v>24</v>
      </c>
      <c r="S1592">
        <v>10</v>
      </c>
      <c r="T1592">
        <v>8</v>
      </c>
      <c r="U1592" t="s">
        <v>11900</v>
      </c>
      <c r="V1592">
        <f>Tabla1[[#This Row],[Aboard]]-Tabla1[[#This Row],[Fatalities]]</f>
        <v>1</v>
      </c>
      <c r="W1592" s="50">
        <f>IFERROR(Tabla1[[#This Row],[Fatalities]]/Tabla1[[#This Row],[Aboard]],0)</f>
        <v>0.97142857142857142</v>
      </c>
      <c r="X1592" s="51" t="str" cm="1">
        <f t="array" ref="X1592">_xlfn.IFS(Tabla1[[#This Row],[Porcentaje de muertes]]&lt;0.35,"LEVE",AND(Tabla1[[#This Row],[Porcentaje de muertes]]&gt;0.35,Tabla1[[#This Row],[Porcentaje de muertes]]&lt;0.65),"MEDIO",Tabla1[[#This Row],[Porcentaje de muertes]]&gt;0.65,"GRAVE")</f>
        <v>GRAVE</v>
      </c>
    </row>
    <row r="1593" spans="2:24" x14ac:dyDescent="0.3">
      <c r="B1593" s="9">
        <v>1592</v>
      </c>
      <c r="C1593" s="49">
        <v>20783</v>
      </c>
      <c r="D1593" s="9">
        <f>YEAR(Tabla1[[#This Row],[Date]])</f>
        <v>1956</v>
      </c>
      <c r="E1593" s="9" t="str" cm="1">
        <f t="array" ref="E1593">IFERROR(_xlfn.IFS(AND(D1593&lt;1980,D1593&gt;=1970),"70",AND(D1593&lt;1990,D1593&gt;=1980),"80",AND(D1593&lt;2000,D1593&gt;=1990),"90",AND(D1593&lt;2010,D1593&gt;=2000),"00",AND(D1593&lt;=2019,D1593&gt;=2010),"10"),"1908-1970")</f>
        <v>1908-1970</v>
      </c>
      <c r="F1593" s="3">
        <v>0.76388888888888884</v>
      </c>
      <c r="G1593" t="s">
        <v>11901</v>
      </c>
      <c r="H1593" t="s">
        <v>5951</v>
      </c>
      <c r="I1593" t="s">
        <v>28931</v>
      </c>
      <c r="J1593" t="s">
        <v>11902</v>
      </c>
      <c r="K1593" t="s">
        <v>11903</v>
      </c>
      <c r="L1593" s="7" t="s">
        <v>11904</v>
      </c>
      <c r="M1593">
        <v>93013517</v>
      </c>
      <c r="N1593">
        <v>23</v>
      </c>
      <c r="O1593">
        <v>18</v>
      </c>
      <c r="P1593">
        <v>5</v>
      </c>
      <c r="Q1593">
        <v>23</v>
      </c>
      <c r="R1593">
        <v>18</v>
      </c>
      <c r="S1593">
        <v>5</v>
      </c>
      <c r="T1593">
        <v>0</v>
      </c>
      <c r="U1593" t="s">
        <v>11905</v>
      </c>
      <c r="V1593">
        <f>Tabla1[[#This Row],[Aboard]]-Tabla1[[#This Row],[Fatalities]]</f>
        <v>0</v>
      </c>
      <c r="W1593" s="50">
        <f>IFERROR(Tabla1[[#This Row],[Fatalities]]/Tabla1[[#This Row],[Aboard]],0)</f>
        <v>1</v>
      </c>
      <c r="X1593" s="51" t="str" cm="1">
        <f t="array" ref="X1593">_xlfn.IFS(Tabla1[[#This Row],[Porcentaje de muertes]]&lt;0.35,"LEVE",AND(Tabla1[[#This Row],[Porcentaje de muertes]]&gt;0.35,Tabla1[[#This Row],[Porcentaje de muertes]]&lt;0.65),"MEDIO",Tabla1[[#This Row],[Porcentaje de muertes]]&gt;0.65,"GRAVE")</f>
        <v>GRAVE</v>
      </c>
    </row>
    <row r="1594" spans="2:24" x14ac:dyDescent="0.3">
      <c r="B1594" s="9">
        <v>1593</v>
      </c>
      <c r="C1594" s="49">
        <v>20786</v>
      </c>
      <c r="D1594" s="9">
        <f>YEAR(Tabla1[[#This Row],[Date]])</f>
        <v>1956</v>
      </c>
      <c r="E1594" s="9" t="str" cm="1">
        <f t="array" ref="E1594">IFERROR(_xlfn.IFS(AND(D1594&lt;1980,D1594&gt;=1970),"70",AND(D1594&lt;1990,D1594&gt;=1980),"80",AND(D1594&lt;2000,D1594&gt;=1990),"90",AND(D1594&lt;2010,D1594&gt;=2000),"00",AND(D1594&lt;=2019,D1594&gt;=2010),"10"),"1908-1970")</f>
        <v>1908-1970</v>
      </c>
      <c r="F1594" s="3">
        <v>0.34375</v>
      </c>
      <c r="G1594" t="s">
        <v>11906</v>
      </c>
      <c r="H1594" t="s">
        <v>9074</v>
      </c>
      <c r="I1594">
        <v>253</v>
      </c>
      <c r="J1594" t="s">
        <v>11907</v>
      </c>
      <c r="K1594" t="s">
        <v>11908</v>
      </c>
      <c r="L1594" s="7" t="s">
        <v>11909</v>
      </c>
      <c r="M1594">
        <v>2560</v>
      </c>
      <c r="N1594">
        <v>25</v>
      </c>
      <c r="O1594">
        <v>18</v>
      </c>
      <c r="P1594">
        <v>7</v>
      </c>
      <c r="Q1594">
        <v>25</v>
      </c>
      <c r="R1594">
        <v>18</v>
      </c>
      <c r="S1594">
        <v>7</v>
      </c>
      <c r="T1594">
        <v>0</v>
      </c>
      <c r="U1594" t="s">
        <v>11910</v>
      </c>
      <c r="V1594">
        <f>Tabla1[[#This Row],[Aboard]]-Tabla1[[#This Row],[Fatalities]]</f>
        <v>0</v>
      </c>
      <c r="W1594" s="50">
        <f>IFERROR(Tabla1[[#This Row],[Fatalities]]/Tabla1[[#This Row],[Aboard]],0)</f>
        <v>1</v>
      </c>
      <c r="X1594" s="51" t="str" cm="1">
        <f t="array" ref="X1594">_xlfn.IFS(Tabla1[[#This Row],[Porcentaje de muertes]]&lt;0.35,"LEVE",AND(Tabla1[[#This Row],[Porcentaje de muertes]]&gt;0.35,Tabla1[[#This Row],[Porcentaje de muertes]]&lt;0.65),"MEDIO",Tabla1[[#This Row],[Porcentaje de muertes]]&gt;0.65,"GRAVE")</f>
        <v>GRAVE</v>
      </c>
    </row>
    <row r="1595" spans="2:24" x14ac:dyDescent="0.3">
      <c r="B1595" s="9">
        <v>1594</v>
      </c>
      <c r="C1595" s="49">
        <v>20679</v>
      </c>
      <c r="D1595" s="9">
        <f>YEAR(Tabla1[[#This Row],[Date]])</f>
        <v>1956</v>
      </c>
      <c r="E1595" s="9" t="str" cm="1">
        <f t="array" ref="E1595">IFERROR(_xlfn.IFS(AND(D1595&lt;1980,D1595&gt;=1970),"70",AND(D1595&lt;1990,D1595&gt;=1980),"80",AND(D1595&lt;2000,D1595&gt;=1990),"90",AND(D1595&lt;2010,D1595&gt;=2000),"00",AND(D1595&lt;=2019,D1595&gt;=2010),"10"),"1908-1970")</f>
        <v>1908-1970</v>
      </c>
      <c r="F1595" s="3">
        <v>0.2951388888888889</v>
      </c>
      <c r="G1595" t="s">
        <v>11911</v>
      </c>
      <c r="H1595" t="s">
        <v>11912</v>
      </c>
      <c r="I1595" t="s">
        <v>28931</v>
      </c>
      <c r="J1595" t="s">
        <v>11913</v>
      </c>
      <c r="K1595" t="s">
        <v>9179</v>
      </c>
      <c r="L1595" s="7" t="s">
        <v>11914</v>
      </c>
      <c r="M1595" t="s">
        <v>28931</v>
      </c>
      <c r="N1595">
        <v>16</v>
      </c>
      <c r="O1595">
        <v>11</v>
      </c>
      <c r="P1595">
        <v>5</v>
      </c>
      <c r="Q1595">
        <v>14</v>
      </c>
      <c r="R1595">
        <v>10</v>
      </c>
      <c r="S1595">
        <v>4</v>
      </c>
      <c r="T1595">
        <v>0</v>
      </c>
      <c r="U1595" t="s">
        <v>11915</v>
      </c>
      <c r="V1595">
        <f>Tabla1[[#This Row],[Aboard]]-Tabla1[[#This Row],[Fatalities]]</f>
        <v>2</v>
      </c>
      <c r="W1595" s="50">
        <f>IFERROR(Tabla1[[#This Row],[Fatalities]]/Tabla1[[#This Row],[Aboard]],0)</f>
        <v>0.875</v>
      </c>
      <c r="X1595" s="51" t="str" cm="1">
        <f t="array" ref="X1595">_xlfn.IFS(Tabla1[[#This Row],[Porcentaje de muertes]]&lt;0.35,"LEVE",AND(Tabla1[[#This Row],[Porcentaje de muertes]]&gt;0.35,Tabla1[[#This Row],[Porcentaje de muertes]]&lt;0.65),"MEDIO",Tabla1[[#This Row],[Porcentaje de muertes]]&gt;0.65,"GRAVE")</f>
        <v>GRAVE</v>
      </c>
    </row>
    <row r="1596" spans="2:24" x14ac:dyDescent="0.3">
      <c r="B1596" s="9">
        <v>1595</v>
      </c>
      <c r="C1596" s="49">
        <v>20710</v>
      </c>
      <c r="D1596" s="9">
        <f>YEAR(Tabla1[[#This Row],[Date]])</f>
        <v>1956</v>
      </c>
      <c r="E1596" s="9" t="str" cm="1">
        <f t="array" ref="E1596">IFERROR(_xlfn.IFS(AND(D1596&lt;1980,D1596&gt;=1970),"70",AND(D1596&lt;1990,D1596&gt;=1980),"80",AND(D1596&lt;2000,D1596&gt;=1990),"90",AND(D1596&lt;2010,D1596&gt;=2000),"00",AND(D1596&lt;=2019,D1596&gt;=2010),"10"),"1908-1970")</f>
        <v>1908-1970</v>
      </c>
      <c r="F1596" s="3">
        <v>0.79861111111111116</v>
      </c>
      <c r="G1596" t="s">
        <v>7882</v>
      </c>
      <c r="H1596" t="s">
        <v>7329</v>
      </c>
      <c r="I1596" t="s">
        <v>11916</v>
      </c>
      <c r="J1596" t="s">
        <v>11917</v>
      </c>
      <c r="K1596" t="s">
        <v>11918</v>
      </c>
      <c r="L1596" s="7" t="s">
        <v>11919</v>
      </c>
      <c r="M1596">
        <v>128</v>
      </c>
      <c r="N1596">
        <v>62</v>
      </c>
      <c r="O1596">
        <v>59</v>
      </c>
      <c r="P1596">
        <v>3</v>
      </c>
      <c r="Q1596">
        <v>62</v>
      </c>
      <c r="R1596">
        <v>59</v>
      </c>
      <c r="S1596">
        <v>3</v>
      </c>
      <c r="T1596">
        <v>0</v>
      </c>
      <c r="U1596" t="s">
        <v>11920</v>
      </c>
      <c r="V1596">
        <f>Tabla1[[#This Row],[Aboard]]-Tabla1[[#This Row],[Fatalities]]</f>
        <v>0</v>
      </c>
      <c r="W1596" s="50">
        <f>IFERROR(Tabla1[[#This Row],[Fatalities]]/Tabla1[[#This Row],[Aboard]],0)</f>
        <v>1</v>
      </c>
      <c r="X1596" s="51" t="str" cm="1">
        <f t="array" ref="X1596">_xlfn.IFS(Tabla1[[#This Row],[Porcentaje de muertes]]&lt;0.35,"LEVE",AND(Tabla1[[#This Row],[Porcentaje de muertes]]&gt;0.35,Tabla1[[#This Row],[Porcentaje de muertes]]&lt;0.65),"MEDIO",Tabla1[[#This Row],[Porcentaje de muertes]]&gt;0.65,"GRAVE")</f>
        <v>GRAVE</v>
      </c>
    </row>
    <row r="1597" spans="2:24" x14ac:dyDescent="0.3">
      <c r="B1597" s="9">
        <v>1596</v>
      </c>
      <c r="C1597" s="49">
        <v>20801</v>
      </c>
      <c r="D1597" s="9">
        <f>YEAR(Tabla1[[#This Row],[Date]])</f>
        <v>1956</v>
      </c>
      <c r="E1597" s="9" t="str" cm="1">
        <f t="array" ref="E1597">IFERROR(_xlfn.IFS(AND(D1597&lt;1980,D1597&gt;=1970),"70",AND(D1597&lt;1990,D1597&gt;=1980),"80",AND(D1597&lt;2000,D1597&gt;=1990),"90",AND(D1597&lt;2010,D1597&gt;=2000),"00",AND(D1597&lt;=2019,D1597&gt;=2010),"10"),"1908-1970")</f>
        <v>1908-1970</v>
      </c>
      <c r="F1597" s="3">
        <v>0.375</v>
      </c>
      <c r="G1597" t="s">
        <v>11921</v>
      </c>
      <c r="H1597" t="s">
        <v>6375</v>
      </c>
      <c r="I1597" t="s">
        <v>28931</v>
      </c>
      <c r="J1597" t="s">
        <v>6190</v>
      </c>
      <c r="K1597" t="s">
        <v>11922</v>
      </c>
      <c r="L1597" s="7" t="s">
        <v>11923</v>
      </c>
      <c r="M1597">
        <v>8</v>
      </c>
      <c r="N1597">
        <v>5</v>
      </c>
      <c r="O1597">
        <v>0</v>
      </c>
      <c r="P1597">
        <v>5</v>
      </c>
      <c r="Q1597">
        <v>5</v>
      </c>
      <c r="R1597">
        <v>0</v>
      </c>
      <c r="S1597">
        <v>5</v>
      </c>
      <c r="T1597">
        <v>0</v>
      </c>
      <c r="U1597" t="s">
        <v>11924</v>
      </c>
      <c r="V1597">
        <f>Tabla1[[#This Row],[Aboard]]-Tabla1[[#This Row],[Fatalities]]</f>
        <v>0</v>
      </c>
      <c r="W1597" s="50">
        <f>IFERROR(Tabla1[[#This Row],[Fatalities]]/Tabla1[[#This Row],[Aboard]],0)</f>
        <v>1</v>
      </c>
      <c r="X1597" s="51" t="str" cm="1">
        <f t="array" ref="X1597">_xlfn.IFS(Tabla1[[#This Row],[Porcentaje de muertes]]&lt;0.35,"LEVE",AND(Tabla1[[#This Row],[Porcentaje de muertes]]&gt;0.35,Tabla1[[#This Row],[Porcentaje de muertes]]&lt;0.65),"MEDIO",Tabla1[[#This Row],[Porcentaje de muertes]]&gt;0.65,"GRAVE")</f>
        <v>GRAVE</v>
      </c>
    </row>
    <row r="1598" spans="2:24" x14ac:dyDescent="0.3">
      <c r="B1598" s="9">
        <v>1597</v>
      </c>
      <c r="C1598" s="49">
        <v>20811</v>
      </c>
      <c r="D1598" s="9">
        <f>YEAR(Tabla1[[#This Row],[Date]])</f>
        <v>1956</v>
      </c>
      <c r="E1598" s="9" t="str" cm="1">
        <f t="array" ref="E1598">IFERROR(_xlfn.IFS(AND(D1598&lt;1980,D1598&gt;=1970),"70",AND(D1598&lt;1990,D1598&gt;=1980),"80",AND(D1598&lt;2000,D1598&gt;=1990),"90",AND(D1598&lt;2010,D1598&gt;=2000),"00",AND(D1598&lt;=2019,D1598&gt;=2010),"10"),"1908-1970")</f>
        <v>1908-1970</v>
      </c>
      <c r="F1598" s="3">
        <v>0.87708333333333333</v>
      </c>
      <c r="G1598" t="s">
        <v>11925</v>
      </c>
      <c r="H1598" t="s">
        <v>9280</v>
      </c>
      <c r="I1598" t="s">
        <v>28931</v>
      </c>
      <c r="J1598" t="s">
        <v>11926</v>
      </c>
      <c r="K1598" t="s">
        <v>11644</v>
      </c>
      <c r="L1598" s="7" t="s">
        <v>11927</v>
      </c>
      <c r="M1598">
        <v>162</v>
      </c>
      <c r="N1598">
        <v>30</v>
      </c>
      <c r="O1598">
        <v>27</v>
      </c>
      <c r="P1598">
        <v>3</v>
      </c>
      <c r="Q1598">
        <v>3</v>
      </c>
      <c r="R1598">
        <v>1</v>
      </c>
      <c r="S1598">
        <v>2</v>
      </c>
      <c r="T1598">
        <v>0</v>
      </c>
      <c r="U1598" t="s">
        <v>11928</v>
      </c>
      <c r="V1598">
        <f>Tabla1[[#This Row],[Aboard]]-Tabla1[[#This Row],[Fatalities]]</f>
        <v>27</v>
      </c>
      <c r="W1598" s="50">
        <f>IFERROR(Tabla1[[#This Row],[Fatalities]]/Tabla1[[#This Row],[Aboard]],0)</f>
        <v>0.1</v>
      </c>
      <c r="X1598" s="51" t="str" cm="1">
        <f t="array" ref="X1598">_xlfn.IFS(Tabla1[[#This Row],[Porcentaje de muertes]]&lt;0.35,"LEVE",AND(Tabla1[[#This Row],[Porcentaje de muertes]]&gt;0.35,Tabla1[[#This Row],[Porcentaje de muertes]]&lt;0.65),"MEDIO",Tabla1[[#This Row],[Porcentaje de muertes]]&gt;0.65,"GRAVE")</f>
        <v>LEVE</v>
      </c>
    </row>
    <row r="1599" spans="2:24" x14ac:dyDescent="0.3">
      <c r="B1599" s="9">
        <v>1598</v>
      </c>
      <c r="C1599" s="49">
        <v>20811</v>
      </c>
      <c r="D1599" s="9">
        <f>YEAR(Tabla1[[#This Row],[Date]])</f>
        <v>1956</v>
      </c>
      <c r="E1599" s="9" t="str" cm="1">
        <f t="array" ref="E1599">IFERROR(_xlfn.IFS(AND(D1599&lt;1980,D1599&gt;=1970),"70",AND(D1599&lt;1990,D1599&gt;=1980),"80",AND(D1599&lt;2000,D1599&gt;=1990),"90",AND(D1599&lt;2010,D1599&gt;=2000),"00",AND(D1599&lt;=2019,D1599&gt;=2010),"10"),"1908-1970")</f>
        <v>1908-1970</v>
      </c>
      <c r="F1599" s="3">
        <v>0.76388888888888884</v>
      </c>
      <c r="G1599" t="s">
        <v>11929</v>
      </c>
      <c r="H1599" t="s">
        <v>7490</v>
      </c>
      <c r="I1599" t="s">
        <v>28931</v>
      </c>
      <c r="J1599" t="s">
        <v>11930</v>
      </c>
      <c r="K1599" t="s">
        <v>7057</v>
      </c>
      <c r="L1599" s="7" t="s">
        <v>11931</v>
      </c>
      <c r="M1599">
        <v>9101</v>
      </c>
      <c r="N1599">
        <v>21</v>
      </c>
      <c r="O1599">
        <v>17</v>
      </c>
      <c r="P1599">
        <v>4</v>
      </c>
      <c r="Q1599">
        <v>21</v>
      </c>
      <c r="R1599">
        <v>17</v>
      </c>
      <c r="S1599">
        <v>4</v>
      </c>
      <c r="T1599">
        <v>0</v>
      </c>
      <c r="U1599" t="s">
        <v>11932</v>
      </c>
      <c r="V1599">
        <f>Tabla1[[#This Row],[Aboard]]-Tabla1[[#This Row],[Fatalities]]</f>
        <v>0</v>
      </c>
      <c r="W1599" s="50">
        <f>IFERROR(Tabla1[[#This Row],[Fatalities]]/Tabla1[[#This Row],[Aboard]],0)</f>
        <v>1</v>
      </c>
      <c r="X1599" s="51" t="str" cm="1">
        <f t="array" ref="X1599">_xlfn.IFS(Tabla1[[#This Row],[Porcentaje de muertes]]&lt;0.35,"LEVE",AND(Tabla1[[#This Row],[Porcentaje de muertes]]&gt;0.35,Tabla1[[#This Row],[Porcentaje de muertes]]&lt;0.65),"MEDIO",Tabla1[[#This Row],[Porcentaje de muertes]]&gt;0.65,"GRAVE")</f>
        <v>GRAVE</v>
      </c>
    </row>
    <row r="1600" spans="2:24" x14ac:dyDescent="0.3">
      <c r="B1600" s="9">
        <v>1599</v>
      </c>
      <c r="C1600" s="49">
        <v>20820</v>
      </c>
      <c r="D1600" s="9">
        <f>YEAR(Tabla1[[#This Row],[Date]])</f>
        <v>1956</v>
      </c>
      <c r="E1600" s="9" t="str" cm="1">
        <f t="array" ref="E1600">IFERROR(_xlfn.IFS(AND(D1600&lt;1980,D1600&gt;=1970),"70",AND(D1600&lt;1990,D1600&gt;=1980),"80",AND(D1600&lt;2000,D1600&gt;=1990),"90",AND(D1600&lt;2010,D1600&gt;=2000),"00",AND(D1600&lt;=2019,D1600&gt;=2010),"10"),"1908-1970")</f>
        <v>1908-1970</v>
      </c>
      <c r="F1600" s="3">
        <v>2.7777777777777779E-3</v>
      </c>
      <c r="G1600" t="s">
        <v>11933</v>
      </c>
      <c r="H1600" t="s">
        <v>7987</v>
      </c>
      <c r="I1600" t="s">
        <v>28931</v>
      </c>
      <c r="J1600" t="s">
        <v>11934</v>
      </c>
      <c r="K1600" t="s">
        <v>11935</v>
      </c>
      <c r="L1600" s="7" t="s">
        <v>11936</v>
      </c>
      <c r="M1600">
        <v>4184</v>
      </c>
      <c r="N1600">
        <v>38</v>
      </c>
      <c r="O1600">
        <v>31</v>
      </c>
      <c r="P1600">
        <v>7</v>
      </c>
      <c r="Q1600">
        <v>12</v>
      </c>
      <c r="R1600">
        <v>12</v>
      </c>
      <c r="S1600">
        <v>0</v>
      </c>
      <c r="T1600">
        <v>0</v>
      </c>
      <c r="U1600" t="s">
        <v>11937</v>
      </c>
      <c r="V1600">
        <f>Tabla1[[#This Row],[Aboard]]-Tabla1[[#This Row],[Fatalities]]</f>
        <v>26</v>
      </c>
      <c r="W1600" s="50">
        <f>IFERROR(Tabla1[[#This Row],[Fatalities]]/Tabla1[[#This Row],[Aboard]],0)</f>
        <v>0.31578947368421051</v>
      </c>
      <c r="X1600" s="51" t="str" cm="1">
        <f t="array" ref="X1600">_xlfn.IFS(Tabla1[[#This Row],[Porcentaje de muertes]]&lt;0.35,"LEVE",AND(Tabla1[[#This Row],[Porcentaje de muertes]]&gt;0.35,Tabla1[[#This Row],[Porcentaje de muertes]]&lt;0.65),"MEDIO",Tabla1[[#This Row],[Porcentaje de muertes]]&gt;0.65,"GRAVE")</f>
        <v>LEVE</v>
      </c>
    </row>
    <row r="1601" spans="2:24" x14ac:dyDescent="0.3">
      <c r="B1601" s="9">
        <v>1600</v>
      </c>
      <c r="C1601" s="49">
        <v>20972</v>
      </c>
      <c r="D1601" s="9">
        <f>YEAR(Tabla1[[#This Row],[Date]])</f>
        <v>1957</v>
      </c>
      <c r="E1601" s="9" t="str" cm="1">
        <f t="array" ref="E1601">IFERROR(_xlfn.IFS(AND(D1601&lt;1980,D1601&gt;=1970),"70",AND(D1601&lt;1990,D1601&gt;=1980),"80",AND(D1601&lt;2000,D1601&gt;=1990),"90",AND(D1601&lt;2010,D1601&gt;=2000),"00",AND(D1601&lt;=2019,D1601&gt;=2010),"10"),"1908-1970")</f>
        <v>1908-1970</v>
      </c>
      <c r="F1601" s="3">
        <v>6.9444444444444447E-4</v>
      </c>
      <c r="G1601" t="s">
        <v>11938</v>
      </c>
      <c r="H1601" t="s">
        <v>6536</v>
      </c>
      <c r="I1601">
        <v>327</v>
      </c>
      <c r="J1601" t="s">
        <v>11939</v>
      </c>
      <c r="K1601" t="s">
        <v>10625</v>
      </c>
      <c r="L1601" s="7" t="s">
        <v>11940</v>
      </c>
      <c r="M1601">
        <v>104</v>
      </c>
      <c r="N1601">
        <v>10</v>
      </c>
      <c r="O1601">
        <v>7</v>
      </c>
      <c r="P1601">
        <v>3</v>
      </c>
      <c r="Q1601">
        <v>1</v>
      </c>
      <c r="R1601">
        <v>1</v>
      </c>
      <c r="S1601">
        <v>0</v>
      </c>
      <c r="T1601">
        <v>0</v>
      </c>
      <c r="U1601" t="s">
        <v>11941</v>
      </c>
      <c r="V1601">
        <f>Tabla1[[#This Row],[Aboard]]-Tabla1[[#This Row],[Fatalities]]</f>
        <v>9</v>
      </c>
      <c r="W1601" s="50">
        <f>IFERROR(Tabla1[[#This Row],[Fatalities]]/Tabla1[[#This Row],[Aboard]],0)</f>
        <v>0.1</v>
      </c>
      <c r="X1601" s="51" t="str" cm="1">
        <f t="array" ref="X1601">_xlfn.IFS(Tabla1[[#This Row],[Porcentaje de muertes]]&lt;0.35,"LEVE",AND(Tabla1[[#This Row],[Porcentaje de muertes]]&gt;0.35,Tabla1[[#This Row],[Porcentaje de muertes]]&lt;0.65),"MEDIO",Tabla1[[#This Row],[Porcentaje de muertes]]&gt;0.65,"GRAVE")</f>
        <v>LEVE</v>
      </c>
    </row>
    <row r="1602" spans="2:24" x14ac:dyDescent="0.3">
      <c r="B1602" s="9">
        <v>1601</v>
      </c>
      <c r="C1602" s="49">
        <v>21125</v>
      </c>
      <c r="D1602" s="9">
        <f>YEAR(Tabla1[[#This Row],[Date]])</f>
        <v>1957</v>
      </c>
      <c r="E1602" s="9" t="str" cm="1">
        <f t="array" ref="E1602">IFERROR(_xlfn.IFS(AND(D1602&lt;1980,D1602&gt;=1970),"70",AND(D1602&lt;1990,D1602&gt;=1980),"80",AND(D1602&lt;2000,D1602&gt;=1990),"90",AND(D1602&lt;2010,D1602&gt;=2000),"00",AND(D1602&lt;=2019,D1602&gt;=2010),"10"),"1908-1970")</f>
        <v>1908-1970</v>
      </c>
      <c r="F1602" s="3">
        <v>0.375</v>
      </c>
      <c r="G1602" t="s">
        <v>11942</v>
      </c>
      <c r="H1602" t="s">
        <v>11943</v>
      </c>
      <c r="I1602" t="s">
        <v>28931</v>
      </c>
      <c r="J1602" t="s">
        <v>11944</v>
      </c>
      <c r="K1602" t="s">
        <v>11945</v>
      </c>
      <c r="L1602" s="7" t="s">
        <v>11946</v>
      </c>
      <c r="M1602">
        <v>188</v>
      </c>
      <c r="N1602">
        <v>33</v>
      </c>
      <c r="O1602">
        <v>29</v>
      </c>
      <c r="P1602">
        <v>4</v>
      </c>
      <c r="Q1602">
        <v>17</v>
      </c>
      <c r="R1602">
        <v>15</v>
      </c>
      <c r="S1602">
        <v>2</v>
      </c>
      <c r="T1602">
        <v>1</v>
      </c>
      <c r="U1602" t="s">
        <v>11947</v>
      </c>
      <c r="V1602">
        <f>Tabla1[[#This Row],[Aboard]]-Tabla1[[#This Row],[Fatalities]]</f>
        <v>16</v>
      </c>
      <c r="W1602" s="50">
        <f>IFERROR(Tabla1[[#This Row],[Fatalities]]/Tabla1[[#This Row],[Aboard]],0)</f>
        <v>0.51515151515151514</v>
      </c>
      <c r="X1602" s="51" t="str" cm="1">
        <f t="array" ref="X1602">_xlfn.IFS(Tabla1[[#This Row],[Porcentaje de muertes]]&lt;0.35,"LEVE",AND(Tabla1[[#This Row],[Porcentaje de muertes]]&gt;0.35,Tabla1[[#This Row],[Porcentaje de muertes]]&lt;0.65),"MEDIO",Tabla1[[#This Row],[Porcentaje de muertes]]&gt;0.65,"GRAVE")</f>
        <v>MEDIO</v>
      </c>
    </row>
    <row r="1603" spans="2:24" x14ac:dyDescent="0.3">
      <c r="B1603" s="9">
        <v>1602</v>
      </c>
      <c r="C1603" s="49">
        <v>20843</v>
      </c>
      <c r="D1603" s="9">
        <f>YEAR(Tabla1[[#This Row],[Date]])</f>
        <v>1957</v>
      </c>
      <c r="E1603" s="9" t="str" cm="1">
        <f t="array" ref="E1603">IFERROR(_xlfn.IFS(AND(D1603&lt;1980,D1603&gt;=1970),"70",AND(D1603&lt;1990,D1603&gt;=1980),"80",AND(D1603&lt;2000,D1603&gt;=1990),"90",AND(D1603&lt;2010,D1603&gt;=2000),"00",AND(D1603&lt;=2019,D1603&gt;=2010),"10"),"1908-1970")</f>
        <v>1908-1970</v>
      </c>
      <c r="F1603" s="3">
        <v>0.47083333333333338</v>
      </c>
      <c r="G1603" t="s">
        <v>11948</v>
      </c>
      <c r="H1603" t="s">
        <v>11949</v>
      </c>
      <c r="I1603" t="s">
        <v>28931</v>
      </c>
      <c r="J1603" t="s">
        <v>11950</v>
      </c>
      <c r="K1603" t="s">
        <v>7057</v>
      </c>
      <c r="L1603" s="7" t="s">
        <v>11951</v>
      </c>
      <c r="M1603">
        <v>12312</v>
      </c>
      <c r="N1603">
        <v>16</v>
      </c>
      <c r="O1603">
        <v>13</v>
      </c>
      <c r="P1603">
        <v>3</v>
      </c>
      <c r="Q1603">
        <v>16</v>
      </c>
      <c r="R1603">
        <v>13</v>
      </c>
      <c r="S1603">
        <v>3</v>
      </c>
      <c r="T1603">
        <v>0</v>
      </c>
      <c r="U1603" t="s">
        <v>11952</v>
      </c>
      <c r="V1603">
        <f>Tabla1[[#This Row],[Aboard]]-Tabla1[[#This Row],[Fatalities]]</f>
        <v>0</v>
      </c>
      <c r="W1603" s="50">
        <f>IFERROR(Tabla1[[#This Row],[Fatalities]]/Tabla1[[#This Row],[Aboard]],0)</f>
        <v>1</v>
      </c>
      <c r="X1603" s="51" t="str" cm="1">
        <f t="array" ref="X1603">_xlfn.IFS(Tabla1[[#This Row],[Porcentaje de muertes]]&lt;0.35,"LEVE",AND(Tabla1[[#This Row],[Porcentaje de muertes]]&gt;0.35,Tabla1[[#This Row],[Porcentaje de muertes]]&lt;0.65),"MEDIO",Tabla1[[#This Row],[Porcentaje de muertes]]&gt;0.65,"GRAVE")</f>
        <v>GRAVE</v>
      </c>
    </row>
    <row r="1604" spans="2:24" x14ac:dyDescent="0.3">
      <c r="B1604" s="9">
        <v>1603</v>
      </c>
      <c r="C1604" s="49">
        <v>20849</v>
      </c>
      <c r="D1604" s="9">
        <f>YEAR(Tabla1[[#This Row],[Date]])</f>
        <v>1957</v>
      </c>
      <c r="E1604" s="9" t="str" cm="1">
        <f t="array" ref="E1604">IFERROR(_xlfn.IFS(AND(D1604&lt;1980,D1604&gt;=1970),"70",AND(D1604&lt;1990,D1604&gt;=1980),"80",AND(D1604&lt;2000,D1604&gt;=1990),"90",AND(D1604&lt;2010,D1604&gt;=2000),"00",AND(D1604&lt;=2019,D1604&gt;=2010),"10"),"1908-1970")</f>
        <v>1908-1970</v>
      </c>
      <c r="F1604" s="3">
        <v>0.80833333333333324</v>
      </c>
      <c r="G1604" t="s">
        <v>5211</v>
      </c>
      <c r="H1604" t="s">
        <v>6375</v>
      </c>
      <c r="I1604" t="s">
        <v>28931</v>
      </c>
      <c r="J1604" t="s">
        <v>11953</v>
      </c>
      <c r="K1604" t="s">
        <v>11954</v>
      </c>
      <c r="L1604" s="7" t="s">
        <v>11955</v>
      </c>
      <c r="M1604">
        <v>6</v>
      </c>
      <c r="N1604">
        <v>70</v>
      </c>
      <c r="O1604">
        <v>60</v>
      </c>
      <c r="P1604">
        <v>10</v>
      </c>
      <c r="Q1604">
        <v>2</v>
      </c>
      <c r="R1604">
        <v>1</v>
      </c>
      <c r="S1604">
        <v>1</v>
      </c>
      <c r="T1604">
        <v>0</v>
      </c>
      <c r="U1604" t="s">
        <v>11956</v>
      </c>
      <c r="V1604">
        <f>Tabla1[[#This Row],[Aboard]]-Tabla1[[#This Row],[Fatalities]]</f>
        <v>68</v>
      </c>
      <c r="W1604" s="50">
        <f>IFERROR(Tabla1[[#This Row],[Fatalities]]/Tabla1[[#This Row],[Aboard]],0)</f>
        <v>2.8571428571428571E-2</v>
      </c>
      <c r="X1604" s="51" t="str" cm="1">
        <f t="array" ref="X1604">_xlfn.IFS(Tabla1[[#This Row],[Porcentaje de muertes]]&lt;0.35,"LEVE",AND(Tabla1[[#This Row],[Porcentaje de muertes]]&gt;0.35,Tabla1[[#This Row],[Porcentaje de muertes]]&lt;0.65),"MEDIO",Tabla1[[#This Row],[Porcentaje de muertes]]&gt;0.65,"GRAVE")</f>
        <v>LEVE</v>
      </c>
    </row>
    <row r="1605" spans="2:24" x14ac:dyDescent="0.3">
      <c r="B1605" s="9">
        <v>1604</v>
      </c>
      <c r="C1605" s="49">
        <v>20851</v>
      </c>
      <c r="D1605" s="9">
        <f>YEAR(Tabla1[[#This Row],[Date]])</f>
        <v>1957</v>
      </c>
      <c r="E1605" s="9" t="str" cm="1">
        <f t="array" ref="E1605">IFERROR(_xlfn.IFS(AND(D1605&lt;1980,D1605&gt;=1970),"70",AND(D1605&lt;1990,D1605&gt;=1980),"80",AND(D1605&lt;2000,D1605&gt;=1990),"90",AND(D1605&lt;2010,D1605&gt;=2000),"00",AND(D1605&lt;=2019,D1605&gt;=2010),"10"),"1908-1970")</f>
        <v>1908-1970</v>
      </c>
      <c r="F1605" s="3">
        <v>0.47083333333333338</v>
      </c>
      <c r="G1605" t="s">
        <v>11957</v>
      </c>
      <c r="H1605" t="s">
        <v>11958</v>
      </c>
      <c r="I1605" t="s">
        <v>28931</v>
      </c>
      <c r="J1605" t="s">
        <v>11959</v>
      </c>
      <c r="K1605" t="s">
        <v>11960</v>
      </c>
      <c r="L1605" s="7" t="s">
        <v>11961</v>
      </c>
      <c r="M1605" t="s">
        <v>11962</v>
      </c>
      <c r="N1605">
        <v>6</v>
      </c>
      <c r="O1605">
        <v>0</v>
      </c>
      <c r="P1605">
        <v>6</v>
      </c>
      <c r="Q1605">
        <v>5</v>
      </c>
      <c r="R1605">
        <v>0</v>
      </c>
      <c r="S1605">
        <v>5</v>
      </c>
      <c r="T1605">
        <v>3</v>
      </c>
      <c r="U1605" t="s">
        <v>11963</v>
      </c>
      <c r="V1605">
        <f>Tabla1[[#This Row],[Aboard]]-Tabla1[[#This Row],[Fatalities]]</f>
        <v>1</v>
      </c>
      <c r="W1605" s="50">
        <f>IFERROR(Tabla1[[#This Row],[Fatalities]]/Tabla1[[#This Row],[Aboard]],0)</f>
        <v>0.83333333333333337</v>
      </c>
      <c r="X1605" s="51" t="str" cm="1">
        <f t="array" ref="X1605">_xlfn.IFS(Tabla1[[#This Row],[Porcentaje de muertes]]&lt;0.35,"LEVE",AND(Tabla1[[#This Row],[Porcentaje de muertes]]&gt;0.35,Tabla1[[#This Row],[Porcentaje de muertes]]&lt;0.65),"MEDIO",Tabla1[[#This Row],[Porcentaje de muertes]]&gt;0.65,"GRAVE")</f>
        <v>GRAVE</v>
      </c>
    </row>
    <row r="1606" spans="2:24" x14ac:dyDescent="0.3">
      <c r="B1606" s="9">
        <v>1605</v>
      </c>
      <c r="C1606" s="49">
        <v>20822</v>
      </c>
      <c r="D1606" s="9">
        <f>YEAR(Tabla1[[#This Row],[Date]])</f>
        <v>1957</v>
      </c>
      <c r="E1606" s="9" t="str" cm="1">
        <f t="array" ref="E1606">IFERROR(_xlfn.IFS(AND(D1606&lt;1980,D1606&gt;=1970),"70",AND(D1606&lt;1990,D1606&gt;=1980),"80",AND(D1606&lt;2000,D1606&gt;=1990),"90",AND(D1606&lt;2010,D1606&gt;=2000),"00",AND(D1606&lt;=2019,D1606&gt;=2010),"10"),"1908-1970")</f>
        <v>1908-1970</v>
      </c>
      <c r="F1606" s="3">
        <v>0.75138888888888899</v>
      </c>
      <c r="G1606" t="s">
        <v>5425</v>
      </c>
      <c r="H1606" t="s">
        <v>11397</v>
      </c>
      <c r="I1606">
        <v>823</v>
      </c>
      <c r="J1606" t="s">
        <v>11964</v>
      </c>
      <c r="K1606" t="s">
        <v>11052</v>
      </c>
      <c r="L1606" s="7" t="s">
        <v>11965</v>
      </c>
      <c r="M1606" t="s">
        <v>11966</v>
      </c>
      <c r="N1606">
        <v>101</v>
      </c>
      <c r="O1606">
        <v>95</v>
      </c>
      <c r="P1606">
        <v>6</v>
      </c>
      <c r="Q1606">
        <v>21</v>
      </c>
      <c r="R1606">
        <v>21</v>
      </c>
      <c r="S1606">
        <v>0</v>
      </c>
      <c r="T1606">
        <v>0</v>
      </c>
      <c r="U1606" t="s">
        <v>11967</v>
      </c>
      <c r="V1606">
        <f>Tabla1[[#This Row],[Aboard]]-Tabla1[[#This Row],[Fatalities]]</f>
        <v>80</v>
      </c>
      <c r="W1606" s="50">
        <f>IFERROR(Tabla1[[#This Row],[Fatalities]]/Tabla1[[#This Row],[Aboard]],0)</f>
        <v>0.20792079207920791</v>
      </c>
      <c r="X1606" s="51" t="str" cm="1">
        <f t="array" ref="X1606">_xlfn.IFS(Tabla1[[#This Row],[Porcentaje de muertes]]&lt;0.35,"LEVE",AND(Tabla1[[#This Row],[Porcentaje de muertes]]&gt;0.35,Tabla1[[#This Row],[Porcentaje de muertes]]&lt;0.65),"MEDIO",Tabla1[[#This Row],[Porcentaje de muertes]]&gt;0.65,"GRAVE")</f>
        <v>LEVE</v>
      </c>
    </row>
    <row r="1607" spans="2:24" x14ac:dyDescent="0.3">
      <c r="B1607" s="9">
        <v>1606</v>
      </c>
      <c r="C1607" s="49">
        <v>20873</v>
      </c>
      <c r="D1607" s="9">
        <f>YEAR(Tabla1[[#This Row],[Date]])</f>
        <v>1957</v>
      </c>
      <c r="E1607" s="9" t="str" cm="1">
        <f t="array" ref="E1607">IFERROR(_xlfn.IFS(AND(D1607&lt;1980,D1607&gt;=1970),"70",AND(D1607&lt;1990,D1607&gt;=1980),"80",AND(D1607&lt;2000,D1607&gt;=1990),"90",AND(D1607&lt;2010,D1607&gt;=2000),"00",AND(D1607&lt;=2019,D1607&gt;=2010),"10"),"1908-1970")</f>
        <v>1908-1970</v>
      </c>
      <c r="F1607" s="3">
        <v>0.83333333333333337</v>
      </c>
      <c r="G1607" t="s">
        <v>11968</v>
      </c>
      <c r="H1607" t="s">
        <v>7987</v>
      </c>
      <c r="I1607" t="s">
        <v>28931</v>
      </c>
      <c r="J1607" t="s">
        <v>11969</v>
      </c>
      <c r="K1607" t="s">
        <v>11970</v>
      </c>
      <c r="L1607" s="7" t="s">
        <v>11971</v>
      </c>
      <c r="M1607">
        <v>43475</v>
      </c>
      <c r="N1607">
        <v>159</v>
      </c>
      <c r="O1607">
        <v>149</v>
      </c>
      <c r="P1607">
        <v>10</v>
      </c>
      <c r="Q1607">
        <v>22</v>
      </c>
      <c r="R1607">
        <v>19</v>
      </c>
      <c r="S1607">
        <v>3</v>
      </c>
      <c r="T1607">
        <v>0</v>
      </c>
      <c r="U1607" t="s">
        <v>11972</v>
      </c>
      <c r="V1607">
        <f>Tabla1[[#This Row],[Aboard]]-Tabla1[[#This Row],[Fatalities]]</f>
        <v>137</v>
      </c>
      <c r="W1607" s="50">
        <f>IFERROR(Tabla1[[#This Row],[Fatalities]]/Tabla1[[#This Row],[Aboard]],0)</f>
        <v>0.13836477987421383</v>
      </c>
      <c r="X1607" s="51" t="str" cm="1">
        <f t="array" ref="X1607">_xlfn.IFS(Tabla1[[#This Row],[Porcentaje de muertes]]&lt;0.35,"LEVE",AND(Tabla1[[#This Row],[Porcentaje de muertes]]&gt;0.35,Tabla1[[#This Row],[Porcentaje de muertes]]&lt;0.65),"MEDIO",Tabla1[[#This Row],[Porcentaje de muertes]]&gt;0.65,"GRAVE")</f>
        <v>LEVE</v>
      </c>
    </row>
    <row r="1608" spans="2:24" x14ac:dyDescent="0.3">
      <c r="B1608" s="9">
        <v>1607</v>
      </c>
      <c r="C1608" s="49">
        <v>20854</v>
      </c>
      <c r="D1608" s="9">
        <f>YEAR(Tabla1[[#This Row],[Date]])</f>
        <v>1957</v>
      </c>
      <c r="E1608" s="9" t="str" cm="1">
        <f t="array" ref="E1608">IFERROR(_xlfn.IFS(AND(D1608&lt;1980,D1608&gt;=1970),"70",AND(D1608&lt;1990,D1608&gt;=1980),"80",AND(D1608&lt;2000,D1608&gt;=1990),"90",AND(D1608&lt;2010,D1608&gt;=2000),"00",AND(D1608&lt;=2019,D1608&gt;=2010),"10"),"1908-1970")</f>
        <v>1908-1970</v>
      </c>
      <c r="F1608" s="3">
        <v>0.72152777777777777</v>
      </c>
      <c r="G1608" t="s">
        <v>11973</v>
      </c>
      <c r="H1608" t="s">
        <v>9289</v>
      </c>
      <c r="I1608">
        <v>100</v>
      </c>
      <c r="J1608" t="s">
        <v>11974</v>
      </c>
      <c r="K1608" t="s">
        <v>9106</v>
      </c>
      <c r="L1608" s="7" t="s">
        <v>11975</v>
      </c>
      <c r="M1608">
        <v>27239</v>
      </c>
      <c r="N1608">
        <v>5</v>
      </c>
      <c r="O1608">
        <v>2</v>
      </c>
      <c r="P1608">
        <v>3</v>
      </c>
      <c r="Q1608">
        <v>5</v>
      </c>
      <c r="R1608">
        <v>2</v>
      </c>
      <c r="S1608">
        <v>3</v>
      </c>
      <c r="T1608">
        <v>0</v>
      </c>
      <c r="U1608" t="s">
        <v>11976</v>
      </c>
      <c r="V1608">
        <f>Tabla1[[#This Row],[Aboard]]-Tabla1[[#This Row],[Fatalities]]</f>
        <v>0</v>
      </c>
      <c r="W1608" s="50">
        <f>IFERROR(Tabla1[[#This Row],[Fatalities]]/Tabla1[[#This Row],[Aboard]],0)</f>
        <v>1</v>
      </c>
      <c r="X1608" s="51" t="str" cm="1">
        <f t="array" ref="X1608">_xlfn.IFS(Tabla1[[#This Row],[Porcentaje de muertes]]&lt;0.35,"LEVE",AND(Tabla1[[#This Row],[Porcentaje de muertes]]&gt;0.35,Tabla1[[#This Row],[Porcentaje de muertes]]&lt;0.65),"MEDIO",Tabla1[[#This Row],[Porcentaje de muertes]]&gt;0.65,"GRAVE")</f>
        <v>GRAVE</v>
      </c>
    </row>
    <row r="1609" spans="2:24" x14ac:dyDescent="0.3">
      <c r="B1609" s="9">
        <v>1608</v>
      </c>
      <c r="C1609" s="49">
        <v>20913</v>
      </c>
      <c r="D1609" s="9">
        <f>YEAR(Tabla1[[#This Row],[Date]])</f>
        <v>1957</v>
      </c>
      <c r="E1609" s="9" t="str" cm="1">
        <f t="array" ref="E1609">IFERROR(_xlfn.IFS(AND(D1609&lt;1980,D1609&gt;=1970),"70",AND(D1609&lt;1990,D1609&gt;=1980),"80",AND(D1609&lt;2000,D1609&gt;=1990),"90",AND(D1609&lt;2010,D1609&gt;=2000),"00",AND(D1609&lt;=2019,D1609&gt;=2010),"10"),"1908-1970")</f>
        <v>1908-1970</v>
      </c>
      <c r="F1609" s="3" t="s">
        <v>28931</v>
      </c>
      <c r="G1609" t="s">
        <v>11977</v>
      </c>
      <c r="H1609" t="s">
        <v>11978</v>
      </c>
      <c r="I1609" t="s">
        <v>28931</v>
      </c>
      <c r="J1609" t="s">
        <v>28931</v>
      </c>
      <c r="K1609" t="s">
        <v>11979</v>
      </c>
      <c r="L1609" s="7" t="s">
        <v>11980</v>
      </c>
      <c r="M1609">
        <v>33737</v>
      </c>
      <c r="N1609">
        <v>17</v>
      </c>
      <c r="O1609">
        <v>15</v>
      </c>
      <c r="P1609">
        <v>2</v>
      </c>
      <c r="Q1609">
        <v>17</v>
      </c>
      <c r="R1609">
        <v>15</v>
      </c>
      <c r="S1609">
        <v>2</v>
      </c>
      <c r="T1609">
        <v>0</v>
      </c>
      <c r="U1609" t="s">
        <v>11981</v>
      </c>
      <c r="V1609">
        <f>Tabla1[[#This Row],[Aboard]]-Tabla1[[#This Row],[Fatalities]]</f>
        <v>0</v>
      </c>
      <c r="W1609" s="50">
        <f>IFERROR(Tabla1[[#This Row],[Fatalities]]/Tabla1[[#This Row],[Aboard]],0)</f>
        <v>1</v>
      </c>
      <c r="X1609" s="51" t="str" cm="1">
        <f t="array" ref="X1609">_xlfn.IFS(Tabla1[[#This Row],[Porcentaje de muertes]]&lt;0.35,"LEVE",AND(Tabla1[[#This Row],[Porcentaje de muertes]]&gt;0.35,Tabla1[[#This Row],[Porcentaje de muertes]]&lt;0.65),"MEDIO",Tabla1[[#This Row],[Porcentaje de muertes]]&gt;0.65,"GRAVE")</f>
        <v>GRAVE</v>
      </c>
    </row>
    <row r="1610" spans="2:24" x14ac:dyDescent="0.3">
      <c r="B1610" s="9">
        <v>1609</v>
      </c>
      <c r="C1610" s="49">
        <v>20943</v>
      </c>
      <c r="D1610" s="9">
        <f>YEAR(Tabla1[[#This Row],[Date]])</f>
        <v>1957</v>
      </c>
      <c r="E1610" s="9" t="str" cm="1">
        <f t="array" ref="E1610">IFERROR(_xlfn.IFS(AND(D1610&lt;1980,D1610&gt;=1970),"70",AND(D1610&lt;1990,D1610&gt;=1980),"80",AND(D1610&lt;2000,D1610&gt;=1990),"90",AND(D1610&lt;2010,D1610&gt;=2000),"00",AND(D1610&lt;=2019,D1610&gt;=2010),"10"),"1908-1970")</f>
        <v>1908-1970</v>
      </c>
      <c r="F1610" s="3">
        <v>0.45833333333333331</v>
      </c>
      <c r="G1610" t="s">
        <v>11982</v>
      </c>
      <c r="H1610" t="s">
        <v>7660</v>
      </c>
      <c r="I1610" t="s">
        <v>28931</v>
      </c>
      <c r="J1610" t="s">
        <v>11983</v>
      </c>
      <c r="K1610" t="s">
        <v>11984</v>
      </c>
      <c r="L1610" s="7" t="s">
        <v>11985</v>
      </c>
      <c r="M1610">
        <v>1023</v>
      </c>
      <c r="N1610">
        <v>22</v>
      </c>
      <c r="O1610">
        <v>17</v>
      </c>
      <c r="P1610">
        <v>5</v>
      </c>
      <c r="Q1610">
        <v>18</v>
      </c>
      <c r="R1610">
        <v>15</v>
      </c>
      <c r="S1610">
        <v>3</v>
      </c>
      <c r="T1610">
        <v>2</v>
      </c>
      <c r="U1610" t="s">
        <v>11986</v>
      </c>
      <c r="V1610">
        <f>Tabla1[[#This Row],[Aboard]]-Tabla1[[#This Row],[Fatalities]]</f>
        <v>4</v>
      </c>
      <c r="W1610" s="50">
        <f>IFERROR(Tabla1[[#This Row],[Fatalities]]/Tabla1[[#This Row],[Aboard]],0)</f>
        <v>0.81818181818181823</v>
      </c>
      <c r="X1610" s="51" t="str" cm="1">
        <f t="array" ref="X1610">_xlfn.IFS(Tabla1[[#This Row],[Porcentaje de muertes]]&lt;0.35,"LEVE",AND(Tabla1[[#This Row],[Porcentaje de muertes]]&gt;0.35,Tabla1[[#This Row],[Porcentaje de muertes]]&lt;0.65),"MEDIO",Tabla1[[#This Row],[Porcentaje de muertes]]&gt;0.65,"GRAVE")</f>
        <v>GRAVE</v>
      </c>
    </row>
    <row r="1611" spans="2:24" x14ac:dyDescent="0.3">
      <c r="B1611" s="9">
        <v>1610</v>
      </c>
      <c r="C1611" s="49">
        <v>21066</v>
      </c>
      <c r="D1611" s="9">
        <f>YEAR(Tabla1[[#This Row],[Date]])</f>
        <v>1957</v>
      </c>
      <c r="E1611" s="9" t="str" cm="1">
        <f t="array" ref="E1611">IFERROR(_xlfn.IFS(AND(D1611&lt;1980,D1611&gt;=1970),"70",AND(D1611&lt;1990,D1611&gt;=1980),"80",AND(D1611&lt;2000,D1611&gt;=1990),"90",AND(D1611&lt;2010,D1611&gt;=2000),"00",AND(D1611&lt;=2019,D1611&gt;=2010),"10"),"1908-1970")</f>
        <v>1908-1970</v>
      </c>
      <c r="F1611" s="3">
        <v>0.41666666666666669</v>
      </c>
      <c r="G1611" t="s">
        <v>11987</v>
      </c>
      <c r="H1611" t="s">
        <v>8976</v>
      </c>
      <c r="I1611" t="s">
        <v>28931</v>
      </c>
      <c r="J1611" t="s">
        <v>11988</v>
      </c>
      <c r="K1611" t="s">
        <v>7057</v>
      </c>
      <c r="L1611" s="7" t="s">
        <v>11989</v>
      </c>
      <c r="M1611">
        <v>4338</v>
      </c>
      <c r="N1611">
        <v>15</v>
      </c>
      <c r="O1611">
        <v>12</v>
      </c>
      <c r="P1611">
        <v>3</v>
      </c>
      <c r="Q1611">
        <v>15</v>
      </c>
      <c r="R1611">
        <v>12</v>
      </c>
      <c r="S1611">
        <v>3</v>
      </c>
      <c r="T1611">
        <v>0</v>
      </c>
      <c r="U1611" t="s">
        <v>11990</v>
      </c>
      <c r="V1611">
        <f>Tabla1[[#This Row],[Aboard]]-Tabla1[[#This Row],[Fatalities]]</f>
        <v>0</v>
      </c>
      <c r="W1611" s="50">
        <f>IFERROR(Tabla1[[#This Row],[Fatalities]]/Tabla1[[#This Row],[Aboard]],0)</f>
        <v>1</v>
      </c>
      <c r="X1611" s="51" t="str" cm="1">
        <f t="array" ref="X1611">_xlfn.IFS(Tabla1[[#This Row],[Porcentaje de muertes]]&lt;0.35,"LEVE",AND(Tabla1[[#This Row],[Porcentaje de muertes]]&gt;0.35,Tabla1[[#This Row],[Porcentaje de muertes]]&lt;0.65),"MEDIO",Tabla1[[#This Row],[Porcentaje de muertes]]&gt;0.65,"GRAVE")</f>
        <v>GRAVE</v>
      </c>
    </row>
    <row r="1612" spans="2:24" x14ac:dyDescent="0.3">
      <c r="B1612" s="9">
        <v>1611</v>
      </c>
      <c r="C1612" s="49">
        <v>20893</v>
      </c>
      <c r="D1612" s="9">
        <f>YEAR(Tabla1[[#This Row],[Date]])</f>
        <v>1957</v>
      </c>
      <c r="E1612" s="9" t="str" cm="1">
        <f t="array" ref="E1612">IFERROR(_xlfn.IFS(AND(D1612&lt;1980,D1612&gt;=1970),"70",AND(D1612&lt;1990,D1612&gt;=1980),"80",AND(D1612&lt;2000,D1612&gt;=1990),"90",AND(D1612&lt;2010,D1612&gt;=2000),"00",AND(D1612&lt;=2019,D1612&gt;=2010),"10"),"1908-1970")</f>
        <v>1908-1970</v>
      </c>
      <c r="F1612" s="3">
        <v>0.57361111111111118</v>
      </c>
      <c r="G1612" t="s">
        <v>10359</v>
      </c>
      <c r="H1612" t="s">
        <v>8721</v>
      </c>
      <c r="I1612">
        <v>411</v>
      </c>
      <c r="J1612" t="s">
        <v>11991</v>
      </c>
      <c r="K1612" t="s">
        <v>11992</v>
      </c>
      <c r="L1612" s="7" t="s">
        <v>11993</v>
      </c>
      <c r="M1612">
        <v>4</v>
      </c>
      <c r="N1612">
        <v>20</v>
      </c>
      <c r="O1612">
        <v>15</v>
      </c>
      <c r="P1612">
        <v>5</v>
      </c>
      <c r="Q1612">
        <v>20</v>
      </c>
      <c r="R1612">
        <v>15</v>
      </c>
      <c r="S1612">
        <v>5</v>
      </c>
      <c r="T1612">
        <v>2</v>
      </c>
      <c r="U1612" t="s">
        <v>11994</v>
      </c>
      <c r="V1612">
        <f>Tabla1[[#This Row],[Aboard]]-Tabla1[[#This Row],[Fatalities]]</f>
        <v>0</v>
      </c>
      <c r="W1612" s="50">
        <f>IFERROR(Tabla1[[#This Row],[Fatalities]]/Tabla1[[#This Row],[Aboard]],0)</f>
        <v>1</v>
      </c>
      <c r="X1612" s="51" t="str" cm="1">
        <f t="array" ref="X1612">_xlfn.IFS(Tabla1[[#This Row],[Porcentaje de muertes]]&lt;0.35,"LEVE",AND(Tabla1[[#This Row],[Porcentaje de muertes]]&gt;0.35,Tabla1[[#This Row],[Porcentaje de muertes]]&lt;0.65),"MEDIO",Tabla1[[#This Row],[Porcentaje de muertes]]&gt;0.65,"GRAVE")</f>
        <v>GRAVE</v>
      </c>
    </row>
    <row r="1613" spans="2:24" x14ac:dyDescent="0.3">
      <c r="B1613" s="9">
        <v>1612</v>
      </c>
      <c r="C1613" s="49">
        <v>20896</v>
      </c>
      <c r="D1613" s="9">
        <f>YEAR(Tabla1[[#This Row],[Date]])</f>
        <v>1957</v>
      </c>
      <c r="E1613" s="9" t="str" cm="1">
        <f t="array" ref="E1613">IFERROR(_xlfn.IFS(AND(D1613&lt;1980,D1613&gt;=1970),"70",AND(D1613&lt;1990,D1613&gt;=1980),"80",AND(D1613&lt;2000,D1613&gt;=1990),"90",AND(D1613&lt;2010,D1613&gt;=2000),"00",AND(D1613&lt;=2019,D1613&gt;=2010),"10"),"1908-1970")</f>
        <v>1908-1970</v>
      </c>
      <c r="F1613" s="3">
        <v>6.9444444444444434E-2</v>
      </c>
      <c r="G1613" t="s">
        <v>11995</v>
      </c>
      <c r="H1613" t="s">
        <v>11996</v>
      </c>
      <c r="I1613" t="s">
        <v>28931</v>
      </c>
      <c r="J1613" t="s">
        <v>11997</v>
      </c>
      <c r="K1613" t="s">
        <v>11998</v>
      </c>
      <c r="L1613" s="7">
        <v>2100925</v>
      </c>
      <c r="M1613">
        <v>19388</v>
      </c>
      <c r="N1613">
        <v>25</v>
      </c>
      <c r="O1613">
        <v>22</v>
      </c>
      <c r="P1613">
        <v>3</v>
      </c>
      <c r="Q1613">
        <v>24</v>
      </c>
      <c r="R1613">
        <v>21</v>
      </c>
      <c r="S1613">
        <v>3</v>
      </c>
      <c r="T1613">
        <v>0</v>
      </c>
      <c r="U1613" t="s">
        <v>11999</v>
      </c>
      <c r="V1613">
        <f>Tabla1[[#This Row],[Aboard]]-Tabla1[[#This Row],[Fatalities]]</f>
        <v>1</v>
      </c>
      <c r="W1613" s="50">
        <f>IFERROR(Tabla1[[#This Row],[Fatalities]]/Tabla1[[#This Row],[Aboard]],0)</f>
        <v>0.96</v>
      </c>
      <c r="X1613" s="51" t="str" cm="1">
        <f t="array" ref="X1613">_xlfn.IFS(Tabla1[[#This Row],[Porcentaje de muertes]]&lt;0.35,"LEVE",AND(Tabla1[[#This Row],[Porcentaje de muertes]]&gt;0.35,Tabla1[[#This Row],[Porcentaje de muertes]]&lt;0.65),"MEDIO",Tabla1[[#This Row],[Porcentaje de muertes]]&gt;0.65,"GRAVE")</f>
        <v>GRAVE</v>
      </c>
    </row>
    <row r="1614" spans="2:24" x14ac:dyDescent="0.3">
      <c r="B1614" s="9">
        <v>1613</v>
      </c>
      <c r="C1614" s="49">
        <v>20897</v>
      </c>
      <c r="D1614" s="9">
        <f>YEAR(Tabla1[[#This Row],[Date]])</f>
        <v>1957</v>
      </c>
      <c r="E1614" s="9" t="str" cm="1">
        <f t="array" ref="E1614">IFERROR(_xlfn.IFS(AND(D1614&lt;1980,D1614&gt;=1970),"70",AND(D1614&lt;1990,D1614&gt;=1980),"80",AND(D1614&lt;2000,D1614&gt;=1990),"90",AND(D1614&lt;2010,D1614&gt;=2000),"00",AND(D1614&lt;=2019,D1614&gt;=2010),"10"),"1908-1970")</f>
        <v>1908-1970</v>
      </c>
      <c r="F1614" s="3" t="s">
        <v>28931</v>
      </c>
      <c r="G1614" t="s">
        <v>12000</v>
      </c>
      <c r="H1614" t="s">
        <v>6750</v>
      </c>
      <c r="I1614" t="s">
        <v>28931</v>
      </c>
      <c r="J1614" t="s">
        <v>12001</v>
      </c>
      <c r="K1614" t="s">
        <v>7057</v>
      </c>
      <c r="L1614" s="7" t="s">
        <v>12002</v>
      </c>
      <c r="M1614">
        <v>4867</v>
      </c>
      <c r="N1614">
        <v>19</v>
      </c>
      <c r="O1614">
        <v>16</v>
      </c>
      <c r="P1614">
        <v>3</v>
      </c>
      <c r="Q1614">
        <v>19</v>
      </c>
      <c r="R1614">
        <v>16</v>
      </c>
      <c r="S1614">
        <v>3</v>
      </c>
      <c r="T1614">
        <v>0</v>
      </c>
      <c r="U1614" t="s">
        <v>12003</v>
      </c>
      <c r="V1614">
        <f>Tabla1[[#This Row],[Aboard]]-Tabla1[[#This Row],[Fatalities]]</f>
        <v>0</v>
      </c>
      <c r="W1614" s="50">
        <f>IFERROR(Tabla1[[#This Row],[Fatalities]]/Tabla1[[#This Row],[Aboard]],0)</f>
        <v>1</v>
      </c>
      <c r="X1614" s="51" t="str" cm="1">
        <f t="array" ref="X1614">_xlfn.IFS(Tabla1[[#This Row],[Porcentaje de muertes]]&lt;0.35,"LEVE",AND(Tabla1[[#This Row],[Porcentaje de muertes]]&gt;0.35,Tabla1[[#This Row],[Porcentaje de muertes]]&lt;0.65),"MEDIO",Tabla1[[#This Row],[Porcentaje de muertes]]&gt;0.65,"GRAVE")</f>
        <v>GRAVE</v>
      </c>
    </row>
    <row r="1615" spans="2:24" x14ac:dyDescent="0.3">
      <c r="B1615" s="9">
        <v>1614</v>
      </c>
      <c r="C1615" s="49">
        <v>20901</v>
      </c>
      <c r="D1615" s="9">
        <f>YEAR(Tabla1[[#This Row],[Date]])</f>
        <v>1957</v>
      </c>
      <c r="E1615" s="9" t="str" cm="1">
        <f t="array" ref="E1615">IFERROR(_xlfn.IFS(AND(D1615&lt;1980,D1615&gt;=1970),"70",AND(D1615&lt;1990,D1615&gt;=1980),"80",AND(D1615&lt;2000,D1615&gt;=1990),"90",AND(D1615&lt;2010,D1615&gt;=2000),"00",AND(D1615&lt;=2019,D1615&gt;=2010),"10"),"1908-1970")</f>
        <v>1908-1970</v>
      </c>
      <c r="F1615" s="3">
        <v>2.5694444444444447E-2</v>
      </c>
      <c r="G1615" t="s">
        <v>12004</v>
      </c>
      <c r="H1615" t="s">
        <v>7987</v>
      </c>
      <c r="I1615" t="s">
        <v>28931</v>
      </c>
      <c r="J1615" t="s">
        <v>12005</v>
      </c>
      <c r="K1615" t="s">
        <v>12006</v>
      </c>
      <c r="L1615" s="7" t="s">
        <v>12007</v>
      </c>
      <c r="M1615">
        <v>16246</v>
      </c>
      <c r="N1615">
        <v>67</v>
      </c>
      <c r="O1615">
        <v>57</v>
      </c>
      <c r="P1615">
        <v>10</v>
      </c>
      <c r="Q1615">
        <v>67</v>
      </c>
      <c r="R1615">
        <v>57</v>
      </c>
      <c r="S1615">
        <v>10</v>
      </c>
      <c r="T1615">
        <v>0</v>
      </c>
      <c r="U1615" t="s">
        <v>12008</v>
      </c>
      <c r="V1615">
        <f>Tabla1[[#This Row],[Aboard]]-Tabla1[[#This Row],[Fatalities]]</f>
        <v>0</v>
      </c>
      <c r="W1615" s="50">
        <f>IFERROR(Tabla1[[#This Row],[Fatalities]]/Tabla1[[#This Row],[Aboard]],0)</f>
        <v>1</v>
      </c>
      <c r="X1615" s="51" t="str" cm="1">
        <f t="array" ref="X1615">_xlfn.IFS(Tabla1[[#This Row],[Porcentaje de muertes]]&lt;0.35,"LEVE",AND(Tabla1[[#This Row],[Porcentaje de muertes]]&gt;0.35,Tabla1[[#This Row],[Porcentaje de muertes]]&lt;0.65),"MEDIO",Tabla1[[#This Row],[Porcentaje de muertes]]&gt;0.65,"GRAVE")</f>
        <v>GRAVE</v>
      </c>
    </row>
    <row r="1616" spans="2:24" x14ac:dyDescent="0.3">
      <c r="B1616" s="9">
        <v>1615</v>
      </c>
      <c r="C1616" s="49">
        <v>21005</v>
      </c>
      <c r="D1616" s="9">
        <f>YEAR(Tabla1[[#This Row],[Date]])</f>
        <v>1957</v>
      </c>
      <c r="E1616" s="9" t="str" cm="1">
        <f t="array" ref="E1616">IFERROR(_xlfn.IFS(AND(D1616&lt;1980,D1616&gt;=1970),"70",AND(D1616&lt;1990,D1616&gt;=1980),"80",AND(D1616&lt;2000,D1616&gt;=1990),"90",AND(D1616&lt;2010,D1616&gt;=2000),"00",AND(D1616&lt;=2019,D1616&gt;=2010),"10"),"1908-1970")</f>
        <v>1908-1970</v>
      </c>
      <c r="F1616" s="3" t="s">
        <v>28931</v>
      </c>
      <c r="G1616" t="s">
        <v>12009</v>
      </c>
      <c r="H1616" t="s">
        <v>8118</v>
      </c>
      <c r="I1616" t="s">
        <v>28931</v>
      </c>
      <c r="J1616" t="s">
        <v>12010</v>
      </c>
      <c r="K1616" t="s">
        <v>11852</v>
      </c>
      <c r="L1616" s="7" t="s">
        <v>12011</v>
      </c>
      <c r="M1616">
        <v>30283</v>
      </c>
      <c r="N1616">
        <v>40</v>
      </c>
      <c r="O1616">
        <v>35</v>
      </c>
      <c r="P1616">
        <v>5</v>
      </c>
      <c r="Q1616">
        <v>40</v>
      </c>
      <c r="R1616">
        <v>35</v>
      </c>
      <c r="S1616">
        <v>5</v>
      </c>
      <c r="T1616">
        <v>0</v>
      </c>
      <c r="U1616" t="s">
        <v>12012</v>
      </c>
      <c r="V1616">
        <f>Tabla1[[#This Row],[Aboard]]-Tabla1[[#This Row],[Fatalities]]</f>
        <v>0</v>
      </c>
      <c r="W1616" s="50">
        <f>IFERROR(Tabla1[[#This Row],[Fatalities]]/Tabla1[[#This Row],[Aboard]],0)</f>
        <v>1</v>
      </c>
      <c r="X1616" s="51" t="str" cm="1">
        <f t="array" ref="X1616">_xlfn.IFS(Tabla1[[#This Row],[Porcentaje de muertes]]&lt;0.35,"LEVE",AND(Tabla1[[#This Row],[Porcentaje de muertes]]&gt;0.35,Tabla1[[#This Row],[Porcentaje de muertes]]&lt;0.65),"MEDIO",Tabla1[[#This Row],[Porcentaje de muertes]]&gt;0.65,"GRAVE")</f>
        <v>GRAVE</v>
      </c>
    </row>
    <row r="1617" spans="2:24" x14ac:dyDescent="0.3">
      <c r="B1617" s="9">
        <v>1616</v>
      </c>
      <c r="C1617" s="49">
        <v>21036</v>
      </c>
      <c r="D1617" s="9">
        <f>YEAR(Tabla1[[#This Row],[Date]])</f>
        <v>1957</v>
      </c>
      <c r="E1617" s="9" t="str" cm="1">
        <f t="array" ref="E1617">IFERROR(_xlfn.IFS(AND(D1617&lt;1980,D1617&gt;=1970),"70",AND(D1617&lt;1990,D1617&gt;=1980),"80",AND(D1617&lt;2000,D1617&gt;=1990),"90",AND(D1617&lt;2010,D1617&gt;=2000),"00",AND(D1617&lt;=2019,D1617&gt;=2010),"10"),"1908-1970")</f>
        <v>1908-1970</v>
      </c>
      <c r="F1617" s="3" t="s">
        <v>28931</v>
      </c>
      <c r="G1617" t="s">
        <v>5474</v>
      </c>
      <c r="H1617" t="s">
        <v>6375</v>
      </c>
      <c r="I1617" t="s">
        <v>28931</v>
      </c>
      <c r="J1617" t="s">
        <v>12013</v>
      </c>
      <c r="K1617" t="s">
        <v>7057</v>
      </c>
      <c r="L1617" s="7" t="s">
        <v>12014</v>
      </c>
      <c r="M1617" t="s">
        <v>12015</v>
      </c>
      <c r="N1617">
        <v>34</v>
      </c>
      <c r="O1617">
        <v>30</v>
      </c>
      <c r="P1617">
        <v>4</v>
      </c>
      <c r="Q1617">
        <v>34</v>
      </c>
      <c r="R1617">
        <v>30</v>
      </c>
      <c r="S1617">
        <v>4</v>
      </c>
      <c r="T1617">
        <v>0</v>
      </c>
      <c r="U1617" t="s">
        <v>12016</v>
      </c>
      <c r="V1617">
        <f>Tabla1[[#This Row],[Aboard]]-Tabla1[[#This Row],[Fatalities]]</f>
        <v>0</v>
      </c>
      <c r="W1617" s="50">
        <f>IFERROR(Tabla1[[#This Row],[Fatalities]]/Tabla1[[#This Row],[Aboard]],0)</f>
        <v>1</v>
      </c>
      <c r="X1617" s="51" t="str" cm="1">
        <f t="array" ref="X1617">_xlfn.IFS(Tabla1[[#This Row],[Porcentaje de muertes]]&lt;0.35,"LEVE",AND(Tabla1[[#This Row],[Porcentaje de muertes]]&gt;0.35,Tabla1[[#This Row],[Porcentaje de muertes]]&lt;0.65),"MEDIO",Tabla1[[#This Row],[Porcentaje de muertes]]&gt;0.65,"GRAVE")</f>
        <v>GRAVE</v>
      </c>
    </row>
    <row r="1618" spans="2:24" x14ac:dyDescent="0.3">
      <c r="B1618" s="9">
        <v>1617</v>
      </c>
      <c r="C1618" s="49">
        <v>21097</v>
      </c>
      <c r="D1618" s="9">
        <f>YEAR(Tabla1[[#This Row],[Date]])</f>
        <v>1957</v>
      </c>
      <c r="E1618" s="9" t="str" cm="1">
        <f t="array" ref="E1618">IFERROR(_xlfn.IFS(AND(D1618&lt;1980,D1618&gt;=1970),"70",AND(D1618&lt;1990,D1618&gt;=1980),"80",AND(D1618&lt;2000,D1618&gt;=1990),"90",AND(D1618&lt;2010,D1618&gt;=2000),"00",AND(D1618&lt;=2019,D1618&gt;=2010),"10"),"1908-1970")</f>
        <v>1908-1970</v>
      </c>
      <c r="F1618" s="3">
        <v>0.63888888888888895</v>
      </c>
      <c r="G1618" t="s">
        <v>12017</v>
      </c>
      <c r="H1618" t="s">
        <v>9960</v>
      </c>
      <c r="I1618">
        <v>1800</v>
      </c>
      <c r="J1618" t="s">
        <v>12018</v>
      </c>
      <c r="K1618" t="s">
        <v>7057</v>
      </c>
      <c r="L1618" s="7" t="s">
        <v>12019</v>
      </c>
      <c r="M1618">
        <v>13048</v>
      </c>
      <c r="N1618">
        <v>30</v>
      </c>
      <c r="O1618">
        <v>26</v>
      </c>
      <c r="P1618">
        <v>4</v>
      </c>
      <c r="Q1618">
        <v>26</v>
      </c>
      <c r="R1618">
        <v>23</v>
      </c>
      <c r="S1618">
        <v>3</v>
      </c>
      <c r="T1618">
        <v>0</v>
      </c>
      <c r="U1618" t="s">
        <v>12020</v>
      </c>
      <c r="V1618">
        <f>Tabla1[[#This Row],[Aboard]]-Tabla1[[#This Row],[Fatalities]]</f>
        <v>4</v>
      </c>
      <c r="W1618" s="50">
        <f>IFERROR(Tabla1[[#This Row],[Fatalities]]/Tabla1[[#This Row],[Aboard]],0)</f>
        <v>0.8666666666666667</v>
      </c>
      <c r="X1618" s="51" t="str" cm="1">
        <f t="array" ref="X1618">_xlfn.IFS(Tabla1[[#This Row],[Porcentaje de muertes]]&lt;0.35,"LEVE",AND(Tabla1[[#This Row],[Porcentaje de muertes]]&gt;0.35,Tabla1[[#This Row],[Porcentaje de muertes]]&lt;0.65),"MEDIO",Tabla1[[#This Row],[Porcentaje de muertes]]&gt;0.65,"GRAVE")</f>
        <v>GRAVE</v>
      </c>
    </row>
    <row r="1619" spans="2:24" x14ac:dyDescent="0.3">
      <c r="B1619" s="9">
        <v>1618</v>
      </c>
      <c r="C1619" s="49">
        <v>20925</v>
      </c>
      <c r="D1619" s="9">
        <f>YEAR(Tabla1[[#This Row],[Date]])</f>
        <v>1957</v>
      </c>
      <c r="E1619" s="9" t="str" cm="1">
        <f t="array" ref="E1619">IFERROR(_xlfn.IFS(AND(D1619&lt;1980,D1619&gt;=1970),"70",AND(D1619&lt;1990,D1619&gt;=1980),"80",AND(D1619&lt;2000,D1619&gt;=1990),"90",AND(D1619&lt;2010,D1619&gt;=2000),"00",AND(D1619&lt;=2019,D1619&gt;=2010),"10"),"1908-1970")</f>
        <v>1908-1970</v>
      </c>
      <c r="F1619" s="3">
        <v>0.32847222222222222</v>
      </c>
      <c r="G1619" t="s">
        <v>12021</v>
      </c>
      <c r="H1619" t="s">
        <v>11092</v>
      </c>
      <c r="I1619" t="s">
        <v>28931</v>
      </c>
      <c r="J1619" t="s">
        <v>12022</v>
      </c>
      <c r="K1619" t="s">
        <v>12023</v>
      </c>
      <c r="L1619" s="7" t="s">
        <v>12024</v>
      </c>
      <c r="M1619" t="s">
        <v>28931</v>
      </c>
      <c r="N1619">
        <v>3</v>
      </c>
      <c r="O1619">
        <v>0</v>
      </c>
      <c r="P1619">
        <v>3</v>
      </c>
      <c r="Q1619">
        <v>3</v>
      </c>
      <c r="R1619">
        <v>0</v>
      </c>
      <c r="S1619">
        <v>3</v>
      </c>
      <c r="T1619">
        <v>1</v>
      </c>
      <c r="U1619" t="s">
        <v>12025</v>
      </c>
      <c r="V1619">
        <f>Tabla1[[#This Row],[Aboard]]-Tabla1[[#This Row],[Fatalities]]</f>
        <v>0</v>
      </c>
      <c r="W1619" s="50">
        <f>IFERROR(Tabla1[[#This Row],[Fatalities]]/Tabla1[[#This Row],[Aboard]],0)</f>
        <v>1</v>
      </c>
      <c r="X1619" s="51" t="str" cm="1">
        <f t="array" ref="X1619">_xlfn.IFS(Tabla1[[#This Row],[Porcentaje de muertes]]&lt;0.35,"LEVE",AND(Tabla1[[#This Row],[Porcentaje de muertes]]&gt;0.35,Tabla1[[#This Row],[Porcentaje de muertes]]&lt;0.65),"MEDIO",Tabla1[[#This Row],[Porcentaje de muertes]]&gt;0.65,"GRAVE")</f>
        <v>GRAVE</v>
      </c>
    </row>
    <row r="1620" spans="2:24" x14ac:dyDescent="0.3">
      <c r="B1620" s="9">
        <v>1619</v>
      </c>
      <c r="C1620" s="49">
        <v>20927</v>
      </c>
      <c r="D1620" s="9">
        <f>YEAR(Tabla1[[#This Row],[Date]])</f>
        <v>1957</v>
      </c>
      <c r="E1620" s="9" t="str" cm="1">
        <f t="array" ref="E1620">IFERROR(_xlfn.IFS(AND(D1620&lt;1980,D1620&gt;=1970),"70",AND(D1620&lt;1990,D1620&gt;=1980),"80",AND(D1620&lt;2000,D1620&gt;=1990),"90",AND(D1620&lt;2010,D1620&gt;=2000),"00",AND(D1620&lt;=2019,D1620&gt;=2010),"10"),"1908-1970")</f>
        <v>1908-1970</v>
      </c>
      <c r="F1620" s="3">
        <v>0.35416666666666669</v>
      </c>
      <c r="G1620" t="s">
        <v>12026</v>
      </c>
      <c r="H1620" t="s">
        <v>7660</v>
      </c>
      <c r="I1620" t="s">
        <v>28931</v>
      </c>
      <c r="J1620" t="s">
        <v>12027</v>
      </c>
      <c r="K1620" t="s">
        <v>12028</v>
      </c>
      <c r="L1620" s="7" t="s">
        <v>12029</v>
      </c>
      <c r="M1620">
        <v>393</v>
      </c>
      <c r="N1620">
        <v>24</v>
      </c>
      <c r="O1620">
        <v>21</v>
      </c>
      <c r="P1620">
        <v>3</v>
      </c>
      <c r="Q1620">
        <v>24</v>
      </c>
      <c r="R1620">
        <v>21</v>
      </c>
      <c r="S1620">
        <v>3</v>
      </c>
      <c r="T1620">
        <v>0</v>
      </c>
      <c r="U1620" t="s">
        <v>12030</v>
      </c>
      <c r="V1620">
        <f>Tabla1[[#This Row],[Aboard]]-Tabla1[[#This Row],[Fatalities]]</f>
        <v>0</v>
      </c>
      <c r="W1620" s="50">
        <f>IFERROR(Tabla1[[#This Row],[Fatalities]]/Tabla1[[#This Row],[Aboard]],0)</f>
        <v>1</v>
      </c>
      <c r="X1620" s="51" t="str" cm="1">
        <f t="array" ref="X1620">_xlfn.IFS(Tabla1[[#This Row],[Porcentaje de muertes]]&lt;0.35,"LEVE",AND(Tabla1[[#This Row],[Porcentaje de muertes]]&gt;0.35,Tabla1[[#This Row],[Porcentaje de muertes]]&lt;0.65),"MEDIO",Tabla1[[#This Row],[Porcentaje de muertes]]&gt;0.65,"GRAVE")</f>
        <v>GRAVE</v>
      </c>
    </row>
    <row r="1621" spans="2:24" x14ac:dyDescent="0.3">
      <c r="B1621" s="9">
        <v>1620</v>
      </c>
      <c r="C1621" s="49">
        <v>20930</v>
      </c>
      <c r="D1621" s="9">
        <f>YEAR(Tabla1[[#This Row],[Date]])</f>
        <v>1957</v>
      </c>
      <c r="E1621" s="9" t="str" cm="1">
        <f t="array" ref="E1621">IFERROR(_xlfn.IFS(AND(D1621&lt;1980,D1621&gt;=1970),"70",AND(D1621&lt;1990,D1621&gt;=1980),"80",AND(D1621&lt;2000,D1621&gt;=1990),"90",AND(D1621&lt;2010,D1621&gt;=2000),"00",AND(D1621&lt;=2019,D1621&gt;=2010),"10"),"1908-1970")</f>
        <v>1908-1970</v>
      </c>
      <c r="F1621" s="3" t="s">
        <v>28931</v>
      </c>
      <c r="G1621" t="s">
        <v>12031</v>
      </c>
      <c r="H1621" t="s">
        <v>6375</v>
      </c>
      <c r="I1621" t="s">
        <v>28931</v>
      </c>
      <c r="J1621" t="s">
        <v>12032</v>
      </c>
      <c r="K1621" t="s">
        <v>12033</v>
      </c>
      <c r="L1621" s="7" t="s">
        <v>12034</v>
      </c>
      <c r="M1621">
        <v>4514</v>
      </c>
      <c r="N1621" t="s">
        <v>5038</v>
      </c>
      <c r="O1621" t="s">
        <v>5038</v>
      </c>
      <c r="P1621" t="s">
        <v>5038</v>
      </c>
      <c r="Q1621">
        <v>1</v>
      </c>
      <c r="R1621">
        <v>1</v>
      </c>
      <c r="S1621">
        <v>0</v>
      </c>
      <c r="T1621">
        <v>0</v>
      </c>
      <c r="U1621" t="s">
        <v>12035</v>
      </c>
      <c r="V1621" t="s">
        <v>5038</v>
      </c>
      <c r="W1621" s="50">
        <f>IFERROR(Tabla1[[#This Row],[Fatalities]]/Tabla1[[#This Row],[Aboard]],0)</f>
        <v>0</v>
      </c>
      <c r="X1621" s="51" t="str" cm="1">
        <f t="array" ref="X1621">_xlfn.IFS(Tabla1[[#This Row],[Porcentaje de muertes]]&lt;0.35,"LEVE",AND(Tabla1[[#This Row],[Porcentaje de muertes]]&gt;0.35,Tabla1[[#This Row],[Porcentaje de muertes]]&lt;0.65),"MEDIO",Tabla1[[#This Row],[Porcentaje de muertes]]&gt;0.65,"GRAVE")</f>
        <v>LEVE</v>
      </c>
    </row>
    <row r="1622" spans="2:24" x14ac:dyDescent="0.3">
      <c r="B1622" s="9">
        <v>1621</v>
      </c>
      <c r="C1622" s="49">
        <v>20825</v>
      </c>
      <c r="D1622" s="9">
        <f>YEAR(Tabla1[[#This Row],[Date]])</f>
        <v>1957</v>
      </c>
      <c r="E1622" s="9" t="str" cm="1">
        <f t="array" ref="E1622">IFERROR(_xlfn.IFS(AND(D1622&lt;1980,D1622&gt;=1970),"70",AND(D1622&lt;1990,D1622&gt;=1980),"80",AND(D1622&lt;2000,D1622&gt;=1990),"90",AND(D1622&lt;2010,D1622&gt;=2000),"00",AND(D1622&lt;=2019,D1622&gt;=2010),"10"),"1908-1970")</f>
        <v>1908-1970</v>
      </c>
      <c r="F1622" s="3">
        <v>0.88888888888888884</v>
      </c>
      <c r="G1622" t="s">
        <v>12036</v>
      </c>
      <c r="H1622" t="s">
        <v>12037</v>
      </c>
      <c r="I1622" t="s">
        <v>28931</v>
      </c>
      <c r="J1622" t="s">
        <v>12038</v>
      </c>
      <c r="K1622" t="s">
        <v>12039</v>
      </c>
      <c r="L1622" s="7" t="s">
        <v>12040</v>
      </c>
      <c r="M1622">
        <v>241</v>
      </c>
      <c r="N1622">
        <v>35</v>
      </c>
      <c r="O1622">
        <v>30</v>
      </c>
      <c r="P1622">
        <v>5</v>
      </c>
      <c r="Q1622">
        <v>34</v>
      </c>
      <c r="R1622">
        <v>29</v>
      </c>
      <c r="S1622">
        <v>5</v>
      </c>
      <c r="T1622">
        <v>0</v>
      </c>
      <c r="U1622" t="s">
        <v>12041</v>
      </c>
      <c r="V1622">
        <f>Tabla1[[#This Row],[Aboard]]-Tabla1[[#This Row],[Fatalities]]</f>
        <v>1</v>
      </c>
      <c r="W1622" s="50">
        <f>IFERROR(Tabla1[[#This Row],[Fatalities]]/Tabla1[[#This Row],[Aboard]],0)</f>
        <v>0.97142857142857142</v>
      </c>
      <c r="X1622" s="51" t="str" cm="1">
        <f t="array" ref="X1622">_xlfn.IFS(Tabla1[[#This Row],[Porcentaje de muertes]]&lt;0.35,"LEVE",AND(Tabla1[[#This Row],[Porcentaje de muertes]]&gt;0.35,Tabla1[[#This Row],[Porcentaje de muertes]]&lt;0.65),"MEDIO",Tabla1[[#This Row],[Porcentaje de muertes]]&gt;0.65,"GRAVE")</f>
        <v>GRAVE</v>
      </c>
    </row>
    <row r="1623" spans="2:24" x14ac:dyDescent="0.3">
      <c r="B1623" s="9">
        <v>1622</v>
      </c>
      <c r="C1623" s="49">
        <v>20945</v>
      </c>
      <c r="D1623" s="9">
        <f>YEAR(Tabla1[[#This Row],[Date]])</f>
        <v>1957</v>
      </c>
      <c r="E1623" s="9" t="str" cm="1">
        <f t="array" ref="E1623">IFERROR(_xlfn.IFS(AND(D1623&lt;1980,D1623&gt;=1970),"70",AND(D1623&lt;1990,D1623&gt;=1980),"80",AND(D1623&lt;2000,D1623&gt;=1990),"90",AND(D1623&lt;2010,D1623&gt;=2000),"00",AND(D1623&lt;=2019,D1623&gt;=2010),"10"),"1908-1970")</f>
        <v>1908-1970</v>
      </c>
      <c r="F1623" s="3" t="s">
        <v>28931</v>
      </c>
      <c r="G1623" t="s">
        <v>12042</v>
      </c>
      <c r="H1623" t="s">
        <v>11150</v>
      </c>
      <c r="I1623" t="s">
        <v>28931</v>
      </c>
      <c r="J1623" t="s">
        <v>12043</v>
      </c>
      <c r="K1623" t="s">
        <v>8105</v>
      </c>
      <c r="L1623" s="7" t="s">
        <v>12044</v>
      </c>
      <c r="M1623">
        <v>20318</v>
      </c>
      <c r="N1623">
        <v>3</v>
      </c>
      <c r="O1623">
        <v>0</v>
      </c>
      <c r="P1623">
        <v>3</v>
      </c>
      <c r="Q1623">
        <v>1</v>
      </c>
      <c r="R1623">
        <v>0</v>
      </c>
      <c r="S1623">
        <v>1</v>
      </c>
      <c r="T1623">
        <v>0</v>
      </c>
      <c r="U1623" t="s">
        <v>12045</v>
      </c>
      <c r="V1623">
        <f>Tabla1[[#This Row],[Aboard]]-Tabla1[[#This Row],[Fatalities]]</f>
        <v>2</v>
      </c>
      <c r="W1623" s="50">
        <f>IFERROR(Tabla1[[#This Row],[Fatalities]]/Tabla1[[#This Row],[Aboard]],0)</f>
        <v>0.33333333333333331</v>
      </c>
      <c r="X1623" s="51" t="str" cm="1">
        <f t="array" ref="X1623">_xlfn.IFS(Tabla1[[#This Row],[Porcentaje de muertes]]&lt;0.35,"LEVE",AND(Tabla1[[#This Row],[Porcentaje de muertes]]&gt;0.35,Tabla1[[#This Row],[Porcentaje de muertes]]&lt;0.65),"MEDIO",Tabla1[[#This Row],[Porcentaje de muertes]]&gt;0.65,"GRAVE")</f>
        <v>LEVE</v>
      </c>
    </row>
    <row r="1624" spans="2:24" x14ac:dyDescent="0.3">
      <c r="B1624" s="9">
        <v>1623</v>
      </c>
      <c r="C1624" s="49">
        <v>21068</v>
      </c>
      <c r="D1624" s="9">
        <f>YEAR(Tabla1[[#This Row],[Date]])</f>
        <v>1957</v>
      </c>
      <c r="E1624" s="9" t="str" cm="1">
        <f t="array" ref="E1624">IFERROR(_xlfn.IFS(AND(D1624&lt;1980,D1624&gt;=1970),"70",AND(D1624&lt;1990,D1624&gt;=1980),"80",AND(D1624&lt;2000,D1624&gt;=1990),"90",AND(D1624&lt;2010,D1624&gt;=2000),"00",AND(D1624&lt;=2019,D1624&gt;=2010),"10"),"1908-1970")</f>
        <v>1908-1970</v>
      </c>
      <c r="F1624" s="3">
        <v>0.7944444444444444</v>
      </c>
      <c r="G1624" t="s">
        <v>12046</v>
      </c>
      <c r="H1624" t="s">
        <v>11146</v>
      </c>
      <c r="I1624">
        <v>111</v>
      </c>
      <c r="J1624" t="s">
        <v>12047</v>
      </c>
      <c r="K1624" t="s">
        <v>10787</v>
      </c>
      <c r="L1624" s="7" t="s">
        <v>12048</v>
      </c>
      <c r="M1624">
        <v>12757</v>
      </c>
      <c r="N1624">
        <v>37</v>
      </c>
      <c r="O1624">
        <v>32</v>
      </c>
      <c r="P1624">
        <v>5</v>
      </c>
      <c r="Q1624">
        <v>37</v>
      </c>
      <c r="R1624">
        <v>32</v>
      </c>
      <c r="S1624">
        <v>5</v>
      </c>
      <c r="T1624">
        <v>0</v>
      </c>
      <c r="U1624" t="s">
        <v>12049</v>
      </c>
      <c r="V1624">
        <f>Tabla1[[#This Row],[Aboard]]-Tabla1[[#This Row],[Fatalities]]</f>
        <v>0</v>
      </c>
      <c r="W1624" s="50">
        <f>IFERROR(Tabla1[[#This Row],[Fatalities]]/Tabla1[[#This Row],[Aboard]],0)</f>
        <v>1</v>
      </c>
      <c r="X1624" s="51" t="str" cm="1">
        <f t="array" ref="X1624">_xlfn.IFS(Tabla1[[#This Row],[Porcentaje de muertes]]&lt;0.35,"LEVE",AND(Tabla1[[#This Row],[Porcentaje de muertes]]&gt;0.35,Tabla1[[#This Row],[Porcentaje de muertes]]&lt;0.65),"MEDIO",Tabla1[[#This Row],[Porcentaje de muertes]]&gt;0.65,"GRAVE")</f>
        <v>GRAVE</v>
      </c>
    </row>
    <row r="1625" spans="2:24" x14ac:dyDescent="0.3">
      <c r="B1625" s="9">
        <v>1624</v>
      </c>
      <c r="C1625" s="49">
        <v>20953</v>
      </c>
      <c r="D1625" s="9">
        <f>YEAR(Tabla1[[#This Row],[Date]])</f>
        <v>1957</v>
      </c>
      <c r="E1625" s="9" t="str" cm="1">
        <f t="array" ref="E1625">IFERROR(_xlfn.IFS(AND(D1625&lt;1980,D1625&gt;=1970),"70",AND(D1625&lt;1990,D1625&gt;=1980),"80",AND(D1625&lt;2000,D1625&gt;=1990),"90",AND(D1625&lt;2010,D1625&gt;=2000),"00",AND(D1625&lt;=2019,D1625&gt;=2010),"10"),"1908-1970")</f>
        <v>1908-1970</v>
      </c>
      <c r="F1625" s="3">
        <v>0.14930555555555555</v>
      </c>
      <c r="G1625" t="s">
        <v>12050</v>
      </c>
      <c r="H1625" t="s">
        <v>12051</v>
      </c>
      <c r="I1625" t="s">
        <v>28931</v>
      </c>
      <c r="J1625" t="s">
        <v>12052</v>
      </c>
      <c r="K1625" t="s">
        <v>8822</v>
      </c>
      <c r="L1625" s="7" t="s">
        <v>12053</v>
      </c>
      <c r="M1625">
        <v>7449</v>
      </c>
      <c r="N1625">
        <v>3</v>
      </c>
      <c r="O1625">
        <v>0</v>
      </c>
      <c r="P1625">
        <v>3</v>
      </c>
      <c r="Q1625">
        <v>2</v>
      </c>
      <c r="R1625">
        <v>0</v>
      </c>
      <c r="S1625">
        <v>2</v>
      </c>
      <c r="T1625">
        <v>0</v>
      </c>
      <c r="U1625" t="s">
        <v>12054</v>
      </c>
      <c r="V1625">
        <f>Tabla1[[#This Row],[Aboard]]-Tabla1[[#This Row],[Fatalities]]</f>
        <v>1</v>
      </c>
      <c r="W1625" s="50">
        <f>IFERROR(Tabla1[[#This Row],[Fatalities]]/Tabla1[[#This Row],[Aboard]],0)</f>
        <v>0.66666666666666663</v>
      </c>
      <c r="X1625" s="51" t="str" cm="1">
        <f t="array" ref="X1625">_xlfn.IFS(Tabla1[[#This Row],[Porcentaje de muertes]]&lt;0.35,"LEVE",AND(Tabla1[[#This Row],[Porcentaje de muertes]]&gt;0.35,Tabla1[[#This Row],[Porcentaje de muertes]]&lt;0.65),"MEDIO",Tabla1[[#This Row],[Porcentaje de muertes]]&gt;0.65,"GRAVE")</f>
        <v>GRAVE</v>
      </c>
    </row>
    <row r="1626" spans="2:24" x14ac:dyDescent="0.3">
      <c r="B1626" s="9">
        <v>1625</v>
      </c>
      <c r="C1626" s="49">
        <v>20953</v>
      </c>
      <c r="D1626" s="9">
        <f>YEAR(Tabla1[[#This Row],[Date]])</f>
        <v>1957</v>
      </c>
      <c r="E1626" s="9" t="str" cm="1">
        <f t="array" ref="E1626">IFERROR(_xlfn.IFS(AND(D1626&lt;1980,D1626&gt;=1970),"70",AND(D1626&lt;1990,D1626&gt;=1980),"80",AND(D1626&lt;2000,D1626&gt;=1990),"90",AND(D1626&lt;2010,D1626&gt;=2000),"00",AND(D1626&lt;=2019,D1626&gt;=2010),"10"),"1908-1970")</f>
        <v>1908-1970</v>
      </c>
      <c r="F1626" s="3" t="s">
        <v>28931</v>
      </c>
      <c r="G1626" t="s">
        <v>12055</v>
      </c>
      <c r="H1626" t="s">
        <v>11943</v>
      </c>
      <c r="I1626" t="s">
        <v>28931</v>
      </c>
      <c r="J1626" t="s">
        <v>12056</v>
      </c>
      <c r="K1626" t="s">
        <v>11945</v>
      </c>
      <c r="L1626" s="7" t="s">
        <v>12057</v>
      </c>
      <c r="M1626">
        <v>151</v>
      </c>
      <c r="N1626">
        <v>16</v>
      </c>
      <c r="O1626">
        <v>11</v>
      </c>
      <c r="P1626">
        <v>5</v>
      </c>
      <c r="Q1626">
        <v>16</v>
      </c>
      <c r="R1626">
        <v>11</v>
      </c>
      <c r="S1626">
        <v>5</v>
      </c>
      <c r="T1626">
        <v>0</v>
      </c>
      <c r="U1626" t="s">
        <v>12058</v>
      </c>
      <c r="V1626">
        <f>Tabla1[[#This Row],[Aboard]]-Tabla1[[#This Row],[Fatalities]]</f>
        <v>0</v>
      </c>
      <c r="W1626" s="50">
        <f>IFERROR(Tabla1[[#This Row],[Fatalities]]/Tabla1[[#This Row],[Aboard]],0)</f>
        <v>1</v>
      </c>
      <c r="X1626" s="51" t="str" cm="1">
        <f t="array" ref="X1626">_xlfn.IFS(Tabla1[[#This Row],[Porcentaje de muertes]]&lt;0.35,"LEVE",AND(Tabla1[[#This Row],[Porcentaje de muertes]]&gt;0.35,Tabla1[[#This Row],[Porcentaje de muertes]]&lt;0.65),"MEDIO",Tabla1[[#This Row],[Porcentaje de muertes]]&gt;0.65,"GRAVE")</f>
        <v>GRAVE</v>
      </c>
    </row>
    <row r="1627" spans="2:24" x14ac:dyDescent="0.3">
      <c r="B1627" s="9">
        <v>1626</v>
      </c>
      <c r="C1627" s="49">
        <v>20953</v>
      </c>
      <c r="D1627" s="9">
        <f>YEAR(Tabla1[[#This Row],[Date]])</f>
        <v>1957</v>
      </c>
      <c r="E1627" s="9" t="str" cm="1">
        <f t="array" ref="E1627">IFERROR(_xlfn.IFS(AND(D1627&lt;1980,D1627&gt;=1970),"70",AND(D1627&lt;1990,D1627&gt;=1980),"80",AND(D1627&lt;2000,D1627&gt;=1990),"90",AND(D1627&lt;2010,D1627&gt;=2000),"00",AND(D1627&lt;=2019,D1627&gt;=2010),"10"),"1908-1970")</f>
        <v>1908-1970</v>
      </c>
      <c r="F1627" s="3" t="s">
        <v>28931</v>
      </c>
      <c r="G1627" t="s">
        <v>10999</v>
      </c>
      <c r="H1627" t="s">
        <v>11150</v>
      </c>
      <c r="I1627" t="s">
        <v>28931</v>
      </c>
      <c r="J1627" t="s">
        <v>6190</v>
      </c>
      <c r="K1627" t="s">
        <v>7057</v>
      </c>
      <c r="L1627" s="7" t="s">
        <v>12059</v>
      </c>
      <c r="M1627">
        <v>13626</v>
      </c>
      <c r="N1627">
        <v>2</v>
      </c>
      <c r="O1627">
        <v>0</v>
      </c>
      <c r="P1627">
        <v>2</v>
      </c>
      <c r="Q1627">
        <v>2</v>
      </c>
      <c r="R1627">
        <v>0</v>
      </c>
      <c r="S1627">
        <v>2</v>
      </c>
      <c r="T1627">
        <v>3</v>
      </c>
      <c r="U1627" t="s">
        <v>12060</v>
      </c>
      <c r="V1627">
        <f>Tabla1[[#This Row],[Aboard]]-Tabla1[[#This Row],[Fatalities]]</f>
        <v>0</v>
      </c>
      <c r="W1627" s="50">
        <f>IFERROR(Tabla1[[#This Row],[Fatalities]]/Tabla1[[#This Row],[Aboard]],0)</f>
        <v>1</v>
      </c>
      <c r="X1627" s="51" t="str" cm="1">
        <f t="array" ref="X1627">_xlfn.IFS(Tabla1[[#This Row],[Porcentaje de muertes]]&lt;0.35,"LEVE",AND(Tabla1[[#This Row],[Porcentaje de muertes]]&gt;0.35,Tabla1[[#This Row],[Porcentaje de muertes]]&lt;0.65),"MEDIO",Tabla1[[#This Row],[Porcentaje de muertes]]&gt;0.65,"GRAVE")</f>
        <v>GRAVE</v>
      </c>
    </row>
    <row r="1628" spans="2:24" x14ac:dyDescent="0.3">
      <c r="B1628" s="9">
        <v>1627</v>
      </c>
      <c r="C1628" s="49">
        <v>20985</v>
      </c>
      <c r="D1628" s="9">
        <f>YEAR(Tabla1[[#This Row],[Date]])</f>
        <v>1957</v>
      </c>
      <c r="E1628" s="9" t="str" cm="1">
        <f t="array" ref="E1628">IFERROR(_xlfn.IFS(AND(D1628&lt;1980,D1628&gt;=1970),"70",AND(D1628&lt;1990,D1628&gt;=1980),"80",AND(D1628&lt;2000,D1628&gt;=1990),"90",AND(D1628&lt;2010,D1628&gt;=2000),"00",AND(D1628&lt;=2019,D1628&gt;=2010),"10"),"1908-1970")</f>
        <v>1908-1970</v>
      </c>
      <c r="F1628" s="3">
        <v>0.96527777777777779</v>
      </c>
      <c r="G1628" t="s">
        <v>6590</v>
      </c>
      <c r="H1628" t="s">
        <v>7237</v>
      </c>
      <c r="I1628">
        <v>232</v>
      </c>
      <c r="J1628" t="s">
        <v>12061</v>
      </c>
      <c r="K1628" t="s">
        <v>12062</v>
      </c>
      <c r="L1628" s="7" t="s">
        <v>12063</v>
      </c>
      <c r="M1628">
        <v>6341407</v>
      </c>
      <c r="N1628">
        <v>13</v>
      </c>
      <c r="O1628">
        <v>8</v>
      </c>
      <c r="P1628">
        <v>5</v>
      </c>
      <c r="Q1628">
        <v>9</v>
      </c>
      <c r="R1628">
        <v>5</v>
      </c>
      <c r="S1628">
        <v>4</v>
      </c>
      <c r="T1628">
        <v>0</v>
      </c>
      <c r="U1628" t="s">
        <v>12064</v>
      </c>
      <c r="V1628">
        <f>Tabla1[[#This Row],[Aboard]]-Tabla1[[#This Row],[Fatalities]]</f>
        <v>4</v>
      </c>
      <c r="W1628" s="50">
        <f>IFERROR(Tabla1[[#This Row],[Fatalities]]/Tabla1[[#This Row],[Aboard]],0)</f>
        <v>0.69230769230769229</v>
      </c>
      <c r="X1628" s="51" t="str" cm="1">
        <f t="array" ref="X1628">_xlfn.IFS(Tabla1[[#This Row],[Porcentaje de muertes]]&lt;0.35,"LEVE",AND(Tabla1[[#This Row],[Porcentaje de muertes]]&gt;0.35,Tabla1[[#This Row],[Porcentaje de muertes]]&lt;0.65),"MEDIO",Tabla1[[#This Row],[Porcentaje de muertes]]&gt;0.65,"GRAVE")</f>
        <v>GRAVE</v>
      </c>
    </row>
    <row r="1629" spans="2:24" x14ac:dyDescent="0.3">
      <c r="B1629" s="9">
        <v>1628</v>
      </c>
      <c r="C1629" s="49">
        <v>20989</v>
      </c>
      <c r="D1629" s="9">
        <f>YEAR(Tabla1[[#This Row],[Date]])</f>
        <v>1957</v>
      </c>
      <c r="E1629" s="9" t="str" cm="1">
        <f t="array" ref="E1629">IFERROR(_xlfn.IFS(AND(D1629&lt;1980,D1629&gt;=1970),"70",AND(D1629&lt;1990,D1629&gt;=1980),"80",AND(D1629&lt;2000,D1629&gt;=1990),"90",AND(D1629&lt;2010,D1629&gt;=2000),"00",AND(D1629&lt;=2019,D1629&gt;=2010),"10"),"1908-1970")</f>
        <v>1908-1970</v>
      </c>
      <c r="F1629" s="3">
        <v>0.43055555555555558</v>
      </c>
      <c r="G1629" t="s">
        <v>12065</v>
      </c>
      <c r="H1629" t="s">
        <v>6471</v>
      </c>
      <c r="I1629" t="s">
        <v>28931</v>
      </c>
      <c r="J1629" t="s">
        <v>6190</v>
      </c>
      <c r="K1629" t="s">
        <v>8465</v>
      </c>
      <c r="L1629" s="7" t="s">
        <v>12066</v>
      </c>
      <c r="M1629">
        <v>20737</v>
      </c>
      <c r="N1629">
        <v>9</v>
      </c>
      <c r="O1629">
        <v>0</v>
      </c>
      <c r="P1629">
        <v>9</v>
      </c>
      <c r="Q1629">
        <v>9</v>
      </c>
      <c r="R1629">
        <v>0</v>
      </c>
      <c r="S1629">
        <v>9</v>
      </c>
      <c r="T1629">
        <v>0</v>
      </c>
      <c r="U1629" t="s">
        <v>12067</v>
      </c>
      <c r="V1629">
        <f>Tabla1[[#This Row],[Aboard]]-Tabla1[[#This Row],[Fatalities]]</f>
        <v>0</v>
      </c>
      <c r="W1629" s="50">
        <f>IFERROR(Tabla1[[#This Row],[Fatalities]]/Tabla1[[#This Row],[Aboard]],0)</f>
        <v>1</v>
      </c>
      <c r="X1629" s="51" t="str" cm="1">
        <f t="array" ref="X1629">_xlfn.IFS(Tabla1[[#This Row],[Porcentaje de muertes]]&lt;0.35,"LEVE",AND(Tabla1[[#This Row],[Porcentaje de muertes]]&gt;0.35,Tabla1[[#This Row],[Porcentaje de muertes]]&lt;0.65),"MEDIO",Tabla1[[#This Row],[Porcentaje de muertes]]&gt;0.65,"GRAVE")</f>
        <v>GRAVE</v>
      </c>
    </row>
    <row r="1630" spans="2:24" x14ac:dyDescent="0.3">
      <c r="B1630" s="9">
        <v>1629</v>
      </c>
      <c r="C1630" s="49">
        <v>20993</v>
      </c>
      <c r="D1630" s="9">
        <f>YEAR(Tabla1[[#This Row],[Date]])</f>
        <v>1957</v>
      </c>
      <c r="E1630" s="9" t="str" cm="1">
        <f t="array" ref="E1630">IFERROR(_xlfn.IFS(AND(D1630&lt;1980,D1630&gt;=1970),"70",AND(D1630&lt;1990,D1630&gt;=1980),"80",AND(D1630&lt;2000,D1630&gt;=1990),"90",AND(D1630&lt;2010,D1630&gt;=2000),"00",AND(D1630&lt;=2019,D1630&gt;=2010),"10"),"1908-1970")</f>
        <v>1908-1970</v>
      </c>
      <c r="F1630" s="3">
        <v>0.3263888888888889</v>
      </c>
      <c r="G1630" t="s">
        <v>12068</v>
      </c>
      <c r="H1630" t="s">
        <v>9977</v>
      </c>
      <c r="I1630" t="s">
        <v>28931</v>
      </c>
      <c r="J1630" t="s">
        <v>6190</v>
      </c>
      <c r="K1630" t="s">
        <v>8105</v>
      </c>
      <c r="L1630" s="7" t="s">
        <v>12069</v>
      </c>
      <c r="M1630">
        <v>19448</v>
      </c>
      <c r="N1630">
        <v>3</v>
      </c>
      <c r="O1630">
        <v>0</v>
      </c>
      <c r="P1630">
        <v>3</v>
      </c>
      <c r="Q1630">
        <v>3</v>
      </c>
      <c r="R1630">
        <v>0</v>
      </c>
      <c r="S1630">
        <v>3</v>
      </c>
      <c r="T1630">
        <v>0</v>
      </c>
      <c r="U1630" t="s">
        <v>12070</v>
      </c>
      <c r="V1630">
        <f>Tabla1[[#This Row],[Aboard]]-Tabla1[[#This Row],[Fatalities]]</f>
        <v>0</v>
      </c>
      <c r="W1630" s="50">
        <f>IFERROR(Tabla1[[#This Row],[Fatalities]]/Tabla1[[#This Row],[Aboard]],0)</f>
        <v>1</v>
      </c>
      <c r="X1630" s="51" t="str" cm="1">
        <f t="array" ref="X1630">_xlfn.IFS(Tabla1[[#This Row],[Porcentaje de muertes]]&lt;0.35,"LEVE",AND(Tabla1[[#This Row],[Porcentaje de muertes]]&gt;0.35,Tabla1[[#This Row],[Porcentaje de muertes]]&lt;0.65),"MEDIO",Tabla1[[#This Row],[Porcentaje de muertes]]&gt;0.65,"GRAVE")</f>
        <v>GRAVE</v>
      </c>
    </row>
    <row r="1631" spans="2:24" x14ac:dyDescent="0.3">
      <c r="B1631" s="9">
        <v>1630</v>
      </c>
      <c r="C1631" s="49">
        <v>20994</v>
      </c>
      <c r="D1631" s="9">
        <f>YEAR(Tabla1[[#This Row],[Date]])</f>
        <v>1957</v>
      </c>
      <c r="E1631" s="9" t="str" cm="1">
        <f t="array" ref="E1631">IFERROR(_xlfn.IFS(AND(D1631&lt;1980,D1631&gt;=1970),"70",AND(D1631&lt;1990,D1631&gt;=1980),"80",AND(D1631&lt;2000,D1631&gt;=1990),"90",AND(D1631&lt;2010,D1631&gt;=2000),"00",AND(D1631&lt;=2019,D1631&gt;=2010),"10"),"1908-1970")</f>
        <v>1908-1970</v>
      </c>
      <c r="F1631" s="3">
        <v>0.59722222222222221</v>
      </c>
      <c r="G1631" t="s">
        <v>12071</v>
      </c>
      <c r="H1631" t="s">
        <v>12072</v>
      </c>
      <c r="I1631" t="s">
        <v>28931</v>
      </c>
      <c r="J1631" t="s">
        <v>12073</v>
      </c>
      <c r="K1631" t="s">
        <v>7057</v>
      </c>
      <c r="L1631" s="7" t="s">
        <v>12074</v>
      </c>
      <c r="M1631">
        <v>7408</v>
      </c>
      <c r="N1631">
        <v>18</v>
      </c>
      <c r="O1631">
        <v>15</v>
      </c>
      <c r="P1631">
        <v>3</v>
      </c>
      <c r="Q1631">
        <v>14</v>
      </c>
      <c r="R1631">
        <v>12</v>
      </c>
      <c r="S1631">
        <v>2</v>
      </c>
      <c r="T1631">
        <v>0</v>
      </c>
      <c r="U1631" t="s">
        <v>12075</v>
      </c>
      <c r="V1631">
        <f>Tabla1[[#This Row],[Aboard]]-Tabla1[[#This Row],[Fatalities]]</f>
        <v>4</v>
      </c>
      <c r="W1631" s="50">
        <f>IFERROR(Tabla1[[#This Row],[Fatalities]]/Tabla1[[#This Row],[Aboard]],0)</f>
        <v>0.77777777777777779</v>
      </c>
      <c r="X1631" s="51" t="str" cm="1">
        <f t="array" ref="X1631">_xlfn.IFS(Tabla1[[#This Row],[Porcentaje de muertes]]&lt;0.35,"LEVE",AND(Tabla1[[#This Row],[Porcentaje de muertes]]&gt;0.35,Tabla1[[#This Row],[Porcentaje de muertes]]&lt;0.65),"MEDIO",Tabla1[[#This Row],[Porcentaje de muertes]]&gt;0.65,"GRAVE")</f>
        <v>GRAVE</v>
      </c>
    </row>
    <row r="1632" spans="2:24" x14ac:dyDescent="0.3">
      <c r="B1632" s="9">
        <v>1631</v>
      </c>
      <c r="C1632" s="49">
        <v>20995</v>
      </c>
      <c r="D1632" s="9">
        <f>YEAR(Tabla1[[#This Row],[Date]])</f>
        <v>1957</v>
      </c>
      <c r="E1632" s="9" t="str" cm="1">
        <f t="array" ref="E1632">IFERROR(_xlfn.IFS(AND(D1632&lt;1980,D1632&gt;=1970),"70",AND(D1632&lt;1990,D1632&gt;=1980),"80",AND(D1632&lt;2000,D1632&gt;=1990),"90",AND(D1632&lt;2010,D1632&gt;=2000),"00",AND(D1632&lt;=2019,D1632&gt;=2010),"10"),"1908-1970")</f>
        <v>1908-1970</v>
      </c>
      <c r="F1632" s="3" t="s">
        <v>28931</v>
      </c>
      <c r="G1632" t="s">
        <v>12076</v>
      </c>
      <c r="H1632" t="s">
        <v>12077</v>
      </c>
      <c r="I1632" t="s">
        <v>28931</v>
      </c>
      <c r="J1632" t="s">
        <v>28931</v>
      </c>
      <c r="K1632" t="s">
        <v>12078</v>
      </c>
      <c r="L1632" s="7" t="s">
        <v>28931</v>
      </c>
      <c r="M1632" t="s">
        <v>28931</v>
      </c>
      <c r="N1632" t="s">
        <v>5038</v>
      </c>
      <c r="O1632" t="s">
        <v>5038</v>
      </c>
      <c r="P1632" t="s">
        <v>5038</v>
      </c>
      <c r="Q1632">
        <v>6</v>
      </c>
      <c r="R1632" t="s">
        <v>5038</v>
      </c>
      <c r="S1632" t="s">
        <v>5038</v>
      </c>
      <c r="T1632" t="s">
        <v>5038</v>
      </c>
      <c r="U1632" t="s">
        <v>12079</v>
      </c>
      <c r="V1632" t="s">
        <v>5038</v>
      </c>
      <c r="W1632" s="50">
        <f>IFERROR(Tabla1[[#This Row],[Fatalities]]/Tabla1[[#This Row],[Aboard]],0)</f>
        <v>0</v>
      </c>
      <c r="X1632" s="51" t="str" cm="1">
        <f t="array" ref="X1632">_xlfn.IFS(Tabla1[[#This Row],[Porcentaje de muertes]]&lt;0.35,"LEVE",AND(Tabla1[[#This Row],[Porcentaje de muertes]]&gt;0.35,Tabla1[[#This Row],[Porcentaje de muertes]]&lt;0.65),"MEDIO",Tabla1[[#This Row],[Porcentaje de muertes]]&gt;0.65,"GRAVE")</f>
        <v>LEVE</v>
      </c>
    </row>
    <row r="1633" spans="2:24" x14ac:dyDescent="0.3">
      <c r="B1633" s="9">
        <v>1632</v>
      </c>
      <c r="C1633" s="49">
        <v>20827</v>
      </c>
      <c r="D1633" s="9">
        <f>YEAR(Tabla1[[#This Row],[Date]])</f>
        <v>1957</v>
      </c>
      <c r="E1633" s="9" t="str" cm="1">
        <f t="array" ref="E1633">IFERROR(_xlfn.IFS(AND(D1633&lt;1980,D1633&gt;=1970),"70",AND(D1633&lt;1990,D1633&gt;=1980),"80",AND(D1633&lt;2000,D1633&gt;=1990),"90",AND(D1633&lt;2010,D1633&gt;=2000),"00",AND(D1633&lt;=2019,D1633&gt;=2010),"10"),"1908-1970")</f>
        <v>1908-1970</v>
      </c>
      <c r="F1633" s="3" t="s">
        <v>28931</v>
      </c>
      <c r="G1633" t="s">
        <v>12080</v>
      </c>
      <c r="H1633" t="s">
        <v>11736</v>
      </c>
      <c r="I1633" t="s">
        <v>28931</v>
      </c>
      <c r="J1633" t="s">
        <v>12081</v>
      </c>
      <c r="K1633" t="s">
        <v>7057</v>
      </c>
      <c r="L1633" s="7" t="s">
        <v>12082</v>
      </c>
      <c r="M1633">
        <v>12501</v>
      </c>
      <c r="N1633">
        <v>24</v>
      </c>
      <c r="O1633">
        <v>20</v>
      </c>
      <c r="P1633">
        <v>4</v>
      </c>
      <c r="Q1633">
        <v>24</v>
      </c>
      <c r="R1633">
        <v>20</v>
      </c>
      <c r="S1633">
        <v>4</v>
      </c>
      <c r="T1633">
        <v>0</v>
      </c>
      <c r="U1633" t="s">
        <v>12083</v>
      </c>
      <c r="V1633">
        <f>Tabla1[[#This Row],[Aboard]]-Tabla1[[#This Row],[Fatalities]]</f>
        <v>0</v>
      </c>
      <c r="W1633" s="50">
        <f>IFERROR(Tabla1[[#This Row],[Fatalities]]/Tabla1[[#This Row],[Aboard]],0)</f>
        <v>1</v>
      </c>
      <c r="X1633" s="51" t="str" cm="1">
        <f t="array" ref="X1633">_xlfn.IFS(Tabla1[[#This Row],[Porcentaje de muertes]]&lt;0.35,"LEVE",AND(Tabla1[[#This Row],[Porcentaje de muertes]]&gt;0.35,Tabla1[[#This Row],[Porcentaje de muertes]]&lt;0.65),"MEDIO",Tabla1[[#This Row],[Porcentaje de muertes]]&gt;0.65,"GRAVE")</f>
        <v>GRAVE</v>
      </c>
    </row>
    <row r="1634" spans="2:24" x14ac:dyDescent="0.3">
      <c r="B1634" s="9">
        <v>1633</v>
      </c>
      <c r="C1634" s="49">
        <v>20886</v>
      </c>
      <c r="D1634" s="9">
        <f>YEAR(Tabla1[[#This Row],[Date]])</f>
        <v>1957</v>
      </c>
      <c r="E1634" s="9" t="str" cm="1">
        <f t="array" ref="E1634">IFERROR(_xlfn.IFS(AND(D1634&lt;1980,D1634&gt;=1970),"70",AND(D1634&lt;1990,D1634&gt;=1980),"80",AND(D1634&lt;2000,D1634&gt;=1990),"90",AND(D1634&lt;2010,D1634&gt;=2000),"00",AND(D1634&lt;=2019,D1634&gt;=2010),"10"),"1908-1970")</f>
        <v>1908-1970</v>
      </c>
      <c r="F1634" s="3" t="s">
        <v>28931</v>
      </c>
      <c r="G1634" t="s">
        <v>12084</v>
      </c>
      <c r="H1634" t="s">
        <v>12085</v>
      </c>
      <c r="I1634" t="s">
        <v>28931</v>
      </c>
      <c r="J1634" t="s">
        <v>12086</v>
      </c>
      <c r="K1634" t="s">
        <v>28942</v>
      </c>
      <c r="L1634" s="7" t="s">
        <v>12087</v>
      </c>
      <c r="M1634" t="s">
        <v>12088</v>
      </c>
      <c r="N1634">
        <v>4</v>
      </c>
      <c r="O1634">
        <v>2</v>
      </c>
      <c r="P1634">
        <v>2</v>
      </c>
      <c r="Q1634">
        <v>4</v>
      </c>
      <c r="R1634">
        <v>2</v>
      </c>
      <c r="S1634">
        <v>2</v>
      </c>
      <c r="T1634" t="s">
        <v>5038</v>
      </c>
      <c r="U1634" t="s">
        <v>12089</v>
      </c>
      <c r="V1634">
        <f>Tabla1[[#This Row],[Aboard]]-Tabla1[[#This Row],[Fatalities]]</f>
        <v>0</v>
      </c>
      <c r="W1634" s="50">
        <f>IFERROR(Tabla1[[#This Row],[Fatalities]]/Tabla1[[#This Row],[Aboard]],0)</f>
        <v>1</v>
      </c>
      <c r="X1634" s="51" t="str" cm="1">
        <f t="array" ref="X1634">_xlfn.IFS(Tabla1[[#This Row],[Porcentaje de muertes]]&lt;0.35,"LEVE",AND(Tabla1[[#This Row],[Porcentaje de muertes]]&gt;0.35,Tabla1[[#This Row],[Porcentaje de muertes]]&lt;0.65),"MEDIO",Tabla1[[#This Row],[Porcentaje de muertes]]&gt;0.65,"GRAVE")</f>
        <v>GRAVE</v>
      </c>
    </row>
    <row r="1635" spans="2:24" x14ac:dyDescent="0.3">
      <c r="B1635" s="9">
        <v>1634</v>
      </c>
      <c r="C1635" s="49">
        <v>21017</v>
      </c>
      <c r="D1635" s="9">
        <f>YEAR(Tabla1[[#This Row],[Date]])</f>
        <v>1957</v>
      </c>
      <c r="E1635" s="9" t="str" cm="1">
        <f t="array" ref="E1635">IFERROR(_xlfn.IFS(AND(D1635&lt;1980,D1635&gt;=1970),"70",AND(D1635&lt;1990,D1635&gt;=1980),"80",AND(D1635&lt;2000,D1635&gt;=1990),"90",AND(D1635&lt;2010,D1635&gt;=2000),"00",AND(D1635&lt;=2019,D1635&gt;=2010),"10"),"1908-1970")</f>
        <v>1908-1970</v>
      </c>
      <c r="F1635" s="3">
        <v>0.88888888888888884</v>
      </c>
      <c r="G1635" t="s">
        <v>12090</v>
      </c>
      <c r="H1635" t="s">
        <v>12091</v>
      </c>
      <c r="I1635" t="s">
        <v>28931</v>
      </c>
      <c r="J1635" t="s">
        <v>12092</v>
      </c>
      <c r="K1635" t="s">
        <v>12093</v>
      </c>
      <c r="L1635" s="7" t="s">
        <v>12094</v>
      </c>
      <c r="M1635">
        <v>20333</v>
      </c>
      <c r="N1635">
        <v>16</v>
      </c>
      <c r="O1635">
        <v>9</v>
      </c>
      <c r="P1635">
        <v>7</v>
      </c>
      <c r="Q1635">
        <v>16</v>
      </c>
      <c r="R1635">
        <v>9</v>
      </c>
      <c r="S1635">
        <v>7</v>
      </c>
      <c r="T1635">
        <v>0</v>
      </c>
      <c r="U1635" t="s">
        <v>12095</v>
      </c>
      <c r="V1635">
        <f>Tabla1[[#This Row],[Aboard]]-Tabla1[[#This Row],[Fatalities]]</f>
        <v>0</v>
      </c>
      <c r="W1635" s="50">
        <f>IFERROR(Tabla1[[#This Row],[Fatalities]]/Tabla1[[#This Row],[Aboard]],0)</f>
        <v>1</v>
      </c>
      <c r="X1635" s="51" t="str" cm="1">
        <f t="array" ref="X1635">_xlfn.IFS(Tabla1[[#This Row],[Porcentaje de muertes]]&lt;0.35,"LEVE",AND(Tabla1[[#This Row],[Porcentaje de muertes]]&gt;0.35,Tabla1[[#This Row],[Porcentaje de muertes]]&lt;0.65),"MEDIO",Tabla1[[#This Row],[Porcentaje de muertes]]&gt;0.65,"GRAVE")</f>
        <v>GRAVE</v>
      </c>
    </row>
    <row r="1636" spans="2:24" x14ac:dyDescent="0.3">
      <c r="B1636" s="9">
        <v>1635</v>
      </c>
      <c r="C1636" s="49">
        <v>21017</v>
      </c>
      <c r="D1636" s="9">
        <f>YEAR(Tabla1[[#This Row],[Date]])</f>
        <v>1957</v>
      </c>
      <c r="E1636" s="9" t="str" cm="1">
        <f t="array" ref="E1636">IFERROR(_xlfn.IFS(AND(D1636&lt;1980,D1636&gt;=1970),"70",AND(D1636&lt;1990,D1636&gt;=1980),"80",AND(D1636&lt;2000,D1636&gt;=1990),"90",AND(D1636&lt;2010,D1636&gt;=2000),"00",AND(D1636&lt;=2019,D1636&gt;=2010),"10"),"1908-1970")</f>
        <v>1908-1970</v>
      </c>
      <c r="F1636" s="3">
        <v>0.15</v>
      </c>
      <c r="G1636" t="s">
        <v>12096</v>
      </c>
      <c r="H1636" t="s">
        <v>5332</v>
      </c>
      <c r="I1636">
        <v>844</v>
      </c>
      <c r="J1636" t="s">
        <v>12097</v>
      </c>
      <c r="K1636" t="s">
        <v>12098</v>
      </c>
      <c r="L1636" s="7" t="s">
        <v>12099</v>
      </c>
      <c r="M1636">
        <v>4504</v>
      </c>
      <c r="N1636">
        <v>68</v>
      </c>
      <c r="O1636">
        <v>59</v>
      </c>
      <c r="P1636">
        <v>9</v>
      </c>
      <c r="Q1636">
        <v>58</v>
      </c>
      <c r="R1636">
        <v>49</v>
      </c>
      <c r="S1636">
        <v>9</v>
      </c>
      <c r="T1636">
        <v>0</v>
      </c>
      <c r="U1636" t="s">
        <v>12100</v>
      </c>
      <c r="V1636">
        <f>Tabla1[[#This Row],[Aboard]]-Tabla1[[#This Row],[Fatalities]]</f>
        <v>10</v>
      </c>
      <c r="W1636" s="50">
        <f>IFERROR(Tabla1[[#This Row],[Fatalities]]/Tabla1[[#This Row],[Aboard]],0)</f>
        <v>0.8529411764705882</v>
      </c>
      <c r="X1636" s="51" t="str" cm="1">
        <f t="array" ref="X1636">_xlfn.IFS(Tabla1[[#This Row],[Porcentaje de muertes]]&lt;0.35,"LEVE",AND(Tabla1[[#This Row],[Porcentaje de muertes]]&gt;0.35,Tabla1[[#This Row],[Porcentaje de muertes]]&lt;0.65),"MEDIO",Tabla1[[#This Row],[Porcentaje de muertes]]&gt;0.65,"GRAVE")</f>
        <v>GRAVE</v>
      </c>
    </row>
    <row r="1637" spans="2:24" x14ac:dyDescent="0.3">
      <c r="B1637" s="9">
        <v>1636</v>
      </c>
      <c r="C1637" s="49">
        <v>21026</v>
      </c>
      <c r="D1637" s="9">
        <f>YEAR(Tabla1[[#This Row],[Date]])</f>
        <v>1957</v>
      </c>
      <c r="E1637" s="9" t="str" cm="1">
        <f t="array" ref="E1637">IFERROR(_xlfn.IFS(AND(D1637&lt;1980,D1637&gt;=1970),"70",AND(D1637&lt;1990,D1637&gt;=1980),"80",AND(D1637&lt;2000,D1637&gt;=1990),"90",AND(D1637&lt;2010,D1637&gt;=2000),"00",AND(D1637&lt;=2019,D1637&gt;=2010),"10"),"1908-1970")</f>
        <v>1908-1970</v>
      </c>
      <c r="F1637" s="3">
        <v>0.15069444444444444</v>
      </c>
      <c r="G1637" t="s">
        <v>12101</v>
      </c>
      <c r="H1637" t="s">
        <v>7873</v>
      </c>
      <c r="I1637">
        <v>39</v>
      </c>
      <c r="J1637" t="s">
        <v>12102</v>
      </c>
      <c r="K1637" t="s">
        <v>11169</v>
      </c>
      <c r="L1637" s="7" t="s">
        <v>12103</v>
      </c>
      <c r="M1637">
        <v>22</v>
      </c>
      <c r="N1637">
        <v>16</v>
      </c>
      <c r="O1637">
        <v>13</v>
      </c>
      <c r="P1637">
        <v>3</v>
      </c>
      <c r="Q1637">
        <v>1</v>
      </c>
      <c r="R1637">
        <v>1</v>
      </c>
      <c r="S1637">
        <v>0</v>
      </c>
      <c r="T1637">
        <v>0</v>
      </c>
      <c r="U1637" t="s">
        <v>12104</v>
      </c>
      <c r="V1637">
        <f>Tabla1[[#This Row],[Aboard]]-Tabla1[[#This Row],[Fatalities]]</f>
        <v>15</v>
      </c>
      <c r="W1637" s="50">
        <f>IFERROR(Tabla1[[#This Row],[Fatalities]]/Tabla1[[#This Row],[Aboard]],0)</f>
        <v>6.25E-2</v>
      </c>
      <c r="X1637" s="51" t="str" cm="1">
        <f t="array" ref="X1637">_xlfn.IFS(Tabla1[[#This Row],[Porcentaje de muertes]]&lt;0.35,"LEVE",AND(Tabla1[[#This Row],[Porcentaje de muertes]]&gt;0.35,Tabla1[[#This Row],[Porcentaje de muertes]]&lt;0.65),"MEDIO",Tabla1[[#This Row],[Porcentaje de muertes]]&gt;0.65,"GRAVE")</f>
        <v>LEVE</v>
      </c>
    </row>
    <row r="1638" spans="2:24" x14ac:dyDescent="0.3">
      <c r="B1638" s="9">
        <v>1637</v>
      </c>
      <c r="C1638" s="49">
        <v>21132</v>
      </c>
      <c r="D1638" s="9">
        <f>YEAR(Tabla1[[#This Row],[Date]])</f>
        <v>1957</v>
      </c>
      <c r="E1638" s="9" t="str" cm="1">
        <f t="array" ref="E1638">IFERROR(_xlfn.IFS(AND(D1638&lt;1980,D1638&gt;=1970),"70",AND(D1638&lt;1990,D1638&gt;=1980),"80",AND(D1638&lt;2000,D1638&gt;=1990),"90",AND(D1638&lt;2010,D1638&gt;=2000),"00",AND(D1638&lt;=2019,D1638&gt;=2010),"10"),"1908-1970")</f>
        <v>1908-1970</v>
      </c>
      <c r="F1638" s="3">
        <v>0.59375</v>
      </c>
      <c r="G1638" t="s">
        <v>12105</v>
      </c>
      <c r="H1638" t="s">
        <v>10668</v>
      </c>
      <c r="I1638" t="s">
        <v>28931</v>
      </c>
      <c r="J1638" t="s">
        <v>12106</v>
      </c>
      <c r="K1638" t="s">
        <v>8822</v>
      </c>
      <c r="L1638" s="7" t="s">
        <v>12107</v>
      </c>
      <c r="M1638">
        <v>18374</v>
      </c>
      <c r="N1638">
        <v>79</v>
      </c>
      <c r="O1638">
        <v>73</v>
      </c>
      <c r="P1638">
        <v>6</v>
      </c>
      <c r="Q1638">
        <v>79</v>
      </c>
      <c r="R1638">
        <v>73</v>
      </c>
      <c r="S1638">
        <v>6</v>
      </c>
      <c r="T1638">
        <v>0</v>
      </c>
      <c r="U1638" t="s">
        <v>12108</v>
      </c>
      <c r="V1638">
        <f>Tabla1[[#This Row],[Aboard]]-Tabla1[[#This Row],[Fatalities]]</f>
        <v>0</v>
      </c>
      <c r="W1638" s="50">
        <f>IFERROR(Tabla1[[#This Row],[Fatalities]]/Tabla1[[#This Row],[Aboard]],0)</f>
        <v>1</v>
      </c>
      <c r="X1638" s="51" t="str" cm="1">
        <f t="array" ref="X1638">_xlfn.IFS(Tabla1[[#This Row],[Porcentaje de muertes]]&lt;0.35,"LEVE",AND(Tabla1[[#This Row],[Porcentaje de muertes]]&gt;0.35,Tabla1[[#This Row],[Porcentaje de muertes]]&lt;0.65),"MEDIO",Tabla1[[#This Row],[Porcentaje de muertes]]&gt;0.65,"GRAVE")</f>
        <v>GRAVE</v>
      </c>
    </row>
    <row r="1639" spans="2:24" x14ac:dyDescent="0.3">
      <c r="B1639" s="9">
        <v>1638</v>
      </c>
      <c r="C1639" s="49">
        <v>21047</v>
      </c>
      <c r="D1639" s="9">
        <f>YEAR(Tabla1[[#This Row],[Date]])</f>
        <v>1957</v>
      </c>
      <c r="E1639" s="9" t="str" cm="1">
        <f t="array" ref="E1639">IFERROR(_xlfn.IFS(AND(D1639&lt;1980,D1639&gt;=1970),"70",AND(D1639&lt;1990,D1639&gt;=1980),"80",AND(D1639&lt;2000,D1639&gt;=1990),"90",AND(D1639&lt;2010,D1639&gt;=2000),"00",AND(D1639&lt;=2019,D1639&gt;=2010),"10"),"1908-1970")</f>
        <v>1908-1970</v>
      </c>
      <c r="F1639" s="3">
        <v>0.27083333333333331</v>
      </c>
      <c r="G1639" t="s">
        <v>8995</v>
      </c>
      <c r="H1639" t="s">
        <v>6541</v>
      </c>
      <c r="I1639">
        <v>103</v>
      </c>
      <c r="J1639" t="s">
        <v>12109</v>
      </c>
      <c r="K1639" t="s">
        <v>12110</v>
      </c>
      <c r="L1639" s="7" t="s">
        <v>12111</v>
      </c>
      <c r="M1639">
        <v>146000607</v>
      </c>
      <c r="N1639">
        <v>23</v>
      </c>
      <c r="O1639">
        <v>18</v>
      </c>
      <c r="P1639">
        <v>5</v>
      </c>
      <c r="Q1639">
        <v>23</v>
      </c>
      <c r="R1639">
        <v>18</v>
      </c>
      <c r="S1639">
        <v>5</v>
      </c>
      <c r="T1639">
        <v>0</v>
      </c>
      <c r="U1639" t="s">
        <v>12112</v>
      </c>
      <c r="V1639">
        <f>Tabla1[[#This Row],[Aboard]]-Tabla1[[#This Row],[Fatalities]]</f>
        <v>0</v>
      </c>
      <c r="W1639" s="50">
        <f>IFERROR(Tabla1[[#This Row],[Fatalities]]/Tabla1[[#This Row],[Aboard]],0)</f>
        <v>1</v>
      </c>
      <c r="X1639" s="51" t="str" cm="1">
        <f t="array" ref="X1639">_xlfn.IFS(Tabla1[[#This Row],[Porcentaje de muertes]]&lt;0.35,"LEVE",AND(Tabla1[[#This Row],[Porcentaje de muertes]]&gt;0.35,Tabla1[[#This Row],[Porcentaje de muertes]]&lt;0.65),"MEDIO",Tabla1[[#This Row],[Porcentaje de muertes]]&gt;0.65,"GRAVE")</f>
        <v>GRAVE</v>
      </c>
    </row>
    <row r="1640" spans="2:24" x14ac:dyDescent="0.3">
      <c r="B1640" s="9">
        <v>1639</v>
      </c>
      <c r="C1640" s="49">
        <v>21052</v>
      </c>
      <c r="D1640" s="9">
        <f>YEAR(Tabla1[[#This Row],[Date]])</f>
        <v>1957</v>
      </c>
      <c r="E1640" s="9" t="str" cm="1">
        <f t="array" ref="E1640">IFERROR(_xlfn.IFS(AND(D1640&lt;1980,D1640&gt;=1970),"70",AND(D1640&lt;1990,D1640&gt;=1980),"80",AND(D1640&lt;2000,D1640&gt;=1990),"90",AND(D1640&lt;2010,D1640&gt;=2000),"00",AND(D1640&lt;=2019,D1640&gt;=2010),"10"),"1908-1970")</f>
        <v>1908-1970</v>
      </c>
      <c r="F1640" s="3" t="s">
        <v>28931</v>
      </c>
      <c r="G1640" t="s">
        <v>12113</v>
      </c>
      <c r="H1640" t="s">
        <v>10238</v>
      </c>
      <c r="I1640" t="s">
        <v>28931</v>
      </c>
      <c r="J1640" t="s">
        <v>12114</v>
      </c>
      <c r="K1640" t="s">
        <v>7057</v>
      </c>
      <c r="L1640" s="7" t="s">
        <v>12115</v>
      </c>
      <c r="M1640">
        <v>4851</v>
      </c>
      <c r="N1640">
        <v>8</v>
      </c>
      <c r="O1640">
        <v>0</v>
      </c>
      <c r="P1640">
        <v>8</v>
      </c>
      <c r="Q1640">
        <v>8</v>
      </c>
      <c r="R1640">
        <v>0</v>
      </c>
      <c r="S1640">
        <v>8</v>
      </c>
      <c r="T1640">
        <v>0</v>
      </c>
      <c r="U1640" t="s">
        <v>12116</v>
      </c>
      <c r="V1640">
        <f>Tabla1[[#This Row],[Aboard]]-Tabla1[[#This Row],[Fatalities]]</f>
        <v>0</v>
      </c>
      <c r="W1640" s="50">
        <f>IFERROR(Tabla1[[#This Row],[Fatalities]]/Tabla1[[#This Row],[Aboard]],0)</f>
        <v>1</v>
      </c>
      <c r="X1640" s="51" t="str" cm="1">
        <f t="array" ref="X1640">_xlfn.IFS(Tabla1[[#This Row],[Porcentaje de muertes]]&lt;0.35,"LEVE",AND(Tabla1[[#This Row],[Porcentaje de muertes]]&gt;0.35,Tabla1[[#This Row],[Porcentaje de muertes]]&lt;0.65),"MEDIO",Tabla1[[#This Row],[Porcentaje de muertes]]&gt;0.65,"GRAVE")</f>
        <v>GRAVE</v>
      </c>
    </row>
    <row r="1641" spans="2:24" x14ac:dyDescent="0.3">
      <c r="B1641" s="9">
        <v>1640</v>
      </c>
      <c r="C1641" s="49">
        <v>21061</v>
      </c>
      <c r="D1641" s="9">
        <f>YEAR(Tabla1[[#This Row],[Date]])</f>
        <v>1957</v>
      </c>
      <c r="E1641" s="9" t="str" cm="1">
        <f t="array" ref="E1641">IFERROR(_xlfn.IFS(AND(D1641&lt;1980,D1641&gt;=1970),"70",AND(D1641&lt;1990,D1641&gt;=1980),"80",AND(D1641&lt;2000,D1641&gt;=1990),"90",AND(D1641&lt;2010,D1641&gt;=2000),"00",AND(D1641&lt;=2019,D1641&gt;=2010),"10"),"1908-1970")</f>
        <v>1908-1970</v>
      </c>
      <c r="F1641" s="3" t="s">
        <v>28931</v>
      </c>
      <c r="G1641" t="s">
        <v>12117</v>
      </c>
      <c r="H1641" t="s">
        <v>12118</v>
      </c>
      <c r="I1641" t="s">
        <v>28931</v>
      </c>
      <c r="J1641" t="s">
        <v>12119</v>
      </c>
      <c r="K1641" t="s">
        <v>7057</v>
      </c>
      <c r="L1641" s="7" t="s">
        <v>12120</v>
      </c>
      <c r="M1641" t="s">
        <v>12121</v>
      </c>
      <c r="N1641">
        <v>12</v>
      </c>
      <c r="O1641">
        <v>9</v>
      </c>
      <c r="P1641">
        <v>3</v>
      </c>
      <c r="Q1641">
        <v>12</v>
      </c>
      <c r="R1641">
        <v>9</v>
      </c>
      <c r="S1641">
        <v>3</v>
      </c>
      <c r="T1641">
        <v>0</v>
      </c>
      <c r="U1641" t="s">
        <v>12122</v>
      </c>
      <c r="V1641">
        <f>Tabla1[[#This Row],[Aboard]]-Tabla1[[#This Row],[Fatalities]]</f>
        <v>0</v>
      </c>
      <c r="W1641" s="50">
        <f>IFERROR(Tabla1[[#This Row],[Fatalities]]/Tabla1[[#This Row],[Aboard]],0)</f>
        <v>1</v>
      </c>
      <c r="X1641" s="51" t="str" cm="1">
        <f t="array" ref="X1641">_xlfn.IFS(Tabla1[[#This Row],[Porcentaje de muertes]]&lt;0.35,"LEVE",AND(Tabla1[[#This Row],[Porcentaje de muertes]]&gt;0.35,Tabla1[[#This Row],[Porcentaje de muertes]]&lt;0.65),"MEDIO",Tabla1[[#This Row],[Porcentaje de muertes]]&gt;0.65,"GRAVE")</f>
        <v>GRAVE</v>
      </c>
    </row>
    <row r="1642" spans="2:24" x14ac:dyDescent="0.3">
      <c r="B1642" s="9">
        <v>1641</v>
      </c>
      <c r="C1642" s="49">
        <v>20888</v>
      </c>
      <c r="D1642" s="9">
        <f>YEAR(Tabla1[[#This Row],[Date]])</f>
        <v>1957</v>
      </c>
      <c r="E1642" s="9" t="str" cm="1">
        <f t="array" ref="E1642">IFERROR(_xlfn.IFS(AND(D1642&lt;1980,D1642&gt;=1970),"70",AND(D1642&lt;1990,D1642&gt;=1980),"80",AND(D1642&lt;2000,D1642&gt;=1990),"90",AND(D1642&lt;2010,D1642&gt;=2000),"00",AND(D1642&lt;=2019,D1642&gt;=2010),"10"),"1908-1970")</f>
        <v>1908-1970</v>
      </c>
      <c r="F1642" s="3" t="s">
        <v>28931</v>
      </c>
      <c r="G1642" t="s">
        <v>12123</v>
      </c>
      <c r="H1642" t="s">
        <v>9576</v>
      </c>
      <c r="I1642" t="s">
        <v>28931</v>
      </c>
      <c r="J1642" t="s">
        <v>12124</v>
      </c>
      <c r="K1642" t="s">
        <v>7057</v>
      </c>
      <c r="L1642" s="7" t="s">
        <v>12125</v>
      </c>
      <c r="M1642">
        <v>4754</v>
      </c>
      <c r="N1642">
        <v>8</v>
      </c>
      <c r="O1642">
        <v>5</v>
      </c>
      <c r="P1642">
        <v>3</v>
      </c>
      <c r="Q1642">
        <v>8</v>
      </c>
      <c r="R1642">
        <v>5</v>
      </c>
      <c r="S1642">
        <v>3</v>
      </c>
      <c r="T1642">
        <v>0</v>
      </c>
      <c r="U1642" t="s">
        <v>12126</v>
      </c>
      <c r="V1642">
        <f>Tabla1[[#This Row],[Aboard]]-Tabla1[[#This Row],[Fatalities]]</f>
        <v>0</v>
      </c>
      <c r="W1642" s="50">
        <f>IFERROR(Tabla1[[#This Row],[Fatalities]]/Tabla1[[#This Row],[Aboard]],0)</f>
        <v>1</v>
      </c>
      <c r="X1642" s="51" t="str" cm="1">
        <f t="array" ref="X1642">_xlfn.IFS(Tabla1[[#This Row],[Porcentaje de muertes]]&lt;0.35,"LEVE",AND(Tabla1[[#This Row],[Porcentaje de muertes]]&gt;0.35,Tabla1[[#This Row],[Porcentaje de muertes]]&lt;0.65),"MEDIO",Tabla1[[#This Row],[Porcentaje de muertes]]&gt;0.65,"GRAVE")</f>
        <v>GRAVE</v>
      </c>
    </row>
    <row r="1643" spans="2:24" x14ac:dyDescent="0.3">
      <c r="B1643" s="9">
        <v>1642</v>
      </c>
      <c r="C1643" s="49">
        <v>21078</v>
      </c>
      <c r="D1643" s="9">
        <f>YEAR(Tabla1[[#This Row],[Date]])</f>
        <v>1957</v>
      </c>
      <c r="E1643" s="9" t="str" cm="1">
        <f t="array" ref="E1643">IFERROR(_xlfn.IFS(AND(D1643&lt;1980,D1643&gt;=1970),"70",AND(D1643&lt;1990,D1643&gt;=1980),"80",AND(D1643&lt;2000,D1643&gt;=1990),"90",AND(D1643&lt;2010,D1643&gt;=2000),"00",AND(D1643&lt;=2019,D1643&gt;=2010),"10"),"1908-1970")</f>
        <v>1908-1970</v>
      </c>
      <c r="F1643" s="3">
        <v>0.8652777777777777</v>
      </c>
      <c r="G1643" t="s">
        <v>12127</v>
      </c>
      <c r="H1643" t="s">
        <v>11397</v>
      </c>
      <c r="I1643">
        <v>285</v>
      </c>
      <c r="J1643" t="s">
        <v>12128</v>
      </c>
      <c r="K1643" t="s">
        <v>7057</v>
      </c>
      <c r="L1643" s="7" t="s">
        <v>12129</v>
      </c>
      <c r="M1643">
        <v>7337</v>
      </c>
      <c r="N1643">
        <v>24</v>
      </c>
      <c r="O1643">
        <v>21</v>
      </c>
      <c r="P1643">
        <v>3</v>
      </c>
      <c r="Q1643">
        <v>12</v>
      </c>
      <c r="R1643">
        <v>10</v>
      </c>
      <c r="S1643">
        <v>2</v>
      </c>
      <c r="T1643">
        <v>0</v>
      </c>
      <c r="U1643" t="s">
        <v>12130</v>
      </c>
      <c r="V1643">
        <f>Tabla1[[#This Row],[Aboard]]-Tabla1[[#This Row],[Fatalities]]</f>
        <v>12</v>
      </c>
      <c r="W1643" s="50">
        <f>IFERROR(Tabla1[[#This Row],[Fatalities]]/Tabla1[[#This Row],[Aboard]],0)</f>
        <v>0.5</v>
      </c>
      <c r="X1643" s="51" t="str" cm="1">
        <f t="array" ref="X1643">_xlfn.IFS(Tabla1[[#This Row],[Porcentaje de muertes]]&lt;0.35,"LEVE",AND(Tabla1[[#This Row],[Porcentaje de muertes]]&gt;0.35,Tabla1[[#This Row],[Porcentaje de muertes]]&lt;0.65),"MEDIO",Tabla1[[#This Row],[Porcentaje de muertes]]&gt;0.65,"GRAVE")</f>
        <v>MEDIO</v>
      </c>
    </row>
    <row r="1644" spans="2:24" x14ac:dyDescent="0.3">
      <c r="B1644" s="9">
        <v>1643</v>
      </c>
      <c r="C1644" s="49">
        <v>21081</v>
      </c>
      <c r="D1644" s="9">
        <f>YEAR(Tabla1[[#This Row],[Date]])</f>
        <v>1957</v>
      </c>
      <c r="E1644" s="9" t="str" cm="1">
        <f t="array" ref="E1644">IFERROR(_xlfn.IFS(AND(D1644&lt;1980,D1644&gt;=1970),"70",AND(D1644&lt;1990,D1644&gt;=1980),"80",AND(D1644&lt;2000,D1644&gt;=1990),"90",AND(D1644&lt;2010,D1644&gt;=2000),"00",AND(D1644&lt;=2019,D1644&gt;=2010),"10"),"1908-1970")</f>
        <v>1908-1970</v>
      </c>
      <c r="F1644" s="3">
        <v>0.88888888888888884</v>
      </c>
      <c r="G1644" t="s">
        <v>12131</v>
      </c>
      <c r="H1644" t="s">
        <v>9960</v>
      </c>
      <c r="I1644" t="s">
        <v>28931</v>
      </c>
      <c r="J1644" t="s">
        <v>12132</v>
      </c>
      <c r="K1644" t="s">
        <v>12133</v>
      </c>
      <c r="L1644" s="7" t="s">
        <v>12134</v>
      </c>
      <c r="M1644">
        <v>456</v>
      </c>
      <c r="N1644">
        <v>35</v>
      </c>
      <c r="O1644">
        <v>30</v>
      </c>
      <c r="P1644">
        <v>5</v>
      </c>
      <c r="Q1644">
        <v>1</v>
      </c>
      <c r="R1644">
        <v>0</v>
      </c>
      <c r="S1644">
        <v>1</v>
      </c>
      <c r="T1644">
        <v>0</v>
      </c>
      <c r="U1644" t="s">
        <v>12135</v>
      </c>
      <c r="V1644">
        <f>Tabla1[[#This Row],[Aboard]]-Tabla1[[#This Row],[Fatalities]]</f>
        <v>34</v>
      </c>
      <c r="W1644" s="50">
        <f>IFERROR(Tabla1[[#This Row],[Fatalities]]/Tabla1[[#This Row],[Aboard]],0)</f>
        <v>2.8571428571428571E-2</v>
      </c>
      <c r="X1644" s="51" t="str" cm="1">
        <f t="array" ref="X1644">_xlfn.IFS(Tabla1[[#This Row],[Porcentaje de muertes]]&lt;0.35,"LEVE",AND(Tabla1[[#This Row],[Porcentaje de muertes]]&gt;0.35,Tabla1[[#This Row],[Porcentaje de muertes]]&lt;0.65),"MEDIO",Tabla1[[#This Row],[Porcentaje de muertes]]&gt;0.65,"GRAVE")</f>
        <v>LEVE</v>
      </c>
    </row>
    <row r="1645" spans="2:24" x14ac:dyDescent="0.3">
      <c r="B1645" s="9">
        <v>1644</v>
      </c>
      <c r="C1645" s="49">
        <v>21090</v>
      </c>
      <c r="D1645" s="9">
        <f>YEAR(Tabla1[[#This Row],[Date]])</f>
        <v>1957</v>
      </c>
      <c r="E1645" s="9" t="str" cm="1">
        <f t="array" ref="E1645">IFERROR(_xlfn.IFS(AND(D1645&lt;1980,D1645&gt;=1970),"70",AND(D1645&lt;1990,D1645&gt;=1980),"80",AND(D1645&lt;2000,D1645&gt;=1990),"90",AND(D1645&lt;2010,D1645&gt;=2000),"00",AND(D1645&lt;=2019,D1645&gt;=2010),"10"),"1908-1970")</f>
        <v>1908-1970</v>
      </c>
      <c r="F1645" s="3">
        <v>0.47916666666666669</v>
      </c>
      <c r="G1645" t="s">
        <v>12136</v>
      </c>
      <c r="H1645" t="s">
        <v>12137</v>
      </c>
      <c r="I1645" t="s">
        <v>28931</v>
      </c>
      <c r="J1645" t="s">
        <v>12138</v>
      </c>
      <c r="K1645" t="s">
        <v>12139</v>
      </c>
      <c r="L1645" s="7" t="s">
        <v>12140</v>
      </c>
      <c r="M1645">
        <v>51198</v>
      </c>
      <c r="N1645">
        <v>3</v>
      </c>
      <c r="O1645">
        <v>0</v>
      </c>
      <c r="P1645">
        <v>3</v>
      </c>
      <c r="Q1645">
        <v>3</v>
      </c>
      <c r="R1645">
        <v>0</v>
      </c>
      <c r="S1645">
        <v>3</v>
      </c>
      <c r="T1645">
        <v>0</v>
      </c>
      <c r="U1645" t="s">
        <v>12141</v>
      </c>
      <c r="V1645">
        <f>Tabla1[[#This Row],[Aboard]]-Tabla1[[#This Row],[Fatalities]]</f>
        <v>0</v>
      </c>
      <c r="W1645" s="50">
        <f>IFERROR(Tabla1[[#This Row],[Fatalities]]/Tabla1[[#This Row],[Aboard]],0)</f>
        <v>1</v>
      </c>
      <c r="X1645" s="51" t="str" cm="1">
        <f t="array" ref="X1645">_xlfn.IFS(Tabla1[[#This Row],[Porcentaje de muertes]]&lt;0.35,"LEVE",AND(Tabla1[[#This Row],[Porcentaje de muertes]]&gt;0.35,Tabla1[[#This Row],[Porcentaje de muertes]]&lt;0.65),"MEDIO",Tabla1[[#This Row],[Porcentaje de muertes]]&gt;0.65,"GRAVE")</f>
        <v>GRAVE</v>
      </c>
    </row>
    <row r="1646" spans="2:24" x14ac:dyDescent="0.3">
      <c r="B1646" s="9">
        <v>1645</v>
      </c>
      <c r="C1646" s="49">
        <v>21091</v>
      </c>
      <c r="D1646" s="9">
        <f>YEAR(Tabla1[[#This Row],[Date]])</f>
        <v>1957</v>
      </c>
      <c r="E1646" s="9" t="str" cm="1">
        <f t="array" ref="E1646">IFERROR(_xlfn.IFS(AND(D1646&lt;1980,D1646&gt;=1970),"70",AND(D1646&lt;1990,D1646&gt;=1980),"80",AND(D1646&lt;2000,D1646&gt;=1990),"90",AND(D1646&lt;2010,D1646&gt;=2000),"00",AND(D1646&lt;=2019,D1646&gt;=2010),"10"),"1908-1970")</f>
        <v>1908-1970</v>
      </c>
      <c r="F1646" s="3" t="s">
        <v>28931</v>
      </c>
      <c r="G1646" t="s">
        <v>12142</v>
      </c>
      <c r="H1646" t="s">
        <v>8721</v>
      </c>
      <c r="I1646" t="s">
        <v>28931</v>
      </c>
      <c r="J1646">
        <v>14099</v>
      </c>
      <c r="K1646" t="s">
        <v>12143</v>
      </c>
      <c r="L1646" s="7" t="s">
        <v>12144</v>
      </c>
      <c r="M1646">
        <v>14099</v>
      </c>
      <c r="N1646">
        <v>3</v>
      </c>
      <c r="O1646">
        <v>0</v>
      </c>
      <c r="P1646">
        <v>3</v>
      </c>
      <c r="Q1646">
        <v>3</v>
      </c>
      <c r="R1646">
        <v>0</v>
      </c>
      <c r="S1646">
        <v>3</v>
      </c>
      <c r="T1646">
        <v>0</v>
      </c>
      <c r="U1646" t="s">
        <v>12145</v>
      </c>
      <c r="V1646">
        <f>Tabla1[[#This Row],[Aboard]]-Tabla1[[#This Row],[Fatalities]]</f>
        <v>0</v>
      </c>
      <c r="W1646" s="50">
        <f>IFERROR(Tabla1[[#This Row],[Fatalities]]/Tabla1[[#This Row],[Aboard]],0)</f>
        <v>1</v>
      </c>
      <c r="X1646" s="51" t="str" cm="1">
        <f t="array" ref="X1646">_xlfn.IFS(Tabla1[[#This Row],[Porcentaje de muertes]]&lt;0.35,"LEVE",AND(Tabla1[[#This Row],[Porcentaje de muertes]]&gt;0.35,Tabla1[[#This Row],[Porcentaje de muertes]]&lt;0.65),"MEDIO",Tabla1[[#This Row],[Porcentaje de muertes]]&gt;0.65,"GRAVE")</f>
        <v>GRAVE</v>
      </c>
    </row>
    <row r="1647" spans="2:24" x14ac:dyDescent="0.3">
      <c r="B1647" s="9">
        <v>1646</v>
      </c>
      <c r="C1647" s="49">
        <v>20830</v>
      </c>
      <c r="D1647" s="9">
        <f>YEAR(Tabla1[[#This Row],[Date]])</f>
        <v>1957</v>
      </c>
      <c r="E1647" s="9" t="str" cm="1">
        <f t="array" ref="E1647">IFERROR(_xlfn.IFS(AND(D1647&lt;1980,D1647&gt;=1970),"70",AND(D1647&lt;1990,D1647&gt;=1980),"80",AND(D1647&lt;2000,D1647&gt;=1990),"90",AND(D1647&lt;2010,D1647&gt;=2000),"00",AND(D1647&lt;=2019,D1647&gt;=2010),"10"),"1908-1970")</f>
        <v>1908-1970</v>
      </c>
      <c r="F1647" s="3">
        <v>0.78819444444444453</v>
      </c>
      <c r="G1647" t="s">
        <v>12146</v>
      </c>
      <c r="H1647" t="s">
        <v>6541</v>
      </c>
      <c r="I1647">
        <v>11</v>
      </c>
      <c r="J1647" t="s">
        <v>12147</v>
      </c>
      <c r="K1647" t="s">
        <v>9305</v>
      </c>
      <c r="L1647" s="7" t="s">
        <v>12148</v>
      </c>
      <c r="M1647" t="s">
        <v>12149</v>
      </c>
      <c r="N1647">
        <v>27</v>
      </c>
      <c r="O1647">
        <v>22</v>
      </c>
      <c r="P1647">
        <v>5</v>
      </c>
      <c r="Q1647">
        <v>27</v>
      </c>
      <c r="R1647">
        <v>22</v>
      </c>
      <c r="S1647">
        <v>5</v>
      </c>
      <c r="T1647">
        <v>0</v>
      </c>
      <c r="U1647" t="s">
        <v>12150</v>
      </c>
      <c r="V1647">
        <f>Tabla1[[#This Row],[Aboard]]-Tabla1[[#This Row],[Fatalities]]</f>
        <v>0</v>
      </c>
      <c r="W1647" s="50">
        <f>IFERROR(Tabla1[[#This Row],[Fatalities]]/Tabla1[[#This Row],[Aboard]],0)</f>
        <v>1</v>
      </c>
      <c r="X1647" s="51" t="str" cm="1">
        <f t="array" ref="X1647">_xlfn.IFS(Tabla1[[#This Row],[Porcentaje de muertes]]&lt;0.35,"LEVE",AND(Tabla1[[#This Row],[Porcentaje de muertes]]&gt;0.35,Tabla1[[#This Row],[Porcentaje de muertes]]&lt;0.65),"MEDIO",Tabla1[[#This Row],[Porcentaje de muertes]]&gt;0.65,"GRAVE")</f>
        <v>GRAVE</v>
      </c>
    </row>
    <row r="1648" spans="2:24" x14ac:dyDescent="0.3">
      <c r="B1648" s="9">
        <v>1647</v>
      </c>
      <c r="C1648" s="49">
        <v>20889</v>
      </c>
      <c r="D1648" s="9">
        <f>YEAR(Tabla1[[#This Row],[Date]])</f>
        <v>1957</v>
      </c>
      <c r="E1648" s="9" t="str" cm="1">
        <f t="array" ref="E1648">IFERROR(_xlfn.IFS(AND(D1648&lt;1980,D1648&gt;=1970),"70",AND(D1648&lt;1990,D1648&gt;=1980),"80",AND(D1648&lt;2000,D1648&gt;=1990),"90",AND(D1648&lt;2010,D1648&gt;=2000),"00",AND(D1648&lt;=2019,D1648&gt;=2010),"10"),"1908-1970")</f>
        <v>1908-1970</v>
      </c>
      <c r="F1648" s="3">
        <v>7.9861111111111105E-2</v>
      </c>
      <c r="G1648" t="s">
        <v>12151</v>
      </c>
      <c r="H1648" t="s">
        <v>12152</v>
      </c>
      <c r="I1648" t="s">
        <v>28931</v>
      </c>
      <c r="J1648" t="s">
        <v>12153</v>
      </c>
      <c r="K1648" t="s">
        <v>11852</v>
      </c>
      <c r="L1648" s="7" t="s">
        <v>12154</v>
      </c>
      <c r="M1648">
        <v>30249</v>
      </c>
      <c r="N1648">
        <v>27</v>
      </c>
      <c r="O1648">
        <v>23</v>
      </c>
      <c r="P1648">
        <v>4</v>
      </c>
      <c r="Q1648">
        <v>27</v>
      </c>
      <c r="R1648">
        <v>23</v>
      </c>
      <c r="S1648">
        <v>4</v>
      </c>
      <c r="T1648">
        <v>0</v>
      </c>
      <c r="U1648" t="s">
        <v>12155</v>
      </c>
      <c r="V1648">
        <f>Tabla1[[#This Row],[Aboard]]-Tabla1[[#This Row],[Fatalities]]</f>
        <v>0</v>
      </c>
      <c r="W1648" s="50">
        <f>IFERROR(Tabla1[[#This Row],[Fatalities]]/Tabla1[[#This Row],[Aboard]],0)</f>
        <v>1</v>
      </c>
      <c r="X1648" s="51" t="str" cm="1">
        <f t="array" ref="X1648">_xlfn.IFS(Tabla1[[#This Row],[Porcentaje de muertes]]&lt;0.35,"LEVE",AND(Tabla1[[#This Row],[Porcentaje de muertes]]&gt;0.35,Tabla1[[#This Row],[Porcentaje de muertes]]&lt;0.65),"MEDIO",Tabla1[[#This Row],[Porcentaje de muertes]]&gt;0.65,"GRAVE")</f>
        <v>GRAVE</v>
      </c>
    </row>
    <row r="1649" spans="2:24" x14ac:dyDescent="0.3">
      <c r="B1649" s="9">
        <v>1648</v>
      </c>
      <c r="C1649" s="49">
        <v>21111</v>
      </c>
      <c r="D1649" s="9">
        <f>YEAR(Tabla1[[#This Row],[Date]])</f>
        <v>1957</v>
      </c>
      <c r="E1649" s="9" t="str" cm="1">
        <f t="array" ref="E1649">IFERROR(_xlfn.IFS(AND(D1649&lt;1980,D1649&gt;=1970),"70",AND(D1649&lt;1990,D1649&gt;=1980),"80",AND(D1649&lt;2000,D1649&gt;=1990),"90",AND(D1649&lt;2010,D1649&gt;=2000),"00",AND(D1649&lt;=2019,D1649&gt;=2010),"10"),"1908-1970")</f>
        <v>1908-1970</v>
      </c>
      <c r="F1649" s="3" t="s">
        <v>28931</v>
      </c>
      <c r="G1649" t="s">
        <v>8117</v>
      </c>
      <c r="H1649" t="s">
        <v>8118</v>
      </c>
      <c r="I1649" t="s">
        <v>28931</v>
      </c>
      <c r="J1649" t="s">
        <v>12156</v>
      </c>
      <c r="K1649" t="s">
        <v>8105</v>
      </c>
      <c r="L1649" s="7" t="s">
        <v>12157</v>
      </c>
      <c r="M1649">
        <v>19757</v>
      </c>
      <c r="N1649">
        <v>2</v>
      </c>
      <c r="O1649">
        <v>0</v>
      </c>
      <c r="P1649">
        <v>2</v>
      </c>
      <c r="Q1649">
        <v>2</v>
      </c>
      <c r="R1649">
        <v>0</v>
      </c>
      <c r="S1649">
        <v>2</v>
      </c>
      <c r="T1649">
        <v>0</v>
      </c>
      <c r="U1649" t="s">
        <v>12158</v>
      </c>
      <c r="V1649">
        <f>Tabla1[[#This Row],[Aboard]]-Tabla1[[#This Row],[Fatalities]]</f>
        <v>0</v>
      </c>
      <c r="W1649" s="50">
        <f>IFERROR(Tabla1[[#This Row],[Fatalities]]/Tabla1[[#This Row],[Aboard]],0)</f>
        <v>1</v>
      </c>
      <c r="X1649" s="51" t="str" cm="1">
        <f t="array" ref="X1649">_xlfn.IFS(Tabla1[[#This Row],[Porcentaje de muertes]]&lt;0.35,"LEVE",AND(Tabla1[[#This Row],[Porcentaje de muertes]]&gt;0.35,Tabla1[[#This Row],[Porcentaje de muertes]]&lt;0.65),"MEDIO",Tabla1[[#This Row],[Porcentaje de muertes]]&gt;0.65,"GRAVE")</f>
        <v>GRAVE</v>
      </c>
    </row>
    <row r="1650" spans="2:24" x14ac:dyDescent="0.3">
      <c r="B1650" s="9">
        <v>1649</v>
      </c>
      <c r="C1650" s="49">
        <v>21116</v>
      </c>
      <c r="D1650" s="9">
        <f>YEAR(Tabla1[[#This Row],[Date]])</f>
        <v>1957</v>
      </c>
      <c r="E1650" s="9" t="str" cm="1">
        <f t="array" ref="E1650">IFERROR(_xlfn.IFS(AND(D1650&lt;1980,D1650&gt;=1970),"70",AND(D1650&lt;1990,D1650&gt;=1980),"80",AND(D1650&lt;2000,D1650&gt;=1990),"90",AND(D1650&lt;2010,D1650&gt;=2000),"00",AND(D1650&lt;=2019,D1650&gt;=2010),"10"),"1908-1970")</f>
        <v>1908-1970</v>
      </c>
      <c r="F1650" s="3">
        <v>0.70208333333333339</v>
      </c>
      <c r="G1650" t="s">
        <v>12159</v>
      </c>
      <c r="H1650" t="s">
        <v>8721</v>
      </c>
      <c r="I1650" t="s">
        <v>28931</v>
      </c>
      <c r="J1650" t="s">
        <v>12160</v>
      </c>
      <c r="K1650" t="s">
        <v>12161</v>
      </c>
      <c r="L1650" s="7" t="s">
        <v>12162</v>
      </c>
      <c r="M1650">
        <v>150</v>
      </c>
      <c r="N1650">
        <v>7</v>
      </c>
      <c r="O1650">
        <v>5</v>
      </c>
      <c r="P1650">
        <v>2</v>
      </c>
      <c r="Q1650">
        <v>7</v>
      </c>
      <c r="R1650">
        <v>5</v>
      </c>
      <c r="S1650">
        <v>2</v>
      </c>
      <c r="T1650">
        <v>0</v>
      </c>
      <c r="U1650" t="s">
        <v>12163</v>
      </c>
      <c r="V1650">
        <f>Tabla1[[#This Row],[Aboard]]-Tabla1[[#This Row],[Fatalities]]</f>
        <v>0</v>
      </c>
      <c r="W1650" s="50">
        <f>IFERROR(Tabla1[[#This Row],[Fatalities]]/Tabla1[[#This Row],[Aboard]],0)</f>
        <v>1</v>
      </c>
      <c r="X1650" s="51" t="str" cm="1">
        <f t="array" ref="X1650">_xlfn.IFS(Tabla1[[#This Row],[Porcentaje de muertes]]&lt;0.35,"LEVE",AND(Tabla1[[#This Row],[Porcentaje de muertes]]&gt;0.35,Tabla1[[#This Row],[Porcentaje de muertes]]&lt;0.65),"MEDIO",Tabla1[[#This Row],[Porcentaje de muertes]]&gt;0.65,"GRAVE")</f>
        <v>GRAVE</v>
      </c>
    </row>
    <row r="1651" spans="2:24" x14ac:dyDescent="0.3">
      <c r="B1651" s="9">
        <v>1650</v>
      </c>
      <c r="C1651" s="49">
        <v>21121</v>
      </c>
      <c r="D1651" s="9">
        <f>YEAR(Tabla1[[#This Row],[Date]])</f>
        <v>1957</v>
      </c>
      <c r="E1651" s="9" t="str" cm="1">
        <f t="array" ref="E1651">IFERROR(_xlfn.IFS(AND(D1651&lt;1980,D1651&gt;=1970),"70",AND(D1651&lt;1990,D1651&gt;=1980),"80",AND(D1651&lt;2000,D1651&gt;=1990),"90",AND(D1651&lt;2010,D1651&gt;=2000),"00",AND(D1651&lt;=2019,D1651&gt;=2010),"10"),"1908-1970")</f>
        <v>1908-1970</v>
      </c>
      <c r="F1651" s="3">
        <v>0.75347222222222221</v>
      </c>
      <c r="G1651" t="s">
        <v>12164</v>
      </c>
      <c r="H1651" t="s">
        <v>5570</v>
      </c>
      <c r="I1651" t="s">
        <v>28931</v>
      </c>
      <c r="J1651" t="s">
        <v>12165</v>
      </c>
      <c r="K1651" t="s">
        <v>7057</v>
      </c>
      <c r="L1651" s="7" t="s">
        <v>12166</v>
      </c>
      <c r="M1651">
        <v>19332</v>
      </c>
      <c r="N1651">
        <v>21</v>
      </c>
      <c r="O1651">
        <v>17</v>
      </c>
      <c r="P1651">
        <v>4</v>
      </c>
      <c r="Q1651">
        <v>21</v>
      </c>
      <c r="R1651">
        <v>17</v>
      </c>
      <c r="S1651">
        <v>4</v>
      </c>
      <c r="T1651">
        <v>0</v>
      </c>
      <c r="U1651" t="s">
        <v>12167</v>
      </c>
      <c r="V1651">
        <f>Tabla1[[#This Row],[Aboard]]-Tabla1[[#This Row],[Fatalities]]</f>
        <v>0</v>
      </c>
      <c r="W1651" s="50">
        <f>IFERROR(Tabla1[[#This Row],[Fatalities]]/Tabla1[[#This Row],[Aboard]],0)</f>
        <v>1</v>
      </c>
      <c r="X1651" s="51" t="str" cm="1">
        <f t="array" ref="X1651">_xlfn.IFS(Tabla1[[#This Row],[Porcentaje de muertes]]&lt;0.35,"LEVE",AND(Tabla1[[#This Row],[Porcentaje de muertes]]&gt;0.35,Tabla1[[#This Row],[Porcentaje de muertes]]&lt;0.65),"MEDIO",Tabla1[[#This Row],[Porcentaje de muertes]]&gt;0.65,"GRAVE")</f>
        <v>GRAVE</v>
      </c>
    </row>
    <row r="1652" spans="2:24" x14ac:dyDescent="0.3">
      <c r="B1652" s="9">
        <v>1651</v>
      </c>
      <c r="C1652" s="49">
        <v>21123</v>
      </c>
      <c r="D1652" s="9">
        <f>YEAR(Tabla1[[#This Row],[Date]])</f>
        <v>1957</v>
      </c>
      <c r="E1652" s="9" t="str" cm="1">
        <f t="array" ref="E1652">IFERROR(_xlfn.IFS(AND(D1652&lt;1980,D1652&gt;=1970),"70",AND(D1652&lt;1990,D1652&gt;=1980),"80",AND(D1652&lt;2000,D1652&gt;=1990),"90",AND(D1652&lt;2010,D1652&gt;=2000),"00",AND(D1652&lt;=2019,D1652&gt;=2010),"10"),"1908-1970")</f>
        <v>1908-1970</v>
      </c>
      <c r="F1652" s="3" t="s">
        <v>28931</v>
      </c>
      <c r="G1652" t="s">
        <v>12168</v>
      </c>
      <c r="H1652" t="s">
        <v>12169</v>
      </c>
      <c r="I1652" t="s">
        <v>28931</v>
      </c>
      <c r="J1652" t="s">
        <v>12170</v>
      </c>
      <c r="K1652" t="s">
        <v>12171</v>
      </c>
      <c r="L1652" s="7" t="s">
        <v>12172</v>
      </c>
      <c r="M1652" t="s">
        <v>28931</v>
      </c>
      <c r="N1652">
        <v>3</v>
      </c>
      <c r="O1652">
        <v>0</v>
      </c>
      <c r="P1652">
        <v>3</v>
      </c>
      <c r="Q1652">
        <v>3</v>
      </c>
      <c r="R1652">
        <v>0</v>
      </c>
      <c r="S1652">
        <v>3</v>
      </c>
      <c r="T1652">
        <v>0</v>
      </c>
      <c r="U1652" t="s">
        <v>11337</v>
      </c>
      <c r="V1652">
        <f>Tabla1[[#This Row],[Aboard]]-Tabla1[[#This Row],[Fatalities]]</f>
        <v>0</v>
      </c>
      <c r="W1652" s="50">
        <f>IFERROR(Tabla1[[#This Row],[Fatalities]]/Tabla1[[#This Row],[Aboard]],0)</f>
        <v>1</v>
      </c>
      <c r="X1652" s="51" t="str" cm="1">
        <f t="array" ref="X1652">_xlfn.IFS(Tabla1[[#This Row],[Porcentaje de muertes]]&lt;0.35,"LEVE",AND(Tabla1[[#This Row],[Porcentaje de muertes]]&gt;0.35,Tabla1[[#This Row],[Porcentaje de muertes]]&lt;0.65),"MEDIO",Tabla1[[#This Row],[Porcentaje de muertes]]&gt;0.65,"GRAVE")</f>
        <v>GRAVE</v>
      </c>
    </row>
    <row r="1653" spans="2:24" x14ac:dyDescent="0.3">
      <c r="B1653" s="9">
        <v>1652</v>
      </c>
      <c r="C1653" s="49">
        <v>20890</v>
      </c>
      <c r="D1653" s="9">
        <f>YEAR(Tabla1[[#This Row],[Date]])</f>
        <v>1957</v>
      </c>
      <c r="E1653" s="9" t="str" cm="1">
        <f t="array" ref="E1653">IFERROR(_xlfn.IFS(AND(D1653&lt;1980,D1653&gt;=1970),"70",AND(D1653&lt;1990,D1653&gt;=1980),"80",AND(D1653&lt;2000,D1653&gt;=1990),"90",AND(D1653&lt;2010,D1653&gt;=2000),"00",AND(D1653&lt;=2019,D1653&gt;=2010),"10"),"1908-1970")</f>
        <v>1908-1970</v>
      </c>
      <c r="F1653" s="3">
        <v>0.29375000000000001</v>
      </c>
      <c r="G1653" t="s">
        <v>12173</v>
      </c>
      <c r="H1653" t="s">
        <v>12174</v>
      </c>
      <c r="I1653" t="s">
        <v>28931</v>
      </c>
      <c r="J1653" t="s">
        <v>12175</v>
      </c>
      <c r="K1653" t="s">
        <v>8822</v>
      </c>
      <c r="L1653" s="7" t="s">
        <v>12176</v>
      </c>
      <c r="M1653">
        <v>459</v>
      </c>
      <c r="N1653">
        <v>10</v>
      </c>
      <c r="O1653">
        <v>3</v>
      </c>
      <c r="P1653">
        <v>7</v>
      </c>
      <c r="Q1653">
        <v>7</v>
      </c>
      <c r="R1653">
        <v>0</v>
      </c>
      <c r="S1653">
        <v>6</v>
      </c>
      <c r="T1653">
        <v>1</v>
      </c>
      <c r="U1653" t="s">
        <v>12177</v>
      </c>
      <c r="V1653">
        <f>Tabla1[[#This Row],[Aboard]]-Tabla1[[#This Row],[Fatalities]]</f>
        <v>3</v>
      </c>
      <c r="W1653" s="50">
        <f>IFERROR(Tabla1[[#This Row],[Fatalities]]/Tabla1[[#This Row],[Aboard]],0)</f>
        <v>0.7</v>
      </c>
      <c r="X1653" s="51" t="str" cm="1">
        <f t="array" ref="X1653">_xlfn.IFS(Tabla1[[#This Row],[Porcentaje de muertes]]&lt;0.35,"LEVE",AND(Tabla1[[#This Row],[Porcentaje de muertes]]&gt;0.35,Tabla1[[#This Row],[Porcentaje de muertes]]&lt;0.65),"MEDIO",Tabla1[[#This Row],[Porcentaje de muertes]]&gt;0.65,"GRAVE")</f>
        <v>GRAVE</v>
      </c>
    </row>
    <row r="1654" spans="2:24" x14ac:dyDescent="0.3">
      <c r="B1654" s="9">
        <v>1653</v>
      </c>
      <c r="C1654" s="49">
        <v>20921</v>
      </c>
      <c r="D1654" s="9">
        <f>YEAR(Tabla1[[#This Row],[Date]])</f>
        <v>1957</v>
      </c>
      <c r="E1654" s="9" t="str" cm="1">
        <f t="array" ref="E1654">IFERROR(_xlfn.IFS(AND(D1654&lt;1980,D1654&gt;=1970),"70",AND(D1654&lt;1990,D1654&gt;=1980),"80",AND(D1654&lt;2000,D1654&gt;=1990),"90",AND(D1654&lt;2010,D1654&gt;=2000),"00",AND(D1654&lt;=2019,D1654&gt;=2010),"10"),"1908-1970")</f>
        <v>1908-1970</v>
      </c>
      <c r="F1654" s="3">
        <v>0.74861111111111101</v>
      </c>
      <c r="G1654" t="s">
        <v>10681</v>
      </c>
      <c r="H1654" t="s">
        <v>12178</v>
      </c>
      <c r="I1654" t="s">
        <v>28931</v>
      </c>
      <c r="J1654" t="s">
        <v>12179</v>
      </c>
      <c r="K1654" t="s">
        <v>12180</v>
      </c>
      <c r="L1654" s="7" t="s">
        <v>12181</v>
      </c>
      <c r="M1654" t="s">
        <v>12182</v>
      </c>
      <c r="N1654">
        <v>16</v>
      </c>
      <c r="O1654">
        <v>10</v>
      </c>
      <c r="P1654">
        <v>6</v>
      </c>
      <c r="Q1654">
        <v>4</v>
      </c>
      <c r="R1654">
        <v>1</v>
      </c>
      <c r="S1654">
        <v>3</v>
      </c>
      <c r="T1654">
        <v>0</v>
      </c>
      <c r="U1654" t="s">
        <v>12183</v>
      </c>
      <c r="V1654">
        <f>Tabla1[[#This Row],[Aboard]]-Tabla1[[#This Row],[Fatalities]]</f>
        <v>12</v>
      </c>
      <c r="W1654" s="50">
        <f>IFERROR(Tabla1[[#This Row],[Fatalities]]/Tabla1[[#This Row],[Aboard]],0)</f>
        <v>0.25</v>
      </c>
      <c r="X1654" s="51" t="str" cm="1">
        <f t="array" ref="X1654">_xlfn.IFS(Tabla1[[#This Row],[Porcentaje de muertes]]&lt;0.35,"LEVE",AND(Tabla1[[#This Row],[Porcentaje de muertes]]&gt;0.35,Tabla1[[#This Row],[Porcentaje de muertes]]&lt;0.65),"MEDIO",Tabla1[[#This Row],[Porcentaje de muertes]]&gt;0.65,"GRAVE")</f>
        <v>LEVE</v>
      </c>
    </row>
    <row r="1655" spans="2:24" x14ac:dyDescent="0.3">
      <c r="B1655" s="9">
        <v>1654</v>
      </c>
      <c r="C1655" s="49">
        <v>20982</v>
      </c>
      <c r="D1655" s="9">
        <f>YEAR(Tabla1[[#This Row],[Date]])</f>
        <v>1957</v>
      </c>
      <c r="E1655" s="9" t="str" cm="1">
        <f t="array" ref="E1655">IFERROR(_xlfn.IFS(AND(D1655&lt;1980,D1655&gt;=1970),"70",AND(D1655&lt;1990,D1655&gt;=1980),"80",AND(D1655&lt;2000,D1655&gt;=1990),"90",AND(D1655&lt;2010,D1655&gt;=2000),"00",AND(D1655&lt;=2019,D1655&gt;=2010),"10"),"1908-1970")</f>
        <v>1908-1970</v>
      </c>
      <c r="F1655" s="3" t="s">
        <v>28931</v>
      </c>
      <c r="G1655" t="s">
        <v>12184</v>
      </c>
      <c r="H1655" t="s">
        <v>12185</v>
      </c>
      <c r="I1655" t="s">
        <v>28931</v>
      </c>
      <c r="J1655" t="s">
        <v>5028</v>
      </c>
      <c r="K1655" t="s">
        <v>12186</v>
      </c>
      <c r="L1655" s="7" t="s">
        <v>12187</v>
      </c>
      <c r="M1655">
        <v>12917</v>
      </c>
      <c r="N1655">
        <v>15</v>
      </c>
      <c r="O1655">
        <v>0</v>
      </c>
      <c r="P1655">
        <v>15</v>
      </c>
      <c r="Q1655">
        <v>15</v>
      </c>
      <c r="R1655">
        <v>0</v>
      </c>
      <c r="S1655">
        <v>15</v>
      </c>
      <c r="T1655">
        <v>0</v>
      </c>
      <c r="U1655" t="s">
        <v>12188</v>
      </c>
      <c r="V1655">
        <f>Tabla1[[#This Row],[Aboard]]-Tabla1[[#This Row],[Fatalities]]</f>
        <v>0</v>
      </c>
      <c r="W1655" s="50">
        <f>IFERROR(Tabla1[[#This Row],[Fatalities]]/Tabla1[[#This Row],[Aboard]],0)</f>
        <v>1</v>
      </c>
      <c r="X1655" s="51" t="str" cm="1">
        <f t="array" ref="X1655">_xlfn.IFS(Tabla1[[#This Row],[Porcentaje de muertes]]&lt;0.35,"LEVE",AND(Tabla1[[#This Row],[Porcentaje de muertes]]&gt;0.35,Tabla1[[#This Row],[Porcentaje de muertes]]&lt;0.65),"MEDIO",Tabla1[[#This Row],[Porcentaje de muertes]]&gt;0.65,"GRAVE")</f>
        <v>GRAVE</v>
      </c>
    </row>
    <row r="1656" spans="2:24" x14ac:dyDescent="0.3">
      <c r="B1656" s="9">
        <v>1655</v>
      </c>
      <c r="C1656" s="49">
        <v>21043</v>
      </c>
      <c r="D1656" s="9">
        <f>YEAR(Tabla1[[#This Row],[Date]])</f>
        <v>1957</v>
      </c>
      <c r="E1656" s="9" t="str" cm="1">
        <f t="array" ref="E1656">IFERROR(_xlfn.IFS(AND(D1656&lt;1980,D1656&gt;=1970),"70",AND(D1656&lt;1990,D1656&gt;=1980),"80",AND(D1656&lt;2000,D1656&gt;=1990),"90",AND(D1656&lt;2010,D1656&gt;=2000),"00",AND(D1656&lt;=2019,D1656&gt;=2010),"10"),"1908-1970")</f>
        <v>1908-1970</v>
      </c>
      <c r="F1656" s="3">
        <v>6.0416666666666667E-2</v>
      </c>
      <c r="G1656" t="s">
        <v>12189</v>
      </c>
      <c r="H1656" t="s">
        <v>7121</v>
      </c>
      <c r="I1656">
        <v>7</v>
      </c>
      <c r="J1656" t="s">
        <v>12190</v>
      </c>
      <c r="K1656" t="s">
        <v>12191</v>
      </c>
      <c r="L1656" s="7" t="s">
        <v>12192</v>
      </c>
      <c r="M1656" t="s">
        <v>12193</v>
      </c>
      <c r="N1656">
        <v>44</v>
      </c>
      <c r="O1656">
        <v>36</v>
      </c>
      <c r="P1656">
        <v>8</v>
      </c>
      <c r="Q1656">
        <v>44</v>
      </c>
      <c r="R1656">
        <v>36</v>
      </c>
      <c r="S1656">
        <v>8</v>
      </c>
      <c r="T1656">
        <v>0</v>
      </c>
      <c r="U1656" t="s">
        <v>12194</v>
      </c>
      <c r="V1656">
        <f>Tabla1[[#This Row],[Aboard]]-Tabla1[[#This Row],[Fatalities]]</f>
        <v>0</v>
      </c>
      <c r="W1656" s="50">
        <f>IFERROR(Tabla1[[#This Row],[Fatalities]]/Tabla1[[#This Row],[Aboard]],0)</f>
        <v>1</v>
      </c>
      <c r="X1656" s="51" t="str" cm="1">
        <f t="array" ref="X1656">_xlfn.IFS(Tabla1[[#This Row],[Porcentaje de muertes]]&lt;0.35,"LEVE",AND(Tabla1[[#This Row],[Porcentaje de muertes]]&gt;0.35,Tabla1[[#This Row],[Porcentaje de muertes]]&lt;0.65),"MEDIO",Tabla1[[#This Row],[Porcentaje de muertes]]&gt;0.65,"GRAVE")</f>
        <v>GRAVE</v>
      </c>
    </row>
    <row r="1657" spans="2:24" x14ac:dyDescent="0.3">
      <c r="B1657" s="9">
        <v>1656</v>
      </c>
      <c r="C1657" s="49">
        <v>21139</v>
      </c>
      <c r="D1657" s="9">
        <f>YEAR(Tabla1[[#This Row],[Date]])</f>
        <v>1957</v>
      </c>
      <c r="E1657" s="9" t="str" cm="1">
        <f t="array" ref="E1657">IFERROR(_xlfn.IFS(AND(D1657&lt;1980,D1657&gt;=1970),"70",AND(D1657&lt;1990,D1657&gt;=1980),"80",AND(D1657&lt;2000,D1657&gt;=1990),"90",AND(D1657&lt;2010,D1657&gt;=2000),"00",AND(D1657&lt;=2019,D1657&gt;=2010),"10"),"1908-1970")</f>
        <v>1908-1970</v>
      </c>
      <c r="F1657" s="3">
        <v>0.83888888888888891</v>
      </c>
      <c r="G1657" t="s">
        <v>12195</v>
      </c>
      <c r="H1657" t="s">
        <v>11146</v>
      </c>
      <c r="I1657" t="s">
        <v>28931</v>
      </c>
      <c r="J1657" t="s">
        <v>12196</v>
      </c>
      <c r="K1657" t="s">
        <v>12197</v>
      </c>
      <c r="L1657" s="7" t="s">
        <v>12198</v>
      </c>
      <c r="M1657">
        <v>14117</v>
      </c>
      <c r="N1657">
        <v>4</v>
      </c>
      <c r="O1657">
        <v>2</v>
      </c>
      <c r="P1657">
        <v>2</v>
      </c>
      <c r="Q1657">
        <v>4</v>
      </c>
      <c r="R1657">
        <v>2</v>
      </c>
      <c r="S1657">
        <v>2</v>
      </c>
      <c r="T1657">
        <v>0</v>
      </c>
      <c r="U1657" t="s">
        <v>12199</v>
      </c>
      <c r="V1657">
        <f>Tabla1[[#This Row],[Aboard]]-Tabla1[[#This Row],[Fatalities]]</f>
        <v>0</v>
      </c>
      <c r="W1657" s="50">
        <f>IFERROR(Tabla1[[#This Row],[Fatalities]]/Tabla1[[#This Row],[Aboard]],0)</f>
        <v>1</v>
      </c>
      <c r="X1657" s="51" t="str" cm="1">
        <f t="array" ref="X1657">_xlfn.IFS(Tabla1[[#This Row],[Porcentaje de muertes]]&lt;0.35,"LEVE",AND(Tabla1[[#This Row],[Porcentaje de muertes]]&gt;0.35,Tabla1[[#This Row],[Porcentaje de muertes]]&lt;0.65),"MEDIO",Tabla1[[#This Row],[Porcentaje de muertes]]&gt;0.65,"GRAVE")</f>
        <v>GRAVE</v>
      </c>
    </row>
    <row r="1658" spans="2:24" x14ac:dyDescent="0.3">
      <c r="B1658" s="9">
        <v>1657</v>
      </c>
      <c r="C1658" s="49">
        <v>21139</v>
      </c>
      <c r="D1658" s="9">
        <f>YEAR(Tabla1[[#This Row],[Date]])</f>
        <v>1957</v>
      </c>
      <c r="E1658" s="9" t="str" cm="1">
        <f t="array" ref="E1658">IFERROR(_xlfn.IFS(AND(D1658&lt;1980,D1658&gt;=1970),"70",AND(D1658&lt;1990,D1658&gt;=1980),"80",AND(D1658&lt;2000,D1658&gt;=1990),"90",AND(D1658&lt;2010,D1658&gt;=2000),"00",AND(D1658&lt;=2019,D1658&gt;=2010),"10"),"1908-1970")</f>
        <v>1908-1970</v>
      </c>
      <c r="F1658" s="3">
        <v>0.95416666666666661</v>
      </c>
      <c r="G1658" t="s">
        <v>12200</v>
      </c>
      <c r="H1658" t="s">
        <v>12201</v>
      </c>
      <c r="I1658" t="s">
        <v>28931</v>
      </c>
      <c r="J1658" t="s">
        <v>12202</v>
      </c>
      <c r="K1658" t="s">
        <v>12203</v>
      </c>
      <c r="L1658" s="7" t="s">
        <v>12204</v>
      </c>
      <c r="M1658" t="s">
        <v>12205</v>
      </c>
      <c r="N1658">
        <v>58</v>
      </c>
      <c r="O1658">
        <v>50</v>
      </c>
      <c r="P1658">
        <v>8</v>
      </c>
      <c r="Q1658">
        <v>43</v>
      </c>
      <c r="R1658">
        <v>35</v>
      </c>
      <c r="S1658">
        <v>8</v>
      </c>
      <c r="T1658">
        <v>0</v>
      </c>
      <c r="U1658" t="s">
        <v>12206</v>
      </c>
      <c r="V1658">
        <f>Tabla1[[#This Row],[Aboard]]-Tabla1[[#This Row],[Fatalities]]</f>
        <v>15</v>
      </c>
      <c r="W1658" s="50">
        <f>IFERROR(Tabla1[[#This Row],[Fatalities]]/Tabla1[[#This Row],[Aboard]],0)</f>
        <v>0.74137931034482762</v>
      </c>
      <c r="X1658" s="51" t="str" cm="1">
        <f t="array" ref="X1658">_xlfn.IFS(Tabla1[[#This Row],[Porcentaje de muertes]]&lt;0.35,"LEVE",AND(Tabla1[[#This Row],[Porcentaje de muertes]]&gt;0.35,Tabla1[[#This Row],[Porcentaje de muertes]]&lt;0.65),"MEDIO",Tabla1[[#This Row],[Porcentaje de muertes]]&gt;0.65,"GRAVE")</f>
        <v>GRAVE</v>
      </c>
    </row>
    <row r="1659" spans="2:24" x14ac:dyDescent="0.3">
      <c r="B1659" s="9">
        <v>1658</v>
      </c>
      <c r="C1659" s="49">
        <v>21145</v>
      </c>
      <c r="D1659" s="9">
        <f>YEAR(Tabla1[[#This Row],[Date]])</f>
        <v>1957</v>
      </c>
      <c r="E1659" s="9" t="str" cm="1">
        <f t="array" ref="E1659">IFERROR(_xlfn.IFS(AND(D1659&lt;1980,D1659&gt;=1970),"70",AND(D1659&lt;1990,D1659&gt;=1980),"80",AND(D1659&lt;2000,D1659&gt;=1990),"90",AND(D1659&lt;2010,D1659&gt;=2000),"00",AND(D1659&lt;=2019,D1659&gt;=2010),"10"),"1908-1970")</f>
        <v>1908-1970</v>
      </c>
      <c r="F1659" s="3">
        <v>0.48125000000000001</v>
      </c>
      <c r="G1659" t="s">
        <v>12207</v>
      </c>
      <c r="H1659" t="s">
        <v>12208</v>
      </c>
      <c r="I1659" t="s">
        <v>28931</v>
      </c>
      <c r="J1659" t="s">
        <v>12209</v>
      </c>
      <c r="K1659" t="s">
        <v>11617</v>
      </c>
      <c r="L1659" s="7" t="s">
        <v>12210</v>
      </c>
      <c r="M1659">
        <v>12828</v>
      </c>
      <c r="N1659">
        <v>4</v>
      </c>
      <c r="O1659">
        <v>2</v>
      </c>
      <c r="P1659">
        <v>2</v>
      </c>
      <c r="Q1659">
        <v>4</v>
      </c>
      <c r="R1659">
        <v>2</v>
      </c>
      <c r="S1659">
        <v>2</v>
      </c>
      <c r="T1659">
        <v>0</v>
      </c>
      <c r="U1659" t="s">
        <v>12211</v>
      </c>
      <c r="V1659">
        <f>Tabla1[[#This Row],[Aboard]]-Tabla1[[#This Row],[Fatalities]]</f>
        <v>0</v>
      </c>
      <c r="W1659" s="50">
        <f>IFERROR(Tabla1[[#This Row],[Fatalities]]/Tabla1[[#This Row],[Aboard]],0)</f>
        <v>1</v>
      </c>
      <c r="X1659" s="51" t="str" cm="1">
        <f t="array" ref="X1659">_xlfn.IFS(Tabla1[[#This Row],[Porcentaje de muertes]]&lt;0.35,"LEVE",AND(Tabla1[[#This Row],[Porcentaje de muertes]]&gt;0.35,Tabla1[[#This Row],[Porcentaje de muertes]]&lt;0.65),"MEDIO",Tabla1[[#This Row],[Porcentaje de muertes]]&gt;0.65,"GRAVE")</f>
        <v>GRAVE</v>
      </c>
    </row>
    <row r="1660" spans="2:24" x14ac:dyDescent="0.3">
      <c r="B1660" s="9">
        <v>1659</v>
      </c>
      <c r="C1660" s="49">
        <v>21044</v>
      </c>
      <c r="D1660" s="9">
        <f>YEAR(Tabla1[[#This Row],[Date]])</f>
        <v>1957</v>
      </c>
      <c r="E1660" s="9" t="str" cm="1">
        <f t="array" ref="E1660">IFERROR(_xlfn.IFS(AND(D1660&lt;1980,D1660&gt;=1970),"70",AND(D1660&lt;1990,D1660&gt;=1980),"80",AND(D1660&lt;2000,D1660&gt;=1990),"90",AND(D1660&lt;2010,D1660&gt;=2000),"00",AND(D1660&lt;=2019,D1660&gt;=2010),"10"),"1908-1970")</f>
        <v>1908-1970</v>
      </c>
      <c r="F1660" s="3">
        <v>0.69791666666666663</v>
      </c>
      <c r="G1660" t="s">
        <v>12212</v>
      </c>
      <c r="H1660" t="s">
        <v>10275</v>
      </c>
      <c r="I1660" t="s">
        <v>28931</v>
      </c>
      <c r="J1660" t="s">
        <v>12213</v>
      </c>
      <c r="K1660" t="s">
        <v>8822</v>
      </c>
      <c r="L1660" s="7" t="s">
        <v>12214</v>
      </c>
      <c r="M1660">
        <v>27227</v>
      </c>
      <c r="N1660">
        <v>61</v>
      </c>
      <c r="O1660">
        <v>55</v>
      </c>
      <c r="P1660">
        <v>6</v>
      </c>
      <c r="Q1660">
        <v>61</v>
      </c>
      <c r="R1660">
        <v>55</v>
      </c>
      <c r="S1660">
        <v>6</v>
      </c>
      <c r="T1660">
        <v>0</v>
      </c>
      <c r="U1660" t="s">
        <v>12215</v>
      </c>
      <c r="V1660">
        <f>Tabla1[[#This Row],[Aboard]]-Tabla1[[#This Row],[Fatalities]]</f>
        <v>0</v>
      </c>
      <c r="W1660" s="50">
        <f>IFERROR(Tabla1[[#This Row],[Fatalities]]/Tabla1[[#This Row],[Aboard]],0)</f>
        <v>1</v>
      </c>
      <c r="X1660" s="51" t="str" cm="1">
        <f t="array" ref="X1660">_xlfn.IFS(Tabla1[[#This Row],[Porcentaje de muertes]]&lt;0.35,"LEVE",AND(Tabla1[[#This Row],[Porcentaje de muertes]]&gt;0.35,Tabla1[[#This Row],[Porcentaje de muertes]]&lt;0.65),"MEDIO",Tabla1[[#This Row],[Porcentaje de muertes]]&gt;0.65,"GRAVE")</f>
        <v>GRAVE</v>
      </c>
    </row>
    <row r="1661" spans="2:24" x14ac:dyDescent="0.3">
      <c r="B1661" s="9">
        <v>1660</v>
      </c>
      <c r="C1661" s="49">
        <v>21105</v>
      </c>
      <c r="D1661" s="9">
        <f>YEAR(Tabla1[[#This Row],[Date]])</f>
        <v>1957</v>
      </c>
      <c r="E1661" s="9" t="str" cm="1">
        <f t="array" ref="E1661">IFERROR(_xlfn.IFS(AND(D1661&lt;1980,D1661&gt;=1970),"70",AND(D1661&lt;1990,D1661&gt;=1980),"80",AND(D1661&lt;2000,D1661&gt;=1990),"90",AND(D1661&lt;2010,D1661&gt;=2000),"00",AND(D1661&lt;=2019,D1661&gt;=2010),"10"),"1908-1970")</f>
        <v>1908-1970</v>
      </c>
      <c r="F1661" s="3" t="s">
        <v>28931</v>
      </c>
      <c r="G1661" t="s">
        <v>12216</v>
      </c>
      <c r="H1661" t="s">
        <v>12217</v>
      </c>
      <c r="I1661" t="s">
        <v>28931</v>
      </c>
      <c r="J1661" t="s">
        <v>12218</v>
      </c>
      <c r="K1661" t="s">
        <v>8105</v>
      </c>
      <c r="L1661" s="7" t="s">
        <v>12219</v>
      </c>
      <c r="M1661" t="s">
        <v>12220</v>
      </c>
      <c r="N1661">
        <v>10</v>
      </c>
      <c r="O1661">
        <v>7</v>
      </c>
      <c r="P1661">
        <v>3</v>
      </c>
      <c r="Q1661">
        <v>3</v>
      </c>
      <c r="R1661">
        <v>3</v>
      </c>
      <c r="S1661">
        <v>0</v>
      </c>
      <c r="T1661">
        <v>0</v>
      </c>
      <c r="U1661" t="s">
        <v>9516</v>
      </c>
      <c r="V1661">
        <f>Tabla1[[#This Row],[Aboard]]-Tabla1[[#This Row],[Fatalities]]</f>
        <v>7</v>
      </c>
      <c r="W1661" s="50">
        <f>IFERROR(Tabla1[[#This Row],[Fatalities]]/Tabla1[[#This Row],[Aboard]],0)</f>
        <v>0.3</v>
      </c>
      <c r="X1661" s="51" t="str" cm="1">
        <f t="array" ref="X1661">_xlfn.IFS(Tabla1[[#This Row],[Porcentaje de muertes]]&lt;0.35,"LEVE",AND(Tabla1[[#This Row],[Porcentaje de muertes]]&gt;0.35,Tabla1[[#This Row],[Porcentaje de muertes]]&lt;0.65),"MEDIO",Tabla1[[#This Row],[Porcentaje de muertes]]&gt;0.65,"GRAVE")</f>
        <v>LEVE</v>
      </c>
    </row>
    <row r="1662" spans="2:24" x14ac:dyDescent="0.3">
      <c r="B1662" s="9">
        <v>1661</v>
      </c>
      <c r="C1662" s="49">
        <v>21136</v>
      </c>
      <c r="D1662" s="9">
        <f>YEAR(Tabla1[[#This Row],[Date]])</f>
        <v>1957</v>
      </c>
      <c r="E1662" s="9" t="str" cm="1">
        <f t="array" ref="E1662">IFERROR(_xlfn.IFS(AND(D1662&lt;1980,D1662&gt;=1970),"70",AND(D1662&lt;1990,D1662&gt;=1980),"80",AND(D1662&lt;2000,D1662&gt;=1990),"90",AND(D1662&lt;2010,D1662&gt;=2000),"00",AND(D1662&lt;=2019,D1662&gt;=2010),"10"),"1908-1970")</f>
        <v>1908-1970</v>
      </c>
      <c r="F1662" s="3">
        <v>0.54999999999999993</v>
      </c>
      <c r="G1662" t="s">
        <v>12221</v>
      </c>
      <c r="H1662" t="s">
        <v>8992</v>
      </c>
      <c r="I1662" t="s">
        <v>28931</v>
      </c>
      <c r="J1662" t="s">
        <v>12222</v>
      </c>
      <c r="K1662" t="s">
        <v>12223</v>
      </c>
      <c r="L1662" s="7" t="s">
        <v>12224</v>
      </c>
      <c r="M1662">
        <v>168</v>
      </c>
      <c r="N1662">
        <v>12</v>
      </c>
      <c r="O1662">
        <v>11</v>
      </c>
      <c r="P1662">
        <v>1</v>
      </c>
      <c r="Q1662">
        <v>2</v>
      </c>
      <c r="R1662">
        <v>1</v>
      </c>
      <c r="S1662">
        <v>1</v>
      </c>
      <c r="T1662">
        <v>0</v>
      </c>
      <c r="U1662" t="s">
        <v>12225</v>
      </c>
      <c r="V1662">
        <f>Tabla1[[#This Row],[Aboard]]-Tabla1[[#This Row],[Fatalities]]</f>
        <v>10</v>
      </c>
      <c r="W1662" s="50">
        <f>IFERROR(Tabla1[[#This Row],[Fatalities]]/Tabla1[[#This Row],[Aboard]],0)</f>
        <v>0.16666666666666666</v>
      </c>
      <c r="X1662" s="51" t="str" cm="1">
        <f t="array" ref="X1662">_xlfn.IFS(Tabla1[[#This Row],[Porcentaje de muertes]]&lt;0.35,"LEVE",AND(Tabla1[[#This Row],[Porcentaje de muertes]]&gt;0.35,Tabla1[[#This Row],[Porcentaje de muertes]]&lt;0.65),"MEDIO",Tabla1[[#This Row],[Porcentaje de muertes]]&gt;0.65,"GRAVE")</f>
        <v>LEVE</v>
      </c>
    </row>
    <row r="1663" spans="2:24" x14ac:dyDescent="0.3">
      <c r="B1663" s="9">
        <v>1662</v>
      </c>
      <c r="C1663" s="49">
        <v>21172</v>
      </c>
      <c r="D1663" s="9">
        <f>YEAR(Tabla1[[#This Row],[Date]])</f>
        <v>1957</v>
      </c>
      <c r="E1663" s="9" t="str" cm="1">
        <f t="array" ref="E1663">IFERROR(_xlfn.IFS(AND(D1663&lt;1980,D1663&gt;=1970),"70",AND(D1663&lt;1990,D1663&gt;=1980),"80",AND(D1663&lt;2000,D1663&gt;=1990),"90",AND(D1663&lt;2010,D1663&gt;=2000),"00",AND(D1663&lt;=2019,D1663&gt;=2010),"10"),"1908-1970")</f>
        <v>1908-1970</v>
      </c>
      <c r="F1663" s="3">
        <v>0.52430555555555558</v>
      </c>
      <c r="G1663" t="s">
        <v>12226</v>
      </c>
      <c r="H1663" t="s">
        <v>6541</v>
      </c>
      <c r="I1663">
        <v>10</v>
      </c>
      <c r="J1663" t="s">
        <v>12227</v>
      </c>
      <c r="K1663" t="s">
        <v>9305</v>
      </c>
      <c r="L1663" s="7" t="s">
        <v>12228</v>
      </c>
      <c r="M1663" t="s">
        <v>12229</v>
      </c>
      <c r="N1663">
        <v>27</v>
      </c>
      <c r="O1663">
        <v>22</v>
      </c>
      <c r="P1663">
        <v>5</v>
      </c>
      <c r="Q1663">
        <v>27</v>
      </c>
      <c r="R1663">
        <v>22</v>
      </c>
      <c r="S1663">
        <v>5</v>
      </c>
      <c r="T1663">
        <v>0</v>
      </c>
      <c r="U1663" t="s">
        <v>12230</v>
      </c>
      <c r="V1663">
        <f>Tabla1[[#This Row],[Aboard]]-Tabla1[[#This Row],[Fatalities]]</f>
        <v>0</v>
      </c>
      <c r="W1663" s="50">
        <f>IFERROR(Tabla1[[#This Row],[Fatalities]]/Tabla1[[#This Row],[Aboard]],0)</f>
        <v>1</v>
      </c>
      <c r="X1663" s="51" t="str" cm="1">
        <f t="array" ref="X1663">_xlfn.IFS(Tabla1[[#This Row],[Porcentaje de muertes]]&lt;0.35,"LEVE",AND(Tabla1[[#This Row],[Porcentaje de muertes]]&gt;0.35,Tabla1[[#This Row],[Porcentaje de muertes]]&lt;0.65),"MEDIO",Tabla1[[#This Row],[Porcentaje de muertes]]&gt;0.65,"GRAVE")</f>
        <v>GRAVE</v>
      </c>
    </row>
    <row r="1664" spans="2:24" x14ac:dyDescent="0.3">
      <c r="B1664" s="9">
        <v>1663</v>
      </c>
      <c r="C1664" s="49">
        <v>21177</v>
      </c>
      <c r="D1664" s="9">
        <f>YEAR(Tabla1[[#This Row],[Date]])</f>
        <v>1957</v>
      </c>
      <c r="E1664" s="9" t="str" cm="1">
        <f t="array" ref="E1664">IFERROR(_xlfn.IFS(AND(D1664&lt;1980,D1664&gt;=1970),"70",AND(D1664&lt;1990,D1664&gt;=1980),"80",AND(D1664&lt;2000,D1664&gt;=1990),"90",AND(D1664&lt;2010,D1664&gt;=2000),"00",AND(D1664&lt;=2019,D1664&gt;=2010),"10"),"1908-1970")</f>
        <v>1908-1970</v>
      </c>
      <c r="F1664" s="3">
        <v>0.66666666666666663</v>
      </c>
      <c r="G1664" t="s">
        <v>12231</v>
      </c>
      <c r="H1664" t="s">
        <v>5027</v>
      </c>
      <c r="I1664" t="s">
        <v>28931</v>
      </c>
      <c r="J1664" t="s">
        <v>28931</v>
      </c>
      <c r="K1664" t="s">
        <v>12232</v>
      </c>
      <c r="L1664" s="7">
        <v>143197</v>
      </c>
      <c r="M1664">
        <v>4471</v>
      </c>
      <c r="N1664">
        <v>23</v>
      </c>
      <c r="O1664">
        <v>19</v>
      </c>
      <c r="P1664">
        <v>4</v>
      </c>
      <c r="Q1664">
        <v>19</v>
      </c>
      <c r="R1664">
        <v>16</v>
      </c>
      <c r="S1664">
        <v>3</v>
      </c>
      <c r="T1664">
        <v>0</v>
      </c>
      <c r="U1664" t="s">
        <v>12233</v>
      </c>
      <c r="V1664">
        <f>Tabla1[[#This Row],[Aboard]]-Tabla1[[#This Row],[Fatalities]]</f>
        <v>4</v>
      </c>
      <c r="W1664" s="50">
        <f>IFERROR(Tabla1[[#This Row],[Fatalities]]/Tabla1[[#This Row],[Aboard]],0)</f>
        <v>0.82608695652173914</v>
      </c>
      <c r="X1664" s="51" t="str" cm="1">
        <f t="array" ref="X1664">_xlfn.IFS(Tabla1[[#This Row],[Porcentaje de muertes]]&lt;0.35,"LEVE",AND(Tabla1[[#This Row],[Porcentaje de muertes]]&gt;0.35,Tabla1[[#This Row],[Porcentaje de muertes]]&lt;0.65),"MEDIO",Tabla1[[#This Row],[Porcentaje de muertes]]&gt;0.65,"GRAVE")</f>
        <v>GRAVE</v>
      </c>
    </row>
    <row r="1665" spans="2:24" x14ac:dyDescent="0.3">
      <c r="B1665" s="9">
        <v>1664</v>
      </c>
      <c r="C1665" s="49">
        <v>21177</v>
      </c>
      <c r="D1665" s="9">
        <f>YEAR(Tabla1[[#This Row],[Date]])</f>
        <v>1957</v>
      </c>
      <c r="E1665" s="9" t="str" cm="1">
        <f t="array" ref="E1665">IFERROR(_xlfn.IFS(AND(D1665&lt;1980,D1665&gt;=1970),"70",AND(D1665&lt;1990,D1665&gt;=1980),"80",AND(D1665&lt;2000,D1665&gt;=1990),"90",AND(D1665&lt;2010,D1665&gt;=2000),"00",AND(D1665&lt;=2019,D1665&gt;=2010),"10"),"1908-1970")</f>
        <v>1908-1970</v>
      </c>
      <c r="F1665" s="3" t="s">
        <v>28931</v>
      </c>
      <c r="G1665" t="s">
        <v>12234</v>
      </c>
      <c r="H1665" t="s">
        <v>11720</v>
      </c>
      <c r="I1665" t="s">
        <v>28931</v>
      </c>
      <c r="J1665" t="s">
        <v>12235</v>
      </c>
      <c r="K1665" t="s">
        <v>11550</v>
      </c>
      <c r="L1665" s="7" t="s">
        <v>12236</v>
      </c>
      <c r="M1665" t="s">
        <v>12237</v>
      </c>
      <c r="N1665">
        <v>4</v>
      </c>
      <c r="O1665">
        <v>0</v>
      </c>
      <c r="P1665">
        <v>4</v>
      </c>
      <c r="Q1665">
        <v>4</v>
      </c>
      <c r="R1665">
        <v>0</v>
      </c>
      <c r="S1665">
        <v>4</v>
      </c>
      <c r="T1665">
        <v>0</v>
      </c>
      <c r="U1665" t="s">
        <v>12238</v>
      </c>
      <c r="V1665">
        <f>Tabla1[[#This Row],[Aboard]]-Tabla1[[#This Row],[Fatalities]]</f>
        <v>0</v>
      </c>
      <c r="W1665" s="50">
        <f>IFERROR(Tabla1[[#This Row],[Fatalities]]/Tabla1[[#This Row],[Aboard]],0)</f>
        <v>1</v>
      </c>
      <c r="X1665" s="51" t="str" cm="1">
        <f t="array" ref="X1665">_xlfn.IFS(Tabla1[[#This Row],[Porcentaje de muertes]]&lt;0.35,"LEVE",AND(Tabla1[[#This Row],[Porcentaje de muertes]]&gt;0.35,Tabla1[[#This Row],[Porcentaje de muertes]]&lt;0.65),"MEDIO",Tabla1[[#This Row],[Porcentaje de muertes]]&gt;0.65,"GRAVE")</f>
        <v>GRAVE</v>
      </c>
    </row>
    <row r="1666" spans="2:24" x14ac:dyDescent="0.3">
      <c r="B1666" s="9">
        <v>1665</v>
      </c>
      <c r="C1666" s="49">
        <v>21185</v>
      </c>
      <c r="D1666" s="9">
        <f>YEAR(Tabla1[[#This Row],[Date]])</f>
        <v>1957</v>
      </c>
      <c r="E1666" s="9" t="str" cm="1">
        <f t="array" ref="E1666">IFERROR(_xlfn.IFS(AND(D1666&lt;1980,D1666&gt;=1970),"70",AND(D1666&lt;1990,D1666&gt;=1980),"80",AND(D1666&lt;2000,D1666&gt;=1990),"90",AND(D1666&lt;2010,D1666&gt;=2000),"00",AND(D1666&lt;=2019,D1666&gt;=2010),"10"),"1908-1970")</f>
        <v>1908-1970</v>
      </c>
      <c r="F1666" s="3">
        <v>0.5395833333333333</v>
      </c>
      <c r="G1666" t="s">
        <v>5925</v>
      </c>
      <c r="H1666" t="s">
        <v>10275</v>
      </c>
      <c r="I1666" t="s">
        <v>28931</v>
      </c>
      <c r="J1666" t="s">
        <v>12239</v>
      </c>
      <c r="K1666" t="s">
        <v>7808</v>
      </c>
      <c r="L1666" s="7" t="s">
        <v>12240</v>
      </c>
      <c r="M1666">
        <v>3</v>
      </c>
      <c r="N1666">
        <v>50</v>
      </c>
      <c r="O1666">
        <v>44</v>
      </c>
      <c r="P1666">
        <v>6</v>
      </c>
      <c r="Q1666">
        <v>9</v>
      </c>
      <c r="R1666">
        <v>1</v>
      </c>
      <c r="S1666">
        <v>8</v>
      </c>
      <c r="T1666">
        <v>0</v>
      </c>
      <c r="U1666" t="s">
        <v>12241</v>
      </c>
      <c r="V1666">
        <f>Tabla1[[#This Row],[Aboard]]-Tabla1[[#This Row],[Fatalities]]</f>
        <v>41</v>
      </c>
      <c r="W1666" s="50">
        <f>IFERROR(Tabla1[[#This Row],[Fatalities]]/Tabla1[[#This Row],[Aboard]],0)</f>
        <v>0.18</v>
      </c>
      <c r="X1666" s="51" t="str" cm="1">
        <f t="array" ref="X1666">_xlfn.IFS(Tabla1[[#This Row],[Porcentaje de muertes]]&lt;0.35,"LEVE",AND(Tabla1[[#This Row],[Porcentaje de muertes]]&gt;0.35,Tabla1[[#This Row],[Porcentaje de muertes]]&lt;0.65),"MEDIO",Tabla1[[#This Row],[Porcentaje de muertes]]&gt;0.65,"GRAVE")</f>
        <v>LEVE</v>
      </c>
    </row>
    <row r="1667" spans="2:24" x14ac:dyDescent="0.3">
      <c r="B1667" s="9">
        <v>1666</v>
      </c>
      <c r="C1667" s="49">
        <v>21201</v>
      </c>
      <c r="D1667" s="9">
        <f>YEAR(Tabla1[[#This Row],[Date]])</f>
        <v>1958</v>
      </c>
      <c r="E1667" s="9" t="str" cm="1">
        <f t="array" ref="E1667">IFERROR(_xlfn.IFS(AND(D1667&lt;1980,D1667&gt;=1970),"70",AND(D1667&lt;1990,D1667&gt;=1980),"80",AND(D1667&lt;2000,D1667&gt;=1990),"90",AND(D1667&lt;2010,D1667&gt;=2000),"00",AND(D1667&lt;=2019,D1667&gt;=2010),"10"),"1908-1970")</f>
        <v>1908-1970</v>
      </c>
      <c r="F1667" s="3" t="s">
        <v>28931</v>
      </c>
      <c r="G1667" t="s">
        <v>9534</v>
      </c>
      <c r="H1667" t="s">
        <v>9425</v>
      </c>
      <c r="I1667" t="s">
        <v>28931</v>
      </c>
      <c r="J1667" t="s">
        <v>28931</v>
      </c>
      <c r="K1667" t="s">
        <v>12171</v>
      </c>
      <c r="L1667" s="7" t="s">
        <v>12242</v>
      </c>
      <c r="M1667">
        <v>10200</v>
      </c>
      <c r="N1667">
        <v>3</v>
      </c>
      <c r="O1667">
        <v>0</v>
      </c>
      <c r="P1667">
        <v>3</v>
      </c>
      <c r="Q1667">
        <v>3</v>
      </c>
      <c r="R1667">
        <v>0</v>
      </c>
      <c r="S1667">
        <v>3</v>
      </c>
      <c r="T1667">
        <v>0</v>
      </c>
      <c r="U1667" t="s">
        <v>12243</v>
      </c>
      <c r="V1667">
        <f>Tabla1[[#This Row],[Aboard]]-Tabla1[[#This Row],[Fatalities]]</f>
        <v>0</v>
      </c>
      <c r="W1667" s="50">
        <f>IFERROR(Tabla1[[#This Row],[Fatalities]]/Tabla1[[#This Row],[Aboard]],0)</f>
        <v>1</v>
      </c>
      <c r="X1667" s="51" t="str" cm="1">
        <f t="array" ref="X1667">_xlfn.IFS(Tabla1[[#This Row],[Porcentaje de muertes]]&lt;0.35,"LEVE",AND(Tabla1[[#This Row],[Porcentaje de muertes]]&gt;0.35,Tabla1[[#This Row],[Porcentaje de muertes]]&lt;0.65),"MEDIO",Tabla1[[#This Row],[Porcentaje de muertes]]&gt;0.65,"GRAVE")</f>
        <v>GRAVE</v>
      </c>
    </row>
    <row r="1668" spans="2:24" x14ac:dyDescent="0.3">
      <c r="B1668" s="9">
        <v>1667</v>
      </c>
      <c r="C1668" s="49">
        <v>21205</v>
      </c>
      <c r="D1668" s="9">
        <f>YEAR(Tabla1[[#This Row],[Date]])</f>
        <v>1958</v>
      </c>
      <c r="E1668" s="9" t="str" cm="1">
        <f t="array" ref="E1668">IFERROR(_xlfn.IFS(AND(D1668&lt;1980,D1668&gt;=1970),"70",AND(D1668&lt;1990,D1668&gt;=1980),"80",AND(D1668&lt;2000,D1668&gt;=1990),"90",AND(D1668&lt;2010,D1668&gt;=2000),"00",AND(D1668&lt;=2019,D1668&gt;=2010),"10"),"1908-1970")</f>
        <v>1908-1970</v>
      </c>
      <c r="F1668" s="3" t="s">
        <v>28931</v>
      </c>
      <c r="G1668" t="s">
        <v>12244</v>
      </c>
      <c r="H1668" t="s">
        <v>12245</v>
      </c>
      <c r="I1668" t="s">
        <v>28931</v>
      </c>
      <c r="J1668" t="s">
        <v>12246</v>
      </c>
      <c r="K1668" t="s">
        <v>7057</v>
      </c>
      <c r="L1668" s="7" t="s">
        <v>12247</v>
      </c>
      <c r="M1668" t="s">
        <v>28931</v>
      </c>
      <c r="N1668">
        <v>11</v>
      </c>
      <c r="O1668">
        <v>8</v>
      </c>
      <c r="P1668">
        <v>3</v>
      </c>
      <c r="Q1668">
        <v>11</v>
      </c>
      <c r="R1668">
        <v>8</v>
      </c>
      <c r="S1668">
        <v>3</v>
      </c>
      <c r="T1668">
        <v>0</v>
      </c>
      <c r="U1668" t="s">
        <v>12248</v>
      </c>
      <c r="V1668">
        <f>Tabla1[[#This Row],[Aboard]]-Tabla1[[#This Row],[Fatalities]]</f>
        <v>0</v>
      </c>
      <c r="W1668" s="50">
        <f>IFERROR(Tabla1[[#This Row],[Fatalities]]/Tabla1[[#This Row],[Aboard]],0)</f>
        <v>1</v>
      </c>
      <c r="X1668" s="51" t="str" cm="1">
        <f t="array" ref="X1668">_xlfn.IFS(Tabla1[[#This Row],[Porcentaje de muertes]]&lt;0.35,"LEVE",AND(Tabla1[[#This Row],[Porcentaje de muertes]]&gt;0.35,Tabla1[[#This Row],[Porcentaje de muertes]]&lt;0.65),"MEDIO",Tabla1[[#This Row],[Porcentaje de muertes]]&gt;0.65,"GRAVE")</f>
        <v>GRAVE</v>
      </c>
    </row>
    <row r="1669" spans="2:24" x14ac:dyDescent="0.3">
      <c r="B1669" s="9">
        <v>1668</v>
      </c>
      <c r="C1669" s="49">
        <v>21187</v>
      </c>
      <c r="D1669" s="9">
        <f>YEAR(Tabla1[[#This Row],[Date]])</f>
        <v>1958</v>
      </c>
      <c r="E1669" s="9" t="str" cm="1">
        <f t="array" ref="E1669">IFERROR(_xlfn.IFS(AND(D1669&lt;1980,D1669&gt;=1970),"70",AND(D1669&lt;1990,D1669&gt;=1980),"80",AND(D1669&lt;2000,D1669&gt;=1990),"90",AND(D1669&lt;2010,D1669&gt;=2000),"00",AND(D1669&lt;=2019,D1669&gt;=2010),"10"),"1908-1970")</f>
        <v>1908-1970</v>
      </c>
      <c r="F1669" s="3" t="s">
        <v>28931</v>
      </c>
      <c r="G1669" t="s">
        <v>7368</v>
      </c>
      <c r="H1669" t="s">
        <v>10465</v>
      </c>
      <c r="I1669" t="s">
        <v>28931</v>
      </c>
      <c r="J1669" t="s">
        <v>12249</v>
      </c>
      <c r="K1669" t="s">
        <v>8822</v>
      </c>
      <c r="L1669" s="7" t="s">
        <v>12250</v>
      </c>
      <c r="M1669">
        <v>18336</v>
      </c>
      <c r="N1669">
        <v>73</v>
      </c>
      <c r="O1669">
        <v>68</v>
      </c>
      <c r="P1669">
        <v>5</v>
      </c>
      <c r="Q1669">
        <v>5</v>
      </c>
      <c r="R1669">
        <v>3</v>
      </c>
      <c r="S1669">
        <v>2</v>
      </c>
      <c r="T1669">
        <v>0</v>
      </c>
      <c r="U1669" t="s">
        <v>12251</v>
      </c>
      <c r="V1669">
        <f>Tabla1[[#This Row],[Aboard]]-Tabla1[[#This Row],[Fatalities]]</f>
        <v>68</v>
      </c>
      <c r="W1669" s="50">
        <f>IFERROR(Tabla1[[#This Row],[Fatalities]]/Tabla1[[#This Row],[Aboard]],0)</f>
        <v>6.8493150684931503E-2</v>
      </c>
      <c r="X1669" s="51" t="str" cm="1">
        <f t="array" ref="X1669">_xlfn.IFS(Tabla1[[#This Row],[Porcentaje de muertes]]&lt;0.35,"LEVE",AND(Tabla1[[#This Row],[Porcentaje de muertes]]&gt;0.35,Tabla1[[#This Row],[Porcentaje de muertes]]&lt;0.65),"MEDIO",Tabla1[[#This Row],[Porcentaje de muertes]]&gt;0.65,"GRAVE")</f>
        <v>LEVE</v>
      </c>
    </row>
    <row r="1670" spans="2:24" x14ac:dyDescent="0.3">
      <c r="B1670" s="9">
        <v>1669</v>
      </c>
      <c r="C1670" s="49">
        <v>21187</v>
      </c>
      <c r="D1670" s="9">
        <f>YEAR(Tabla1[[#This Row],[Date]])</f>
        <v>1958</v>
      </c>
      <c r="E1670" s="9" t="str" cm="1">
        <f t="array" ref="E1670">IFERROR(_xlfn.IFS(AND(D1670&lt;1980,D1670&gt;=1970),"70",AND(D1670&lt;1990,D1670&gt;=1980),"80",AND(D1670&lt;2000,D1670&gt;=1990),"90",AND(D1670&lt;2010,D1670&gt;=2000),"00",AND(D1670&lt;=2019,D1670&gt;=2010),"10"),"1908-1970")</f>
        <v>1908-1970</v>
      </c>
      <c r="F1670" s="3">
        <v>0.80208333333333337</v>
      </c>
      <c r="G1670" t="s">
        <v>12252</v>
      </c>
      <c r="H1670" t="s">
        <v>12253</v>
      </c>
      <c r="I1670" t="s">
        <v>28931</v>
      </c>
      <c r="J1670" t="s">
        <v>12254</v>
      </c>
      <c r="K1670" t="s">
        <v>12255</v>
      </c>
      <c r="L1670" s="7" t="s">
        <v>12256</v>
      </c>
      <c r="M1670" t="s">
        <v>12257</v>
      </c>
      <c r="N1670">
        <v>41</v>
      </c>
      <c r="O1670">
        <v>35</v>
      </c>
      <c r="P1670">
        <v>6</v>
      </c>
      <c r="Q1670">
        <v>41</v>
      </c>
      <c r="R1670">
        <v>35</v>
      </c>
      <c r="S1670">
        <v>6</v>
      </c>
      <c r="T1670">
        <v>1</v>
      </c>
      <c r="U1670" t="s">
        <v>12258</v>
      </c>
      <c r="V1670">
        <f>Tabla1[[#This Row],[Aboard]]-Tabla1[[#This Row],[Fatalities]]</f>
        <v>0</v>
      </c>
      <c r="W1670" s="50">
        <f>IFERROR(Tabla1[[#This Row],[Fatalities]]/Tabla1[[#This Row],[Aboard]],0)</f>
        <v>1</v>
      </c>
      <c r="X1670" s="51" t="str" cm="1">
        <f t="array" ref="X1670">_xlfn.IFS(Tabla1[[#This Row],[Porcentaje de muertes]]&lt;0.35,"LEVE",AND(Tabla1[[#This Row],[Porcentaje de muertes]]&gt;0.35,Tabla1[[#This Row],[Porcentaje de muertes]]&lt;0.65),"MEDIO",Tabla1[[#This Row],[Porcentaje de muertes]]&gt;0.65,"GRAVE")</f>
        <v>GRAVE</v>
      </c>
    </row>
    <row r="1671" spans="2:24" x14ac:dyDescent="0.3">
      <c r="B1671" s="9">
        <v>1670</v>
      </c>
      <c r="C1671" s="49">
        <v>21338</v>
      </c>
      <c r="D1671" s="9">
        <f>YEAR(Tabla1[[#This Row],[Date]])</f>
        <v>1958</v>
      </c>
      <c r="E1671" s="9" t="str" cm="1">
        <f t="array" ref="E1671">IFERROR(_xlfn.IFS(AND(D1671&lt;1980,D1671&gt;=1970),"70",AND(D1671&lt;1990,D1671&gt;=1980),"80",AND(D1671&lt;2000,D1671&gt;=1990),"90",AND(D1671&lt;2010,D1671&gt;=2000),"00",AND(D1671&lt;=2019,D1671&gt;=2010),"10"),"1908-1970")</f>
        <v>1908-1970</v>
      </c>
      <c r="F1671" s="3">
        <v>0.66875000000000007</v>
      </c>
      <c r="G1671" t="s">
        <v>7087</v>
      </c>
      <c r="H1671" t="s">
        <v>8721</v>
      </c>
      <c r="I1671">
        <v>609</v>
      </c>
      <c r="J1671" t="s">
        <v>12259</v>
      </c>
      <c r="K1671" t="s">
        <v>12260</v>
      </c>
      <c r="L1671" s="7" t="s">
        <v>12261</v>
      </c>
      <c r="M1671">
        <v>5217</v>
      </c>
      <c r="N1671">
        <v>44</v>
      </c>
      <c r="O1671">
        <v>38</v>
      </c>
      <c r="P1671">
        <v>6</v>
      </c>
      <c r="Q1671">
        <v>23</v>
      </c>
      <c r="R1671">
        <v>21</v>
      </c>
      <c r="S1671">
        <v>2</v>
      </c>
      <c r="T1671">
        <v>0</v>
      </c>
      <c r="U1671" t="s">
        <v>12262</v>
      </c>
      <c r="V1671">
        <f>Tabla1[[#This Row],[Aboard]]-Tabla1[[#This Row],[Fatalities]]</f>
        <v>21</v>
      </c>
      <c r="W1671" s="50">
        <f>IFERROR(Tabla1[[#This Row],[Fatalities]]/Tabla1[[#This Row],[Aboard]],0)</f>
        <v>0.52272727272727271</v>
      </c>
      <c r="X1671" s="51" t="str" cm="1">
        <f t="array" ref="X1671">_xlfn.IFS(Tabla1[[#This Row],[Porcentaje de muertes]]&lt;0.35,"LEVE",AND(Tabla1[[#This Row],[Porcentaje de muertes]]&gt;0.35,Tabla1[[#This Row],[Porcentaje de muertes]]&lt;0.65),"MEDIO",Tabla1[[#This Row],[Porcentaje de muertes]]&gt;0.65,"GRAVE")</f>
        <v>MEDIO</v>
      </c>
    </row>
    <row r="1672" spans="2:24" x14ac:dyDescent="0.3">
      <c r="B1672" s="9">
        <v>1671</v>
      </c>
      <c r="C1672" s="49">
        <v>21231</v>
      </c>
      <c r="D1672" s="9">
        <f>YEAR(Tabla1[[#This Row],[Date]])</f>
        <v>1958</v>
      </c>
      <c r="E1672" s="9" t="str" cm="1">
        <f t="array" ref="E1672">IFERROR(_xlfn.IFS(AND(D1672&lt;1980,D1672&gt;=1970),"70",AND(D1672&lt;1990,D1672&gt;=1980),"80",AND(D1672&lt;2000,D1672&gt;=1990),"90",AND(D1672&lt;2010,D1672&gt;=2000),"00",AND(D1672&lt;=2019,D1672&gt;=2010),"10"),"1908-1970")</f>
        <v>1908-1970</v>
      </c>
      <c r="F1672" s="3">
        <v>0.93333333333333324</v>
      </c>
      <c r="G1672" t="s">
        <v>12263</v>
      </c>
      <c r="H1672" t="s">
        <v>10504</v>
      </c>
      <c r="I1672" t="s">
        <v>28931</v>
      </c>
      <c r="J1672" t="s">
        <v>12264</v>
      </c>
      <c r="K1672" t="s">
        <v>12265</v>
      </c>
      <c r="L1672" s="7" t="s">
        <v>12266</v>
      </c>
      <c r="M1672">
        <v>13771</v>
      </c>
      <c r="N1672">
        <v>16</v>
      </c>
      <c r="O1672">
        <v>14</v>
      </c>
      <c r="P1672">
        <v>2</v>
      </c>
      <c r="Q1672">
        <v>16</v>
      </c>
      <c r="R1672">
        <v>14</v>
      </c>
      <c r="S1672">
        <v>2</v>
      </c>
      <c r="T1672">
        <v>0</v>
      </c>
      <c r="U1672" t="s">
        <v>12267</v>
      </c>
      <c r="V1672">
        <f>Tabla1[[#This Row],[Aboard]]-Tabla1[[#This Row],[Fatalities]]</f>
        <v>0</v>
      </c>
      <c r="W1672" s="50">
        <f>IFERROR(Tabla1[[#This Row],[Fatalities]]/Tabla1[[#This Row],[Aboard]],0)</f>
        <v>1</v>
      </c>
      <c r="X1672" s="51" t="str" cm="1">
        <f t="array" ref="X1672">_xlfn.IFS(Tabla1[[#This Row],[Porcentaje de muertes]]&lt;0.35,"LEVE",AND(Tabla1[[#This Row],[Porcentaje de muertes]]&gt;0.35,Tabla1[[#This Row],[Porcentaje de muertes]]&lt;0.65),"MEDIO",Tabla1[[#This Row],[Porcentaje de muertes]]&gt;0.65,"GRAVE")</f>
        <v>GRAVE</v>
      </c>
    </row>
    <row r="1673" spans="2:24" x14ac:dyDescent="0.3">
      <c r="B1673" s="9">
        <v>1672</v>
      </c>
      <c r="C1673" s="49">
        <v>21235</v>
      </c>
      <c r="D1673" s="9">
        <f>YEAR(Tabla1[[#This Row],[Date]])</f>
        <v>1958</v>
      </c>
      <c r="E1673" s="9" t="str" cm="1">
        <f t="array" ref="E1673">IFERROR(_xlfn.IFS(AND(D1673&lt;1980,D1673&gt;=1970),"70",AND(D1673&lt;1990,D1673&gt;=1980),"80",AND(D1673&lt;2000,D1673&gt;=1990),"90",AND(D1673&lt;2010,D1673&gt;=2000),"00",AND(D1673&lt;=2019,D1673&gt;=2010),"10"),"1908-1970")</f>
        <v>1908-1970</v>
      </c>
      <c r="F1673" s="3" t="s">
        <v>28931</v>
      </c>
      <c r="G1673" t="s">
        <v>12268</v>
      </c>
      <c r="H1673" t="s">
        <v>12269</v>
      </c>
      <c r="I1673" t="s">
        <v>28931</v>
      </c>
      <c r="J1673" t="s">
        <v>12270</v>
      </c>
      <c r="K1673" t="s">
        <v>9179</v>
      </c>
      <c r="L1673" s="7" t="s">
        <v>12271</v>
      </c>
      <c r="M1673">
        <v>296</v>
      </c>
      <c r="N1673">
        <v>15</v>
      </c>
      <c r="O1673">
        <v>12</v>
      </c>
      <c r="P1673">
        <v>3</v>
      </c>
      <c r="Q1673">
        <v>15</v>
      </c>
      <c r="R1673">
        <v>12</v>
      </c>
      <c r="S1673">
        <v>3</v>
      </c>
      <c r="T1673">
        <v>0</v>
      </c>
      <c r="U1673" t="s">
        <v>12272</v>
      </c>
      <c r="V1673">
        <f>Tabla1[[#This Row],[Aboard]]-Tabla1[[#This Row],[Fatalities]]</f>
        <v>0</v>
      </c>
      <c r="W1673" s="50">
        <f>IFERROR(Tabla1[[#This Row],[Fatalities]]/Tabla1[[#This Row],[Aboard]],0)</f>
        <v>1</v>
      </c>
      <c r="X1673" s="51" t="str" cm="1">
        <f t="array" ref="X1673">_xlfn.IFS(Tabla1[[#This Row],[Porcentaje de muertes]]&lt;0.35,"LEVE",AND(Tabla1[[#This Row],[Porcentaje de muertes]]&gt;0.35,Tabla1[[#This Row],[Porcentaje de muertes]]&lt;0.65),"MEDIO",Tabla1[[#This Row],[Porcentaje de muertes]]&gt;0.65,"GRAVE")</f>
        <v>GRAVE</v>
      </c>
    </row>
    <row r="1674" spans="2:24" x14ac:dyDescent="0.3">
      <c r="B1674" s="9">
        <v>1673</v>
      </c>
      <c r="C1674" s="49">
        <v>21235</v>
      </c>
      <c r="D1674" s="9">
        <f>YEAR(Tabla1[[#This Row],[Date]])</f>
        <v>1958</v>
      </c>
      <c r="E1674" s="9" t="str" cm="1">
        <f t="array" ref="E1674">IFERROR(_xlfn.IFS(AND(D1674&lt;1980,D1674&gt;=1970),"70",AND(D1674&lt;1990,D1674&gt;=1980),"80",AND(D1674&lt;2000,D1674&gt;=1990),"90",AND(D1674&lt;2010,D1674&gt;=2000),"00",AND(D1674&lt;=2019,D1674&gt;=2010),"10"),"1908-1970")</f>
        <v>1908-1970</v>
      </c>
      <c r="F1674" s="3">
        <v>5.1388888888888894E-2</v>
      </c>
      <c r="G1674" t="s">
        <v>6648</v>
      </c>
      <c r="H1674" t="s">
        <v>5332</v>
      </c>
      <c r="I1674">
        <v>543</v>
      </c>
      <c r="J1674" t="s">
        <v>28931</v>
      </c>
      <c r="K1674" t="s">
        <v>10428</v>
      </c>
      <c r="L1674" s="7" t="s">
        <v>12273</v>
      </c>
      <c r="M1674">
        <v>43552</v>
      </c>
      <c r="N1674">
        <v>21</v>
      </c>
      <c r="O1674">
        <v>13</v>
      </c>
      <c r="P1674">
        <v>8</v>
      </c>
      <c r="Q1674">
        <v>1</v>
      </c>
      <c r="R1674">
        <v>0</v>
      </c>
      <c r="S1674">
        <v>1</v>
      </c>
      <c r="T1674">
        <v>0</v>
      </c>
      <c r="U1674" t="s">
        <v>12274</v>
      </c>
      <c r="V1674">
        <f>Tabla1[[#This Row],[Aboard]]-Tabla1[[#This Row],[Fatalities]]</f>
        <v>20</v>
      </c>
      <c r="W1674" s="50">
        <f>IFERROR(Tabla1[[#This Row],[Fatalities]]/Tabla1[[#This Row],[Aboard]],0)</f>
        <v>4.7619047619047616E-2</v>
      </c>
      <c r="X1674" s="51" t="str" cm="1">
        <f t="array" ref="X1674">_xlfn.IFS(Tabla1[[#This Row],[Porcentaje de muertes]]&lt;0.35,"LEVE",AND(Tabla1[[#This Row],[Porcentaje de muertes]]&gt;0.35,Tabla1[[#This Row],[Porcentaje de muertes]]&lt;0.65),"MEDIO",Tabla1[[#This Row],[Porcentaje de muertes]]&gt;0.65,"GRAVE")</f>
        <v>LEVE</v>
      </c>
    </row>
    <row r="1675" spans="2:24" x14ac:dyDescent="0.3">
      <c r="B1675" s="9">
        <v>1674</v>
      </c>
      <c r="C1675" s="49">
        <v>21236</v>
      </c>
      <c r="D1675" s="9">
        <f>YEAR(Tabla1[[#This Row],[Date]])</f>
        <v>1958</v>
      </c>
      <c r="E1675" s="9" t="str" cm="1">
        <f t="array" ref="E1675">IFERROR(_xlfn.IFS(AND(D1675&lt;1980,D1675&gt;=1970),"70",AND(D1675&lt;1990,D1675&gt;=1980),"80",AND(D1675&lt;2000,D1675&gt;=1990),"90",AND(D1675&lt;2010,D1675&gt;=2000),"00",AND(D1675&lt;=2019,D1675&gt;=2010),"10"),"1908-1970")</f>
        <v>1908-1970</v>
      </c>
      <c r="F1675" s="3">
        <v>0.23263888888888887</v>
      </c>
      <c r="G1675" t="s">
        <v>12275</v>
      </c>
      <c r="H1675" t="s">
        <v>5027</v>
      </c>
      <c r="I1675" t="s">
        <v>28931</v>
      </c>
      <c r="J1675" t="s">
        <v>12276</v>
      </c>
      <c r="K1675" t="s">
        <v>12232</v>
      </c>
      <c r="L1675" s="7" t="s">
        <v>12277</v>
      </c>
      <c r="M1675">
        <v>4434</v>
      </c>
      <c r="N1675">
        <v>22</v>
      </c>
      <c r="O1675">
        <v>0</v>
      </c>
      <c r="P1675">
        <v>22</v>
      </c>
      <c r="Q1675">
        <v>22</v>
      </c>
      <c r="R1675">
        <v>0</v>
      </c>
      <c r="S1675">
        <v>22</v>
      </c>
      <c r="T1675">
        <v>0</v>
      </c>
      <c r="U1675" t="s">
        <v>12278</v>
      </c>
      <c r="V1675">
        <f>Tabla1[[#This Row],[Aboard]]-Tabla1[[#This Row],[Fatalities]]</f>
        <v>0</v>
      </c>
      <c r="W1675" s="50">
        <f>IFERROR(Tabla1[[#This Row],[Fatalities]]/Tabla1[[#This Row],[Aboard]],0)</f>
        <v>1</v>
      </c>
      <c r="X1675" s="51" t="str" cm="1">
        <f t="array" ref="X1675">_xlfn.IFS(Tabla1[[#This Row],[Porcentaje de muertes]]&lt;0.35,"LEVE",AND(Tabla1[[#This Row],[Porcentaje de muertes]]&gt;0.35,Tabla1[[#This Row],[Porcentaje de muertes]]&lt;0.65),"MEDIO",Tabla1[[#This Row],[Porcentaje de muertes]]&gt;0.65,"GRAVE")</f>
        <v>GRAVE</v>
      </c>
    </row>
    <row r="1676" spans="2:24" x14ac:dyDescent="0.3">
      <c r="B1676" s="9">
        <v>1675</v>
      </c>
      <c r="C1676" s="49">
        <v>21243</v>
      </c>
      <c r="D1676" s="9">
        <f>YEAR(Tabla1[[#This Row],[Date]])</f>
        <v>1958</v>
      </c>
      <c r="E1676" s="9" t="str" cm="1">
        <f t="array" ref="E1676">IFERROR(_xlfn.IFS(AND(D1676&lt;1980,D1676&gt;=1970),"70",AND(D1676&lt;1990,D1676&gt;=1980),"80",AND(D1676&lt;2000,D1676&gt;=1990),"90",AND(D1676&lt;2010,D1676&gt;=2000),"00",AND(D1676&lt;=2019,D1676&gt;=2010),"10"),"1908-1970")</f>
        <v>1908-1970</v>
      </c>
      <c r="F1676" s="3">
        <v>0.40625</v>
      </c>
      <c r="G1676" t="s">
        <v>12279</v>
      </c>
      <c r="H1676" t="s">
        <v>12280</v>
      </c>
      <c r="I1676" t="s">
        <v>28931</v>
      </c>
      <c r="J1676" t="s">
        <v>12281</v>
      </c>
      <c r="K1676" t="s">
        <v>9876</v>
      </c>
      <c r="L1676" s="7" t="s">
        <v>12282</v>
      </c>
      <c r="M1676">
        <v>12762</v>
      </c>
      <c r="N1676">
        <v>42</v>
      </c>
      <c r="O1676">
        <v>39</v>
      </c>
      <c r="P1676">
        <v>3</v>
      </c>
      <c r="Q1676">
        <v>35</v>
      </c>
      <c r="R1676">
        <v>35</v>
      </c>
      <c r="S1676">
        <v>0</v>
      </c>
      <c r="T1676">
        <v>0</v>
      </c>
      <c r="U1676" t="s">
        <v>12283</v>
      </c>
      <c r="V1676">
        <f>Tabla1[[#This Row],[Aboard]]-Tabla1[[#This Row],[Fatalities]]</f>
        <v>7</v>
      </c>
      <c r="W1676" s="50">
        <f>IFERROR(Tabla1[[#This Row],[Fatalities]]/Tabla1[[#This Row],[Aboard]],0)</f>
        <v>0.83333333333333337</v>
      </c>
      <c r="X1676" s="51" t="str" cm="1">
        <f t="array" ref="X1676">_xlfn.IFS(Tabla1[[#This Row],[Porcentaje de muertes]]&lt;0.35,"LEVE",AND(Tabla1[[#This Row],[Porcentaje de muertes]]&gt;0.35,Tabla1[[#This Row],[Porcentaje de muertes]]&lt;0.65),"MEDIO",Tabla1[[#This Row],[Porcentaje de muertes]]&gt;0.65,"GRAVE")</f>
        <v>GRAVE</v>
      </c>
    </row>
    <row r="1677" spans="2:24" x14ac:dyDescent="0.3">
      <c r="B1677" s="9">
        <v>1676</v>
      </c>
      <c r="C1677" s="49">
        <v>21369</v>
      </c>
      <c r="D1677" s="9">
        <f>YEAR(Tabla1[[#This Row],[Date]])</f>
        <v>1958</v>
      </c>
      <c r="E1677" s="9" t="str" cm="1">
        <f t="array" ref="E1677">IFERROR(_xlfn.IFS(AND(D1677&lt;1980,D1677&gt;=1970),"70",AND(D1677&lt;1990,D1677&gt;=1980),"80",AND(D1677&lt;2000,D1677&gt;=1990),"90",AND(D1677&lt;2010,D1677&gt;=2000),"00",AND(D1677&lt;=2019,D1677&gt;=2010),"10"),"1908-1970")</f>
        <v>1908-1970</v>
      </c>
      <c r="F1677" s="3" t="s">
        <v>28931</v>
      </c>
      <c r="G1677" t="s">
        <v>12284</v>
      </c>
      <c r="H1677" t="s">
        <v>6563</v>
      </c>
      <c r="I1677" t="s">
        <v>28931</v>
      </c>
      <c r="J1677" t="s">
        <v>12285</v>
      </c>
      <c r="K1677" t="s">
        <v>9753</v>
      </c>
      <c r="L1677" s="7" t="s">
        <v>12286</v>
      </c>
      <c r="M1677">
        <v>196</v>
      </c>
      <c r="N1677">
        <v>26</v>
      </c>
      <c r="O1677">
        <v>22</v>
      </c>
      <c r="P1677">
        <v>4</v>
      </c>
      <c r="Q1677">
        <v>8</v>
      </c>
      <c r="R1677">
        <v>4</v>
      </c>
      <c r="S1677">
        <v>4</v>
      </c>
      <c r="T1677">
        <v>0</v>
      </c>
      <c r="U1677" t="s">
        <v>12287</v>
      </c>
      <c r="V1677">
        <f>Tabla1[[#This Row],[Aboard]]-Tabla1[[#This Row],[Fatalities]]</f>
        <v>18</v>
      </c>
      <c r="W1677" s="50">
        <f>IFERROR(Tabla1[[#This Row],[Fatalities]]/Tabla1[[#This Row],[Aboard]],0)</f>
        <v>0.30769230769230771</v>
      </c>
      <c r="X1677" s="51" t="str" cm="1">
        <f t="array" ref="X1677">_xlfn.IFS(Tabla1[[#This Row],[Porcentaje de muertes]]&lt;0.35,"LEVE",AND(Tabla1[[#This Row],[Porcentaje de muertes]]&gt;0.35,Tabla1[[#This Row],[Porcentaje de muertes]]&lt;0.65),"MEDIO",Tabla1[[#This Row],[Porcentaje de muertes]]&gt;0.65,"GRAVE")</f>
        <v>LEVE</v>
      </c>
    </row>
    <row r="1678" spans="2:24" x14ac:dyDescent="0.3">
      <c r="B1678" s="9">
        <v>1677</v>
      </c>
      <c r="C1678" s="49">
        <v>21369</v>
      </c>
      <c r="D1678" s="9">
        <f>YEAR(Tabla1[[#This Row],[Date]])</f>
        <v>1958</v>
      </c>
      <c r="E1678" s="9" t="str" cm="1">
        <f t="array" ref="E1678">IFERROR(_xlfn.IFS(AND(D1678&lt;1980,D1678&gt;=1970),"70",AND(D1678&lt;1990,D1678&gt;=1980),"80",AND(D1678&lt;2000,D1678&gt;=1990),"90",AND(D1678&lt;2010,D1678&gt;=2000),"00",AND(D1678&lt;=2019,D1678&gt;=2010),"10"),"1908-1970")</f>
        <v>1908-1970</v>
      </c>
      <c r="F1678" s="3">
        <v>0.82291666666666663</v>
      </c>
      <c r="G1678" t="s">
        <v>12288</v>
      </c>
      <c r="H1678" t="s">
        <v>12289</v>
      </c>
      <c r="I1678" t="s">
        <v>28931</v>
      </c>
      <c r="J1678" t="s">
        <v>12290</v>
      </c>
      <c r="K1678" t="s">
        <v>12291</v>
      </c>
      <c r="L1678" s="7" t="s">
        <v>12292</v>
      </c>
      <c r="M1678">
        <v>10570</v>
      </c>
      <c r="N1678">
        <v>26</v>
      </c>
      <c r="O1678">
        <v>19</v>
      </c>
      <c r="P1678">
        <v>7</v>
      </c>
      <c r="Q1678">
        <v>26</v>
      </c>
      <c r="R1678">
        <v>19</v>
      </c>
      <c r="S1678">
        <v>7</v>
      </c>
      <c r="T1678">
        <v>0</v>
      </c>
      <c r="U1678" t="s">
        <v>12293</v>
      </c>
      <c r="V1678">
        <f>Tabla1[[#This Row],[Aboard]]-Tabla1[[#This Row],[Fatalities]]</f>
        <v>0</v>
      </c>
      <c r="W1678" s="50">
        <f>IFERROR(Tabla1[[#This Row],[Fatalities]]/Tabla1[[#This Row],[Aboard]],0)</f>
        <v>1</v>
      </c>
      <c r="X1678" s="51" t="str" cm="1">
        <f t="array" ref="X1678">_xlfn.IFS(Tabla1[[#This Row],[Porcentaje de muertes]]&lt;0.35,"LEVE",AND(Tabla1[[#This Row],[Porcentaje de muertes]]&gt;0.35,Tabla1[[#This Row],[Porcentaje de muertes]]&lt;0.65),"MEDIO",Tabla1[[#This Row],[Porcentaje de muertes]]&gt;0.65,"GRAVE")</f>
        <v>GRAVE</v>
      </c>
    </row>
    <row r="1679" spans="2:24" x14ac:dyDescent="0.3">
      <c r="B1679" s="9">
        <v>1678</v>
      </c>
      <c r="C1679" s="49">
        <v>21266</v>
      </c>
      <c r="D1679" s="9">
        <f>YEAR(Tabla1[[#This Row],[Date]])</f>
        <v>1958</v>
      </c>
      <c r="E1679" s="9" t="str" cm="1">
        <f t="array" ref="E1679">IFERROR(_xlfn.IFS(AND(D1679&lt;1980,D1679&gt;=1970),"70",AND(D1679&lt;1990,D1679&gt;=1980),"80",AND(D1679&lt;2000,D1679&gt;=1990),"90",AND(D1679&lt;2010,D1679&gt;=2000),"00",AND(D1679&lt;=2019,D1679&gt;=2010),"10"),"1908-1970")</f>
        <v>1908-1970</v>
      </c>
      <c r="F1679" s="3">
        <v>8.6805555555555566E-2</v>
      </c>
      <c r="G1679" t="s">
        <v>12294</v>
      </c>
      <c r="H1679" t="s">
        <v>5032</v>
      </c>
      <c r="I1679" t="s">
        <v>28931</v>
      </c>
      <c r="J1679" t="s">
        <v>12295</v>
      </c>
      <c r="K1679" t="s">
        <v>7640</v>
      </c>
      <c r="L1679" s="7" t="s">
        <v>12296</v>
      </c>
      <c r="M1679">
        <v>2312</v>
      </c>
      <c r="N1679">
        <v>4</v>
      </c>
      <c r="O1679">
        <v>2</v>
      </c>
      <c r="P1679">
        <v>2</v>
      </c>
      <c r="Q1679">
        <v>4</v>
      </c>
      <c r="R1679">
        <v>2</v>
      </c>
      <c r="S1679">
        <v>2</v>
      </c>
      <c r="T1679">
        <v>0</v>
      </c>
      <c r="U1679" t="s">
        <v>12297</v>
      </c>
      <c r="V1679">
        <f>Tabla1[[#This Row],[Aboard]]-Tabla1[[#This Row],[Fatalities]]</f>
        <v>0</v>
      </c>
      <c r="W1679" s="50">
        <f>IFERROR(Tabla1[[#This Row],[Fatalities]]/Tabla1[[#This Row],[Aboard]],0)</f>
        <v>1</v>
      </c>
      <c r="X1679" s="51" t="str" cm="1">
        <f t="array" ref="X1679">_xlfn.IFS(Tabla1[[#This Row],[Porcentaje de muertes]]&lt;0.35,"LEVE",AND(Tabla1[[#This Row],[Porcentaje de muertes]]&gt;0.35,Tabla1[[#This Row],[Porcentaje de muertes]]&lt;0.65),"MEDIO",Tabla1[[#This Row],[Porcentaje de muertes]]&gt;0.65,"GRAVE")</f>
        <v>GRAVE</v>
      </c>
    </row>
    <row r="1680" spans="2:24" x14ac:dyDescent="0.3">
      <c r="B1680" s="9">
        <v>1679</v>
      </c>
      <c r="C1680" s="49">
        <v>21268</v>
      </c>
      <c r="D1680" s="9">
        <f>YEAR(Tabla1[[#This Row],[Date]])</f>
        <v>1958</v>
      </c>
      <c r="E1680" s="9" t="str" cm="1">
        <f t="array" ref="E1680">IFERROR(_xlfn.IFS(AND(D1680&lt;1980,D1680&gt;=1970),"70",AND(D1680&lt;1990,D1680&gt;=1980),"80",AND(D1680&lt;2000,D1680&gt;=1990),"90",AND(D1680&lt;2010,D1680&gt;=2000),"00",AND(D1680&lt;=2019,D1680&gt;=2010),"10"),"1908-1970")</f>
        <v>1908-1970</v>
      </c>
      <c r="F1680" s="3" t="s">
        <v>28931</v>
      </c>
      <c r="G1680" t="s">
        <v>12298</v>
      </c>
      <c r="H1680" t="s">
        <v>11150</v>
      </c>
      <c r="I1680" t="s">
        <v>28931</v>
      </c>
      <c r="J1680" t="s">
        <v>12299</v>
      </c>
      <c r="K1680" t="s">
        <v>7057</v>
      </c>
      <c r="L1680" s="7" t="s">
        <v>12300</v>
      </c>
      <c r="M1680">
        <v>19988</v>
      </c>
      <c r="N1680">
        <v>20</v>
      </c>
      <c r="O1680">
        <v>16</v>
      </c>
      <c r="P1680">
        <v>4</v>
      </c>
      <c r="Q1680">
        <v>20</v>
      </c>
      <c r="R1680">
        <v>16</v>
      </c>
      <c r="S1680">
        <v>4</v>
      </c>
      <c r="T1680">
        <v>0</v>
      </c>
      <c r="U1680" t="s">
        <v>12301</v>
      </c>
      <c r="V1680">
        <f>Tabla1[[#This Row],[Aboard]]-Tabla1[[#This Row],[Fatalities]]</f>
        <v>0</v>
      </c>
      <c r="W1680" s="50">
        <f>IFERROR(Tabla1[[#This Row],[Fatalities]]/Tabla1[[#This Row],[Aboard]],0)</f>
        <v>1</v>
      </c>
      <c r="X1680" s="51" t="str" cm="1">
        <f t="array" ref="X1680">_xlfn.IFS(Tabla1[[#This Row],[Porcentaje de muertes]]&lt;0.35,"LEVE",AND(Tabla1[[#This Row],[Porcentaje de muertes]]&gt;0.35,Tabla1[[#This Row],[Porcentaje de muertes]]&lt;0.65),"MEDIO",Tabla1[[#This Row],[Porcentaje de muertes]]&gt;0.65,"GRAVE")</f>
        <v>GRAVE</v>
      </c>
    </row>
    <row r="1681" spans="2:24" x14ac:dyDescent="0.3">
      <c r="B1681" s="9">
        <v>1680</v>
      </c>
      <c r="C1681" s="49">
        <v>21269</v>
      </c>
      <c r="D1681" s="9">
        <f>YEAR(Tabla1[[#This Row],[Date]])</f>
        <v>1958</v>
      </c>
      <c r="E1681" s="9" t="str" cm="1">
        <f t="array" ref="E1681">IFERROR(_xlfn.IFS(AND(D1681&lt;1980,D1681&gt;=1970),"70",AND(D1681&lt;1990,D1681&gt;=1980),"80",AND(D1681&lt;2000,D1681&gt;=1990),"90",AND(D1681&lt;2010,D1681&gt;=2000),"00",AND(D1681&lt;=2019,D1681&gt;=2010),"10"),"1908-1970")</f>
        <v>1908-1970</v>
      </c>
      <c r="F1681" s="3">
        <v>4.1666666666666666E-3</v>
      </c>
      <c r="G1681" t="s">
        <v>7709</v>
      </c>
      <c r="H1681" t="s">
        <v>6080</v>
      </c>
      <c r="I1681">
        <v>971</v>
      </c>
      <c r="J1681" t="s">
        <v>12302</v>
      </c>
      <c r="K1681" t="s">
        <v>12303</v>
      </c>
      <c r="L1681" s="7" t="s">
        <v>12304</v>
      </c>
      <c r="M1681" t="s">
        <v>12305</v>
      </c>
      <c r="N1681">
        <v>24</v>
      </c>
      <c r="O1681">
        <v>19</v>
      </c>
      <c r="P1681">
        <v>5</v>
      </c>
      <c r="Q1681">
        <v>9</v>
      </c>
      <c r="R1681">
        <v>9</v>
      </c>
      <c r="S1681">
        <v>0</v>
      </c>
      <c r="T1681">
        <v>0</v>
      </c>
      <c r="U1681" t="s">
        <v>12306</v>
      </c>
      <c r="V1681">
        <f>Tabla1[[#This Row],[Aboard]]-Tabla1[[#This Row],[Fatalities]]</f>
        <v>15</v>
      </c>
      <c r="W1681" s="50">
        <f>IFERROR(Tabla1[[#This Row],[Fatalities]]/Tabla1[[#This Row],[Aboard]],0)</f>
        <v>0.375</v>
      </c>
      <c r="X1681" s="51" t="str" cm="1">
        <f t="array" ref="X1681">_xlfn.IFS(Tabla1[[#This Row],[Porcentaje de muertes]]&lt;0.35,"LEVE",AND(Tabla1[[#This Row],[Porcentaje de muertes]]&gt;0.35,Tabla1[[#This Row],[Porcentaje de muertes]]&lt;0.65),"MEDIO",Tabla1[[#This Row],[Porcentaje de muertes]]&gt;0.65,"GRAVE")</f>
        <v>MEDIO</v>
      </c>
    </row>
    <row r="1682" spans="2:24" x14ac:dyDescent="0.3">
      <c r="B1682" s="9">
        <v>1681</v>
      </c>
      <c r="C1682" s="49">
        <v>21271</v>
      </c>
      <c r="D1682" s="9">
        <f>YEAR(Tabla1[[#This Row],[Date]])</f>
        <v>1958</v>
      </c>
      <c r="E1682" s="9" t="str" cm="1">
        <f t="array" ref="E1682">IFERROR(_xlfn.IFS(AND(D1682&lt;1980,D1682&gt;=1970),"70",AND(D1682&lt;1990,D1682&gt;=1980),"80",AND(D1682&lt;2000,D1682&gt;=1990),"90",AND(D1682&lt;2010,D1682&gt;=2000),"00",AND(D1682&lt;=2019,D1682&gt;=2010),"10"),"1908-1970")</f>
        <v>1908-1970</v>
      </c>
      <c r="F1682" s="3">
        <v>0.67708333333333337</v>
      </c>
      <c r="G1682" t="s">
        <v>12307</v>
      </c>
      <c r="H1682" t="s">
        <v>12308</v>
      </c>
      <c r="I1682" t="s">
        <v>28931</v>
      </c>
      <c r="J1682" t="s">
        <v>12309</v>
      </c>
      <c r="K1682" t="s">
        <v>12310</v>
      </c>
      <c r="L1682" s="7" t="s">
        <v>12311</v>
      </c>
      <c r="M1682" t="s">
        <v>12312</v>
      </c>
      <c r="N1682">
        <v>18</v>
      </c>
      <c r="O1682">
        <v>13</v>
      </c>
      <c r="P1682">
        <v>5</v>
      </c>
      <c r="Q1682">
        <v>18</v>
      </c>
      <c r="R1682">
        <v>13</v>
      </c>
      <c r="S1682">
        <v>5</v>
      </c>
      <c r="T1682">
        <v>0</v>
      </c>
      <c r="U1682" t="s">
        <v>12313</v>
      </c>
      <c r="V1682">
        <f>Tabla1[[#This Row],[Aboard]]-Tabla1[[#This Row],[Fatalities]]</f>
        <v>0</v>
      </c>
      <c r="W1682" s="50">
        <f>IFERROR(Tabla1[[#This Row],[Fatalities]]/Tabla1[[#This Row],[Aboard]],0)</f>
        <v>1</v>
      </c>
      <c r="X1682" s="51" t="str" cm="1">
        <f t="array" ref="X1682">_xlfn.IFS(Tabla1[[#This Row],[Porcentaje de muertes]]&lt;0.35,"LEVE",AND(Tabla1[[#This Row],[Porcentaje de muertes]]&gt;0.35,Tabla1[[#This Row],[Porcentaje de muertes]]&lt;0.65),"MEDIO",Tabla1[[#This Row],[Porcentaje de muertes]]&gt;0.65,"GRAVE")</f>
        <v>GRAVE</v>
      </c>
    </row>
    <row r="1683" spans="2:24" x14ac:dyDescent="0.3">
      <c r="B1683" s="9">
        <v>1682</v>
      </c>
      <c r="C1683" s="49">
        <v>21220</v>
      </c>
      <c r="D1683" s="9">
        <f>YEAR(Tabla1[[#This Row],[Date]])</f>
        <v>1958</v>
      </c>
      <c r="E1683" s="9" t="str" cm="1">
        <f t="array" ref="E1683">IFERROR(_xlfn.IFS(AND(D1683&lt;1980,D1683&gt;=1970),"70",AND(D1683&lt;1990,D1683&gt;=1980),"80",AND(D1683&lt;2000,D1683&gt;=1990),"90",AND(D1683&lt;2010,D1683&gt;=2000),"00",AND(D1683&lt;=2019,D1683&gt;=2010),"10"),"1908-1970")</f>
        <v>1908-1970</v>
      </c>
      <c r="F1683" s="3" t="s">
        <v>28931</v>
      </c>
      <c r="G1683" t="s">
        <v>12314</v>
      </c>
      <c r="H1683" t="s">
        <v>12315</v>
      </c>
      <c r="I1683" t="s">
        <v>28931</v>
      </c>
      <c r="J1683" t="s">
        <v>12316</v>
      </c>
      <c r="K1683" t="s">
        <v>6555</v>
      </c>
      <c r="L1683" s="7" t="s">
        <v>12317</v>
      </c>
      <c r="M1683" t="s">
        <v>12318</v>
      </c>
      <c r="N1683">
        <v>14</v>
      </c>
      <c r="O1683">
        <v>12</v>
      </c>
      <c r="P1683">
        <v>2</v>
      </c>
      <c r="Q1683">
        <v>3</v>
      </c>
      <c r="R1683">
        <v>3</v>
      </c>
      <c r="S1683">
        <v>0</v>
      </c>
      <c r="T1683">
        <v>0</v>
      </c>
      <c r="U1683" t="s">
        <v>12319</v>
      </c>
      <c r="V1683">
        <f>Tabla1[[#This Row],[Aboard]]-Tabla1[[#This Row],[Fatalities]]</f>
        <v>11</v>
      </c>
      <c r="W1683" s="50">
        <f>IFERROR(Tabla1[[#This Row],[Fatalities]]/Tabla1[[#This Row],[Aboard]],0)</f>
        <v>0.21428571428571427</v>
      </c>
      <c r="X1683" s="51" t="str" cm="1">
        <f t="array" ref="X1683">_xlfn.IFS(Tabla1[[#This Row],[Porcentaje de muertes]]&lt;0.35,"LEVE",AND(Tabla1[[#This Row],[Porcentaje de muertes]]&gt;0.35,Tabla1[[#This Row],[Porcentaje de muertes]]&lt;0.65),"MEDIO",Tabla1[[#This Row],[Porcentaje de muertes]]&gt;0.65,"GRAVE")</f>
        <v>LEVE</v>
      </c>
    </row>
    <row r="1684" spans="2:24" x14ac:dyDescent="0.3">
      <c r="B1684" s="9">
        <v>1683</v>
      </c>
      <c r="C1684" s="49">
        <v>21340</v>
      </c>
      <c r="D1684" s="9">
        <f>YEAR(Tabla1[[#This Row],[Date]])</f>
        <v>1958</v>
      </c>
      <c r="E1684" s="9" t="str" cm="1">
        <f t="array" ref="E1684">IFERROR(_xlfn.IFS(AND(D1684&lt;1980,D1684&gt;=1970),"70",AND(D1684&lt;1990,D1684&gt;=1980),"80",AND(D1684&lt;2000,D1684&gt;=1990),"90",AND(D1684&lt;2010,D1684&gt;=2000),"00",AND(D1684&lt;=2019,D1684&gt;=2010),"10"),"1908-1970")</f>
        <v>1908-1970</v>
      </c>
      <c r="F1684" s="3">
        <v>0.97152777777777777</v>
      </c>
      <c r="G1684" t="s">
        <v>12320</v>
      </c>
      <c r="H1684" t="s">
        <v>9977</v>
      </c>
      <c r="I1684">
        <v>67</v>
      </c>
      <c r="J1684" t="s">
        <v>12321</v>
      </c>
      <c r="K1684" t="s">
        <v>12322</v>
      </c>
      <c r="L1684" s="7" t="s">
        <v>12323</v>
      </c>
      <c r="M1684">
        <v>135</v>
      </c>
      <c r="N1684">
        <v>47</v>
      </c>
      <c r="O1684">
        <v>44</v>
      </c>
      <c r="P1684">
        <v>3</v>
      </c>
      <c r="Q1684">
        <v>47</v>
      </c>
      <c r="R1684">
        <v>44</v>
      </c>
      <c r="S1684">
        <v>3</v>
      </c>
      <c r="T1684">
        <v>0</v>
      </c>
      <c r="U1684" t="s">
        <v>12324</v>
      </c>
      <c r="V1684">
        <f>Tabla1[[#This Row],[Aboard]]-Tabla1[[#This Row],[Fatalities]]</f>
        <v>0</v>
      </c>
      <c r="W1684" s="50">
        <f>IFERROR(Tabla1[[#This Row],[Fatalities]]/Tabla1[[#This Row],[Aboard]],0)</f>
        <v>1</v>
      </c>
      <c r="X1684" s="51" t="str" cm="1">
        <f t="array" ref="X1684">_xlfn.IFS(Tabla1[[#This Row],[Porcentaje de muertes]]&lt;0.35,"LEVE",AND(Tabla1[[#This Row],[Porcentaje de muertes]]&gt;0.35,Tabla1[[#This Row],[Porcentaje de muertes]]&lt;0.65),"MEDIO",Tabla1[[#This Row],[Porcentaje de muertes]]&gt;0.65,"GRAVE")</f>
        <v>GRAVE</v>
      </c>
    </row>
    <row r="1685" spans="2:24" x14ac:dyDescent="0.3">
      <c r="B1685" s="9">
        <v>1684</v>
      </c>
      <c r="C1685" s="49">
        <v>21370</v>
      </c>
      <c r="D1685" s="9">
        <f>YEAR(Tabla1[[#This Row],[Date]])</f>
        <v>1958</v>
      </c>
      <c r="E1685" s="9" t="str" cm="1">
        <f t="array" ref="E1685">IFERROR(_xlfn.IFS(AND(D1685&lt;1980,D1685&gt;=1970),"70",AND(D1685&lt;1990,D1685&gt;=1980),"80",AND(D1685&lt;2000,D1685&gt;=1990),"90",AND(D1685&lt;2010,D1685&gt;=2000),"00",AND(D1685&lt;=2019,D1685&gt;=2010),"10"),"1908-1970")</f>
        <v>1908-1970</v>
      </c>
      <c r="F1685" s="3">
        <v>0.375</v>
      </c>
      <c r="G1685" t="s">
        <v>12325</v>
      </c>
      <c r="H1685" t="s">
        <v>12326</v>
      </c>
      <c r="I1685">
        <v>222</v>
      </c>
      <c r="J1685" t="s">
        <v>12327</v>
      </c>
      <c r="K1685" t="s">
        <v>7057</v>
      </c>
      <c r="L1685" s="7" t="s">
        <v>12328</v>
      </c>
      <c r="M1685">
        <v>19779</v>
      </c>
      <c r="N1685">
        <v>32</v>
      </c>
      <c r="O1685">
        <v>29</v>
      </c>
      <c r="P1685">
        <v>3</v>
      </c>
      <c r="Q1685">
        <v>32</v>
      </c>
      <c r="R1685">
        <v>29</v>
      </c>
      <c r="S1685">
        <v>3</v>
      </c>
      <c r="T1685">
        <v>0</v>
      </c>
      <c r="U1685" t="s">
        <v>12329</v>
      </c>
      <c r="V1685">
        <f>Tabla1[[#This Row],[Aboard]]-Tabla1[[#This Row],[Fatalities]]</f>
        <v>0</v>
      </c>
      <c r="W1685" s="50">
        <f>IFERROR(Tabla1[[#This Row],[Fatalities]]/Tabla1[[#This Row],[Aboard]],0)</f>
        <v>1</v>
      </c>
      <c r="X1685" s="51" t="str" cm="1">
        <f t="array" ref="X1685">_xlfn.IFS(Tabla1[[#This Row],[Porcentaje de muertes]]&lt;0.35,"LEVE",AND(Tabla1[[#This Row],[Porcentaje de muertes]]&gt;0.35,Tabla1[[#This Row],[Porcentaje de muertes]]&lt;0.65),"MEDIO",Tabla1[[#This Row],[Porcentaje de muertes]]&gt;0.65,"GRAVE")</f>
        <v>GRAVE</v>
      </c>
    </row>
    <row r="1686" spans="2:24" x14ac:dyDescent="0.3">
      <c r="B1686" s="9">
        <v>1685</v>
      </c>
      <c r="C1686" s="49">
        <v>21289</v>
      </c>
      <c r="D1686" s="9">
        <f>YEAR(Tabla1[[#This Row],[Date]])</f>
        <v>1958</v>
      </c>
      <c r="E1686" s="9" t="str" cm="1">
        <f t="array" ref="E1686">IFERROR(_xlfn.IFS(AND(D1686&lt;1980,D1686&gt;=1970),"70",AND(D1686&lt;1990,D1686&gt;=1980),"80",AND(D1686&lt;2000,D1686&gt;=1990),"90",AND(D1686&lt;2010,D1686&gt;=2000),"00",AND(D1686&lt;=2019,D1686&gt;=2010),"10"),"1908-1970")</f>
        <v>1908-1970</v>
      </c>
      <c r="F1686" s="3">
        <v>0.87986111111111109</v>
      </c>
      <c r="G1686" t="s">
        <v>12330</v>
      </c>
      <c r="H1686" t="s">
        <v>11146</v>
      </c>
      <c r="I1686" t="s">
        <v>28931</v>
      </c>
      <c r="J1686" t="s">
        <v>12331</v>
      </c>
      <c r="K1686" t="s">
        <v>12197</v>
      </c>
      <c r="L1686" s="7" t="s">
        <v>12332</v>
      </c>
      <c r="M1686">
        <v>14113</v>
      </c>
      <c r="N1686">
        <v>16</v>
      </c>
      <c r="O1686">
        <v>14</v>
      </c>
      <c r="P1686">
        <v>2</v>
      </c>
      <c r="Q1686">
        <v>16</v>
      </c>
      <c r="R1686">
        <v>14</v>
      </c>
      <c r="S1686">
        <v>2</v>
      </c>
      <c r="T1686">
        <v>0</v>
      </c>
      <c r="U1686" t="s">
        <v>12333</v>
      </c>
      <c r="V1686">
        <f>Tabla1[[#This Row],[Aboard]]-Tabla1[[#This Row],[Fatalities]]</f>
        <v>0</v>
      </c>
      <c r="W1686" s="50">
        <f>IFERROR(Tabla1[[#This Row],[Fatalities]]/Tabla1[[#This Row],[Aboard]],0)</f>
        <v>1</v>
      </c>
      <c r="X1686" s="51" t="str" cm="1">
        <f t="array" ref="X1686">_xlfn.IFS(Tabla1[[#This Row],[Porcentaje de muertes]]&lt;0.35,"LEVE",AND(Tabla1[[#This Row],[Porcentaje de muertes]]&gt;0.35,Tabla1[[#This Row],[Porcentaje de muertes]]&lt;0.65),"MEDIO",Tabla1[[#This Row],[Porcentaje de muertes]]&gt;0.65,"GRAVE")</f>
        <v>GRAVE</v>
      </c>
    </row>
    <row r="1687" spans="2:24" x14ac:dyDescent="0.3">
      <c r="B1687" s="9">
        <v>1686</v>
      </c>
      <c r="C1687" s="49">
        <v>21296</v>
      </c>
      <c r="D1687" s="9">
        <f>YEAR(Tabla1[[#This Row],[Date]])</f>
        <v>1958</v>
      </c>
      <c r="E1687" s="9" t="str" cm="1">
        <f t="array" ref="E1687">IFERROR(_xlfn.IFS(AND(D1687&lt;1980,D1687&gt;=1970),"70",AND(D1687&lt;1990,D1687&gt;=1980),"80",AND(D1687&lt;2000,D1687&gt;=1990),"90",AND(D1687&lt;2010,D1687&gt;=2000),"00",AND(D1687&lt;=2019,D1687&gt;=2010),"10"),"1908-1970")</f>
        <v>1908-1970</v>
      </c>
      <c r="F1687" s="3">
        <v>0.35416666666666669</v>
      </c>
      <c r="G1687" t="s">
        <v>12334</v>
      </c>
      <c r="H1687" t="s">
        <v>12335</v>
      </c>
      <c r="I1687">
        <v>736</v>
      </c>
      <c r="J1687" t="s">
        <v>9229</v>
      </c>
      <c r="K1687" t="s">
        <v>12336</v>
      </c>
      <c r="L1687" s="7" t="s">
        <v>12337</v>
      </c>
      <c r="M1687" t="s">
        <v>12338</v>
      </c>
      <c r="N1687">
        <v>49</v>
      </c>
      <c r="O1687">
        <v>42</v>
      </c>
      <c r="P1687">
        <v>7</v>
      </c>
      <c r="Q1687">
        <v>49</v>
      </c>
      <c r="R1687">
        <v>42</v>
      </c>
      <c r="S1687">
        <v>7</v>
      </c>
      <c r="T1687">
        <v>0</v>
      </c>
      <c r="U1687" t="s">
        <v>12339</v>
      </c>
      <c r="V1687">
        <f>Tabla1[[#This Row],[Aboard]]-Tabla1[[#This Row],[Fatalities]]</f>
        <v>0</v>
      </c>
      <c r="W1687" s="50">
        <f>IFERROR(Tabla1[[#This Row],[Fatalities]]/Tabla1[[#This Row],[Aboard]],0)</f>
        <v>1</v>
      </c>
      <c r="X1687" s="51" t="str" cm="1">
        <f t="array" ref="X1687">_xlfn.IFS(Tabla1[[#This Row],[Porcentaje de muertes]]&lt;0.35,"LEVE",AND(Tabla1[[#This Row],[Porcentaje de muertes]]&gt;0.35,Tabla1[[#This Row],[Porcentaje de muertes]]&lt;0.65),"MEDIO",Tabla1[[#This Row],[Porcentaje de muertes]]&gt;0.65,"GRAVE")</f>
        <v>GRAVE</v>
      </c>
    </row>
    <row r="1688" spans="2:24" x14ac:dyDescent="0.3">
      <c r="B1688" s="9">
        <v>1687</v>
      </c>
      <c r="C1688" s="49">
        <v>21320</v>
      </c>
      <c r="D1688" s="9">
        <f>YEAR(Tabla1[[#This Row],[Date]])</f>
        <v>1958</v>
      </c>
      <c r="E1688" s="9" t="str" cm="1">
        <f t="array" ref="E1688">IFERROR(_xlfn.IFS(AND(D1688&lt;1980,D1688&gt;=1970),"70",AND(D1688&lt;1990,D1688&gt;=1980),"80",AND(D1688&lt;2000,D1688&gt;=1990),"90",AND(D1688&lt;2010,D1688&gt;=2000),"00",AND(D1688&lt;=2019,D1688&gt;=2010),"10"),"1908-1970")</f>
        <v>1908-1970</v>
      </c>
      <c r="F1688" s="3">
        <v>0.84583333333333333</v>
      </c>
      <c r="G1688" t="s">
        <v>10999</v>
      </c>
      <c r="H1688" t="s">
        <v>11736</v>
      </c>
      <c r="I1688">
        <v>205</v>
      </c>
      <c r="J1688" t="s">
        <v>12340</v>
      </c>
      <c r="K1688" t="s">
        <v>10933</v>
      </c>
      <c r="L1688" s="7" t="s">
        <v>12341</v>
      </c>
      <c r="M1688">
        <v>52</v>
      </c>
      <c r="N1688">
        <v>38</v>
      </c>
      <c r="O1688">
        <v>32</v>
      </c>
      <c r="P1688">
        <v>6</v>
      </c>
      <c r="Q1688">
        <v>21</v>
      </c>
      <c r="R1688">
        <v>17</v>
      </c>
      <c r="S1688">
        <v>4</v>
      </c>
      <c r="T1688">
        <v>2</v>
      </c>
      <c r="U1688" t="s">
        <v>12342</v>
      </c>
      <c r="V1688">
        <f>Tabla1[[#This Row],[Aboard]]-Tabla1[[#This Row],[Fatalities]]</f>
        <v>17</v>
      </c>
      <c r="W1688" s="50">
        <f>IFERROR(Tabla1[[#This Row],[Fatalities]]/Tabla1[[#This Row],[Aboard]],0)</f>
        <v>0.55263157894736847</v>
      </c>
      <c r="X1688" s="51" t="str" cm="1">
        <f t="array" ref="X1688">_xlfn.IFS(Tabla1[[#This Row],[Porcentaje de muertes]]&lt;0.35,"LEVE",AND(Tabla1[[#This Row],[Porcentaje de muertes]]&gt;0.35,Tabla1[[#This Row],[Porcentaje de muertes]]&lt;0.65),"MEDIO",Tabla1[[#This Row],[Porcentaje de muertes]]&gt;0.65,"GRAVE")</f>
        <v>MEDIO</v>
      </c>
    </row>
    <row r="1689" spans="2:24" x14ac:dyDescent="0.3">
      <c r="B1689" s="9">
        <v>1688</v>
      </c>
      <c r="C1689" s="49">
        <v>21321</v>
      </c>
      <c r="D1689" s="9">
        <f>YEAR(Tabla1[[#This Row],[Date]])</f>
        <v>1958</v>
      </c>
      <c r="E1689" s="9" t="str" cm="1">
        <f t="array" ref="E1689">IFERROR(_xlfn.IFS(AND(D1689&lt;1980,D1689&gt;=1970),"70",AND(D1689&lt;1990,D1689&gt;=1980),"80",AND(D1689&lt;2000,D1689&gt;=1990),"90",AND(D1689&lt;2010,D1689&gt;=2000),"00",AND(D1689&lt;=2019,D1689&gt;=2010),"10"),"1908-1970")</f>
        <v>1908-1970</v>
      </c>
      <c r="F1689" s="3" t="s">
        <v>28931</v>
      </c>
      <c r="G1689" t="s">
        <v>12343</v>
      </c>
      <c r="H1689" t="s">
        <v>8721</v>
      </c>
      <c r="I1689" t="s">
        <v>28931</v>
      </c>
      <c r="J1689" t="s">
        <v>28931</v>
      </c>
      <c r="K1689" t="s">
        <v>8105</v>
      </c>
      <c r="L1689" s="7" t="s">
        <v>12344</v>
      </c>
      <c r="M1689">
        <v>9408</v>
      </c>
      <c r="N1689">
        <v>3</v>
      </c>
      <c r="O1689">
        <v>0</v>
      </c>
      <c r="P1689">
        <v>3</v>
      </c>
      <c r="Q1689">
        <v>3</v>
      </c>
      <c r="R1689">
        <v>0</v>
      </c>
      <c r="S1689">
        <v>3</v>
      </c>
      <c r="T1689">
        <v>0</v>
      </c>
      <c r="U1689" t="s">
        <v>12345</v>
      </c>
      <c r="V1689">
        <f>Tabla1[[#This Row],[Aboard]]-Tabla1[[#This Row],[Fatalities]]</f>
        <v>0</v>
      </c>
      <c r="W1689" s="50">
        <f>IFERROR(Tabla1[[#This Row],[Fatalities]]/Tabla1[[#This Row],[Aboard]],0)</f>
        <v>1</v>
      </c>
      <c r="X1689" s="51" t="str" cm="1">
        <f t="array" ref="X1689">_xlfn.IFS(Tabla1[[#This Row],[Porcentaje de muertes]]&lt;0.35,"LEVE",AND(Tabla1[[#This Row],[Porcentaje de muertes]]&gt;0.35,Tabla1[[#This Row],[Porcentaje de muertes]]&lt;0.65),"MEDIO",Tabla1[[#This Row],[Porcentaje de muertes]]&gt;0.65,"GRAVE")</f>
        <v>GRAVE</v>
      </c>
    </row>
    <row r="1690" spans="2:24" x14ac:dyDescent="0.3">
      <c r="B1690" s="9">
        <v>1689</v>
      </c>
      <c r="C1690" s="49">
        <v>21323</v>
      </c>
      <c r="D1690" s="9">
        <f>YEAR(Tabla1[[#This Row],[Date]])</f>
        <v>1958</v>
      </c>
      <c r="E1690" s="9" t="str" cm="1">
        <f t="array" ref="E1690">IFERROR(_xlfn.IFS(AND(D1690&lt;1980,D1690&gt;=1970),"70",AND(D1690&lt;1990,D1690&gt;=1980),"80",AND(D1690&lt;2000,D1690&gt;=1990),"90",AND(D1690&lt;2010,D1690&gt;=2000),"00",AND(D1690&lt;=2019,D1690&gt;=2010),"10"),"1908-1970")</f>
        <v>1908-1970</v>
      </c>
      <c r="F1690" s="3">
        <v>0.18402777777777779</v>
      </c>
      <c r="G1690" t="s">
        <v>12346</v>
      </c>
      <c r="H1690" t="s">
        <v>5957</v>
      </c>
      <c r="I1690" t="s">
        <v>28931</v>
      </c>
      <c r="J1690" t="s">
        <v>12347</v>
      </c>
      <c r="K1690" t="s">
        <v>12348</v>
      </c>
      <c r="L1690" s="7" t="s">
        <v>12349</v>
      </c>
      <c r="M1690" t="s">
        <v>12350</v>
      </c>
      <c r="N1690">
        <v>69</v>
      </c>
      <c r="O1690">
        <v>60</v>
      </c>
      <c r="P1690">
        <v>9</v>
      </c>
      <c r="Q1690">
        <v>65</v>
      </c>
      <c r="R1690">
        <v>56</v>
      </c>
      <c r="S1690">
        <v>9</v>
      </c>
      <c r="T1690">
        <v>0</v>
      </c>
      <c r="U1690" t="s">
        <v>12351</v>
      </c>
      <c r="V1690">
        <f>Tabla1[[#This Row],[Aboard]]-Tabla1[[#This Row],[Fatalities]]</f>
        <v>4</v>
      </c>
      <c r="W1690" s="50">
        <f>IFERROR(Tabla1[[#This Row],[Fatalities]]/Tabla1[[#This Row],[Aboard]],0)</f>
        <v>0.94202898550724634</v>
      </c>
      <c r="X1690" s="51" t="str" cm="1">
        <f t="array" ref="X1690">_xlfn.IFS(Tabla1[[#This Row],[Porcentaje de muertes]]&lt;0.35,"LEVE",AND(Tabla1[[#This Row],[Porcentaje de muertes]]&gt;0.35,Tabla1[[#This Row],[Porcentaje de muertes]]&lt;0.65),"MEDIO",Tabla1[[#This Row],[Porcentaje de muertes]]&gt;0.65,"GRAVE")</f>
        <v>GRAVE</v>
      </c>
    </row>
    <row r="1691" spans="2:24" x14ac:dyDescent="0.3">
      <c r="B1691" s="9">
        <v>1690</v>
      </c>
      <c r="C1691" s="49">
        <v>21325</v>
      </c>
      <c r="D1691" s="9">
        <f>YEAR(Tabla1[[#This Row],[Date]])</f>
        <v>1958</v>
      </c>
      <c r="E1691" s="9" t="str" cm="1">
        <f t="array" ref="E1691">IFERROR(_xlfn.IFS(AND(D1691&lt;1980,D1691&gt;=1970),"70",AND(D1691&lt;1990,D1691&gt;=1980),"80",AND(D1691&lt;2000,D1691&gt;=1990),"90",AND(D1691&lt;2010,D1691&gt;=2000),"00",AND(D1691&lt;=2019,D1691&gt;=2010),"10"),"1908-1970")</f>
        <v>1908-1970</v>
      </c>
      <c r="F1691" s="3">
        <v>0.47847222222222219</v>
      </c>
      <c r="G1691" t="s">
        <v>12352</v>
      </c>
      <c r="H1691" t="s">
        <v>12353</v>
      </c>
      <c r="I1691">
        <v>300</v>
      </c>
      <c r="J1691" t="s">
        <v>12354</v>
      </c>
      <c r="K1691" t="s">
        <v>12355</v>
      </c>
      <c r="L1691" s="7" t="s">
        <v>12356</v>
      </c>
      <c r="M1691">
        <v>108</v>
      </c>
      <c r="N1691">
        <v>13</v>
      </c>
      <c r="O1691">
        <v>7</v>
      </c>
      <c r="P1691">
        <v>6</v>
      </c>
      <c r="Q1691">
        <v>12</v>
      </c>
      <c r="R1691">
        <v>7</v>
      </c>
      <c r="S1691">
        <v>5</v>
      </c>
      <c r="T1691">
        <v>0</v>
      </c>
      <c r="U1691" t="s">
        <v>12357</v>
      </c>
      <c r="V1691">
        <f>Tabla1[[#This Row],[Aboard]]-Tabla1[[#This Row],[Fatalities]]</f>
        <v>1</v>
      </c>
      <c r="W1691" s="50">
        <f>IFERROR(Tabla1[[#This Row],[Fatalities]]/Tabla1[[#This Row],[Aboard]],0)</f>
        <v>0.92307692307692313</v>
      </c>
      <c r="X1691" s="51" t="str" cm="1">
        <f t="array" ref="X1691">_xlfn.IFS(Tabla1[[#This Row],[Porcentaje de muertes]]&lt;0.35,"LEVE",AND(Tabla1[[#This Row],[Porcentaje de muertes]]&gt;0.35,Tabla1[[#This Row],[Porcentaje de muertes]]&lt;0.65),"MEDIO",Tabla1[[#This Row],[Porcentaje de muertes]]&gt;0.65,"GRAVE")</f>
        <v>GRAVE</v>
      </c>
    </row>
    <row r="1692" spans="2:24" x14ac:dyDescent="0.3">
      <c r="B1692" s="9">
        <v>1691</v>
      </c>
      <c r="C1692" s="49">
        <v>21330</v>
      </c>
      <c r="D1692" s="9">
        <f>YEAR(Tabla1[[#This Row],[Date]])</f>
        <v>1958</v>
      </c>
      <c r="E1692" s="9" t="str" cm="1">
        <f t="array" ref="E1692">IFERROR(_xlfn.IFS(AND(D1692&lt;1980,D1692&gt;=1970),"70",AND(D1692&lt;1990,D1692&gt;=1980),"80",AND(D1692&lt;2000,D1692&gt;=1990),"90",AND(D1692&lt;2010,D1692&gt;=2000),"00",AND(D1692&lt;=2019,D1692&gt;=2010),"10"),"1908-1970")</f>
        <v>1908-1970</v>
      </c>
      <c r="F1692" s="3" t="s">
        <v>28931</v>
      </c>
      <c r="G1692" t="s">
        <v>12358</v>
      </c>
      <c r="H1692" t="s">
        <v>12359</v>
      </c>
      <c r="I1692" t="s">
        <v>28931</v>
      </c>
      <c r="J1692" t="s">
        <v>12360</v>
      </c>
      <c r="K1692" t="s">
        <v>11550</v>
      </c>
      <c r="L1692" s="7" t="s">
        <v>12361</v>
      </c>
      <c r="M1692" t="s">
        <v>12362</v>
      </c>
      <c r="N1692">
        <v>5</v>
      </c>
      <c r="O1692">
        <v>0</v>
      </c>
      <c r="P1692">
        <v>5</v>
      </c>
      <c r="Q1692">
        <v>4</v>
      </c>
      <c r="R1692">
        <v>0</v>
      </c>
      <c r="S1692">
        <v>4</v>
      </c>
      <c r="T1692">
        <v>0</v>
      </c>
      <c r="U1692" t="s">
        <v>12363</v>
      </c>
      <c r="V1692">
        <f>Tabla1[[#This Row],[Aboard]]-Tabla1[[#This Row],[Fatalities]]</f>
        <v>1</v>
      </c>
      <c r="W1692" s="50">
        <f>IFERROR(Tabla1[[#This Row],[Fatalities]]/Tabla1[[#This Row],[Aboard]],0)</f>
        <v>0.8</v>
      </c>
      <c r="X1692" s="51" t="str" cm="1">
        <f t="array" ref="X1692">_xlfn.IFS(Tabla1[[#This Row],[Porcentaje de muertes]]&lt;0.35,"LEVE",AND(Tabla1[[#This Row],[Porcentaje de muertes]]&gt;0.35,Tabla1[[#This Row],[Porcentaje de muertes]]&lt;0.65),"MEDIO",Tabla1[[#This Row],[Porcentaje de muertes]]&gt;0.65,"GRAVE")</f>
        <v>GRAVE</v>
      </c>
    </row>
    <row r="1693" spans="2:24" x14ac:dyDescent="0.3">
      <c r="B1693" s="9">
        <v>1692</v>
      </c>
      <c r="C1693" s="49">
        <v>21336</v>
      </c>
      <c r="D1693" s="9">
        <f>YEAR(Tabla1[[#This Row],[Date]])</f>
        <v>1958</v>
      </c>
      <c r="E1693" s="9" t="str" cm="1">
        <f t="array" ref="E1693">IFERROR(_xlfn.IFS(AND(D1693&lt;1980,D1693&gt;=1970),"70",AND(D1693&lt;1990,D1693&gt;=1980),"80",AND(D1693&lt;2000,D1693&gt;=1990),"90",AND(D1693&lt;2010,D1693&gt;=2000),"00",AND(D1693&lt;=2019,D1693&gt;=2010),"10"),"1908-1970")</f>
        <v>1908-1970</v>
      </c>
      <c r="F1693" s="3" t="s">
        <v>28931</v>
      </c>
      <c r="G1693" t="s">
        <v>7368</v>
      </c>
      <c r="H1693" t="s">
        <v>12364</v>
      </c>
      <c r="I1693" t="s">
        <v>28931</v>
      </c>
      <c r="J1693" t="s">
        <v>12365</v>
      </c>
      <c r="K1693" t="s">
        <v>8433</v>
      </c>
      <c r="L1693" s="7" t="s">
        <v>12366</v>
      </c>
      <c r="M1693">
        <v>33304</v>
      </c>
      <c r="N1693">
        <v>4</v>
      </c>
      <c r="O1693">
        <v>0</v>
      </c>
      <c r="P1693">
        <v>4</v>
      </c>
      <c r="Q1693">
        <v>4</v>
      </c>
      <c r="R1693">
        <v>0</v>
      </c>
      <c r="S1693">
        <v>4</v>
      </c>
      <c r="T1693">
        <v>0</v>
      </c>
      <c r="U1693" t="s">
        <v>12367</v>
      </c>
      <c r="V1693">
        <f>Tabla1[[#This Row],[Aboard]]-Tabla1[[#This Row],[Fatalities]]</f>
        <v>0</v>
      </c>
      <c r="W1693" s="50">
        <f>IFERROR(Tabla1[[#This Row],[Fatalities]]/Tabla1[[#This Row],[Aboard]],0)</f>
        <v>1</v>
      </c>
      <c r="X1693" s="51" t="str" cm="1">
        <f t="array" ref="X1693">_xlfn.IFS(Tabla1[[#This Row],[Porcentaje de muertes]]&lt;0.35,"LEVE",AND(Tabla1[[#This Row],[Porcentaje de muertes]]&gt;0.35,Tabla1[[#This Row],[Porcentaje de muertes]]&lt;0.65),"MEDIO",Tabla1[[#This Row],[Porcentaje de muertes]]&gt;0.65,"GRAVE")</f>
        <v>GRAVE</v>
      </c>
    </row>
    <row r="1694" spans="2:24" x14ac:dyDescent="0.3">
      <c r="B1694" s="9">
        <v>1693</v>
      </c>
      <c r="C1694" s="49">
        <v>21336</v>
      </c>
      <c r="D1694" s="9">
        <f>YEAR(Tabla1[[#This Row],[Date]])</f>
        <v>1958</v>
      </c>
      <c r="E1694" s="9" t="str" cm="1">
        <f t="array" ref="E1694">IFERROR(_xlfn.IFS(AND(D1694&lt;1980,D1694&gt;=1970),"70",AND(D1694&lt;1990,D1694&gt;=1980),"80",AND(D1694&lt;2000,D1694&gt;=1990),"90",AND(D1694&lt;2010,D1694&gt;=2000),"00",AND(D1694&lt;=2019,D1694&gt;=2010),"10"),"1908-1970")</f>
        <v>1908-1970</v>
      </c>
      <c r="F1694" s="3" t="s">
        <v>28931</v>
      </c>
      <c r="G1694" t="s">
        <v>12368</v>
      </c>
      <c r="H1694" t="s">
        <v>6375</v>
      </c>
      <c r="I1694" t="s">
        <v>28931</v>
      </c>
      <c r="J1694" t="s">
        <v>12369</v>
      </c>
      <c r="K1694" t="s">
        <v>7057</v>
      </c>
      <c r="L1694" s="7" t="s">
        <v>12370</v>
      </c>
      <c r="M1694">
        <v>20001</v>
      </c>
      <c r="N1694">
        <v>15</v>
      </c>
      <c r="O1694">
        <v>12</v>
      </c>
      <c r="P1694">
        <v>3</v>
      </c>
      <c r="Q1694">
        <v>15</v>
      </c>
      <c r="R1694">
        <v>12</v>
      </c>
      <c r="S1694">
        <v>3</v>
      </c>
      <c r="T1694">
        <v>0</v>
      </c>
      <c r="U1694" t="s">
        <v>12371</v>
      </c>
      <c r="V1694">
        <f>Tabla1[[#This Row],[Aboard]]-Tabla1[[#This Row],[Fatalities]]</f>
        <v>0</v>
      </c>
      <c r="W1694" s="50">
        <f>IFERROR(Tabla1[[#This Row],[Fatalities]]/Tabla1[[#This Row],[Aboard]],0)</f>
        <v>1</v>
      </c>
      <c r="X1694" s="51" t="str" cm="1">
        <f t="array" ref="X1694">_xlfn.IFS(Tabla1[[#This Row],[Porcentaje de muertes]]&lt;0.35,"LEVE",AND(Tabla1[[#This Row],[Porcentaje de muertes]]&gt;0.35,Tabla1[[#This Row],[Porcentaje de muertes]]&lt;0.65),"MEDIO",Tabla1[[#This Row],[Porcentaje de muertes]]&gt;0.65,"GRAVE")</f>
        <v>GRAVE</v>
      </c>
    </row>
    <row r="1695" spans="2:24" x14ac:dyDescent="0.3">
      <c r="B1695" s="9">
        <v>1694</v>
      </c>
      <c r="C1695" s="49">
        <v>21222</v>
      </c>
      <c r="D1695" s="9">
        <f>YEAR(Tabla1[[#This Row],[Date]])</f>
        <v>1958</v>
      </c>
      <c r="E1695" s="9" t="str" cm="1">
        <f t="array" ref="E1695">IFERROR(_xlfn.IFS(AND(D1695&lt;1980,D1695&gt;=1970),"70",AND(D1695&lt;1990,D1695&gt;=1980),"80",AND(D1695&lt;2000,D1695&gt;=1990),"90",AND(D1695&lt;2010,D1695&gt;=2000),"00",AND(D1695&lt;=2019,D1695&gt;=2010),"10"),"1908-1970")</f>
        <v>1908-1970</v>
      </c>
      <c r="F1695" s="3">
        <v>0.22430555555555556</v>
      </c>
      <c r="G1695" t="s">
        <v>12372</v>
      </c>
      <c r="H1695" t="s">
        <v>7121</v>
      </c>
      <c r="I1695" t="s">
        <v>28931</v>
      </c>
      <c r="J1695" t="s">
        <v>12373</v>
      </c>
      <c r="K1695" t="s">
        <v>11518</v>
      </c>
      <c r="L1695" s="7" t="s">
        <v>12374</v>
      </c>
      <c r="M1695">
        <v>15923</v>
      </c>
      <c r="N1695">
        <v>57</v>
      </c>
      <c r="O1695">
        <v>49</v>
      </c>
      <c r="P1695">
        <v>8</v>
      </c>
      <c r="Q1695">
        <v>1</v>
      </c>
      <c r="R1695">
        <v>1</v>
      </c>
      <c r="S1695">
        <v>0</v>
      </c>
      <c r="T1695">
        <v>0</v>
      </c>
      <c r="U1695" t="s">
        <v>12375</v>
      </c>
      <c r="V1695">
        <f>Tabla1[[#This Row],[Aboard]]-Tabla1[[#This Row],[Fatalities]]</f>
        <v>56</v>
      </c>
      <c r="W1695" s="50">
        <f>IFERROR(Tabla1[[#This Row],[Fatalities]]/Tabla1[[#This Row],[Aboard]],0)</f>
        <v>1.7543859649122806E-2</v>
      </c>
      <c r="X1695" s="51" t="str" cm="1">
        <f t="array" ref="X1695">_xlfn.IFS(Tabla1[[#This Row],[Porcentaje de muertes]]&lt;0.35,"LEVE",AND(Tabla1[[#This Row],[Porcentaje de muertes]]&gt;0.35,Tabla1[[#This Row],[Porcentaje de muertes]]&lt;0.65),"MEDIO",Tabla1[[#This Row],[Porcentaje de muertes]]&gt;0.65,"GRAVE")</f>
        <v>LEVE</v>
      </c>
    </row>
    <row r="1696" spans="2:24" x14ac:dyDescent="0.3">
      <c r="B1696" s="9">
        <v>1695</v>
      </c>
      <c r="C1696" s="49">
        <v>21222</v>
      </c>
      <c r="D1696" s="9">
        <f>YEAR(Tabla1[[#This Row],[Date]])</f>
        <v>1958</v>
      </c>
      <c r="E1696" s="9" t="str" cm="1">
        <f t="array" ref="E1696">IFERROR(_xlfn.IFS(AND(D1696&lt;1980,D1696&gt;=1970),"70",AND(D1696&lt;1990,D1696&gt;=1980),"80",AND(D1696&lt;2000,D1696&gt;=1990),"90",AND(D1696&lt;2010,D1696&gt;=2000),"00",AND(D1696&lt;=2019,D1696&gt;=2010),"10"),"1908-1970")</f>
        <v>1908-1970</v>
      </c>
      <c r="F1696" s="3">
        <v>0.92083333333333339</v>
      </c>
      <c r="G1696" t="s">
        <v>12376</v>
      </c>
      <c r="H1696" t="s">
        <v>11253</v>
      </c>
      <c r="I1696" t="s">
        <v>28931</v>
      </c>
      <c r="J1696" t="s">
        <v>12377</v>
      </c>
      <c r="K1696" t="s">
        <v>10167</v>
      </c>
      <c r="L1696" s="7" t="s">
        <v>12378</v>
      </c>
      <c r="M1696">
        <v>2665</v>
      </c>
      <c r="N1696">
        <v>45</v>
      </c>
      <c r="O1696">
        <v>38</v>
      </c>
      <c r="P1696">
        <v>7</v>
      </c>
      <c r="Q1696">
        <v>45</v>
      </c>
      <c r="R1696">
        <v>38</v>
      </c>
      <c r="S1696">
        <v>7</v>
      </c>
      <c r="T1696">
        <v>0</v>
      </c>
      <c r="U1696" t="s">
        <v>12379</v>
      </c>
      <c r="V1696">
        <f>Tabla1[[#This Row],[Aboard]]-Tabla1[[#This Row],[Fatalities]]</f>
        <v>0</v>
      </c>
      <c r="W1696" s="50">
        <f>IFERROR(Tabla1[[#This Row],[Fatalities]]/Tabla1[[#This Row],[Aboard]],0)</f>
        <v>1</v>
      </c>
      <c r="X1696" s="51" t="str" cm="1">
        <f t="array" ref="X1696">_xlfn.IFS(Tabla1[[#This Row],[Porcentaje de muertes]]&lt;0.35,"LEVE",AND(Tabla1[[#This Row],[Porcentaje de muertes]]&gt;0.35,Tabla1[[#This Row],[Porcentaje de muertes]]&lt;0.65),"MEDIO",Tabla1[[#This Row],[Porcentaje de muertes]]&gt;0.65,"GRAVE")</f>
        <v>GRAVE</v>
      </c>
    </row>
    <row r="1697" spans="2:24" x14ac:dyDescent="0.3">
      <c r="B1697" s="9">
        <v>1696</v>
      </c>
      <c r="C1697" s="49">
        <v>21281</v>
      </c>
      <c r="D1697" s="9">
        <f>YEAR(Tabla1[[#This Row],[Date]])</f>
        <v>1958</v>
      </c>
      <c r="E1697" s="9" t="str" cm="1">
        <f t="array" ref="E1697">IFERROR(_xlfn.IFS(AND(D1697&lt;1980,D1697&gt;=1970),"70",AND(D1697&lt;1990,D1697&gt;=1980),"80",AND(D1697&lt;2000,D1697&gt;=1990),"90",AND(D1697&lt;2010,D1697&gt;=2000),"00",AND(D1697&lt;=2019,D1697&gt;=2010),"10"),"1908-1970")</f>
        <v>1908-1970</v>
      </c>
      <c r="F1697" s="3">
        <v>0.58194444444444449</v>
      </c>
      <c r="G1697" t="s">
        <v>12380</v>
      </c>
      <c r="H1697" t="s">
        <v>9977</v>
      </c>
      <c r="I1697" t="s">
        <v>28931</v>
      </c>
      <c r="J1697" t="s">
        <v>6190</v>
      </c>
      <c r="K1697" t="s">
        <v>7057</v>
      </c>
      <c r="L1697" s="7" t="s">
        <v>12381</v>
      </c>
      <c r="M1697">
        <v>4820</v>
      </c>
      <c r="N1697">
        <v>3</v>
      </c>
      <c r="O1697">
        <v>0</v>
      </c>
      <c r="P1697">
        <v>3</v>
      </c>
      <c r="Q1697">
        <v>1</v>
      </c>
      <c r="R1697">
        <v>0</v>
      </c>
      <c r="S1697">
        <v>1</v>
      </c>
      <c r="T1697">
        <v>0</v>
      </c>
      <c r="U1697" t="s">
        <v>12382</v>
      </c>
      <c r="V1697">
        <f>Tabla1[[#This Row],[Aboard]]-Tabla1[[#This Row],[Fatalities]]</f>
        <v>2</v>
      </c>
      <c r="W1697" s="50">
        <f>IFERROR(Tabla1[[#This Row],[Fatalities]]/Tabla1[[#This Row],[Aboard]],0)</f>
        <v>0.33333333333333331</v>
      </c>
      <c r="X1697" s="51" t="str" cm="1">
        <f t="array" ref="X1697">_xlfn.IFS(Tabla1[[#This Row],[Porcentaje de muertes]]&lt;0.35,"LEVE",AND(Tabla1[[#This Row],[Porcentaje de muertes]]&gt;0.35,Tabla1[[#This Row],[Porcentaje de muertes]]&lt;0.65),"MEDIO",Tabla1[[#This Row],[Porcentaje de muertes]]&gt;0.65,"GRAVE")</f>
        <v>LEVE</v>
      </c>
    </row>
    <row r="1698" spans="2:24" x14ac:dyDescent="0.3">
      <c r="B1698" s="9">
        <v>1697</v>
      </c>
      <c r="C1698" s="49">
        <v>21434</v>
      </c>
      <c r="D1698" s="9">
        <f>YEAR(Tabla1[[#This Row],[Date]])</f>
        <v>1958</v>
      </c>
      <c r="E1698" s="9" t="str" cm="1">
        <f t="array" ref="E1698">IFERROR(_xlfn.IFS(AND(D1698&lt;1980,D1698&gt;=1970),"70",AND(D1698&lt;1990,D1698&gt;=1980),"80",AND(D1698&lt;2000,D1698&gt;=1990),"90",AND(D1698&lt;2010,D1698&gt;=2000),"00",AND(D1698&lt;=2019,D1698&gt;=2010),"10"),"1908-1970")</f>
        <v>1908-1970</v>
      </c>
      <c r="F1698" s="3">
        <v>0.49305555555555558</v>
      </c>
      <c r="G1698" t="s">
        <v>12383</v>
      </c>
      <c r="H1698" t="s">
        <v>6541</v>
      </c>
      <c r="I1698">
        <v>105</v>
      </c>
      <c r="J1698" t="s">
        <v>12384</v>
      </c>
      <c r="K1698" t="s">
        <v>9305</v>
      </c>
      <c r="L1698" s="7" t="s">
        <v>12385</v>
      </c>
      <c r="M1698" t="s">
        <v>12386</v>
      </c>
      <c r="N1698">
        <v>24</v>
      </c>
      <c r="O1698">
        <v>20</v>
      </c>
      <c r="P1698">
        <v>4</v>
      </c>
      <c r="Q1698">
        <v>24</v>
      </c>
      <c r="R1698">
        <v>20</v>
      </c>
      <c r="S1698">
        <v>4</v>
      </c>
      <c r="T1698">
        <v>0</v>
      </c>
      <c r="U1698" t="s">
        <v>12387</v>
      </c>
      <c r="V1698">
        <f>Tabla1[[#This Row],[Aboard]]-Tabla1[[#This Row],[Fatalities]]</f>
        <v>0</v>
      </c>
      <c r="W1698" s="50">
        <f>IFERROR(Tabla1[[#This Row],[Fatalities]]/Tabla1[[#This Row],[Aboard]],0)</f>
        <v>1</v>
      </c>
      <c r="X1698" s="51" t="str" cm="1">
        <f t="array" ref="X1698">_xlfn.IFS(Tabla1[[#This Row],[Porcentaje de muertes]]&lt;0.35,"LEVE",AND(Tabla1[[#This Row],[Porcentaje de muertes]]&gt;0.35,Tabla1[[#This Row],[Porcentaje de muertes]]&lt;0.65),"MEDIO",Tabla1[[#This Row],[Porcentaje de muertes]]&gt;0.65,"GRAVE")</f>
        <v>GRAVE</v>
      </c>
    </row>
    <row r="1699" spans="2:24" x14ac:dyDescent="0.3">
      <c r="B1699" s="9">
        <v>1698</v>
      </c>
      <c r="C1699" s="49">
        <v>21352</v>
      </c>
      <c r="D1699" s="9">
        <f>YEAR(Tabla1[[#This Row],[Date]])</f>
        <v>1958</v>
      </c>
      <c r="E1699" s="9" t="str" cm="1">
        <f t="array" ref="E1699">IFERROR(_xlfn.IFS(AND(D1699&lt;1980,D1699&gt;=1970),"70",AND(D1699&lt;1990,D1699&gt;=1980),"80",AND(D1699&lt;2000,D1699&gt;=1990),"90",AND(D1699&lt;2010,D1699&gt;=2000),"00",AND(D1699&lt;=2019,D1699&gt;=2010),"10"),"1908-1970")</f>
        <v>1908-1970</v>
      </c>
      <c r="F1699" s="3">
        <v>0.73958333333333337</v>
      </c>
      <c r="G1699" t="s">
        <v>12388</v>
      </c>
      <c r="H1699" t="s">
        <v>9425</v>
      </c>
      <c r="I1699" t="s">
        <v>28931</v>
      </c>
      <c r="J1699" t="s">
        <v>12389</v>
      </c>
      <c r="K1699" t="s">
        <v>12390</v>
      </c>
      <c r="L1699" s="7" t="s">
        <v>12391</v>
      </c>
      <c r="M1699">
        <v>493</v>
      </c>
      <c r="N1699">
        <v>26</v>
      </c>
      <c r="O1699">
        <v>21</v>
      </c>
      <c r="P1699">
        <v>5</v>
      </c>
      <c r="Q1699">
        <v>21</v>
      </c>
      <c r="R1699">
        <v>16</v>
      </c>
      <c r="S1699">
        <v>5</v>
      </c>
      <c r="T1699">
        <v>0</v>
      </c>
      <c r="U1699" t="s">
        <v>12392</v>
      </c>
      <c r="V1699">
        <f>Tabla1[[#This Row],[Aboard]]-Tabla1[[#This Row],[Fatalities]]</f>
        <v>5</v>
      </c>
      <c r="W1699" s="50">
        <f>IFERROR(Tabla1[[#This Row],[Fatalities]]/Tabla1[[#This Row],[Aboard]],0)</f>
        <v>0.80769230769230771</v>
      </c>
      <c r="X1699" s="51" t="str" cm="1">
        <f t="array" ref="X1699">_xlfn.IFS(Tabla1[[#This Row],[Porcentaje de muertes]]&lt;0.35,"LEVE",AND(Tabla1[[#This Row],[Porcentaje de muertes]]&gt;0.35,Tabla1[[#This Row],[Porcentaje de muertes]]&lt;0.65),"MEDIO",Tabla1[[#This Row],[Porcentaje de muertes]]&gt;0.65,"GRAVE")</f>
        <v>GRAVE</v>
      </c>
    </row>
    <row r="1700" spans="2:24" x14ac:dyDescent="0.3">
      <c r="B1700" s="9">
        <v>1699</v>
      </c>
      <c r="C1700" s="49">
        <v>21361</v>
      </c>
      <c r="D1700" s="9">
        <f>YEAR(Tabla1[[#This Row],[Date]])</f>
        <v>1958</v>
      </c>
      <c r="E1700" s="9" t="str" cm="1">
        <f t="array" ref="E1700">IFERROR(_xlfn.IFS(AND(D1700&lt;1980,D1700&gt;=1970),"70",AND(D1700&lt;1990,D1700&gt;=1980),"80",AND(D1700&lt;2000,D1700&gt;=1990),"90",AND(D1700&lt;2010,D1700&gt;=2000),"00",AND(D1700&lt;=2019,D1700&gt;=2010),"10"),"1908-1970")</f>
        <v>1908-1970</v>
      </c>
      <c r="F1700" s="3">
        <v>0.45833333333333331</v>
      </c>
      <c r="G1700" t="s">
        <v>12393</v>
      </c>
      <c r="H1700" t="s">
        <v>11150</v>
      </c>
      <c r="I1700" t="s">
        <v>28931</v>
      </c>
      <c r="J1700" t="s">
        <v>12394</v>
      </c>
      <c r="K1700" t="s">
        <v>8105</v>
      </c>
      <c r="L1700" s="7" t="s">
        <v>12395</v>
      </c>
      <c r="M1700">
        <v>10051</v>
      </c>
      <c r="N1700">
        <v>7</v>
      </c>
      <c r="O1700">
        <v>4</v>
      </c>
      <c r="P1700">
        <v>3</v>
      </c>
      <c r="Q1700">
        <v>5</v>
      </c>
      <c r="R1700">
        <v>3</v>
      </c>
      <c r="S1700">
        <v>2</v>
      </c>
      <c r="T1700">
        <v>0</v>
      </c>
      <c r="U1700" t="s">
        <v>12396</v>
      </c>
      <c r="V1700">
        <f>Tabla1[[#This Row],[Aboard]]-Tabla1[[#This Row],[Fatalities]]</f>
        <v>2</v>
      </c>
      <c r="W1700" s="50">
        <f>IFERROR(Tabla1[[#This Row],[Fatalities]]/Tabla1[[#This Row],[Aboard]],0)</f>
        <v>0.7142857142857143</v>
      </c>
      <c r="X1700" s="51" t="str" cm="1">
        <f t="array" ref="X1700">_xlfn.IFS(Tabla1[[#This Row],[Porcentaje de muertes]]&lt;0.35,"LEVE",AND(Tabla1[[#This Row],[Porcentaje de muertes]]&gt;0.35,Tabla1[[#This Row],[Porcentaje de muertes]]&lt;0.65),"MEDIO",Tabla1[[#This Row],[Porcentaje de muertes]]&gt;0.65,"GRAVE")</f>
        <v>GRAVE</v>
      </c>
    </row>
    <row r="1701" spans="2:24" x14ac:dyDescent="0.3">
      <c r="B1701" s="9">
        <v>1700</v>
      </c>
      <c r="C1701" s="49">
        <v>21363</v>
      </c>
      <c r="D1701" s="9">
        <f>YEAR(Tabla1[[#This Row],[Date]])</f>
        <v>1958</v>
      </c>
      <c r="E1701" s="9" t="str" cm="1">
        <f t="array" ref="E1701">IFERROR(_xlfn.IFS(AND(D1701&lt;1980,D1701&gt;=1970),"70",AND(D1701&lt;1990,D1701&gt;=1980),"80",AND(D1701&lt;2000,D1701&gt;=1990),"90",AND(D1701&lt;2010,D1701&gt;=2000),"00",AND(D1701&lt;=2019,D1701&gt;=2010),"10"),"1908-1970")</f>
        <v>1908-1970</v>
      </c>
      <c r="F1701" s="3">
        <v>2.0833333333333332E-2</v>
      </c>
      <c r="G1701" t="s">
        <v>12397</v>
      </c>
      <c r="H1701" t="s">
        <v>7987</v>
      </c>
      <c r="I1701" t="s">
        <v>28931</v>
      </c>
      <c r="J1701" t="s">
        <v>12398</v>
      </c>
      <c r="K1701" t="s">
        <v>12399</v>
      </c>
      <c r="L1701" s="7" t="s">
        <v>12400</v>
      </c>
      <c r="M1701">
        <v>17348</v>
      </c>
      <c r="N1701">
        <v>15</v>
      </c>
      <c r="O1701">
        <v>8</v>
      </c>
      <c r="P1701">
        <v>7</v>
      </c>
      <c r="Q1701">
        <v>15</v>
      </c>
      <c r="R1701">
        <v>8</v>
      </c>
      <c r="S1701">
        <v>7</v>
      </c>
      <c r="T1701">
        <v>0</v>
      </c>
      <c r="U1701" t="s">
        <v>12401</v>
      </c>
      <c r="V1701">
        <f>Tabla1[[#This Row],[Aboard]]-Tabla1[[#This Row],[Fatalities]]</f>
        <v>0</v>
      </c>
      <c r="W1701" s="50">
        <f>IFERROR(Tabla1[[#This Row],[Fatalities]]/Tabla1[[#This Row],[Aboard]],0)</f>
        <v>1</v>
      </c>
      <c r="X1701" s="51" t="str" cm="1">
        <f t="array" ref="X1701">_xlfn.IFS(Tabla1[[#This Row],[Porcentaje de muertes]]&lt;0.35,"LEVE",AND(Tabla1[[#This Row],[Porcentaje de muertes]]&gt;0.35,Tabla1[[#This Row],[Porcentaje de muertes]]&lt;0.65),"MEDIO",Tabla1[[#This Row],[Porcentaje de muertes]]&gt;0.65,"GRAVE")</f>
        <v>GRAVE</v>
      </c>
    </row>
    <row r="1702" spans="2:24" x14ac:dyDescent="0.3">
      <c r="B1702" s="9">
        <v>1701</v>
      </c>
      <c r="C1702" s="49">
        <v>21435</v>
      </c>
      <c r="D1702" s="9">
        <f>YEAR(Tabla1[[#This Row],[Date]])</f>
        <v>1958</v>
      </c>
      <c r="E1702" s="9" t="str" cm="1">
        <f t="array" ref="E1702">IFERROR(_xlfn.IFS(AND(D1702&lt;1980,D1702&gt;=1970),"70",AND(D1702&lt;1990,D1702&gt;=1980),"80",AND(D1702&lt;2000,D1702&gt;=1990),"90",AND(D1702&lt;2010,D1702&gt;=2000),"00",AND(D1702&lt;=2019,D1702&gt;=2010),"10"),"1908-1970")</f>
        <v>1908-1970</v>
      </c>
      <c r="F1702" s="3">
        <v>0.58680555555555558</v>
      </c>
      <c r="G1702" t="s">
        <v>12402</v>
      </c>
      <c r="H1702" t="s">
        <v>11150</v>
      </c>
      <c r="I1702" t="s">
        <v>28931</v>
      </c>
      <c r="J1702" t="s">
        <v>12403</v>
      </c>
      <c r="K1702" t="s">
        <v>8105</v>
      </c>
      <c r="L1702" s="7" t="s">
        <v>12404</v>
      </c>
      <c r="M1702">
        <v>19317</v>
      </c>
      <c r="N1702">
        <v>3</v>
      </c>
      <c r="O1702">
        <v>0</v>
      </c>
      <c r="P1702">
        <v>3</v>
      </c>
      <c r="Q1702">
        <v>3</v>
      </c>
      <c r="R1702">
        <v>0</v>
      </c>
      <c r="S1702">
        <v>3</v>
      </c>
      <c r="T1702">
        <v>0</v>
      </c>
      <c r="U1702" t="s">
        <v>12405</v>
      </c>
      <c r="V1702">
        <f>Tabla1[[#This Row],[Aboard]]-Tabla1[[#This Row],[Fatalities]]</f>
        <v>0</v>
      </c>
      <c r="W1702" s="50">
        <f>IFERROR(Tabla1[[#This Row],[Fatalities]]/Tabla1[[#This Row],[Aboard]],0)</f>
        <v>1</v>
      </c>
      <c r="X1702" s="51" t="str" cm="1">
        <f t="array" ref="X1702">_xlfn.IFS(Tabla1[[#This Row],[Porcentaje de muertes]]&lt;0.35,"LEVE",AND(Tabla1[[#This Row],[Porcentaje de muertes]]&gt;0.35,Tabla1[[#This Row],[Porcentaje de muertes]]&lt;0.65),"MEDIO",Tabla1[[#This Row],[Porcentaje de muertes]]&gt;0.65,"GRAVE")</f>
        <v>GRAVE</v>
      </c>
    </row>
    <row r="1703" spans="2:24" x14ac:dyDescent="0.3">
      <c r="B1703" s="9">
        <v>1702</v>
      </c>
      <c r="C1703" s="49">
        <v>21436</v>
      </c>
      <c r="D1703" s="9">
        <f>YEAR(Tabla1[[#This Row],[Date]])</f>
        <v>1958</v>
      </c>
      <c r="E1703" s="9" t="str" cm="1">
        <f t="array" ref="E1703">IFERROR(_xlfn.IFS(AND(D1703&lt;1980,D1703&gt;=1970),"70",AND(D1703&lt;1990,D1703&gt;=1980),"80",AND(D1703&lt;2000,D1703&gt;=1990),"90",AND(D1703&lt;2010,D1703&gt;=2000),"00",AND(D1703&lt;=2019,D1703&gt;=2010),"10"),"1908-1970")</f>
        <v>1908-1970</v>
      </c>
      <c r="F1703" s="3">
        <v>5.1388888888888894E-2</v>
      </c>
      <c r="G1703" t="s">
        <v>6885</v>
      </c>
      <c r="H1703" t="s">
        <v>10955</v>
      </c>
      <c r="I1703" t="s">
        <v>28931</v>
      </c>
      <c r="J1703" t="s">
        <v>12406</v>
      </c>
      <c r="K1703" t="s">
        <v>12407</v>
      </c>
      <c r="L1703" s="7" t="s">
        <v>12408</v>
      </c>
      <c r="M1703">
        <v>102</v>
      </c>
      <c r="N1703">
        <v>54</v>
      </c>
      <c r="O1703">
        <v>47</v>
      </c>
      <c r="P1703">
        <v>7</v>
      </c>
      <c r="Q1703">
        <v>36</v>
      </c>
      <c r="R1703">
        <v>32</v>
      </c>
      <c r="S1703">
        <v>4</v>
      </c>
      <c r="T1703">
        <v>0</v>
      </c>
      <c r="U1703" t="s">
        <v>12409</v>
      </c>
      <c r="V1703">
        <f>Tabla1[[#This Row],[Aboard]]-Tabla1[[#This Row],[Fatalities]]</f>
        <v>18</v>
      </c>
      <c r="W1703" s="50">
        <f>IFERROR(Tabla1[[#This Row],[Fatalities]]/Tabla1[[#This Row],[Aboard]],0)</f>
        <v>0.66666666666666663</v>
      </c>
      <c r="X1703" s="51" t="str" cm="1">
        <f t="array" ref="X1703">_xlfn.IFS(Tabla1[[#This Row],[Porcentaje de muertes]]&lt;0.35,"LEVE",AND(Tabla1[[#This Row],[Porcentaje de muertes]]&gt;0.35,Tabla1[[#This Row],[Porcentaje de muertes]]&lt;0.65),"MEDIO",Tabla1[[#This Row],[Porcentaje de muertes]]&gt;0.65,"GRAVE")</f>
        <v>GRAVE</v>
      </c>
    </row>
    <row r="1704" spans="2:24" x14ac:dyDescent="0.3">
      <c r="B1704" s="9">
        <v>1703</v>
      </c>
      <c r="C1704" s="49">
        <v>21497</v>
      </c>
      <c r="D1704" s="9">
        <f>YEAR(Tabla1[[#This Row],[Date]])</f>
        <v>1958</v>
      </c>
      <c r="E1704" s="9" t="str" cm="1">
        <f t="array" ref="E1704">IFERROR(_xlfn.IFS(AND(D1704&lt;1980,D1704&gt;=1970),"70",AND(D1704&lt;1990,D1704&gt;=1980),"80",AND(D1704&lt;2000,D1704&gt;=1990),"90",AND(D1704&lt;2010,D1704&gt;=2000),"00",AND(D1704&lt;=2019,D1704&gt;=2010),"10"),"1908-1970")</f>
        <v>1908-1970</v>
      </c>
      <c r="F1704" s="3">
        <v>0.79166666666666663</v>
      </c>
      <c r="G1704" t="s">
        <v>9397</v>
      </c>
      <c r="H1704" t="s">
        <v>12410</v>
      </c>
      <c r="I1704" t="s">
        <v>28931</v>
      </c>
      <c r="J1704" t="s">
        <v>12411</v>
      </c>
      <c r="K1704" t="s">
        <v>8822</v>
      </c>
      <c r="L1704" s="7" t="s">
        <v>12412</v>
      </c>
      <c r="M1704">
        <v>10544</v>
      </c>
      <c r="N1704">
        <v>11</v>
      </c>
      <c r="O1704">
        <v>5</v>
      </c>
      <c r="P1704">
        <v>6</v>
      </c>
      <c r="Q1704">
        <v>10</v>
      </c>
      <c r="R1704">
        <v>4</v>
      </c>
      <c r="S1704">
        <v>6</v>
      </c>
      <c r="T1704">
        <v>0</v>
      </c>
      <c r="U1704" t="s">
        <v>12413</v>
      </c>
      <c r="V1704">
        <f>Tabla1[[#This Row],[Aboard]]-Tabla1[[#This Row],[Fatalities]]</f>
        <v>1</v>
      </c>
      <c r="W1704" s="50">
        <f>IFERROR(Tabla1[[#This Row],[Fatalities]]/Tabla1[[#This Row],[Aboard]],0)</f>
        <v>0.90909090909090906</v>
      </c>
      <c r="X1704" s="51" t="str" cm="1">
        <f t="array" ref="X1704">_xlfn.IFS(Tabla1[[#This Row],[Porcentaje de muertes]]&lt;0.35,"LEVE",AND(Tabla1[[#This Row],[Porcentaje de muertes]]&gt;0.35,Tabla1[[#This Row],[Porcentaje de muertes]]&lt;0.65),"MEDIO",Tabla1[[#This Row],[Porcentaje de muertes]]&gt;0.65,"GRAVE")</f>
        <v>GRAVE</v>
      </c>
    </row>
    <row r="1705" spans="2:24" x14ac:dyDescent="0.3">
      <c r="B1705" s="9">
        <v>1704</v>
      </c>
      <c r="C1705" s="49">
        <v>21527</v>
      </c>
      <c r="D1705" s="9">
        <f>YEAR(Tabla1[[#This Row],[Date]])</f>
        <v>1958</v>
      </c>
      <c r="E1705" s="9" t="str" cm="1">
        <f t="array" ref="E1705">IFERROR(_xlfn.IFS(AND(D1705&lt;1980,D1705&gt;=1970),"70",AND(D1705&lt;1990,D1705&gt;=1980),"80",AND(D1705&lt;2000,D1705&gt;=1990),"90",AND(D1705&lt;2010,D1705&gt;=2000),"00",AND(D1705&lt;=2019,D1705&gt;=2010),"10"),"1908-1970")</f>
        <v>1908-1970</v>
      </c>
      <c r="F1705" s="3" t="s">
        <v>28931</v>
      </c>
      <c r="G1705" t="s">
        <v>12414</v>
      </c>
      <c r="H1705" t="s">
        <v>12415</v>
      </c>
      <c r="I1705" t="s">
        <v>28931</v>
      </c>
      <c r="J1705" t="s">
        <v>12416</v>
      </c>
      <c r="K1705" t="s">
        <v>7057</v>
      </c>
      <c r="L1705" s="7" t="s">
        <v>12417</v>
      </c>
      <c r="M1705">
        <v>7336</v>
      </c>
      <c r="N1705">
        <v>33</v>
      </c>
      <c r="O1705">
        <v>30</v>
      </c>
      <c r="P1705">
        <v>3</v>
      </c>
      <c r="Q1705">
        <v>33</v>
      </c>
      <c r="R1705">
        <v>30</v>
      </c>
      <c r="S1705">
        <v>3</v>
      </c>
      <c r="T1705">
        <v>0</v>
      </c>
      <c r="U1705" t="s">
        <v>12418</v>
      </c>
      <c r="V1705">
        <f>Tabla1[[#This Row],[Aboard]]-Tabla1[[#This Row],[Fatalities]]</f>
        <v>0</v>
      </c>
      <c r="W1705" s="50">
        <f>IFERROR(Tabla1[[#This Row],[Fatalities]]/Tabla1[[#This Row],[Aboard]],0)</f>
        <v>1</v>
      </c>
      <c r="X1705" s="51" t="str" cm="1">
        <f t="array" ref="X1705">_xlfn.IFS(Tabla1[[#This Row],[Porcentaje de muertes]]&lt;0.35,"LEVE",AND(Tabla1[[#This Row],[Porcentaje de muertes]]&gt;0.35,Tabla1[[#This Row],[Porcentaje de muertes]]&lt;0.65),"MEDIO",Tabla1[[#This Row],[Porcentaje de muertes]]&gt;0.65,"GRAVE")</f>
        <v>GRAVE</v>
      </c>
    </row>
    <row r="1706" spans="2:24" x14ac:dyDescent="0.3">
      <c r="B1706" s="9">
        <v>1705</v>
      </c>
      <c r="C1706" s="49">
        <v>21411</v>
      </c>
      <c r="D1706" s="9">
        <f>YEAR(Tabla1[[#This Row],[Date]])</f>
        <v>1958</v>
      </c>
      <c r="E1706" s="9" t="str" cm="1">
        <f t="array" ref="E1706">IFERROR(_xlfn.IFS(AND(D1706&lt;1980,D1706&gt;=1970),"70",AND(D1706&lt;1990,D1706&gt;=1980),"80",AND(D1706&lt;2000,D1706&gt;=1990),"90",AND(D1706&lt;2010,D1706&gt;=2000),"00",AND(D1706&lt;=2019,D1706&gt;=2010),"10"),"1908-1970")</f>
        <v>1908-1970</v>
      </c>
      <c r="F1706" s="3">
        <v>0.15625</v>
      </c>
      <c r="G1706" t="s">
        <v>12419</v>
      </c>
      <c r="H1706" t="s">
        <v>5332</v>
      </c>
      <c r="I1706" t="s">
        <v>12420</v>
      </c>
      <c r="J1706" t="s">
        <v>12421</v>
      </c>
      <c r="K1706" t="s">
        <v>12422</v>
      </c>
      <c r="L1706" s="7" t="s">
        <v>12423</v>
      </c>
      <c r="M1706">
        <v>4841</v>
      </c>
      <c r="N1706">
        <v>99</v>
      </c>
      <c r="O1706">
        <v>91</v>
      </c>
      <c r="P1706">
        <v>8</v>
      </c>
      <c r="Q1706">
        <v>99</v>
      </c>
      <c r="R1706">
        <v>91</v>
      </c>
      <c r="S1706">
        <v>8</v>
      </c>
      <c r="T1706">
        <v>0</v>
      </c>
      <c r="U1706" t="s">
        <v>12424</v>
      </c>
      <c r="V1706">
        <f>Tabla1[[#This Row],[Aboard]]-Tabla1[[#This Row],[Fatalities]]</f>
        <v>0</v>
      </c>
      <c r="W1706" s="50">
        <f>IFERROR(Tabla1[[#This Row],[Fatalities]]/Tabla1[[#This Row],[Aboard]],0)</f>
        <v>1</v>
      </c>
      <c r="X1706" s="51" t="str" cm="1">
        <f t="array" ref="X1706">_xlfn.IFS(Tabla1[[#This Row],[Porcentaje de muertes]]&lt;0.35,"LEVE",AND(Tabla1[[#This Row],[Porcentaje de muertes]]&gt;0.35,Tabla1[[#This Row],[Porcentaje de muertes]]&lt;0.65),"MEDIO",Tabla1[[#This Row],[Porcentaje de muertes]]&gt;0.65,"GRAVE")</f>
        <v>GRAVE</v>
      </c>
    </row>
    <row r="1707" spans="2:24" x14ac:dyDescent="0.3">
      <c r="B1707" s="9">
        <v>1706</v>
      </c>
      <c r="C1707" s="49">
        <v>21412</v>
      </c>
      <c r="D1707" s="9">
        <f>YEAR(Tabla1[[#This Row],[Date]])</f>
        <v>1958</v>
      </c>
      <c r="E1707" s="9" t="str" cm="1">
        <f t="array" ref="E1707">IFERROR(_xlfn.IFS(AND(D1707&lt;1980,D1707&gt;=1970),"70",AND(D1707&lt;1990,D1707&gt;=1980),"80",AND(D1707&lt;2000,D1707&gt;=1990),"90",AND(D1707&lt;2010,D1707&gt;=2000),"00",AND(D1707&lt;=2019,D1707&gt;=2010),"10"),"1908-1970")</f>
        <v>1908-1970</v>
      </c>
      <c r="F1707" s="3">
        <v>0.9819444444444444</v>
      </c>
      <c r="G1707" t="s">
        <v>12425</v>
      </c>
      <c r="H1707" t="s">
        <v>11397</v>
      </c>
      <c r="I1707">
        <v>258</v>
      </c>
      <c r="J1707" t="s">
        <v>12426</v>
      </c>
      <c r="K1707" t="s">
        <v>12427</v>
      </c>
      <c r="L1707" s="7" t="s">
        <v>12428</v>
      </c>
      <c r="M1707">
        <v>90</v>
      </c>
      <c r="N1707">
        <v>34</v>
      </c>
      <c r="O1707">
        <v>31</v>
      </c>
      <c r="P1707">
        <v>3</v>
      </c>
      <c r="Q1707">
        <v>25</v>
      </c>
      <c r="R1707">
        <v>22</v>
      </c>
      <c r="S1707">
        <v>3</v>
      </c>
      <c r="T1707">
        <v>0</v>
      </c>
      <c r="U1707" t="s">
        <v>12429</v>
      </c>
      <c r="V1707">
        <f>Tabla1[[#This Row],[Aboard]]-Tabla1[[#This Row],[Fatalities]]</f>
        <v>9</v>
      </c>
      <c r="W1707" s="50">
        <f>IFERROR(Tabla1[[#This Row],[Fatalities]]/Tabla1[[#This Row],[Aboard]],0)</f>
        <v>0.73529411764705888</v>
      </c>
      <c r="X1707" s="51" t="str" cm="1">
        <f t="array" ref="X1707">_xlfn.IFS(Tabla1[[#This Row],[Porcentaje de muertes]]&lt;0.35,"LEVE",AND(Tabla1[[#This Row],[Porcentaje de muertes]]&gt;0.35,Tabla1[[#This Row],[Porcentaje de muertes]]&lt;0.65),"MEDIO",Tabla1[[#This Row],[Porcentaje de muertes]]&gt;0.65,"GRAVE")</f>
        <v>GRAVE</v>
      </c>
    </row>
    <row r="1708" spans="2:24" x14ac:dyDescent="0.3">
      <c r="B1708" s="9">
        <v>1707</v>
      </c>
      <c r="C1708" s="49">
        <v>21412</v>
      </c>
      <c r="D1708" s="9">
        <f>YEAR(Tabla1[[#This Row],[Date]])</f>
        <v>1958</v>
      </c>
      <c r="E1708" s="9" t="str" cm="1">
        <f t="array" ref="E1708">IFERROR(_xlfn.IFS(AND(D1708&lt;1980,D1708&gt;=1970),"70",AND(D1708&lt;1990,D1708&gt;=1980),"80",AND(D1708&lt;2000,D1708&gt;=1990),"90",AND(D1708&lt;2010,D1708&gt;=2000),"00",AND(D1708&lt;=2019,D1708&gt;=2010),"10"),"1908-1970")</f>
        <v>1908-1970</v>
      </c>
      <c r="F1708" s="3">
        <v>0.93055555555555547</v>
      </c>
      <c r="G1708" t="s">
        <v>12430</v>
      </c>
      <c r="H1708" t="s">
        <v>6541</v>
      </c>
      <c r="I1708" t="s">
        <v>28931</v>
      </c>
      <c r="J1708" t="s">
        <v>12431</v>
      </c>
      <c r="K1708" t="s">
        <v>12432</v>
      </c>
      <c r="L1708" s="7" t="s">
        <v>12433</v>
      </c>
      <c r="M1708">
        <v>7350303</v>
      </c>
      <c r="N1708">
        <v>64</v>
      </c>
      <c r="O1708">
        <v>54</v>
      </c>
      <c r="P1708">
        <v>10</v>
      </c>
      <c r="Q1708">
        <v>64</v>
      </c>
      <c r="R1708">
        <v>54</v>
      </c>
      <c r="S1708">
        <v>10</v>
      </c>
      <c r="T1708">
        <v>0</v>
      </c>
      <c r="U1708" t="s">
        <v>12434</v>
      </c>
      <c r="V1708">
        <f>Tabla1[[#This Row],[Aboard]]-Tabla1[[#This Row],[Fatalities]]</f>
        <v>0</v>
      </c>
      <c r="W1708" s="50">
        <f>IFERROR(Tabla1[[#This Row],[Fatalities]]/Tabla1[[#This Row],[Aboard]],0)</f>
        <v>1</v>
      </c>
      <c r="X1708" s="51" t="str" cm="1">
        <f t="array" ref="X1708">_xlfn.IFS(Tabla1[[#This Row],[Porcentaje de muertes]]&lt;0.35,"LEVE",AND(Tabla1[[#This Row],[Porcentaje de muertes]]&gt;0.35,Tabla1[[#This Row],[Porcentaje de muertes]]&lt;0.65),"MEDIO",Tabla1[[#This Row],[Porcentaje de muertes]]&gt;0.65,"GRAVE")</f>
        <v>GRAVE</v>
      </c>
    </row>
    <row r="1709" spans="2:24" x14ac:dyDescent="0.3">
      <c r="B1709" s="9">
        <v>1708</v>
      </c>
      <c r="C1709" s="49">
        <v>21225</v>
      </c>
      <c r="D1709" s="9">
        <f>YEAR(Tabla1[[#This Row],[Date]])</f>
        <v>1958</v>
      </c>
      <c r="E1709" s="9" t="str" cm="1">
        <f t="array" ref="E1709">IFERROR(_xlfn.IFS(AND(D1709&lt;1980,D1709&gt;=1970),"70",AND(D1709&lt;1990,D1709&gt;=1980),"80",AND(D1709&lt;2000,D1709&gt;=1990),"90",AND(D1709&lt;2010,D1709&gt;=2000),"00",AND(D1709&lt;=2019,D1709&gt;=2010),"10"),"1908-1970")</f>
        <v>1908-1970</v>
      </c>
      <c r="F1709" s="3">
        <v>0.58333333333333337</v>
      </c>
      <c r="G1709" t="s">
        <v>12435</v>
      </c>
      <c r="H1709" t="s">
        <v>7987</v>
      </c>
      <c r="I1709" t="s">
        <v>28931</v>
      </c>
      <c r="J1709" t="s">
        <v>12436</v>
      </c>
      <c r="K1709" t="s">
        <v>12437</v>
      </c>
      <c r="L1709" s="7" t="s">
        <v>12438</v>
      </c>
      <c r="M1709">
        <v>3136</v>
      </c>
      <c r="N1709">
        <v>17</v>
      </c>
      <c r="O1709">
        <v>0</v>
      </c>
      <c r="P1709">
        <v>17</v>
      </c>
      <c r="Q1709">
        <v>17</v>
      </c>
      <c r="R1709">
        <v>0</v>
      </c>
      <c r="S1709">
        <v>17</v>
      </c>
      <c r="T1709">
        <v>0</v>
      </c>
      <c r="U1709" t="s">
        <v>12439</v>
      </c>
      <c r="V1709">
        <f>Tabla1[[#This Row],[Aboard]]-Tabla1[[#This Row],[Fatalities]]</f>
        <v>0</v>
      </c>
      <c r="W1709" s="50">
        <f>IFERROR(Tabla1[[#This Row],[Fatalities]]/Tabla1[[#This Row],[Aboard]],0)</f>
        <v>1</v>
      </c>
      <c r="X1709" s="51" t="str" cm="1">
        <f t="array" ref="X1709">_xlfn.IFS(Tabla1[[#This Row],[Porcentaje de muertes]]&lt;0.35,"LEVE",AND(Tabla1[[#This Row],[Porcentaje de muertes]]&gt;0.35,Tabla1[[#This Row],[Porcentaje de muertes]]&lt;0.65),"MEDIO",Tabla1[[#This Row],[Porcentaje de muertes]]&gt;0.65,"GRAVE")</f>
        <v>GRAVE</v>
      </c>
    </row>
    <row r="1710" spans="2:24" x14ac:dyDescent="0.3">
      <c r="B1710" s="9">
        <v>1709</v>
      </c>
      <c r="C1710" s="49">
        <v>21225</v>
      </c>
      <c r="D1710" s="9">
        <f>YEAR(Tabla1[[#This Row],[Date]])</f>
        <v>1958</v>
      </c>
      <c r="E1710" s="9" t="str" cm="1">
        <f t="array" ref="E1710">IFERROR(_xlfn.IFS(AND(D1710&lt;1980,D1710&gt;=1970),"70",AND(D1710&lt;1990,D1710&gt;=1980),"80",AND(D1710&lt;2000,D1710&gt;=1990),"90",AND(D1710&lt;2010,D1710&gt;=2000),"00",AND(D1710&lt;=2019,D1710&gt;=2010),"10"),"1908-1970")</f>
        <v>1908-1970</v>
      </c>
      <c r="F1710" s="3">
        <v>0.25694444444444448</v>
      </c>
      <c r="G1710" t="s">
        <v>12440</v>
      </c>
      <c r="H1710" t="s">
        <v>7987</v>
      </c>
      <c r="I1710" t="s">
        <v>28931</v>
      </c>
      <c r="J1710" t="s">
        <v>12441</v>
      </c>
      <c r="K1710" t="s">
        <v>12442</v>
      </c>
      <c r="L1710" s="7" t="s">
        <v>12443</v>
      </c>
      <c r="M1710">
        <v>43990</v>
      </c>
      <c r="N1710">
        <v>19</v>
      </c>
      <c r="O1710">
        <v>12</v>
      </c>
      <c r="P1710">
        <v>7</v>
      </c>
      <c r="Q1710">
        <v>19</v>
      </c>
      <c r="R1710">
        <v>12</v>
      </c>
      <c r="S1710">
        <v>7</v>
      </c>
      <c r="T1710">
        <v>0</v>
      </c>
      <c r="U1710" t="s">
        <v>12444</v>
      </c>
      <c r="V1710">
        <f>Tabla1[[#This Row],[Aboard]]-Tabla1[[#This Row],[Fatalities]]</f>
        <v>0</v>
      </c>
      <c r="W1710" s="50">
        <f>IFERROR(Tabla1[[#This Row],[Fatalities]]/Tabla1[[#This Row],[Aboard]],0)</f>
        <v>1</v>
      </c>
      <c r="X1710" s="51" t="str" cm="1">
        <f t="array" ref="X1710">_xlfn.IFS(Tabla1[[#This Row],[Porcentaje de muertes]]&lt;0.35,"LEVE",AND(Tabla1[[#This Row],[Porcentaje de muertes]]&gt;0.35,Tabla1[[#This Row],[Porcentaje de muertes]]&lt;0.65),"MEDIO",Tabla1[[#This Row],[Porcentaje de muertes]]&gt;0.65,"GRAVE")</f>
        <v>GRAVE</v>
      </c>
    </row>
    <row r="1711" spans="2:24" x14ac:dyDescent="0.3">
      <c r="B1711" s="9">
        <v>1710</v>
      </c>
      <c r="C1711" s="49">
        <v>21225</v>
      </c>
      <c r="D1711" s="9">
        <f>YEAR(Tabla1[[#This Row],[Date]])</f>
        <v>1958</v>
      </c>
      <c r="E1711" s="9" t="str" cm="1">
        <f t="array" ref="E1711">IFERROR(_xlfn.IFS(AND(D1711&lt;1980,D1711&gt;=1970),"70",AND(D1711&lt;1990,D1711&gt;=1980),"80",AND(D1711&lt;2000,D1711&gt;=1990),"90",AND(D1711&lt;2010,D1711&gt;=2000),"00",AND(D1711&lt;=2019,D1711&gt;=2010),"10"),"1908-1970")</f>
        <v>1908-1970</v>
      </c>
      <c r="F1711" s="3">
        <v>0.2722222222222222</v>
      </c>
      <c r="G1711" t="s">
        <v>5174</v>
      </c>
      <c r="H1711" t="s">
        <v>12445</v>
      </c>
      <c r="I1711" t="s">
        <v>28931</v>
      </c>
      <c r="J1711" t="s">
        <v>12446</v>
      </c>
      <c r="K1711" t="s">
        <v>12447</v>
      </c>
      <c r="L1711" s="7" t="s">
        <v>12448</v>
      </c>
      <c r="M1711">
        <v>127</v>
      </c>
      <c r="N1711">
        <v>3</v>
      </c>
      <c r="O1711">
        <v>0</v>
      </c>
      <c r="P1711">
        <v>3</v>
      </c>
      <c r="Q1711">
        <v>3</v>
      </c>
      <c r="R1711">
        <v>0</v>
      </c>
      <c r="S1711">
        <v>3</v>
      </c>
      <c r="T1711">
        <v>4</v>
      </c>
      <c r="U1711" t="s">
        <v>12449</v>
      </c>
      <c r="V1711">
        <f>Tabla1[[#This Row],[Aboard]]-Tabla1[[#This Row],[Fatalities]]</f>
        <v>0</v>
      </c>
      <c r="W1711" s="50">
        <f>IFERROR(Tabla1[[#This Row],[Fatalities]]/Tabla1[[#This Row],[Aboard]],0)</f>
        <v>1</v>
      </c>
      <c r="X1711" s="51" t="str" cm="1">
        <f t="array" ref="X1711">_xlfn.IFS(Tabla1[[#This Row],[Porcentaje de muertes]]&lt;0.35,"LEVE",AND(Tabla1[[#This Row],[Porcentaje de muertes]]&gt;0.35,Tabla1[[#This Row],[Porcentaje de muertes]]&lt;0.65),"MEDIO",Tabla1[[#This Row],[Porcentaje de muertes]]&gt;0.65,"GRAVE")</f>
        <v>GRAVE</v>
      </c>
    </row>
    <row r="1712" spans="2:24" x14ac:dyDescent="0.3">
      <c r="B1712" s="9">
        <v>1711</v>
      </c>
      <c r="C1712" s="49">
        <v>21314</v>
      </c>
      <c r="D1712" s="9">
        <f>YEAR(Tabla1[[#This Row],[Date]])</f>
        <v>1958</v>
      </c>
      <c r="E1712" s="9" t="str" cm="1">
        <f t="array" ref="E1712">IFERROR(_xlfn.IFS(AND(D1712&lt;1980,D1712&gt;=1970),"70",AND(D1712&lt;1990,D1712&gt;=1980),"80",AND(D1712&lt;2000,D1712&gt;=1990),"90",AND(D1712&lt;2010,D1712&gt;=2000),"00",AND(D1712&lt;=2019,D1712&gt;=2010),"10"),"1908-1970")</f>
        <v>1908-1970</v>
      </c>
      <c r="F1712" s="3">
        <v>0.72916666666666663</v>
      </c>
      <c r="G1712" t="s">
        <v>12450</v>
      </c>
      <c r="H1712" t="s">
        <v>10442</v>
      </c>
      <c r="I1712" t="s">
        <v>28931</v>
      </c>
      <c r="J1712" t="s">
        <v>12451</v>
      </c>
      <c r="K1712" t="s">
        <v>12452</v>
      </c>
      <c r="L1712" s="7" t="s">
        <v>12453</v>
      </c>
      <c r="M1712">
        <v>30288</v>
      </c>
      <c r="N1712">
        <v>18</v>
      </c>
      <c r="O1712">
        <v>14</v>
      </c>
      <c r="P1712">
        <v>4</v>
      </c>
      <c r="Q1712">
        <v>14</v>
      </c>
      <c r="R1712">
        <v>12</v>
      </c>
      <c r="S1712">
        <v>2</v>
      </c>
      <c r="T1712">
        <v>0</v>
      </c>
      <c r="U1712" t="s">
        <v>12454</v>
      </c>
      <c r="V1712">
        <f>Tabla1[[#This Row],[Aboard]]-Tabla1[[#This Row],[Fatalities]]</f>
        <v>4</v>
      </c>
      <c r="W1712" s="50">
        <f>IFERROR(Tabla1[[#This Row],[Fatalities]]/Tabla1[[#This Row],[Aboard]],0)</f>
        <v>0.77777777777777779</v>
      </c>
      <c r="X1712" s="51" t="str" cm="1">
        <f t="array" ref="X1712">_xlfn.IFS(Tabla1[[#This Row],[Porcentaje de muertes]]&lt;0.35,"LEVE",AND(Tabla1[[#This Row],[Porcentaje de muertes]]&gt;0.35,Tabla1[[#This Row],[Porcentaje de muertes]]&lt;0.65),"MEDIO",Tabla1[[#This Row],[Porcentaje de muertes]]&gt;0.65,"GRAVE")</f>
        <v>GRAVE</v>
      </c>
    </row>
    <row r="1713" spans="2:24" x14ac:dyDescent="0.3">
      <c r="B1713" s="9">
        <v>1712</v>
      </c>
      <c r="C1713" s="49">
        <v>21375</v>
      </c>
      <c r="D1713" s="9">
        <f>YEAR(Tabla1[[#This Row],[Date]])</f>
        <v>1958</v>
      </c>
      <c r="E1713" s="9" t="str" cm="1">
        <f t="array" ref="E1713">IFERROR(_xlfn.IFS(AND(D1713&lt;1980,D1713&gt;=1970),"70",AND(D1713&lt;1990,D1713&gt;=1980),"80",AND(D1713&lt;2000,D1713&gt;=1990),"90",AND(D1713&lt;2010,D1713&gt;=2000),"00",AND(D1713&lt;=2019,D1713&gt;=2010),"10"),"1908-1970")</f>
        <v>1908-1970</v>
      </c>
      <c r="F1713" s="3">
        <v>0.13749999999999998</v>
      </c>
      <c r="G1713" t="s">
        <v>12455</v>
      </c>
      <c r="H1713" t="s">
        <v>6541</v>
      </c>
      <c r="I1713">
        <v>164</v>
      </c>
      <c r="J1713" t="s">
        <v>12456</v>
      </c>
      <c r="K1713" t="s">
        <v>6541</v>
      </c>
      <c r="L1713" s="7" t="s">
        <v>12457</v>
      </c>
      <c r="M1713">
        <v>7342304</v>
      </c>
      <c r="N1713">
        <v>27</v>
      </c>
      <c r="O1713">
        <v>22</v>
      </c>
      <c r="P1713">
        <v>5</v>
      </c>
      <c r="Q1713">
        <v>27</v>
      </c>
      <c r="R1713">
        <v>22</v>
      </c>
      <c r="S1713">
        <v>5</v>
      </c>
      <c r="T1713">
        <v>0</v>
      </c>
      <c r="U1713" t="s">
        <v>12458</v>
      </c>
      <c r="V1713">
        <f>Tabla1[[#This Row],[Aboard]]-Tabla1[[#This Row],[Fatalities]]</f>
        <v>0</v>
      </c>
      <c r="W1713" s="50">
        <f>IFERROR(Tabla1[[#This Row],[Fatalities]]/Tabla1[[#This Row],[Aboard]],0)</f>
        <v>1</v>
      </c>
      <c r="X1713" s="51" t="str" cm="1">
        <f t="array" ref="X1713">_xlfn.IFS(Tabla1[[#This Row],[Porcentaje de muertes]]&lt;0.35,"LEVE",AND(Tabla1[[#This Row],[Porcentaje de muertes]]&gt;0.35,Tabla1[[#This Row],[Porcentaje de muertes]]&lt;0.65),"MEDIO",Tabla1[[#This Row],[Porcentaje de muertes]]&gt;0.65,"GRAVE")</f>
        <v>GRAVE</v>
      </c>
    </row>
    <row r="1714" spans="2:24" x14ac:dyDescent="0.3">
      <c r="B1714" s="9">
        <v>1713</v>
      </c>
      <c r="C1714" s="49">
        <v>21406</v>
      </c>
      <c r="D1714" s="9">
        <f>YEAR(Tabla1[[#This Row],[Date]])</f>
        <v>1958</v>
      </c>
      <c r="E1714" s="9" t="str" cm="1">
        <f t="array" ref="E1714">IFERROR(_xlfn.IFS(AND(D1714&lt;1980,D1714&gt;=1970),"70",AND(D1714&lt;1990,D1714&gt;=1980),"80",AND(D1714&lt;2000,D1714&gt;=1990),"90",AND(D1714&lt;2010,D1714&gt;=2000),"00",AND(D1714&lt;=2019,D1714&gt;=2010),"10"),"1908-1970")</f>
        <v>1908-1970</v>
      </c>
      <c r="F1714" s="3">
        <v>0.80555555555555547</v>
      </c>
      <c r="G1714" t="s">
        <v>12459</v>
      </c>
      <c r="H1714" t="s">
        <v>10664</v>
      </c>
      <c r="I1714" t="s">
        <v>28931</v>
      </c>
      <c r="J1714" t="s">
        <v>6190</v>
      </c>
      <c r="K1714" t="s">
        <v>12460</v>
      </c>
      <c r="L1714" s="7" t="s">
        <v>12461</v>
      </c>
      <c r="M1714" t="s">
        <v>12462</v>
      </c>
      <c r="N1714">
        <v>16</v>
      </c>
      <c r="O1714">
        <v>0</v>
      </c>
      <c r="P1714">
        <v>16</v>
      </c>
      <c r="Q1714">
        <v>13</v>
      </c>
      <c r="R1714">
        <v>0</v>
      </c>
      <c r="S1714">
        <v>13</v>
      </c>
      <c r="T1714">
        <v>0</v>
      </c>
      <c r="U1714" t="s">
        <v>12463</v>
      </c>
      <c r="V1714">
        <f>Tabla1[[#This Row],[Aboard]]-Tabla1[[#This Row],[Fatalities]]</f>
        <v>3</v>
      </c>
      <c r="W1714" s="50">
        <f>IFERROR(Tabla1[[#This Row],[Fatalities]]/Tabla1[[#This Row],[Aboard]],0)</f>
        <v>0.8125</v>
      </c>
      <c r="X1714" s="51" t="str" cm="1">
        <f t="array" ref="X1714">_xlfn.IFS(Tabla1[[#This Row],[Porcentaje de muertes]]&lt;0.35,"LEVE",AND(Tabla1[[#This Row],[Porcentaje de muertes]]&gt;0.35,Tabla1[[#This Row],[Porcentaje de muertes]]&lt;0.65),"MEDIO",Tabla1[[#This Row],[Porcentaje de muertes]]&gt;0.65,"GRAVE")</f>
        <v>GRAVE</v>
      </c>
    </row>
    <row r="1715" spans="2:24" x14ac:dyDescent="0.3">
      <c r="B1715" s="9">
        <v>1714</v>
      </c>
      <c r="C1715" s="49">
        <v>21437</v>
      </c>
      <c r="D1715" s="9">
        <f>YEAR(Tabla1[[#This Row],[Date]])</f>
        <v>1958</v>
      </c>
      <c r="E1715" s="9" t="str" cm="1">
        <f t="array" ref="E1715">IFERROR(_xlfn.IFS(AND(D1715&lt;1980,D1715&gt;=1970),"70",AND(D1715&lt;1990,D1715&gt;=1980),"80",AND(D1715&lt;2000,D1715&gt;=1990),"90",AND(D1715&lt;2010,D1715&gt;=2000),"00",AND(D1715&lt;=2019,D1715&gt;=2010),"10"),"1908-1970")</f>
        <v>1908-1970</v>
      </c>
      <c r="F1715" s="3" t="s">
        <v>28931</v>
      </c>
      <c r="G1715" t="s">
        <v>12464</v>
      </c>
      <c r="H1715" t="s">
        <v>10878</v>
      </c>
      <c r="I1715" t="s">
        <v>28931</v>
      </c>
      <c r="J1715" t="s">
        <v>12465</v>
      </c>
      <c r="K1715" t="s">
        <v>12466</v>
      </c>
      <c r="L1715" s="7" t="s">
        <v>12467</v>
      </c>
      <c r="M1715">
        <v>4822</v>
      </c>
      <c r="N1715">
        <v>8</v>
      </c>
      <c r="O1715">
        <v>2</v>
      </c>
      <c r="P1715">
        <v>6</v>
      </c>
      <c r="Q1715">
        <v>8</v>
      </c>
      <c r="R1715">
        <v>2</v>
      </c>
      <c r="S1715">
        <v>6</v>
      </c>
      <c r="T1715">
        <v>0</v>
      </c>
      <c r="U1715" t="s">
        <v>12468</v>
      </c>
      <c r="V1715">
        <f>Tabla1[[#This Row],[Aboard]]-Tabla1[[#This Row],[Fatalities]]</f>
        <v>0</v>
      </c>
      <c r="W1715" s="50">
        <f>IFERROR(Tabla1[[#This Row],[Fatalities]]/Tabla1[[#This Row],[Aboard]],0)</f>
        <v>1</v>
      </c>
      <c r="X1715" s="51" t="str" cm="1">
        <f t="array" ref="X1715">_xlfn.IFS(Tabla1[[#This Row],[Porcentaje de muertes]]&lt;0.35,"LEVE",AND(Tabla1[[#This Row],[Porcentaje de muertes]]&gt;0.35,Tabla1[[#This Row],[Porcentaje de muertes]]&lt;0.65),"MEDIO",Tabla1[[#This Row],[Porcentaje de muertes]]&gt;0.65,"GRAVE")</f>
        <v>GRAVE</v>
      </c>
    </row>
    <row r="1716" spans="2:24" x14ac:dyDescent="0.3">
      <c r="B1716" s="9">
        <v>1715</v>
      </c>
      <c r="C1716" s="49">
        <v>21447</v>
      </c>
      <c r="D1716" s="9">
        <f>YEAR(Tabla1[[#This Row],[Date]])</f>
        <v>1958</v>
      </c>
      <c r="E1716" s="9" t="str" cm="1">
        <f t="array" ref="E1716">IFERROR(_xlfn.IFS(AND(D1716&lt;1980,D1716&gt;=1970),"70",AND(D1716&lt;1990,D1716&gt;=1980),"80",AND(D1716&lt;2000,D1716&gt;=1990),"90",AND(D1716&lt;2010,D1716&gt;=2000),"00",AND(D1716&lt;=2019,D1716&gt;=2010),"10"),"1908-1970")</f>
        <v>1908-1970</v>
      </c>
      <c r="F1716" s="3" t="s">
        <v>28931</v>
      </c>
      <c r="G1716" t="s">
        <v>12469</v>
      </c>
      <c r="H1716" t="s">
        <v>7987</v>
      </c>
      <c r="I1716" t="s">
        <v>28931</v>
      </c>
      <c r="J1716" t="s">
        <v>12470</v>
      </c>
      <c r="K1716" t="s">
        <v>12471</v>
      </c>
      <c r="L1716" s="7" t="s">
        <v>12472</v>
      </c>
      <c r="M1716">
        <v>3134</v>
      </c>
      <c r="N1716">
        <v>15</v>
      </c>
      <c r="O1716">
        <v>0</v>
      </c>
      <c r="P1716">
        <v>15</v>
      </c>
      <c r="Q1716">
        <v>15</v>
      </c>
      <c r="R1716">
        <v>0</v>
      </c>
      <c r="S1716">
        <v>15</v>
      </c>
      <c r="T1716">
        <v>0</v>
      </c>
      <c r="U1716" t="s">
        <v>12473</v>
      </c>
      <c r="V1716">
        <f>Tabla1[[#This Row],[Aboard]]-Tabla1[[#This Row],[Fatalities]]</f>
        <v>0</v>
      </c>
      <c r="W1716" s="50">
        <f>IFERROR(Tabla1[[#This Row],[Fatalities]]/Tabla1[[#This Row],[Aboard]],0)</f>
        <v>1</v>
      </c>
      <c r="X1716" s="51" t="str" cm="1">
        <f t="array" ref="X1716">_xlfn.IFS(Tabla1[[#This Row],[Porcentaje de muertes]]&lt;0.35,"LEVE",AND(Tabla1[[#This Row],[Porcentaje de muertes]]&gt;0.35,Tabla1[[#This Row],[Porcentaje de muertes]]&lt;0.65),"MEDIO",Tabla1[[#This Row],[Porcentaje de muertes]]&gt;0.65,"GRAVE")</f>
        <v>GRAVE</v>
      </c>
    </row>
    <row r="1717" spans="2:24" x14ac:dyDescent="0.3">
      <c r="B1717" s="9">
        <v>1716</v>
      </c>
      <c r="C1717" s="49">
        <v>21447</v>
      </c>
      <c r="D1717" s="9">
        <f>YEAR(Tabla1[[#This Row],[Date]])</f>
        <v>1958</v>
      </c>
      <c r="E1717" s="9" t="str" cm="1">
        <f t="array" ref="E1717">IFERROR(_xlfn.IFS(AND(D1717&lt;1980,D1717&gt;=1970),"70",AND(D1717&lt;1990,D1717&gt;=1980),"80",AND(D1717&lt;2000,D1717&gt;=1990),"90",AND(D1717&lt;2010,D1717&gt;=2000),"00",AND(D1717&lt;=2019,D1717&gt;=2010),"10"),"1908-1970")</f>
        <v>1908-1970</v>
      </c>
      <c r="F1717" s="3">
        <v>0.67708333333333337</v>
      </c>
      <c r="G1717" t="s">
        <v>12474</v>
      </c>
      <c r="H1717" t="s">
        <v>6541</v>
      </c>
      <c r="I1717" t="s">
        <v>28931</v>
      </c>
      <c r="J1717" t="s">
        <v>12475</v>
      </c>
      <c r="K1717" t="s">
        <v>9305</v>
      </c>
      <c r="L1717" s="7" t="s">
        <v>12476</v>
      </c>
      <c r="M1717" t="s">
        <v>12477</v>
      </c>
      <c r="N1717">
        <v>28</v>
      </c>
      <c r="O1717">
        <v>24</v>
      </c>
      <c r="P1717">
        <v>4</v>
      </c>
      <c r="Q1717">
        <v>28</v>
      </c>
      <c r="R1717">
        <v>24</v>
      </c>
      <c r="S1717">
        <v>4</v>
      </c>
      <c r="T1717">
        <v>0</v>
      </c>
      <c r="U1717" t="s">
        <v>12478</v>
      </c>
      <c r="V1717">
        <f>Tabla1[[#This Row],[Aboard]]-Tabla1[[#This Row],[Fatalities]]</f>
        <v>0</v>
      </c>
      <c r="W1717" s="50">
        <f>IFERROR(Tabla1[[#This Row],[Fatalities]]/Tabla1[[#This Row],[Aboard]],0)</f>
        <v>1</v>
      </c>
      <c r="X1717" s="51" t="str" cm="1">
        <f t="array" ref="X1717">_xlfn.IFS(Tabla1[[#This Row],[Porcentaje de muertes]]&lt;0.35,"LEVE",AND(Tabla1[[#This Row],[Porcentaje de muertes]]&gt;0.35,Tabla1[[#This Row],[Porcentaje de muertes]]&lt;0.65),"MEDIO",Tabla1[[#This Row],[Porcentaje de muertes]]&gt;0.65,"GRAVE")</f>
        <v>GRAVE</v>
      </c>
    </row>
    <row r="1718" spans="2:24" x14ac:dyDescent="0.3">
      <c r="B1718" s="9">
        <v>1717</v>
      </c>
      <c r="C1718" s="49">
        <v>21457</v>
      </c>
      <c r="D1718" s="9">
        <f>YEAR(Tabla1[[#This Row],[Date]])</f>
        <v>1958</v>
      </c>
      <c r="E1718" s="9" t="str" cm="1">
        <f t="array" ref="E1718">IFERROR(_xlfn.IFS(AND(D1718&lt;1980,D1718&gt;=1970),"70",AND(D1718&lt;1990,D1718&gt;=1980),"80",AND(D1718&lt;2000,D1718&gt;=1990),"90",AND(D1718&lt;2010,D1718&gt;=2000),"00",AND(D1718&lt;=2019,D1718&gt;=2010),"10"),"1908-1970")</f>
        <v>1908-1970</v>
      </c>
      <c r="F1718" s="3" t="s">
        <v>28931</v>
      </c>
      <c r="G1718" t="s">
        <v>5321</v>
      </c>
      <c r="H1718" t="s">
        <v>12479</v>
      </c>
      <c r="I1718" t="s">
        <v>28931</v>
      </c>
      <c r="J1718" t="s">
        <v>12480</v>
      </c>
      <c r="K1718" t="s">
        <v>8765</v>
      </c>
      <c r="L1718" s="7" t="s">
        <v>12481</v>
      </c>
      <c r="M1718">
        <v>1307</v>
      </c>
      <c r="N1718">
        <v>5</v>
      </c>
      <c r="O1718">
        <v>0</v>
      </c>
      <c r="P1718">
        <v>5</v>
      </c>
      <c r="Q1718">
        <v>5</v>
      </c>
      <c r="R1718">
        <v>0</v>
      </c>
      <c r="S1718">
        <v>5</v>
      </c>
      <c r="T1718">
        <v>0</v>
      </c>
      <c r="U1718" t="s">
        <v>12482</v>
      </c>
      <c r="V1718">
        <f>Tabla1[[#This Row],[Aboard]]-Tabla1[[#This Row],[Fatalities]]</f>
        <v>0</v>
      </c>
      <c r="W1718" s="50">
        <f>IFERROR(Tabla1[[#This Row],[Fatalities]]/Tabla1[[#This Row],[Aboard]],0)</f>
        <v>1</v>
      </c>
      <c r="X1718" s="51" t="str" cm="1">
        <f t="array" ref="X1718">_xlfn.IFS(Tabla1[[#This Row],[Porcentaje de muertes]]&lt;0.35,"LEVE",AND(Tabla1[[#This Row],[Porcentaje de muertes]]&gt;0.35,Tabla1[[#This Row],[Porcentaje de muertes]]&lt;0.65),"MEDIO",Tabla1[[#This Row],[Porcentaje de muertes]]&gt;0.65,"GRAVE")</f>
        <v>GRAVE</v>
      </c>
    </row>
    <row r="1719" spans="2:24" x14ac:dyDescent="0.3">
      <c r="B1719" s="9">
        <v>1718</v>
      </c>
      <c r="C1719" s="49">
        <v>21438</v>
      </c>
      <c r="D1719" s="9">
        <f>YEAR(Tabla1[[#This Row],[Date]])</f>
        <v>1958</v>
      </c>
      <c r="E1719" s="9" t="str" cm="1">
        <f t="array" ref="E1719">IFERROR(_xlfn.IFS(AND(D1719&lt;1980,D1719&gt;=1970),"70",AND(D1719&lt;1990,D1719&gt;=1980),"80",AND(D1719&lt;2000,D1719&gt;=1990),"90",AND(D1719&lt;2010,D1719&gt;=2000),"00",AND(D1719&lt;=2019,D1719&gt;=2010),"10"),"1908-1970")</f>
        <v>1908-1970</v>
      </c>
      <c r="F1719" s="3">
        <v>0.76736111111111116</v>
      </c>
      <c r="G1719" t="s">
        <v>12483</v>
      </c>
      <c r="H1719" t="s">
        <v>7987</v>
      </c>
      <c r="I1719" t="s">
        <v>28931</v>
      </c>
      <c r="J1719" t="s">
        <v>12484</v>
      </c>
      <c r="K1719" t="s">
        <v>12485</v>
      </c>
      <c r="L1719" s="7" t="s">
        <v>12486</v>
      </c>
      <c r="M1719">
        <v>20182</v>
      </c>
      <c r="N1719">
        <v>19</v>
      </c>
      <c r="O1719">
        <v>14</v>
      </c>
      <c r="P1719">
        <v>5</v>
      </c>
      <c r="Q1719">
        <v>19</v>
      </c>
      <c r="R1719">
        <v>14</v>
      </c>
      <c r="S1719">
        <v>5</v>
      </c>
      <c r="T1719">
        <v>0</v>
      </c>
      <c r="U1719" t="s">
        <v>12487</v>
      </c>
      <c r="V1719">
        <f>Tabla1[[#This Row],[Aboard]]-Tabla1[[#This Row],[Fatalities]]</f>
        <v>0</v>
      </c>
      <c r="W1719" s="50">
        <f>IFERROR(Tabla1[[#This Row],[Fatalities]]/Tabla1[[#This Row],[Aboard]],0)</f>
        <v>1</v>
      </c>
      <c r="X1719" s="51" t="str" cm="1">
        <f t="array" ref="X1719">_xlfn.IFS(Tabla1[[#This Row],[Porcentaje de muertes]]&lt;0.35,"LEVE",AND(Tabla1[[#This Row],[Porcentaje de muertes]]&gt;0.35,Tabla1[[#This Row],[Porcentaje de muertes]]&lt;0.65),"MEDIO",Tabla1[[#This Row],[Porcentaje de muertes]]&gt;0.65,"GRAVE")</f>
        <v>GRAVE</v>
      </c>
    </row>
    <row r="1720" spans="2:24" x14ac:dyDescent="0.3">
      <c r="B1720" s="9">
        <v>1719</v>
      </c>
      <c r="C1720" s="49">
        <v>21472</v>
      </c>
      <c r="D1720" s="9">
        <f>YEAR(Tabla1[[#This Row],[Date]])</f>
        <v>1958</v>
      </c>
      <c r="E1720" s="9" t="str" cm="1">
        <f t="array" ref="E1720">IFERROR(_xlfn.IFS(AND(D1720&lt;1980,D1720&gt;=1970),"70",AND(D1720&lt;1990,D1720&gt;=1980),"80",AND(D1720&lt;2000,D1720&gt;=1990),"90",AND(D1720&lt;2010,D1720&gt;=2000),"00",AND(D1720&lt;=2019,D1720&gt;=2010),"10"),"1908-1970")</f>
        <v>1908-1970</v>
      </c>
      <c r="F1720" s="3">
        <v>1.5277777777777777E-2</v>
      </c>
      <c r="G1720" t="s">
        <v>12488</v>
      </c>
      <c r="H1720" t="s">
        <v>9074</v>
      </c>
      <c r="I1720" t="s">
        <v>28931</v>
      </c>
      <c r="J1720" t="s">
        <v>12489</v>
      </c>
      <c r="K1720" t="s">
        <v>12490</v>
      </c>
      <c r="L1720" s="7" t="s">
        <v>12491</v>
      </c>
      <c r="M1720">
        <v>4575</v>
      </c>
      <c r="N1720">
        <v>23</v>
      </c>
      <c r="O1720">
        <v>17</v>
      </c>
      <c r="P1720">
        <v>6</v>
      </c>
      <c r="Q1720">
        <v>23</v>
      </c>
      <c r="R1720">
        <v>17</v>
      </c>
      <c r="S1720">
        <v>6</v>
      </c>
      <c r="T1720">
        <v>0</v>
      </c>
      <c r="U1720" t="s">
        <v>12492</v>
      </c>
      <c r="V1720">
        <f>Tabla1[[#This Row],[Aboard]]-Tabla1[[#This Row],[Fatalities]]</f>
        <v>0</v>
      </c>
      <c r="W1720" s="50">
        <f>IFERROR(Tabla1[[#This Row],[Fatalities]]/Tabla1[[#This Row],[Aboard]],0)</f>
        <v>1</v>
      </c>
      <c r="X1720" s="51" t="str" cm="1">
        <f t="array" ref="X1720">_xlfn.IFS(Tabla1[[#This Row],[Porcentaje de muertes]]&lt;0.35,"LEVE",AND(Tabla1[[#This Row],[Porcentaje de muertes]]&gt;0.35,Tabla1[[#This Row],[Porcentaje de muertes]]&lt;0.65),"MEDIO",Tabla1[[#This Row],[Porcentaje de muertes]]&gt;0.65,"GRAVE")</f>
        <v>GRAVE</v>
      </c>
    </row>
    <row r="1721" spans="2:24" x14ac:dyDescent="0.3">
      <c r="B1721" s="9">
        <v>1720</v>
      </c>
      <c r="C1721" s="49">
        <v>21473</v>
      </c>
      <c r="D1721" s="9">
        <f>YEAR(Tabla1[[#This Row],[Date]])</f>
        <v>1958</v>
      </c>
      <c r="E1721" s="9" t="str" cm="1">
        <f t="array" ref="E1721">IFERROR(_xlfn.IFS(AND(D1721&lt;1980,D1721&gt;=1970),"70",AND(D1721&lt;1990,D1721&gt;=1980),"80",AND(D1721&lt;2000,D1721&gt;=1990),"90",AND(D1721&lt;2010,D1721&gt;=2000),"00",AND(D1721&lt;=2019,D1721&gt;=2010),"10"),"1908-1970")</f>
        <v>1908-1970</v>
      </c>
      <c r="F1721" s="3">
        <v>0.72916666666666663</v>
      </c>
      <c r="G1721" t="s">
        <v>12493</v>
      </c>
      <c r="H1721" t="s">
        <v>12494</v>
      </c>
      <c r="I1721" t="s">
        <v>28931</v>
      </c>
      <c r="J1721" t="s">
        <v>12495</v>
      </c>
      <c r="K1721" t="s">
        <v>8105</v>
      </c>
      <c r="L1721" s="7" t="s">
        <v>12496</v>
      </c>
      <c r="M1721">
        <v>13839</v>
      </c>
      <c r="N1721">
        <v>20</v>
      </c>
      <c r="O1721">
        <v>17</v>
      </c>
      <c r="P1721">
        <v>3</v>
      </c>
      <c r="Q1721">
        <v>20</v>
      </c>
      <c r="R1721">
        <v>17</v>
      </c>
      <c r="S1721">
        <v>3</v>
      </c>
      <c r="T1721">
        <v>0</v>
      </c>
      <c r="U1721" t="s">
        <v>12497</v>
      </c>
      <c r="V1721">
        <f>Tabla1[[#This Row],[Aboard]]-Tabla1[[#This Row],[Fatalities]]</f>
        <v>0</v>
      </c>
      <c r="W1721" s="50">
        <f>IFERROR(Tabla1[[#This Row],[Fatalities]]/Tabla1[[#This Row],[Aboard]],0)</f>
        <v>1</v>
      </c>
      <c r="X1721" s="51" t="str" cm="1">
        <f t="array" ref="X1721">_xlfn.IFS(Tabla1[[#This Row],[Porcentaje de muertes]]&lt;0.35,"LEVE",AND(Tabla1[[#This Row],[Porcentaje de muertes]]&gt;0.35,Tabla1[[#This Row],[Porcentaje de muertes]]&lt;0.65),"MEDIO",Tabla1[[#This Row],[Porcentaje de muertes]]&gt;0.65,"GRAVE")</f>
        <v>GRAVE</v>
      </c>
    </row>
    <row r="1722" spans="2:24" x14ac:dyDescent="0.3">
      <c r="B1722" s="9">
        <v>1721</v>
      </c>
      <c r="C1722" s="49">
        <v>21475</v>
      </c>
      <c r="D1722" s="9">
        <f>YEAR(Tabla1[[#This Row],[Date]])</f>
        <v>1958</v>
      </c>
      <c r="E1722" s="9" t="str" cm="1">
        <f t="array" ref="E1722">IFERROR(_xlfn.IFS(AND(D1722&lt;1980,D1722&gt;=1970),"70",AND(D1722&lt;1990,D1722&gt;=1980),"80",AND(D1722&lt;2000,D1722&gt;=1990),"90",AND(D1722&lt;2010,D1722&gt;=2000),"00",AND(D1722&lt;=2019,D1722&gt;=2010),"10"),"1908-1970")</f>
        <v>1908-1970</v>
      </c>
      <c r="F1722" s="3">
        <v>0.89583333333333337</v>
      </c>
      <c r="G1722" t="s">
        <v>12498</v>
      </c>
      <c r="H1722" t="s">
        <v>6541</v>
      </c>
      <c r="I1722" t="s">
        <v>28931</v>
      </c>
      <c r="J1722" t="s">
        <v>12499</v>
      </c>
      <c r="K1722" t="s">
        <v>12500</v>
      </c>
      <c r="L1722" s="7" t="s">
        <v>12501</v>
      </c>
      <c r="M1722">
        <v>86601002</v>
      </c>
      <c r="N1722">
        <v>80</v>
      </c>
      <c r="O1722">
        <v>71</v>
      </c>
      <c r="P1722">
        <v>9</v>
      </c>
      <c r="Q1722">
        <v>80</v>
      </c>
      <c r="R1722">
        <v>71</v>
      </c>
      <c r="S1722">
        <v>9</v>
      </c>
      <c r="T1722">
        <v>0</v>
      </c>
      <c r="U1722" t="s">
        <v>12502</v>
      </c>
      <c r="V1722">
        <f>Tabla1[[#This Row],[Aboard]]-Tabla1[[#This Row],[Fatalities]]</f>
        <v>0</v>
      </c>
      <c r="W1722" s="50">
        <f>IFERROR(Tabla1[[#This Row],[Fatalities]]/Tabla1[[#This Row],[Aboard]],0)</f>
        <v>1</v>
      </c>
      <c r="X1722" s="51" t="str" cm="1">
        <f t="array" ref="X1722">_xlfn.IFS(Tabla1[[#This Row],[Porcentaje de muertes]]&lt;0.35,"LEVE",AND(Tabla1[[#This Row],[Porcentaje de muertes]]&gt;0.35,Tabla1[[#This Row],[Porcentaje de muertes]]&lt;0.65),"MEDIO",Tabla1[[#This Row],[Porcentaje de muertes]]&gt;0.65,"GRAVE")</f>
        <v>GRAVE</v>
      </c>
    </row>
    <row r="1723" spans="2:24" x14ac:dyDescent="0.3">
      <c r="B1723" s="9">
        <v>1722</v>
      </c>
      <c r="C1723" s="49">
        <v>21476</v>
      </c>
      <c r="D1723" s="9">
        <f>YEAR(Tabla1[[#This Row],[Date]])</f>
        <v>1958</v>
      </c>
      <c r="E1723" s="9" t="str" cm="1">
        <f t="array" ref="E1723">IFERROR(_xlfn.IFS(AND(D1723&lt;1980,D1723&gt;=1970),"70",AND(D1723&lt;1990,D1723&gt;=1980),"80",AND(D1723&lt;2000,D1723&gt;=1990),"90",AND(D1723&lt;2010,D1723&gt;=2000),"00",AND(D1723&lt;=2019,D1723&gt;=2010),"10"),"1908-1970")</f>
        <v>1908-1970</v>
      </c>
      <c r="F1723" s="3" t="s">
        <v>28931</v>
      </c>
      <c r="G1723" t="s">
        <v>12503</v>
      </c>
      <c r="H1723" t="s">
        <v>5027</v>
      </c>
      <c r="I1723" t="s">
        <v>28931</v>
      </c>
      <c r="J1723" t="s">
        <v>12504</v>
      </c>
      <c r="K1723" t="s">
        <v>12505</v>
      </c>
      <c r="L1723" s="7">
        <v>141294</v>
      </c>
      <c r="M1723">
        <v>4418</v>
      </c>
      <c r="N1723">
        <v>29</v>
      </c>
      <c r="O1723" t="s">
        <v>5038</v>
      </c>
      <c r="P1723" t="s">
        <v>5038</v>
      </c>
      <c r="Q1723">
        <v>11</v>
      </c>
      <c r="R1723" t="s">
        <v>5038</v>
      </c>
      <c r="S1723" t="s">
        <v>5038</v>
      </c>
      <c r="T1723">
        <v>0</v>
      </c>
      <c r="U1723" t="s">
        <v>12506</v>
      </c>
      <c r="V1723">
        <f>Tabla1[[#This Row],[Aboard]]-Tabla1[[#This Row],[Fatalities]]</f>
        <v>18</v>
      </c>
      <c r="W1723" s="50">
        <f>IFERROR(Tabla1[[#This Row],[Fatalities]]/Tabla1[[#This Row],[Aboard]],0)</f>
        <v>0.37931034482758619</v>
      </c>
      <c r="X1723" s="51" t="str" cm="1">
        <f t="array" ref="X1723">_xlfn.IFS(Tabla1[[#This Row],[Porcentaje de muertes]]&lt;0.35,"LEVE",AND(Tabla1[[#This Row],[Porcentaje de muertes]]&gt;0.35,Tabla1[[#This Row],[Porcentaje de muertes]]&lt;0.65),"MEDIO",Tabla1[[#This Row],[Porcentaje de muertes]]&gt;0.65,"GRAVE")</f>
        <v>MEDIO</v>
      </c>
    </row>
    <row r="1724" spans="2:24" x14ac:dyDescent="0.3">
      <c r="B1724" s="9">
        <v>1723</v>
      </c>
      <c r="C1724" s="49">
        <v>21480</v>
      </c>
      <c r="D1724" s="9">
        <f>YEAR(Tabla1[[#This Row],[Date]])</f>
        <v>1958</v>
      </c>
      <c r="E1724" s="9" t="str" cm="1">
        <f t="array" ref="E1724">IFERROR(_xlfn.IFS(AND(D1724&lt;1980,D1724&gt;=1970),"70",AND(D1724&lt;1990,D1724&gt;=1980),"80",AND(D1724&lt;2000,D1724&gt;=1990),"90",AND(D1724&lt;2010,D1724&gt;=2000),"00",AND(D1724&lt;=2019,D1724&gt;=2010),"10"),"1908-1970")</f>
        <v>1908-1970</v>
      </c>
      <c r="F1724" s="3">
        <v>0.49305555555555558</v>
      </c>
      <c r="G1724" t="s">
        <v>12507</v>
      </c>
      <c r="H1724" t="s">
        <v>8721</v>
      </c>
      <c r="I1724">
        <v>142</v>
      </c>
      <c r="J1724" t="s">
        <v>12508</v>
      </c>
      <c r="K1724" t="s">
        <v>12509</v>
      </c>
      <c r="L1724" s="7" t="s">
        <v>12510</v>
      </c>
      <c r="M1724">
        <v>63</v>
      </c>
      <c r="N1724">
        <v>31</v>
      </c>
      <c r="O1724">
        <v>26</v>
      </c>
      <c r="P1724">
        <v>5</v>
      </c>
      <c r="Q1724">
        <v>31</v>
      </c>
      <c r="R1724">
        <v>26</v>
      </c>
      <c r="S1724">
        <v>5</v>
      </c>
      <c r="T1724">
        <v>0</v>
      </c>
      <c r="U1724" t="s">
        <v>12511</v>
      </c>
      <c r="V1724">
        <f>Tabla1[[#This Row],[Aboard]]-Tabla1[[#This Row],[Fatalities]]</f>
        <v>0</v>
      </c>
      <c r="W1724" s="50">
        <f>IFERROR(Tabla1[[#This Row],[Fatalities]]/Tabla1[[#This Row],[Aboard]],0)</f>
        <v>1</v>
      </c>
      <c r="X1724" s="51" t="str" cm="1">
        <f t="array" ref="X1724">_xlfn.IFS(Tabla1[[#This Row],[Porcentaje de muertes]]&lt;0.35,"LEVE",AND(Tabla1[[#This Row],[Porcentaje de muertes]]&gt;0.35,Tabla1[[#This Row],[Porcentaje de muertes]]&lt;0.65),"MEDIO",Tabla1[[#This Row],[Porcentaje de muertes]]&gt;0.65,"GRAVE")</f>
        <v>GRAVE</v>
      </c>
    </row>
    <row r="1725" spans="2:24" x14ac:dyDescent="0.3">
      <c r="B1725" s="9">
        <v>1724</v>
      </c>
      <c r="C1725" s="49">
        <v>21196</v>
      </c>
      <c r="D1725" s="9">
        <f>YEAR(Tabla1[[#This Row],[Date]])</f>
        <v>1958</v>
      </c>
      <c r="E1725" s="9" t="str" cm="1">
        <f t="array" ref="E1725">IFERROR(_xlfn.IFS(AND(D1725&lt;1980,D1725&gt;=1970),"70",AND(D1725&lt;1990,D1725&gt;=1980),"80",AND(D1725&lt;2000,D1725&gt;=1990),"90",AND(D1725&lt;2010,D1725&gt;=2000),"00",AND(D1725&lt;=2019,D1725&gt;=2010),"10"),"1908-1970")</f>
        <v>1908-1970</v>
      </c>
      <c r="F1725" s="3">
        <v>8.4027777777777771E-2</v>
      </c>
      <c r="G1725" t="s">
        <v>12512</v>
      </c>
      <c r="H1725" t="s">
        <v>6524</v>
      </c>
      <c r="I1725">
        <v>495</v>
      </c>
      <c r="J1725" t="s">
        <v>12513</v>
      </c>
      <c r="K1725" t="s">
        <v>12514</v>
      </c>
      <c r="L1725" s="7" t="s">
        <v>12515</v>
      </c>
      <c r="M1725">
        <v>91</v>
      </c>
      <c r="N1725">
        <v>20</v>
      </c>
      <c r="O1725">
        <v>16</v>
      </c>
      <c r="P1725">
        <v>4</v>
      </c>
      <c r="Q1725">
        <v>17</v>
      </c>
      <c r="R1725">
        <v>13</v>
      </c>
      <c r="S1725">
        <v>4</v>
      </c>
      <c r="T1725">
        <v>0</v>
      </c>
      <c r="U1725" t="s">
        <v>12516</v>
      </c>
      <c r="V1725">
        <f>Tabla1[[#This Row],[Aboard]]-Tabla1[[#This Row],[Fatalities]]</f>
        <v>3</v>
      </c>
      <c r="W1725" s="50">
        <f>IFERROR(Tabla1[[#This Row],[Fatalities]]/Tabla1[[#This Row],[Aboard]],0)</f>
        <v>0.85</v>
      </c>
      <c r="X1725" s="51" t="str" cm="1">
        <f t="array" ref="X1725">_xlfn.IFS(Tabla1[[#This Row],[Porcentaje de muertes]]&lt;0.35,"LEVE",AND(Tabla1[[#This Row],[Porcentaje de muertes]]&gt;0.35,Tabla1[[#This Row],[Porcentaje de muertes]]&lt;0.65),"MEDIO",Tabla1[[#This Row],[Porcentaje de muertes]]&gt;0.65,"GRAVE")</f>
        <v>GRAVE</v>
      </c>
    </row>
    <row r="1726" spans="2:24" x14ac:dyDescent="0.3">
      <c r="B1726" s="9">
        <v>1725</v>
      </c>
      <c r="C1726" s="49">
        <v>21255</v>
      </c>
      <c r="D1726" s="9">
        <f>YEAR(Tabla1[[#This Row],[Date]])</f>
        <v>1958</v>
      </c>
      <c r="E1726" s="9" t="str" cm="1">
        <f t="array" ref="E1726">IFERROR(_xlfn.IFS(AND(D1726&lt;1980,D1726&gt;=1970),"70",AND(D1726&lt;1990,D1726&gt;=1980),"80",AND(D1726&lt;2000,D1726&gt;=1990),"90",AND(D1726&lt;2010,D1726&gt;=2000),"00",AND(D1726&lt;=2019,D1726&gt;=2010),"10"),"1908-1970")</f>
        <v>1908-1970</v>
      </c>
      <c r="F1726" s="3">
        <v>0.83333333333333337</v>
      </c>
      <c r="G1726" t="s">
        <v>12517</v>
      </c>
      <c r="H1726" t="s">
        <v>12518</v>
      </c>
      <c r="I1726" t="s">
        <v>28931</v>
      </c>
      <c r="J1726" t="s">
        <v>12519</v>
      </c>
      <c r="K1726" t="s">
        <v>7934</v>
      </c>
      <c r="L1726" s="7" t="s">
        <v>12520</v>
      </c>
      <c r="M1726">
        <v>4345</v>
      </c>
      <c r="N1726">
        <v>8</v>
      </c>
      <c r="O1726">
        <v>4</v>
      </c>
      <c r="P1726">
        <v>4</v>
      </c>
      <c r="Q1726">
        <v>8</v>
      </c>
      <c r="R1726">
        <v>4</v>
      </c>
      <c r="S1726">
        <v>4</v>
      </c>
      <c r="T1726">
        <v>0</v>
      </c>
      <c r="U1726" t="s">
        <v>12521</v>
      </c>
      <c r="V1726">
        <f>Tabla1[[#This Row],[Aboard]]-Tabla1[[#This Row],[Fatalities]]</f>
        <v>0</v>
      </c>
      <c r="W1726" s="50">
        <f>IFERROR(Tabla1[[#This Row],[Fatalities]]/Tabla1[[#This Row],[Aboard]],0)</f>
        <v>1</v>
      </c>
      <c r="X1726" s="51" t="str" cm="1">
        <f t="array" ref="X1726">_xlfn.IFS(Tabla1[[#This Row],[Porcentaje de muertes]]&lt;0.35,"LEVE",AND(Tabla1[[#This Row],[Porcentaje de muertes]]&gt;0.35,Tabla1[[#This Row],[Porcentaje de muertes]]&lt;0.65),"MEDIO",Tabla1[[#This Row],[Porcentaje de muertes]]&gt;0.65,"GRAVE")</f>
        <v>GRAVE</v>
      </c>
    </row>
    <row r="1727" spans="2:24" x14ac:dyDescent="0.3">
      <c r="B1727" s="9">
        <v>1726</v>
      </c>
      <c r="C1727" s="49">
        <v>21408</v>
      </c>
      <c r="D1727" s="9">
        <f>YEAR(Tabla1[[#This Row],[Date]])</f>
        <v>1958</v>
      </c>
      <c r="E1727" s="9" t="str" cm="1">
        <f t="array" ref="E1727">IFERROR(_xlfn.IFS(AND(D1727&lt;1980,D1727&gt;=1970),"70",AND(D1727&lt;1990,D1727&gt;=1980),"80",AND(D1727&lt;2000,D1727&gt;=1990),"90",AND(D1727&lt;2010,D1727&gt;=2000),"00",AND(D1727&lt;=2019,D1727&gt;=2010),"10"),"1908-1970")</f>
        <v>1908-1970</v>
      </c>
      <c r="F1727" s="3" t="s">
        <v>28931</v>
      </c>
      <c r="G1727" t="s">
        <v>10510</v>
      </c>
      <c r="H1727" t="s">
        <v>12245</v>
      </c>
      <c r="I1727" t="s">
        <v>28931</v>
      </c>
      <c r="J1727" t="s">
        <v>12522</v>
      </c>
      <c r="K1727" t="s">
        <v>7057</v>
      </c>
      <c r="L1727" s="7" t="s">
        <v>12523</v>
      </c>
      <c r="M1727" t="s">
        <v>28931</v>
      </c>
      <c r="N1727">
        <v>3</v>
      </c>
      <c r="O1727">
        <v>0</v>
      </c>
      <c r="P1727">
        <v>3</v>
      </c>
      <c r="Q1727">
        <v>3</v>
      </c>
      <c r="R1727">
        <v>0</v>
      </c>
      <c r="S1727">
        <v>3</v>
      </c>
      <c r="T1727">
        <v>0</v>
      </c>
      <c r="U1727" t="s">
        <v>12524</v>
      </c>
      <c r="V1727">
        <f>Tabla1[[#This Row],[Aboard]]-Tabla1[[#This Row],[Fatalities]]</f>
        <v>0</v>
      </c>
      <c r="W1727" s="50">
        <f>IFERROR(Tabla1[[#This Row],[Fatalities]]/Tabla1[[#This Row],[Aboard]],0)</f>
        <v>1</v>
      </c>
      <c r="X1727" s="51" t="str" cm="1">
        <f t="array" ref="X1727">_xlfn.IFS(Tabla1[[#This Row],[Porcentaje de muertes]]&lt;0.35,"LEVE",AND(Tabla1[[#This Row],[Porcentaje de muertes]]&gt;0.35,Tabla1[[#This Row],[Porcentaje de muertes]]&lt;0.65),"MEDIO",Tabla1[[#This Row],[Porcentaje de muertes]]&gt;0.65,"GRAVE")</f>
        <v>GRAVE</v>
      </c>
    </row>
    <row r="1728" spans="2:24" x14ac:dyDescent="0.3">
      <c r="B1728" s="9">
        <v>1727</v>
      </c>
      <c r="C1728" s="49">
        <v>21439</v>
      </c>
      <c r="D1728" s="9">
        <f>YEAR(Tabla1[[#This Row],[Date]])</f>
        <v>1958</v>
      </c>
      <c r="E1728" s="9" t="str" cm="1">
        <f t="array" ref="E1728">IFERROR(_xlfn.IFS(AND(D1728&lt;1980,D1728&gt;=1970),"70",AND(D1728&lt;1990,D1728&gt;=1980),"80",AND(D1728&lt;2000,D1728&gt;=1990),"90",AND(D1728&lt;2010,D1728&gt;=2000),"00",AND(D1728&lt;=2019,D1728&gt;=2010),"10"),"1908-1970")</f>
        <v>1908-1970</v>
      </c>
      <c r="F1728" s="3">
        <v>0.55625000000000002</v>
      </c>
      <c r="G1728" t="s">
        <v>5231</v>
      </c>
      <c r="H1728" t="s">
        <v>12525</v>
      </c>
      <c r="I1728" t="s">
        <v>28931</v>
      </c>
      <c r="J1728" t="s">
        <v>12526</v>
      </c>
      <c r="K1728" t="s">
        <v>12527</v>
      </c>
      <c r="L1728" s="7" t="s">
        <v>12528</v>
      </c>
      <c r="M1728">
        <v>59144</v>
      </c>
      <c r="N1728">
        <v>36</v>
      </c>
      <c r="O1728">
        <v>30</v>
      </c>
      <c r="P1728">
        <v>6</v>
      </c>
      <c r="Q1728">
        <v>36</v>
      </c>
      <c r="R1728">
        <v>30</v>
      </c>
      <c r="S1728">
        <v>6</v>
      </c>
      <c r="T1728">
        <v>0</v>
      </c>
      <c r="U1728" t="s">
        <v>12529</v>
      </c>
      <c r="V1728">
        <f>Tabla1[[#This Row],[Aboard]]-Tabla1[[#This Row],[Fatalities]]</f>
        <v>0</v>
      </c>
      <c r="W1728" s="50">
        <f>IFERROR(Tabla1[[#This Row],[Fatalities]]/Tabla1[[#This Row],[Aboard]],0)</f>
        <v>1</v>
      </c>
      <c r="X1728" s="51" t="str" cm="1">
        <f t="array" ref="X1728">_xlfn.IFS(Tabla1[[#This Row],[Porcentaje de muertes]]&lt;0.35,"LEVE",AND(Tabla1[[#This Row],[Porcentaje de muertes]]&gt;0.35,Tabla1[[#This Row],[Porcentaje de muertes]]&lt;0.65),"MEDIO",Tabla1[[#This Row],[Porcentaje de muertes]]&gt;0.65,"GRAVE")</f>
        <v>GRAVE</v>
      </c>
    </row>
    <row r="1729" spans="2:24" x14ac:dyDescent="0.3">
      <c r="B1729" s="9">
        <v>1728</v>
      </c>
      <c r="C1729" s="49">
        <v>21505</v>
      </c>
      <c r="D1729" s="9">
        <f>YEAR(Tabla1[[#This Row],[Date]])</f>
        <v>1958</v>
      </c>
      <c r="E1729" s="9" t="str" cm="1">
        <f t="array" ref="E1729">IFERROR(_xlfn.IFS(AND(D1729&lt;1980,D1729&gt;=1970),"70",AND(D1729&lt;1990,D1729&gt;=1980),"80",AND(D1729&lt;2000,D1729&gt;=1990),"90",AND(D1729&lt;2010,D1729&gt;=2000),"00",AND(D1729&lt;=2019,D1729&gt;=2010),"10"),"1908-1970")</f>
        <v>1908-1970</v>
      </c>
      <c r="F1729" s="3" t="s">
        <v>28931</v>
      </c>
      <c r="G1729" t="s">
        <v>12530</v>
      </c>
      <c r="H1729" t="s">
        <v>12531</v>
      </c>
      <c r="I1729" t="s">
        <v>28931</v>
      </c>
      <c r="J1729" t="s">
        <v>12532</v>
      </c>
      <c r="K1729" t="s">
        <v>10927</v>
      </c>
      <c r="L1729" s="7" t="s">
        <v>12533</v>
      </c>
      <c r="M1729">
        <v>22480</v>
      </c>
      <c r="N1729">
        <v>2</v>
      </c>
      <c r="O1729">
        <v>0</v>
      </c>
      <c r="P1729">
        <v>2</v>
      </c>
      <c r="Q1729">
        <v>2</v>
      </c>
      <c r="R1729">
        <v>0</v>
      </c>
      <c r="S1729">
        <v>2</v>
      </c>
      <c r="T1729">
        <v>0</v>
      </c>
      <c r="U1729" t="s">
        <v>12534</v>
      </c>
      <c r="V1729">
        <f>Tabla1[[#This Row],[Aboard]]-Tabla1[[#This Row],[Fatalities]]</f>
        <v>0</v>
      </c>
      <c r="W1729" s="50">
        <f>IFERROR(Tabla1[[#This Row],[Fatalities]]/Tabla1[[#This Row],[Aboard]],0)</f>
        <v>1</v>
      </c>
      <c r="X1729" s="51" t="str" cm="1">
        <f t="array" ref="X1729">_xlfn.IFS(Tabla1[[#This Row],[Porcentaje de muertes]]&lt;0.35,"LEVE",AND(Tabla1[[#This Row],[Porcentaje de muertes]]&gt;0.35,Tabla1[[#This Row],[Porcentaje de muertes]]&lt;0.65),"MEDIO",Tabla1[[#This Row],[Porcentaje de muertes]]&gt;0.65,"GRAVE")</f>
        <v>GRAVE</v>
      </c>
    </row>
    <row r="1730" spans="2:24" x14ac:dyDescent="0.3">
      <c r="B1730" s="9">
        <v>1729</v>
      </c>
      <c r="C1730" s="49">
        <v>21287</v>
      </c>
      <c r="D1730" s="9">
        <f>YEAR(Tabla1[[#This Row],[Date]])</f>
        <v>1958</v>
      </c>
      <c r="E1730" s="9" t="str" cm="1">
        <f t="array" ref="E1730">IFERROR(_xlfn.IFS(AND(D1730&lt;1980,D1730&gt;=1970),"70",AND(D1730&lt;1990,D1730&gt;=1980),"80",AND(D1730&lt;2000,D1730&gt;=1990),"90",AND(D1730&lt;2010,D1730&gt;=2000),"00",AND(D1730&lt;=2019,D1730&gt;=2010),"10"),"1908-1970")</f>
        <v>1908-1970</v>
      </c>
      <c r="F1730" s="3">
        <v>0.71875</v>
      </c>
      <c r="G1730" t="s">
        <v>12535</v>
      </c>
      <c r="H1730" t="s">
        <v>11146</v>
      </c>
      <c r="I1730" t="s">
        <v>28931</v>
      </c>
      <c r="J1730" t="s">
        <v>12536</v>
      </c>
      <c r="K1730" t="s">
        <v>10590</v>
      </c>
      <c r="L1730" s="7" t="s">
        <v>12537</v>
      </c>
      <c r="M1730">
        <v>28</v>
      </c>
      <c r="N1730">
        <v>21</v>
      </c>
      <c r="O1730">
        <v>16</v>
      </c>
      <c r="P1730">
        <v>5</v>
      </c>
      <c r="Q1730">
        <v>21</v>
      </c>
      <c r="R1730">
        <v>16</v>
      </c>
      <c r="S1730">
        <v>5</v>
      </c>
      <c r="T1730">
        <v>0</v>
      </c>
      <c r="U1730" t="s">
        <v>12538</v>
      </c>
      <c r="V1730">
        <f>Tabla1[[#This Row],[Aboard]]-Tabla1[[#This Row],[Fatalities]]</f>
        <v>0</v>
      </c>
      <c r="W1730" s="50">
        <f>IFERROR(Tabla1[[#This Row],[Fatalities]]/Tabla1[[#This Row],[Aboard]],0)</f>
        <v>1</v>
      </c>
      <c r="X1730" s="51" t="str" cm="1">
        <f t="array" ref="X1730">_xlfn.IFS(Tabla1[[#This Row],[Porcentaje de muertes]]&lt;0.35,"LEVE",AND(Tabla1[[#This Row],[Porcentaje de muertes]]&gt;0.35,Tabla1[[#This Row],[Porcentaje de muertes]]&lt;0.65),"MEDIO",Tabla1[[#This Row],[Porcentaje de muertes]]&gt;0.65,"GRAVE")</f>
        <v>GRAVE</v>
      </c>
    </row>
    <row r="1731" spans="2:24" x14ac:dyDescent="0.3">
      <c r="B1731" s="9">
        <v>1730</v>
      </c>
      <c r="C1731" s="49">
        <v>21542</v>
      </c>
      <c r="D1731" s="9">
        <f>YEAR(Tabla1[[#This Row],[Date]])</f>
        <v>1958</v>
      </c>
      <c r="E1731" s="9" t="str" cm="1">
        <f t="array" ref="E1731">IFERROR(_xlfn.IFS(AND(D1731&lt;1980,D1731&gt;=1970),"70",AND(D1731&lt;1990,D1731&gt;=1980),"80",AND(D1731&lt;2000,D1731&gt;=1990),"90",AND(D1731&lt;2010,D1731&gt;=2000),"00",AND(D1731&lt;=2019,D1731&gt;=2010),"10"),"1908-1970")</f>
        <v>1908-1970</v>
      </c>
      <c r="F1731" s="3">
        <v>0.13194444444444445</v>
      </c>
      <c r="G1731" t="s">
        <v>12539</v>
      </c>
      <c r="H1731" t="s">
        <v>6541</v>
      </c>
      <c r="I1731">
        <v>466</v>
      </c>
      <c r="J1731" t="s">
        <v>12540</v>
      </c>
      <c r="K1731" t="s">
        <v>12541</v>
      </c>
      <c r="L1731" s="7" t="s">
        <v>12542</v>
      </c>
      <c r="M1731">
        <v>6342007</v>
      </c>
      <c r="N1731">
        <v>21</v>
      </c>
      <c r="O1731">
        <v>15</v>
      </c>
      <c r="P1731">
        <v>6</v>
      </c>
      <c r="Q1731">
        <v>21</v>
      </c>
      <c r="R1731">
        <v>15</v>
      </c>
      <c r="S1731">
        <v>6</v>
      </c>
      <c r="T1731">
        <v>0</v>
      </c>
      <c r="U1731" t="s">
        <v>12543</v>
      </c>
      <c r="V1731">
        <f>Tabla1[[#This Row],[Aboard]]-Tabla1[[#This Row],[Fatalities]]</f>
        <v>0</v>
      </c>
      <c r="W1731" s="50">
        <f>IFERROR(Tabla1[[#This Row],[Fatalities]]/Tabla1[[#This Row],[Aboard]],0)</f>
        <v>1</v>
      </c>
      <c r="X1731" s="51" t="str" cm="1">
        <f t="array" ref="X1731">_xlfn.IFS(Tabla1[[#This Row],[Porcentaje de muertes]]&lt;0.35,"LEVE",AND(Tabla1[[#This Row],[Porcentaje de muertes]]&gt;0.35,Tabla1[[#This Row],[Porcentaje de muertes]]&lt;0.65),"MEDIO",Tabla1[[#This Row],[Porcentaje de muertes]]&gt;0.65,"GRAVE")</f>
        <v>GRAVE</v>
      </c>
    </row>
    <row r="1732" spans="2:24" x14ac:dyDescent="0.3">
      <c r="B1732" s="9">
        <v>1731</v>
      </c>
      <c r="C1732" s="49">
        <v>21543</v>
      </c>
      <c r="D1732" s="9">
        <f>YEAR(Tabla1[[#This Row],[Date]])</f>
        <v>1958</v>
      </c>
      <c r="E1732" s="9" t="str" cm="1">
        <f t="array" ref="E1732">IFERROR(_xlfn.IFS(AND(D1732&lt;1980,D1732&gt;=1970),"70",AND(D1732&lt;1990,D1732&gt;=1980),"80",AND(D1732&lt;2000,D1732&gt;=1990),"90",AND(D1732&lt;2010,D1732&gt;=2000),"00",AND(D1732&lt;=2019,D1732&gt;=2010),"10"),"1908-1970")</f>
        <v>1908-1970</v>
      </c>
      <c r="F1732" s="3">
        <v>0.49861111111111112</v>
      </c>
      <c r="G1732" t="s">
        <v>12544</v>
      </c>
      <c r="H1732" t="s">
        <v>7716</v>
      </c>
      <c r="I1732" t="s">
        <v>28931</v>
      </c>
      <c r="J1732" t="s">
        <v>5243</v>
      </c>
      <c r="K1732" t="s">
        <v>12545</v>
      </c>
      <c r="L1732" s="7" t="s">
        <v>12546</v>
      </c>
      <c r="M1732">
        <v>13235</v>
      </c>
      <c r="N1732">
        <v>12</v>
      </c>
      <c r="O1732">
        <v>9</v>
      </c>
      <c r="P1732">
        <v>3</v>
      </c>
      <c r="Q1732">
        <v>9</v>
      </c>
      <c r="R1732">
        <v>7</v>
      </c>
      <c r="S1732">
        <v>2</v>
      </c>
      <c r="T1732">
        <v>0</v>
      </c>
      <c r="U1732" t="s">
        <v>12547</v>
      </c>
      <c r="V1732">
        <f>Tabla1[[#This Row],[Aboard]]-Tabla1[[#This Row],[Fatalities]]</f>
        <v>3</v>
      </c>
      <c r="W1732" s="50">
        <f>IFERROR(Tabla1[[#This Row],[Fatalities]]/Tabla1[[#This Row],[Aboard]],0)</f>
        <v>0.75</v>
      </c>
      <c r="X1732" s="51" t="str" cm="1">
        <f t="array" ref="X1732">_xlfn.IFS(Tabla1[[#This Row],[Porcentaje de muertes]]&lt;0.35,"LEVE",AND(Tabla1[[#This Row],[Porcentaje de muertes]]&gt;0.35,Tabla1[[#This Row],[Porcentaje de muertes]]&lt;0.65),"MEDIO",Tabla1[[#This Row],[Porcentaje de muertes]]&gt;0.65,"GRAVE")</f>
        <v>GRAVE</v>
      </c>
    </row>
    <row r="1733" spans="2:24" x14ac:dyDescent="0.3">
      <c r="B1733" s="9">
        <v>1732</v>
      </c>
      <c r="C1733" s="49">
        <v>21545</v>
      </c>
      <c r="D1733" s="9">
        <f>YEAR(Tabla1[[#This Row],[Date]])</f>
        <v>1958</v>
      </c>
      <c r="E1733" s="9" t="str" cm="1">
        <f t="array" ref="E1733">IFERROR(_xlfn.IFS(AND(D1733&lt;1980,D1733&gt;=1970),"70",AND(D1733&lt;1990,D1733&gt;=1980),"80",AND(D1733&lt;2000,D1733&gt;=1990),"90",AND(D1733&lt;2010,D1733&gt;=2000),"00",AND(D1733&lt;=2019,D1733&gt;=2010),"10"),"1908-1970")</f>
        <v>1908-1970</v>
      </c>
      <c r="F1733" s="3">
        <v>0.53611111111111109</v>
      </c>
      <c r="G1733" t="s">
        <v>12548</v>
      </c>
      <c r="H1733" t="s">
        <v>10823</v>
      </c>
      <c r="I1733">
        <v>736</v>
      </c>
      <c r="J1733" t="s">
        <v>12549</v>
      </c>
      <c r="K1733" t="s">
        <v>10428</v>
      </c>
      <c r="L1733" s="7" t="s">
        <v>12550</v>
      </c>
      <c r="M1733" t="s">
        <v>12551</v>
      </c>
      <c r="N1733">
        <v>70</v>
      </c>
      <c r="O1733">
        <v>63</v>
      </c>
      <c r="P1733">
        <v>7</v>
      </c>
      <c r="Q1733">
        <v>3</v>
      </c>
      <c r="R1733">
        <v>3</v>
      </c>
      <c r="S1733">
        <v>0</v>
      </c>
      <c r="T1733">
        <v>0</v>
      </c>
      <c r="U1733" t="s">
        <v>12552</v>
      </c>
      <c r="V1733">
        <f>Tabla1[[#This Row],[Aboard]]-Tabla1[[#This Row],[Fatalities]]</f>
        <v>67</v>
      </c>
      <c r="W1733" s="50">
        <f>IFERROR(Tabla1[[#This Row],[Fatalities]]/Tabla1[[#This Row],[Aboard]],0)</f>
        <v>4.2857142857142858E-2</v>
      </c>
      <c r="X1733" s="51" t="str" cm="1">
        <f t="array" ref="X1733">_xlfn.IFS(Tabla1[[#This Row],[Porcentaje de muertes]]&lt;0.35,"LEVE",AND(Tabla1[[#This Row],[Porcentaje de muertes]]&gt;0.35,Tabla1[[#This Row],[Porcentaje de muertes]]&lt;0.65),"MEDIO",Tabla1[[#This Row],[Porcentaje de muertes]]&gt;0.65,"GRAVE")</f>
        <v>LEVE</v>
      </c>
    </row>
    <row r="1734" spans="2:24" x14ac:dyDescent="0.3">
      <c r="B1734" s="9">
        <v>1733</v>
      </c>
      <c r="C1734" s="49">
        <v>21549</v>
      </c>
      <c r="D1734" s="9">
        <f>YEAR(Tabla1[[#This Row],[Date]])</f>
        <v>1958</v>
      </c>
      <c r="E1734" s="9" t="str" cm="1">
        <f t="array" ref="E1734">IFERROR(_xlfn.IFS(AND(D1734&lt;1980,D1734&gt;=1970),"70",AND(D1734&lt;1990,D1734&gt;=1980),"80",AND(D1734&lt;2000,D1734&gt;=1990),"90",AND(D1734&lt;2010,D1734&gt;=2000),"00",AND(D1734&lt;=2019,D1734&gt;=2010),"10"),"1908-1970")</f>
        <v>1908-1970</v>
      </c>
      <c r="F1734" s="3">
        <v>0.50624999999999998</v>
      </c>
      <c r="G1734" t="s">
        <v>7368</v>
      </c>
      <c r="H1734" t="s">
        <v>7581</v>
      </c>
      <c r="I1734" t="s">
        <v>28931</v>
      </c>
      <c r="J1734" t="s">
        <v>7582</v>
      </c>
      <c r="K1734" t="s">
        <v>12553</v>
      </c>
      <c r="L1734" s="7" t="s">
        <v>12554</v>
      </c>
      <c r="M1734">
        <v>103</v>
      </c>
      <c r="N1734">
        <v>37</v>
      </c>
      <c r="O1734">
        <v>33</v>
      </c>
      <c r="P1734">
        <v>4</v>
      </c>
      <c r="Q1734">
        <v>21</v>
      </c>
      <c r="R1734">
        <v>17</v>
      </c>
      <c r="S1734">
        <v>4</v>
      </c>
      <c r="T1734">
        <v>0</v>
      </c>
      <c r="U1734" t="s">
        <v>12555</v>
      </c>
      <c r="V1734">
        <f>Tabla1[[#This Row],[Aboard]]-Tabla1[[#This Row],[Fatalities]]</f>
        <v>16</v>
      </c>
      <c r="W1734" s="50">
        <f>IFERROR(Tabla1[[#This Row],[Fatalities]]/Tabla1[[#This Row],[Aboard]],0)</f>
        <v>0.56756756756756754</v>
      </c>
      <c r="X1734" s="51" t="str" cm="1">
        <f t="array" ref="X1734">_xlfn.IFS(Tabla1[[#This Row],[Porcentaje de muertes]]&lt;0.35,"LEVE",AND(Tabla1[[#This Row],[Porcentaje de muertes]]&gt;0.35,Tabla1[[#This Row],[Porcentaje de muertes]]&lt;0.65),"MEDIO",Tabla1[[#This Row],[Porcentaje de muertes]]&gt;0.65,"GRAVE")</f>
        <v>MEDIO</v>
      </c>
    </row>
    <row r="1735" spans="2:24" x14ac:dyDescent="0.3">
      <c r="B1735" s="9">
        <v>1734</v>
      </c>
      <c r="C1735" s="49">
        <v>21702</v>
      </c>
      <c r="D1735" s="9">
        <f>YEAR(Tabla1[[#This Row],[Date]])</f>
        <v>1959</v>
      </c>
      <c r="E1735" s="9" t="str" cm="1">
        <f t="array" ref="E1735">IFERROR(_xlfn.IFS(AND(D1735&lt;1980,D1735&gt;=1970),"70",AND(D1735&lt;1990,D1735&gt;=1980),"80",AND(D1735&lt;2000,D1735&gt;=1990),"90",AND(D1735&lt;2010,D1735&gt;=2000),"00",AND(D1735&lt;=2019,D1735&gt;=2010),"10"),"1908-1970")</f>
        <v>1908-1970</v>
      </c>
      <c r="F1735" s="3">
        <v>0.47222222222222227</v>
      </c>
      <c r="G1735" t="s">
        <v>12556</v>
      </c>
      <c r="H1735" t="s">
        <v>12118</v>
      </c>
      <c r="I1735" t="s">
        <v>28931</v>
      </c>
      <c r="J1735" t="s">
        <v>12557</v>
      </c>
      <c r="K1735" t="s">
        <v>7057</v>
      </c>
      <c r="L1735" s="7" t="s">
        <v>12558</v>
      </c>
      <c r="M1735">
        <v>19667</v>
      </c>
      <c r="N1735">
        <v>5</v>
      </c>
      <c r="O1735">
        <v>2</v>
      </c>
      <c r="P1735">
        <v>3</v>
      </c>
      <c r="Q1735">
        <v>5</v>
      </c>
      <c r="R1735">
        <v>2</v>
      </c>
      <c r="S1735">
        <v>3</v>
      </c>
      <c r="T1735">
        <v>0</v>
      </c>
      <c r="U1735" t="s">
        <v>12559</v>
      </c>
      <c r="V1735">
        <f>Tabla1[[#This Row],[Aboard]]-Tabla1[[#This Row],[Fatalities]]</f>
        <v>0</v>
      </c>
      <c r="W1735" s="50">
        <f>IFERROR(Tabla1[[#This Row],[Fatalities]]/Tabla1[[#This Row],[Aboard]],0)</f>
        <v>1</v>
      </c>
      <c r="X1735" s="51" t="str" cm="1">
        <f t="array" ref="X1735">_xlfn.IFS(Tabla1[[#This Row],[Porcentaje de muertes]]&lt;0.35,"LEVE",AND(Tabla1[[#This Row],[Porcentaje de muertes]]&gt;0.35,Tabla1[[#This Row],[Porcentaje de muertes]]&lt;0.65),"MEDIO",Tabla1[[#This Row],[Porcentaje de muertes]]&gt;0.65,"GRAVE")</f>
        <v>GRAVE</v>
      </c>
    </row>
    <row r="1736" spans="2:24" x14ac:dyDescent="0.3">
      <c r="B1736" s="9">
        <v>1735</v>
      </c>
      <c r="C1736" s="49">
        <v>21763</v>
      </c>
      <c r="D1736" s="9">
        <f>YEAR(Tabla1[[#This Row],[Date]])</f>
        <v>1959</v>
      </c>
      <c r="E1736" s="9" t="str" cm="1">
        <f t="array" ref="E1736">IFERROR(_xlfn.IFS(AND(D1736&lt;1980,D1736&gt;=1970),"70",AND(D1736&lt;1990,D1736&gt;=1980),"80",AND(D1736&lt;2000,D1736&gt;=1990),"90",AND(D1736&lt;2010,D1736&gt;=2000),"00",AND(D1736&lt;=2019,D1736&gt;=2010),"10"),"1908-1970")</f>
        <v>1908-1970</v>
      </c>
      <c r="F1736" s="3">
        <v>0.85555555555555562</v>
      </c>
      <c r="G1736" t="s">
        <v>12560</v>
      </c>
      <c r="H1736" t="s">
        <v>12561</v>
      </c>
      <c r="I1736">
        <v>308</v>
      </c>
      <c r="J1736" t="s">
        <v>12562</v>
      </c>
      <c r="K1736" t="s">
        <v>7057</v>
      </c>
      <c r="L1736" s="7" t="s">
        <v>12563</v>
      </c>
      <c r="M1736">
        <v>2007</v>
      </c>
      <c r="N1736">
        <v>10</v>
      </c>
      <c r="O1736">
        <v>7</v>
      </c>
      <c r="P1736">
        <v>3</v>
      </c>
      <c r="Q1736">
        <v>10</v>
      </c>
      <c r="R1736">
        <v>7</v>
      </c>
      <c r="S1736">
        <v>3</v>
      </c>
      <c r="T1736">
        <v>0</v>
      </c>
      <c r="U1736" t="s">
        <v>12564</v>
      </c>
      <c r="V1736">
        <f>Tabla1[[#This Row],[Aboard]]-Tabla1[[#This Row],[Fatalities]]</f>
        <v>0</v>
      </c>
      <c r="W1736" s="50">
        <f>IFERROR(Tabla1[[#This Row],[Fatalities]]/Tabla1[[#This Row],[Aboard]],0)</f>
        <v>1</v>
      </c>
      <c r="X1736" s="51" t="str" cm="1">
        <f t="array" ref="X1736">_xlfn.IFS(Tabla1[[#This Row],[Porcentaje de muertes]]&lt;0.35,"LEVE",AND(Tabla1[[#This Row],[Porcentaje de muertes]]&gt;0.35,Tabla1[[#This Row],[Porcentaje de muertes]]&lt;0.65),"MEDIO",Tabla1[[#This Row],[Porcentaje de muertes]]&gt;0.65,"GRAVE")</f>
        <v>GRAVE</v>
      </c>
    </row>
    <row r="1737" spans="2:24" x14ac:dyDescent="0.3">
      <c r="B1737" s="9">
        <v>1736</v>
      </c>
      <c r="C1737" s="49">
        <v>21855</v>
      </c>
      <c r="D1737" s="9">
        <f>YEAR(Tabla1[[#This Row],[Date]])</f>
        <v>1959</v>
      </c>
      <c r="E1737" s="9" t="str" cm="1">
        <f t="array" ref="E1737">IFERROR(_xlfn.IFS(AND(D1737&lt;1980,D1737&gt;=1970),"70",AND(D1737&lt;1990,D1737&gt;=1980),"80",AND(D1737&lt;2000,D1737&gt;=1990),"90",AND(D1737&lt;2010,D1737&gt;=2000),"00",AND(D1737&lt;=2019,D1737&gt;=2010),"10"),"1908-1970")</f>
        <v>1908-1970</v>
      </c>
      <c r="F1737" s="3">
        <v>0.47013888888888888</v>
      </c>
      <c r="G1737" t="s">
        <v>7450</v>
      </c>
      <c r="H1737" t="s">
        <v>7110</v>
      </c>
      <c r="I1737">
        <v>502</v>
      </c>
      <c r="J1737" t="s">
        <v>12565</v>
      </c>
      <c r="K1737" t="s">
        <v>12566</v>
      </c>
      <c r="L1737" s="7" t="s">
        <v>12567</v>
      </c>
      <c r="M1737">
        <v>4602</v>
      </c>
      <c r="N1737">
        <v>39</v>
      </c>
      <c r="O1737">
        <v>29</v>
      </c>
      <c r="P1737">
        <v>10</v>
      </c>
      <c r="Q1737">
        <v>36</v>
      </c>
      <c r="R1737">
        <v>29</v>
      </c>
      <c r="S1737">
        <v>7</v>
      </c>
      <c r="T1737">
        <v>0</v>
      </c>
      <c r="U1737" t="s">
        <v>12568</v>
      </c>
      <c r="V1737">
        <f>Tabla1[[#This Row],[Aboard]]-Tabla1[[#This Row],[Fatalities]]</f>
        <v>3</v>
      </c>
      <c r="W1737" s="50">
        <f>IFERROR(Tabla1[[#This Row],[Fatalities]]/Tabla1[[#This Row],[Aboard]],0)</f>
        <v>0.92307692307692313</v>
      </c>
      <c r="X1737" s="51" t="str" cm="1">
        <f t="array" ref="X1737">_xlfn.IFS(Tabla1[[#This Row],[Porcentaje de muertes]]&lt;0.35,"LEVE",AND(Tabla1[[#This Row],[Porcentaje de muertes]]&gt;0.35,Tabla1[[#This Row],[Porcentaje de muertes]]&lt;0.65),"MEDIO",Tabla1[[#This Row],[Porcentaje de muertes]]&gt;0.65,"GRAVE")</f>
        <v>GRAVE</v>
      </c>
    </row>
    <row r="1738" spans="2:24" x14ac:dyDescent="0.3">
      <c r="B1738" s="9">
        <v>1737</v>
      </c>
      <c r="C1738" s="49">
        <v>21564</v>
      </c>
      <c r="D1738" s="9">
        <f>YEAR(Tabla1[[#This Row],[Date]])</f>
        <v>1959</v>
      </c>
      <c r="E1738" s="9" t="str" cm="1">
        <f t="array" ref="E1738">IFERROR(_xlfn.IFS(AND(D1738&lt;1980,D1738&gt;=1970),"70",AND(D1738&lt;1990,D1738&gt;=1980),"80",AND(D1738&lt;2000,D1738&gt;=1990),"90",AND(D1738&lt;2010,D1738&gt;=2000),"00",AND(D1738&lt;=2019,D1738&gt;=2010),"10"),"1908-1970")</f>
        <v>1908-1970</v>
      </c>
      <c r="F1738" s="3" t="s">
        <v>28931</v>
      </c>
      <c r="G1738" t="s">
        <v>12569</v>
      </c>
      <c r="H1738" t="s">
        <v>12570</v>
      </c>
      <c r="I1738" t="s">
        <v>28931</v>
      </c>
      <c r="J1738" t="s">
        <v>12571</v>
      </c>
      <c r="K1738" t="s">
        <v>10927</v>
      </c>
      <c r="L1738" s="7" t="s">
        <v>12572</v>
      </c>
      <c r="M1738">
        <v>22404</v>
      </c>
      <c r="N1738">
        <v>2</v>
      </c>
      <c r="O1738">
        <v>0</v>
      </c>
      <c r="P1738">
        <v>2</v>
      </c>
      <c r="Q1738">
        <v>2</v>
      </c>
      <c r="R1738">
        <v>0</v>
      </c>
      <c r="S1738">
        <v>2</v>
      </c>
      <c r="T1738">
        <v>0</v>
      </c>
      <c r="U1738" t="s">
        <v>12573</v>
      </c>
      <c r="V1738">
        <f>Tabla1[[#This Row],[Aboard]]-Tabla1[[#This Row],[Fatalities]]</f>
        <v>0</v>
      </c>
      <c r="W1738" s="50">
        <f>IFERROR(Tabla1[[#This Row],[Fatalities]]/Tabla1[[#This Row],[Aboard]],0)</f>
        <v>1</v>
      </c>
      <c r="X1738" s="51" t="str" cm="1">
        <f t="array" ref="X1738">_xlfn.IFS(Tabla1[[#This Row],[Porcentaje de muertes]]&lt;0.35,"LEVE",AND(Tabla1[[#This Row],[Porcentaje de muertes]]&gt;0.35,Tabla1[[#This Row],[Porcentaje de muertes]]&lt;0.65),"MEDIO",Tabla1[[#This Row],[Porcentaje de muertes]]&gt;0.65,"GRAVE")</f>
        <v>GRAVE</v>
      </c>
    </row>
    <row r="1739" spans="2:24" x14ac:dyDescent="0.3">
      <c r="B1739" s="9">
        <v>1738</v>
      </c>
      <c r="C1739" s="49">
        <v>21566</v>
      </c>
      <c r="D1739" s="9">
        <f>YEAR(Tabla1[[#This Row],[Date]])</f>
        <v>1959</v>
      </c>
      <c r="E1739" s="9" t="str" cm="1">
        <f t="array" ref="E1739">IFERROR(_xlfn.IFS(AND(D1739&lt;1980,D1739&gt;=1970),"70",AND(D1739&lt;1990,D1739&gt;=1980),"80",AND(D1739&lt;2000,D1739&gt;=1990),"90",AND(D1739&lt;2010,D1739&gt;=2000),"00",AND(D1739&lt;=2019,D1739&gt;=2010),"10"),"1908-1970")</f>
        <v>1908-1970</v>
      </c>
      <c r="F1739" s="3">
        <v>0.90277777777777779</v>
      </c>
      <c r="G1739" t="s">
        <v>12574</v>
      </c>
      <c r="H1739" t="s">
        <v>12575</v>
      </c>
      <c r="I1739">
        <v>205</v>
      </c>
      <c r="J1739" t="s">
        <v>12576</v>
      </c>
      <c r="K1739" t="s">
        <v>10597</v>
      </c>
      <c r="L1739" s="7" t="s">
        <v>12577</v>
      </c>
      <c r="M1739">
        <v>30514</v>
      </c>
      <c r="N1739">
        <v>52</v>
      </c>
      <c r="O1739">
        <v>47</v>
      </c>
      <c r="P1739">
        <v>5</v>
      </c>
      <c r="Q1739">
        <v>51</v>
      </c>
      <c r="R1739">
        <v>46</v>
      </c>
      <c r="S1739">
        <v>5</v>
      </c>
      <c r="T1739">
        <v>0</v>
      </c>
      <c r="U1739" t="s">
        <v>12578</v>
      </c>
      <c r="V1739">
        <f>Tabla1[[#This Row],[Aboard]]-Tabla1[[#This Row],[Fatalities]]</f>
        <v>1</v>
      </c>
      <c r="W1739" s="50">
        <f>IFERROR(Tabla1[[#This Row],[Fatalities]]/Tabla1[[#This Row],[Aboard]],0)</f>
        <v>0.98076923076923073</v>
      </c>
      <c r="X1739" s="51" t="str" cm="1">
        <f t="array" ref="X1739">_xlfn.IFS(Tabla1[[#This Row],[Porcentaje de muertes]]&lt;0.35,"LEVE",AND(Tabla1[[#This Row],[Porcentaje de muertes]]&gt;0.35,Tabla1[[#This Row],[Porcentaje de muertes]]&lt;0.65),"MEDIO",Tabla1[[#This Row],[Porcentaje de muertes]]&gt;0.65,"GRAVE")</f>
        <v>GRAVE</v>
      </c>
    </row>
    <row r="1740" spans="2:24" x14ac:dyDescent="0.3">
      <c r="B1740" s="9">
        <v>1739</v>
      </c>
      <c r="C1740" s="49">
        <v>21568</v>
      </c>
      <c r="D1740" s="9">
        <f>YEAR(Tabla1[[#This Row],[Date]])</f>
        <v>1959</v>
      </c>
      <c r="E1740" s="9" t="str" cm="1">
        <f t="array" ref="E1740">IFERROR(_xlfn.IFS(AND(D1740&lt;1980,D1740&gt;=1970),"70",AND(D1740&lt;1990,D1740&gt;=1980),"80",AND(D1740&lt;2000,D1740&gt;=1990),"90",AND(D1740&lt;2010,D1740&gt;=2000),"00",AND(D1740&lt;=2019,D1740&gt;=2010),"10"),"1908-1970")</f>
        <v>1908-1970</v>
      </c>
      <c r="F1740" s="3">
        <v>0.14791666666666667</v>
      </c>
      <c r="G1740" t="s">
        <v>12579</v>
      </c>
      <c r="H1740" t="s">
        <v>6541</v>
      </c>
      <c r="I1740">
        <v>205</v>
      </c>
      <c r="J1740" t="s">
        <v>12580</v>
      </c>
      <c r="K1740" t="s">
        <v>12110</v>
      </c>
      <c r="L1740" s="7" t="s">
        <v>12581</v>
      </c>
      <c r="M1740">
        <v>146000701</v>
      </c>
      <c r="N1740">
        <v>25</v>
      </c>
      <c r="O1740">
        <v>20</v>
      </c>
      <c r="P1740">
        <v>5</v>
      </c>
      <c r="Q1740">
        <v>25</v>
      </c>
      <c r="R1740">
        <v>20</v>
      </c>
      <c r="S1740">
        <v>5</v>
      </c>
      <c r="T1740">
        <v>0</v>
      </c>
      <c r="U1740" t="s">
        <v>12582</v>
      </c>
      <c r="V1740">
        <f>Tabla1[[#This Row],[Aboard]]-Tabla1[[#This Row],[Fatalities]]</f>
        <v>0</v>
      </c>
      <c r="W1740" s="50">
        <f>IFERROR(Tabla1[[#This Row],[Fatalities]]/Tabla1[[#This Row],[Aboard]],0)</f>
        <v>1</v>
      </c>
      <c r="X1740" s="51" t="str" cm="1">
        <f t="array" ref="X1740">_xlfn.IFS(Tabla1[[#This Row],[Porcentaje de muertes]]&lt;0.35,"LEVE",AND(Tabla1[[#This Row],[Porcentaje de muertes]]&gt;0.35,Tabla1[[#This Row],[Porcentaje de muertes]]&lt;0.65),"MEDIO",Tabla1[[#This Row],[Porcentaje de muertes]]&gt;0.65,"GRAVE")</f>
        <v>GRAVE</v>
      </c>
    </row>
    <row r="1741" spans="2:24" x14ac:dyDescent="0.3">
      <c r="B1741" s="9">
        <v>1740</v>
      </c>
      <c r="C1741" s="49">
        <v>21571</v>
      </c>
      <c r="D1741" s="9">
        <f>YEAR(Tabla1[[#This Row],[Date]])</f>
        <v>1959</v>
      </c>
      <c r="E1741" s="9" t="str" cm="1">
        <f t="array" ref="E1741">IFERROR(_xlfn.IFS(AND(D1741&lt;1980,D1741&gt;=1970),"70",AND(D1741&lt;1990,D1741&gt;=1980),"80",AND(D1741&lt;2000,D1741&gt;=1990),"90",AND(D1741&lt;2010,D1741&gt;=2000),"00",AND(D1741&lt;=2019,D1741&gt;=2010),"10"),"1908-1970")</f>
        <v>1908-1970</v>
      </c>
      <c r="F1741" s="3">
        <v>0.64583333333333337</v>
      </c>
      <c r="G1741" t="s">
        <v>12583</v>
      </c>
      <c r="H1741" t="s">
        <v>12584</v>
      </c>
      <c r="I1741" t="s">
        <v>28931</v>
      </c>
      <c r="J1741" t="s">
        <v>12585</v>
      </c>
      <c r="K1741" t="s">
        <v>10512</v>
      </c>
      <c r="L1741" s="7" t="s">
        <v>12586</v>
      </c>
      <c r="M1741">
        <v>33411</v>
      </c>
      <c r="N1741">
        <v>4</v>
      </c>
      <c r="O1741">
        <v>2</v>
      </c>
      <c r="P1741">
        <v>2</v>
      </c>
      <c r="Q1741">
        <v>4</v>
      </c>
      <c r="R1741">
        <v>2</v>
      </c>
      <c r="S1741">
        <v>2</v>
      </c>
      <c r="T1741">
        <v>0</v>
      </c>
      <c r="U1741" t="s">
        <v>12587</v>
      </c>
      <c r="V1741">
        <f>Tabla1[[#This Row],[Aboard]]-Tabla1[[#This Row],[Fatalities]]</f>
        <v>0</v>
      </c>
      <c r="W1741" s="50">
        <f>IFERROR(Tabla1[[#This Row],[Fatalities]]/Tabla1[[#This Row],[Aboard]],0)</f>
        <v>1</v>
      </c>
      <c r="X1741" s="51" t="str" cm="1">
        <f t="array" ref="X1741">_xlfn.IFS(Tabla1[[#This Row],[Porcentaje de muertes]]&lt;0.35,"LEVE",AND(Tabla1[[#This Row],[Porcentaje de muertes]]&gt;0.35,Tabla1[[#This Row],[Porcentaje de muertes]]&lt;0.65),"MEDIO",Tabla1[[#This Row],[Porcentaje de muertes]]&gt;0.65,"GRAVE")</f>
        <v>GRAVE</v>
      </c>
    </row>
    <row r="1742" spans="2:24" x14ac:dyDescent="0.3">
      <c r="B1742" s="9">
        <v>1741</v>
      </c>
      <c r="C1742" s="49">
        <v>21572</v>
      </c>
      <c r="D1742" s="9">
        <f>YEAR(Tabla1[[#This Row],[Date]])</f>
        <v>1959</v>
      </c>
      <c r="E1742" s="9" t="str" cm="1">
        <f t="array" ref="E1742">IFERROR(_xlfn.IFS(AND(D1742&lt;1980,D1742&gt;=1970),"70",AND(D1742&lt;1990,D1742&gt;=1980),"80",AND(D1742&lt;2000,D1742&gt;=1990),"90",AND(D1742&lt;2010,D1742&gt;=2000),"00",AND(D1742&lt;=2019,D1742&gt;=2010),"10"),"1908-1970")</f>
        <v>1908-1970</v>
      </c>
      <c r="F1742" s="3">
        <v>0.70833333333333337</v>
      </c>
      <c r="G1742" t="s">
        <v>12588</v>
      </c>
      <c r="H1742" t="s">
        <v>12589</v>
      </c>
      <c r="I1742">
        <v>601</v>
      </c>
      <c r="J1742" t="s">
        <v>12590</v>
      </c>
      <c r="K1742" t="s">
        <v>12427</v>
      </c>
      <c r="L1742" s="7" t="s">
        <v>12591</v>
      </c>
      <c r="M1742">
        <v>55</v>
      </c>
      <c r="N1742">
        <v>15</v>
      </c>
      <c r="O1742">
        <v>11</v>
      </c>
      <c r="P1742">
        <v>4</v>
      </c>
      <c r="Q1742">
        <v>10</v>
      </c>
      <c r="R1742">
        <v>6</v>
      </c>
      <c r="S1742">
        <v>4</v>
      </c>
      <c r="T1742">
        <v>0</v>
      </c>
      <c r="U1742" t="s">
        <v>12592</v>
      </c>
      <c r="V1742">
        <f>Tabla1[[#This Row],[Aboard]]-Tabla1[[#This Row],[Fatalities]]</f>
        <v>5</v>
      </c>
      <c r="W1742" s="50">
        <f>IFERROR(Tabla1[[#This Row],[Fatalities]]/Tabla1[[#This Row],[Aboard]],0)</f>
        <v>0.66666666666666663</v>
      </c>
      <c r="X1742" s="51" t="str" cm="1">
        <f t="array" ref="X1742">_xlfn.IFS(Tabla1[[#This Row],[Porcentaje de muertes]]&lt;0.35,"LEVE",AND(Tabla1[[#This Row],[Porcentaje de muertes]]&gt;0.35,Tabla1[[#This Row],[Porcentaje de muertes]]&lt;0.65),"MEDIO",Tabla1[[#This Row],[Porcentaje de muertes]]&gt;0.65,"GRAVE")</f>
        <v>GRAVE</v>
      </c>
    </row>
    <row r="1743" spans="2:24" x14ac:dyDescent="0.3">
      <c r="B1743" s="9">
        <v>1742</v>
      </c>
      <c r="C1743" s="49">
        <v>21577</v>
      </c>
      <c r="D1743" s="9">
        <f>YEAR(Tabla1[[#This Row],[Date]])</f>
        <v>1959</v>
      </c>
      <c r="E1743" s="9" t="str" cm="1">
        <f t="array" ref="E1743">IFERROR(_xlfn.IFS(AND(D1743&lt;1980,D1743&gt;=1970),"70",AND(D1743&lt;1990,D1743&gt;=1980),"80",AND(D1743&lt;2000,D1743&gt;=1990),"90",AND(D1743&lt;2010,D1743&gt;=2000),"00",AND(D1743&lt;=2019,D1743&gt;=2010),"10"),"1908-1970")</f>
        <v>1908-1970</v>
      </c>
      <c r="F1743" s="3">
        <v>0.25625000000000003</v>
      </c>
      <c r="G1743" t="s">
        <v>6712</v>
      </c>
      <c r="H1743" t="s">
        <v>12593</v>
      </c>
      <c r="I1743" t="s">
        <v>28931</v>
      </c>
      <c r="J1743" t="s">
        <v>12594</v>
      </c>
      <c r="K1743" t="s">
        <v>12595</v>
      </c>
      <c r="L1743" s="7" t="s">
        <v>12596</v>
      </c>
      <c r="M1743">
        <v>1255</v>
      </c>
      <c r="N1743">
        <v>6</v>
      </c>
      <c r="O1743">
        <v>0</v>
      </c>
      <c r="P1743">
        <v>6</v>
      </c>
      <c r="Q1743">
        <v>2</v>
      </c>
      <c r="R1743">
        <v>0</v>
      </c>
      <c r="S1743">
        <v>2</v>
      </c>
      <c r="T1743">
        <v>0</v>
      </c>
      <c r="U1743" t="s">
        <v>12597</v>
      </c>
      <c r="V1743">
        <f>Tabla1[[#This Row],[Aboard]]-Tabla1[[#This Row],[Fatalities]]</f>
        <v>4</v>
      </c>
      <c r="W1743" s="50">
        <f>IFERROR(Tabla1[[#This Row],[Fatalities]]/Tabla1[[#This Row],[Aboard]],0)</f>
        <v>0.33333333333333331</v>
      </c>
      <c r="X1743" s="51" t="str" cm="1">
        <f t="array" ref="X1743">_xlfn.IFS(Tabla1[[#This Row],[Porcentaje de muertes]]&lt;0.35,"LEVE",AND(Tabla1[[#This Row],[Porcentaje de muertes]]&gt;0.35,Tabla1[[#This Row],[Porcentaje de muertes]]&lt;0.65),"MEDIO",Tabla1[[#This Row],[Porcentaje de muertes]]&gt;0.65,"GRAVE")</f>
        <v>LEVE</v>
      </c>
    </row>
    <row r="1744" spans="2:24" x14ac:dyDescent="0.3">
      <c r="B1744" s="9">
        <v>1743</v>
      </c>
      <c r="C1744" s="49">
        <v>21552</v>
      </c>
      <c r="D1744" s="9">
        <f>YEAR(Tabla1[[#This Row],[Date]])</f>
        <v>1959</v>
      </c>
      <c r="E1744" s="9" t="str" cm="1">
        <f t="array" ref="E1744">IFERROR(_xlfn.IFS(AND(D1744&lt;1980,D1744&gt;=1970),"70",AND(D1744&lt;1990,D1744&gt;=1980),"80",AND(D1744&lt;2000,D1744&gt;=1990),"90",AND(D1744&lt;2010,D1744&gt;=2000),"00",AND(D1744&lt;=2019,D1744&gt;=2010),"10"),"1908-1970")</f>
        <v>1908-1970</v>
      </c>
      <c r="F1744" s="3">
        <v>0.99305555555555547</v>
      </c>
      <c r="G1744" t="s">
        <v>12598</v>
      </c>
      <c r="H1744" t="s">
        <v>7127</v>
      </c>
      <c r="I1744" t="s">
        <v>28931</v>
      </c>
      <c r="J1744" t="s">
        <v>12599</v>
      </c>
      <c r="K1744" t="s">
        <v>7057</v>
      </c>
      <c r="L1744" s="7" t="s">
        <v>12600</v>
      </c>
      <c r="M1744">
        <v>1924</v>
      </c>
      <c r="N1744">
        <v>28</v>
      </c>
      <c r="O1744">
        <v>30</v>
      </c>
      <c r="P1744">
        <v>2</v>
      </c>
      <c r="Q1744">
        <v>3</v>
      </c>
      <c r="R1744">
        <v>1</v>
      </c>
      <c r="S1744">
        <v>2</v>
      </c>
      <c r="T1744">
        <v>0</v>
      </c>
      <c r="U1744" t="s">
        <v>12601</v>
      </c>
      <c r="V1744">
        <f>Tabla1[[#This Row],[Aboard]]-Tabla1[[#This Row],[Fatalities]]</f>
        <v>25</v>
      </c>
      <c r="W1744" s="50">
        <f>IFERROR(Tabla1[[#This Row],[Fatalities]]/Tabla1[[#This Row],[Aboard]],0)</f>
        <v>0.10714285714285714</v>
      </c>
      <c r="X1744" s="51" t="str" cm="1">
        <f t="array" ref="X1744">_xlfn.IFS(Tabla1[[#This Row],[Porcentaje de muertes]]&lt;0.35,"LEVE",AND(Tabla1[[#This Row],[Porcentaje de muertes]]&gt;0.35,Tabla1[[#This Row],[Porcentaje de muertes]]&lt;0.65),"MEDIO",Tabla1[[#This Row],[Porcentaje de muertes]]&gt;0.65,"GRAVE")</f>
        <v>LEVE</v>
      </c>
    </row>
    <row r="1745" spans="2:24" x14ac:dyDescent="0.3">
      <c r="B1745" s="9">
        <v>1744</v>
      </c>
      <c r="C1745" s="49">
        <v>21611</v>
      </c>
      <c r="D1745" s="9">
        <f>YEAR(Tabla1[[#This Row],[Date]])</f>
        <v>1959</v>
      </c>
      <c r="E1745" s="9" t="str" cm="1">
        <f t="array" ref="E1745">IFERROR(_xlfn.IFS(AND(D1745&lt;1980,D1745&gt;=1970),"70",AND(D1745&lt;1990,D1745&gt;=1980),"80",AND(D1745&lt;2000,D1745&gt;=1990),"90",AND(D1745&lt;2010,D1745&gt;=2000),"00",AND(D1745&lt;=2019,D1745&gt;=2010),"10"),"1908-1970")</f>
        <v>1908-1970</v>
      </c>
      <c r="F1745" s="3">
        <v>4.1666666666666664E-2</v>
      </c>
      <c r="G1745" t="s">
        <v>12602</v>
      </c>
      <c r="H1745" t="s">
        <v>12603</v>
      </c>
      <c r="I1745" t="s">
        <v>28931</v>
      </c>
      <c r="J1745" t="s">
        <v>12604</v>
      </c>
      <c r="K1745" t="s">
        <v>12605</v>
      </c>
      <c r="L1745" s="7" t="s">
        <v>12606</v>
      </c>
      <c r="M1745" t="s">
        <v>12607</v>
      </c>
      <c r="N1745">
        <v>4</v>
      </c>
      <c r="O1745">
        <v>3</v>
      </c>
      <c r="P1745">
        <v>1</v>
      </c>
      <c r="Q1745">
        <v>4</v>
      </c>
      <c r="R1745">
        <v>3</v>
      </c>
      <c r="S1745">
        <v>1</v>
      </c>
      <c r="T1745">
        <v>0</v>
      </c>
      <c r="U1745" t="s">
        <v>12608</v>
      </c>
      <c r="V1745">
        <f>Tabla1[[#This Row],[Aboard]]-Tabla1[[#This Row],[Fatalities]]</f>
        <v>0</v>
      </c>
      <c r="W1745" s="50">
        <f>IFERROR(Tabla1[[#This Row],[Fatalities]]/Tabla1[[#This Row],[Aboard]],0)</f>
        <v>1</v>
      </c>
      <c r="X1745" s="51" t="str" cm="1">
        <f t="array" ref="X1745">_xlfn.IFS(Tabla1[[#This Row],[Porcentaje de muertes]]&lt;0.35,"LEVE",AND(Tabla1[[#This Row],[Porcentaje de muertes]]&gt;0.35,Tabla1[[#This Row],[Porcentaje de muertes]]&lt;0.65),"MEDIO",Tabla1[[#This Row],[Porcentaje de muertes]]&gt;0.65,"GRAVE")</f>
        <v>GRAVE</v>
      </c>
    </row>
    <row r="1746" spans="2:24" x14ac:dyDescent="0.3">
      <c r="B1746" s="9">
        <v>1745</v>
      </c>
      <c r="C1746" s="49">
        <v>21611</v>
      </c>
      <c r="D1746" s="9">
        <f>YEAR(Tabla1[[#This Row],[Date]])</f>
        <v>1959</v>
      </c>
      <c r="E1746" s="9" t="str" cm="1">
        <f t="array" ref="E1746">IFERROR(_xlfn.IFS(AND(D1746&lt;1980,D1746&gt;=1970),"70",AND(D1746&lt;1990,D1746&gt;=1980),"80",AND(D1746&lt;2000,D1746&gt;=1990),"90",AND(D1746&lt;2010,D1746&gt;=2000),"00",AND(D1746&lt;=2019,D1746&gt;=2010),"10"),"1908-1970")</f>
        <v>1908-1970</v>
      </c>
      <c r="F1746" s="3">
        <v>0.99722222222222223</v>
      </c>
      <c r="G1746" t="s">
        <v>12609</v>
      </c>
      <c r="H1746" t="s">
        <v>6536</v>
      </c>
      <c r="I1746">
        <v>320</v>
      </c>
      <c r="J1746" t="s">
        <v>9504</v>
      </c>
      <c r="K1746" t="s">
        <v>12770</v>
      </c>
      <c r="L1746" s="7" t="s">
        <v>12610</v>
      </c>
      <c r="M1746">
        <v>1015</v>
      </c>
      <c r="N1746">
        <v>73</v>
      </c>
      <c r="O1746">
        <v>68</v>
      </c>
      <c r="P1746">
        <v>5</v>
      </c>
      <c r="Q1746">
        <v>65</v>
      </c>
      <c r="R1746">
        <v>63</v>
      </c>
      <c r="S1746">
        <v>2</v>
      </c>
      <c r="T1746">
        <v>0</v>
      </c>
      <c r="U1746" t="s">
        <v>12611</v>
      </c>
      <c r="V1746">
        <f>Tabla1[[#This Row],[Aboard]]-Tabla1[[#This Row],[Fatalities]]</f>
        <v>8</v>
      </c>
      <c r="W1746" s="50">
        <f>IFERROR(Tabla1[[#This Row],[Fatalities]]/Tabla1[[#This Row],[Aboard]],0)</f>
        <v>0.8904109589041096</v>
      </c>
      <c r="X1746" s="51" t="str" cm="1">
        <f t="array" ref="X1746">_xlfn.IFS(Tabla1[[#This Row],[Porcentaje de muertes]]&lt;0.35,"LEVE",AND(Tabla1[[#This Row],[Porcentaje de muertes]]&gt;0.35,Tabla1[[#This Row],[Porcentaje de muertes]]&lt;0.65),"MEDIO",Tabla1[[#This Row],[Porcentaje de muertes]]&gt;0.65,"GRAVE")</f>
        <v>GRAVE</v>
      </c>
    </row>
    <row r="1747" spans="2:24" x14ac:dyDescent="0.3">
      <c r="B1747" s="9">
        <v>1746</v>
      </c>
      <c r="C1747" s="49">
        <v>21598</v>
      </c>
      <c r="D1747" s="9">
        <f>YEAR(Tabla1[[#This Row],[Date]])</f>
        <v>1959</v>
      </c>
      <c r="E1747" s="9" t="str" cm="1">
        <f t="array" ref="E1747">IFERROR(_xlfn.IFS(AND(D1747&lt;1980,D1747&gt;=1970),"70",AND(D1747&lt;1990,D1747&gt;=1980),"80",AND(D1747&lt;2000,D1747&gt;=1990),"90",AND(D1747&lt;2010,D1747&gt;=2000),"00",AND(D1747&lt;=2019,D1747&gt;=2010),"10"),"1908-1970")</f>
        <v>1908-1970</v>
      </c>
      <c r="F1747" s="3">
        <v>0.69930555555555562</v>
      </c>
      <c r="G1747" t="s">
        <v>12612</v>
      </c>
      <c r="H1747" t="s">
        <v>12613</v>
      </c>
      <c r="I1747" t="s">
        <v>28931</v>
      </c>
      <c r="J1747" t="s">
        <v>12614</v>
      </c>
      <c r="K1747" t="s">
        <v>12615</v>
      </c>
      <c r="L1747" s="7" t="s">
        <v>12616</v>
      </c>
      <c r="M1747">
        <v>429</v>
      </c>
      <c r="N1747">
        <v>24</v>
      </c>
      <c r="O1747">
        <v>16</v>
      </c>
      <c r="P1747">
        <v>8</v>
      </c>
      <c r="Q1747">
        <v>14</v>
      </c>
      <c r="R1747">
        <v>9</v>
      </c>
      <c r="S1747">
        <v>5</v>
      </c>
      <c r="T1747">
        <v>0</v>
      </c>
      <c r="U1747" t="s">
        <v>12617</v>
      </c>
      <c r="V1747">
        <f>Tabla1[[#This Row],[Aboard]]-Tabla1[[#This Row],[Fatalities]]</f>
        <v>10</v>
      </c>
      <c r="W1747" s="50">
        <f>IFERROR(Tabla1[[#This Row],[Fatalities]]/Tabla1[[#This Row],[Aboard]],0)</f>
        <v>0.58333333333333337</v>
      </c>
      <c r="X1747" s="51" t="str" cm="1">
        <f t="array" ref="X1747">_xlfn.IFS(Tabla1[[#This Row],[Porcentaje de muertes]]&lt;0.35,"LEVE",AND(Tabla1[[#This Row],[Porcentaje de muertes]]&gt;0.35,Tabla1[[#This Row],[Porcentaje de muertes]]&lt;0.65),"MEDIO",Tabla1[[#This Row],[Porcentaje de muertes]]&gt;0.65,"GRAVE")</f>
        <v>MEDIO</v>
      </c>
    </row>
    <row r="1748" spans="2:24" x14ac:dyDescent="0.3">
      <c r="B1748" s="9">
        <v>1747</v>
      </c>
      <c r="C1748" s="49">
        <v>21599</v>
      </c>
      <c r="D1748" s="9">
        <f>YEAR(Tabla1[[#This Row],[Date]])</f>
        <v>1959</v>
      </c>
      <c r="E1748" s="9" t="str" cm="1">
        <f t="array" ref="E1748">IFERROR(_xlfn.IFS(AND(D1748&lt;1980,D1748&gt;=1970),"70",AND(D1748&lt;1990,D1748&gt;=1980),"80",AND(D1748&lt;2000,D1748&gt;=1990),"90",AND(D1748&lt;2010,D1748&gt;=2000),"00",AND(D1748&lt;=2019,D1748&gt;=2010),"10"),"1908-1970")</f>
        <v>1908-1970</v>
      </c>
      <c r="F1748" s="3" t="s">
        <v>28931</v>
      </c>
      <c r="G1748" t="s">
        <v>12618</v>
      </c>
      <c r="H1748" t="s">
        <v>12619</v>
      </c>
      <c r="I1748" t="s">
        <v>28931</v>
      </c>
      <c r="J1748" t="s">
        <v>12620</v>
      </c>
      <c r="K1748" t="s">
        <v>8305</v>
      </c>
      <c r="L1748" s="7" t="s">
        <v>12621</v>
      </c>
      <c r="M1748">
        <v>26818</v>
      </c>
      <c r="N1748">
        <v>5</v>
      </c>
      <c r="O1748">
        <v>0</v>
      </c>
      <c r="P1748">
        <v>5</v>
      </c>
      <c r="Q1748">
        <v>5</v>
      </c>
      <c r="R1748">
        <v>0</v>
      </c>
      <c r="S1748">
        <v>5</v>
      </c>
      <c r="T1748">
        <v>0</v>
      </c>
      <c r="U1748" t="s">
        <v>12622</v>
      </c>
      <c r="V1748">
        <f>Tabla1[[#This Row],[Aboard]]-Tabla1[[#This Row],[Fatalities]]</f>
        <v>0</v>
      </c>
      <c r="W1748" s="50">
        <f>IFERROR(Tabla1[[#This Row],[Fatalities]]/Tabla1[[#This Row],[Aboard]],0)</f>
        <v>1</v>
      </c>
      <c r="X1748" s="51" t="str" cm="1">
        <f t="array" ref="X1748">_xlfn.IFS(Tabla1[[#This Row],[Porcentaje de muertes]]&lt;0.35,"LEVE",AND(Tabla1[[#This Row],[Porcentaje de muertes]]&gt;0.35,Tabla1[[#This Row],[Porcentaje de muertes]]&lt;0.65),"MEDIO",Tabla1[[#This Row],[Porcentaje de muertes]]&gt;0.65,"GRAVE")</f>
        <v>GRAVE</v>
      </c>
    </row>
    <row r="1749" spans="2:24" x14ac:dyDescent="0.3">
      <c r="B1749" s="9">
        <v>1748</v>
      </c>
      <c r="C1749" s="49">
        <v>21673</v>
      </c>
      <c r="D1749" s="9">
        <f>YEAR(Tabla1[[#This Row],[Date]])</f>
        <v>1959</v>
      </c>
      <c r="E1749" s="9" t="str" cm="1">
        <f t="array" ref="E1749">IFERROR(_xlfn.IFS(AND(D1749&lt;1980,D1749&gt;=1970),"70",AND(D1749&lt;1990,D1749&gt;=1980),"80",AND(D1749&lt;2000,D1749&gt;=1990),"90",AND(D1749&lt;2010,D1749&gt;=2000),"00",AND(D1749&lt;=2019,D1749&gt;=2010),"10"),"1908-1970")</f>
        <v>1908-1970</v>
      </c>
      <c r="F1749" s="3">
        <v>0.56597222222222221</v>
      </c>
      <c r="G1749" t="s">
        <v>12623</v>
      </c>
      <c r="H1749" t="s">
        <v>8239</v>
      </c>
      <c r="I1749" t="s">
        <v>28931</v>
      </c>
      <c r="J1749" t="s">
        <v>12624</v>
      </c>
      <c r="K1749" t="s">
        <v>12625</v>
      </c>
      <c r="L1749" s="7" t="s">
        <v>12626</v>
      </c>
      <c r="M1749">
        <v>82</v>
      </c>
      <c r="N1749">
        <v>19</v>
      </c>
      <c r="O1749">
        <v>15</v>
      </c>
      <c r="P1749">
        <v>4</v>
      </c>
      <c r="Q1749">
        <v>15</v>
      </c>
      <c r="R1749">
        <v>13</v>
      </c>
      <c r="S1749">
        <v>2</v>
      </c>
      <c r="T1749">
        <v>0</v>
      </c>
      <c r="U1749" t="s">
        <v>12627</v>
      </c>
      <c r="V1749">
        <f>Tabla1[[#This Row],[Aboard]]-Tabla1[[#This Row],[Fatalities]]</f>
        <v>4</v>
      </c>
      <c r="W1749" s="50">
        <f>IFERROR(Tabla1[[#This Row],[Fatalities]]/Tabla1[[#This Row],[Aboard]],0)</f>
        <v>0.78947368421052633</v>
      </c>
      <c r="X1749" s="51" t="str" cm="1">
        <f t="array" ref="X1749">_xlfn.IFS(Tabla1[[#This Row],[Porcentaje de muertes]]&lt;0.35,"LEVE",AND(Tabla1[[#This Row],[Porcentaje de muertes]]&gt;0.35,Tabla1[[#This Row],[Porcentaje de muertes]]&lt;0.65),"MEDIO",Tabla1[[#This Row],[Porcentaje de muertes]]&gt;0.65,"GRAVE")</f>
        <v>GRAVE</v>
      </c>
    </row>
    <row r="1750" spans="2:24" x14ac:dyDescent="0.3">
      <c r="B1750" s="9">
        <v>1749</v>
      </c>
      <c r="C1750" s="49">
        <v>21887</v>
      </c>
      <c r="D1750" s="9">
        <f>YEAR(Tabla1[[#This Row],[Date]])</f>
        <v>1959</v>
      </c>
      <c r="E1750" s="9" t="str" cm="1">
        <f t="array" ref="E1750">IFERROR(_xlfn.IFS(AND(D1750&lt;1980,D1750&gt;=1970),"70",AND(D1750&lt;1990,D1750&gt;=1980),"80",AND(D1750&lt;2000,D1750&gt;=1990),"90",AND(D1750&lt;2010,D1750&gt;=2000),"00",AND(D1750&lt;=2019,D1750&gt;=2010),"10"),"1908-1970")</f>
        <v>1908-1970</v>
      </c>
      <c r="F1750" s="3">
        <v>0.59027777777777779</v>
      </c>
      <c r="G1750" t="s">
        <v>12628</v>
      </c>
      <c r="H1750" t="s">
        <v>11150</v>
      </c>
      <c r="I1750" t="s">
        <v>28931</v>
      </c>
      <c r="J1750" t="s">
        <v>12629</v>
      </c>
      <c r="K1750" t="s">
        <v>8105</v>
      </c>
      <c r="L1750" s="7" t="s">
        <v>12630</v>
      </c>
      <c r="M1750">
        <v>12493</v>
      </c>
      <c r="N1750">
        <v>7</v>
      </c>
      <c r="O1750">
        <v>4</v>
      </c>
      <c r="P1750">
        <v>3</v>
      </c>
      <c r="Q1750">
        <v>5</v>
      </c>
      <c r="R1750">
        <v>2</v>
      </c>
      <c r="S1750">
        <v>3</v>
      </c>
      <c r="T1750">
        <v>0</v>
      </c>
      <c r="U1750" t="s">
        <v>12631</v>
      </c>
      <c r="V1750">
        <f>Tabla1[[#This Row],[Aboard]]-Tabla1[[#This Row],[Fatalities]]</f>
        <v>2</v>
      </c>
      <c r="W1750" s="50">
        <f>IFERROR(Tabla1[[#This Row],[Fatalities]]/Tabla1[[#This Row],[Aboard]],0)</f>
        <v>0.7142857142857143</v>
      </c>
      <c r="X1750" s="51" t="str" cm="1">
        <f t="array" ref="X1750">_xlfn.IFS(Tabla1[[#This Row],[Porcentaje de muertes]]&lt;0.35,"LEVE",AND(Tabla1[[#This Row],[Porcentaje de muertes]]&gt;0.35,Tabla1[[#This Row],[Porcentaje de muertes]]&lt;0.65),"MEDIO",Tabla1[[#This Row],[Porcentaje de muertes]]&gt;0.65,"GRAVE")</f>
        <v>GRAVE</v>
      </c>
    </row>
    <row r="1751" spans="2:24" x14ac:dyDescent="0.3">
      <c r="B1751" s="9">
        <v>1750</v>
      </c>
      <c r="C1751" s="49">
        <v>21622</v>
      </c>
      <c r="D1751" s="9">
        <f>YEAR(Tabla1[[#This Row],[Date]])</f>
        <v>1959</v>
      </c>
      <c r="E1751" s="9" t="str" cm="1">
        <f t="array" ref="E1751">IFERROR(_xlfn.IFS(AND(D1751&lt;1980,D1751&gt;=1970),"70",AND(D1751&lt;1990,D1751&gt;=1980),"80",AND(D1751&lt;2000,D1751&gt;=1990),"90",AND(D1751&lt;2010,D1751&gt;=2000),"00",AND(D1751&lt;=2019,D1751&gt;=2010),"10"),"1908-1970")</f>
        <v>1908-1970</v>
      </c>
      <c r="F1751" s="3">
        <v>0.37638888888888888</v>
      </c>
      <c r="G1751" t="s">
        <v>12632</v>
      </c>
      <c r="H1751" t="s">
        <v>11146</v>
      </c>
      <c r="I1751" t="s">
        <v>28931</v>
      </c>
      <c r="J1751" t="s">
        <v>12633</v>
      </c>
      <c r="K1751" t="s">
        <v>11341</v>
      </c>
      <c r="L1751" s="7" t="s">
        <v>12634</v>
      </c>
      <c r="M1751">
        <v>12776</v>
      </c>
      <c r="N1751">
        <v>18</v>
      </c>
      <c r="O1751">
        <v>15</v>
      </c>
      <c r="P1751">
        <v>3</v>
      </c>
      <c r="Q1751">
        <v>1</v>
      </c>
      <c r="R1751">
        <v>1</v>
      </c>
      <c r="S1751">
        <v>0</v>
      </c>
      <c r="T1751">
        <v>0</v>
      </c>
      <c r="U1751" t="s">
        <v>12635</v>
      </c>
      <c r="V1751">
        <f>Tabla1[[#This Row],[Aboard]]-Tabla1[[#This Row],[Fatalities]]</f>
        <v>17</v>
      </c>
      <c r="W1751" s="50">
        <f>IFERROR(Tabla1[[#This Row],[Fatalities]]/Tabla1[[#This Row],[Aboard]],0)</f>
        <v>5.5555555555555552E-2</v>
      </c>
      <c r="X1751" s="51" t="str" cm="1">
        <f t="array" ref="X1751">_xlfn.IFS(Tabla1[[#This Row],[Porcentaje de muertes]]&lt;0.35,"LEVE",AND(Tabla1[[#This Row],[Porcentaje de muertes]]&gt;0.35,Tabla1[[#This Row],[Porcentaje de muertes]]&lt;0.65),"MEDIO",Tabla1[[#This Row],[Porcentaje de muertes]]&gt;0.65,"GRAVE")</f>
        <v>LEVE</v>
      </c>
    </row>
    <row r="1752" spans="2:24" x14ac:dyDescent="0.3">
      <c r="B1752" s="9">
        <v>1751</v>
      </c>
      <c r="C1752" s="49">
        <v>21638</v>
      </c>
      <c r="D1752" s="9">
        <f>YEAR(Tabla1[[#This Row],[Date]])</f>
        <v>1959</v>
      </c>
      <c r="E1752" s="9" t="str" cm="1">
        <f t="array" ref="E1752">IFERROR(_xlfn.IFS(AND(D1752&lt;1980,D1752&gt;=1970),"70",AND(D1752&lt;1990,D1752&gt;=1980),"80",AND(D1752&lt;2000,D1752&gt;=1990),"90",AND(D1752&lt;2010,D1752&gt;=2000),"00",AND(D1752&lt;=2019,D1752&gt;=2010),"10"),"1908-1970")</f>
        <v>1908-1970</v>
      </c>
      <c r="F1752" s="3" t="s">
        <v>28931</v>
      </c>
      <c r="G1752" t="s">
        <v>12636</v>
      </c>
      <c r="H1752" t="s">
        <v>10823</v>
      </c>
      <c r="I1752" t="s">
        <v>28931</v>
      </c>
      <c r="J1752" t="s">
        <v>12637</v>
      </c>
      <c r="K1752" t="s">
        <v>12638</v>
      </c>
      <c r="L1752" s="7" t="s">
        <v>12639</v>
      </c>
      <c r="M1752">
        <v>2</v>
      </c>
      <c r="N1752">
        <v>9</v>
      </c>
      <c r="O1752">
        <v>5</v>
      </c>
      <c r="P1752">
        <v>4</v>
      </c>
      <c r="Q1752">
        <v>9</v>
      </c>
      <c r="R1752">
        <v>5</v>
      </c>
      <c r="S1752">
        <v>4</v>
      </c>
      <c r="T1752">
        <v>0</v>
      </c>
      <c r="U1752" t="s">
        <v>12640</v>
      </c>
      <c r="V1752">
        <f>Tabla1[[#This Row],[Aboard]]-Tabla1[[#This Row],[Fatalities]]</f>
        <v>0</v>
      </c>
      <c r="W1752" s="50">
        <f>IFERROR(Tabla1[[#This Row],[Fatalities]]/Tabla1[[#This Row],[Aboard]],0)</f>
        <v>1</v>
      </c>
      <c r="X1752" s="51" t="str" cm="1">
        <f t="array" ref="X1752">_xlfn.IFS(Tabla1[[#This Row],[Porcentaje de muertes]]&lt;0.35,"LEVE",AND(Tabla1[[#This Row],[Porcentaje de muertes]]&gt;0.35,Tabla1[[#This Row],[Porcentaje de muertes]]&lt;0.65),"MEDIO",Tabla1[[#This Row],[Porcentaje de muertes]]&gt;0.65,"GRAVE")</f>
        <v>GRAVE</v>
      </c>
    </row>
    <row r="1753" spans="2:24" x14ac:dyDescent="0.3">
      <c r="B1753" s="9">
        <v>1752</v>
      </c>
      <c r="C1753" s="49">
        <v>21638</v>
      </c>
      <c r="D1753" s="9">
        <f>YEAR(Tabla1[[#This Row],[Date]])</f>
        <v>1959</v>
      </c>
      <c r="E1753" s="9" t="str" cm="1">
        <f t="array" ref="E1753">IFERROR(_xlfn.IFS(AND(D1753&lt;1980,D1753&gt;=1970),"70",AND(D1753&lt;1990,D1753&gt;=1980),"80",AND(D1753&lt;2000,D1753&gt;=1990),"90",AND(D1753&lt;2010,D1753&gt;=2000),"00",AND(D1753&lt;=2019,D1753&gt;=2010),"10"),"1908-1970")</f>
        <v>1908-1970</v>
      </c>
      <c r="F1753" s="3">
        <v>0.44791666666666669</v>
      </c>
      <c r="G1753" t="s">
        <v>12641</v>
      </c>
      <c r="H1753" t="s">
        <v>11150</v>
      </c>
      <c r="I1753" t="s">
        <v>28931</v>
      </c>
      <c r="J1753" t="s">
        <v>12642</v>
      </c>
      <c r="K1753" t="s">
        <v>7057</v>
      </c>
      <c r="L1753" s="7" t="s">
        <v>12643</v>
      </c>
      <c r="M1753">
        <v>20176</v>
      </c>
      <c r="N1753">
        <v>24</v>
      </c>
      <c r="O1753">
        <v>20</v>
      </c>
      <c r="P1753">
        <v>4</v>
      </c>
      <c r="Q1753">
        <v>24</v>
      </c>
      <c r="R1753">
        <v>20</v>
      </c>
      <c r="S1753">
        <v>4</v>
      </c>
      <c r="T1753">
        <v>0</v>
      </c>
      <c r="U1753" t="s">
        <v>12644</v>
      </c>
      <c r="V1753">
        <f>Tabla1[[#This Row],[Aboard]]-Tabla1[[#This Row],[Fatalities]]</f>
        <v>0</v>
      </c>
      <c r="W1753" s="50">
        <f>IFERROR(Tabla1[[#This Row],[Fatalities]]/Tabla1[[#This Row],[Aboard]],0)</f>
        <v>1</v>
      </c>
      <c r="X1753" s="51" t="str" cm="1">
        <f t="array" ref="X1753">_xlfn.IFS(Tabla1[[#This Row],[Porcentaje de muertes]]&lt;0.35,"LEVE",AND(Tabla1[[#This Row],[Porcentaje de muertes]]&gt;0.35,Tabla1[[#This Row],[Porcentaje de muertes]]&lt;0.65),"MEDIO",Tabla1[[#This Row],[Porcentaje de muertes]]&gt;0.65,"GRAVE")</f>
        <v>GRAVE</v>
      </c>
    </row>
    <row r="1754" spans="2:24" x14ac:dyDescent="0.3">
      <c r="B1754" s="9">
        <v>1753</v>
      </c>
      <c r="C1754" s="49">
        <v>21639</v>
      </c>
      <c r="D1754" s="9">
        <f>YEAR(Tabla1[[#This Row],[Date]])</f>
        <v>1959</v>
      </c>
      <c r="E1754" s="9" t="str" cm="1">
        <f t="array" ref="E1754">IFERROR(_xlfn.IFS(AND(D1754&lt;1980,D1754&gt;=1970),"70",AND(D1754&lt;1990,D1754&gt;=1980),"80",AND(D1754&lt;2000,D1754&gt;=1990),"90",AND(D1754&lt;2010,D1754&gt;=2000),"00",AND(D1754&lt;=2019,D1754&gt;=2010),"10"),"1908-1970")</f>
        <v>1908-1970</v>
      </c>
      <c r="F1754" s="3">
        <v>0.9902777777777777</v>
      </c>
      <c r="G1754" t="s">
        <v>12645</v>
      </c>
      <c r="H1754" t="s">
        <v>11679</v>
      </c>
      <c r="I1754">
        <v>402</v>
      </c>
      <c r="J1754" t="s">
        <v>12646</v>
      </c>
      <c r="K1754" t="s">
        <v>8305</v>
      </c>
      <c r="L1754" s="7" t="s">
        <v>12647</v>
      </c>
      <c r="M1754">
        <v>30242</v>
      </c>
      <c r="N1754">
        <v>2</v>
      </c>
      <c r="O1754">
        <v>0</v>
      </c>
      <c r="P1754">
        <v>2</v>
      </c>
      <c r="Q1754">
        <v>2</v>
      </c>
      <c r="R1754">
        <v>0</v>
      </c>
      <c r="S1754">
        <v>2</v>
      </c>
      <c r="T1754">
        <v>0</v>
      </c>
      <c r="U1754" t="s">
        <v>12648</v>
      </c>
      <c r="V1754">
        <f>Tabla1[[#This Row],[Aboard]]-Tabla1[[#This Row],[Fatalities]]</f>
        <v>0</v>
      </c>
      <c r="W1754" s="50">
        <f>IFERROR(Tabla1[[#This Row],[Fatalities]]/Tabla1[[#This Row],[Aboard]],0)</f>
        <v>1</v>
      </c>
      <c r="X1754" s="51" t="str" cm="1">
        <f t="array" ref="X1754">_xlfn.IFS(Tabla1[[#This Row],[Porcentaje de muertes]]&lt;0.35,"LEVE",AND(Tabla1[[#This Row],[Porcentaje de muertes]]&gt;0.35,Tabla1[[#This Row],[Porcentaje de muertes]]&lt;0.65),"MEDIO",Tabla1[[#This Row],[Porcentaje de muertes]]&gt;0.65,"GRAVE")</f>
        <v>GRAVE</v>
      </c>
    </row>
    <row r="1755" spans="2:24" x14ac:dyDescent="0.3">
      <c r="B1755" s="9">
        <v>1754</v>
      </c>
      <c r="C1755" s="49">
        <v>21657</v>
      </c>
      <c r="D1755" s="9">
        <f>YEAR(Tabla1[[#This Row],[Date]])</f>
        <v>1959</v>
      </c>
      <c r="E1755" s="9" t="str" cm="1">
        <f t="array" ref="E1755">IFERROR(_xlfn.IFS(AND(D1755&lt;1980,D1755&gt;=1970),"70",AND(D1755&lt;1990,D1755&gt;=1980),"80",AND(D1755&lt;2000,D1755&gt;=1990),"90",AND(D1755&lt;2010,D1755&gt;=2000),"00",AND(D1755&lt;=2019,D1755&gt;=2010),"10"),"1908-1970")</f>
        <v>1908-1970</v>
      </c>
      <c r="F1755" s="3">
        <v>0.27708333333333335</v>
      </c>
      <c r="G1755" t="s">
        <v>12649</v>
      </c>
      <c r="H1755" t="s">
        <v>11562</v>
      </c>
      <c r="I1755" t="s">
        <v>28931</v>
      </c>
      <c r="J1755" t="s">
        <v>12650</v>
      </c>
      <c r="K1755" t="s">
        <v>9851</v>
      </c>
      <c r="L1755" s="7" t="s">
        <v>12651</v>
      </c>
      <c r="M1755">
        <v>22586</v>
      </c>
      <c r="N1755">
        <v>26</v>
      </c>
      <c r="O1755">
        <v>21</v>
      </c>
      <c r="P1755">
        <v>5</v>
      </c>
      <c r="Q1755">
        <v>26</v>
      </c>
      <c r="R1755">
        <v>21</v>
      </c>
      <c r="S1755">
        <v>5</v>
      </c>
      <c r="T1755">
        <v>0</v>
      </c>
      <c r="U1755" t="s">
        <v>12652</v>
      </c>
      <c r="V1755">
        <f>Tabla1[[#This Row],[Aboard]]-Tabla1[[#This Row],[Fatalities]]</f>
        <v>0</v>
      </c>
      <c r="W1755" s="50">
        <f>IFERROR(Tabla1[[#This Row],[Fatalities]]/Tabla1[[#This Row],[Aboard]],0)</f>
        <v>1</v>
      </c>
      <c r="X1755" s="51" t="str" cm="1">
        <f t="array" ref="X1755">_xlfn.IFS(Tabla1[[#This Row],[Porcentaje de muertes]]&lt;0.35,"LEVE",AND(Tabla1[[#This Row],[Porcentaje de muertes]]&gt;0.35,Tabla1[[#This Row],[Porcentaje de muertes]]&lt;0.65),"MEDIO",Tabla1[[#This Row],[Porcentaje de muertes]]&gt;0.65,"GRAVE")</f>
        <v>GRAVE</v>
      </c>
    </row>
    <row r="1756" spans="2:24" x14ac:dyDescent="0.3">
      <c r="B1756" s="9">
        <v>1755</v>
      </c>
      <c r="C1756" s="49">
        <v>21663</v>
      </c>
      <c r="D1756" s="9">
        <f>YEAR(Tabla1[[#This Row],[Date]])</f>
        <v>1959</v>
      </c>
      <c r="E1756" s="9" t="str" cm="1">
        <f t="array" ref="E1756">IFERROR(_xlfn.IFS(AND(D1756&lt;1980,D1756&gt;=1970),"70",AND(D1756&lt;1990,D1756&gt;=1980),"80",AND(D1756&lt;2000,D1756&gt;=1990),"90",AND(D1756&lt;2010,D1756&gt;=2000),"00",AND(D1756&lt;=2019,D1756&gt;=2010),"10"),"1908-1970")</f>
        <v>1908-1970</v>
      </c>
      <c r="F1756" s="3">
        <v>0.4069444444444445</v>
      </c>
      <c r="G1756" t="s">
        <v>12653</v>
      </c>
      <c r="H1756" t="s">
        <v>12593</v>
      </c>
      <c r="I1756" t="s">
        <v>28931</v>
      </c>
      <c r="J1756" t="s">
        <v>12654</v>
      </c>
      <c r="K1756" t="s">
        <v>12655</v>
      </c>
      <c r="L1756" s="7" t="s">
        <v>12656</v>
      </c>
      <c r="M1756">
        <v>1256</v>
      </c>
      <c r="N1756">
        <v>12</v>
      </c>
      <c r="O1756">
        <v>0</v>
      </c>
      <c r="P1756">
        <v>12</v>
      </c>
      <c r="Q1756">
        <v>12</v>
      </c>
      <c r="R1756">
        <v>0</v>
      </c>
      <c r="S1756">
        <v>12</v>
      </c>
      <c r="T1756">
        <v>0</v>
      </c>
      <c r="U1756" t="s">
        <v>12657</v>
      </c>
      <c r="V1756">
        <f>Tabla1[[#This Row],[Aboard]]-Tabla1[[#This Row],[Fatalities]]</f>
        <v>0</v>
      </c>
      <c r="W1756" s="50">
        <f>IFERROR(Tabla1[[#This Row],[Fatalities]]/Tabla1[[#This Row],[Aboard]],0)</f>
        <v>1</v>
      </c>
      <c r="X1756" s="51" t="str" cm="1">
        <f t="array" ref="X1756">_xlfn.IFS(Tabla1[[#This Row],[Porcentaje de muertes]]&lt;0.35,"LEVE",AND(Tabla1[[#This Row],[Porcentaje de muertes]]&gt;0.35,Tabla1[[#This Row],[Porcentaje de muertes]]&lt;0.65),"MEDIO",Tabla1[[#This Row],[Porcentaje de muertes]]&gt;0.65,"GRAVE")</f>
        <v>GRAVE</v>
      </c>
    </row>
    <row r="1757" spans="2:24" x14ac:dyDescent="0.3">
      <c r="B1757" s="9">
        <v>1756</v>
      </c>
      <c r="C1757" s="49">
        <v>21669</v>
      </c>
      <c r="D1757" s="9">
        <f>YEAR(Tabla1[[#This Row],[Date]])</f>
        <v>1959</v>
      </c>
      <c r="E1757" s="9" t="str" cm="1">
        <f t="array" ref="E1757">IFERROR(_xlfn.IFS(AND(D1757&lt;1980,D1757&gt;=1970),"70",AND(D1757&lt;1990,D1757&gt;=1980),"80",AND(D1757&lt;2000,D1757&gt;=1990),"90",AND(D1757&lt;2010,D1757&gt;=2000),"00",AND(D1757&lt;=2019,D1757&gt;=2010),"10"),"1908-1970")</f>
        <v>1908-1970</v>
      </c>
      <c r="F1757" s="3">
        <v>0.70833333333333337</v>
      </c>
      <c r="G1757" t="s">
        <v>12658</v>
      </c>
      <c r="H1757" t="s">
        <v>5570</v>
      </c>
      <c r="I1757" t="s">
        <v>28931</v>
      </c>
      <c r="J1757" t="s">
        <v>5571</v>
      </c>
      <c r="K1757" t="s">
        <v>7057</v>
      </c>
      <c r="L1757" s="7" t="s">
        <v>12659</v>
      </c>
      <c r="M1757">
        <v>19334</v>
      </c>
      <c r="N1757">
        <v>28</v>
      </c>
      <c r="O1757">
        <v>25</v>
      </c>
      <c r="P1757">
        <v>3</v>
      </c>
      <c r="Q1757">
        <v>28</v>
      </c>
      <c r="R1757">
        <v>25</v>
      </c>
      <c r="S1757">
        <v>3</v>
      </c>
      <c r="T1757">
        <v>0</v>
      </c>
      <c r="U1757" t="s">
        <v>12660</v>
      </c>
      <c r="V1757">
        <f>Tabla1[[#This Row],[Aboard]]-Tabla1[[#This Row],[Fatalities]]</f>
        <v>0</v>
      </c>
      <c r="W1757" s="50">
        <f>IFERROR(Tabla1[[#This Row],[Fatalities]]/Tabla1[[#This Row],[Aboard]],0)</f>
        <v>1</v>
      </c>
      <c r="X1757" s="51" t="str" cm="1">
        <f t="array" ref="X1757">_xlfn.IFS(Tabla1[[#This Row],[Porcentaje de muertes]]&lt;0.35,"LEVE",AND(Tabla1[[#This Row],[Porcentaje de muertes]]&gt;0.35,Tabla1[[#This Row],[Porcentaje de muertes]]&lt;0.65),"MEDIO",Tabla1[[#This Row],[Porcentaje de muertes]]&gt;0.65,"GRAVE")</f>
        <v>GRAVE</v>
      </c>
    </row>
    <row r="1758" spans="2:24" x14ac:dyDescent="0.3">
      <c r="B1758" s="9">
        <v>1757</v>
      </c>
      <c r="C1758" s="49">
        <v>21586</v>
      </c>
      <c r="D1758" s="9">
        <f>YEAR(Tabla1[[#This Row],[Date]])</f>
        <v>1959</v>
      </c>
      <c r="E1758" s="9" t="str" cm="1">
        <f t="array" ref="E1758">IFERROR(_xlfn.IFS(AND(D1758&lt;1980,D1758&gt;=1970),"70",AND(D1758&lt;1990,D1758&gt;=1980),"80",AND(D1758&lt;2000,D1758&gt;=1990),"90",AND(D1758&lt;2010,D1758&gt;=2000),"00",AND(D1758&lt;=2019,D1758&gt;=2010),"10"),"1908-1970")</f>
        <v>1908-1970</v>
      </c>
      <c r="F1758" s="3">
        <v>0.92499999999999993</v>
      </c>
      <c r="G1758" t="s">
        <v>12661</v>
      </c>
      <c r="H1758" t="s">
        <v>12662</v>
      </c>
      <c r="I1758" t="s">
        <v>28931</v>
      </c>
      <c r="J1758" t="s">
        <v>12663</v>
      </c>
      <c r="K1758" t="s">
        <v>7057</v>
      </c>
      <c r="L1758" s="7" t="s">
        <v>12664</v>
      </c>
      <c r="M1758">
        <v>12210</v>
      </c>
      <c r="N1758">
        <v>5</v>
      </c>
      <c r="O1758">
        <v>2</v>
      </c>
      <c r="P1758">
        <v>3</v>
      </c>
      <c r="Q1758">
        <v>5</v>
      </c>
      <c r="R1758">
        <v>2</v>
      </c>
      <c r="S1758">
        <v>3</v>
      </c>
      <c r="T1758">
        <v>0</v>
      </c>
      <c r="U1758" t="s">
        <v>12665</v>
      </c>
      <c r="V1758">
        <f>Tabla1[[#This Row],[Aboard]]-Tabla1[[#This Row],[Fatalities]]</f>
        <v>0</v>
      </c>
      <c r="W1758" s="50">
        <f>IFERROR(Tabla1[[#This Row],[Fatalities]]/Tabla1[[#This Row],[Aboard]],0)</f>
        <v>1</v>
      </c>
      <c r="X1758" s="51" t="str" cm="1">
        <f t="array" ref="X1758">_xlfn.IFS(Tabla1[[#This Row],[Porcentaje de muertes]]&lt;0.35,"LEVE",AND(Tabla1[[#This Row],[Porcentaje de muertes]]&gt;0.35,Tabla1[[#This Row],[Porcentaje de muertes]]&lt;0.65),"MEDIO",Tabla1[[#This Row],[Porcentaje de muertes]]&gt;0.65,"GRAVE")</f>
        <v>GRAVE</v>
      </c>
    </row>
    <row r="1759" spans="2:24" x14ac:dyDescent="0.3">
      <c r="B1759" s="9">
        <v>1758</v>
      </c>
      <c r="C1759" s="49">
        <v>21889</v>
      </c>
      <c r="D1759" s="9">
        <f>YEAR(Tabla1[[#This Row],[Date]])</f>
        <v>1959</v>
      </c>
      <c r="E1759" s="9" t="str" cm="1">
        <f t="array" ref="E1759">IFERROR(_xlfn.IFS(AND(D1759&lt;1980,D1759&gt;=1970),"70",AND(D1759&lt;1990,D1759&gt;=1980),"80",AND(D1759&lt;2000,D1759&gt;=1990),"90",AND(D1759&lt;2010,D1759&gt;=2000),"00",AND(D1759&lt;=2019,D1759&gt;=2010),"10"),"1908-1970")</f>
        <v>1908-1970</v>
      </c>
      <c r="F1759" s="3">
        <v>0.67569444444444438</v>
      </c>
      <c r="G1759" t="s">
        <v>12666</v>
      </c>
      <c r="H1759" t="s">
        <v>9977</v>
      </c>
      <c r="I1759">
        <v>75</v>
      </c>
      <c r="J1759" t="s">
        <v>12667</v>
      </c>
      <c r="K1759" t="s">
        <v>12322</v>
      </c>
      <c r="L1759" s="7" t="s">
        <v>12668</v>
      </c>
      <c r="M1759">
        <v>287</v>
      </c>
      <c r="N1759">
        <v>31</v>
      </c>
      <c r="O1759">
        <v>27</v>
      </c>
      <c r="P1759">
        <v>4</v>
      </c>
      <c r="Q1759">
        <v>31</v>
      </c>
      <c r="R1759">
        <v>27</v>
      </c>
      <c r="S1759">
        <v>4</v>
      </c>
      <c r="T1759">
        <v>0</v>
      </c>
      <c r="U1759" t="s">
        <v>12669</v>
      </c>
      <c r="V1759">
        <f>Tabla1[[#This Row],[Aboard]]-Tabla1[[#This Row],[Fatalities]]</f>
        <v>0</v>
      </c>
      <c r="W1759" s="50">
        <f>IFERROR(Tabla1[[#This Row],[Fatalities]]/Tabla1[[#This Row],[Aboard]],0)</f>
        <v>1</v>
      </c>
      <c r="X1759" s="51" t="str" cm="1">
        <f t="array" ref="X1759">_xlfn.IFS(Tabla1[[#This Row],[Porcentaje de muertes]]&lt;0.35,"LEVE",AND(Tabla1[[#This Row],[Porcentaje de muertes]]&gt;0.35,Tabla1[[#This Row],[Porcentaje de muertes]]&lt;0.65),"MEDIO",Tabla1[[#This Row],[Porcentaje de muertes]]&gt;0.65,"GRAVE")</f>
        <v>GRAVE</v>
      </c>
    </row>
    <row r="1760" spans="2:24" x14ac:dyDescent="0.3">
      <c r="B1760" s="9">
        <v>1759</v>
      </c>
      <c r="C1760" s="49">
        <v>21889</v>
      </c>
      <c r="D1760" s="9">
        <f>YEAR(Tabla1[[#This Row],[Date]])</f>
        <v>1959</v>
      </c>
      <c r="E1760" s="9" t="str" cm="1">
        <f t="array" ref="E1760">IFERROR(_xlfn.IFS(AND(D1760&lt;1980,D1760&gt;=1970),"70",AND(D1760&lt;1990,D1760&gt;=1980),"80",AND(D1760&lt;2000,D1760&gt;=1990),"90",AND(D1760&lt;2010,D1760&gt;=2000),"00",AND(D1760&lt;=2019,D1760&gt;=2010),"10"),"1908-1970")</f>
        <v>1908-1970</v>
      </c>
      <c r="F1760" s="3">
        <v>0.64513888888888882</v>
      </c>
      <c r="G1760" t="s">
        <v>12670</v>
      </c>
      <c r="H1760" t="s">
        <v>9977</v>
      </c>
      <c r="I1760">
        <v>983</v>
      </c>
      <c r="J1760" t="s">
        <v>12671</v>
      </c>
      <c r="K1760" t="s">
        <v>12672</v>
      </c>
      <c r="L1760" s="7" t="s">
        <v>12673</v>
      </c>
      <c r="M1760">
        <v>1978</v>
      </c>
      <c r="N1760">
        <v>44</v>
      </c>
      <c r="O1760">
        <v>38</v>
      </c>
      <c r="P1760">
        <v>6</v>
      </c>
      <c r="Q1760">
        <v>2</v>
      </c>
      <c r="R1760">
        <v>1</v>
      </c>
      <c r="S1760">
        <v>1</v>
      </c>
      <c r="T1760">
        <v>0</v>
      </c>
      <c r="U1760" t="s">
        <v>12674</v>
      </c>
      <c r="V1760">
        <f>Tabla1[[#This Row],[Aboard]]-Tabla1[[#This Row],[Fatalities]]</f>
        <v>42</v>
      </c>
      <c r="W1760" s="50">
        <f>IFERROR(Tabla1[[#This Row],[Fatalities]]/Tabla1[[#This Row],[Aboard]],0)</f>
        <v>4.5454545454545456E-2</v>
      </c>
      <c r="X1760" s="51" t="str" cm="1">
        <f t="array" ref="X1760">_xlfn.IFS(Tabla1[[#This Row],[Porcentaje de muertes]]&lt;0.35,"LEVE",AND(Tabla1[[#This Row],[Porcentaje de muertes]]&gt;0.35,Tabla1[[#This Row],[Porcentaje de muertes]]&lt;0.65),"MEDIO",Tabla1[[#This Row],[Porcentaje de muertes]]&gt;0.65,"GRAVE")</f>
        <v>LEVE</v>
      </c>
    </row>
    <row r="1761" spans="2:24" x14ac:dyDescent="0.3">
      <c r="B1761" s="9">
        <v>1760</v>
      </c>
      <c r="C1761" s="49">
        <v>21683</v>
      </c>
      <c r="D1761" s="9">
        <f>YEAR(Tabla1[[#This Row],[Date]])</f>
        <v>1959</v>
      </c>
      <c r="E1761" s="9" t="str" cm="1">
        <f t="array" ref="E1761">IFERROR(_xlfn.IFS(AND(D1761&lt;1980,D1761&gt;=1970),"70",AND(D1761&lt;1990,D1761&gt;=1980),"80",AND(D1761&lt;2000,D1761&gt;=1990),"90",AND(D1761&lt;2010,D1761&gt;=2000),"00",AND(D1761&lt;=2019,D1761&gt;=2010),"10"),"1908-1970")</f>
        <v>1908-1970</v>
      </c>
      <c r="F1761" s="3" t="s">
        <v>28931</v>
      </c>
      <c r="G1761" t="s">
        <v>12675</v>
      </c>
      <c r="H1761" t="s">
        <v>12676</v>
      </c>
      <c r="I1761" t="s">
        <v>28931</v>
      </c>
      <c r="J1761" t="s">
        <v>12677</v>
      </c>
      <c r="K1761" t="s">
        <v>8305</v>
      </c>
      <c r="L1761" s="7" t="s">
        <v>12678</v>
      </c>
      <c r="M1761">
        <v>26829</v>
      </c>
      <c r="N1761">
        <v>12</v>
      </c>
      <c r="O1761">
        <v>10</v>
      </c>
      <c r="P1761">
        <v>2</v>
      </c>
      <c r="Q1761">
        <v>12</v>
      </c>
      <c r="R1761">
        <v>10</v>
      </c>
      <c r="S1761">
        <v>2</v>
      </c>
      <c r="T1761">
        <v>0</v>
      </c>
      <c r="U1761" t="s">
        <v>12679</v>
      </c>
      <c r="V1761">
        <f>Tabla1[[#This Row],[Aboard]]-Tabla1[[#This Row],[Fatalities]]</f>
        <v>0</v>
      </c>
      <c r="W1761" s="50">
        <f>IFERROR(Tabla1[[#This Row],[Fatalities]]/Tabla1[[#This Row],[Aboard]],0)</f>
        <v>1</v>
      </c>
      <c r="X1761" s="51" t="str" cm="1">
        <f t="array" ref="X1761">_xlfn.IFS(Tabla1[[#This Row],[Porcentaje de muertes]]&lt;0.35,"LEVE",AND(Tabla1[[#This Row],[Porcentaje de muertes]]&gt;0.35,Tabla1[[#This Row],[Porcentaje de muertes]]&lt;0.65),"MEDIO",Tabla1[[#This Row],[Porcentaje de muertes]]&gt;0.65,"GRAVE")</f>
        <v>GRAVE</v>
      </c>
    </row>
    <row r="1762" spans="2:24" x14ac:dyDescent="0.3">
      <c r="B1762" s="9">
        <v>1761</v>
      </c>
      <c r="C1762" s="49">
        <v>21685</v>
      </c>
      <c r="D1762" s="9">
        <f>YEAR(Tabla1[[#This Row],[Date]])</f>
        <v>1959</v>
      </c>
      <c r="E1762" s="9" t="str" cm="1">
        <f t="array" ref="E1762">IFERROR(_xlfn.IFS(AND(D1762&lt;1980,D1762&gt;=1970),"70",AND(D1762&lt;1990,D1762&gt;=1980),"80",AND(D1762&lt;2000,D1762&gt;=1990),"90",AND(D1762&lt;2010,D1762&gt;=2000),"00",AND(D1762&lt;=2019,D1762&gt;=2010),"10"),"1908-1970")</f>
        <v>1908-1970</v>
      </c>
      <c r="F1762" s="3">
        <v>0.86249999999999993</v>
      </c>
      <c r="G1762" t="s">
        <v>12680</v>
      </c>
      <c r="H1762" t="s">
        <v>10275</v>
      </c>
      <c r="I1762" t="s">
        <v>28931</v>
      </c>
      <c r="J1762" t="s">
        <v>12681</v>
      </c>
      <c r="K1762" t="s">
        <v>7057</v>
      </c>
      <c r="L1762" s="7" t="s">
        <v>12682</v>
      </c>
      <c r="M1762">
        <v>19790</v>
      </c>
      <c r="N1762">
        <v>10</v>
      </c>
      <c r="O1762">
        <v>6</v>
      </c>
      <c r="P1762">
        <v>4</v>
      </c>
      <c r="Q1762">
        <v>10</v>
      </c>
      <c r="R1762">
        <v>6</v>
      </c>
      <c r="S1762">
        <v>4</v>
      </c>
      <c r="T1762">
        <v>0</v>
      </c>
      <c r="U1762" t="s">
        <v>12683</v>
      </c>
      <c r="V1762">
        <f>Tabla1[[#This Row],[Aboard]]-Tabla1[[#This Row],[Fatalities]]</f>
        <v>0</v>
      </c>
      <c r="W1762" s="50">
        <f>IFERROR(Tabla1[[#This Row],[Fatalities]]/Tabla1[[#This Row],[Aboard]],0)</f>
        <v>1</v>
      </c>
      <c r="X1762" s="51" t="str" cm="1">
        <f t="array" ref="X1762">_xlfn.IFS(Tabla1[[#This Row],[Porcentaje de muertes]]&lt;0.35,"LEVE",AND(Tabla1[[#This Row],[Porcentaje de muertes]]&gt;0.35,Tabla1[[#This Row],[Porcentaje de muertes]]&lt;0.65),"MEDIO",Tabla1[[#This Row],[Porcentaje de muertes]]&gt;0.65,"GRAVE")</f>
        <v>GRAVE</v>
      </c>
    </row>
    <row r="1763" spans="2:24" x14ac:dyDescent="0.3">
      <c r="B1763" s="9">
        <v>1762</v>
      </c>
      <c r="C1763" s="49">
        <v>21691</v>
      </c>
      <c r="D1763" s="9">
        <f>YEAR(Tabla1[[#This Row],[Date]])</f>
        <v>1959</v>
      </c>
      <c r="E1763" s="9" t="str" cm="1">
        <f t="array" ref="E1763">IFERROR(_xlfn.IFS(AND(D1763&lt;1980,D1763&gt;=1970),"70",AND(D1763&lt;1990,D1763&gt;=1980),"80",AND(D1763&lt;2000,D1763&gt;=1990),"90",AND(D1763&lt;2010,D1763&gt;=2000),"00",AND(D1763&lt;=2019,D1763&gt;=2010),"10"),"1908-1970")</f>
        <v>1908-1970</v>
      </c>
      <c r="F1763" s="3" t="s">
        <v>28931</v>
      </c>
      <c r="G1763" t="s">
        <v>12684</v>
      </c>
      <c r="H1763" t="s">
        <v>12685</v>
      </c>
      <c r="I1763" t="s">
        <v>28931</v>
      </c>
      <c r="J1763" t="s">
        <v>12686</v>
      </c>
      <c r="K1763" t="s">
        <v>10597</v>
      </c>
      <c r="L1763" s="7" t="s">
        <v>12687</v>
      </c>
      <c r="M1763">
        <v>30482</v>
      </c>
      <c r="N1763">
        <v>8</v>
      </c>
      <c r="O1763">
        <v>4</v>
      </c>
      <c r="P1763">
        <v>4</v>
      </c>
      <c r="Q1763">
        <v>8</v>
      </c>
      <c r="R1763">
        <v>4</v>
      </c>
      <c r="S1763">
        <v>4</v>
      </c>
      <c r="T1763">
        <v>0</v>
      </c>
      <c r="U1763" t="s">
        <v>12688</v>
      </c>
      <c r="V1763">
        <f>Tabla1[[#This Row],[Aboard]]-Tabla1[[#This Row],[Fatalities]]</f>
        <v>0</v>
      </c>
      <c r="W1763" s="50">
        <f>IFERROR(Tabla1[[#This Row],[Fatalities]]/Tabla1[[#This Row],[Aboard]],0)</f>
        <v>1</v>
      </c>
      <c r="X1763" s="51" t="str" cm="1">
        <f t="array" ref="X1763">_xlfn.IFS(Tabla1[[#This Row],[Porcentaje de muertes]]&lt;0.35,"LEVE",AND(Tabla1[[#This Row],[Porcentaje de muertes]]&gt;0.35,Tabla1[[#This Row],[Porcentaje de muertes]]&lt;0.65),"MEDIO",Tabla1[[#This Row],[Porcentaje de muertes]]&gt;0.65,"GRAVE")</f>
        <v>GRAVE</v>
      </c>
    </row>
    <row r="1764" spans="2:24" x14ac:dyDescent="0.3">
      <c r="B1764" s="9">
        <v>1763</v>
      </c>
      <c r="C1764" s="49">
        <v>21556</v>
      </c>
      <c r="D1764" s="9">
        <f>YEAR(Tabla1[[#This Row],[Date]])</f>
        <v>1959</v>
      </c>
      <c r="E1764" s="9" t="str" cm="1">
        <f t="array" ref="E1764">IFERROR(_xlfn.IFS(AND(D1764&lt;1980,D1764&gt;=1970),"70",AND(D1764&lt;1990,D1764&gt;=1980),"80",AND(D1764&lt;2000,D1764&gt;=1990),"90",AND(D1764&lt;2010,D1764&gt;=2000),"00",AND(D1764&lt;=2019,D1764&gt;=2010),"10"),"1908-1970")</f>
        <v>1908-1970</v>
      </c>
      <c r="F1764" s="3" t="s">
        <v>28931</v>
      </c>
      <c r="G1764" t="s">
        <v>12689</v>
      </c>
      <c r="H1764" t="s">
        <v>12690</v>
      </c>
      <c r="I1764" t="s">
        <v>28931</v>
      </c>
      <c r="J1764" t="s">
        <v>28931</v>
      </c>
      <c r="K1764" t="s">
        <v>8697</v>
      </c>
      <c r="L1764" s="7" t="s">
        <v>12691</v>
      </c>
      <c r="M1764" t="s">
        <v>28931</v>
      </c>
      <c r="N1764">
        <v>60</v>
      </c>
      <c r="O1764">
        <v>55</v>
      </c>
      <c r="P1764">
        <v>5</v>
      </c>
      <c r="Q1764">
        <v>60</v>
      </c>
      <c r="R1764">
        <v>55</v>
      </c>
      <c r="S1764">
        <v>5</v>
      </c>
      <c r="T1764">
        <v>0</v>
      </c>
      <c r="U1764" t="s">
        <v>12692</v>
      </c>
      <c r="V1764">
        <f>Tabla1[[#This Row],[Aboard]]-Tabla1[[#This Row],[Fatalities]]</f>
        <v>0</v>
      </c>
      <c r="W1764" s="50">
        <f>IFERROR(Tabla1[[#This Row],[Fatalities]]/Tabla1[[#This Row],[Aboard]],0)</f>
        <v>1</v>
      </c>
      <c r="X1764" s="51" t="str" cm="1">
        <f t="array" ref="X1764">_xlfn.IFS(Tabla1[[#This Row],[Porcentaje de muertes]]&lt;0.35,"LEVE",AND(Tabla1[[#This Row],[Porcentaje de muertes]]&gt;0.35,Tabla1[[#This Row],[Porcentaje de muertes]]&lt;0.65),"MEDIO",Tabla1[[#This Row],[Porcentaje de muertes]]&gt;0.65,"GRAVE")</f>
        <v>GRAVE</v>
      </c>
    </row>
    <row r="1765" spans="2:24" x14ac:dyDescent="0.3">
      <c r="B1765" s="9">
        <v>1764</v>
      </c>
      <c r="C1765" s="49">
        <v>21676</v>
      </c>
      <c r="D1765" s="9">
        <f>YEAR(Tabla1[[#This Row],[Date]])</f>
        <v>1959</v>
      </c>
      <c r="E1765" s="9" t="str" cm="1">
        <f t="array" ref="E1765">IFERROR(_xlfn.IFS(AND(D1765&lt;1980,D1765&gt;=1970),"70",AND(D1765&lt;1990,D1765&gt;=1980),"80",AND(D1765&lt;2000,D1765&gt;=1990),"90",AND(D1765&lt;2010,D1765&gt;=2000),"00",AND(D1765&lt;=2019,D1765&gt;=2010),"10"),"1908-1970")</f>
        <v>1908-1970</v>
      </c>
      <c r="F1765" s="3" t="s">
        <v>28931</v>
      </c>
      <c r="G1765" t="s">
        <v>12693</v>
      </c>
      <c r="H1765" t="s">
        <v>12694</v>
      </c>
      <c r="I1765" t="s">
        <v>28931</v>
      </c>
      <c r="J1765" t="s">
        <v>12695</v>
      </c>
      <c r="K1765" t="s">
        <v>12696</v>
      </c>
      <c r="L1765" s="7" t="s">
        <v>28931</v>
      </c>
      <c r="M1765" t="s">
        <v>28931</v>
      </c>
      <c r="N1765">
        <v>19</v>
      </c>
      <c r="O1765" t="s">
        <v>5038</v>
      </c>
      <c r="P1765" t="s">
        <v>5038</v>
      </c>
      <c r="Q1765">
        <v>19</v>
      </c>
      <c r="R1765" t="s">
        <v>5038</v>
      </c>
      <c r="S1765" t="s">
        <v>5038</v>
      </c>
      <c r="T1765">
        <v>0</v>
      </c>
      <c r="U1765" t="s">
        <v>12697</v>
      </c>
      <c r="V1765">
        <f>Tabla1[[#This Row],[Aboard]]-Tabla1[[#This Row],[Fatalities]]</f>
        <v>0</v>
      </c>
      <c r="W1765" s="50">
        <f>IFERROR(Tabla1[[#This Row],[Fatalities]]/Tabla1[[#This Row],[Aboard]],0)</f>
        <v>1</v>
      </c>
      <c r="X1765" s="51" t="str" cm="1">
        <f t="array" ref="X1765">_xlfn.IFS(Tabla1[[#This Row],[Porcentaje de muertes]]&lt;0.35,"LEVE",AND(Tabla1[[#This Row],[Porcentaje de muertes]]&gt;0.35,Tabla1[[#This Row],[Porcentaje de muertes]]&lt;0.65),"MEDIO",Tabla1[[#This Row],[Porcentaje de muertes]]&gt;0.65,"GRAVE")</f>
        <v>GRAVE</v>
      </c>
    </row>
    <row r="1766" spans="2:24" x14ac:dyDescent="0.3">
      <c r="B1766" s="9">
        <v>1765</v>
      </c>
      <c r="C1766" s="49">
        <v>21890</v>
      </c>
      <c r="D1766" s="9">
        <f>YEAR(Tabla1[[#This Row],[Date]])</f>
        <v>1959</v>
      </c>
      <c r="E1766" s="9" t="str" cm="1">
        <f t="array" ref="E1766">IFERROR(_xlfn.IFS(AND(D1766&lt;1980,D1766&gt;=1970),"70",AND(D1766&lt;1990,D1766&gt;=1980),"80",AND(D1766&lt;2000,D1766&gt;=1990),"90",AND(D1766&lt;2010,D1766&gt;=2000),"00",AND(D1766&lt;=2019,D1766&gt;=2010),"10"),"1908-1970")</f>
        <v>1908-1970</v>
      </c>
      <c r="F1766" s="3" t="s">
        <v>28931</v>
      </c>
      <c r="G1766" t="s">
        <v>12698</v>
      </c>
      <c r="H1766" t="s">
        <v>12699</v>
      </c>
      <c r="I1766" t="s">
        <v>28931</v>
      </c>
      <c r="J1766" t="s">
        <v>28931</v>
      </c>
      <c r="K1766" t="s">
        <v>12700</v>
      </c>
      <c r="L1766" s="7" t="s">
        <v>12701</v>
      </c>
      <c r="M1766" t="s">
        <v>12702</v>
      </c>
      <c r="N1766">
        <v>8</v>
      </c>
      <c r="O1766">
        <v>7</v>
      </c>
      <c r="P1766">
        <v>1</v>
      </c>
      <c r="Q1766">
        <v>8</v>
      </c>
      <c r="R1766">
        <v>7</v>
      </c>
      <c r="S1766">
        <v>1</v>
      </c>
      <c r="T1766">
        <v>0</v>
      </c>
      <c r="U1766" t="s">
        <v>12703</v>
      </c>
      <c r="V1766">
        <f>Tabla1[[#This Row],[Aboard]]-Tabla1[[#This Row],[Fatalities]]</f>
        <v>0</v>
      </c>
      <c r="W1766" s="50">
        <f>IFERROR(Tabla1[[#This Row],[Fatalities]]/Tabla1[[#This Row],[Aboard]],0)</f>
        <v>1</v>
      </c>
      <c r="X1766" s="51" t="str" cm="1">
        <f t="array" ref="X1766">_xlfn.IFS(Tabla1[[#This Row],[Porcentaje de muertes]]&lt;0.35,"LEVE",AND(Tabla1[[#This Row],[Porcentaje de muertes]]&gt;0.35,Tabla1[[#This Row],[Porcentaje de muertes]]&lt;0.65),"MEDIO",Tabla1[[#This Row],[Porcentaje de muertes]]&gt;0.65,"GRAVE")</f>
        <v>GRAVE</v>
      </c>
    </row>
    <row r="1767" spans="2:24" x14ac:dyDescent="0.3">
      <c r="B1767" s="9">
        <v>1766</v>
      </c>
      <c r="C1767" s="49">
        <v>21724</v>
      </c>
      <c r="D1767" s="9">
        <f>YEAR(Tabla1[[#This Row],[Date]])</f>
        <v>1959</v>
      </c>
      <c r="E1767" s="9" t="str" cm="1">
        <f t="array" ref="E1767">IFERROR(_xlfn.IFS(AND(D1767&lt;1980,D1767&gt;=1970),"70",AND(D1767&lt;1990,D1767&gt;=1980),"80",AND(D1767&lt;2000,D1767&gt;=1990),"90",AND(D1767&lt;2010,D1767&gt;=2000),"00",AND(D1767&lt;=2019,D1767&gt;=2010),"10"),"1908-1970")</f>
        <v>1908-1970</v>
      </c>
      <c r="F1767" s="3">
        <v>0.8125</v>
      </c>
      <c r="G1767" t="s">
        <v>12704</v>
      </c>
      <c r="H1767" t="s">
        <v>8976</v>
      </c>
      <c r="I1767" t="s">
        <v>28931</v>
      </c>
      <c r="J1767" t="s">
        <v>12705</v>
      </c>
      <c r="K1767" t="s">
        <v>8822</v>
      </c>
      <c r="L1767" s="7" t="s">
        <v>12706</v>
      </c>
      <c r="M1767">
        <v>10418</v>
      </c>
      <c r="N1767">
        <v>14</v>
      </c>
      <c r="O1767">
        <v>10</v>
      </c>
      <c r="P1767">
        <v>4</v>
      </c>
      <c r="Q1767">
        <v>14</v>
      </c>
      <c r="R1767">
        <v>10</v>
      </c>
      <c r="S1767">
        <v>4</v>
      </c>
      <c r="T1767">
        <v>0</v>
      </c>
      <c r="U1767" t="s">
        <v>12707</v>
      </c>
      <c r="V1767">
        <f>Tabla1[[#This Row],[Aboard]]-Tabla1[[#This Row],[Fatalities]]</f>
        <v>0</v>
      </c>
      <c r="W1767" s="50">
        <f>IFERROR(Tabla1[[#This Row],[Fatalities]]/Tabla1[[#This Row],[Aboard]],0)</f>
        <v>1</v>
      </c>
      <c r="X1767" s="51" t="str" cm="1">
        <f t="array" ref="X1767">_xlfn.IFS(Tabla1[[#This Row],[Porcentaje de muertes]]&lt;0.35,"LEVE",AND(Tabla1[[#This Row],[Porcentaje de muertes]]&gt;0.35,Tabla1[[#This Row],[Porcentaje de muertes]]&lt;0.65),"MEDIO",Tabla1[[#This Row],[Porcentaje de muertes]]&gt;0.65,"GRAVE")</f>
        <v>GRAVE</v>
      </c>
    </row>
    <row r="1768" spans="2:24" x14ac:dyDescent="0.3">
      <c r="B1768" s="9">
        <v>1767</v>
      </c>
      <c r="C1768" s="49">
        <v>21727</v>
      </c>
      <c r="D1768" s="9">
        <f>YEAR(Tabla1[[#This Row],[Date]])</f>
        <v>1959</v>
      </c>
      <c r="E1768" s="9" t="str" cm="1">
        <f t="array" ref="E1768">IFERROR(_xlfn.IFS(AND(D1768&lt;1980,D1768&gt;=1970),"70",AND(D1768&lt;1990,D1768&gt;=1980),"80",AND(D1768&lt;2000,D1768&gt;=1990),"90",AND(D1768&lt;2010,D1768&gt;=2000),"00",AND(D1768&lt;=2019,D1768&gt;=2010),"10"),"1908-1970")</f>
        <v>1908-1970</v>
      </c>
      <c r="F1768" s="3">
        <v>0.73263888888888884</v>
      </c>
      <c r="G1768" t="s">
        <v>12708</v>
      </c>
      <c r="H1768" t="s">
        <v>10166</v>
      </c>
      <c r="I1768">
        <v>891</v>
      </c>
      <c r="J1768" t="s">
        <v>12709</v>
      </c>
      <c r="K1768" t="s">
        <v>12710</v>
      </c>
      <c r="L1768" s="7" t="s">
        <v>12711</v>
      </c>
      <c r="M1768">
        <v>1015</v>
      </c>
      <c r="N1768">
        <v>68</v>
      </c>
      <c r="O1768">
        <v>59</v>
      </c>
      <c r="P1768">
        <v>9</v>
      </c>
      <c r="Q1768">
        <v>68</v>
      </c>
      <c r="R1768">
        <v>59</v>
      </c>
      <c r="S1768">
        <v>9</v>
      </c>
      <c r="T1768">
        <v>0</v>
      </c>
      <c r="U1768" t="s">
        <v>12712</v>
      </c>
      <c r="V1768">
        <f>Tabla1[[#This Row],[Aboard]]-Tabla1[[#This Row],[Fatalities]]</f>
        <v>0</v>
      </c>
      <c r="W1768" s="50">
        <f>IFERROR(Tabla1[[#This Row],[Fatalities]]/Tabla1[[#This Row],[Aboard]],0)</f>
        <v>1</v>
      </c>
      <c r="X1768" s="51" t="str" cm="1">
        <f t="array" ref="X1768">_xlfn.IFS(Tabla1[[#This Row],[Porcentaje de muertes]]&lt;0.35,"LEVE",AND(Tabla1[[#This Row],[Porcentaje de muertes]]&gt;0.35,Tabla1[[#This Row],[Porcentaje de muertes]]&lt;0.65),"MEDIO",Tabla1[[#This Row],[Porcentaje de muertes]]&gt;0.65,"GRAVE")</f>
        <v>GRAVE</v>
      </c>
    </row>
    <row r="1769" spans="2:24" x14ac:dyDescent="0.3">
      <c r="B1769" s="9">
        <v>1768</v>
      </c>
      <c r="C1769" s="49">
        <v>21731</v>
      </c>
      <c r="D1769" s="9">
        <f>YEAR(Tabla1[[#This Row],[Date]])</f>
        <v>1959</v>
      </c>
      <c r="E1769" s="9" t="str" cm="1">
        <f t="array" ref="E1769">IFERROR(_xlfn.IFS(AND(D1769&lt;1980,D1769&gt;=1970),"70",AND(D1769&lt;1990,D1769&gt;=1980),"80",AND(D1769&lt;2000,D1769&gt;=1990),"90",AND(D1769&lt;2010,D1769&gt;=2000),"00",AND(D1769&lt;=2019,D1769&gt;=2010),"10"),"1908-1970")</f>
        <v>1908-1970</v>
      </c>
      <c r="F1769" s="3">
        <v>0.44097222222222227</v>
      </c>
      <c r="G1769" t="s">
        <v>12713</v>
      </c>
      <c r="H1769" t="s">
        <v>7987</v>
      </c>
      <c r="I1769" t="s">
        <v>28931</v>
      </c>
      <c r="J1769" t="s">
        <v>28931</v>
      </c>
      <c r="K1769" t="s">
        <v>12714</v>
      </c>
      <c r="L1769" s="7" t="s">
        <v>12715</v>
      </c>
      <c r="M1769" t="s">
        <v>28931</v>
      </c>
      <c r="N1769">
        <v>1</v>
      </c>
      <c r="O1769">
        <v>0</v>
      </c>
      <c r="P1769">
        <v>1</v>
      </c>
      <c r="Q1769">
        <v>0</v>
      </c>
      <c r="R1769">
        <v>0</v>
      </c>
      <c r="S1769">
        <v>0</v>
      </c>
      <c r="T1769">
        <v>17</v>
      </c>
      <c r="U1769" t="s">
        <v>12716</v>
      </c>
      <c r="V1769">
        <f>Tabla1[[#This Row],[Aboard]]-Tabla1[[#This Row],[Fatalities]]</f>
        <v>1</v>
      </c>
      <c r="W1769" s="50">
        <f>IFERROR(Tabla1[[#This Row],[Fatalities]]/Tabla1[[#This Row],[Aboard]],0)</f>
        <v>0</v>
      </c>
      <c r="X1769" s="51" t="str" cm="1">
        <f t="array" ref="X1769">_xlfn.IFS(Tabla1[[#This Row],[Porcentaje de muertes]]&lt;0.35,"LEVE",AND(Tabla1[[#This Row],[Porcentaje de muertes]]&gt;0.35,Tabla1[[#This Row],[Porcentaje de muertes]]&lt;0.65),"MEDIO",Tabla1[[#This Row],[Porcentaje de muertes]]&gt;0.65,"GRAVE")</f>
        <v>LEVE</v>
      </c>
    </row>
    <row r="1770" spans="2:24" x14ac:dyDescent="0.3">
      <c r="B1770" s="9">
        <v>1769</v>
      </c>
      <c r="C1770" s="49">
        <v>21746</v>
      </c>
      <c r="D1770" s="9">
        <f>YEAR(Tabla1[[#This Row],[Date]])</f>
        <v>1959</v>
      </c>
      <c r="E1770" s="9" t="str" cm="1">
        <f t="array" ref="E1770">IFERROR(_xlfn.IFS(AND(D1770&lt;1980,D1770&gt;=1970),"70",AND(D1770&lt;1990,D1770&gt;=1980),"80",AND(D1770&lt;2000,D1770&gt;=1990),"90",AND(D1770&lt;2010,D1770&gt;=2000),"00",AND(D1770&lt;=2019,D1770&gt;=2010),"10"),"1908-1970")</f>
        <v>1908-1970</v>
      </c>
      <c r="F1770" s="3" t="s">
        <v>28931</v>
      </c>
      <c r="G1770" t="s">
        <v>12717</v>
      </c>
      <c r="H1770" t="s">
        <v>12718</v>
      </c>
      <c r="I1770" t="s">
        <v>28931</v>
      </c>
      <c r="J1770" t="s">
        <v>12719</v>
      </c>
      <c r="K1770" t="s">
        <v>9165</v>
      </c>
      <c r="L1770" s="7" t="s">
        <v>12720</v>
      </c>
      <c r="M1770" t="s">
        <v>12721</v>
      </c>
      <c r="N1770">
        <v>32</v>
      </c>
      <c r="O1770">
        <v>27</v>
      </c>
      <c r="P1770">
        <v>5</v>
      </c>
      <c r="Q1770">
        <v>32</v>
      </c>
      <c r="R1770">
        <v>27</v>
      </c>
      <c r="S1770">
        <v>5</v>
      </c>
      <c r="T1770" t="s">
        <v>5038</v>
      </c>
      <c r="U1770" t="s">
        <v>12722</v>
      </c>
      <c r="V1770">
        <f>Tabla1[[#This Row],[Aboard]]-Tabla1[[#This Row],[Fatalities]]</f>
        <v>0</v>
      </c>
      <c r="W1770" s="50">
        <f>IFERROR(Tabla1[[#This Row],[Fatalities]]/Tabla1[[#This Row],[Aboard]],0)</f>
        <v>1</v>
      </c>
      <c r="X1770" s="51" t="str" cm="1">
        <f t="array" ref="X1770">_xlfn.IFS(Tabla1[[#This Row],[Porcentaje de muertes]]&lt;0.35,"LEVE",AND(Tabla1[[#This Row],[Porcentaje de muertes]]&gt;0.35,Tabla1[[#This Row],[Porcentaje de muertes]]&lt;0.65),"MEDIO",Tabla1[[#This Row],[Porcentaje de muertes]]&gt;0.65,"GRAVE")</f>
        <v>GRAVE</v>
      </c>
    </row>
    <row r="1771" spans="2:24" x14ac:dyDescent="0.3">
      <c r="B1771" s="9">
        <v>1770</v>
      </c>
      <c r="C1771" s="49">
        <v>21617</v>
      </c>
      <c r="D1771" s="9">
        <f>YEAR(Tabla1[[#This Row],[Date]])</f>
        <v>1959</v>
      </c>
      <c r="E1771" s="9" t="str" cm="1">
        <f t="array" ref="E1771">IFERROR(_xlfn.IFS(AND(D1771&lt;1980,D1771&gt;=1970),"70",AND(D1771&lt;1990,D1771&gt;=1980),"80",AND(D1771&lt;2000,D1771&gt;=1990),"90",AND(D1771&lt;2010,D1771&gt;=2000),"00",AND(D1771&lt;=2019,D1771&gt;=2010),"10"),"1908-1970")</f>
        <v>1908-1970</v>
      </c>
      <c r="F1771" s="3">
        <v>0.4375</v>
      </c>
      <c r="G1771" t="s">
        <v>12723</v>
      </c>
      <c r="H1771" t="s">
        <v>10608</v>
      </c>
      <c r="I1771" t="s">
        <v>28931</v>
      </c>
      <c r="J1771" t="s">
        <v>12724</v>
      </c>
      <c r="K1771" t="s">
        <v>7057</v>
      </c>
      <c r="L1771" s="7" t="s">
        <v>12725</v>
      </c>
      <c r="M1771">
        <v>9549</v>
      </c>
      <c r="N1771">
        <v>6</v>
      </c>
      <c r="O1771">
        <v>3</v>
      </c>
      <c r="P1771">
        <v>3</v>
      </c>
      <c r="Q1771">
        <v>6</v>
      </c>
      <c r="R1771">
        <v>3</v>
      </c>
      <c r="S1771">
        <v>3</v>
      </c>
      <c r="T1771">
        <v>0</v>
      </c>
      <c r="U1771" t="s">
        <v>12726</v>
      </c>
      <c r="V1771">
        <f>Tabla1[[#This Row],[Aboard]]-Tabla1[[#This Row],[Fatalities]]</f>
        <v>0</v>
      </c>
      <c r="W1771" s="50">
        <f>IFERROR(Tabla1[[#This Row],[Fatalities]]/Tabla1[[#This Row],[Aboard]],0)</f>
        <v>1</v>
      </c>
      <c r="X1771" s="51" t="str" cm="1">
        <f t="array" ref="X1771">_xlfn.IFS(Tabla1[[#This Row],[Porcentaje de muertes]]&lt;0.35,"LEVE",AND(Tabla1[[#This Row],[Porcentaje de muertes]]&gt;0.35,Tabla1[[#This Row],[Porcentaje de muertes]]&lt;0.65),"MEDIO",Tabla1[[#This Row],[Porcentaje de muertes]]&gt;0.65,"GRAVE")</f>
        <v>GRAVE</v>
      </c>
    </row>
    <row r="1772" spans="2:24" x14ac:dyDescent="0.3">
      <c r="B1772" s="9">
        <v>1771</v>
      </c>
      <c r="C1772" s="49">
        <v>21776</v>
      </c>
      <c r="D1772" s="9">
        <f>YEAR(Tabla1[[#This Row],[Date]])</f>
        <v>1959</v>
      </c>
      <c r="E1772" s="9" t="str" cm="1">
        <f t="array" ref="E1772">IFERROR(_xlfn.IFS(AND(D1772&lt;1980,D1772&gt;=1970),"70",AND(D1772&lt;1990,D1772&gt;=1980),"80",AND(D1772&lt;2000,D1772&gt;=1990),"90",AND(D1772&lt;2010,D1772&gt;=2000),"00",AND(D1772&lt;=2019,D1772&gt;=2010),"10"),"1908-1970")</f>
        <v>1908-1970</v>
      </c>
      <c r="F1772" s="3">
        <v>0.92638888888888893</v>
      </c>
      <c r="G1772" t="s">
        <v>9559</v>
      </c>
      <c r="H1772" t="s">
        <v>11736</v>
      </c>
      <c r="I1772" t="s">
        <v>28931</v>
      </c>
      <c r="J1772" t="s">
        <v>6190</v>
      </c>
      <c r="K1772" t="s">
        <v>12727</v>
      </c>
      <c r="L1772" s="7" t="s">
        <v>12728</v>
      </c>
      <c r="M1772">
        <v>337</v>
      </c>
      <c r="N1772">
        <v>3</v>
      </c>
      <c r="O1772">
        <v>0</v>
      </c>
      <c r="P1772">
        <v>3</v>
      </c>
      <c r="Q1772">
        <v>2</v>
      </c>
      <c r="R1772">
        <v>0</v>
      </c>
      <c r="S1772">
        <v>2</v>
      </c>
      <c r="T1772">
        <v>0</v>
      </c>
      <c r="U1772" t="s">
        <v>12729</v>
      </c>
      <c r="V1772">
        <f>Tabla1[[#This Row],[Aboard]]-Tabla1[[#This Row],[Fatalities]]</f>
        <v>1</v>
      </c>
      <c r="W1772" s="50">
        <f>IFERROR(Tabla1[[#This Row],[Fatalities]]/Tabla1[[#This Row],[Aboard]],0)</f>
        <v>0.66666666666666663</v>
      </c>
      <c r="X1772" s="51" t="str" cm="1">
        <f t="array" ref="X1772">_xlfn.IFS(Tabla1[[#This Row],[Porcentaje de muertes]]&lt;0.35,"LEVE",AND(Tabla1[[#This Row],[Porcentaje de muertes]]&gt;0.35,Tabla1[[#This Row],[Porcentaje de muertes]]&lt;0.65),"MEDIO",Tabla1[[#This Row],[Porcentaje de muertes]]&gt;0.65,"GRAVE")</f>
        <v>GRAVE</v>
      </c>
    </row>
    <row r="1773" spans="2:24" x14ac:dyDescent="0.3">
      <c r="B1773" s="9">
        <v>1772</v>
      </c>
      <c r="C1773" s="49">
        <v>21777</v>
      </c>
      <c r="D1773" s="9">
        <f>YEAR(Tabla1[[#This Row],[Date]])</f>
        <v>1959</v>
      </c>
      <c r="E1773" s="9" t="str" cm="1">
        <f t="array" ref="E1773">IFERROR(_xlfn.IFS(AND(D1773&lt;1980,D1773&gt;=1970),"70",AND(D1773&lt;1990,D1773&gt;=1980),"80",AND(D1773&lt;2000,D1773&gt;=1990),"90",AND(D1773&lt;2010,D1773&gt;=2000),"00",AND(D1773&lt;=2019,D1773&gt;=2010),"10"),"1908-1970")</f>
        <v>1908-1970</v>
      </c>
      <c r="F1773" s="3">
        <v>0.6958333333333333</v>
      </c>
      <c r="G1773" t="s">
        <v>12730</v>
      </c>
      <c r="H1773" t="s">
        <v>6536</v>
      </c>
      <c r="I1773">
        <v>514</v>
      </c>
      <c r="J1773" t="s">
        <v>6190</v>
      </c>
      <c r="K1773" t="s">
        <v>12731</v>
      </c>
      <c r="L1773" s="7" t="s">
        <v>12732</v>
      </c>
      <c r="M1773" t="s">
        <v>12733</v>
      </c>
      <c r="N1773">
        <v>5</v>
      </c>
      <c r="O1773">
        <v>0</v>
      </c>
      <c r="P1773">
        <v>5</v>
      </c>
      <c r="Q1773">
        <v>5</v>
      </c>
      <c r="R1773">
        <v>0</v>
      </c>
      <c r="S1773">
        <v>5</v>
      </c>
      <c r="T1773">
        <v>0</v>
      </c>
      <c r="U1773" t="s">
        <v>12734</v>
      </c>
      <c r="V1773">
        <f>Tabla1[[#This Row],[Aboard]]-Tabla1[[#This Row],[Fatalities]]</f>
        <v>0</v>
      </c>
      <c r="W1773" s="50">
        <f>IFERROR(Tabla1[[#This Row],[Fatalities]]/Tabla1[[#This Row],[Aboard]],0)</f>
        <v>1</v>
      </c>
      <c r="X1773" s="51" t="str" cm="1">
        <f t="array" ref="X1773">_xlfn.IFS(Tabla1[[#This Row],[Porcentaje de muertes]]&lt;0.35,"LEVE",AND(Tabla1[[#This Row],[Porcentaje de muertes]]&gt;0.35,Tabla1[[#This Row],[Porcentaje de muertes]]&lt;0.65),"MEDIO",Tabla1[[#This Row],[Porcentaje de muertes]]&gt;0.65,"GRAVE")</f>
        <v>GRAVE</v>
      </c>
    </row>
    <row r="1774" spans="2:24" x14ac:dyDescent="0.3">
      <c r="B1774" s="9">
        <v>1773</v>
      </c>
      <c r="C1774" s="49">
        <v>21781</v>
      </c>
      <c r="D1774" s="9">
        <f>YEAR(Tabla1[[#This Row],[Date]])</f>
        <v>1959</v>
      </c>
      <c r="E1774" s="9" t="str" cm="1">
        <f t="array" ref="E1774">IFERROR(_xlfn.IFS(AND(D1774&lt;1980,D1774&gt;=1970),"70",AND(D1774&lt;1990,D1774&gt;=1980),"80",AND(D1774&lt;2000,D1774&gt;=1990),"90",AND(D1774&lt;2010,D1774&gt;=2000),"00",AND(D1774&lt;=2019,D1774&gt;=2010),"10"),"1908-1970")</f>
        <v>1908-1970</v>
      </c>
      <c r="F1774" s="3">
        <v>0.71527777777777779</v>
      </c>
      <c r="G1774" t="s">
        <v>12735</v>
      </c>
      <c r="H1774" t="s">
        <v>12736</v>
      </c>
      <c r="I1774" t="s">
        <v>28931</v>
      </c>
      <c r="J1774" t="s">
        <v>12737</v>
      </c>
      <c r="K1774" t="s">
        <v>7057</v>
      </c>
      <c r="L1774" s="7" t="s">
        <v>12738</v>
      </c>
      <c r="M1774" t="s">
        <v>12739</v>
      </c>
      <c r="N1774">
        <v>32</v>
      </c>
      <c r="O1774">
        <v>29</v>
      </c>
      <c r="P1774">
        <v>3</v>
      </c>
      <c r="Q1774">
        <v>32</v>
      </c>
      <c r="R1774">
        <v>29</v>
      </c>
      <c r="S1774">
        <v>3</v>
      </c>
      <c r="T1774">
        <v>0</v>
      </c>
      <c r="U1774" t="s">
        <v>12740</v>
      </c>
      <c r="V1774">
        <f>Tabla1[[#This Row],[Aboard]]-Tabla1[[#This Row],[Fatalities]]</f>
        <v>0</v>
      </c>
      <c r="W1774" s="50">
        <f>IFERROR(Tabla1[[#This Row],[Fatalities]]/Tabla1[[#This Row],[Aboard]],0)</f>
        <v>1</v>
      </c>
      <c r="X1774" s="51" t="str" cm="1">
        <f t="array" ref="X1774">_xlfn.IFS(Tabla1[[#This Row],[Porcentaje de muertes]]&lt;0.35,"LEVE",AND(Tabla1[[#This Row],[Porcentaje de muertes]]&gt;0.35,Tabla1[[#This Row],[Porcentaje de muertes]]&lt;0.65),"MEDIO",Tabla1[[#This Row],[Porcentaje de muertes]]&gt;0.65,"GRAVE")</f>
        <v>GRAVE</v>
      </c>
    </row>
    <row r="1775" spans="2:24" x14ac:dyDescent="0.3">
      <c r="B1775" s="9">
        <v>1774</v>
      </c>
      <c r="C1775" s="49">
        <v>21789</v>
      </c>
      <c r="D1775" s="9">
        <f>YEAR(Tabla1[[#This Row],[Date]])</f>
        <v>1959</v>
      </c>
      <c r="E1775" s="9" t="str" cm="1">
        <f t="array" ref="E1775">IFERROR(_xlfn.IFS(AND(D1775&lt;1980,D1775&gt;=1970),"70",AND(D1775&lt;1990,D1775&gt;=1980),"80",AND(D1775&lt;2000,D1775&gt;=1990),"90",AND(D1775&lt;2010,D1775&gt;=2000),"00",AND(D1775&lt;=2019,D1775&gt;=2010),"10"),"1908-1970")</f>
        <v>1908-1970</v>
      </c>
      <c r="F1775" s="3" t="s">
        <v>28931</v>
      </c>
      <c r="G1775" t="s">
        <v>11558</v>
      </c>
      <c r="H1775" t="s">
        <v>10275</v>
      </c>
      <c r="I1775" t="s">
        <v>28931</v>
      </c>
      <c r="J1775" t="s">
        <v>12741</v>
      </c>
      <c r="K1775" t="s">
        <v>12742</v>
      </c>
      <c r="L1775" s="7" t="s">
        <v>12743</v>
      </c>
      <c r="M1775">
        <v>6411</v>
      </c>
      <c r="N1775">
        <v>50</v>
      </c>
      <c r="O1775">
        <v>44</v>
      </c>
      <c r="P1775">
        <v>6</v>
      </c>
      <c r="Q1775">
        <v>2</v>
      </c>
      <c r="R1775">
        <v>1</v>
      </c>
      <c r="S1775">
        <v>1</v>
      </c>
      <c r="T1775">
        <v>0</v>
      </c>
      <c r="U1775" t="s">
        <v>12744</v>
      </c>
      <c r="V1775">
        <f>Tabla1[[#This Row],[Aboard]]-Tabla1[[#This Row],[Fatalities]]</f>
        <v>48</v>
      </c>
      <c r="W1775" s="50">
        <f>IFERROR(Tabla1[[#This Row],[Fatalities]]/Tabla1[[#This Row],[Aboard]],0)</f>
        <v>0.04</v>
      </c>
      <c r="X1775" s="51" t="str" cm="1">
        <f t="array" ref="X1775">_xlfn.IFS(Tabla1[[#This Row],[Porcentaje de muertes]]&lt;0.35,"LEVE",AND(Tabla1[[#This Row],[Porcentaje de muertes]]&gt;0.35,Tabla1[[#This Row],[Porcentaje de muertes]]&lt;0.65),"MEDIO",Tabla1[[#This Row],[Porcentaje de muertes]]&gt;0.65,"GRAVE")</f>
        <v>LEVE</v>
      </c>
    </row>
    <row r="1776" spans="2:24" x14ac:dyDescent="0.3">
      <c r="B1776" s="9">
        <v>1775</v>
      </c>
      <c r="C1776" s="49">
        <v>21590</v>
      </c>
      <c r="D1776" s="9">
        <f>YEAR(Tabla1[[#This Row],[Date]])</f>
        <v>1959</v>
      </c>
      <c r="E1776" s="9" t="str" cm="1">
        <f t="array" ref="E1776">IFERROR(_xlfn.IFS(AND(D1776&lt;1980,D1776&gt;=1970),"70",AND(D1776&lt;1990,D1776&gt;=1980),"80",AND(D1776&lt;2000,D1776&gt;=1990),"90",AND(D1776&lt;2010,D1776&gt;=2000),"00",AND(D1776&lt;=2019,D1776&gt;=2010),"10"),"1908-1970")</f>
        <v>1908-1970</v>
      </c>
      <c r="F1776" s="3">
        <v>0.71944444444444444</v>
      </c>
      <c r="G1776" t="s">
        <v>12745</v>
      </c>
      <c r="H1776" t="s">
        <v>11522</v>
      </c>
      <c r="I1776" t="s">
        <v>28931</v>
      </c>
      <c r="J1776" t="s">
        <v>12746</v>
      </c>
      <c r="K1776" t="s">
        <v>8305</v>
      </c>
      <c r="L1776" s="7" t="s">
        <v>12747</v>
      </c>
      <c r="M1776">
        <v>26809</v>
      </c>
      <c r="N1776">
        <v>2</v>
      </c>
      <c r="O1776">
        <v>0</v>
      </c>
      <c r="P1776">
        <v>2</v>
      </c>
      <c r="Q1776">
        <v>2</v>
      </c>
      <c r="R1776">
        <v>0</v>
      </c>
      <c r="S1776">
        <v>2</v>
      </c>
      <c r="T1776">
        <v>0</v>
      </c>
      <c r="U1776" t="s">
        <v>12748</v>
      </c>
      <c r="V1776">
        <f>Tabla1[[#This Row],[Aboard]]-Tabla1[[#This Row],[Fatalities]]</f>
        <v>0</v>
      </c>
      <c r="W1776" s="50">
        <f>IFERROR(Tabla1[[#This Row],[Fatalities]]/Tabla1[[#This Row],[Aboard]],0)</f>
        <v>1</v>
      </c>
      <c r="X1776" s="51" t="str" cm="1">
        <f t="array" ref="X1776">_xlfn.IFS(Tabla1[[#This Row],[Porcentaje de muertes]]&lt;0.35,"LEVE",AND(Tabla1[[#This Row],[Porcentaje de muertes]]&gt;0.35,Tabla1[[#This Row],[Porcentaje de muertes]]&lt;0.65),"MEDIO",Tabla1[[#This Row],[Porcentaje de muertes]]&gt;0.65,"GRAVE")</f>
        <v>GRAVE</v>
      </c>
    </row>
    <row r="1777" spans="2:24" x14ac:dyDescent="0.3">
      <c r="B1777" s="9">
        <v>1776</v>
      </c>
      <c r="C1777" s="49">
        <v>21771</v>
      </c>
      <c r="D1777" s="9">
        <f>YEAR(Tabla1[[#This Row],[Date]])</f>
        <v>1959</v>
      </c>
      <c r="E1777" s="9" t="str" cm="1">
        <f t="array" ref="E1777">IFERROR(_xlfn.IFS(AND(D1777&lt;1980,D1777&gt;=1970),"70",AND(D1777&lt;1990,D1777&gt;=1980),"80",AND(D1777&lt;2000,D1777&gt;=1990),"90",AND(D1777&lt;2010,D1777&gt;=2000),"00",AND(D1777&lt;=2019,D1777&gt;=2010),"10"),"1908-1970")</f>
        <v>1908-1970</v>
      </c>
      <c r="F1777" s="3" t="s">
        <v>28931</v>
      </c>
      <c r="G1777" t="s">
        <v>12749</v>
      </c>
      <c r="H1777" t="s">
        <v>5740</v>
      </c>
      <c r="I1777" t="s">
        <v>28931</v>
      </c>
      <c r="J1777" t="s">
        <v>7346</v>
      </c>
      <c r="K1777" t="s">
        <v>7057</v>
      </c>
      <c r="L1777" s="7" t="s">
        <v>28931</v>
      </c>
      <c r="M1777" t="s">
        <v>28931</v>
      </c>
      <c r="N1777">
        <v>16</v>
      </c>
      <c r="O1777">
        <v>13</v>
      </c>
      <c r="P1777">
        <v>3</v>
      </c>
      <c r="Q1777">
        <v>1</v>
      </c>
      <c r="R1777">
        <v>1</v>
      </c>
      <c r="S1777">
        <v>0</v>
      </c>
      <c r="T1777">
        <v>0</v>
      </c>
      <c r="U1777" t="s">
        <v>12750</v>
      </c>
      <c r="V1777">
        <f>Tabla1[[#This Row],[Aboard]]-Tabla1[[#This Row],[Fatalities]]</f>
        <v>15</v>
      </c>
      <c r="W1777" s="50">
        <f>IFERROR(Tabla1[[#This Row],[Fatalities]]/Tabla1[[#This Row],[Aboard]],0)</f>
        <v>6.25E-2</v>
      </c>
      <c r="X1777" s="51" t="str" cm="1">
        <f t="array" ref="X1777">_xlfn.IFS(Tabla1[[#This Row],[Porcentaje de muertes]]&lt;0.35,"LEVE",AND(Tabla1[[#This Row],[Porcentaje de muertes]]&gt;0.35,Tabla1[[#This Row],[Porcentaje de muertes]]&lt;0.65),"MEDIO",Tabla1[[#This Row],[Porcentaje de muertes]]&gt;0.65,"GRAVE")</f>
        <v>LEVE</v>
      </c>
    </row>
    <row r="1778" spans="2:24" x14ac:dyDescent="0.3">
      <c r="B1778" s="9">
        <v>1777</v>
      </c>
      <c r="C1778" s="49">
        <v>21893</v>
      </c>
      <c r="D1778" s="9">
        <f>YEAR(Tabla1[[#This Row],[Date]])</f>
        <v>1959</v>
      </c>
      <c r="E1778" s="9" t="str" cm="1">
        <f t="array" ref="E1778">IFERROR(_xlfn.IFS(AND(D1778&lt;1980,D1778&gt;=1970),"70",AND(D1778&lt;1990,D1778&gt;=1980),"80",AND(D1778&lt;2000,D1778&gt;=1990),"90",AND(D1778&lt;2010,D1778&gt;=2000),"00",AND(D1778&lt;=2019,D1778&gt;=2010),"10"),"1908-1970")</f>
        <v>1908-1970</v>
      </c>
      <c r="F1778" s="3">
        <v>0.17708333333333334</v>
      </c>
      <c r="G1778" t="s">
        <v>12751</v>
      </c>
      <c r="H1778" t="s">
        <v>7121</v>
      </c>
      <c r="I1778" t="s">
        <v>28931</v>
      </c>
      <c r="J1778" t="s">
        <v>12752</v>
      </c>
      <c r="K1778" t="s">
        <v>8822</v>
      </c>
      <c r="L1778" s="7" t="s">
        <v>12753</v>
      </c>
      <c r="M1778">
        <v>10504</v>
      </c>
      <c r="N1778">
        <v>3</v>
      </c>
      <c r="O1778">
        <v>0</v>
      </c>
      <c r="P1778">
        <v>3</v>
      </c>
      <c r="Q1778">
        <v>3</v>
      </c>
      <c r="R1778">
        <v>0</v>
      </c>
      <c r="S1778">
        <v>3</v>
      </c>
      <c r="T1778">
        <v>0</v>
      </c>
      <c r="U1778" t="s">
        <v>12754</v>
      </c>
      <c r="V1778">
        <f>Tabla1[[#This Row],[Aboard]]-Tabla1[[#This Row],[Fatalities]]</f>
        <v>0</v>
      </c>
      <c r="W1778" s="50">
        <f>IFERROR(Tabla1[[#This Row],[Fatalities]]/Tabla1[[#This Row],[Aboard]],0)</f>
        <v>1</v>
      </c>
      <c r="X1778" s="51" t="str" cm="1">
        <f t="array" ref="X1778">_xlfn.IFS(Tabla1[[#This Row],[Porcentaje de muertes]]&lt;0.35,"LEVE",AND(Tabla1[[#This Row],[Porcentaje de muertes]]&gt;0.35,Tabla1[[#This Row],[Porcentaje de muertes]]&lt;0.65),"MEDIO",Tabla1[[#This Row],[Porcentaje de muertes]]&gt;0.65,"GRAVE")</f>
        <v>GRAVE</v>
      </c>
    </row>
    <row r="1779" spans="2:24" x14ac:dyDescent="0.3">
      <c r="B1779" s="9">
        <v>1778</v>
      </c>
      <c r="C1779" s="49">
        <v>21816</v>
      </c>
      <c r="D1779" s="9">
        <f>YEAR(Tabla1[[#This Row],[Date]])</f>
        <v>1959</v>
      </c>
      <c r="E1779" s="9" t="str" cm="1">
        <f t="array" ref="E1779">IFERROR(_xlfn.IFS(AND(D1779&lt;1980,D1779&gt;=1970),"70",AND(D1779&lt;1990,D1779&gt;=1980),"80",AND(D1779&lt;2000,D1779&gt;=1990),"90",AND(D1779&lt;2010,D1779&gt;=2000),"00",AND(D1779&lt;=2019,D1779&gt;=2010),"10"),"1908-1970")</f>
        <v>1908-1970</v>
      </c>
      <c r="F1779" s="3">
        <v>0.77777777777777779</v>
      </c>
      <c r="G1779" t="s">
        <v>7197</v>
      </c>
      <c r="H1779" t="s">
        <v>7581</v>
      </c>
      <c r="I1779" t="s">
        <v>28931</v>
      </c>
      <c r="J1779" t="s">
        <v>7996</v>
      </c>
      <c r="K1779" t="s">
        <v>12755</v>
      </c>
      <c r="L1779" s="7" t="s">
        <v>12756</v>
      </c>
      <c r="M1779">
        <v>106</v>
      </c>
      <c r="N1779">
        <v>20</v>
      </c>
      <c r="O1779">
        <v>16</v>
      </c>
      <c r="P1779">
        <v>4</v>
      </c>
      <c r="Q1779">
        <v>20</v>
      </c>
      <c r="R1779">
        <v>16</v>
      </c>
      <c r="S1779">
        <v>4</v>
      </c>
      <c r="T1779">
        <v>0</v>
      </c>
      <c r="U1779" t="s">
        <v>12757</v>
      </c>
      <c r="V1779">
        <f>Tabla1[[#This Row],[Aboard]]-Tabla1[[#This Row],[Fatalities]]</f>
        <v>0</v>
      </c>
      <c r="W1779" s="50">
        <f>IFERROR(Tabla1[[#This Row],[Fatalities]]/Tabla1[[#This Row],[Aboard]],0)</f>
        <v>1</v>
      </c>
      <c r="X1779" s="51" t="str" cm="1">
        <f t="array" ref="X1779">_xlfn.IFS(Tabla1[[#This Row],[Porcentaje de muertes]]&lt;0.35,"LEVE",AND(Tabla1[[#This Row],[Porcentaje de muertes]]&gt;0.35,Tabla1[[#This Row],[Porcentaje de muertes]]&lt;0.65),"MEDIO",Tabla1[[#This Row],[Porcentaje de muertes]]&gt;0.65,"GRAVE")</f>
        <v>GRAVE</v>
      </c>
    </row>
    <row r="1780" spans="2:24" x14ac:dyDescent="0.3">
      <c r="B1780" s="9">
        <v>1779</v>
      </c>
      <c r="C1780" s="49">
        <v>21817</v>
      </c>
      <c r="D1780" s="9">
        <f>YEAR(Tabla1[[#This Row],[Date]])</f>
        <v>1959</v>
      </c>
      <c r="E1780" s="9" t="str" cm="1">
        <f t="array" ref="E1780">IFERROR(_xlfn.IFS(AND(D1780&lt;1980,D1780&gt;=1970),"70",AND(D1780&lt;1990,D1780&gt;=1980),"80",AND(D1780&lt;2000,D1780&gt;=1990),"90",AND(D1780&lt;2010,D1780&gt;=2000),"00",AND(D1780&lt;=2019,D1780&gt;=2010),"10"),"1908-1970")</f>
        <v>1908-1970</v>
      </c>
      <c r="F1780" s="3">
        <v>0.72222222222222221</v>
      </c>
      <c r="G1780" t="s">
        <v>12758</v>
      </c>
      <c r="H1780" t="s">
        <v>12759</v>
      </c>
      <c r="I1780">
        <v>3</v>
      </c>
      <c r="J1780" t="s">
        <v>12760</v>
      </c>
      <c r="K1780" t="s">
        <v>9106</v>
      </c>
      <c r="L1780" s="7" t="s">
        <v>12761</v>
      </c>
      <c r="M1780">
        <v>10486</v>
      </c>
      <c r="N1780">
        <v>16</v>
      </c>
      <c r="O1780">
        <v>11</v>
      </c>
      <c r="P1780">
        <v>5</v>
      </c>
      <c r="Q1780">
        <v>16</v>
      </c>
      <c r="R1780">
        <v>11</v>
      </c>
      <c r="S1780">
        <v>5</v>
      </c>
      <c r="T1780">
        <v>0</v>
      </c>
      <c r="U1780" t="s">
        <v>12762</v>
      </c>
      <c r="V1780">
        <f>Tabla1[[#This Row],[Aboard]]-Tabla1[[#This Row],[Fatalities]]</f>
        <v>0</v>
      </c>
      <c r="W1780" s="50">
        <f>IFERROR(Tabla1[[#This Row],[Fatalities]]/Tabla1[[#This Row],[Aboard]],0)</f>
        <v>1</v>
      </c>
      <c r="X1780" s="51" t="str" cm="1">
        <f t="array" ref="X1780">_xlfn.IFS(Tabla1[[#This Row],[Porcentaje de muertes]]&lt;0.35,"LEVE",AND(Tabla1[[#This Row],[Porcentaje de muertes]]&gt;0.35,Tabla1[[#This Row],[Porcentaje de muertes]]&lt;0.65),"MEDIO",Tabla1[[#This Row],[Porcentaje de muertes]]&gt;0.65,"GRAVE")</f>
        <v>GRAVE</v>
      </c>
    </row>
    <row r="1781" spans="2:24" x14ac:dyDescent="0.3">
      <c r="B1781" s="9">
        <v>1780</v>
      </c>
      <c r="C1781" s="49">
        <v>21817</v>
      </c>
      <c r="D1781" s="9">
        <f>YEAR(Tabla1[[#This Row],[Date]])</f>
        <v>1959</v>
      </c>
      <c r="E1781" s="9" t="str" cm="1">
        <f t="array" ref="E1781">IFERROR(_xlfn.IFS(AND(D1781&lt;1980,D1781&gt;=1970),"70",AND(D1781&lt;1990,D1781&gt;=1980),"80",AND(D1781&lt;2000,D1781&gt;=1990),"90",AND(D1781&lt;2010,D1781&gt;=2000),"00",AND(D1781&lt;=2019,D1781&gt;=2010),"10"),"1908-1970")</f>
        <v>1908-1970</v>
      </c>
      <c r="F1781" s="3">
        <v>0.97499999999999998</v>
      </c>
      <c r="G1781" t="s">
        <v>10395</v>
      </c>
      <c r="H1781" t="s">
        <v>12763</v>
      </c>
      <c r="I1781" t="s">
        <v>28931</v>
      </c>
      <c r="J1781" t="s">
        <v>12764</v>
      </c>
      <c r="K1781" t="s">
        <v>12348</v>
      </c>
      <c r="L1781" s="7" t="s">
        <v>12765</v>
      </c>
      <c r="M1781" t="s">
        <v>12766</v>
      </c>
      <c r="N1781">
        <v>65</v>
      </c>
      <c r="O1781">
        <v>56</v>
      </c>
      <c r="P1781">
        <v>9</v>
      </c>
      <c r="Q1781">
        <v>54</v>
      </c>
      <c r="R1781">
        <v>45</v>
      </c>
      <c r="S1781">
        <v>9</v>
      </c>
      <c r="T1781">
        <v>0</v>
      </c>
      <c r="U1781" t="s">
        <v>12767</v>
      </c>
      <c r="V1781">
        <f>Tabla1[[#This Row],[Aboard]]-Tabla1[[#This Row],[Fatalities]]</f>
        <v>11</v>
      </c>
      <c r="W1781" s="50">
        <f>IFERROR(Tabla1[[#This Row],[Fatalities]]/Tabla1[[#This Row],[Aboard]],0)</f>
        <v>0.83076923076923082</v>
      </c>
      <c r="X1781" s="51" t="str" cm="1">
        <f t="array" ref="X1781">_xlfn.IFS(Tabla1[[#This Row],[Porcentaje de muertes]]&lt;0.35,"LEVE",AND(Tabla1[[#This Row],[Porcentaje de muertes]]&gt;0.35,Tabla1[[#This Row],[Porcentaje de muertes]]&lt;0.65),"MEDIO",Tabla1[[#This Row],[Porcentaje de muertes]]&gt;0.65,"GRAVE")</f>
        <v>GRAVE</v>
      </c>
    </row>
    <row r="1782" spans="2:24" x14ac:dyDescent="0.3">
      <c r="B1782" s="9">
        <v>1781</v>
      </c>
      <c r="C1782" s="49">
        <v>21822</v>
      </c>
      <c r="D1782" s="9">
        <f>YEAR(Tabla1[[#This Row],[Date]])</f>
        <v>1959</v>
      </c>
      <c r="E1782" s="9" t="str" cm="1">
        <f t="array" ref="E1782">IFERROR(_xlfn.IFS(AND(D1782&lt;1980,D1782&gt;=1970),"70",AND(D1782&lt;1990,D1782&gt;=1980),"80",AND(D1782&lt;2000,D1782&gt;=1990),"90",AND(D1782&lt;2010,D1782&gt;=2000),"00",AND(D1782&lt;=2019,D1782&gt;=2010),"10"),"1908-1970")</f>
        <v>1908-1970</v>
      </c>
      <c r="F1782" s="3">
        <v>0.96458333333333324</v>
      </c>
      <c r="G1782" t="s">
        <v>12768</v>
      </c>
      <c r="H1782" t="s">
        <v>6080</v>
      </c>
      <c r="I1782">
        <v>542</v>
      </c>
      <c r="J1782" t="s">
        <v>12769</v>
      </c>
      <c r="K1782" t="s">
        <v>12770</v>
      </c>
      <c r="L1782" s="7" t="s">
        <v>12771</v>
      </c>
      <c r="M1782">
        <v>1090</v>
      </c>
      <c r="N1782">
        <v>34</v>
      </c>
      <c r="O1782">
        <v>28</v>
      </c>
      <c r="P1782">
        <v>6</v>
      </c>
      <c r="Q1782">
        <v>34</v>
      </c>
      <c r="R1782">
        <v>28</v>
      </c>
      <c r="S1782">
        <v>6</v>
      </c>
      <c r="T1782">
        <v>0</v>
      </c>
      <c r="U1782" t="s">
        <v>12772</v>
      </c>
      <c r="V1782">
        <f>Tabla1[[#This Row],[Aboard]]-Tabla1[[#This Row],[Fatalities]]</f>
        <v>0</v>
      </c>
      <c r="W1782" s="50">
        <f>IFERROR(Tabla1[[#This Row],[Fatalities]]/Tabla1[[#This Row],[Aboard]],0)</f>
        <v>1</v>
      </c>
      <c r="X1782" s="51" t="str" cm="1">
        <f t="array" ref="X1782">_xlfn.IFS(Tabla1[[#This Row],[Porcentaje de muertes]]&lt;0.35,"LEVE",AND(Tabla1[[#This Row],[Porcentaje de muertes]]&gt;0.35,Tabla1[[#This Row],[Porcentaje de muertes]]&lt;0.65),"MEDIO",Tabla1[[#This Row],[Porcentaje de muertes]]&gt;0.65,"GRAVE")</f>
        <v>GRAVE</v>
      </c>
    </row>
    <row r="1783" spans="2:24" x14ac:dyDescent="0.3">
      <c r="B1783" s="9">
        <v>1782</v>
      </c>
      <c r="C1783" s="49">
        <v>21711</v>
      </c>
      <c r="D1783" s="9">
        <f>YEAR(Tabla1[[#This Row],[Date]])</f>
        <v>1959</v>
      </c>
      <c r="E1783" s="9" t="str" cm="1">
        <f t="array" ref="E1783">IFERROR(_xlfn.IFS(AND(D1783&lt;1980,D1783&gt;=1970),"70",AND(D1783&lt;1990,D1783&gt;=1980),"80",AND(D1783&lt;2000,D1783&gt;=1990),"90",AND(D1783&lt;2010,D1783&gt;=2000),"00",AND(D1783&lt;=2019,D1783&gt;=2010),"10"),"1908-1970")</f>
        <v>1908-1970</v>
      </c>
      <c r="F1783" s="3" t="s">
        <v>28931</v>
      </c>
      <c r="G1783" t="s">
        <v>12773</v>
      </c>
      <c r="H1783" t="s">
        <v>12774</v>
      </c>
      <c r="I1783" t="s">
        <v>28931</v>
      </c>
      <c r="J1783" t="s">
        <v>12775</v>
      </c>
      <c r="K1783" t="s">
        <v>12776</v>
      </c>
      <c r="L1783" s="7" t="s">
        <v>28931</v>
      </c>
      <c r="M1783" t="s">
        <v>28931</v>
      </c>
      <c r="N1783">
        <v>2</v>
      </c>
      <c r="O1783">
        <v>0</v>
      </c>
      <c r="P1783">
        <v>2</v>
      </c>
      <c r="Q1783">
        <v>2</v>
      </c>
      <c r="R1783">
        <v>0</v>
      </c>
      <c r="S1783">
        <v>2</v>
      </c>
      <c r="T1783">
        <v>0</v>
      </c>
      <c r="U1783" t="s">
        <v>12777</v>
      </c>
      <c r="V1783">
        <f>Tabla1[[#This Row],[Aboard]]-Tabla1[[#This Row],[Fatalities]]</f>
        <v>0</v>
      </c>
      <c r="W1783" s="50">
        <f>IFERROR(Tabla1[[#This Row],[Fatalities]]/Tabla1[[#This Row],[Aboard]],0)</f>
        <v>1</v>
      </c>
      <c r="X1783" s="51" t="str" cm="1">
        <f t="array" ref="X1783">_xlfn.IFS(Tabla1[[#This Row],[Porcentaje de muertes]]&lt;0.35,"LEVE",AND(Tabla1[[#This Row],[Porcentaje de muertes]]&gt;0.35,Tabla1[[#This Row],[Porcentaje de muertes]]&lt;0.65),"MEDIO",Tabla1[[#This Row],[Porcentaje de muertes]]&gt;0.65,"GRAVE")</f>
        <v>GRAVE</v>
      </c>
    </row>
    <row r="1784" spans="2:24" x14ac:dyDescent="0.3">
      <c r="B1784" s="9">
        <v>1783</v>
      </c>
      <c r="C1784" s="49">
        <v>21846</v>
      </c>
      <c r="D1784" s="9">
        <f>YEAR(Tabla1[[#This Row],[Date]])</f>
        <v>1959</v>
      </c>
      <c r="E1784" s="9" t="str" cm="1">
        <f t="array" ref="E1784">IFERROR(_xlfn.IFS(AND(D1784&lt;1980,D1784&gt;=1970),"70",AND(D1784&lt;1990,D1784&gt;=1980),"80",AND(D1784&lt;2000,D1784&gt;=1990),"90",AND(D1784&lt;2010,D1784&gt;=2000),"00",AND(D1784&lt;=2019,D1784&gt;=2010),"10"),"1908-1970")</f>
        <v>1908-1970</v>
      </c>
      <c r="F1784" s="3">
        <v>0.92361111111111116</v>
      </c>
      <c r="G1784" t="s">
        <v>6590</v>
      </c>
      <c r="H1784" t="s">
        <v>6541</v>
      </c>
      <c r="I1784">
        <v>200</v>
      </c>
      <c r="J1784" t="s">
        <v>12778</v>
      </c>
      <c r="K1784" t="s">
        <v>12110</v>
      </c>
      <c r="L1784" s="7" t="s">
        <v>12779</v>
      </c>
      <c r="M1784">
        <v>6341709</v>
      </c>
      <c r="N1784">
        <v>28</v>
      </c>
      <c r="O1784">
        <v>23</v>
      </c>
      <c r="P1784">
        <v>5</v>
      </c>
      <c r="Q1784">
        <v>28</v>
      </c>
      <c r="R1784">
        <v>23</v>
      </c>
      <c r="S1784">
        <v>5</v>
      </c>
      <c r="T1784">
        <v>0</v>
      </c>
      <c r="U1784" t="s">
        <v>12780</v>
      </c>
      <c r="V1784">
        <f>Tabla1[[#This Row],[Aboard]]-Tabla1[[#This Row],[Fatalities]]</f>
        <v>0</v>
      </c>
      <c r="W1784" s="50">
        <f>IFERROR(Tabla1[[#This Row],[Fatalities]]/Tabla1[[#This Row],[Aboard]],0)</f>
        <v>1</v>
      </c>
      <c r="X1784" s="51" t="str" cm="1">
        <f t="array" ref="X1784">_xlfn.IFS(Tabla1[[#This Row],[Porcentaje de muertes]]&lt;0.35,"LEVE",AND(Tabla1[[#This Row],[Porcentaje de muertes]]&gt;0.35,Tabla1[[#This Row],[Porcentaje de muertes]]&lt;0.65),"MEDIO",Tabla1[[#This Row],[Porcentaje de muertes]]&gt;0.65,"GRAVE")</f>
        <v>GRAVE</v>
      </c>
    </row>
    <row r="1785" spans="2:24" x14ac:dyDescent="0.3">
      <c r="B1785" s="9">
        <v>1784</v>
      </c>
      <c r="C1785" s="49">
        <v>21849</v>
      </c>
      <c r="D1785" s="9">
        <f>YEAR(Tabla1[[#This Row],[Date]])</f>
        <v>1959</v>
      </c>
      <c r="E1785" s="9" t="str" cm="1">
        <f t="array" ref="E1785">IFERROR(_xlfn.IFS(AND(D1785&lt;1980,D1785&gt;=1970),"70",AND(D1785&lt;1990,D1785&gt;=1980),"80",AND(D1785&lt;2000,D1785&gt;=1990),"90",AND(D1785&lt;2010,D1785&gt;=2000),"00",AND(D1785&lt;=2019,D1785&gt;=2010),"10"),"1908-1970")</f>
        <v>1908-1970</v>
      </c>
      <c r="F1785" s="3">
        <v>0.84583333333333333</v>
      </c>
      <c r="G1785" t="s">
        <v>12781</v>
      </c>
      <c r="H1785" t="s">
        <v>12782</v>
      </c>
      <c r="I1785">
        <v>308</v>
      </c>
      <c r="J1785" t="s">
        <v>12783</v>
      </c>
      <c r="K1785" t="s">
        <v>7953</v>
      </c>
      <c r="L1785" s="7" t="s">
        <v>12784</v>
      </c>
      <c r="M1785">
        <v>19656</v>
      </c>
      <c r="N1785">
        <v>19</v>
      </c>
      <c r="O1785">
        <v>17</v>
      </c>
      <c r="P1785">
        <v>2</v>
      </c>
      <c r="Q1785">
        <v>1</v>
      </c>
      <c r="R1785">
        <v>0</v>
      </c>
      <c r="S1785">
        <v>1</v>
      </c>
      <c r="T1785">
        <v>1</v>
      </c>
      <c r="U1785" t="s">
        <v>12785</v>
      </c>
      <c r="V1785">
        <f>Tabla1[[#This Row],[Aboard]]-Tabla1[[#This Row],[Fatalities]]</f>
        <v>18</v>
      </c>
      <c r="W1785" s="50">
        <f>IFERROR(Tabla1[[#This Row],[Fatalities]]/Tabla1[[#This Row],[Aboard]],0)</f>
        <v>5.2631578947368418E-2</v>
      </c>
      <c r="X1785" s="51" t="str" cm="1">
        <f t="array" ref="X1785">_xlfn.IFS(Tabla1[[#This Row],[Porcentaje de muertes]]&lt;0.35,"LEVE",AND(Tabla1[[#This Row],[Porcentaje de muertes]]&gt;0.35,Tabla1[[#This Row],[Porcentaje de muertes]]&lt;0.65),"MEDIO",Tabla1[[#This Row],[Porcentaje de muertes]]&gt;0.65,"GRAVE")</f>
        <v>LEVE</v>
      </c>
    </row>
    <row r="1786" spans="2:24" x14ac:dyDescent="0.3">
      <c r="B1786" s="9">
        <v>1785</v>
      </c>
      <c r="C1786" s="49">
        <v>21853</v>
      </c>
      <c r="D1786" s="9">
        <f>YEAR(Tabla1[[#This Row],[Date]])</f>
        <v>1959</v>
      </c>
      <c r="E1786" s="9" t="str" cm="1">
        <f t="array" ref="E1786">IFERROR(_xlfn.IFS(AND(D1786&lt;1980,D1786&gt;=1970),"70",AND(D1786&lt;1990,D1786&gt;=1980),"80",AND(D1786&lt;2000,D1786&gt;=1990),"90",AND(D1786&lt;2010,D1786&gt;=2000),"00",AND(D1786&lt;=2019,D1786&gt;=2010),"10"),"1908-1970")</f>
        <v>1908-1970</v>
      </c>
      <c r="F1786" s="3">
        <v>0.86111111111111116</v>
      </c>
      <c r="G1786" t="s">
        <v>12786</v>
      </c>
      <c r="H1786" t="s">
        <v>12787</v>
      </c>
      <c r="I1786">
        <v>1349</v>
      </c>
      <c r="J1786" t="s">
        <v>12788</v>
      </c>
      <c r="K1786" t="s">
        <v>7057</v>
      </c>
      <c r="L1786" s="7" t="s">
        <v>12789</v>
      </c>
      <c r="M1786">
        <v>20447</v>
      </c>
      <c r="N1786">
        <v>27</v>
      </c>
      <c r="O1786">
        <v>24</v>
      </c>
      <c r="P1786">
        <v>3</v>
      </c>
      <c r="Q1786">
        <v>26</v>
      </c>
      <c r="R1786">
        <v>23</v>
      </c>
      <c r="S1786">
        <v>3</v>
      </c>
      <c r="T1786">
        <v>0</v>
      </c>
      <c r="U1786" t="s">
        <v>12790</v>
      </c>
      <c r="V1786">
        <f>Tabla1[[#This Row],[Aboard]]-Tabla1[[#This Row],[Fatalities]]</f>
        <v>1</v>
      </c>
      <c r="W1786" s="50">
        <f>IFERROR(Tabla1[[#This Row],[Fatalities]]/Tabla1[[#This Row],[Aboard]],0)</f>
        <v>0.96296296296296291</v>
      </c>
      <c r="X1786" s="51" t="str" cm="1">
        <f t="array" ref="X1786">_xlfn.IFS(Tabla1[[#This Row],[Porcentaje de muertes]]&lt;0.35,"LEVE",AND(Tabla1[[#This Row],[Porcentaje de muertes]]&gt;0.35,Tabla1[[#This Row],[Porcentaje de muertes]]&lt;0.65),"MEDIO",Tabla1[[#This Row],[Porcentaje de muertes]]&gt;0.65,"GRAVE")</f>
        <v>GRAVE</v>
      </c>
    </row>
    <row r="1787" spans="2:24" x14ac:dyDescent="0.3">
      <c r="B1787" s="9">
        <v>1786</v>
      </c>
      <c r="C1787" s="49">
        <v>21853</v>
      </c>
      <c r="D1787" s="9">
        <f>YEAR(Tabla1[[#This Row],[Date]])</f>
        <v>1959</v>
      </c>
      <c r="E1787" s="9" t="str" cm="1">
        <f t="array" ref="E1787">IFERROR(_xlfn.IFS(AND(D1787&lt;1980,D1787&gt;=1970),"70",AND(D1787&lt;1990,D1787&gt;=1980),"80",AND(D1787&lt;2000,D1787&gt;=1990),"90",AND(D1787&lt;2010,D1787&gt;=2000),"00",AND(D1787&lt;=2019,D1787&gt;=2010),"10"),"1908-1970")</f>
        <v>1908-1970</v>
      </c>
      <c r="F1787" s="3">
        <v>0.64236111111111105</v>
      </c>
      <c r="G1787" t="s">
        <v>12791</v>
      </c>
      <c r="H1787" t="s">
        <v>12792</v>
      </c>
      <c r="I1787">
        <v>214</v>
      </c>
      <c r="J1787" t="s">
        <v>12793</v>
      </c>
      <c r="K1787" t="s">
        <v>7057</v>
      </c>
      <c r="L1787" s="7" t="s">
        <v>12794</v>
      </c>
      <c r="M1787">
        <v>9491</v>
      </c>
      <c r="N1787">
        <v>18</v>
      </c>
      <c r="O1787">
        <v>15</v>
      </c>
      <c r="P1787">
        <v>3</v>
      </c>
      <c r="Q1787">
        <v>18</v>
      </c>
      <c r="R1787">
        <v>15</v>
      </c>
      <c r="S1787">
        <v>3</v>
      </c>
      <c r="T1787">
        <v>0</v>
      </c>
      <c r="U1787" t="s">
        <v>12795</v>
      </c>
      <c r="V1787">
        <f>Tabla1[[#This Row],[Aboard]]-Tabla1[[#This Row],[Fatalities]]</f>
        <v>0</v>
      </c>
      <c r="W1787" s="50">
        <f>IFERROR(Tabla1[[#This Row],[Fatalities]]/Tabla1[[#This Row],[Aboard]],0)</f>
        <v>1</v>
      </c>
      <c r="X1787" s="51" t="str" cm="1">
        <f t="array" ref="X1787">_xlfn.IFS(Tabla1[[#This Row],[Porcentaje de muertes]]&lt;0.35,"LEVE",AND(Tabla1[[#This Row],[Porcentaje de muertes]]&gt;0.35,Tabla1[[#This Row],[Porcentaje de muertes]]&lt;0.65),"MEDIO",Tabla1[[#This Row],[Porcentaje de muertes]]&gt;0.65,"GRAVE")</f>
        <v>GRAVE</v>
      </c>
    </row>
    <row r="1788" spans="2:24" x14ac:dyDescent="0.3">
      <c r="B1788" s="9">
        <v>1787</v>
      </c>
      <c r="C1788" s="49">
        <v>21651</v>
      </c>
      <c r="D1788" s="9">
        <f>YEAR(Tabla1[[#This Row],[Date]])</f>
        <v>1959</v>
      </c>
      <c r="E1788" s="9" t="str" cm="1">
        <f t="array" ref="E1788">IFERROR(_xlfn.IFS(AND(D1788&lt;1980,D1788&gt;=1970),"70",AND(D1788&lt;1990,D1788&gt;=1980),"80",AND(D1788&lt;2000,D1788&gt;=1990),"90",AND(D1788&lt;2010,D1788&gt;=2000),"00",AND(D1788&lt;=2019,D1788&gt;=2010),"10"),"1908-1970")</f>
        <v>1908-1970</v>
      </c>
      <c r="F1788" s="3">
        <v>0.96319444444444446</v>
      </c>
      <c r="G1788" t="s">
        <v>12796</v>
      </c>
      <c r="H1788" t="s">
        <v>12797</v>
      </c>
      <c r="I1788">
        <v>1658</v>
      </c>
      <c r="J1788" t="s">
        <v>12798</v>
      </c>
      <c r="K1788" t="s">
        <v>7894</v>
      </c>
      <c r="L1788" s="7" t="s">
        <v>12799</v>
      </c>
      <c r="M1788">
        <v>10360</v>
      </c>
      <c r="N1788">
        <v>5</v>
      </c>
      <c r="O1788">
        <v>0</v>
      </c>
      <c r="P1788">
        <v>5</v>
      </c>
      <c r="Q1788">
        <v>5</v>
      </c>
      <c r="R1788">
        <v>0</v>
      </c>
      <c r="S1788">
        <v>5</v>
      </c>
      <c r="T1788">
        <v>0</v>
      </c>
      <c r="U1788" t="s">
        <v>12800</v>
      </c>
      <c r="V1788">
        <f>Tabla1[[#This Row],[Aboard]]-Tabla1[[#This Row],[Fatalities]]</f>
        <v>0</v>
      </c>
      <c r="W1788" s="50">
        <f>IFERROR(Tabla1[[#This Row],[Fatalities]]/Tabla1[[#This Row],[Aboard]],0)</f>
        <v>1</v>
      </c>
      <c r="X1788" s="51" t="str" cm="1">
        <f t="array" ref="X1788">_xlfn.IFS(Tabla1[[#This Row],[Porcentaje de muertes]]&lt;0.35,"LEVE",AND(Tabla1[[#This Row],[Porcentaje de muertes]]&gt;0.35,Tabla1[[#This Row],[Porcentaje de muertes]]&lt;0.65),"MEDIO",Tabla1[[#This Row],[Porcentaje de muertes]]&gt;0.65,"GRAVE")</f>
        <v>GRAVE</v>
      </c>
    </row>
    <row r="1789" spans="2:24" x14ac:dyDescent="0.3">
      <c r="B1789" s="9">
        <v>1788</v>
      </c>
      <c r="C1789" s="49">
        <v>21870</v>
      </c>
      <c r="D1789" s="9">
        <f>YEAR(Tabla1[[#This Row],[Date]])</f>
        <v>1959</v>
      </c>
      <c r="E1789" s="9" t="str" cm="1">
        <f t="array" ref="E1789">IFERROR(_xlfn.IFS(AND(D1789&lt;1980,D1789&gt;=1970),"70",AND(D1789&lt;1990,D1789&gt;=1980),"80",AND(D1789&lt;2000,D1789&gt;=1990),"90",AND(D1789&lt;2010,D1789&gt;=2000),"00",AND(D1789&lt;=2019,D1789&gt;=2010),"10"),"1908-1970")</f>
        <v>1908-1970</v>
      </c>
      <c r="F1789" s="3">
        <v>0.79583333333333339</v>
      </c>
      <c r="G1789" t="s">
        <v>12801</v>
      </c>
      <c r="H1789" t="s">
        <v>6541</v>
      </c>
      <c r="I1789">
        <v>315</v>
      </c>
      <c r="J1789" t="s">
        <v>12802</v>
      </c>
      <c r="K1789" t="s">
        <v>12803</v>
      </c>
      <c r="L1789" s="7" t="s">
        <v>12804</v>
      </c>
      <c r="M1789">
        <v>9401402</v>
      </c>
      <c r="N1789">
        <v>40</v>
      </c>
      <c r="O1789">
        <v>32</v>
      </c>
      <c r="P1789">
        <v>8</v>
      </c>
      <c r="Q1789">
        <v>40</v>
      </c>
      <c r="R1789">
        <v>32</v>
      </c>
      <c r="S1789">
        <v>8</v>
      </c>
      <c r="T1789">
        <v>0</v>
      </c>
      <c r="U1789" t="s">
        <v>12805</v>
      </c>
      <c r="V1789">
        <f>Tabla1[[#This Row],[Aboard]]-Tabla1[[#This Row],[Fatalities]]</f>
        <v>0</v>
      </c>
      <c r="W1789" s="50">
        <f>IFERROR(Tabla1[[#This Row],[Fatalities]]/Tabla1[[#This Row],[Aboard]],0)</f>
        <v>1</v>
      </c>
      <c r="X1789" s="51" t="str" cm="1">
        <f t="array" ref="X1789">_xlfn.IFS(Tabla1[[#This Row],[Porcentaje de muertes]]&lt;0.35,"LEVE",AND(Tabla1[[#This Row],[Porcentaje de muertes]]&gt;0.35,Tabla1[[#This Row],[Porcentaje de muertes]]&lt;0.65),"MEDIO",Tabla1[[#This Row],[Porcentaje de muertes]]&gt;0.65,"GRAVE")</f>
        <v>GRAVE</v>
      </c>
    </row>
    <row r="1790" spans="2:24" x14ac:dyDescent="0.3">
      <c r="B1790" s="9">
        <v>1789</v>
      </c>
      <c r="C1790" s="49">
        <v>21870</v>
      </c>
      <c r="D1790" s="9">
        <f>YEAR(Tabla1[[#This Row],[Date]])</f>
        <v>1959</v>
      </c>
      <c r="E1790" s="9" t="str" cm="1">
        <f t="array" ref="E1790">IFERROR(_xlfn.IFS(AND(D1790&lt;1980,D1790&gt;=1970),"70",AND(D1790&lt;1990,D1790&gt;=1980),"80",AND(D1790&lt;2000,D1790&gt;=1990),"90",AND(D1790&lt;2010,D1790&gt;=2000),"00",AND(D1790&lt;=2019,D1790&gt;=2010),"10"),"1908-1970")</f>
        <v>1908-1970</v>
      </c>
      <c r="F1790" s="3">
        <v>3.8194444444444441E-2</v>
      </c>
      <c r="G1790" t="s">
        <v>12806</v>
      </c>
      <c r="H1790" t="s">
        <v>8437</v>
      </c>
      <c r="I1790">
        <v>967</v>
      </c>
      <c r="J1790" t="s">
        <v>12807</v>
      </c>
      <c r="K1790" t="s">
        <v>12808</v>
      </c>
      <c r="L1790" s="7" t="s">
        <v>12809</v>
      </c>
      <c r="M1790">
        <v>45355</v>
      </c>
      <c r="N1790">
        <v>42</v>
      </c>
      <c r="O1790">
        <v>36</v>
      </c>
      <c r="P1790">
        <v>6</v>
      </c>
      <c r="Q1790">
        <v>42</v>
      </c>
      <c r="R1790">
        <v>36</v>
      </c>
      <c r="S1790">
        <v>6</v>
      </c>
      <c r="T1790">
        <v>0</v>
      </c>
      <c r="U1790" t="s">
        <v>12810</v>
      </c>
      <c r="V1790">
        <f>Tabla1[[#This Row],[Aboard]]-Tabla1[[#This Row],[Fatalities]]</f>
        <v>0</v>
      </c>
      <c r="W1790" s="50">
        <f>IFERROR(Tabla1[[#This Row],[Fatalities]]/Tabla1[[#This Row],[Aboard]],0)</f>
        <v>1</v>
      </c>
      <c r="X1790" s="51" t="str" cm="1">
        <f t="array" ref="X1790">_xlfn.IFS(Tabla1[[#This Row],[Porcentaje de muertes]]&lt;0.35,"LEVE",AND(Tabla1[[#This Row],[Porcentaje de muertes]]&gt;0.35,Tabla1[[#This Row],[Porcentaje de muertes]]&lt;0.65),"MEDIO",Tabla1[[#This Row],[Porcentaje de muertes]]&gt;0.65,"GRAVE")</f>
        <v>GRAVE</v>
      </c>
    </row>
    <row r="1791" spans="2:24" x14ac:dyDescent="0.3">
      <c r="B1791" s="9">
        <v>1790</v>
      </c>
      <c r="C1791" s="49">
        <v>21875</v>
      </c>
      <c r="D1791" s="9">
        <f>YEAR(Tabla1[[#This Row],[Date]])</f>
        <v>1959</v>
      </c>
      <c r="E1791" s="9" t="str" cm="1">
        <f t="array" ref="E1791">IFERROR(_xlfn.IFS(AND(D1791&lt;1980,D1791&gt;=1970),"70",AND(D1791&lt;1990,D1791&gt;=1980),"80",AND(D1791&lt;2000,D1791&gt;=1990),"90",AND(D1791&lt;2010,D1791&gt;=2000),"00",AND(D1791&lt;=2019,D1791&gt;=2010),"10"),"1908-1970")</f>
        <v>1908-1970</v>
      </c>
      <c r="F1791" s="3" t="s">
        <v>28931</v>
      </c>
      <c r="G1791" t="s">
        <v>12151</v>
      </c>
      <c r="H1791" t="s">
        <v>11177</v>
      </c>
      <c r="I1791">
        <v>202</v>
      </c>
      <c r="J1791" t="s">
        <v>12811</v>
      </c>
      <c r="K1791" t="s">
        <v>8822</v>
      </c>
      <c r="L1791" s="7" t="s">
        <v>12812</v>
      </c>
      <c r="M1791">
        <v>18367</v>
      </c>
      <c r="N1791">
        <v>27</v>
      </c>
      <c r="O1791">
        <v>22</v>
      </c>
      <c r="P1791">
        <v>5</v>
      </c>
      <c r="Q1791">
        <v>24</v>
      </c>
      <c r="R1791">
        <v>19</v>
      </c>
      <c r="S1791">
        <v>5</v>
      </c>
      <c r="T1791">
        <v>0</v>
      </c>
      <c r="U1791" t="s">
        <v>12813</v>
      </c>
      <c r="V1791">
        <f>Tabla1[[#This Row],[Aboard]]-Tabla1[[#This Row],[Fatalities]]</f>
        <v>3</v>
      </c>
      <c r="W1791" s="50">
        <f>IFERROR(Tabla1[[#This Row],[Fatalities]]/Tabla1[[#This Row],[Aboard]],0)</f>
        <v>0.88888888888888884</v>
      </c>
      <c r="X1791" s="51" t="str" cm="1">
        <f t="array" ref="X1791">_xlfn.IFS(Tabla1[[#This Row],[Porcentaje de muertes]]&lt;0.35,"LEVE",AND(Tabla1[[#This Row],[Porcentaje de muertes]]&gt;0.35,Tabla1[[#This Row],[Porcentaje de muertes]]&lt;0.65),"MEDIO",Tabla1[[#This Row],[Porcentaje de muertes]]&gt;0.65,"GRAVE")</f>
        <v>GRAVE</v>
      </c>
    </row>
    <row r="1792" spans="2:24" x14ac:dyDescent="0.3">
      <c r="B1792" s="9">
        <v>1791</v>
      </c>
      <c r="C1792" s="49">
        <v>21878</v>
      </c>
      <c r="D1792" s="9">
        <f>YEAR(Tabla1[[#This Row],[Date]])</f>
        <v>1959</v>
      </c>
      <c r="E1792" s="9" t="str" cm="1">
        <f t="array" ref="E1792">IFERROR(_xlfn.IFS(AND(D1792&lt;1980,D1792&gt;=1970),"70",AND(D1792&lt;1990,D1792&gt;=1980),"80",AND(D1792&lt;2000,D1792&gt;=1990),"90",AND(D1792&lt;2010,D1792&gt;=2000),"00",AND(D1792&lt;=2019,D1792&gt;=2010),"10"),"1908-1970")</f>
        <v>1908-1970</v>
      </c>
      <c r="F1792" s="3">
        <v>0.23263888888888887</v>
      </c>
      <c r="G1792" t="s">
        <v>5103</v>
      </c>
      <c r="H1792" t="s">
        <v>10166</v>
      </c>
      <c r="I1792">
        <v>595</v>
      </c>
      <c r="J1792" t="s">
        <v>12814</v>
      </c>
      <c r="K1792" t="s">
        <v>12466</v>
      </c>
      <c r="L1792" s="7" t="s">
        <v>12815</v>
      </c>
      <c r="M1792">
        <v>4824</v>
      </c>
      <c r="N1792">
        <v>3</v>
      </c>
      <c r="O1792">
        <v>0</v>
      </c>
      <c r="P1792">
        <v>3</v>
      </c>
      <c r="Q1792">
        <v>3</v>
      </c>
      <c r="R1792">
        <v>0</v>
      </c>
      <c r="S1792">
        <v>3</v>
      </c>
      <c r="T1792">
        <v>8</v>
      </c>
      <c r="U1792" t="s">
        <v>12816</v>
      </c>
      <c r="V1792">
        <f>Tabla1[[#This Row],[Aboard]]-Tabla1[[#This Row],[Fatalities]]</f>
        <v>0</v>
      </c>
      <c r="W1792" s="50">
        <f>IFERROR(Tabla1[[#This Row],[Fatalities]]/Tabla1[[#This Row],[Aboard]],0)</f>
        <v>1</v>
      </c>
      <c r="X1792" s="51" t="str" cm="1">
        <f t="array" ref="X1792">_xlfn.IFS(Tabla1[[#This Row],[Porcentaje de muertes]]&lt;0.35,"LEVE",AND(Tabla1[[#This Row],[Porcentaje de muertes]]&gt;0.35,Tabla1[[#This Row],[Porcentaje de muertes]]&lt;0.65),"MEDIO",Tabla1[[#This Row],[Porcentaje de muertes]]&gt;0.65,"GRAVE")</f>
        <v>GRAVE</v>
      </c>
    </row>
    <row r="1793" spans="2:24" x14ac:dyDescent="0.3">
      <c r="B1793" s="9">
        <v>1792</v>
      </c>
      <c r="C1793" s="49">
        <v>21562</v>
      </c>
      <c r="D1793" s="9">
        <f>YEAR(Tabla1[[#This Row],[Date]])</f>
        <v>1959</v>
      </c>
      <c r="E1793" s="9" t="str" cm="1">
        <f t="array" ref="E1793">IFERROR(_xlfn.IFS(AND(D1793&lt;1980,D1793&gt;=1970),"70",AND(D1793&lt;1990,D1793&gt;=1980),"80",AND(D1793&lt;2000,D1793&gt;=1990),"90",AND(D1793&lt;2010,D1793&gt;=2000),"00",AND(D1793&lt;=2019,D1793&gt;=2010),"10"),"1908-1970")</f>
        <v>1908-1970</v>
      </c>
      <c r="F1793" s="3">
        <v>0.40763888888888888</v>
      </c>
      <c r="G1793" t="s">
        <v>12817</v>
      </c>
      <c r="H1793" t="s">
        <v>12818</v>
      </c>
      <c r="I1793">
        <v>371</v>
      </c>
      <c r="J1793" t="s">
        <v>12819</v>
      </c>
      <c r="K1793" t="s">
        <v>9582</v>
      </c>
      <c r="L1793" s="7" t="s">
        <v>12820</v>
      </c>
      <c r="M1793">
        <v>9159</v>
      </c>
      <c r="N1793">
        <v>26</v>
      </c>
      <c r="O1793">
        <v>22</v>
      </c>
      <c r="P1793">
        <v>4</v>
      </c>
      <c r="Q1793">
        <v>25</v>
      </c>
      <c r="R1793">
        <v>21</v>
      </c>
      <c r="S1793">
        <v>4</v>
      </c>
      <c r="T1793">
        <v>0</v>
      </c>
      <c r="U1793" t="s">
        <v>12821</v>
      </c>
      <c r="V1793">
        <f>Tabla1[[#This Row],[Aboard]]-Tabla1[[#This Row],[Fatalities]]</f>
        <v>1</v>
      </c>
      <c r="W1793" s="50">
        <f>IFERROR(Tabla1[[#This Row],[Fatalities]]/Tabla1[[#This Row],[Aboard]],0)</f>
        <v>0.96153846153846156</v>
      </c>
      <c r="X1793" s="51" t="str" cm="1">
        <f t="array" ref="X1793">_xlfn.IFS(Tabla1[[#This Row],[Porcentaje de muertes]]&lt;0.35,"LEVE",AND(Tabla1[[#This Row],[Porcentaje de muertes]]&gt;0.35,Tabla1[[#This Row],[Porcentaje de muertes]]&lt;0.65),"MEDIO",Tabla1[[#This Row],[Porcentaje de muertes]]&gt;0.65,"GRAVE")</f>
        <v>GRAVE</v>
      </c>
    </row>
    <row r="1794" spans="2:24" x14ac:dyDescent="0.3">
      <c r="B1794" s="9">
        <v>1793</v>
      </c>
      <c r="C1794" s="49">
        <v>21774</v>
      </c>
      <c r="D1794" s="9">
        <f>YEAR(Tabla1[[#This Row],[Date]])</f>
        <v>1959</v>
      </c>
      <c r="E1794" s="9" t="str" cm="1">
        <f t="array" ref="E1794">IFERROR(_xlfn.IFS(AND(D1794&lt;1980,D1794&gt;=1970),"70",AND(D1794&lt;1990,D1794&gt;=1980),"80",AND(D1794&lt;2000,D1794&gt;=1990),"90",AND(D1794&lt;2010,D1794&gt;=2000),"00",AND(D1794&lt;=2019,D1794&gt;=2010),"10"),"1908-1970")</f>
        <v>1908-1970</v>
      </c>
      <c r="F1794" s="3">
        <v>0.70624999999999993</v>
      </c>
      <c r="G1794" t="s">
        <v>12822</v>
      </c>
      <c r="H1794" t="s">
        <v>10414</v>
      </c>
      <c r="I1794" t="s">
        <v>28931</v>
      </c>
      <c r="J1794" t="s">
        <v>12823</v>
      </c>
      <c r="K1794" t="s">
        <v>8305</v>
      </c>
      <c r="L1794" s="7" t="s">
        <v>12824</v>
      </c>
      <c r="M1794">
        <v>26941</v>
      </c>
      <c r="N1794">
        <v>45</v>
      </c>
      <c r="O1794">
        <v>42</v>
      </c>
      <c r="P1794">
        <v>3</v>
      </c>
      <c r="Q1794">
        <v>45</v>
      </c>
      <c r="R1794">
        <v>42</v>
      </c>
      <c r="S1794">
        <v>3</v>
      </c>
      <c r="T1794">
        <v>0</v>
      </c>
      <c r="U1794" t="s">
        <v>12825</v>
      </c>
      <c r="V1794">
        <f>Tabla1[[#This Row],[Aboard]]-Tabla1[[#This Row],[Fatalities]]</f>
        <v>0</v>
      </c>
      <c r="W1794" s="50">
        <f>IFERROR(Tabla1[[#This Row],[Fatalities]]/Tabla1[[#This Row],[Aboard]],0)</f>
        <v>1</v>
      </c>
      <c r="X1794" s="51" t="str" cm="1">
        <f t="array" ref="X1794">_xlfn.IFS(Tabla1[[#This Row],[Porcentaje de muertes]]&lt;0.35,"LEVE",AND(Tabla1[[#This Row],[Porcentaje de muertes]]&gt;0.35,Tabla1[[#This Row],[Porcentaje de muertes]]&lt;0.65),"MEDIO",Tabla1[[#This Row],[Porcentaje de muertes]]&gt;0.65,"GRAVE")</f>
        <v>GRAVE</v>
      </c>
    </row>
    <row r="1795" spans="2:24" x14ac:dyDescent="0.3">
      <c r="B1795" s="9">
        <v>1794</v>
      </c>
      <c r="C1795" s="49">
        <v>21897</v>
      </c>
      <c r="D1795" s="9">
        <f>YEAR(Tabla1[[#This Row],[Date]])</f>
        <v>1959</v>
      </c>
      <c r="E1795" s="9" t="str" cm="1">
        <f t="array" ref="E1795">IFERROR(_xlfn.IFS(AND(D1795&lt;1980,D1795&gt;=1970),"70",AND(D1795&lt;1990,D1795&gt;=1980),"80",AND(D1795&lt;2000,D1795&gt;=1990),"90",AND(D1795&lt;2010,D1795&gt;=2000),"00",AND(D1795&lt;=2019,D1795&gt;=2010),"10"),"1908-1970")</f>
        <v>1908-1970</v>
      </c>
      <c r="F1795" s="3">
        <v>0.39444444444444443</v>
      </c>
      <c r="G1795" t="s">
        <v>12826</v>
      </c>
      <c r="H1795" t="s">
        <v>6541</v>
      </c>
      <c r="I1795" t="s">
        <v>28931</v>
      </c>
      <c r="J1795" t="s">
        <v>12827</v>
      </c>
      <c r="K1795" t="s">
        <v>12828</v>
      </c>
      <c r="L1795" s="7" t="s">
        <v>12829</v>
      </c>
      <c r="M1795">
        <v>147001416</v>
      </c>
      <c r="N1795">
        <v>29</v>
      </c>
      <c r="O1795">
        <v>24</v>
      </c>
      <c r="P1795">
        <v>5</v>
      </c>
      <c r="Q1795">
        <v>29</v>
      </c>
      <c r="R1795">
        <v>24</v>
      </c>
      <c r="S1795">
        <v>5</v>
      </c>
      <c r="T1795">
        <v>0</v>
      </c>
      <c r="U1795" t="s">
        <v>12830</v>
      </c>
      <c r="V1795">
        <f>Tabla1[[#This Row],[Aboard]]-Tabla1[[#This Row],[Fatalities]]</f>
        <v>0</v>
      </c>
      <c r="W1795" s="50">
        <f>IFERROR(Tabla1[[#This Row],[Fatalities]]/Tabla1[[#This Row],[Aboard]],0)</f>
        <v>1</v>
      </c>
      <c r="X1795" s="51" t="str" cm="1">
        <f t="array" ref="X1795">_xlfn.IFS(Tabla1[[#This Row],[Porcentaje de muertes]]&lt;0.35,"LEVE",AND(Tabla1[[#This Row],[Porcentaje de muertes]]&gt;0.35,Tabla1[[#This Row],[Porcentaje de muertes]]&lt;0.65),"MEDIO",Tabla1[[#This Row],[Porcentaje de muertes]]&gt;0.65,"GRAVE")</f>
        <v>GRAVE</v>
      </c>
    </row>
    <row r="1796" spans="2:24" x14ac:dyDescent="0.3">
      <c r="B1796" s="9">
        <v>1795</v>
      </c>
      <c r="C1796" s="49">
        <v>21901</v>
      </c>
      <c r="D1796" s="9">
        <f>YEAR(Tabla1[[#This Row],[Date]])</f>
        <v>1959</v>
      </c>
      <c r="E1796" s="9" t="str" cm="1">
        <f t="array" ref="E1796">IFERROR(_xlfn.IFS(AND(D1796&lt;1980,D1796&gt;=1970),"70",AND(D1796&lt;1990,D1796&gt;=1980),"80",AND(D1796&lt;2000,D1796&gt;=1990),"90",AND(D1796&lt;2010,D1796&gt;=2000),"00",AND(D1796&lt;=2019,D1796&gt;=2010),"10"),"1908-1970")</f>
        <v>1908-1970</v>
      </c>
      <c r="F1796" s="3">
        <v>0.68055555555555547</v>
      </c>
      <c r="G1796" t="s">
        <v>12831</v>
      </c>
      <c r="H1796" t="s">
        <v>12832</v>
      </c>
      <c r="I1796" t="s">
        <v>28931</v>
      </c>
      <c r="J1796" t="s">
        <v>12833</v>
      </c>
      <c r="K1796" t="s">
        <v>9179</v>
      </c>
      <c r="L1796" s="7" t="s">
        <v>12834</v>
      </c>
      <c r="M1796">
        <v>2102</v>
      </c>
      <c r="N1796">
        <v>3</v>
      </c>
      <c r="O1796">
        <v>0</v>
      </c>
      <c r="P1796">
        <v>3</v>
      </c>
      <c r="Q1796">
        <v>3</v>
      </c>
      <c r="R1796">
        <v>0</v>
      </c>
      <c r="S1796">
        <v>3</v>
      </c>
      <c r="T1796">
        <v>0</v>
      </c>
      <c r="U1796" t="s">
        <v>12835</v>
      </c>
      <c r="V1796">
        <f>Tabla1[[#This Row],[Aboard]]-Tabla1[[#This Row],[Fatalities]]</f>
        <v>0</v>
      </c>
      <c r="W1796" s="50">
        <f>IFERROR(Tabla1[[#This Row],[Fatalities]]/Tabla1[[#This Row],[Aboard]],0)</f>
        <v>1</v>
      </c>
      <c r="X1796" s="51" t="str" cm="1">
        <f t="array" ref="X1796">_xlfn.IFS(Tabla1[[#This Row],[Porcentaje de muertes]]&lt;0.35,"LEVE",AND(Tabla1[[#This Row],[Porcentaje de muertes]]&gt;0.35,Tabla1[[#This Row],[Porcentaje de muertes]]&lt;0.65),"MEDIO",Tabla1[[#This Row],[Porcentaje de muertes]]&gt;0.65,"GRAVE")</f>
        <v>GRAVE</v>
      </c>
    </row>
    <row r="1797" spans="2:24" x14ac:dyDescent="0.3">
      <c r="B1797" s="9">
        <v>1796</v>
      </c>
      <c r="C1797" s="49">
        <v>21905</v>
      </c>
      <c r="D1797" s="9">
        <f>YEAR(Tabla1[[#This Row],[Date]])</f>
        <v>1959</v>
      </c>
      <c r="E1797" s="9" t="str" cm="1">
        <f t="array" ref="E1797">IFERROR(_xlfn.IFS(AND(D1797&lt;1980,D1797&gt;=1970),"70",AND(D1797&lt;1990,D1797&gt;=1980),"80",AND(D1797&lt;2000,D1797&gt;=1990),"90",AND(D1797&lt;2010,D1797&gt;=2000),"00",AND(D1797&lt;=2019,D1797&gt;=2010),"10"),"1908-1970")</f>
        <v>1908-1970</v>
      </c>
      <c r="F1797" s="3">
        <v>0.3444444444444445</v>
      </c>
      <c r="G1797" t="s">
        <v>7654</v>
      </c>
      <c r="H1797" t="s">
        <v>10299</v>
      </c>
      <c r="I1797" t="s">
        <v>28931</v>
      </c>
      <c r="J1797" t="s">
        <v>6190</v>
      </c>
      <c r="K1797" t="s">
        <v>12836</v>
      </c>
      <c r="L1797" s="7" t="s">
        <v>12837</v>
      </c>
      <c r="M1797">
        <v>378</v>
      </c>
      <c r="N1797">
        <v>2</v>
      </c>
      <c r="O1797">
        <v>0</v>
      </c>
      <c r="P1797">
        <v>2</v>
      </c>
      <c r="Q1797">
        <v>2</v>
      </c>
      <c r="R1797">
        <v>0</v>
      </c>
      <c r="S1797">
        <v>2</v>
      </c>
      <c r="T1797">
        <v>0</v>
      </c>
      <c r="U1797" t="s">
        <v>12838</v>
      </c>
      <c r="V1797">
        <f>Tabla1[[#This Row],[Aboard]]-Tabla1[[#This Row],[Fatalities]]</f>
        <v>0</v>
      </c>
      <c r="W1797" s="50">
        <f>IFERROR(Tabla1[[#This Row],[Fatalities]]/Tabla1[[#This Row],[Aboard]],0)</f>
        <v>1</v>
      </c>
      <c r="X1797" s="51" t="str" cm="1">
        <f t="array" ref="X1797">_xlfn.IFS(Tabla1[[#This Row],[Porcentaje de muertes]]&lt;0.35,"LEVE",AND(Tabla1[[#This Row],[Porcentaje de muertes]]&gt;0.35,Tabla1[[#This Row],[Porcentaje de muertes]]&lt;0.65),"MEDIO",Tabla1[[#This Row],[Porcentaje de muertes]]&gt;0.65,"GRAVE")</f>
        <v>GRAVE</v>
      </c>
    </row>
    <row r="1798" spans="2:24" x14ac:dyDescent="0.3">
      <c r="B1798" s="9">
        <v>1797</v>
      </c>
      <c r="C1798" s="49">
        <v>21906</v>
      </c>
      <c r="D1798" s="9">
        <f>YEAR(Tabla1[[#This Row],[Date]])</f>
        <v>1959</v>
      </c>
      <c r="E1798" s="9" t="str" cm="1">
        <f t="array" ref="E1798">IFERROR(_xlfn.IFS(AND(D1798&lt;1980,D1798&gt;=1970),"70",AND(D1798&lt;1990,D1798&gt;=1980),"80",AND(D1798&lt;2000,D1798&gt;=1990),"90",AND(D1798&lt;2010,D1798&gt;=2000),"00",AND(D1798&lt;=2019,D1798&gt;=2010),"10"),"1908-1970")</f>
        <v>1908-1970</v>
      </c>
      <c r="F1798" s="3">
        <v>0.56944444444444442</v>
      </c>
      <c r="G1798" t="s">
        <v>7368</v>
      </c>
      <c r="H1798" t="s">
        <v>7581</v>
      </c>
      <c r="I1798">
        <v>233</v>
      </c>
      <c r="J1798" t="s">
        <v>7582</v>
      </c>
      <c r="K1798" t="s">
        <v>12839</v>
      </c>
      <c r="L1798" s="7" t="s">
        <v>12840</v>
      </c>
      <c r="M1798">
        <v>401</v>
      </c>
      <c r="N1798">
        <v>32</v>
      </c>
      <c r="O1798">
        <v>26</v>
      </c>
      <c r="P1798">
        <v>6</v>
      </c>
      <c r="Q1798">
        <v>32</v>
      </c>
      <c r="R1798">
        <v>26</v>
      </c>
      <c r="S1798">
        <v>6</v>
      </c>
      <c r="T1798">
        <v>10</v>
      </c>
      <c r="U1798" t="s">
        <v>12841</v>
      </c>
      <c r="V1798">
        <f>Tabla1[[#This Row],[Aboard]]-Tabla1[[#This Row],[Fatalities]]</f>
        <v>0</v>
      </c>
      <c r="W1798" s="50">
        <f>IFERROR(Tabla1[[#This Row],[Fatalities]]/Tabla1[[#This Row],[Aboard]],0)</f>
        <v>1</v>
      </c>
      <c r="X1798" s="51" t="str" cm="1">
        <f t="array" ref="X1798">_xlfn.IFS(Tabla1[[#This Row],[Porcentaje de muertes]]&lt;0.35,"LEVE",AND(Tabla1[[#This Row],[Porcentaje de muertes]]&gt;0.35,Tabla1[[#This Row],[Porcentaje de muertes]]&lt;0.65),"MEDIO",Tabla1[[#This Row],[Porcentaje de muertes]]&gt;0.65,"GRAVE")</f>
        <v>GRAVE</v>
      </c>
    </row>
    <row r="1799" spans="2:24" x14ac:dyDescent="0.3">
      <c r="B1799" s="9">
        <v>1798</v>
      </c>
      <c r="C1799" s="49">
        <v>21908</v>
      </c>
      <c r="D1799" s="9">
        <f>YEAR(Tabla1[[#This Row],[Date]])</f>
        <v>1959</v>
      </c>
      <c r="E1799" s="9" t="str" cm="1">
        <f t="array" ref="E1799">IFERROR(_xlfn.IFS(AND(D1799&lt;1980,D1799&gt;=1970),"70",AND(D1799&lt;1990,D1799&gt;=1980),"80",AND(D1799&lt;2000,D1799&gt;=1990),"90",AND(D1799&lt;2010,D1799&gt;=2000),"00",AND(D1799&lt;=2019,D1799&gt;=2010),"10"),"1908-1970")</f>
        <v>1908-1970</v>
      </c>
      <c r="F1799" s="3">
        <v>0.20833333333333334</v>
      </c>
      <c r="G1799" t="s">
        <v>12842</v>
      </c>
      <c r="H1799" t="s">
        <v>10225</v>
      </c>
      <c r="I1799">
        <v>330</v>
      </c>
      <c r="J1799" t="s">
        <v>12843</v>
      </c>
      <c r="K1799" t="s">
        <v>8105</v>
      </c>
      <c r="L1799" s="7" t="s">
        <v>12844</v>
      </c>
      <c r="M1799">
        <v>13535</v>
      </c>
      <c r="N1799">
        <v>2</v>
      </c>
      <c r="O1799">
        <v>0</v>
      </c>
      <c r="P1799">
        <v>2</v>
      </c>
      <c r="Q1799">
        <v>1</v>
      </c>
      <c r="R1799">
        <v>0</v>
      </c>
      <c r="S1799">
        <v>1</v>
      </c>
      <c r="T1799">
        <v>0</v>
      </c>
      <c r="U1799" t="s">
        <v>12845</v>
      </c>
      <c r="V1799">
        <f>Tabla1[[#This Row],[Aboard]]-Tabla1[[#This Row],[Fatalities]]</f>
        <v>1</v>
      </c>
      <c r="W1799" s="50">
        <f>IFERROR(Tabla1[[#This Row],[Fatalities]]/Tabla1[[#This Row],[Aboard]],0)</f>
        <v>0.5</v>
      </c>
      <c r="X1799" s="51" t="str" cm="1">
        <f t="array" ref="X1799">_xlfn.IFS(Tabla1[[#This Row],[Porcentaje de muertes]]&lt;0.35,"LEVE",AND(Tabla1[[#This Row],[Porcentaje de muertes]]&gt;0.35,Tabla1[[#This Row],[Porcentaje de muertes]]&lt;0.65),"MEDIO",Tabla1[[#This Row],[Porcentaje de muertes]]&gt;0.65,"GRAVE")</f>
        <v>MEDIO</v>
      </c>
    </row>
    <row r="1800" spans="2:24" x14ac:dyDescent="0.3">
      <c r="B1800" s="9">
        <v>1799</v>
      </c>
      <c r="C1800" s="49">
        <v>21915</v>
      </c>
      <c r="D1800" s="9">
        <f>YEAR(Tabla1[[#This Row],[Date]])</f>
        <v>1959</v>
      </c>
      <c r="E1800" s="9" t="str" cm="1">
        <f t="array" ref="E1800">IFERROR(_xlfn.IFS(AND(D1800&lt;1980,D1800&gt;=1970),"70",AND(D1800&lt;1990,D1800&gt;=1980),"80",AND(D1800&lt;2000,D1800&gt;=1990),"90",AND(D1800&lt;2010,D1800&gt;=2000),"00",AND(D1800&lt;=2019,D1800&gt;=2010),"10"),"1908-1970")</f>
        <v>1908-1970</v>
      </c>
      <c r="F1800" s="3" t="s">
        <v>28931</v>
      </c>
      <c r="G1800" t="s">
        <v>12846</v>
      </c>
      <c r="H1800" t="s">
        <v>6750</v>
      </c>
      <c r="I1800" t="s">
        <v>28931</v>
      </c>
      <c r="J1800" t="s">
        <v>12847</v>
      </c>
      <c r="K1800" t="s">
        <v>7057</v>
      </c>
      <c r="L1800" s="7" t="s">
        <v>12848</v>
      </c>
      <c r="M1800">
        <v>19226</v>
      </c>
      <c r="N1800">
        <v>11</v>
      </c>
      <c r="O1800">
        <v>7</v>
      </c>
      <c r="P1800">
        <v>4</v>
      </c>
      <c r="Q1800">
        <v>11</v>
      </c>
      <c r="R1800">
        <v>7</v>
      </c>
      <c r="S1800">
        <v>4</v>
      </c>
      <c r="T1800">
        <v>0</v>
      </c>
      <c r="U1800" t="s">
        <v>8480</v>
      </c>
      <c r="V1800">
        <f>Tabla1[[#This Row],[Aboard]]-Tabla1[[#This Row],[Fatalities]]</f>
        <v>0</v>
      </c>
      <c r="W1800" s="50">
        <f>IFERROR(Tabla1[[#This Row],[Fatalities]]/Tabla1[[#This Row],[Aboard]],0)</f>
        <v>1</v>
      </c>
      <c r="X1800" s="51" t="str" cm="1">
        <f t="array" ref="X1800">_xlfn.IFS(Tabla1[[#This Row],[Porcentaje de muertes]]&lt;0.35,"LEVE",AND(Tabla1[[#This Row],[Porcentaje de muertes]]&gt;0.35,Tabla1[[#This Row],[Porcentaje de muertes]]&lt;0.65),"MEDIO",Tabla1[[#This Row],[Porcentaje de muertes]]&gt;0.65,"GRAVE")</f>
        <v>GRAVE</v>
      </c>
    </row>
    <row r="1801" spans="2:24" x14ac:dyDescent="0.3">
      <c r="B1801" s="9">
        <v>1800</v>
      </c>
      <c r="C1801" s="49">
        <v>21976</v>
      </c>
      <c r="D1801" s="9">
        <f>YEAR(Tabla1[[#This Row],[Date]])</f>
        <v>1960</v>
      </c>
      <c r="E1801" s="9" t="str" cm="1">
        <f t="array" ref="E1801">IFERROR(_xlfn.IFS(AND(D1801&lt;1980,D1801&gt;=1970),"70",AND(D1801&lt;1990,D1801&gt;=1980),"80",AND(D1801&lt;2000,D1801&gt;=1990),"90",AND(D1801&lt;2010,D1801&gt;=2000),"00",AND(D1801&lt;=2019,D1801&gt;=2010),"10"),"1908-1970")</f>
        <v>1908-1970</v>
      </c>
      <c r="F1801" s="3">
        <v>0.44444444444444442</v>
      </c>
      <c r="G1801" t="s">
        <v>12849</v>
      </c>
      <c r="H1801" t="s">
        <v>11150</v>
      </c>
      <c r="I1801" t="s">
        <v>28931</v>
      </c>
      <c r="J1801" t="s">
        <v>28931</v>
      </c>
      <c r="K1801" t="s">
        <v>8105</v>
      </c>
      <c r="L1801" s="7" t="s">
        <v>12850</v>
      </c>
      <c r="M1801">
        <v>12821</v>
      </c>
      <c r="N1801">
        <v>9</v>
      </c>
      <c r="O1801">
        <v>5</v>
      </c>
      <c r="P1801">
        <v>4</v>
      </c>
      <c r="Q1801">
        <v>9</v>
      </c>
      <c r="R1801">
        <v>5</v>
      </c>
      <c r="S1801">
        <v>4</v>
      </c>
      <c r="T1801">
        <v>0</v>
      </c>
      <c r="U1801" t="s">
        <v>12851</v>
      </c>
      <c r="V1801">
        <f>Tabla1[[#This Row],[Aboard]]-Tabla1[[#This Row],[Fatalities]]</f>
        <v>0</v>
      </c>
      <c r="W1801" s="50">
        <f>IFERROR(Tabla1[[#This Row],[Fatalities]]/Tabla1[[#This Row],[Aboard]],0)</f>
        <v>1</v>
      </c>
      <c r="X1801" s="51" t="str" cm="1">
        <f t="array" ref="X1801">_xlfn.IFS(Tabla1[[#This Row],[Porcentaje de muertes]]&lt;0.35,"LEVE",AND(Tabla1[[#This Row],[Porcentaje de muertes]]&gt;0.35,Tabla1[[#This Row],[Porcentaje de muertes]]&lt;0.65),"MEDIO",Tabla1[[#This Row],[Porcentaje de muertes]]&gt;0.65,"GRAVE")</f>
        <v>GRAVE</v>
      </c>
    </row>
    <row r="1802" spans="2:24" x14ac:dyDescent="0.3">
      <c r="B1802" s="9">
        <v>1801</v>
      </c>
      <c r="C1802" s="49">
        <v>22068</v>
      </c>
      <c r="D1802" s="9">
        <f>YEAR(Tabla1[[#This Row],[Date]])</f>
        <v>1960</v>
      </c>
      <c r="E1802" s="9" t="str" cm="1">
        <f t="array" ref="E1802">IFERROR(_xlfn.IFS(AND(D1802&lt;1980,D1802&gt;=1970),"70",AND(D1802&lt;1990,D1802&gt;=1980),"80",AND(D1802&lt;2000,D1802&gt;=1990),"90",AND(D1802&lt;2010,D1802&gt;=2000),"00",AND(D1802&lt;=2019,D1802&gt;=2010),"10"),"1908-1970")</f>
        <v>1908-1970</v>
      </c>
      <c r="F1802" s="3">
        <v>0.10972222222222222</v>
      </c>
      <c r="G1802" t="s">
        <v>12852</v>
      </c>
      <c r="H1802" t="s">
        <v>8437</v>
      </c>
      <c r="I1802">
        <v>2511</v>
      </c>
      <c r="J1802" t="s">
        <v>11680</v>
      </c>
      <c r="K1802" t="s">
        <v>10428</v>
      </c>
      <c r="L1802" s="7" t="s">
        <v>12853</v>
      </c>
      <c r="M1802" t="s">
        <v>12854</v>
      </c>
      <c r="N1802">
        <v>34</v>
      </c>
      <c r="O1802">
        <v>29</v>
      </c>
      <c r="P1802">
        <v>5</v>
      </c>
      <c r="Q1802">
        <v>34</v>
      </c>
      <c r="R1802">
        <v>29</v>
      </c>
      <c r="S1802">
        <v>5</v>
      </c>
      <c r="T1802">
        <v>0</v>
      </c>
      <c r="U1802" t="s">
        <v>12855</v>
      </c>
      <c r="V1802">
        <f>Tabla1[[#This Row],[Aboard]]-Tabla1[[#This Row],[Fatalities]]</f>
        <v>0</v>
      </c>
      <c r="W1802" s="50">
        <f>IFERROR(Tabla1[[#This Row],[Fatalities]]/Tabla1[[#This Row],[Aboard]],0)</f>
        <v>1</v>
      </c>
      <c r="X1802" s="51" t="str" cm="1">
        <f t="array" ref="X1802">_xlfn.IFS(Tabla1[[#This Row],[Porcentaje de muertes]]&lt;0.35,"LEVE",AND(Tabla1[[#This Row],[Porcentaje de muertes]]&gt;0.35,Tabla1[[#This Row],[Porcentaje de muertes]]&lt;0.65),"MEDIO",Tabla1[[#This Row],[Porcentaje de muertes]]&gt;0.65,"GRAVE")</f>
        <v>GRAVE</v>
      </c>
    </row>
    <row r="1803" spans="2:24" x14ac:dyDescent="0.3">
      <c r="B1803" s="9">
        <v>1802</v>
      </c>
      <c r="C1803" s="49">
        <v>22190</v>
      </c>
      <c r="D1803" s="9">
        <f>YEAR(Tabla1[[#This Row],[Date]])</f>
        <v>1960</v>
      </c>
      <c r="E1803" s="9" t="str" cm="1">
        <f t="array" ref="E1803">IFERROR(_xlfn.IFS(AND(D1803&lt;1980,D1803&gt;=1970),"70",AND(D1803&lt;1990,D1803&gt;=1980),"80",AND(D1803&lt;2000,D1803&gt;=1990),"90",AND(D1803&lt;2010,D1803&gt;=2000),"00",AND(D1803&lt;=2019,D1803&gt;=2010),"10"),"1908-1970")</f>
        <v>1908-1970</v>
      </c>
      <c r="F1803" s="3">
        <v>0.65138888888888891</v>
      </c>
      <c r="G1803" t="s">
        <v>12856</v>
      </c>
      <c r="H1803" t="s">
        <v>5017</v>
      </c>
      <c r="I1803" t="s">
        <v>28931</v>
      </c>
      <c r="J1803" t="s">
        <v>12857</v>
      </c>
      <c r="K1803" t="s">
        <v>12858</v>
      </c>
      <c r="L1803" s="7" t="s">
        <v>12859</v>
      </c>
      <c r="M1803">
        <v>47</v>
      </c>
      <c r="N1803">
        <v>10</v>
      </c>
      <c r="O1803">
        <v>9</v>
      </c>
      <c r="P1803">
        <v>1</v>
      </c>
      <c r="Q1803">
        <v>10</v>
      </c>
      <c r="R1803">
        <v>9</v>
      </c>
      <c r="S1803">
        <v>1</v>
      </c>
      <c r="T1803">
        <v>0</v>
      </c>
      <c r="U1803" t="s">
        <v>12860</v>
      </c>
      <c r="V1803">
        <f>Tabla1[[#This Row],[Aboard]]-Tabla1[[#This Row],[Fatalities]]</f>
        <v>0</v>
      </c>
      <c r="W1803" s="50">
        <f>IFERROR(Tabla1[[#This Row],[Fatalities]]/Tabla1[[#This Row],[Aboard]],0)</f>
        <v>1</v>
      </c>
      <c r="X1803" s="51" t="str" cm="1">
        <f t="array" ref="X1803">_xlfn.IFS(Tabla1[[#This Row],[Porcentaje de muertes]]&lt;0.35,"LEVE",AND(Tabla1[[#This Row],[Porcentaje de muertes]]&gt;0.35,Tabla1[[#This Row],[Porcentaje de muertes]]&lt;0.65),"MEDIO",Tabla1[[#This Row],[Porcentaje de muertes]]&gt;0.65,"GRAVE")</f>
        <v>GRAVE</v>
      </c>
    </row>
    <row r="1804" spans="2:24" x14ac:dyDescent="0.3">
      <c r="B1804" s="9">
        <v>1803</v>
      </c>
      <c r="C1804" s="49">
        <v>21933</v>
      </c>
      <c r="D1804" s="9">
        <f>YEAR(Tabla1[[#This Row],[Date]])</f>
        <v>1960</v>
      </c>
      <c r="E1804" s="9" t="str" cm="1">
        <f t="array" ref="E1804">IFERROR(_xlfn.IFS(AND(D1804&lt;1980,D1804&gt;=1970),"70",AND(D1804&lt;1990,D1804&gt;=1980),"80",AND(D1804&lt;2000,D1804&gt;=1990),"90",AND(D1804&lt;2010,D1804&gt;=2000),"00",AND(D1804&lt;=2019,D1804&gt;=2010),"10"),"1908-1970")</f>
        <v>1908-1970</v>
      </c>
      <c r="F1804" s="3">
        <v>0.92986111111111114</v>
      </c>
      <c r="G1804" t="s">
        <v>12861</v>
      </c>
      <c r="H1804" t="s">
        <v>9977</v>
      </c>
      <c r="I1804">
        <v>20</v>
      </c>
      <c r="J1804" t="s">
        <v>12862</v>
      </c>
      <c r="K1804" t="s">
        <v>12322</v>
      </c>
      <c r="L1804" s="7" t="s">
        <v>12863</v>
      </c>
      <c r="M1804">
        <v>217</v>
      </c>
      <c r="N1804">
        <v>50</v>
      </c>
      <c r="O1804">
        <v>46</v>
      </c>
      <c r="P1804">
        <v>4</v>
      </c>
      <c r="Q1804">
        <v>50</v>
      </c>
      <c r="R1804">
        <v>46</v>
      </c>
      <c r="S1804">
        <v>4</v>
      </c>
      <c r="T1804">
        <v>0</v>
      </c>
      <c r="U1804" t="s">
        <v>12864</v>
      </c>
      <c r="V1804">
        <f>Tabla1[[#This Row],[Aboard]]-Tabla1[[#This Row],[Fatalities]]</f>
        <v>0</v>
      </c>
      <c r="W1804" s="50">
        <f>IFERROR(Tabla1[[#This Row],[Fatalities]]/Tabla1[[#This Row],[Aboard]],0)</f>
        <v>1</v>
      </c>
      <c r="X1804" s="51" t="str" cm="1">
        <f t="array" ref="X1804">_xlfn.IFS(Tabla1[[#This Row],[Porcentaje de muertes]]&lt;0.35,"LEVE",AND(Tabla1[[#This Row],[Porcentaje de muertes]]&gt;0.35,Tabla1[[#This Row],[Porcentaje de muertes]]&lt;0.65),"MEDIO",Tabla1[[#This Row],[Porcentaje de muertes]]&gt;0.65,"GRAVE")</f>
        <v>GRAVE</v>
      </c>
    </row>
    <row r="1805" spans="2:24" x14ac:dyDescent="0.3">
      <c r="B1805" s="9">
        <v>1804</v>
      </c>
      <c r="C1805" s="49">
        <v>21934</v>
      </c>
      <c r="D1805" s="9">
        <f>YEAR(Tabla1[[#This Row],[Date]])</f>
        <v>1960</v>
      </c>
      <c r="E1805" s="9" t="str" cm="1">
        <f t="array" ref="E1805">IFERROR(_xlfn.IFS(AND(D1805&lt;1980,D1805&gt;=1970),"70",AND(D1805&lt;1990,D1805&gt;=1980),"80",AND(D1805&lt;2000,D1805&gt;=1990),"90",AND(D1805&lt;2010,D1805&gt;=2000),"00",AND(D1805&lt;=2019,D1805&gt;=2010),"10"),"1908-1970")</f>
        <v>1908-1970</v>
      </c>
      <c r="F1805" s="3">
        <v>0.78263888888888899</v>
      </c>
      <c r="G1805" t="s">
        <v>10043</v>
      </c>
      <c r="H1805" t="s">
        <v>9523</v>
      </c>
      <c r="I1805">
        <v>871</v>
      </c>
      <c r="J1805" t="s">
        <v>12865</v>
      </c>
      <c r="K1805" t="s">
        <v>12866</v>
      </c>
      <c r="L1805" s="7" t="s">
        <v>12867</v>
      </c>
      <c r="M1805" t="s">
        <v>12868</v>
      </c>
      <c r="N1805">
        <v>42</v>
      </c>
      <c r="O1805">
        <v>35</v>
      </c>
      <c r="P1805">
        <v>7</v>
      </c>
      <c r="Q1805">
        <v>42</v>
      </c>
      <c r="R1805">
        <v>35</v>
      </c>
      <c r="S1805">
        <v>7</v>
      </c>
      <c r="T1805">
        <v>0</v>
      </c>
      <c r="U1805" t="s">
        <v>12869</v>
      </c>
      <c r="V1805">
        <f>Tabla1[[#This Row],[Aboard]]-Tabla1[[#This Row],[Fatalities]]</f>
        <v>0</v>
      </c>
      <c r="W1805" s="50">
        <f>IFERROR(Tabla1[[#This Row],[Fatalities]]/Tabla1[[#This Row],[Aboard]],0)</f>
        <v>1</v>
      </c>
      <c r="X1805" s="51" t="str" cm="1">
        <f t="array" ref="X1805">_xlfn.IFS(Tabla1[[#This Row],[Porcentaje de muertes]]&lt;0.35,"LEVE",AND(Tabla1[[#This Row],[Porcentaje de muertes]]&gt;0.35,Tabla1[[#This Row],[Porcentaje de muertes]]&lt;0.65),"MEDIO",Tabla1[[#This Row],[Porcentaje de muertes]]&gt;0.65,"GRAVE")</f>
        <v>GRAVE</v>
      </c>
    </row>
    <row r="1806" spans="2:24" x14ac:dyDescent="0.3">
      <c r="B1806" s="9">
        <v>1805</v>
      </c>
      <c r="C1806" s="49">
        <v>21936</v>
      </c>
      <c r="D1806" s="9">
        <f>YEAR(Tabla1[[#This Row],[Date]])</f>
        <v>1960</v>
      </c>
      <c r="E1806" s="9" t="str" cm="1">
        <f t="array" ref="E1806">IFERROR(_xlfn.IFS(AND(D1806&lt;1980,D1806&gt;=1970),"70",AND(D1806&lt;1990,D1806&gt;=1980),"80",AND(D1806&lt;2000,D1806&gt;=1990),"90",AND(D1806&lt;2010,D1806&gt;=2000),"00",AND(D1806&lt;=2019,D1806&gt;=2010),"10"),"1908-1970")</f>
        <v>1908-1970</v>
      </c>
      <c r="F1806" s="3" t="s">
        <v>28931</v>
      </c>
      <c r="G1806" t="s">
        <v>12870</v>
      </c>
      <c r="H1806" t="s">
        <v>8976</v>
      </c>
      <c r="I1806">
        <v>671</v>
      </c>
      <c r="J1806" t="s">
        <v>12871</v>
      </c>
      <c r="K1806" t="s">
        <v>12490</v>
      </c>
      <c r="L1806" s="7" t="s">
        <v>12872</v>
      </c>
      <c r="M1806">
        <v>4556</v>
      </c>
      <c r="N1806">
        <v>46</v>
      </c>
      <c r="O1806">
        <v>39</v>
      </c>
      <c r="P1806">
        <v>7</v>
      </c>
      <c r="Q1806">
        <v>37</v>
      </c>
      <c r="R1806">
        <v>35</v>
      </c>
      <c r="S1806">
        <v>2</v>
      </c>
      <c r="T1806">
        <v>0</v>
      </c>
      <c r="U1806" t="s">
        <v>12873</v>
      </c>
      <c r="V1806">
        <f>Tabla1[[#This Row],[Aboard]]-Tabla1[[#This Row],[Fatalities]]</f>
        <v>9</v>
      </c>
      <c r="W1806" s="50">
        <f>IFERROR(Tabla1[[#This Row],[Fatalities]]/Tabla1[[#This Row],[Aboard]],0)</f>
        <v>0.80434782608695654</v>
      </c>
      <c r="X1806" s="51" t="str" cm="1">
        <f t="array" ref="X1806">_xlfn.IFS(Tabla1[[#This Row],[Porcentaje de muertes]]&lt;0.35,"LEVE",AND(Tabla1[[#This Row],[Porcentaje de muertes]]&gt;0.35,Tabla1[[#This Row],[Porcentaje de muertes]]&lt;0.65),"MEDIO",Tabla1[[#This Row],[Porcentaje de muertes]]&gt;0.65,"GRAVE")</f>
        <v>GRAVE</v>
      </c>
    </row>
    <row r="1807" spans="2:24" x14ac:dyDescent="0.3">
      <c r="B1807" s="9">
        <v>1806</v>
      </c>
      <c r="C1807" s="49">
        <v>21941</v>
      </c>
      <c r="D1807" s="9">
        <f>YEAR(Tabla1[[#This Row],[Date]])</f>
        <v>1960</v>
      </c>
      <c r="E1807" s="9" t="str" cm="1">
        <f t="array" ref="E1807">IFERROR(_xlfn.IFS(AND(D1807&lt;1980,D1807&gt;=1970),"70",AND(D1807&lt;1990,D1807&gt;=1980),"80",AND(D1807&lt;2000,D1807&gt;=1990),"90",AND(D1807&lt;2010,D1807&gt;=2000),"00",AND(D1807&lt;=2019,D1807&gt;=2010),"10"),"1908-1970")</f>
        <v>1908-1970</v>
      </c>
      <c r="F1807" s="3">
        <v>0.52083333333333337</v>
      </c>
      <c r="G1807" t="s">
        <v>12874</v>
      </c>
      <c r="H1807" t="s">
        <v>12875</v>
      </c>
      <c r="I1807" t="s">
        <v>28931</v>
      </c>
      <c r="J1807" t="s">
        <v>12876</v>
      </c>
      <c r="K1807" t="s">
        <v>12197</v>
      </c>
      <c r="L1807" s="7" t="s">
        <v>12877</v>
      </c>
      <c r="M1807">
        <v>14132</v>
      </c>
      <c r="N1807">
        <v>9</v>
      </c>
      <c r="O1807">
        <v>7</v>
      </c>
      <c r="P1807">
        <v>2</v>
      </c>
      <c r="Q1807">
        <v>9</v>
      </c>
      <c r="R1807">
        <v>7</v>
      </c>
      <c r="S1807">
        <v>2</v>
      </c>
      <c r="T1807">
        <v>0</v>
      </c>
      <c r="U1807" t="s">
        <v>12878</v>
      </c>
      <c r="V1807">
        <f>Tabla1[[#This Row],[Aboard]]-Tabla1[[#This Row],[Fatalities]]</f>
        <v>0</v>
      </c>
      <c r="W1807" s="50">
        <f>IFERROR(Tabla1[[#This Row],[Fatalities]]/Tabla1[[#This Row],[Aboard]],0)</f>
        <v>1</v>
      </c>
      <c r="X1807" s="51" t="str" cm="1">
        <f t="array" ref="X1807">_xlfn.IFS(Tabla1[[#This Row],[Porcentaje de muertes]]&lt;0.35,"LEVE",AND(Tabla1[[#This Row],[Porcentaje de muertes]]&gt;0.35,Tabla1[[#This Row],[Porcentaje de muertes]]&lt;0.65),"MEDIO",Tabla1[[#This Row],[Porcentaje de muertes]]&gt;0.65,"GRAVE")</f>
        <v>GRAVE</v>
      </c>
    </row>
    <row r="1808" spans="2:24" x14ac:dyDescent="0.3">
      <c r="B1808" s="9">
        <v>1807</v>
      </c>
      <c r="C1808" s="49">
        <v>22038</v>
      </c>
      <c r="D1808" s="9">
        <f>YEAR(Tabla1[[#This Row],[Date]])</f>
        <v>1960</v>
      </c>
      <c r="E1808" s="9" t="str" cm="1">
        <f t="array" ref="E1808">IFERROR(_xlfn.IFS(AND(D1808&lt;1980,D1808&gt;=1970),"70",AND(D1808&lt;1990,D1808&gt;=1980),"80",AND(D1808&lt;2000,D1808&gt;=1990),"90",AND(D1808&lt;2010,D1808&gt;=2000),"00",AND(D1808&lt;=2019,D1808&gt;=2010),"10"),"1908-1970")</f>
        <v>1908-1970</v>
      </c>
      <c r="F1808" s="3">
        <v>0.30555555555555552</v>
      </c>
      <c r="G1808" t="s">
        <v>10464</v>
      </c>
      <c r="H1808" t="s">
        <v>6750</v>
      </c>
      <c r="I1808" t="s">
        <v>28931</v>
      </c>
      <c r="J1808" t="s">
        <v>6751</v>
      </c>
      <c r="K1808" t="s">
        <v>8822</v>
      </c>
      <c r="L1808" s="7" t="s">
        <v>12879</v>
      </c>
      <c r="M1808">
        <v>10510</v>
      </c>
      <c r="N1808">
        <v>59</v>
      </c>
      <c r="O1808">
        <v>55</v>
      </c>
      <c r="P1808">
        <v>4</v>
      </c>
      <c r="Q1808">
        <v>59</v>
      </c>
      <c r="R1808">
        <v>55</v>
      </c>
      <c r="S1808">
        <v>4</v>
      </c>
      <c r="T1808">
        <v>0</v>
      </c>
      <c r="U1808" t="s">
        <v>12880</v>
      </c>
      <c r="V1808">
        <f>Tabla1[[#This Row],[Aboard]]-Tabla1[[#This Row],[Fatalities]]</f>
        <v>0</v>
      </c>
      <c r="W1808" s="50">
        <f>IFERROR(Tabla1[[#This Row],[Fatalities]]/Tabla1[[#This Row],[Aboard]],0)</f>
        <v>1</v>
      </c>
      <c r="X1808" s="51" t="str" cm="1">
        <f t="array" ref="X1808">_xlfn.IFS(Tabla1[[#This Row],[Porcentaje de muertes]]&lt;0.35,"LEVE",AND(Tabla1[[#This Row],[Porcentaje de muertes]]&gt;0.35,Tabla1[[#This Row],[Porcentaje de muertes]]&lt;0.65),"MEDIO",Tabla1[[#This Row],[Porcentaje de muertes]]&gt;0.65,"GRAVE")</f>
        <v>GRAVE</v>
      </c>
    </row>
    <row r="1809" spans="2:24" x14ac:dyDescent="0.3">
      <c r="B1809" s="9">
        <v>1808</v>
      </c>
      <c r="C1809" s="49">
        <v>21971</v>
      </c>
      <c r="D1809" s="9">
        <f>YEAR(Tabla1[[#This Row],[Date]])</f>
        <v>1960</v>
      </c>
      <c r="E1809" s="9" t="str" cm="1">
        <f t="array" ref="E1809">IFERROR(_xlfn.IFS(AND(D1809&lt;1980,D1809&gt;=1970),"70",AND(D1809&lt;1990,D1809&gt;=1980),"80",AND(D1809&lt;2000,D1809&gt;=1990),"90",AND(D1809&lt;2010,D1809&gt;=2000),"00",AND(D1809&lt;=2019,D1809&gt;=2010),"10"),"1908-1970")</f>
        <v>1908-1970</v>
      </c>
      <c r="F1809" s="3">
        <v>0.54652777777777783</v>
      </c>
      <c r="G1809" t="s">
        <v>7368</v>
      </c>
      <c r="H1809" t="s">
        <v>12881</v>
      </c>
      <c r="I1809" t="s">
        <v>28931</v>
      </c>
      <c r="J1809" t="s">
        <v>12882</v>
      </c>
      <c r="K1809" t="s">
        <v>12883</v>
      </c>
      <c r="L1809" s="7" t="s">
        <v>12884</v>
      </c>
      <c r="M1809" t="s">
        <v>12885</v>
      </c>
      <c r="N1809">
        <v>64</v>
      </c>
      <c r="O1809">
        <v>53</v>
      </c>
      <c r="P1809">
        <v>11</v>
      </c>
      <c r="Q1809">
        <v>61</v>
      </c>
      <c r="R1809">
        <v>50</v>
      </c>
      <c r="S1809">
        <v>11</v>
      </c>
      <c r="T1809">
        <v>0</v>
      </c>
      <c r="U1809" t="s">
        <v>12886</v>
      </c>
      <c r="V1809">
        <f>Tabla1[[#This Row],[Aboard]]-Tabla1[[#This Row],[Fatalities]]</f>
        <v>3</v>
      </c>
      <c r="W1809" s="50">
        <f>IFERROR(Tabla1[[#This Row],[Fatalities]]/Tabla1[[#This Row],[Aboard]],0)</f>
        <v>0.953125</v>
      </c>
      <c r="X1809" s="51" t="str" cm="1">
        <f t="array" ref="X1809">_xlfn.IFS(Tabla1[[#This Row],[Porcentaje de muertes]]&lt;0.35,"LEVE",AND(Tabla1[[#This Row],[Porcentaje de muertes]]&gt;0.35,Tabla1[[#This Row],[Porcentaje de muertes]]&lt;0.65),"MEDIO",Tabla1[[#This Row],[Porcentaje de muertes]]&gt;0.65,"GRAVE")</f>
        <v>GRAVE</v>
      </c>
    </row>
    <row r="1810" spans="2:24" x14ac:dyDescent="0.3">
      <c r="B1810" s="9">
        <v>1809</v>
      </c>
      <c r="C1810" s="49">
        <v>21972</v>
      </c>
      <c r="D1810" s="9">
        <f>YEAR(Tabla1[[#This Row],[Date]])</f>
        <v>1960</v>
      </c>
      <c r="E1810" s="9" t="str" cm="1">
        <f t="array" ref="E1810">IFERROR(_xlfn.IFS(AND(D1810&lt;1980,D1810&gt;=1970),"70",AND(D1810&lt;1990,D1810&gt;=1980),"80",AND(D1810&lt;2000,D1810&gt;=1990),"90",AND(D1810&lt;2010,D1810&gt;=2000),"00",AND(D1810&lt;=2019,D1810&gt;=2010),"10"),"1908-1970")</f>
        <v>1908-1970</v>
      </c>
      <c r="F1810" s="3">
        <v>0.70624999999999993</v>
      </c>
      <c r="G1810" t="s">
        <v>12887</v>
      </c>
      <c r="H1810" t="s">
        <v>6541</v>
      </c>
      <c r="I1810">
        <v>315</v>
      </c>
      <c r="J1810" t="s">
        <v>12888</v>
      </c>
      <c r="K1810" t="s">
        <v>12889</v>
      </c>
      <c r="L1810" s="7" t="s">
        <v>12890</v>
      </c>
      <c r="M1810">
        <v>9401801</v>
      </c>
      <c r="N1810">
        <v>33</v>
      </c>
      <c r="O1810">
        <v>25</v>
      </c>
      <c r="P1810">
        <v>8</v>
      </c>
      <c r="Q1810">
        <v>32</v>
      </c>
      <c r="R1810">
        <v>24</v>
      </c>
      <c r="S1810">
        <v>8</v>
      </c>
      <c r="T1810">
        <v>0</v>
      </c>
      <c r="U1810" t="s">
        <v>12891</v>
      </c>
      <c r="V1810">
        <f>Tabla1[[#This Row],[Aboard]]-Tabla1[[#This Row],[Fatalities]]</f>
        <v>1</v>
      </c>
      <c r="W1810" s="50">
        <f>IFERROR(Tabla1[[#This Row],[Fatalities]]/Tabla1[[#This Row],[Aboard]],0)</f>
        <v>0.96969696969696972</v>
      </c>
      <c r="X1810" s="51" t="str" cm="1">
        <f t="array" ref="X1810">_xlfn.IFS(Tabla1[[#This Row],[Porcentaje de muertes]]&lt;0.35,"LEVE",AND(Tabla1[[#This Row],[Porcentaje de muertes]]&gt;0.35,Tabla1[[#This Row],[Porcentaje de muertes]]&lt;0.65),"MEDIO",Tabla1[[#This Row],[Porcentaje de muertes]]&gt;0.65,"GRAVE")</f>
        <v>GRAVE</v>
      </c>
    </row>
    <row r="1811" spans="2:24" x14ac:dyDescent="0.3">
      <c r="B1811" s="9">
        <v>1810</v>
      </c>
      <c r="C1811" s="49">
        <v>21972</v>
      </c>
      <c r="D1811" s="9">
        <f>YEAR(Tabla1[[#This Row],[Date]])</f>
        <v>1960</v>
      </c>
      <c r="E1811" s="9" t="str" cm="1">
        <f t="array" ref="E1811">IFERROR(_xlfn.IFS(AND(D1811&lt;1980,D1811&gt;=1970),"70",AND(D1811&lt;1990,D1811&gt;=1980),"80",AND(D1811&lt;2000,D1811&gt;=1990),"90",AND(D1811&lt;2010,D1811&gt;=2000),"00",AND(D1811&lt;=2019,D1811&gt;=2010),"10"),"1908-1970")</f>
        <v>1908-1970</v>
      </c>
      <c r="F1811" s="3" t="s">
        <v>28931</v>
      </c>
      <c r="G1811" t="s">
        <v>9445</v>
      </c>
      <c r="H1811" t="s">
        <v>10299</v>
      </c>
      <c r="I1811" t="s">
        <v>28931</v>
      </c>
      <c r="J1811" t="s">
        <v>12892</v>
      </c>
      <c r="K1811" t="s">
        <v>12348</v>
      </c>
      <c r="L1811" s="7" t="s">
        <v>12893</v>
      </c>
      <c r="M1811" t="s">
        <v>12894</v>
      </c>
      <c r="N1811">
        <v>52</v>
      </c>
      <c r="O1811">
        <v>40</v>
      </c>
      <c r="P1811">
        <v>12</v>
      </c>
      <c r="Q1811">
        <v>34</v>
      </c>
      <c r="R1811">
        <v>23</v>
      </c>
      <c r="S1811">
        <v>11</v>
      </c>
      <c r="T1811">
        <v>0</v>
      </c>
      <c r="U1811" t="s">
        <v>12895</v>
      </c>
      <c r="V1811">
        <f>Tabla1[[#This Row],[Aboard]]-Tabla1[[#This Row],[Fatalities]]</f>
        <v>18</v>
      </c>
      <c r="W1811" s="50">
        <f>IFERROR(Tabla1[[#This Row],[Fatalities]]/Tabla1[[#This Row],[Aboard]],0)</f>
        <v>0.65384615384615385</v>
      </c>
      <c r="X1811" s="51" t="str" cm="1">
        <f t="array" ref="X1811">_xlfn.IFS(Tabla1[[#This Row],[Porcentaje de muertes]]&lt;0.35,"LEVE",AND(Tabla1[[#This Row],[Porcentaje de muertes]]&gt;0.35,Tabla1[[#This Row],[Porcentaje de muertes]]&lt;0.65),"MEDIO",Tabla1[[#This Row],[Porcentaje de muertes]]&gt;0.65,"GRAVE")</f>
        <v>GRAVE</v>
      </c>
    </row>
    <row r="1812" spans="2:24" x14ac:dyDescent="0.3">
      <c r="B1812" s="9">
        <v>1811</v>
      </c>
      <c r="C1812" s="49">
        <v>21990</v>
      </c>
      <c r="D1812" s="9">
        <f>YEAR(Tabla1[[#This Row],[Date]])</f>
        <v>1960</v>
      </c>
      <c r="E1812" s="9" t="str" cm="1">
        <f t="array" ref="E1812">IFERROR(_xlfn.IFS(AND(D1812&lt;1980,D1812&gt;=1970),"70",AND(D1812&lt;1990,D1812&gt;=1980),"80",AND(D1812&lt;2000,D1812&gt;=1990),"90",AND(D1812&lt;2010,D1812&gt;=2000),"00",AND(D1812&lt;=2019,D1812&gt;=2010),"10"),"1908-1970")</f>
        <v>1908-1970</v>
      </c>
      <c r="F1812" s="3" t="s">
        <v>28931</v>
      </c>
      <c r="G1812" t="s">
        <v>12896</v>
      </c>
      <c r="H1812" t="s">
        <v>9429</v>
      </c>
      <c r="I1812" t="s">
        <v>28931</v>
      </c>
      <c r="J1812" t="s">
        <v>12897</v>
      </c>
      <c r="K1812" t="s">
        <v>9179</v>
      </c>
      <c r="L1812" s="7" t="s">
        <v>12898</v>
      </c>
      <c r="M1812" t="s">
        <v>28931</v>
      </c>
      <c r="N1812">
        <v>13</v>
      </c>
      <c r="O1812">
        <v>10</v>
      </c>
      <c r="P1812">
        <v>3</v>
      </c>
      <c r="Q1812">
        <v>6</v>
      </c>
      <c r="R1812">
        <v>4</v>
      </c>
      <c r="S1812">
        <v>2</v>
      </c>
      <c r="T1812">
        <v>0</v>
      </c>
      <c r="U1812" t="s">
        <v>12899</v>
      </c>
      <c r="V1812">
        <f>Tabla1[[#This Row],[Aboard]]-Tabla1[[#This Row],[Fatalities]]</f>
        <v>7</v>
      </c>
      <c r="W1812" s="50">
        <f>IFERROR(Tabla1[[#This Row],[Fatalities]]/Tabla1[[#This Row],[Aboard]],0)</f>
        <v>0.46153846153846156</v>
      </c>
      <c r="X1812" s="51" t="str" cm="1">
        <f t="array" ref="X1812">_xlfn.IFS(Tabla1[[#This Row],[Porcentaje de muertes]]&lt;0.35,"LEVE",AND(Tabla1[[#This Row],[Porcentaje de muertes]]&gt;0.35,Tabla1[[#This Row],[Porcentaje de muertes]]&lt;0.65),"MEDIO",Tabla1[[#This Row],[Porcentaje de muertes]]&gt;0.65,"GRAVE")</f>
        <v>MEDIO</v>
      </c>
    </row>
    <row r="1813" spans="2:24" x14ac:dyDescent="0.3">
      <c r="B1813" s="9">
        <v>1812</v>
      </c>
      <c r="C1813" s="49">
        <v>21991</v>
      </c>
      <c r="D1813" s="9">
        <f>YEAR(Tabla1[[#This Row],[Date]])</f>
        <v>1960</v>
      </c>
      <c r="E1813" s="9" t="str" cm="1">
        <f t="array" ref="E1813">IFERROR(_xlfn.IFS(AND(D1813&lt;1980,D1813&gt;=1970),"70",AND(D1813&lt;1990,D1813&gt;=1980),"80",AND(D1813&lt;2000,D1813&gt;=1990),"90",AND(D1813&lt;2010,D1813&gt;=2000),"00",AND(D1813&lt;=2019,D1813&gt;=2010),"10"),"1908-1970")</f>
        <v>1908-1970</v>
      </c>
      <c r="F1813" s="3">
        <v>0.81944444444444453</v>
      </c>
      <c r="G1813" t="s">
        <v>12900</v>
      </c>
      <c r="H1813" t="s">
        <v>12415</v>
      </c>
      <c r="I1813" t="s">
        <v>28931</v>
      </c>
      <c r="J1813" t="s">
        <v>12416</v>
      </c>
      <c r="K1813" t="s">
        <v>7057</v>
      </c>
      <c r="L1813" s="7" t="s">
        <v>12901</v>
      </c>
      <c r="M1813">
        <v>6006</v>
      </c>
      <c r="N1813">
        <v>40</v>
      </c>
      <c r="O1813">
        <v>35</v>
      </c>
      <c r="P1813">
        <v>5</v>
      </c>
      <c r="Q1813">
        <v>5</v>
      </c>
      <c r="R1813">
        <v>3</v>
      </c>
      <c r="S1813">
        <v>2</v>
      </c>
      <c r="T1813">
        <v>0</v>
      </c>
      <c r="U1813" t="s">
        <v>12902</v>
      </c>
      <c r="V1813">
        <f>Tabla1[[#This Row],[Aboard]]-Tabla1[[#This Row],[Fatalities]]</f>
        <v>35</v>
      </c>
      <c r="W1813" s="50">
        <f>IFERROR(Tabla1[[#This Row],[Fatalities]]/Tabla1[[#This Row],[Aboard]],0)</f>
        <v>0.125</v>
      </c>
      <c r="X1813" s="51" t="str" cm="1">
        <f t="array" ref="X1813">_xlfn.IFS(Tabla1[[#This Row],[Porcentaje de muertes]]&lt;0.35,"LEVE",AND(Tabla1[[#This Row],[Porcentaje de muertes]]&gt;0.35,Tabla1[[#This Row],[Porcentaje de muertes]]&lt;0.65),"MEDIO",Tabla1[[#This Row],[Porcentaje de muertes]]&gt;0.65,"GRAVE")</f>
        <v>LEVE</v>
      </c>
    </row>
    <row r="1814" spans="2:24" x14ac:dyDescent="0.3">
      <c r="B1814" s="9">
        <v>1813</v>
      </c>
      <c r="C1814" s="49">
        <v>21992</v>
      </c>
      <c r="D1814" s="9">
        <f>YEAR(Tabla1[[#This Row],[Date]])</f>
        <v>1960</v>
      </c>
      <c r="E1814" s="9" t="str" cm="1">
        <f t="array" ref="E1814">IFERROR(_xlfn.IFS(AND(D1814&lt;1980,D1814&gt;=1970),"70",AND(D1814&lt;1990,D1814&gt;=1980),"80",AND(D1814&lt;2000,D1814&gt;=1990),"90",AND(D1814&lt;2010,D1814&gt;=2000),"00",AND(D1814&lt;=2019,D1814&gt;=2010),"10"),"1908-1970")</f>
        <v>1908-1970</v>
      </c>
      <c r="F1814" s="3">
        <v>0.64236111111111105</v>
      </c>
      <c r="G1814" t="s">
        <v>12903</v>
      </c>
      <c r="H1814" t="s">
        <v>5769</v>
      </c>
      <c r="I1814">
        <v>710</v>
      </c>
      <c r="J1814" t="s">
        <v>9415</v>
      </c>
      <c r="K1814" t="s">
        <v>12904</v>
      </c>
      <c r="L1814" s="7" t="s">
        <v>12905</v>
      </c>
      <c r="M1814">
        <v>1057</v>
      </c>
      <c r="N1814">
        <v>63</v>
      </c>
      <c r="O1814">
        <v>57</v>
      </c>
      <c r="P1814">
        <v>6</v>
      </c>
      <c r="Q1814">
        <v>63</v>
      </c>
      <c r="R1814">
        <v>57</v>
      </c>
      <c r="S1814">
        <v>6</v>
      </c>
      <c r="T1814">
        <v>0</v>
      </c>
      <c r="U1814" t="s">
        <v>12906</v>
      </c>
      <c r="V1814">
        <f>Tabla1[[#This Row],[Aboard]]-Tabla1[[#This Row],[Fatalities]]</f>
        <v>0</v>
      </c>
      <c r="W1814" s="50">
        <f>IFERROR(Tabla1[[#This Row],[Fatalities]]/Tabla1[[#This Row],[Aboard]],0)</f>
        <v>1</v>
      </c>
      <c r="X1814" s="51" t="str" cm="1">
        <f t="array" ref="X1814">_xlfn.IFS(Tabla1[[#This Row],[Porcentaje de muertes]]&lt;0.35,"LEVE",AND(Tabla1[[#This Row],[Porcentaje de muertes]]&gt;0.35,Tabla1[[#This Row],[Porcentaje de muertes]]&lt;0.65),"MEDIO",Tabla1[[#This Row],[Porcentaje de muertes]]&gt;0.65,"GRAVE")</f>
        <v>GRAVE</v>
      </c>
    </row>
    <row r="1815" spans="2:24" x14ac:dyDescent="0.3">
      <c r="B1815" s="9">
        <v>1814</v>
      </c>
      <c r="C1815" s="49">
        <v>21994</v>
      </c>
      <c r="D1815" s="9">
        <f>YEAR(Tabla1[[#This Row],[Date]])</f>
        <v>1960</v>
      </c>
      <c r="E1815" s="9" t="str" cm="1">
        <f t="array" ref="E1815">IFERROR(_xlfn.IFS(AND(D1815&lt;1980,D1815&gt;=1970),"70",AND(D1815&lt;1990,D1815&gt;=1980),"80",AND(D1815&lt;2000,D1815&gt;=1990),"90",AND(D1815&lt;2010,D1815&gt;=2000),"00",AND(D1815&lt;=2019,D1815&gt;=2010),"10"),"1908-1970")</f>
        <v>1908-1970</v>
      </c>
      <c r="F1815" s="3">
        <v>0.46527777777777773</v>
      </c>
      <c r="G1815" t="s">
        <v>12907</v>
      </c>
      <c r="H1815" t="s">
        <v>12908</v>
      </c>
      <c r="I1815">
        <v>901</v>
      </c>
      <c r="J1815" t="s">
        <v>12909</v>
      </c>
      <c r="K1815" t="s">
        <v>8697</v>
      </c>
      <c r="L1815" s="7" t="s">
        <v>12910</v>
      </c>
      <c r="M1815" t="s">
        <v>12911</v>
      </c>
      <c r="N1815">
        <v>46</v>
      </c>
      <c r="O1815">
        <v>42</v>
      </c>
      <c r="P1815">
        <v>4</v>
      </c>
      <c r="Q1815">
        <v>25</v>
      </c>
      <c r="R1815">
        <v>22</v>
      </c>
      <c r="S1815">
        <v>3</v>
      </c>
      <c r="T1815">
        <v>0</v>
      </c>
      <c r="U1815" t="s">
        <v>12912</v>
      </c>
      <c r="V1815">
        <f>Tabla1[[#This Row],[Aboard]]-Tabla1[[#This Row],[Fatalities]]</f>
        <v>21</v>
      </c>
      <c r="W1815" s="50">
        <f>IFERROR(Tabla1[[#This Row],[Fatalities]]/Tabla1[[#This Row],[Aboard]],0)</f>
        <v>0.54347826086956519</v>
      </c>
      <c r="X1815" s="51" t="str" cm="1">
        <f t="array" ref="X1815">_xlfn.IFS(Tabla1[[#This Row],[Porcentaje de muertes]]&lt;0.35,"LEVE",AND(Tabla1[[#This Row],[Porcentaje de muertes]]&gt;0.35,Tabla1[[#This Row],[Porcentaje de muertes]]&lt;0.65),"MEDIO",Tabla1[[#This Row],[Porcentaje de muertes]]&gt;0.65,"GRAVE")</f>
        <v>MEDIO</v>
      </c>
    </row>
    <row r="1816" spans="2:24" x14ac:dyDescent="0.3">
      <c r="B1816" s="9">
        <v>1815</v>
      </c>
      <c r="C1816" s="49">
        <v>22040</v>
      </c>
      <c r="D1816" s="9">
        <f>YEAR(Tabla1[[#This Row],[Date]])</f>
        <v>1960</v>
      </c>
      <c r="E1816" s="9" t="str" cm="1">
        <f t="array" ref="E1816">IFERROR(_xlfn.IFS(AND(D1816&lt;1980,D1816&gt;=1970),"70",AND(D1816&lt;1990,D1816&gt;=1980),"80",AND(D1816&lt;2000,D1816&gt;=1990),"90",AND(D1816&lt;2010,D1816&gt;=2000),"00",AND(D1816&lt;=2019,D1816&gt;=2010),"10"),"1908-1970")</f>
        <v>1908-1970</v>
      </c>
      <c r="F1816" s="3">
        <v>0.61041666666666672</v>
      </c>
      <c r="G1816" t="s">
        <v>12913</v>
      </c>
      <c r="H1816" t="s">
        <v>11949</v>
      </c>
      <c r="I1816" t="s">
        <v>28931</v>
      </c>
      <c r="J1816" t="s">
        <v>12914</v>
      </c>
      <c r="K1816" t="s">
        <v>12915</v>
      </c>
      <c r="L1816" s="7" t="s">
        <v>12916</v>
      </c>
      <c r="M1816">
        <v>26945</v>
      </c>
      <c r="N1816">
        <v>18</v>
      </c>
      <c r="O1816">
        <v>14</v>
      </c>
      <c r="P1816">
        <v>4</v>
      </c>
      <c r="Q1816">
        <v>2</v>
      </c>
      <c r="R1816">
        <v>1</v>
      </c>
      <c r="S1816">
        <v>1</v>
      </c>
      <c r="T1816">
        <v>0</v>
      </c>
      <c r="U1816" t="s">
        <v>12917</v>
      </c>
      <c r="V1816">
        <f>Tabla1[[#This Row],[Aboard]]-Tabla1[[#This Row],[Fatalities]]</f>
        <v>16</v>
      </c>
      <c r="W1816" s="50">
        <f>IFERROR(Tabla1[[#This Row],[Fatalities]]/Tabla1[[#This Row],[Aboard]],0)</f>
        <v>0.1111111111111111</v>
      </c>
      <c r="X1816" s="51" t="str" cm="1">
        <f t="array" ref="X1816">_xlfn.IFS(Tabla1[[#This Row],[Porcentaje de muertes]]&lt;0.35,"LEVE",AND(Tabla1[[#This Row],[Porcentaje de muertes]]&gt;0.35,Tabla1[[#This Row],[Porcentaje de muertes]]&lt;0.65),"MEDIO",Tabla1[[#This Row],[Porcentaje de muertes]]&gt;0.65,"GRAVE")</f>
        <v>LEVE</v>
      </c>
    </row>
    <row r="1817" spans="2:24" x14ac:dyDescent="0.3">
      <c r="B1817" s="9">
        <v>1816</v>
      </c>
      <c r="C1817" s="49">
        <v>22254</v>
      </c>
      <c r="D1817" s="9">
        <f>YEAR(Tabla1[[#This Row],[Date]])</f>
        <v>1960</v>
      </c>
      <c r="E1817" s="9" t="str" cm="1">
        <f t="array" ref="E1817">IFERROR(_xlfn.IFS(AND(D1817&lt;1980,D1817&gt;=1970),"70",AND(D1817&lt;1990,D1817&gt;=1980),"80",AND(D1817&lt;2000,D1817&gt;=1990),"90",AND(D1817&lt;2010,D1817&gt;=2000),"00",AND(D1817&lt;=2019,D1817&gt;=2010),"10"),"1908-1970")</f>
        <v>1908-1970</v>
      </c>
      <c r="F1817" s="3">
        <v>0.59722222222222221</v>
      </c>
      <c r="G1817" t="s">
        <v>12918</v>
      </c>
      <c r="H1817" t="s">
        <v>9425</v>
      </c>
      <c r="I1817" t="s">
        <v>28931</v>
      </c>
      <c r="J1817" t="s">
        <v>12919</v>
      </c>
      <c r="K1817" t="s">
        <v>7057</v>
      </c>
      <c r="L1817" s="7" t="s">
        <v>12920</v>
      </c>
      <c r="M1817">
        <v>4823</v>
      </c>
      <c r="N1817">
        <v>22</v>
      </c>
      <c r="O1817">
        <v>19</v>
      </c>
      <c r="P1817">
        <v>3</v>
      </c>
      <c r="Q1817">
        <v>10</v>
      </c>
      <c r="R1817">
        <v>8</v>
      </c>
      <c r="S1817">
        <v>2</v>
      </c>
      <c r="T1817">
        <v>0</v>
      </c>
      <c r="U1817" t="s">
        <v>12921</v>
      </c>
      <c r="V1817">
        <f>Tabla1[[#This Row],[Aboard]]-Tabla1[[#This Row],[Fatalities]]</f>
        <v>12</v>
      </c>
      <c r="W1817" s="50">
        <f>IFERROR(Tabla1[[#This Row],[Fatalities]]/Tabla1[[#This Row],[Aboard]],0)</f>
        <v>0.45454545454545453</v>
      </c>
      <c r="X1817" s="51" t="str" cm="1">
        <f t="array" ref="X1817">_xlfn.IFS(Tabla1[[#This Row],[Porcentaje de muertes]]&lt;0.35,"LEVE",AND(Tabla1[[#This Row],[Porcentaje de muertes]]&gt;0.35,Tabla1[[#This Row],[Porcentaje de muertes]]&lt;0.65),"MEDIO",Tabla1[[#This Row],[Porcentaje de muertes]]&gt;0.65,"GRAVE")</f>
        <v>MEDIO</v>
      </c>
    </row>
    <row r="1818" spans="2:24" x14ac:dyDescent="0.3">
      <c r="B1818" s="9">
        <v>1817</v>
      </c>
      <c r="C1818" s="49">
        <v>22020</v>
      </c>
      <c r="D1818" s="9">
        <f>YEAR(Tabla1[[#This Row],[Date]])</f>
        <v>1960</v>
      </c>
      <c r="E1818" s="9" t="str" cm="1">
        <f t="array" ref="E1818">IFERROR(_xlfn.IFS(AND(D1818&lt;1980,D1818&gt;=1970),"70",AND(D1818&lt;1990,D1818&gt;=1980),"80",AND(D1818&lt;2000,D1818&gt;=1990),"90",AND(D1818&lt;2010,D1818&gt;=2000),"00",AND(D1818&lt;=2019,D1818&gt;=2010),"10"),"1908-1970")</f>
        <v>1908-1970</v>
      </c>
      <c r="F1818" s="3" t="s">
        <v>28931</v>
      </c>
      <c r="G1818" t="s">
        <v>12922</v>
      </c>
      <c r="H1818" t="s">
        <v>11757</v>
      </c>
      <c r="I1818" t="s">
        <v>28931</v>
      </c>
      <c r="J1818" t="s">
        <v>12923</v>
      </c>
      <c r="K1818" t="s">
        <v>8822</v>
      </c>
      <c r="L1818" s="7" t="s">
        <v>28931</v>
      </c>
      <c r="M1818">
        <v>42919</v>
      </c>
      <c r="N1818">
        <v>18</v>
      </c>
      <c r="O1818" t="s">
        <v>5038</v>
      </c>
      <c r="P1818" t="s">
        <v>5038</v>
      </c>
      <c r="Q1818">
        <v>18</v>
      </c>
      <c r="R1818" t="s">
        <v>5038</v>
      </c>
      <c r="S1818" t="s">
        <v>5038</v>
      </c>
      <c r="T1818">
        <v>0</v>
      </c>
      <c r="U1818" t="s">
        <v>12924</v>
      </c>
      <c r="V1818">
        <f>Tabla1[[#This Row],[Aboard]]-Tabla1[[#This Row],[Fatalities]]</f>
        <v>0</v>
      </c>
      <c r="W1818" s="50">
        <f>IFERROR(Tabla1[[#This Row],[Fatalities]]/Tabla1[[#This Row],[Aboard]],0)</f>
        <v>1</v>
      </c>
      <c r="X1818" s="51" t="str" cm="1">
        <f t="array" ref="X1818">_xlfn.IFS(Tabla1[[#This Row],[Porcentaje de muertes]]&lt;0.35,"LEVE",AND(Tabla1[[#This Row],[Porcentaje de muertes]]&gt;0.35,Tabla1[[#This Row],[Porcentaje de muertes]]&lt;0.65),"MEDIO",Tabla1[[#This Row],[Porcentaje de muertes]]&gt;0.65,"GRAVE")</f>
        <v>GRAVE</v>
      </c>
    </row>
    <row r="1819" spans="2:24" x14ac:dyDescent="0.3">
      <c r="B1819" s="9">
        <v>1818</v>
      </c>
      <c r="C1819" s="49">
        <v>22024</v>
      </c>
      <c r="D1819" s="9">
        <f>YEAR(Tabla1[[#This Row],[Date]])</f>
        <v>1960</v>
      </c>
      <c r="E1819" s="9" t="str" cm="1">
        <f t="array" ref="E1819">IFERROR(_xlfn.IFS(AND(D1819&lt;1980,D1819&gt;=1970),"70",AND(D1819&lt;1990,D1819&gt;=1980),"80",AND(D1819&lt;2000,D1819&gt;=1990),"90",AND(D1819&lt;2010,D1819&gt;=2000),"00",AND(D1819&lt;=2019,D1819&gt;=2010),"10"),"1908-1970")</f>
        <v>1908-1970</v>
      </c>
      <c r="F1819" s="3" t="s">
        <v>28931</v>
      </c>
      <c r="G1819" t="s">
        <v>8806</v>
      </c>
      <c r="H1819" t="s">
        <v>7987</v>
      </c>
      <c r="I1819" t="s">
        <v>28931</v>
      </c>
      <c r="J1819" t="s">
        <v>12925</v>
      </c>
      <c r="K1819" t="s">
        <v>12442</v>
      </c>
      <c r="L1819" s="7" t="s">
        <v>12926</v>
      </c>
      <c r="M1819">
        <v>43971</v>
      </c>
      <c r="N1819">
        <v>9</v>
      </c>
      <c r="O1819" t="s">
        <v>5038</v>
      </c>
      <c r="P1819">
        <v>9</v>
      </c>
      <c r="Q1819">
        <v>9</v>
      </c>
      <c r="R1819" t="s">
        <v>5038</v>
      </c>
      <c r="S1819">
        <v>9</v>
      </c>
      <c r="T1819">
        <v>0</v>
      </c>
      <c r="U1819" t="s">
        <v>12927</v>
      </c>
      <c r="V1819">
        <f>Tabla1[[#This Row],[Aboard]]-Tabla1[[#This Row],[Fatalities]]</f>
        <v>0</v>
      </c>
      <c r="W1819" s="50">
        <f>IFERROR(Tabla1[[#This Row],[Fatalities]]/Tabla1[[#This Row],[Aboard]],0)</f>
        <v>1</v>
      </c>
      <c r="X1819" s="51" t="str" cm="1">
        <f t="array" ref="X1819">_xlfn.IFS(Tabla1[[#This Row],[Porcentaje de muertes]]&lt;0.35,"LEVE",AND(Tabla1[[#This Row],[Porcentaje de muertes]]&gt;0.35,Tabla1[[#This Row],[Porcentaje de muertes]]&lt;0.65),"MEDIO",Tabla1[[#This Row],[Porcentaje de muertes]]&gt;0.65,"GRAVE")</f>
        <v>GRAVE</v>
      </c>
    </row>
    <row r="1820" spans="2:24" x14ac:dyDescent="0.3">
      <c r="B1820" s="9">
        <v>1819</v>
      </c>
      <c r="C1820" s="49">
        <v>22025</v>
      </c>
      <c r="D1820" s="9">
        <f>YEAR(Tabla1[[#This Row],[Date]])</f>
        <v>1960</v>
      </c>
      <c r="E1820" s="9" t="str" cm="1">
        <f t="array" ref="E1820">IFERROR(_xlfn.IFS(AND(D1820&lt;1980,D1820&gt;=1970),"70",AND(D1820&lt;1990,D1820&gt;=1980),"80",AND(D1820&lt;2000,D1820&gt;=1990),"90",AND(D1820&lt;2010,D1820&gt;=2000),"00",AND(D1820&lt;=2019,D1820&gt;=2010),"10"),"1908-1970")</f>
        <v>1908-1970</v>
      </c>
      <c r="F1820" s="3">
        <v>0.8666666666666667</v>
      </c>
      <c r="G1820" t="s">
        <v>10364</v>
      </c>
      <c r="H1820" t="s">
        <v>12928</v>
      </c>
      <c r="I1820">
        <v>503</v>
      </c>
      <c r="J1820" t="s">
        <v>12929</v>
      </c>
      <c r="K1820" t="s">
        <v>8697</v>
      </c>
      <c r="L1820" s="7" t="s">
        <v>12930</v>
      </c>
      <c r="M1820">
        <v>32954</v>
      </c>
      <c r="N1820">
        <v>51</v>
      </c>
      <c r="O1820">
        <v>44</v>
      </c>
      <c r="P1820">
        <v>7</v>
      </c>
      <c r="Q1820">
        <v>37</v>
      </c>
      <c r="R1820">
        <v>31</v>
      </c>
      <c r="S1820">
        <v>6</v>
      </c>
      <c r="T1820">
        <v>0</v>
      </c>
      <c r="U1820" t="s">
        <v>12931</v>
      </c>
      <c r="V1820">
        <f>Tabla1[[#This Row],[Aboard]]-Tabla1[[#This Row],[Fatalities]]</f>
        <v>14</v>
      </c>
      <c r="W1820" s="50">
        <f>IFERROR(Tabla1[[#This Row],[Fatalities]]/Tabla1[[#This Row],[Aboard]],0)</f>
        <v>0.72549019607843135</v>
      </c>
      <c r="X1820" s="51" t="str" cm="1">
        <f t="array" ref="X1820">_xlfn.IFS(Tabla1[[#This Row],[Porcentaje de muertes]]&lt;0.35,"LEVE",AND(Tabla1[[#This Row],[Porcentaje de muertes]]&gt;0.35,Tabla1[[#This Row],[Porcentaje de muertes]]&lt;0.65),"MEDIO",Tabla1[[#This Row],[Porcentaje de muertes]]&gt;0.65,"GRAVE")</f>
        <v>GRAVE</v>
      </c>
    </row>
    <row r="1821" spans="2:24" x14ac:dyDescent="0.3">
      <c r="B1821" s="9">
        <v>1820</v>
      </c>
      <c r="C1821" s="49">
        <v>22026</v>
      </c>
      <c r="D1821" s="9">
        <f>YEAR(Tabla1[[#This Row],[Date]])</f>
        <v>1960</v>
      </c>
      <c r="E1821" s="9" t="str" cm="1">
        <f t="array" ref="E1821">IFERROR(_xlfn.IFS(AND(D1821&lt;1980,D1821&gt;=1970),"70",AND(D1821&lt;1990,D1821&gt;=1980),"80",AND(D1821&lt;2000,D1821&gt;=1990),"90",AND(D1821&lt;2010,D1821&gt;=2000),"00",AND(D1821&lt;=2019,D1821&gt;=2010),"10"),"1908-1970")</f>
        <v>1908-1970</v>
      </c>
      <c r="F1821" s="3">
        <v>0.54583333333333328</v>
      </c>
      <c r="G1821" t="s">
        <v>12932</v>
      </c>
      <c r="H1821" t="s">
        <v>12933</v>
      </c>
      <c r="I1821" t="s">
        <v>28931</v>
      </c>
      <c r="J1821" t="s">
        <v>12934</v>
      </c>
      <c r="K1821" t="s">
        <v>12935</v>
      </c>
      <c r="L1821" s="7" t="s">
        <v>12936</v>
      </c>
      <c r="M1821">
        <v>17</v>
      </c>
      <c r="N1821">
        <v>44</v>
      </c>
      <c r="O1821">
        <v>39</v>
      </c>
      <c r="P1821">
        <v>5</v>
      </c>
      <c r="Q1821">
        <v>4</v>
      </c>
      <c r="R1821">
        <v>3</v>
      </c>
      <c r="S1821">
        <v>1</v>
      </c>
      <c r="T1821">
        <v>0</v>
      </c>
      <c r="U1821" t="s">
        <v>12937</v>
      </c>
      <c r="V1821">
        <f>Tabla1[[#This Row],[Aboard]]-Tabla1[[#This Row],[Fatalities]]</f>
        <v>40</v>
      </c>
      <c r="W1821" s="50">
        <f>IFERROR(Tabla1[[#This Row],[Fatalities]]/Tabla1[[#This Row],[Aboard]],0)</f>
        <v>9.0909090909090912E-2</v>
      </c>
      <c r="X1821" s="51" t="str" cm="1">
        <f t="array" ref="X1821">_xlfn.IFS(Tabla1[[#This Row],[Porcentaje de muertes]]&lt;0.35,"LEVE",AND(Tabla1[[#This Row],[Porcentaje de muertes]]&gt;0.35,Tabla1[[#This Row],[Porcentaje de muertes]]&lt;0.65),"MEDIO",Tabla1[[#This Row],[Porcentaje de muertes]]&gt;0.65,"GRAVE")</f>
        <v>LEVE</v>
      </c>
    </row>
    <row r="1822" spans="2:24" x14ac:dyDescent="0.3">
      <c r="B1822" s="9">
        <v>1821</v>
      </c>
      <c r="C1822" s="49">
        <v>22028</v>
      </c>
      <c r="D1822" s="9">
        <f>YEAR(Tabla1[[#This Row],[Date]])</f>
        <v>1960</v>
      </c>
      <c r="E1822" s="9" t="str" cm="1">
        <f t="array" ref="E1822">IFERROR(_xlfn.IFS(AND(D1822&lt;1980,D1822&gt;=1970),"70",AND(D1822&lt;1990,D1822&gt;=1980),"80",AND(D1822&lt;2000,D1822&gt;=1990),"90",AND(D1822&lt;2010,D1822&gt;=2000),"00",AND(D1822&lt;=2019,D1822&gt;=2010),"10"),"1908-1970")</f>
        <v>1908-1970</v>
      </c>
      <c r="F1822" s="3">
        <v>0.3298611111111111</v>
      </c>
      <c r="G1822" t="s">
        <v>12938</v>
      </c>
      <c r="H1822" t="s">
        <v>12939</v>
      </c>
      <c r="I1822" t="s">
        <v>28931</v>
      </c>
      <c r="J1822" t="s">
        <v>12940</v>
      </c>
      <c r="K1822" t="s">
        <v>9106</v>
      </c>
      <c r="L1822" s="7" t="s">
        <v>12941</v>
      </c>
      <c r="M1822">
        <v>3099</v>
      </c>
      <c r="N1822">
        <v>35</v>
      </c>
      <c r="O1822">
        <v>28</v>
      </c>
      <c r="P1822">
        <v>7</v>
      </c>
      <c r="Q1822">
        <v>35</v>
      </c>
      <c r="R1822">
        <v>28</v>
      </c>
      <c r="S1822">
        <v>7</v>
      </c>
      <c r="T1822">
        <v>0</v>
      </c>
      <c r="U1822" t="s">
        <v>12942</v>
      </c>
      <c r="V1822">
        <f>Tabla1[[#This Row],[Aboard]]-Tabla1[[#This Row],[Fatalities]]</f>
        <v>0</v>
      </c>
      <c r="W1822" s="50">
        <f>IFERROR(Tabla1[[#This Row],[Fatalities]]/Tabla1[[#This Row],[Aboard]],0)</f>
        <v>1</v>
      </c>
      <c r="X1822" s="51" t="str" cm="1">
        <f t="array" ref="X1822">_xlfn.IFS(Tabla1[[#This Row],[Porcentaje de muertes]]&lt;0.35,"LEVE",AND(Tabla1[[#This Row],[Porcentaje de muertes]]&gt;0.35,Tabla1[[#This Row],[Porcentaje de muertes]]&lt;0.65),"MEDIO",Tabla1[[#This Row],[Porcentaje de muertes]]&gt;0.65,"GRAVE")</f>
        <v>GRAVE</v>
      </c>
    </row>
    <row r="1823" spans="2:24" x14ac:dyDescent="0.3">
      <c r="B1823" s="9">
        <v>1822</v>
      </c>
      <c r="C1823" s="49">
        <v>22034</v>
      </c>
      <c r="D1823" s="9">
        <f>YEAR(Tabla1[[#This Row],[Date]])</f>
        <v>1960</v>
      </c>
      <c r="E1823" s="9" t="str" cm="1">
        <f t="array" ref="E1823">IFERROR(_xlfn.IFS(AND(D1823&lt;1980,D1823&gt;=1970),"70",AND(D1823&lt;1990,D1823&gt;=1980),"80",AND(D1823&lt;2000,D1823&gt;=1990),"90",AND(D1823&lt;2010,D1823&gt;=2000),"00",AND(D1823&lt;=2019,D1823&gt;=2010),"10"),"1908-1970")</f>
        <v>1908-1970</v>
      </c>
      <c r="F1823" s="3">
        <v>0.34861111111111115</v>
      </c>
      <c r="G1823" t="s">
        <v>12943</v>
      </c>
      <c r="H1823" t="s">
        <v>9074</v>
      </c>
      <c r="I1823" t="s">
        <v>28931</v>
      </c>
      <c r="J1823" t="s">
        <v>12944</v>
      </c>
      <c r="K1823" t="s">
        <v>7057</v>
      </c>
      <c r="L1823" s="7" t="s">
        <v>12945</v>
      </c>
      <c r="M1823" t="s">
        <v>12946</v>
      </c>
      <c r="N1823">
        <v>13</v>
      </c>
      <c r="O1823">
        <v>9</v>
      </c>
      <c r="P1823">
        <v>4</v>
      </c>
      <c r="Q1823">
        <v>13</v>
      </c>
      <c r="R1823">
        <v>9</v>
      </c>
      <c r="S1823">
        <v>4</v>
      </c>
      <c r="T1823">
        <v>0</v>
      </c>
      <c r="U1823" t="s">
        <v>12947</v>
      </c>
      <c r="V1823">
        <f>Tabla1[[#This Row],[Aboard]]-Tabla1[[#This Row],[Fatalities]]</f>
        <v>0</v>
      </c>
      <c r="W1823" s="50">
        <f>IFERROR(Tabla1[[#This Row],[Fatalities]]/Tabla1[[#This Row],[Aboard]],0)</f>
        <v>1</v>
      </c>
      <c r="X1823" s="51" t="str" cm="1">
        <f t="array" ref="X1823">_xlfn.IFS(Tabla1[[#This Row],[Porcentaje de muertes]]&lt;0.35,"LEVE",AND(Tabla1[[#This Row],[Porcentaje de muertes]]&gt;0.35,Tabla1[[#This Row],[Porcentaje de muertes]]&lt;0.65),"MEDIO",Tabla1[[#This Row],[Porcentaje de muertes]]&gt;0.65,"GRAVE")</f>
        <v>GRAVE</v>
      </c>
    </row>
    <row r="1824" spans="2:24" x14ac:dyDescent="0.3">
      <c r="B1824" s="9">
        <v>1823</v>
      </c>
      <c r="C1824" s="49">
        <v>22051</v>
      </c>
      <c r="D1824" s="9">
        <f>YEAR(Tabla1[[#This Row],[Date]])</f>
        <v>1960</v>
      </c>
      <c r="E1824" s="9" t="str" cm="1">
        <f t="array" ref="E1824">IFERROR(_xlfn.IFS(AND(D1824&lt;1980,D1824&gt;=1970),"70",AND(D1824&lt;1990,D1824&gt;=1980),"80",AND(D1824&lt;2000,D1824&gt;=1990),"90",AND(D1824&lt;2010,D1824&gt;=2000),"00",AND(D1824&lt;=2019,D1824&gt;=2010),"10"),"1908-1970")</f>
        <v>1908-1970</v>
      </c>
      <c r="F1824" s="3">
        <v>0.95624999999999993</v>
      </c>
      <c r="G1824" t="s">
        <v>12948</v>
      </c>
      <c r="H1824" t="s">
        <v>12949</v>
      </c>
      <c r="I1824" t="s">
        <v>28931</v>
      </c>
      <c r="J1824" t="s">
        <v>12950</v>
      </c>
      <c r="K1824" t="s">
        <v>8779</v>
      </c>
      <c r="L1824" s="7" t="s">
        <v>12951</v>
      </c>
      <c r="M1824">
        <v>43072</v>
      </c>
      <c r="N1824">
        <v>12</v>
      </c>
      <c r="O1824">
        <v>5</v>
      </c>
      <c r="P1824">
        <v>7</v>
      </c>
      <c r="Q1824">
        <v>12</v>
      </c>
      <c r="R1824">
        <v>5</v>
      </c>
      <c r="S1824">
        <v>7</v>
      </c>
      <c r="T1824">
        <v>0</v>
      </c>
      <c r="U1824" t="s">
        <v>12952</v>
      </c>
      <c r="V1824">
        <f>Tabla1[[#This Row],[Aboard]]-Tabla1[[#This Row],[Fatalities]]</f>
        <v>0</v>
      </c>
      <c r="W1824" s="50">
        <f>IFERROR(Tabla1[[#This Row],[Fatalities]]/Tabla1[[#This Row],[Aboard]],0)</f>
        <v>1</v>
      </c>
      <c r="X1824" s="51" t="str" cm="1">
        <f t="array" ref="X1824">_xlfn.IFS(Tabla1[[#This Row],[Porcentaje de muertes]]&lt;0.35,"LEVE",AND(Tabla1[[#This Row],[Porcentaje de muertes]]&gt;0.35,Tabla1[[#This Row],[Porcentaje de muertes]]&lt;0.65),"MEDIO",Tabla1[[#This Row],[Porcentaje de muertes]]&gt;0.65,"GRAVE")</f>
        <v>GRAVE</v>
      </c>
    </row>
    <row r="1825" spans="2:24" x14ac:dyDescent="0.3">
      <c r="B1825" s="9">
        <v>1824</v>
      </c>
      <c r="C1825" s="49">
        <v>22054</v>
      </c>
      <c r="D1825" s="9">
        <f>YEAR(Tabla1[[#This Row],[Date]])</f>
        <v>1960</v>
      </c>
      <c r="E1825" s="9" t="str" cm="1">
        <f t="array" ref="E1825">IFERROR(_xlfn.IFS(AND(D1825&lt;1980,D1825&gt;=1970),"70",AND(D1825&lt;1990,D1825&gt;=1980),"80",AND(D1825&lt;2000,D1825&gt;=1990),"90",AND(D1825&lt;2010,D1825&gt;=2000),"00",AND(D1825&lt;=2019,D1825&gt;=2010),"10"),"1908-1970")</f>
        <v>1908-1970</v>
      </c>
      <c r="F1825" s="3">
        <v>0.64583333333333337</v>
      </c>
      <c r="G1825" t="s">
        <v>12953</v>
      </c>
      <c r="H1825" t="s">
        <v>12954</v>
      </c>
      <c r="I1825" t="s">
        <v>28931</v>
      </c>
      <c r="J1825" t="s">
        <v>12955</v>
      </c>
      <c r="K1825" t="s">
        <v>8697</v>
      </c>
      <c r="L1825" s="7" t="s">
        <v>12956</v>
      </c>
      <c r="M1825">
        <v>22554</v>
      </c>
      <c r="N1825">
        <v>9</v>
      </c>
      <c r="O1825">
        <v>5</v>
      </c>
      <c r="P1825">
        <v>4</v>
      </c>
      <c r="Q1825">
        <v>9</v>
      </c>
      <c r="R1825">
        <v>5</v>
      </c>
      <c r="S1825">
        <v>4</v>
      </c>
      <c r="T1825">
        <v>0</v>
      </c>
      <c r="U1825" t="s">
        <v>12957</v>
      </c>
      <c r="V1825">
        <f>Tabla1[[#This Row],[Aboard]]-Tabla1[[#This Row],[Fatalities]]</f>
        <v>0</v>
      </c>
      <c r="W1825" s="50">
        <f>IFERROR(Tabla1[[#This Row],[Fatalities]]/Tabla1[[#This Row],[Aboard]],0)</f>
        <v>1</v>
      </c>
      <c r="X1825" s="51" t="str" cm="1">
        <f t="array" ref="X1825">_xlfn.IFS(Tabla1[[#This Row],[Porcentaje de muertes]]&lt;0.35,"LEVE",AND(Tabla1[[#This Row],[Porcentaje de muertes]]&gt;0.35,Tabla1[[#This Row],[Porcentaje de muertes]]&lt;0.65),"MEDIO",Tabla1[[#This Row],[Porcentaje de muertes]]&gt;0.65,"GRAVE")</f>
        <v>GRAVE</v>
      </c>
    </row>
    <row r="1826" spans="2:24" x14ac:dyDescent="0.3">
      <c r="B1826" s="9">
        <v>1825</v>
      </c>
      <c r="C1826" s="49">
        <v>22059</v>
      </c>
      <c r="D1826" s="9">
        <f>YEAR(Tabla1[[#This Row],[Date]])</f>
        <v>1960</v>
      </c>
      <c r="E1826" s="9" t="str" cm="1">
        <f t="array" ref="E1826">IFERROR(_xlfn.IFS(AND(D1826&lt;1980,D1826&gt;=1970),"70",AND(D1826&lt;1990,D1826&gt;=1980),"80",AND(D1826&lt;2000,D1826&gt;=1990),"90",AND(D1826&lt;2010,D1826&gt;=2000),"00",AND(D1826&lt;=2019,D1826&gt;=2010),"10"),"1908-1970")</f>
        <v>1908-1970</v>
      </c>
      <c r="F1826" s="3">
        <v>0.49444444444444446</v>
      </c>
      <c r="G1826" t="s">
        <v>7630</v>
      </c>
      <c r="H1826" t="s">
        <v>6658</v>
      </c>
      <c r="I1826" t="s">
        <v>28931</v>
      </c>
      <c r="J1826" t="s">
        <v>6190</v>
      </c>
      <c r="K1826" t="s">
        <v>12958</v>
      </c>
      <c r="L1826" s="7" t="s">
        <v>12959</v>
      </c>
      <c r="M1826" t="s">
        <v>12960</v>
      </c>
      <c r="N1826">
        <v>4</v>
      </c>
      <c r="O1826">
        <v>0</v>
      </c>
      <c r="P1826">
        <v>4</v>
      </c>
      <c r="Q1826">
        <v>4</v>
      </c>
      <c r="R1826">
        <v>0</v>
      </c>
      <c r="S1826">
        <v>4</v>
      </c>
      <c r="T1826">
        <v>0</v>
      </c>
      <c r="U1826" t="s">
        <v>12961</v>
      </c>
      <c r="V1826">
        <f>Tabla1[[#This Row],[Aboard]]-Tabla1[[#This Row],[Fatalities]]</f>
        <v>0</v>
      </c>
      <c r="W1826" s="50">
        <f>IFERROR(Tabla1[[#This Row],[Fatalities]]/Tabla1[[#This Row],[Aboard]],0)</f>
        <v>1</v>
      </c>
      <c r="X1826" s="51" t="str" cm="1">
        <f t="array" ref="X1826">_xlfn.IFS(Tabla1[[#This Row],[Porcentaje de muertes]]&lt;0.35,"LEVE",AND(Tabla1[[#This Row],[Porcentaje de muertes]]&gt;0.35,Tabla1[[#This Row],[Porcentaje de muertes]]&lt;0.65),"MEDIO",Tabla1[[#This Row],[Porcentaje de muertes]]&gt;0.65,"GRAVE")</f>
        <v>GRAVE</v>
      </c>
    </row>
    <row r="1827" spans="2:24" x14ac:dyDescent="0.3">
      <c r="B1827" s="9">
        <v>1826</v>
      </c>
      <c r="C1827" s="49">
        <v>22195</v>
      </c>
      <c r="D1827" s="9">
        <f>YEAR(Tabla1[[#This Row],[Date]])</f>
        <v>1960</v>
      </c>
      <c r="E1827" s="9" t="str" cm="1">
        <f t="array" ref="E1827">IFERROR(_xlfn.IFS(AND(D1827&lt;1980,D1827&gt;=1970),"70",AND(D1827&lt;1990,D1827&gt;=1980),"80",AND(D1827&lt;2000,D1827&gt;=1990),"90",AND(D1827&lt;2010,D1827&gt;=2000),"00",AND(D1827&lt;=2019,D1827&gt;=2010),"10"),"1908-1970")</f>
        <v>1908-1970</v>
      </c>
      <c r="F1827" s="3">
        <v>0.4548611111111111</v>
      </c>
      <c r="G1827" t="s">
        <v>12962</v>
      </c>
      <c r="H1827" t="s">
        <v>6541</v>
      </c>
      <c r="I1827">
        <v>207</v>
      </c>
      <c r="J1827" t="s">
        <v>12963</v>
      </c>
      <c r="K1827" t="s">
        <v>12110</v>
      </c>
      <c r="L1827" s="7" t="s">
        <v>12964</v>
      </c>
      <c r="M1827">
        <v>7343107</v>
      </c>
      <c r="N1827">
        <v>31</v>
      </c>
      <c r="O1827">
        <v>24</v>
      </c>
      <c r="P1827">
        <v>7</v>
      </c>
      <c r="Q1827">
        <v>31</v>
      </c>
      <c r="R1827">
        <v>24</v>
      </c>
      <c r="S1827">
        <v>7</v>
      </c>
      <c r="T1827">
        <v>0</v>
      </c>
      <c r="U1827" t="s">
        <v>12965</v>
      </c>
      <c r="V1827">
        <f>Tabla1[[#This Row],[Aboard]]-Tabla1[[#This Row],[Fatalities]]</f>
        <v>0</v>
      </c>
      <c r="W1827" s="50">
        <f>IFERROR(Tabla1[[#This Row],[Fatalities]]/Tabla1[[#This Row],[Aboard]],0)</f>
        <v>1</v>
      </c>
      <c r="X1827" s="51" t="str" cm="1">
        <f t="array" ref="X1827">_xlfn.IFS(Tabla1[[#This Row],[Porcentaje de muertes]]&lt;0.35,"LEVE",AND(Tabla1[[#This Row],[Porcentaje de muertes]]&gt;0.35,Tabla1[[#This Row],[Porcentaje de muertes]]&lt;0.65),"MEDIO",Tabla1[[#This Row],[Porcentaje de muertes]]&gt;0.65,"GRAVE")</f>
        <v>GRAVE</v>
      </c>
    </row>
    <row r="1828" spans="2:24" x14ac:dyDescent="0.3">
      <c r="B1828" s="9">
        <v>1827</v>
      </c>
      <c r="C1828" s="49">
        <v>22195</v>
      </c>
      <c r="D1828" s="9">
        <f>YEAR(Tabla1[[#This Row],[Date]])</f>
        <v>1960</v>
      </c>
      <c r="E1828" s="9" t="str" cm="1">
        <f t="array" ref="E1828">IFERROR(_xlfn.IFS(AND(D1828&lt;1980,D1828&gt;=1970),"70",AND(D1828&lt;1990,D1828&gt;=1980),"80",AND(D1828&lt;2000,D1828&gt;=1990),"90",AND(D1828&lt;2010,D1828&gt;=2000),"00",AND(D1828&lt;=2019,D1828&gt;=2010),"10"),"1908-1970")</f>
        <v>1908-1970</v>
      </c>
      <c r="F1828" s="3">
        <v>0.92013888888888884</v>
      </c>
      <c r="G1828" t="s">
        <v>12966</v>
      </c>
      <c r="H1828" t="s">
        <v>10470</v>
      </c>
      <c r="I1828">
        <v>538</v>
      </c>
      <c r="J1828" t="s">
        <v>12967</v>
      </c>
      <c r="K1828" t="s">
        <v>12968</v>
      </c>
      <c r="L1828" s="7" t="s">
        <v>12969</v>
      </c>
      <c r="M1828">
        <v>10112</v>
      </c>
      <c r="N1828">
        <v>29</v>
      </c>
      <c r="O1828">
        <v>25</v>
      </c>
      <c r="P1828">
        <v>4</v>
      </c>
      <c r="Q1828">
        <v>29</v>
      </c>
      <c r="R1828">
        <v>25</v>
      </c>
      <c r="S1828">
        <v>4</v>
      </c>
      <c r="T1828">
        <v>0</v>
      </c>
      <c r="U1828" t="s">
        <v>12970</v>
      </c>
      <c r="V1828">
        <f>Tabla1[[#This Row],[Aboard]]-Tabla1[[#This Row],[Fatalities]]</f>
        <v>0</v>
      </c>
      <c r="W1828" s="50">
        <f>IFERROR(Tabla1[[#This Row],[Fatalities]]/Tabla1[[#This Row],[Aboard]],0)</f>
        <v>1</v>
      </c>
      <c r="X1828" s="51" t="str" cm="1">
        <f t="array" ref="X1828">_xlfn.IFS(Tabla1[[#This Row],[Porcentaje de muertes]]&lt;0.35,"LEVE",AND(Tabla1[[#This Row],[Porcentaje de muertes]]&gt;0.35,Tabla1[[#This Row],[Porcentaje de muertes]]&lt;0.65),"MEDIO",Tabla1[[#This Row],[Porcentaje de muertes]]&gt;0.65,"GRAVE")</f>
        <v>GRAVE</v>
      </c>
    </row>
    <row r="1829" spans="2:24" x14ac:dyDescent="0.3">
      <c r="B1829" s="9">
        <v>1828</v>
      </c>
      <c r="C1829" s="49">
        <v>22081</v>
      </c>
      <c r="D1829" s="9">
        <f>YEAR(Tabla1[[#This Row],[Date]])</f>
        <v>1960</v>
      </c>
      <c r="E1829" s="9" t="str" cm="1">
        <f t="array" ref="E1829">IFERROR(_xlfn.IFS(AND(D1829&lt;1980,D1829&gt;=1970),"70",AND(D1829&lt;1990,D1829&gt;=1980),"80",AND(D1829&lt;2000,D1829&gt;=1990),"90",AND(D1829&lt;2010,D1829&gt;=2000),"00",AND(D1829&lt;=2019,D1829&gt;=2010),"10"),"1908-1970")</f>
        <v>1908-1970</v>
      </c>
      <c r="F1829" s="3">
        <v>0.19930555555555554</v>
      </c>
      <c r="G1829" t="s">
        <v>12971</v>
      </c>
      <c r="H1829" t="s">
        <v>12972</v>
      </c>
      <c r="I1829">
        <v>201</v>
      </c>
      <c r="J1829" t="s">
        <v>12973</v>
      </c>
      <c r="K1829" t="s">
        <v>12974</v>
      </c>
      <c r="L1829" s="7" t="s">
        <v>12975</v>
      </c>
      <c r="M1829">
        <v>2555</v>
      </c>
      <c r="N1829">
        <v>14</v>
      </c>
      <c r="O1829">
        <v>9</v>
      </c>
      <c r="P1829">
        <v>5</v>
      </c>
      <c r="Q1829">
        <v>14</v>
      </c>
      <c r="R1829">
        <v>9</v>
      </c>
      <c r="S1829">
        <v>5</v>
      </c>
      <c r="T1829">
        <v>0</v>
      </c>
      <c r="U1829" t="s">
        <v>12976</v>
      </c>
      <c r="V1829">
        <f>Tabla1[[#This Row],[Aboard]]-Tabla1[[#This Row],[Fatalities]]</f>
        <v>0</v>
      </c>
      <c r="W1829" s="50">
        <f>IFERROR(Tabla1[[#This Row],[Fatalities]]/Tabla1[[#This Row],[Aboard]],0)</f>
        <v>1</v>
      </c>
      <c r="X1829" s="51" t="str" cm="1">
        <f t="array" ref="X1829">_xlfn.IFS(Tabla1[[#This Row],[Porcentaje de muertes]]&lt;0.35,"LEVE",AND(Tabla1[[#This Row],[Porcentaje de muertes]]&gt;0.35,Tabla1[[#This Row],[Porcentaje de muertes]]&lt;0.65),"MEDIO",Tabla1[[#This Row],[Porcentaje de muertes]]&gt;0.65,"GRAVE")</f>
        <v>GRAVE</v>
      </c>
    </row>
    <row r="1830" spans="2:24" x14ac:dyDescent="0.3">
      <c r="B1830" s="9">
        <v>1829</v>
      </c>
      <c r="C1830" s="49">
        <v>22091</v>
      </c>
      <c r="D1830" s="9">
        <f>YEAR(Tabla1[[#This Row],[Date]])</f>
        <v>1960</v>
      </c>
      <c r="E1830" s="9" t="str" cm="1">
        <f t="array" ref="E1830">IFERROR(_xlfn.IFS(AND(D1830&lt;1980,D1830&gt;=1970),"70",AND(D1830&lt;1990,D1830&gt;=1980),"80",AND(D1830&lt;2000,D1830&gt;=1990),"90",AND(D1830&lt;2010,D1830&gt;=2000),"00",AND(D1830&lt;=2019,D1830&gt;=2010),"10"),"1908-1970")</f>
        <v>1908-1970</v>
      </c>
      <c r="F1830" s="3">
        <v>0.77083333333333337</v>
      </c>
      <c r="G1830" t="s">
        <v>7368</v>
      </c>
      <c r="H1830" t="s">
        <v>9960</v>
      </c>
      <c r="I1830" t="s">
        <v>28931</v>
      </c>
      <c r="J1830" t="s">
        <v>12977</v>
      </c>
      <c r="K1830" t="s">
        <v>12978</v>
      </c>
      <c r="L1830" s="7" t="s">
        <v>12979</v>
      </c>
      <c r="M1830">
        <v>191</v>
      </c>
      <c r="N1830">
        <v>54</v>
      </c>
      <c r="O1830">
        <v>49</v>
      </c>
      <c r="P1830">
        <v>5</v>
      </c>
      <c r="Q1830">
        <v>54</v>
      </c>
      <c r="R1830">
        <v>49</v>
      </c>
      <c r="S1830">
        <v>5</v>
      </c>
      <c r="T1830">
        <v>0</v>
      </c>
      <c r="U1830" t="s">
        <v>12980</v>
      </c>
      <c r="V1830">
        <f>Tabla1[[#This Row],[Aboard]]-Tabla1[[#This Row],[Fatalities]]</f>
        <v>0</v>
      </c>
      <c r="W1830" s="50">
        <f>IFERROR(Tabla1[[#This Row],[Fatalities]]/Tabla1[[#This Row],[Aboard]],0)</f>
        <v>1</v>
      </c>
      <c r="X1830" s="51" t="str" cm="1">
        <f t="array" ref="X1830">_xlfn.IFS(Tabla1[[#This Row],[Porcentaje de muertes]]&lt;0.35,"LEVE",AND(Tabla1[[#This Row],[Porcentaje de muertes]]&gt;0.35,Tabla1[[#This Row],[Porcentaje de muertes]]&lt;0.65),"MEDIO",Tabla1[[#This Row],[Porcentaje de muertes]]&gt;0.65,"GRAVE")</f>
        <v>GRAVE</v>
      </c>
    </row>
    <row r="1831" spans="2:24" x14ac:dyDescent="0.3">
      <c r="B1831" s="9">
        <v>1830</v>
      </c>
      <c r="C1831" s="49">
        <v>22074</v>
      </c>
      <c r="D1831" s="9">
        <f>YEAR(Tabla1[[#This Row],[Date]])</f>
        <v>1960</v>
      </c>
      <c r="E1831" s="9" t="str" cm="1">
        <f t="array" ref="E1831">IFERROR(_xlfn.IFS(AND(D1831&lt;1980,D1831&gt;=1970),"70",AND(D1831&lt;1990,D1831&gt;=1980),"80",AND(D1831&lt;2000,D1831&gt;=1990),"90",AND(D1831&lt;2010,D1831&gt;=2000),"00",AND(D1831&lt;=2019,D1831&gt;=2010),"10"),"1908-1970")</f>
        <v>1908-1970</v>
      </c>
      <c r="F1831" s="3">
        <v>0.60416666666666663</v>
      </c>
      <c r="G1831" t="s">
        <v>12981</v>
      </c>
      <c r="H1831" t="s">
        <v>5027</v>
      </c>
      <c r="I1831" t="s">
        <v>28931</v>
      </c>
      <c r="J1831" t="s">
        <v>28931</v>
      </c>
      <c r="K1831" t="s">
        <v>12982</v>
      </c>
      <c r="L1831" s="7">
        <v>144242</v>
      </c>
      <c r="M1831" t="s">
        <v>28931</v>
      </c>
      <c r="N1831">
        <v>21</v>
      </c>
      <c r="O1831" t="s">
        <v>5038</v>
      </c>
      <c r="P1831" t="s">
        <v>5038</v>
      </c>
      <c r="Q1831">
        <v>18</v>
      </c>
      <c r="R1831" t="s">
        <v>5038</v>
      </c>
      <c r="S1831" t="s">
        <v>5038</v>
      </c>
      <c r="T1831">
        <v>0</v>
      </c>
      <c r="U1831" t="s">
        <v>12983</v>
      </c>
      <c r="V1831">
        <f>Tabla1[[#This Row],[Aboard]]-Tabla1[[#This Row],[Fatalities]]</f>
        <v>3</v>
      </c>
      <c r="W1831" s="50">
        <f>IFERROR(Tabla1[[#This Row],[Fatalities]]/Tabla1[[#This Row],[Aboard]],0)</f>
        <v>0.8571428571428571</v>
      </c>
      <c r="X1831" s="51" t="str" cm="1">
        <f t="array" ref="X1831">_xlfn.IFS(Tabla1[[#This Row],[Porcentaje de muertes]]&lt;0.35,"LEVE",AND(Tabla1[[#This Row],[Porcentaje de muertes]]&gt;0.35,Tabla1[[#This Row],[Porcentaje de muertes]]&lt;0.65),"MEDIO",Tabla1[[#This Row],[Porcentaje de muertes]]&gt;0.65,"GRAVE")</f>
        <v>GRAVE</v>
      </c>
    </row>
    <row r="1832" spans="2:24" x14ac:dyDescent="0.3">
      <c r="B1832" s="9">
        <v>1831</v>
      </c>
      <c r="C1832" s="49">
        <v>22196</v>
      </c>
      <c r="D1832" s="9">
        <f>YEAR(Tabla1[[#This Row],[Date]])</f>
        <v>1960</v>
      </c>
      <c r="E1832" s="9" t="str" cm="1">
        <f t="array" ref="E1832">IFERROR(_xlfn.IFS(AND(D1832&lt;1980,D1832&gt;=1970),"70",AND(D1832&lt;1990,D1832&gt;=1980),"80",AND(D1832&lt;2000,D1832&gt;=1990),"90",AND(D1832&lt;2010,D1832&gt;=2000),"00",AND(D1832&lt;=2019,D1832&gt;=2010),"10"),"1908-1970")</f>
        <v>1908-1970</v>
      </c>
      <c r="F1832" s="3">
        <v>0.4375</v>
      </c>
      <c r="G1832" t="s">
        <v>12984</v>
      </c>
      <c r="H1832" t="s">
        <v>12985</v>
      </c>
      <c r="I1832" t="s">
        <v>28931</v>
      </c>
      <c r="J1832" t="s">
        <v>12986</v>
      </c>
      <c r="K1832" t="s">
        <v>7057</v>
      </c>
      <c r="L1832" s="7" t="s">
        <v>12987</v>
      </c>
      <c r="M1832">
        <v>4273</v>
      </c>
      <c r="N1832">
        <v>20</v>
      </c>
      <c r="O1832">
        <v>16</v>
      </c>
      <c r="P1832">
        <v>4</v>
      </c>
      <c r="Q1832">
        <v>20</v>
      </c>
      <c r="R1832">
        <v>16</v>
      </c>
      <c r="S1832">
        <v>4</v>
      </c>
      <c r="T1832">
        <v>0</v>
      </c>
      <c r="U1832" t="s">
        <v>12988</v>
      </c>
      <c r="V1832">
        <f>Tabla1[[#This Row],[Aboard]]-Tabla1[[#This Row],[Fatalities]]</f>
        <v>0</v>
      </c>
      <c r="W1832" s="50">
        <f>IFERROR(Tabla1[[#This Row],[Fatalities]]/Tabla1[[#This Row],[Aboard]],0)</f>
        <v>1</v>
      </c>
      <c r="X1832" s="51" t="str" cm="1">
        <f t="array" ref="X1832">_xlfn.IFS(Tabla1[[#This Row],[Porcentaje de muertes]]&lt;0.35,"LEVE",AND(Tabla1[[#This Row],[Porcentaje de muertes]]&gt;0.35,Tabla1[[#This Row],[Porcentaje de muertes]]&lt;0.65),"MEDIO",Tabla1[[#This Row],[Porcentaje de muertes]]&gt;0.65,"GRAVE")</f>
        <v>GRAVE</v>
      </c>
    </row>
    <row r="1833" spans="2:24" x14ac:dyDescent="0.3">
      <c r="B1833" s="9">
        <v>1832</v>
      </c>
      <c r="C1833" s="49">
        <v>22227</v>
      </c>
      <c r="D1833" s="9">
        <f>YEAR(Tabla1[[#This Row],[Date]])</f>
        <v>1960</v>
      </c>
      <c r="E1833" s="9" t="str" cm="1">
        <f t="array" ref="E1833">IFERROR(_xlfn.IFS(AND(D1833&lt;1980,D1833&gt;=1970),"70",AND(D1833&lt;1990,D1833&gt;=1980),"80",AND(D1833&lt;2000,D1833&gt;=1990),"90",AND(D1833&lt;2010,D1833&gt;=2000),"00",AND(D1833&lt;=2019,D1833&gt;=2010),"10"),"1908-1970")</f>
        <v>1908-1970</v>
      </c>
      <c r="F1833" s="3">
        <v>0.48958333333333331</v>
      </c>
      <c r="G1833" t="s">
        <v>12989</v>
      </c>
      <c r="H1833" t="s">
        <v>12990</v>
      </c>
      <c r="I1833" t="s">
        <v>28931</v>
      </c>
      <c r="J1833" t="s">
        <v>12991</v>
      </c>
      <c r="K1833" t="s">
        <v>8359</v>
      </c>
      <c r="L1833" s="7" t="s">
        <v>12992</v>
      </c>
      <c r="M1833">
        <v>34379</v>
      </c>
      <c r="N1833">
        <v>18</v>
      </c>
      <c r="O1833">
        <v>14</v>
      </c>
      <c r="P1833">
        <v>4</v>
      </c>
      <c r="Q1833">
        <v>18</v>
      </c>
      <c r="R1833">
        <v>14</v>
      </c>
      <c r="S1833">
        <v>4</v>
      </c>
      <c r="T1833">
        <v>0</v>
      </c>
      <c r="U1833" t="s">
        <v>12993</v>
      </c>
      <c r="V1833">
        <f>Tabla1[[#This Row],[Aboard]]-Tabla1[[#This Row],[Fatalities]]</f>
        <v>0</v>
      </c>
      <c r="W1833" s="50">
        <f>IFERROR(Tabla1[[#This Row],[Fatalities]]/Tabla1[[#This Row],[Aboard]],0)</f>
        <v>1</v>
      </c>
      <c r="X1833" s="51" t="str" cm="1">
        <f t="array" ref="X1833">_xlfn.IFS(Tabla1[[#This Row],[Porcentaje de muertes]]&lt;0.35,"LEVE",AND(Tabla1[[#This Row],[Porcentaje de muertes]]&gt;0.35,Tabla1[[#This Row],[Porcentaje de muertes]]&lt;0.65),"MEDIO",Tabla1[[#This Row],[Porcentaje de muertes]]&gt;0.65,"GRAVE")</f>
        <v>GRAVE</v>
      </c>
    </row>
    <row r="1834" spans="2:24" x14ac:dyDescent="0.3">
      <c r="B1834" s="9">
        <v>1833</v>
      </c>
      <c r="C1834" s="49">
        <v>22111</v>
      </c>
      <c r="D1834" s="9">
        <f>YEAR(Tabla1[[#This Row],[Date]])</f>
        <v>1960</v>
      </c>
      <c r="E1834" s="9" t="str" cm="1">
        <f t="array" ref="E1834">IFERROR(_xlfn.IFS(AND(D1834&lt;1980,D1834&gt;=1970),"70",AND(D1834&lt;1990,D1834&gt;=1980),"80",AND(D1834&lt;2000,D1834&gt;=1990),"90",AND(D1834&lt;2010,D1834&gt;=2000),"00",AND(D1834&lt;=2019,D1834&gt;=2010),"10"),"1908-1970")</f>
        <v>1908-1970</v>
      </c>
      <c r="F1834" s="3">
        <v>0.1875</v>
      </c>
      <c r="G1834" t="s">
        <v>12994</v>
      </c>
      <c r="H1834" t="s">
        <v>5769</v>
      </c>
      <c r="I1834" s="5">
        <v>44866</v>
      </c>
      <c r="J1834" t="s">
        <v>12995</v>
      </c>
      <c r="K1834" t="s">
        <v>12348</v>
      </c>
      <c r="L1834" s="7" t="s">
        <v>12996</v>
      </c>
      <c r="M1834" t="s">
        <v>12997</v>
      </c>
      <c r="N1834">
        <v>58</v>
      </c>
      <c r="O1834">
        <v>51</v>
      </c>
      <c r="P1834">
        <v>7</v>
      </c>
      <c r="Q1834">
        <v>1</v>
      </c>
      <c r="R1834">
        <v>1</v>
      </c>
      <c r="S1834">
        <v>0</v>
      </c>
      <c r="T1834">
        <v>0</v>
      </c>
      <c r="U1834" t="s">
        <v>12998</v>
      </c>
      <c r="V1834">
        <f>Tabla1[[#This Row],[Aboard]]-Tabla1[[#This Row],[Fatalities]]</f>
        <v>57</v>
      </c>
      <c r="W1834" s="50">
        <f>IFERROR(Tabla1[[#This Row],[Fatalities]]/Tabla1[[#This Row],[Aboard]],0)</f>
        <v>1.7241379310344827E-2</v>
      </c>
      <c r="X1834" s="51" t="str" cm="1">
        <f t="array" ref="X1834">_xlfn.IFS(Tabla1[[#This Row],[Porcentaje de muertes]]&lt;0.35,"LEVE",AND(Tabla1[[#This Row],[Porcentaje de muertes]]&gt;0.35,Tabla1[[#This Row],[Porcentaje de muertes]]&lt;0.65),"MEDIO",Tabla1[[#This Row],[Porcentaje de muertes]]&gt;0.65,"GRAVE")</f>
        <v>LEVE</v>
      </c>
    </row>
    <row r="1835" spans="2:24" x14ac:dyDescent="0.3">
      <c r="B1835" s="9">
        <v>1834</v>
      </c>
      <c r="C1835" s="49">
        <v>22112</v>
      </c>
      <c r="D1835" s="9">
        <f>YEAR(Tabla1[[#This Row],[Date]])</f>
        <v>1960</v>
      </c>
      <c r="E1835" s="9" t="str" cm="1">
        <f t="array" ref="E1835">IFERROR(_xlfn.IFS(AND(D1835&lt;1980,D1835&gt;=1970),"70",AND(D1835&lt;1990,D1835&gt;=1980),"80",AND(D1835&lt;2000,D1835&gt;=1990),"90",AND(D1835&lt;2010,D1835&gt;=2000),"00",AND(D1835&lt;=2019,D1835&gt;=2010),"10"),"1908-1970")</f>
        <v>1908-1970</v>
      </c>
      <c r="F1835" s="3">
        <v>0.40277777777777773</v>
      </c>
      <c r="G1835" t="s">
        <v>12999</v>
      </c>
      <c r="H1835" t="s">
        <v>13000</v>
      </c>
      <c r="I1835">
        <v>372</v>
      </c>
      <c r="J1835" t="s">
        <v>13001</v>
      </c>
      <c r="K1835" t="s">
        <v>7057</v>
      </c>
      <c r="L1835" s="7" t="s">
        <v>13002</v>
      </c>
      <c r="M1835">
        <v>12926</v>
      </c>
      <c r="N1835">
        <v>11</v>
      </c>
      <c r="O1835">
        <v>8</v>
      </c>
      <c r="P1835">
        <v>3</v>
      </c>
      <c r="Q1835">
        <v>1</v>
      </c>
      <c r="R1835">
        <v>0</v>
      </c>
      <c r="S1835">
        <v>1</v>
      </c>
      <c r="T1835">
        <v>0</v>
      </c>
      <c r="U1835" t="s">
        <v>13003</v>
      </c>
      <c r="V1835">
        <f>Tabla1[[#This Row],[Aboard]]-Tabla1[[#This Row],[Fatalities]]</f>
        <v>10</v>
      </c>
      <c r="W1835" s="50">
        <f>IFERROR(Tabla1[[#This Row],[Fatalities]]/Tabla1[[#This Row],[Aboard]],0)</f>
        <v>9.0909090909090912E-2</v>
      </c>
      <c r="X1835" s="51" t="str" cm="1">
        <f t="array" ref="X1835">_xlfn.IFS(Tabla1[[#This Row],[Porcentaje de muertes]]&lt;0.35,"LEVE",AND(Tabla1[[#This Row],[Porcentaje de muertes]]&gt;0.35,Tabla1[[#This Row],[Porcentaje de muertes]]&lt;0.65),"MEDIO",Tabla1[[#This Row],[Porcentaje de muertes]]&gt;0.65,"GRAVE")</f>
        <v>LEVE</v>
      </c>
    </row>
    <row r="1836" spans="2:24" x14ac:dyDescent="0.3">
      <c r="B1836" s="9">
        <v>1835</v>
      </c>
      <c r="C1836" s="49">
        <v>22113</v>
      </c>
      <c r="D1836" s="9">
        <f>YEAR(Tabla1[[#This Row],[Date]])</f>
        <v>1960</v>
      </c>
      <c r="E1836" s="9" t="str" cm="1">
        <f t="array" ref="E1836">IFERROR(_xlfn.IFS(AND(D1836&lt;1980,D1836&gt;=1970),"70",AND(D1836&lt;1990,D1836&gt;=1980),"80",AND(D1836&lt;2000,D1836&gt;=1990),"90",AND(D1836&lt;2010,D1836&gt;=2000),"00",AND(D1836&lt;=2019,D1836&gt;=2010),"10"),"1908-1970")</f>
        <v>1908-1970</v>
      </c>
      <c r="F1836" s="3">
        <v>0.65138888888888891</v>
      </c>
      <c r="G1836" t="s">
        <v>8995</v>
      </c>
      <c r="H1836" t="s">
        <v>13004</v>
      </c>
      <c r="I1836" t="s">
        <v>28931</v>
      </c>
      <c r="J1836" t="s">
        <v>13005</v>
      </c>
      <c r="K1836" t="s">
        <v>13006</v>
      </c>
      <c r="L1836" s="7" t="s">
        <v>13007</v>
      </c>
      <c r="M1836">
        <v>6956</v>
      </c>
      <c r="N1836">
        <v>9</v>
      </c>
      <c r="O1836">
        <v>8</v>
      </c>
      <c r="P1836">
        <v>1</v>
      </c>
      <c r="Q1836">
        <v>8</v>
      </c>
      <c r="R1836">
        <v>8</v>
      </c>
      <c r="S1836">
        <v>0</v>
      </c>
      <c r="T1836">
        <v>0</v>
      </c>
      <c r="U1836" t="s">
        <v>13008</v>
      </c>
      <c r="V1836">
        <f>Tabla1[[#This Row],[Aboard]]-Tabla1[[#This Row],[Fatalities]]</f>
        <v>1</v>
      </c>
      <c r="W1836" s="50">
        <f>IFERROR(Tabla1[[#This Row],[Fatalities]]/Tabla1[[#This Row],[Aboard]],0)</f>
        <v>0.88888888888888884</v>
      </c>
      <c r="X1836" s="51" t="str" cm="1">
        <f t="array" ref="X1836">_xlfn.IFS(Tabla1[[#This Row],[Porcentaje de muertes]]&lt;0.35,"LEVE",AND(Tabla1[[#This Row],[Porcentaje de muertes]]&gt;0.35,Tabla1[[#This Row],[Porcentaje de muertes]]&lt;0.65),"MEDIO",Tabla1[[#This Row],[Porcentaje de muertes]]&gt;0.65,"GRAVE")</f>
        <v>GRAVE</v>
      </c>
    </row>
    <row r="1837" spans="2:24" x14ac:dyDescent="0.3">
      <c r="B1837" s="9">
        <v>1836</v>
      </c>
      <c r="C1837" s="49">
        <v>22116</v>
      </c>
      <c r="D1837" s="9">
        <f>YEAR(Tabla1[[#This Row],[Date]])</f>
        <v>1960</v>
      </c>
      <c r="E1837" s="9" t="str" cm="1">
        <f t="array" ref="E1837">IFERROR(_xlfn.IFS(AND(D1837&lt;1980,D1837&gt;=1970),"70",AND(D1837&lt;1990,D1837&gt;=1980),"80",AND(D1837&lt;2000,D1837&gt;=1990),"90",AND(D1837&lt;2010,D1837&gt;=2000),"00",AND(D1837&lt;=2019,D1837&gt;=2010),"10"),"1908-1970")</f>
        <v>1908-1970</v>
      </c>
      <c r="F1837" s="3">
        <v>0.57291666666666663</v>
      </c>
      <c r="G1837" t="s">
        <v>13009</v>
      </c>
      <c r="H1837" t="s">
        <v>13010</v>
      </c>
      <c r="I1837" t="s">
        <v>28931</v>
      </c>
      <c r="J1837" t="s">
        <v>28931</v>
      </c>
      <c r="K1837" t="s">
        <v>13011</v>
      </c>
      <c r="L1837" s="7" t="s">
        <v>13012</v>
      </c>
      <c r="M1837" t="s">
        <v>28931</v>
      </c>
      <c r="N1837">
        <v>41</v>
      </c>
      <c r="O1837">
        <v>37</v>
      </c>
      <c r="P1837">
        <v>4</v>
      </c>
      <c r="Q1837">
        <v>37</v>
      </c>
      <c r="R1837">
        <v>33</v>
      </c>
      <c r="S1837">
        <v>4</v>
      </c>
      <c r="T1837">
        <v>0</v>
      </c>
      <c r="U1837" t="s">
        <v>13013</v>
      </c>
      <c r="V1837">
        <f>Tabla1[[#This Row],[Aboard]]-Tabla1[[#This Row],[Fatalities]]</f>
        <v>4</v>
      </c>
      <c r="W1837" s="50">
        <f>IFERROR(Tabla1[[#This Row],[Fatalities]]/Tabla1[[#This Row],[Aboard]],0)</f>
        <v>0.90243902439024393</v>
      </c>
      <c r="X1837" s="51" t="str" cm="1">
        <f t="array" ref="X1837">_xlfn.IFS(Tabla1[[#This Row],[Porcentaje de muertes]]&lt;0.35,"LEVE",AND(Tabla1[[#This Row],[Porcentaje de muertes]]&gt;0.35,Tabla1[[#This Row],[Porcentaje de muertes]]&lt;0.65),"MEDIO",Tabla1[[#This Row],[Porcentaje de muertes]]&gt;0.65,"GRAVE")</f>
        <v>GRAVE</v>
      </c>
    </row>
    <row r="1838" spans="2:24" x14ac:dyDescent="0.3">
      <c r="B1838" s="9">
        <v>1837</v>
      </c>
      <c r="C1838" s="49">
        <v>22117</v>
      </c>
      <c r="D1838" s="9">
        <f>YEAR(Tabla1[[#This Row],[Date]])</f>
        <v>1960</v>
      </c>
      <c r="E1838" s="9" t="str" cm="1">
        <f t="array" ref="E1838">IFERROR(_xlfn.IFS(AND(D1838&lt;1980,D1838&gt;=1970),"70",AND(D1838&lt;1990,D1838&gt;=1980),"80",AND(D1838&lt;2000,D1838&gt;=1990),"90",AND(D1838&lt;2010,D1838&gt;=2000),"00",AND(D1838&lt;=2019,D1838&gt;=2010),"10"),"1908-1970")</f>
        <v>1908-1970</v>
      </c>
      <c r="F1838" s="3">
        <v>0.52083333333333337</v>
      </c>
      <c r="G1838" t="s">
        <v>13014</v>
      </c>
      <c r="H1838" t="s">
        <v>6541</v>
      </c>
      <c r="I1838">
        <v>613</v>
      </c>
      <c r="J1838" t="s">
        <v>13015</v>
      </c>
      <c r="K1838" t="s">
        <v>13016</v>
      </c>
      <c r="L1838" s="7" t="s">
        <v>13017</v>
      </c>
      <c r="M1838">
        <v>147001035</v>
      </c>
      <c r="N1838">
        <v>23</v>
      </c>
      <c r="O1838">
        <v>19</v>
      </c>
      <c r="P1838">
        <v>4</v>
      </c>
      <c r="Q1838">
        <v>23</v>
      </c>
      <c r="R1838">
        <v>19</v>
      </c>
      <c r="S1838">
        <v>4</v>
      </c>
      <c r="T1838">
        <v>0</v>
      </c>
      <c r="U1838" t="s">
        <v>13018</v>
      </c>
      <c r="V1838">
        <f>Tabla1[[#This Row],[Aboard]]-Tabla1[[#This Row],[Fatalities]]</f>
        <v>0</v>
      </c>
      <c r="W1838" s="50">
        <f>IFERROR(Tabla1[[#This Row],[Fatalities]]/Tabla1[[#This Row],[Aboard]],0)</f>
        <v>1</v>
      </c>
      <c r="X1838" s="51" t="str" cm="1">
        <f t="array" ref="X1838">_xlfn.IFS(Tabla1[[#This Row],[Porcentaje de muertes]]&lt;0.35,"LEVE",AND(Tabla1[[#This Row],[Porcentaje de muertes]]&gt;0.35,Tabla1[[#This Row],[Porcentaje de muertes]]&lt;0.65),"MEDIO",Tabla1[[#This Row],[Porcentaje de muertes]]&gt;0.65,"GRAVE")</f>
        <v>GRAVE</v>
      </c>
    </row>
    <row r="1839" spans="2:24" x14ac:dyDescent="0.3">
      <c r="B1839" s="9">
        <v>1838</v>
      </c>
      <c r="C1839" s="49">
        <v>22124</v>
      </c>
      <c r="D1839" s="9">
        <f>YEAR(Tabla1[[#This Row],[Date]])</f>
        <v>1960</v>
      </c>
      <c r="E1839" s="9" t="str" cm="1">
        <f t="array" ref="E1839">IFERROR(_xlfn.IFS(AND(D1839&lt;1980,D1839&gt;=1970),"70",AND(D1839&lt;1990,D1839&gt;=1980),"80",AND(D1839&lt;2000,D1839&gt;=1990),"90",AND(D1839&lt;2010,D1839&gt;=2000),"00",AND(D1839&lt;=2019,D1839&gt;=2010),"10"),"1908-1970")</f>
        <v>1908-1970</v>
      </c>
      <c r="F1839" s="3">
        <v>0.94305555555555554</v>
      </c>
      <c r="G1839" t="s">
        <v>13019</v>
      </c>
      <c r="H1839" t="s">
        <v>13020</v>
      </c>
      <c r="I1839">
        <v>698</v>
      </c>
      <c r="J1839" t="s">
        <v>28931</v>
      </c>
      <c r="K1839" t="s">
        <v>13021</v>
      </c>
      <c r="L1839" s="7" t="s">
        <v>13022</v>
      </c>
      <c r="M1839">
        <v>58420</v>
      </c>
      <c r="N1839">
        <v>13</v>
      </c>
      <c r="O1839">
        <v>11</v>
      </c>
      <c r="P1839">
        <v>2</v>
      </c>
      <c r="Q1839">
        <v>13</v>
      </c>
      <c r="R1839">
        <v>11</v>
      </c>
      <c r="S1839">
        <v>2</v>
      </c>
      <c r="T1839">
        <v>0</v>
      </c>
      <c r="U1839" t="s">
        <v>13023</v>
      </c>
      <c r="V1839">
        <f>Tabla1[[#This Row],[Aboard]]-Tabla1[[#This Row],[Fatalities]]</f>
        <v>0</v>
      </c>
      <c r="W1839" s="50">
        <f>IFERROR(Tabla1[[#This Row],[Fatalities]]/Tabla1[[#This Row],[Aboard]],0)</f>
        <v>1</v>
      </c>
      <c r="X1839" s="51" t="str" cm="1">
        <f t="array" ref="X1839">_xlfn.IFS(Tabla1[[#This Row],[Porcentaje de muertes]]&lt;0.35,"LEVE",AND(Tabla1[[#This Row],[Porcentaje de muertes]]&gt;0.35,Tabla1[[#This Row],[Porcentaje de muertes]]&lt;0.65),"MEDIO",Tabla1[[#This Row],[Porcentaje de muertes]]&gt;0.65,"GRAVE")</f>
        <v>GRAVE</v>
      </c>
    </row>
    <row r="1840" spans="2:24" x14ac:dyDescent="0.3">
      <c r="B1840" s="9">
        <v>1839</v>
      </c>
      <c r="C1840" s="49">
        <v>22128</v>
      </c>
      <c r="D1840" s="9">
        <f>YEAR(Tabla1[[#This Row],[Date]])</f>
        <v>1960</v>
      </c>
      <c r="E1840" s="9" t="str" cm="1">
        <f t="array" ref="E1840">IFERROR(_xlfn.IFS(AND(D1840&lt;1980,D1840&gt;=1970),"70",AND(D1840&lt;1990,D1840&gt;=1980),"80",AND(D1840&lt;2000,D1840&gt;=1990),"90",AND(D1840&lt;2010,D1840&gt;=2000),"00",AND(D1840&lt;=2019,D1840&gt;=2010),"10"),"1908-1970")</f>
        <v>1908-1970</v>
      </c>
      <c r="F1840" s="3">
        <v>0.49722222222222223</v>
      </c>
      <c r="G1840" t="s">
        <v>13024</v>
      </c>
      <c r="H1840" t="s">
        <v>13025</v>
      </c>
      <c r="I1840" t="s">
        <v>28931</v>
      </c>
      <c r="J1840" t="s">
        <v>13026</v>
      </c>
      <c r="K1840" t="s">
        <v>11014</v>
      </c>
      <c r="L1840" s="7" t="s">
        <v>13027</v>
      </c>
      <c r="M1840">
        <v>78</v>
      </c>
      <c r="N1840">
        <v>34</v>
      </c>
      <c r="O1840">
        <v>30</v>
      </c>
      <c r="P1840">
        <v>4</v>
      </c>
      <c r="Q1840">
        <v>1</v>
      </c>
      <c r="R1840">
        <v>1</v>
      </c>
      <c r="S1840">
        <v>0</v>
      </c>
      <c r="T1840">
        <v>0</v>
      </c>
      <c r="U1840" t="s">
        <v>13028</v>
      </c>
      <c r="V1840">
        <f>Tabla1[[#This Row],[Aboard]]-Tabla1[[#This Row],[Fatalities]]</f>
        <v>33</v>
      </c>
      <c r="W1840" s="50">
        <f>IFERROR(Tabla1[[#This Row],[Fatalities]]/Tabla1[[#This Row],[Aboard]],0)</f>
        <v>2.9411764705882353E-2</v>
      </c>
      <c r="X1840" s="51" t="str" cm="1">
        <f t="array" ref="X1840">_xlfn.IFS(Tabla1[[#This Row],[Porcentaje de muertes]]&lt;0.35,"LEVE",AND(Tabla1[[#This Row],[Porcentaje de muertes]]&gt;0.35,Tabla1[[#This Row],[Porcentaje de muertes]]&lt;0.65),"MEDIO",Tabla1[[#This Row],[Porcentaje de muertes]]&gt;0.65,"GRAVE")</f>
        <v>LEVE</v>
      </c>
    </row>
    <row r="1841" spans="2:24" x14ac:dyDescent="0.3">
      <c r="B1841" s="9">
        <v>1840</v>
      </c>
      <c r="C1841" s="49">
        <v>21923</v>
      </c>
      <c r="D1841" s="9">
        <f>YEAR(Tabla1[[#This Row],[Date]])</f>
        <v>1960</v>
      </c>
      <c r="E1841" s="9" t="str" cm="1">
        <f t="array" ref="E1841">IFERROR(_xlfn.IFS(AND(D1841&lt;1980,D1841&gt;=1970),"70",AND(D1841&lt;1990,D1841&gt;=1980),"80",AND(D1841&lt;2000,D1841&gt;=1990),"90",AND(D1841&lt;2010,D1841&gt;=2000),"00",AND(D1841&lt;=2019,D1841&gt;=2010),"10"),"1908-1970")</f>
        <v>1908-1970</v>
      </c>
      <c r="F1841" s="3" t="s">
        <v>28931</v>
      </c>
      <c r="G1841" t="s">
        <v>13029</v>
      </c>
      <c r="H1841" t="s">
        <v>12245</v>
      </c>
      <c r="I1841" t="s">
        <v>28931</v>
      </c>
      <c r="J1841" t="s">
        <v>13030</v>
      </c>
      <c r="K1841" t="s">
        <v>7826</v>
      </c>
      <c r="L1841" s="7" t="s">
        <v>13031</v>
      </c>
      <c r="M1841">
        <v>9030</v>
      </c>
      <c r="N1841">
        <v>6</v>
      </c>
      <c r="O1841">
        <v>4</v>
      </c>
      <c r="P1841">
        <v>2</v>
      </c>
      <c r="Q1841">
        <v>6</v>
      </c>
      <c r="R1841">
        <v>4</v>
      </c>
      <c r="S1841">
        <v>2</v>
      </c>
      <c r="T1841">
        <v>0</v>
      </c>
      <c r="U1841" t="s">
        <v>13032</v>
      </c>
      <c r="V1841">
        <f>Tabla1[[#This Row],[Aboard]]-Tabla1[[#This Row],[Fatalities]]</f>
        <v>0</v>
      </c>
      <c r="W1841" s="50">
        <f>IFERROR(Tabla1[[#This Row],[Fatalities]]/Tabla1[[#This Row],[Aboard]],0)</f>
        <v>1</v>
      </c>
      <c r="X1841" s="51" t="str" cm="1">
        <f t="array" ref="X1841">_xlfn.IFS(Tabla1[[#This Row],[Porcentaje de muertes]]&lt;0.35,"LEVE",AND(Tabla1[[#This Row],[Porcentaje de muertes]]&gt;0.35,Tabla1[[#This Row],[Porcentaje de muertes]]&lt;0.65),"MEDIO",Tabla1[[#This Row],[Porcentaje de muertes]]&gt;0.65,"GRAVE")</f>
        <v>GRAVE</v>
      </c>
    </row>
    <row r="1842" spans="2:24" x14ac:dyDescent="0.3">
      <c r="B1842" s="9">
        <v>1841</v>
      </c>
      <c r="C1842" s="49">
        <v>22145</v>
      </c>
      <c r="D1842" s="9">
        <f>YEAR(Tabla1[[#This Row],[Date]])</f>
        <v>1960</v>
      </c>
      <c r="E1842" s="9" t="str" cm="1">
        <f t="array" ref="E1842">IFERROR(_xlfn.IFS(AND(D1842&lt;1980,D1842&gt;=1970),"70",AND(D1842&lt;1990,D1842&gt;=1980),"80",AND(D1842&lt;2000,D1842&gt;=1990),"90",AND(D1842&lt;2010,D1842&gt;=2000),"00",AND(D1842&lt;=2019,D1842&gt;=2010),"10"),"1908-1970")</f>
        <v>1908-1970</v>
      </c>
      <c r="F1842" s="3">
        <v>0.66527777777777775</v>
      </c>
      <c r="G1842" t="s">
        <v>13033</v>
      </c>
      <c r="H1842" t="s">
        <v>6541</v>
      </c>
      <c r="I1842">
        <v>36</v>
      </c>
      <c r="J1842" t="s">
        <v>13034</v>
      </c>
      <c r="K1842" t="s">
        <v>13035</v>
      </c>
      <c r="L1842" s="7" t="s">
        <v>13036</v>
      </c>
      <c r="M1842">
        <v>189001702</v>
      </c>
      <c r="N1842">
        <v>34</v>
      </c>
      <c r="O1842">
        <v>27</v>
      </c>
      <c r="P1842">
        <v>7</v>
      </c>
      <c r="Q1842">
        <v>34</v>
      </c>
      <c r="R1842">
        <v>27</v>
      </c>
      <c r="S1842">
        <v>7</v>
      </c>
      <c r="T1842">
        <v>0</v>
      </c>
      <c r="U1842" t="s">
        <v>13037</v>
      </c>
      <c r="V1842">
        <f>Tabla1[[#This Row],[Aboard]]-Tabla1[[#This Row],[Fatalities]]</f>
        <v>0</v>
      </c>
      <c r="W1842" s="50">
        <f>IFERROR(Tabla1[[#This Row],[Fatalities]]/Tabla1[[#This Row],[Aboard]],0)</f>
        <v>1</v>
      </c>
      <c r="X1842" s="51" t="str" cm="1">
        <f t="array" ref="X1842">_xlfn.IFS(Tabla1[[#This Row],[Porcentaje de muertes]]&lt;0.35,"LEVE",AND(Tabla1[[#This Row],[Porcentaje de muertes]]&gt;0.35,Tabla1[[#This Row],[Porcentaje de muertes]]&lt;0.65),"MEDIO",Tabla1[[#This Row],[Porcentaje de muertes]]&gt;0.65,"GRAVE")</f>
        <v>GRAVE</v>
      </c>
    </row>
    <row r="1843" spans="2:24" x14ac:dyDescent="0.3">
      <c r="B1843" s="9">
        <v>1842</v>
      </c>
      <c r="C1843" s="49">
        <v>22145</v>
      </c>
      <c r="D1843" s="9">
        <f>YEAR(Tabla1[[#This Row],[Date]])</f>
        <v>1960</v>
      </c>
      <c r="E1843" s="9" t="str" cm="1">
        <f t="array" ref="E1843">IFERROR(_xlfn.IFS(AND(D1843&lt;1980,D1843&gt;=1970),"70",AND(D1843&lt;1990,D1843&gt;=1980),"80",AND(D1843&lt;2000,D1843&gt;=1990),"90",AND(D1843&lt;2010,D1843&gt;=2000),"00",AND(D1843&lt;=2019,D1843&gt;=2010),"10"),"1908-1970")</f>
        <v>1908-1970</v>
      </c>
      <c r="F1843" s="3">
        <v>0.98958333333333337</v>
      </c>
      <c r="G1843" t="s">
        <v>13038</v>
      </c>
      <c r="H1843" t="s">
        <v>13039</v>
      </c>
      <c r="I1843" t="s">
        <v>28931</v>
      </c>
      <c r="J1843" t="s">
        <v>28931</v>
      </c>
      <c r="K1843" t="s">
        <v>13040</v>
      </c>
      <c r="L1843" s="7" t="s">
        <v>13041</v>
      </c>
      <c r="M1843" t="s">
        <v>28931</v>
      </c>
      <c r="N1843">
        <v>20</v>
      </c>
      <c r="O1843">
        <v>15</v>
      </c>
      <c r="P1843">
        <v>5</v>
      </c>
      <c r="Q1843">
        <v>20</v>
      </c>
      <c r="R1843">
        <v>15</v>
      </c>
      <c r="S1843">
        <v>5</v>
      </c>
      <c r="T1843">
        <v>0</v>
      </c>
      <c r="U1843" t="s">
        <v>13042</v>
      </c>
      <c r="V1843">
        <f>Tabla1[[#This Row],[Aboard]]-Tabla1[[#This Row],[Fatalities]]</f>
        <v>0</v>
      </c>
      <c r="W1843" s="50">
        <f>IFERROR(Tabla1[[#This Row],[Fatalities]]/Tabla1[[#This Row],[Aboard]],0)</f>
        <v>1</v>
      </c>
      <c r="X1843" s="51" t="str" cm="1">
        <f t="array" ref="X1843">_xlfn.IFS(Tabla1[[#This Row],[Porcentaje de muertes]]&lt;0.35,"LEVE",AND(Tabla1[[#This Row],[Porcentaje de muertes]]&gt;0.35,Tabla1[[#This Row],[Porcentaje de muertes]]&lt;0.65),"MEDIO",Tabla1[[#This Row],[Porcentaje de muertes]]&gt;0.65,"GRAVE")</f>
        <v>GRAVE</v>
      </c>
    </row>
    <row r="1844" spans="2:24" x14ac:dyDescent="0.3">
      <c r="B1844" s="9">
        <v>1843</v>
      </c>
      <c r="C1844" s="49">
        <v>22152</v>
      </c>
      <c r="D1844" s="9">
        <f>YEAR(Tabla1[[#This Row],[Date]])</f>
        <v>1960</v>
      </c>
      <c r="E1844" s="9" t="str" cm="1">
        <f t="array" ref="E1844">IFERROR(_xlfn.IFS(AND(D1844&lt;1980,D1844&gt;=1970),"70",AND(D1844&lt;1990,D1844&gt;=1980),"80",AND(D1844&lt;2000,D1844&gt;=1990),"90",AND(D1844&lt;2010,D1844&gt;=2000),"00",AND(D1844&lt;=2019,D1844&gt;=2010),"10"),"1908-1970")</f>
        <v>1908-1970</v>
      </c>
      <c r="F1844" s="3" t="s">
        <v>28931</v>
      </c>
      <c r="G1844" t="s">
        <v>13043</v>
      </c>
      <c r="H1844" t="s">
        <v>13044</v>
      </c>
      <c r="I1844" t="s">
        <v>28931</v>
      </c>
      <c r="J1844" t="s">
        <v>13045</v>
      </c>
      <c r="K1844" t="s">
        <v>13046</v>
      </c>
      <c r="L1844" s="7" t="s">
        <v>13047</v>
      </c>
      <c r="M1844">
        <v>210</v>
      </c>
      <c r="N1844">
        <v>3</v>
      </c>
      <c r="O1844">
        <v>0</v>
      </c>
      <c r="P1844">
        <v>3</v>
      </c>
      <c r="Q1844">
        <v>3</v>
      </c>
      <c r="R1844">
        <v>0</v>
      </c>
      <c r="S1844">
        <v>3</v>
      </c>
      <c r="T1844">
        <v>0</v>
      </c>
      <c r="U1844" t="s">
        <v>13048</v>
      </c>
      <c r="V1844">
        <f>Tabla1[[#This Row],[Aboard]]-Tabla1[[#This Row],[Fatalities]]</f>
        <v>0</v>
      </c>
      <c r="W1844" s="50">
        <f>IFERROR(Tabla1[[#This Row],[Fatalities]]/Tabla1[[#This Row],[Aboard]],0)</f>
        <v>1</v>
      </c>
      <c r="X1844" s="51" t="str" cm="1">
        <f t="array" ref="X1844">_xlfn.IFS(Tabla1[[#This Row],[Porcentaje de muertes]]&lt;0.35,"LEVE",AND(Tabla1[[#This Row],[Porcentaje de muertes]]&gt;0.35,Tabla1[[#This Row],[Porcentaje de muertes]]&lt;0.65),"MEDIO",Tabla1[[#This Row],[Porcentaje de muertes]]&gt;0.65,"GRAVE")</f>
        <v>GRAVE</v>
      </c>
    </row>
    <row r="1845" spans="2:24" x14ac:dyDescent="0.3">
      <c r="B1845" s="9">
        <v>1844</v>
      </c>
      <c r="C1845" s="49">
        <v>22157</v>
      </c>
      <c r="D1845" s="9">
        <f>YEAR(Tabla1[[#This Row],[Date]])</f>
        <v>1960</v>
      </c>
      <c r="E1845" s="9" t="str" cm="1">
        <f t="array" ref="E1845">IFERROR(_xlfn.IFS(AND(D1845&lt;1980,D1845&gt;=1970),"70",AND(D1845&lt;1990,D1845&gt;=1980),"80",AND(D1845&lt;2000,D1845&gt;=1990),"90",AND(D1845&lt;2010,D1845&gt;=2000),"00",AND(D1845&lt;=2019,D1845&gt;=2010),"10"),"1908-1970")</f>
        <v>1908-1970</v>
      </c>
      <c r="F1845" s="3">
        <v>0.28263888888888888</v>
      </c>
      <c r="G1845" t="s">
        <v>9078</v>
      </c>
      <c r="H1845" t="s">
        <v>6375</v>
      </c>
      <c r="I1845">
        <v>343</v>
      </c>
      <c r="J1845" t="s">
        <v>13049</v>
      </c>
      <c r="K1845" t="s">
        <v>13050</v>
      </c>
      <c r="L1845" s="7" t="s">
        <v>13051</v>
      </c>
      <c r="M1845">
        <v>4622</v>
      </c>
      <c r="N1845">
        <v>63</v>
      </c>
      <c r="O1845">
        <v>55</v>
      </c>
      <c r="P1845">
        <v>8</v>
      </c>
      <c r="Q1845">
        <v>63</v>
      </c>
      <c r="R1845">
        <v>55</v>
      </c>
      <c r="S1845">
        <v>8</v>
      </c>
      <c r="T1845">
        <v>0</v>
      </c>
      <c r="U1845" t="s">
        <v>13052</v>
      </c>
      <c r="V1845">
        <f>Tabla1[[#This Row],[Aboard]]-Tabla1[[#This Row],[Fatalities]]</f>
        <v>0</v>
      </c>
      <c r="W1845" s="50">
        <f>IFERROR(Tabla1[[#This Row],[Fatalities]]/Tabla1[[#This Row],[Aboard]],0)</f>
        <v>1</v>
      </c>
      <c r="X1845" s="51" t="str" cm="1">
        <f t="array" ref="X1845">_xlfn.IFS(Tabla1[[#This Row],[Porcentaje de muertes]]&lt;0.35,"LEVE",AND(Tabla1[[#This Row],[Porcentaje de muertes]]&gt;0.35,Tabla1[[#This Row],[Porcentaje de muertes]]&lt;0.65),"MEDIO",Tabla1[[#This Row],[Porcentaje de muertes]]&gt;0.65,"GRAVE")</f>
        <v>GRAVE</v>
      </c>
    </row>
    <row r="1846" spans="2:24" x14ac:dyDescent="0.3">
      <c r="B1846" s="9">
        <v>1845</v>
      </c>
      <c r="C1846" s="49">
        <v>21955</v>
      </c>
      <c r="D1846" s="9">
        <f>YEAR(Tabla1[[#This Row],[Date]])</f>
        <v>1960</v>
      </c>
      <c r="E1846" s="9" t="str" cm="1">
        <f t="array" ref="E1846">IFERROR(_xlfn.IFS(AND(D1846&lt;1980,D1846&gt;=1970),"70",AND(D1846&lt;1990,D1846&gt;=1980),"80",AND(D1846&lt;2000,D1846&gt;=1990),"90",AND(D1846&lt;2010,D1846&gt;=2000),"00",AND(D1846&lt;=2019,D1846&gt;=2010),"10"),"1908-1970")</f>
        <v>1908-1970</v>
      </c>
      <c r="F1846" s="3">
        <v>0.71527777777777779</v>
      </c>
      <c r="G1846" t="s">
        <v>13053</v>
      </c>
      <c r="H1846" t="s">
        <v>6541</v>
      </c>
      <c r="I1846">
        <v>804</v>
      </c>
      <c r="J1846" t="s">
        <v>13054</v>
      </c>
      <c r="K1846" t="s">
        <v>12110</v>
      </c>
      <c r="L1846" s="7" t="s">
        <v>13055</v>
      </c>
      <c r="M1846" t="s">
        <v>13056</v>
      </c>
      <c r="N1846">
        <v>18</v>
      </c>
      <c r="O1846">
        <v>13</v>
      </c>
      <c r="P1846">
        <v>5</v>
      </c>
      <c r="Q1846">
        <v>18</v>
      </c>
      <c r="R1846">
        <v>13</v>
      </c>
      <c r="S1846">
        <v>5</v>
      </c>
      <c r="T1846">
        <v>0</v>
      </c>
      <c r="U1846" t="s">
        <v>13057</v>
      </c>
      <c r="V1846">
        <f>Tabla1[[#This Row],[Aboard]]-Tabla1[[#This Row],[Fatalities]]</f>
        <v>0</v>
      </c>
      <c r="W1846" s="50">
        <f>IFERROR(Tabla1[[#This Row],[Fatalities]]/Tabla1[[#This Row],[Aboard]],0)</f>
        <v>1</v>
      </c>
      <c r="X1846" s="51" t="str" cm="1">
        <f t="array" ref="X1846">_xlfn.IFS(Tabla1[[#This Row],[Porcentaje de muertes]]&lt;0.35,"LEVE",AND(Tabla1[[#This Row],[Porcentaje de muertes]]&gt;0.35,Tabla1[[#This Row],[Porcentaje de muertes]]&lt;0.65),"MEDIO",Tabla1[[#This Row],[Porcentaje de muertes]]&gt;0.65,"GRAVE")</f>
        <v>GRAVE</v>
      </c>
    </row>
    <row r="1847" spans="2:24" x14ac:dyDescent="0.3">
      <c r="B1847" s="9">
        <v>1846</v>
      </c>
      <c r="C1847" s="49">
        <v>22106</v>
      </c>
      <c r="D1847" s="9">
        <f>YEAR(Tabla1[[#This Row],[Date]])</f>
        <v>1960</v>
      </c>
      <c r="E1847" s="9" t="str" cm="1">
        <f t="array" ref="E1847">IFERROR(_xlfn.IFS(AND(D1847&lt;1980,D1847&gt;=1970),"70",AND(D1847&lt;1990,D1847&gt;=1980),"80",AND(D1847&lt;2000,D1847&gt;=1990),"90",AND(D1847&lt;2010,D1847&gt;=2000),"00",AND(D1847&lt;=2019,D1847&gt;=2010),"10"),"1908-1970")</f>
        <v>1908-1970</v>
      </c>
      <c r="F1847" s="3">
        <v>0.40277777777777773</v>
      </c>
      <c r="G1847" t="s">
        <v>13058</v>
      </c>
      <c r="H1847" t="s">
        <v>10275</v>
      </c>
      <c r="I1847">
        <v>205</v>
      </c>
      <c r="J1847" t="s">
        <v>13059</v>
      </c>
      <c r="K1847" t="s">
        <v>9230</v>
      </c>
      <c r="L1847" s="7" t="s">
        <v>13060</v>
      </c>
      <c r="M1847" t="s">
        <v>13061</v>
      </c>
      <c r="N1847">
        <v>31</v>
      </c>
      <c r="O1847">
        <v>25</v>
      </c>
      <c r="P1847">
        <v>6</v>
      </c>
      <c r="Q1847">
        <v>31</v>
      </c>
      <c r="R1847">
        <v>25</v>
      </c>
      <c r="S1847">
        <v>6</v>
      </c>
      <c r="T1847">
        <v>0</v>
      </c>
      <c r="U1847" t="s">
        <v>13062</v>
      </c>
      <c r="V1847">
        <f>Tabla1[[#This Row],[Aboard]]-Tabla1[[#This Row],[Fatalities]]</f>
        <v>0</v>
      </c>
      <c r="W1847" s="50">
        <f>IFERROR(Tabla1[[#This Row],[Fatalities]]/Tabla1[[#This Row],[Aboard]],0)</f>
        <v>1</v>
      </c>
      <c r="X1847" s="51" t="str" cm="1">
        <f t="array" ref="X1847">_xlfn.IFS(Tabla1[[#This Row],[Porcentaje de muertes]]&lt;0.35,"LEVE",AND(Tabla1[[#This Row],[Porcentaje de muertes]]&gt;0.35,Tabla1[[#This Row],[Porcentaje de muertes]]&lt;0.65),"MEDIO",Tabla1[[#This Row],[Porcentaje de muertes]]&gt;0.65,"GRAVE")</f>
        <v>GRAVE</v>
      </c>
    </row>
    <row r="1848" spans="2:24" x14ac:dyDescent="0.3">
      <c r="B1848" s="9">
        <v>1847</v>
      </c>
      <c r="C1848" s="49">
        <v>22178</v>
      </c>
      <c r="D1848" s="9">
        <f>YEAR(Tabla1[[#This Row],[Date]])</f>
        <v>1960</v>
      </c>
      <c r="E1848" s="9" t="str" cm="1">
        <f t="array" ref="E1848">IFERROR(_xlfn.IFS(AND(D1848&lt;1980,D1848&gt;=1970),"70",AND(D1848&lt;1990,D1848&gt;=1980),"80",AND(D1848&lt;2000,D1848&gt;=1990),"90",AND(D1848&lt;2010,D1848&gt;=2000),"00",AND(D1848&lt;=2019,D1848&gt;=2010),"10"),"1908-1970")</f>
        <v>1908-1970</v>
      </c>
      <c r="F1848" s="3">
        <v>0.25138888888888888</v>
      </c>
      <c r="G1848" t="s">
        <v>13063</v>
      </c>
      <c r="H1848" t="s">
        <v>13064</v>
      </c>
      <c r="I1848" t="s">
        <v>13065</v>
      </c>
      <c r="J1848" t="s">
        <v>13066</v>
      </c>
      <c r="K1848" t="s">
        <v>13067</v>
      </c>
      <c r="L1848" s="7" t="s">
        <v>13068</v>
      </c>
      <c r="M1848" t="s">
        <v>13069</v>
      </c>
      <c r="N1848">
        <v>94</v>
      </c>
      <c r="O1848">
        <v>86</v>
      </c>
      <c r="P1848">
        <v>8</v>
      </c>
      <c r="Q1848">
        <v>80</v>
      </c>
      <c r="R1848">
        <v>73</v>
      </c>
      <c r="S1848">
        <v>7</v>
      </c>
      <c r="T1848">
        <v>0</v>
      </c>
      <c r="U1848" t="s">
        <v>13070</v>
      </c>
      <c r="V1848">
        <f>Tabla1[[#This Row],[Aboard]]-Tabla1[[#This Row],[Fatalities]]</f>
        <v>14</v>
      </c>
      <c r="W1848" s="50">
        <f>IFERROR(Tabla1[[#This Row],[Fatalities]]/Tabla1[[#This Row],[Aboard]],0)</f>
        <v>0.85106382978723405</v>
      </c>
      <c r="X1848" s="51" t="str" cm="1">
        <f t="array" ref="X1848">_xlfn.IFS(Tabla1[[#This Row],[Porcentaje de muertes]]&lt;0.35,"LEVE",AND(Tabla1[[#This Row],[Porcentaje de muertes]]&gt;0.35,Tabla1[[#This Row],[Porcentaje de muertes]]&lt;0.65),"MEDIO",Tabla1[[#This Row],[Porcentaje de muertes]]&gt;0.65,"GRAVE")</f>
        <v>GRAVE</v>
      </c>
    </row>
    <row r="1849" spans="2:24" x14ac:dyDescent="0.3">
      <c r="B1849" s="9">
        <v>1848</v>
      </c>
      <c r="C1849" s="49">
        <v>22181</v>
      </c>
      <c r="D1849" s="9">
        <f>YEAR(Tabla1[[#This Row],[Date]])</f>
        <v>1960</v>
      </c>
      <c r="E1849" s="9" t="str" cm="1">
        <f t="array" ref="E1849">IFERROR(_xlfn.IFS(AND(D1849&lt;1980,D1849&gt;=1970),"70",AND(D1849&lt;1990,D1849&gt;=1980),"80",AND(D1849&lt;2000,D1849&gt;=1990),"90",AND(D1849&lt;2010,D1849&gt;=2000),"00",AND(D1849&lt;=2019,D1849&gt;=2010),"10"),"1908-1970")</f>
        <v>1908-1970</v>
      </c>
      <c r="F1849" s="3">
        <v>0.59027777777777779</v>
      </c>
      <c r="G1849" t="s">
        <v>13071</v>
      </c>
      <c r="H1849" t="s">
        <v>5027</v>
      </c>
      <c r="I1849" t="s">
        <v>28931</v>
      </c>
      <c r="J1849" t="s">
        <v>13072</v>
      </c>
      <c r="K1849" t="s">
        <v>10181</v>
      </c>
      <c r="L1849" s="7">
        <v>56541</v>
      </c>
      <c r="M1849" t="s">
        <v>28931</v>
      </c>
      <c r="N1849">
        <v>29</v>
      </c>
      <c r="O1849">
        <v>26</v>
      </c>
      <c r="P1849">
        <v>3</v>
      </c>
      <c r="Q1849">
        <v>29</v>
      </c>
      <c r="R1849">
        <v>26</v>
      </c>
      <c r="S1849">
        <v>3</v>
      </c>
      <c r="T1849">
        <v>0</v>
      </c>
      <c r="U1849" t="s">
        <v>13073</v>
      </c>
      <c r="V1849">
        <f>Tabla1[[#This Row],[Aboard]]-Tabla1[[#This Row],[Fatalities]]</f>
        <v>0</v>
      </c>
      <c r="W1849" s="50">
        <f>IFERROR(Tabla1[[#This Row],[Fatalities]]/Tabla1[[#This Row],[Aboard]],0)</f>
        <v>1</v>
      </c>
      <c r="X1849" s="51" t="str" cm="1">
        <f t="array" ref="X1849">_xlfn.IFS(Tabla1[[#This Row],[Porcentaje de muertes]]&lt;0.35,"LEVE",AND(Tabla1[[#This Row],[Porcentaje de muertes]]&gt;0.35,Tabla1[[#This Row],[Porcentaje de muertes]]&lt;0.65),"MEDIO",Tabla1[[#This Row],[Porcentaje de muertes]]&gt;0.65,"GRAVE")</f>
        <v>GRAVE</v>
      </c>
    </row>
    <row r="1850" spans="2:24" x14ac:dyDescent="0.3">
      <c r="B1850" s="9">
        <v>1849</v>
      </c>
      <c r="C1850" s="49">
        <v>22181</v>
      </c>
      <c r="D1850" s="9">
        <f>YEAR(Tabla1[[#This Row],[Date]])</f>
        <v>1960</v>
      </c>
      <c r="E1850" s="9" t="str" cm="1">
        <f t="array" ref="E1850">IFERROR(_xlfn.IFS(AND(D1850&lt;1980,D1850&gt;=1970),"70",AND(D1850&lt;1990,D1850&gt;=1980),"80",AND(D1850&lt;2000,D1850&gt;=1990),"90",AND(D1850&lt;2010,D1850&gt;=2000),"00",AND(D1850&lt;=2019,D1850&gt;=2010),"10"),"1908-1970")</f>
        <v>1908-1970</v>
      </c>
      <c r="F1850" s="3" t="s">
        <v>28931</v>
      </c>
      <c r="G1850" t="s">
        <v>13074</v>
      </c>
      <c r="H1850" t="s">
        <v>12797</v>
      </c>
      <c r="I1850" t="s">
        <v>28931</v>
      </c>
      <c r="J1850" t="s">
        <v>13075</v>
      </c>
      <c r="K1850" t="s">
        <v>12700</v>
      </c>
      <c r="L1850" s="7" t="s">
        <v>13076</v>
      </c>
      <c r="M1850" t="s">
        <v>13077</v>
      </c>
      <c r="N1850">
        <v>4</v>
      </c>
      <c r="O1850">
        <v>3</v>
      </c>
      <c r="P1850">
        <v>1</v>
      </c>
      <c r="Q1850">
        <v>3</v>
      </c>
      <c r="R1850">
        <v>2</v>
      </c>
      <c r="S1850">
        <v>1</v>
      </c>
      <c r="T1850">
        <v>0</v>
      </c>
      <c r="U1850" t="s">
        <v>13078</v>
      </c>
      <c r="V1850">
        <f>Tabla1[[#This Row],[Aboard]]-Tabla1[[#This Row],[Fatalities]]</f>
        <v>1</v>
      </c>
      <c r="W1850" s="50">
        <f>IFERROR(Tabla1[[#This Row],[Fatalities]]/Tabla1[[#This Row],[Aboard]],0)</f>
        <v>0.75</v>
      </c>
      <c r="X1850" s="51" t="str" cm="1">
        <f t="array" ref="X1850">_xlfn.IFS(Tabla1[[#This Row],[Porcentaje de muertes]]&lt;0.35,"LEVE",AND(Tabla1[[#This Row],[Porcentaje de muertes]]&gt;0.35,Tabla1[[#This Row],[Porcentaje de muertes]]&lt;0.65),"MEDIO",Tabla1[[#This Row],[Porcentaje de muertes]]&gt;0.65,"GRAVE")</f>
        <v>GRAVE</v>
      </c>
    </row>
    <row r="1851" spans="2:24" x14ac:dyDescent="0.3">
      <c r="B1851" s="9">
        <v>1850</v>
      </c>
      <c r="C1851" s="49">
        <v>22185</v>
      </c>
      <c r="D1851" s="9">
        <f>YEAR(Tabla1[[#This Row],[Date]])</f>
        <v>1960</v>
      </c>
      <c r="E1851" s="9" t="str" cm="1">
        <f t="array" ref="E1851">IFERROR(_xlfn.IFS(AND(D1851&lt;1980,D1851&gt;=1970),"70",AND(D1851&lt;1990,D1851&gt;=1980),"80",AND(D1851&lt;2000,D1851&gt;=1990),"90",AND(D1851&lt;2010,D1851&gt;=2000),"00",AND(D1851&lt;=2019,D1851&gt;=2010),"10"),"1908-1970")</f>
        <v>1908-1970</v>
      </c>
      <c r="F1851" s="3">
        <v>0.98611111111111116</v>
      </c>
      <c r="G1851" t="s">
        <v>10681</v>
      </c>
      <c r="H1851" t="s">
        <v>13079</v>
      </c>
      <c r="I1851">
        <v>901</v>
      </c>
      <c r="J1851" t="s">
        <v>12061</v>
      </c>
      <c r="K1851" t="s">
        <v>13080</v>
      </c>
      <c r="L1851" s="7" t="s">
        <v>13081</v>
      </c>
      <c r="M1851">
        <v>437</v>
      </c>
      <c r="N1851">
        <v>37</v>
      </c>
      <c r="O1851">
        <v>31</v>
      </c>
      <c r="P1851">
        <v>6</v>
      </c>
      <c r="Q1851">
        <v>31</v>
      </c>
      <c r="R1851">
        <v>26</v>
      </c>
      <c r="S1851">
        <v>5</v>
      </c>
      <c r="T1851">
        <v>0</v>
      </c>
      <c r="U1851" t="s">
        <v>13082</v>
      </c>
      <c r="V1851">
        <f>Tabla1[[#This Row],[Aboard]]-Tabla1[[#This Row],[Fatalities]]</f>
        <v>6</v>
      </c>
      <c r="W1851" s="50">
        <f>IFERROR(Tabla1[[#This Row],[Fatalities]]/Tabla1[[#This Row],[Aboard]],0)</f>
        <v>0.83783783783783783</v>
      </c>
      <c r="X1851" s="51" t="str" cm="1">
        <f t="array" ref="X1851">_xlfn.IFS(Tabla1[[#This Row],[Porcentaje de muertes]]&lt;0.35,"LEVE",AND(Tabla1[[#This Row],[Porcentaje de muertes]]&gt;0.35,Tabla1[[#This Row],[Porcentaje de muertes]]&lt;0.65),"MEDIO",Tabla1[[#This Row],[Porcentaje de muertes]]&gt;0.65,"GRAVE")</f>
        <v>GRAVE</v>
      </c>
    </row>
    <row r="1852" spans="2:24" x14ac:dyDescent="0.3">
      <c r="B1852" s="9">
        <v>1851</v>
      </c>
      <c r="C1852" s="49">
        <v>22187</v>
      </c>
      <c r="D1852" s="9">
        <f>YEAR(Tabla1[[#This Row],[Date]])</f>
        <v>1960</v>
      </c>
      <c r="E1852" s="9" t="str" cm="1">
        <f t="array" ref="E1852">IFERROR(_xlfn.IFS(AND(D1852&lt;1980,D1852&gt;=1970),"70",AND(D1852&lt;1990,D1852&gt;=1980),"80",AND(D1852&lt;2000,D1852&gt;=1990),"90",AND(D1852&lt;2010,D1852&gt;=2000),"00",AND(D1852&lt;=2019,D1852&gt;=2010),"10"),"1908-1970")</f>
        <v>1908-1970</v>
      </c>
      <c r="F1852" s="3" t="s">
        <v>28931</v>
      </c>
      <c r="G1852" t="s">
        <v>13083</v>
      </c>
      <c r="H1852" t="s">
        <v>5740</v>
      </c>
      <c r="I1852" t="s">
        <v>28931</v>
      </c>
      <c r="J1852" t="s">
        <v>8411</v>
      </c>
      <c r="K1852" t="s">
        <v>13084</v>
      </c>
      <c r="L1852" s="7" t="s">
        <v>13085</v>
      </c>
      <c r="M1852">
        <v>7388</v>
      </c>
      <c r="N1852">
        <v>18</v>
      </c>
      <c r="O1852">
        <v>15</v>
      </c>
      <c r="P1852">
        <v>3</v>
      </c>
      <c r="Q1852">
        <v>8</v>
      </c>
      <c r="R1852">
        <v>5</v>
      </c>
      <c r="S1852">
        <v>3</v>
      </c>
      <c r="T1852">
        <v>0</v>
      </c>
      <c r="U1852" t="s">
        <v>13086</v>
      </c>
      <c r="V1852">
        <f>Tabla1[[#This Row],[Aboard]]-Tabla1[[#This Row],[Fatalities]]</f>
        <v>10</v>
      </c>
      <c r="W1852" s="50">
        <f>IFERROR(Tabla1[[#This Row],[Fatalities]]/Tabla1[[#This Row],[Aboard]],0)</f>
        <v>0.44444444444444442</v>
      </c>
      <c r="X1852" s="51" t="str" cm="1">
        <f t="array" ref="X1852">_xlfn.IFS(Tabla1[[#This Row],[Porcentaje de muertes]]&lt;0.35,"LEVE",AND(Tabla1[[#This Row],[Porcentaje de muertes]]&gt;0.35,Tabla1[[#This Row],[Porcentaje de muertes]]&lt;0.65),"MEDIO",Tabla1[[#This Row],[Porcentaje de muertes]]&gt;0.65,"GRAVE")</f>
        <v>MEDIO</v>
      </c>
    </row>
    <row r="1853" spans="2:24" x14ac:dyDescent="0.3">
      <c r="B1853" s="9">
        <v>1852</v>
      </c>
      <c r="C1853" s="49">
        <v>22188</v>
      </c>
      <c r="D1853" s="9">
        <f>YEAR(Tabla1[[#This Row],[Date]])</f>
        <v>1960</v>
      </c>
      <c r="E1853" s="9" t="str" cm="1">
        <f t="array" ref="E1853">IFERROR(_xlfn.IFS(AND(D1853&lt;1980,D1853&gt;=1970),"70",AND(D1853&lt;1990,D1853&gt;=1980),"80",AND(D1853&lt;2000,D1853&gt;=1990),"90",AND(D1853&lt;2010,D1853&gt;=2000),"00",AND(D1853&lt;=2019,D1853&gt;=2010),"10"),"1908-1970")</f>
        <v>1908-1970</v>
      </c>
      <c r="F1853" s="3">
        <v>0.51041666666666663</v>
      </c>
      <c r="G1853" t="s">
        <v>11188</v>
      </c>
      <c r="H1853" t="s">
        <v>13087</v>
      </c>
      <c r="I1853">
        <v>738</v>
      </c>
      <c r="J1853" t="s">
        <v>13088</v>
      </c>
      <c r="K1853" t="s">
        <v>13089</v>
      </c>
      <c r="L1853" s="7" t="s">
        <v>13090</v>
      </c>
      <c r="M1853">
        <v>427</v>
      </c>
      <c r="N1853">
        <v>21</v>
      </c>
      <c r="O1853">
        <v>17</v>
      </c>
      <c r="P1853">
        <v>4</v>
      </c>
      <c r="Q1853">
        <v>21</v>
      </c>
      <c r="R1853">
        <v>17</v>
      </c>
      <c r="S1853">
        <v>4</v>
      </c>
      <c r="T1853">
        <v>0</v>
      </c>
      <c r="U1853" t="s">
        <v>13091</v>
      </c>
      <c r="V1853">
        <f>Tabla1[[#This Row],[Aboard]]-Tabla1[[#This Row],[Fatalities]]</f>
        <v>0</v>
      </c>
      <c r="W1853" s="50">
        <f>IFERROR(Tabla1[[#This Row],[Fatalities]]/Tabla1[[#This Row],[Aboard]],0)</f>
        <v>1</v>
      </c>
      <c r="X1853" s="51" t="str" cm="1">
        <f t="array" ref="X1853">_xlfn.IFS(Tabla1[[#This Row],[Porcentaje de muertes]]&lt;0.35,"LEVE",AND(Tabla1[[#This Row],[Porcentaje de muertes]]&gt;0.35,Tabla1[[#This Row],[Porcentaje de muertes]]&lt;0.65),"MEDIO",Tabla1[[#This Row],[Porcentaje de muertes]]&gt;0.65,"GRAVE")</f>
        <v>GRAVE</v>
      </c>
    </row>
    <row r="1854" spans="2:24" x14ac:dyDescent="0.3">
      <c r="B1854" s="9">
        <v>1853</v>
      </c>
      <c r="C1854" s="49">
        <v>22016</v>
      </c>
      <c r="D1854" s="9">
        <f>YEAR(Tabla1[[#This Row],[Date]])</f>
        <v>1960</v>
      </c>
      <c r="E1854" s="9" t="str" cm="1">
        <f t="array" ref="E1854">IFERROR(_xlfn.IFS(AND(D1854&lt;1980,D1854&gt;=1970),"70",AND(D1854&lt;1990,D1854&gt;=1980),"80",AND(D1854&lt;2000,D1854&gt;=1990),"90",AND(D1854&lt;2010,D1854&gt;=2000),"00",AND(D1854&lt;=2019,D1854&gt;=2010),"10"),"1908-1970")</f>
        <v>1908-1970</v>
      </c>
      <c r="F1854" s="3">
        <v>0.73611111111111116</v>
      </c>
      <c r="G1854" t="s">
        <v>5929</v>
      </c>
      <c r="H1854" t="s">
        <v>6941</v>
      </c>
      <c r="I1854">
        <v>375</v>
      </c>
      <c r="J1854" t="s">
        <v>13092</v>
      </c>
      <c r="K1854" t="s">
        <v>12770</v>
      </c>
      <c r="L1854" s="7" t="s">
        <v>13093</v>
      </c>
      <c r="M1854">
        <v>1062</v>
      </c>
      <c r="N1854">
        <v>72</v>
      </c>
      <c r="O1854">
        <v>67</v>
      </c>
      <c r="P1854">
        <v>5</v>
      </c>
      <c r="Q1854">
        <v>62</v>
      </c>
      <c r="R1854">
        <v>59</v>
      </c>
      <c r="S1854">
        <v>3</v>
      </c>
      <c r="T1854">
        <v>0</v>
      </c>
      <c r="U1854" t="s">
        <v>13094</v>
      </c>
      <c r="V1854">
        <f>Tabla1[[#This Row],[Aboard]]-Tabla1[[#This Row],[Fatalities]]</f>
        <v>10</v>
      </c>
      <c r="W1854" s="50">
        <f>IFERROR(Tabla1[[#This Row],[Fatalities]]/Tabla1[[#This Row],[Aboard]],0)</f>
        <v>0.86111111111111116</v>
      </c>
      <c r="X1854" s="51" t="str" cm="1">
        <f t="array" ref="X1854">_xlfn.IFS(Tabla1[[#This Row],[Porcentaje de muertes]]&lt;0.35,"LEVE",AND(Tabla1[[#This Row],[Porcentaje de muertes]]&gt;0.35,Tabla1[[#This Row],[Porcentaje de muertes]]&lt;0.65),"MEDIO",Tabla1[[#This Row],[Porcentaje de muertes]]&gt;0.65,"GRAVE")</f>
        <v>GRAVE</v>
      </c>
    </row>
    <row r="1855" spans="2:24" x14ac:dyDescent="0.3">
      <c r="B1855" s="9">
        <v>1854</v>
      </c>
      <c r="C1855" s="49">
        <v>22203</v>
      </c>
      <c r="D1855" s="9">
        <f>YEAR(Tabla1[[#This Row],[Date]])</f>
        <v>1960</v>
      </c>
      <c r="E1855" s="9" t="str" cm="1">
        <f t="array" ref="E1855">IFERROR(_xlfn.IFS(AND(D1855&lt;1980,D1855&gt;=1970),"70",AND(D1855&lt;1990,D1855&gt;=1980),"80",AND(D1855&lt;2000,D1855&gt;=1990),"90",AND(D1855&lt;2010,D1855&gt;=2000),"00",AND(D1855&lt;=2019,D1855&gt;=2010),"10"),"1908-1970")</f>
        <v>1908-1970</v>
      </c>
      <c r="F1855" s="3">
        <v>0.65972222222222221</v>
      </c>
      <c r="G1855" t="s">
        <v>13095</v>
      </c>
      <c r="H1855" t="s">
        <v>13096</v>
      </c>
      <c r="I1855">
        <v>115</v>
      </c>
      <c r="J1855" t="s">
        <v>13097</v>
      </c>
      <c r="K1855" t="s">
        <v>13098</v>
      </c>
      <c r="L1855" s="7" t="s">
        <v>13099</v>
      </c>
      <c r="M1855">
        <v>14090</v>
      </c>
      <c r="N1855">
        <v>11</v>
      </c>
      <c r="O1855">
        <v>7</v>
      </c>
      <c r="P1855">
        <v>4</v>
      </c>
      <c r="Q1855">
        <v>11</v>
      </c>
      <c r="R1855">
        <v>7</v>
      </c>
      <c r="S1855">
        <v>4</v>
      </c>
      <c r="T1855">
        <v>0</v>
      </c>
      <c r="U1855" t="s">
        <v>13100</v>
      </c>
      <c r="V1855">
        <f>Tabla1[[#This Row],[Aboard]]-Tabla1[[#This Row],[Fatalities]]</f>
        <v>0</v>
      </c>
      <c r="W1855" s="50">
        <f>IFERROR(Tabla1[[#This Row],[Fatalities]]/Tabla1[[#This Row],[Aboard]],0)</f>
        <v>1</v>
      </c>
      <c r="X1855" s="51" t="str" cm="1">
        <f t="array" ref="X1855">_xlfn.IFS(Tabla1[[#This Row],[Porcentaje de muertes]]&lt;0.35,"LEVE",AND(Tabla1[[#This Row],[Porcentaje de muertes]]&gt;0.35,Tabla1[[#This Row],[Porcentaje de muertes]]&lt;0.65),"MEDIO",Tabla1[[#This Row],[Porcentaje de muertes]]&gt;0.65,"GRAVE")</f>
        <v>GRAVE</v>
      </c>
    </row>
    <row r="1856" spans="2:24" x14ac:dyDescent="0.3">
      <c r="B1856" s="9">
        <v>1855</v>
      </c>
      <c r="C1856" s="49">
        <v>22204</v>
      </c>
      <c r="D1856" s="9">
        <f>YEAR(Tabla1[[#This Row],[Date]])</f>
        <v>1960</v>
      </c>
      <c r="E1856" s="9" t="str" cm="1">
        <f t="array" ref="E1856">IFERROR(_xlfn.IFS(AND(D1856&lt;1980,D1856&gt;=1970),"70",AND(D1856&lt;1990,D1856&gt;=1980),"80",AND(D1856&lt;2000,D1856&gt;=1990),"90",AND(D1856&lt;2010,D1856&gt;=2000),"00",AND(D1856&lt;=2019,D1856&gt;=2010),"10"),"1908-1970")</f>
        <v>1908-1970</v>
      </c>
      <c r="F1856" s="3" t="s">
        <v>28931</v>
      </c>
      <c r="G1856" t="s">
        <v>13101</v>
      </c>
      <c r="H1856" t="s">
        <v>12531</v>
      </c>
      <c r="I1856" t="s">
        <v>28931</v>
      </c>
      <c r="J1856" t="s">
        <v>13102</v>
      </c>
      <c r="K1856" t="s">
        <v>10927</v>
      </c>
      <c r="L1856" s="7" t="s">
        <v>13103</v>
      </c>
      <c r="M1856">
        <v>22481</v>
      </c>
      <c r="N1856">
        <v>2</v>
      </c>
      <c r="O1856">
        <v>0</v>
      </c>
      <c r="P1856">
        <v>2</v>
      </c>
      <c r="Q1856">
        <v>2</v>
      </c>
      <c r="R1856">
        <v>0</v>
      </c>
      <c r="S1856">
        <v>2</v>
      </c>
      <c r="T1856">
        <v>0</v>
      </c>
      <c r="U1856" t="s">
        <v>13104</v>
      </c>
      <c r="V1856">
        <f>Tabla1[[#This Row],[Aboard]]-Tabla1[[#This Row],[Fatalities]]</f>
        <v>0</v>
      </c>
      <c r="W1856" s="50">
        <f>IFERROR(Tabla1[[#This Row],[Fatalities]]/Tabla1[[#This Row],[Aboard]],0)</f>
        <v>1</v>
      </c>
      <c r="X1856" s="51" t="str" cm="1">
        <f t="array" ref="X1856">_xlfn.IFS(Tabla1[[#This Row],[Porcentaje de muertes]]&lt;0.35,"LEVE",AND(Tabla1[[#This Row],[Porcentaje de muertes]]&gt;0.35,Tabla1[[#This Row],[Porcentaje de muertes]]&lt;0.65),"MEDIO",Tabla1[[#This Row],[Porcentaje de muertes]]&gt;0.65,"GRAVE")</f>
        <v>GRAVE</v>
      </c>
    </row>
    <row r="1857" spans="2:24" x14ac:dyDescent="0.3">
      <c r="B1857" s="9">
        <v>1856</v>
      </c>
      <c r="C1857" s="49">
        <v>22210</v>
      </c>
      <c r="D1857" s="9">
        <f>YEAR(Tabla1[[#This Row],[Date]])</f>
        <v>1960</v>
      </c>
      <c r="E1857" s="9" t="str" cm="1">
        <f t="array" ref="E1857">IFERROR(_xlfn.IFS(AND(D1857&lt;1980,D1857&gt;=1970),"70",AND(D1857&lt;1990,D1857&gt;=1980),"80",AND(D1857&lt;2000,D1857&gt;=1990),"90",AND(D1857&lt;2010,D1857&gt;=2000),"00",AND(D1857&lt;=2019,D1857&gt;=2010),"10"),"1908-1970")</f>
        <v>1908-1970</v>
      </c>
      <c r="F1857" s="3">
        <v>0.8847222222222223</v>
      </c>
      <c r="G1857" t="s">
        <v>13105</v>
      </c>
      <c r="H1857" t="s">
        <v>6541</v>
      </c>
      <c r="I1857">
        <v>5</v>
      </c>
      <c r="J1857" t="s">
        <v>13106</v>
      </c>
      <c r="K1857" t="s">
        <v>13107</v>
      </c>
      <c r="L1857" s="7" t="s">
        <v>13108</v>
      </c>
      <c r="M1857">
        <v>96601701</v>
      </c>
      <c r="N1857">
        <v>3</v>
      </c>
      <c r="O1857">
        <v>0</v>
      </c>
      <c r="P1857">
        <v>3</v>
      </c>
      <c r="Q1857">
        <v>3</v>
      </c>
      <c r="R1857">
        <v>0</v>
      </c>
      <c r="S1857">
        <v>3</v>
      </c>
      <c r="T1857">
        <v>0</v>
      </c>
      <c r="U1857" t="s">
        <v>13109</v>
      </c>
      <c r="V1857">
        <f>Tabla1[[#This Row],[Aboard]]-Tabla1[[#This Row],[Fatalities]]</f>
        <v>0</v>
      </c>
      <c r="W1857" s="50">
        <f>IFERROR(Tabla1[[#This Row],[Fatalities]]/Tabla1[[#This Row],[Aboard]],0)</f>
        <v>1</v>
      </c>
      <c r="X1857" s="51" t="str" cm="1">
        <f t="array" ref="X1857">_xlfn.IFS(Tabla1[[#This Row],[Porcentaje de muertes]]&lt;0.35,"LEVE",AND(Tabla1[[#This Row],[Porcentaje de muertes]]&gt;0.35,Tabla1[[#This Row],[Porcentaje de muertes]]&lt;0.65),"MEDIO",Tabla1[[#This Row],[Porcentaje de muertes]]&gt;0.65,"GRAVE")</f>
        <v>GRAVE</v>
      </c>
    </row>
    <row r="1858" spans="2:24" x14ac:dyDescent="0.3">
      <c r="B1858" s="9">
        <v>1857</v>
      </c>
      <c r="C1858" s="49">
        <v>22217</v>
      </c>
      <c r="D1858" s="9">
        <f>YEAR(Tabla1[[#This Row],[Date]])</f>
        <v>1960</v>
      </c>
      <c r="E1858" s="9" t="str" cm="1">
        <f t="array" ref="E1858">IFERROR(_xlfn.IFS(AND(D1858&lt;1980,D1858&gt;=1970),"70",AND(D1858&lt;1990,D1858&gt;=1980),"80",AND(D1858&lt;2000,D1858&gt;=1990),"90",AND(D1858&lt;2010,D1858&gt;=2000),"00",AND(D1858&lt;=2019,D1858&gt;=2010),"10"),"1908-1970")</f>
        <v>1908-1970</v>
      </c>
      <c r="F1858" s="3">
        <v>0.48541666666666666</v>
      </c>
      <c r="G1858" t="s">
        <v>13110</v>
      </c>
      <c r="H1858" t="s">
        <v>5769</v>
      </c>
      <c r="I1858">
        <v>104</v>
      </c>
      <c r="J1858" t="s">
        <v>13111</v>
      </c>
      <c r="K1858" t="s">
        <v>13112</v>
      </c>
      <c r="L1858" s="7" t="s">
        <v>13113</v>
      </c>
      <c r="M1858">
        <v>10320</v>
      </c>
      <c r="N1858">
        <v>12</v>
      </c>
      <c r="O1858">
        <v>8</v>
      </c>
      <c r="P1858">
        <v>4</v>
      </c>
      <c r="Q1858">
        <v>12</v>
      </c>
      <c r="R1858">
        <v>8</v>
      </c>
      <c r="S1858">
        <v>4</v>
      </c>
      <c r="T1858">
        <v>0</v>
      </c>
      <c r="U1858" t="s">
        <v>13114</v>
      </c>
      <c r="V1858">
        <f>Tabla1[[#This Row],[Aboard]]-Tabla1[[#This Row],[Fatalities]]</f>
        <v>0</v>
      </c>
      <c r="W1858" s="50">
        <f>IFERROR(Tabla1[[#This Row],[Fatalities]]/Tabla1[[#This Row],[Aboard]],0)</f>
        <v>1</v>
      </c>
      <c r="X1858" s="51" t="str" cm="1">
        <f t="array" ref="X1858">_xlfn.IFS(Tabla1[[#This Row],[Porcentaje de muertes]]&lt;0.35,"LEVE",AND(Tabla1[[#This Row],[Porcentaje de muertes]]&gt;0.35,Tabla1[[#This Row],[Porcentaje de muertes]]&lt;0.65),"MEDIO",Tabla1[[#This Row],[Porcentaje de muertes]]&gt;0.65,"GRAVE")</f>
        <v>GRAVE</v>
      </c>
    </row>
    <row r="1859" spans="2:24" x14ac:dyDescent="0.3">
      <c r="B1859" s="9">
        <v>1858</v>
      </c>
      <c r="C1859" s="49">
        <v>22218</v>
      </c>
      <c r="D1859" s="9">
        <f>YEAR(Tabla1[[#This Row],[Date]])</f>
        <v>1960</v>
      </c>
      <c r="E1859" s="9" t="str" cm="1">
        <f t="array" ref="E1859">IFERROR(_xlfn.IFS(AND(D1859&lt;1980,D1859&gt;=1970),"70",AND(D1859&lt;1990,D1859&gt;=1980),"80",AND(D1859&lt;2000,D1859&gt;=1990),"90",AND(D1859&lt;2010,D1859&gt;=2000),"00",AND(D1859&lt;=2019,D1859&gt;=2010),"10"),"1908-1970")</f>
        <v>1908-1970</v>
      </c>
      <c r="F1859" s="3">
        <v>0.91805555555555562</v>
      </c>
      <c r="G1859" t="s">
        <v>13115</v>
      </c>
      <c r="H1859" t="s">
        <v>13116</v>
      </c>
      <c r="I1859" t="s">
        <v>28931</v>
      </c>
      <c r="J1859" t="s">
        <v>13117</v>
      </c>
      <c r="K1859" t="s">
        <v>9851</v>
      </c>
      <c r="L1859" s="7" t="s">
        <v>13118</v>
      </c>
      <c r="M1859">
        <v>22458</v>
      </c>
      <c r="N1859">
        <v>48</v>
      </c>
      <c r="O1859">
        <v>45</v>
      </c>
      <c r="P1859">
        <v>3</v>
      </c>
      <c r="Q1859">
        <v>22</v>
      </c>
      <c r="R1859">
        <v>20</v>
      </c>
      <c r="S1859">
        <v>2</v>
      </c>
      <c r="T1859">
        <v>0</v>
      </c>
      <c r="U1859" t="s">
        <v>13119</v>
      </c>
      <c r="V1859">
        <f>Tabla1[[#This Row],[Aboard]]-Tabla1[[#This Row],[Fatalities]]</f>
        <v>26</v>
      </c>
      <c r="W1859" s="50">
        <f>IFERROR(Tabla1[[#This Row],[Fatalities]]/Tabla1[[#This Row],[Aboard]],0)</f>
        <v>0.45833333333333331</v>
      </c>
      <c r="X1859" s="51" t="str" cm="1">
        <f t="array" ref="X1859">_xlfn.IFS(Tabla1[[#This Row],[Porcentaje de muertes]]&lt;0.35,"LEVE",AND(Tabla1[[#This Row],[Porcentaje de muertes]]&gt;0.35,Tabla1[[#This Row],[Porcentaje de muertes]]&lt;0.65),"MEDIO",Tabla1[[#This Row],[Porcentaje de muertes]]&gt;0.65,"GRAVE")</f>
        <v>MEDIO</v>
      </c>
    </row>
    <row r="1860" spans="2:24" x14ac:dyDescent="0.3">
      <c r="B1860" s="9">
        <v>1859</v>
      </c>
      <c r="C1860" s="49">
        <v>22218</v>
      </c>
      <c r="D1860" s="9">
        <f>YEAR(Tabla1[[#This Row],[Date]])</f>
        <v>1960</v>
      </c>
      <c r="E1860" s="9" t="str" cm="1">
        <f t="array" ref="E1860">IFERROR(_xlfn.IFS(AND(D1860&lt;1980,D1860&gt;=1970),"70",AND(D1860&lt;1990,D1860&gt;=1980),"80",AND(D1860&lt;2000,D1860&gt;=1990),"90",AND(D1860&lt;2010,D1860&gt;=2000),"00",AND(D1860&lt;=2019,D1860&gt;=2010),"10"),"1908-1970")</f>
        <v>1908-1970</v>
      </c>
      <c r="F1860" s="3" t="s">
        <v>28931</v>
      </c>
      <c r="G1860" t="s">
        <v>10381</v>
      </c>
      <c r="H1860" t="s">
        <v>6524</v>
      </c>
      <c r="I1860" t="s">
        <v>28931</v>
      </c>
      <c r="J1860" t="s">
        <v>13120</v>
      </c>
      <c r="K1860" t="s">
        <v>7057</v>
      </c>
      <c r="L1860" s="7" t="s">
        <v>28931</v>
      </c>
      <c r="M1860" t="s">
        <v>28931</v>
      </c>
      <c r="N1860">
        <v>37</v>
      </c>
      <c r="O1860">
        <v>34</v>
      </c>
      <c r="P1860">
        <v>3</v>
      </c>
      <c r="Q1860">
        <v>1</v>
      </c>
      <c r="R1860">
        <v>1</v>
      </c>
      <c r="S1860">
        <v>0</v>
      </c>
      <c r="T1860">
        <v>0</v>
      </c>
      <c r="U1860" t="s">
        <v>13121</v>
      </c>
      <c r="V1860">
        <f>Tabla1[[#This Row],[Aboard]]-Tabla1[[#This Row],[Fatalities]]</f>
        <v>36</v>
      </c>
      <c r="W1860" s="50">
        <f>IFERROR(Tabla1[[#This Row],[Fatalities]]/Tabla1[[#This Row],[Aboard]],0)</f>
        <v>2.7027027027027029E-2</v>
      </c>
      <c r="X1860" s="51" t="str" cm="1">
        <f t="array" ref="X1860">_xlfn.IFS(Tabla1[[#This Row],[Porcentaje de muertes]]&lt;0.35,"LEVE",AND(Tabla1[[#This Row],[Porcentaje de muertes]]&gt;0.35,Tabla1[[#This Row],[Porcentaje de muertes]]&lt;0.65),"MEDIO",Tabla1[[#This Row],[Porcentaje de muertes]]&gt;0.65,"GRAVE")</f>
        <v>LEVE</v>
      </c>
    </row>
    <row r="1861" spans="2:24" x14ac:dyDescent="0.3">
      <c r="B1861" s="9">
        <v>1860</v>
      </c>
      <c r="C1861" s="49">
        <v>22047</v>
      </c>
      <c r="D1861" s="9">
        <f>YEAR(Tabla1[[#This Row],[Date]])</f>
        <v>1960</v>
      </c>
      <c r="E1861" s="9" t="str" cm="1">
        <f t="array" ref="E1861">IFERROR(_xlfn.IFS(AND(D1861&lt;1980,D1861&gt;=1970),"70",AND(D1861&lt;1990,D1861&gt;=1980),"80",AND(D1861&lt;2000,D1861&gt;=1990),"90",AND(D1861&lt;2010,D1861&gt;=2000),"00",AND(D1861&lt;=2019,D1861&gt;=2010),"10"),"1908-1970")</f>
        <v>1908-1970</v>
      </c>
      <c r="F1861" s="3" t="s">
        <v>28931</v>
      </c>
      <c r="G1861" t="s">
        <v>13122</v>
      </c>
      <c r="H1861" t="s">
        <v>13123</v>
      </c>
      <c r="I1861" t="s">
        <v>28931</v>
      </c>
      <c r="J1861" t="s">
        <v>13124</v>
      </c>
      <c r="K1861" t="s">
        <v>8105</v>
      </c>
      <c r="L1861" s="7" t="s">
        <v>13125</v>
      </c>
      <c r="M1861">
        <v>19792</v>
      </c>
      <c r="N1861">
        <v>4</v>
      </c>
      <c r="O1861">
        <v>0</v>
      </c>
      <c r="P1861">
        <v>4</v>
      </c>
      <c r="Q1861">
        <v>4</v>
      </c>
      <c r="R1861">
        <v>0</v>
      </c>
      <c r="S1861">
        <v>4</v>
      </c>
      <c r="T1861">
        <v>0</v>
      </c>
      <c r="U1861" t="s">
        <v>13126</v>
      </c>
      <c r="V1861">
        <f>Tabla1[[#This Row],[Aboard]]-Tabla1[[#This Row],[Fatalities]]</f>
        <v>0</v>
      </c>
      <c r="W1861" s="50">
        <f>IFERROR(Tabla1[[#This Row],[Fatalities]]/Tabla1[[#This Row],[Aboard]],0)</f>
        <v>1</v>
      </c>
      <c r="X1861" s="51" t="str" cm="1">
        <f t="array" ref="X1861">_xlfn.IFS(Tabla1[[#This Row],[Porcentaje de muertes]]&lt;0.35,"LEVE",AND(Tabla1[[#This Row],[Porcentaje de muertes]]&gt;0.35,Tabla1[[#This Row],[Porcentaje de muertes]]&lt;0.65),"MEDIO",Tabla1[[#This Row],[Porcentaje de muertes]]&gt;0.65,"GRAVE")</f>
        <v>GRAVE</v>
      </c>
    </row>
    <row r="1862" spans="2:24" x14ac:dyDescent="0.3">
      <c r="B1862" s="9">
        <v>1861</v>
      </c>
      <c r="C1862" s="49">
        <v>22108</v>
      </c>
      <c r="D1862" s="9">
        <f>YEAR(Tabla1[[#This Row],[Date]])</f>
        <v>1960</v>
      </c>
      <c r="E1862" s="9" t="str" cm="1">
        <f t="array" ref="E1862">IFERROR(_xlfn.IFS(AND(D1862&lt;1980,D1862&gt;=1970),"70",AND(D1862&lt;1990,D1862&gt;=1980),"80",AND(D1862&lt;2000,D1862&gt;=1990),"90",AND(D1862&lt;2010,D1862&gt;=2000),"00",AND(D1862&lt;=2019,D1862&gt;=2010),"10"),"1908-1970")</f>
        <v>1908-1970</v>
      </c>
      <c r="F1862" s="3" t="s">
        <v>28931</v>
      </c>
      <c r="G1862" t="s">
        <v>12989</v>
      </c>
      <c r="H1862" t="s">
        <v>12326</v>
      </c>
      <c r="I1862" t="s">
        <v>28931</v>
      </c>
      <c r="J1862" t="s">
        <v>12327</v>
      </c>
      <c r="K1862" t="s">
        <v>13127</v>
      </c>
      <c r="L1862" s="7" t="s">
        <v>13128</v>
      </c>
      <c r="M1862" t="s">
        <v>13129</v>
      </c>
      <c r="N1862">
        <v>37</v>
      </c>
      <c r="O1862">
        <v>34</v>
      </c>
      <c r="P1862">
        <v>3</v>
      </c>
      <c r="Q1862">
        <v>37</v>
      </c>
      <c r="R1862">
        <v>34</v>
      </c>
      <c r="S1862">
        <v>3</v>
      </c>
      <c r="T1862">
        <v>0</v>
      </c>
      <c r="U1862" t="s">
        <v>13130</v>
      </c>
      <c r="V1862">
        <f>Tabla1[[#This Row],[Aboard]]-Tabla1[[#This Row],[Fatalities]]</f>
        <v>0</v>
      </c>
      <c r="W1862" s="50">
        <f>IFERROR(Tabla1[[#This Row],[Fatalities]]/Tabla1[[#This Row],[Aboard]],0)</f>
        <v>1</v>
      </c>
      <c r="X1862" s="51" t="str" cm="1">
        <f t="array" ref="X1862">_xlfn.IFS(Tabla1[[#This Row],[Porcentaje de muertes]]&lt;0.35,"LEVE",AND(Tabla1[[#This Row],[Porcentaje de muertes]]&gt;0.35,Tabla1[[#This Row],[Porcentaje de muertes]]&lt;0.65),"MEDIO",Tabla1[[#This Row],[Porcentaje de muertes]]&gt;0.65,"GRAVE")</f>
        <v>GRAVE</v>
      </c>
    </row>
    <row r="1863" spans="2:24" x14ac:dyDescent="0.3">
      <c r="B1863" s="9">
        <v>1862</v>
      </c>
      <c r="C1863" s="49">
        <v>22243</v>
      </c>
      <c r="D1863" s="9">
        <f>YEAR(Tabla1[[#This Row],[Date]])</f>
        <v>1960</v>
      </c>
      <c r="E1863" s="9" t="str" cm="1">
        <f t="array" ref="E1863">IFERROR(_xlfn.IFS(AND(D1863&lt;1980,D1863&gt;=1970),"70",AND(D1863&lt;1990,D1863&gt;=1980),"80",AND(D1863&lt;2000,D1863&gt;=1990),"90",AND(D1863&lt;2010,D1863&gt;=2000),"00",AND(D1863&lt;=2019,D1863&gt;=2010),"10"),"1908-1970")</f>
        <v>1908-1970</v>
      </c>
      <c r="F1863" s="3">
        <v>0.78125</v>
      </c>
      <c r="G1863" t="s">
        <v>12372</v>
      </c>
      <c r="H1863" t="s">
        <v>8992</v>
      </c>
      <c r="I1863">
        <v>26</v>
      </c>
      <c r="J1863" t="s">
        <v>10015</v>
      </c>
      <c r="K1863" t="s">
        <v>7057</v>
      </c>
      <c r="L1863" s="7" t="s">
        <v>13131</v>
      </c>
      <c r="M1863">
        <v>13397</v>
      </c>
      <c r="N1863">
        <v>33</v>
      </c>
      <c r="O1863">
        <v>29</v>
      </c>
      <c r="P1863">
        <v>4</v>
      </c>
      <c r="Q1863">
        <v>33</v>
      </c>
      <c r="R1863">
        <v>29</v>
      </c>
      <c r="S1863">
        <v>4</v>
      </c>
      <c r="T1863">
        <v>0</v>
      </c>
      <c r="U1863" t="s">
        <v>13132</v>
      </c>
      <c r="V1863">
        <f>Tabla1[[#This Row],[Aboard]]-Tabla1[[#This Row],[Fatalities]]</f>
        <v>0</v>
      </c>
      <c r="W1863" s="50">
        <f>IFERROR(Tabla1[[#This Row],[Fatalities]]/Tabla1[[#This Row],[Aboard]],0)</f>
        <v>1</v>
      </c>
      <c r="X1863" s="51" t="str" cm="1">
        <f t="array" ref="X1863">_xlfn.IFS(Tabla1[[#This Row],[Porcentaje de muertes]]&lt;0.35,"LEVE",AND(Tabla1[[#This Row],[Porcentaje de muertes]]&gt;0.35,Tabla1[[#This Row],[Porcentaje de muertes]]&lt;0.65),"MEDIO",Tabla1[[#This Row],[Porcentaje de muertes]]&gt;0.65,"GRAVE")</f>
        <v>GRAVE</v>
      </c>
    </row>
    <row r="1864" spans="2:24" x14ac:dyDescent="0.3">
      <c r="B1864" s="9">
        <v>1863</v>
      </c>
      <c r="C1864" s="49">
        <v>22018</v>
      </c>
      <c r="D1864" s="9">
        <f>YEAR(Tabla1[[#This Row],[Date]])</f>
        <v>1960</v>
      </c>
      <c r="E1864" s="9" t="str" cm="1">
        <f t="array" ref="E1864">IFERROR(_xlfn.IFS(AND(D1864&lt;1980,D1864&gt;=1970),"70",AND(D1864&lt;1990,D1864&gt;=1980),"80",AND(D1864&lt;2000,D1864&gt;=1990),"90",AND(D1864&lt;2010,D1864&gt;=2000),"00",AND(D1864&lt;=2019,D1864&gt;=2010),"10"),"1908-1970")</f>
        <v>1908-1970</v>
      </c>
      <c r="F1864" s="3">
        <v>0.95347222222222217</v>
      </c>
      <c r="G1864" t="s">
        <v>13133</v>
      </c>
      <c r="H1864" t="s">
        <v>6541</v>
      </c>
      <c r="I1864">
        <v>81</v>
      </c>
      <c r="J1864" t="s">
        <v>13134</v>
      </c>
      <c r="K1864" t="s">
        <v>13135</v>
      </c>
      <c r="L1864" s="7" t="s">
        <v>13136</v>
      </c>
      <c r="M1864">
        <v>7342905</v>
      </c>
      <c r="N1864">
        <v>14</v>
      </c>
      <c r="O1864">
        <v>9</v>
      </c>
      <c r="P1864">
        <v>5</v>
      </c>
      <c r="Q1864">
        <v>14</v>
      </c>
      <c r="R1864">
        <v>9</v>
      </c>
      <c r="S1864">
        <v>5</v>
      </c>
      <c r="T1864">
        <v>0</v>
      </c>
      <c r="U1864" t="s">
        <v>13137</v>
      </c>
      <c r="V1864">
        <f>Tabla1[[#This Row],[Aboard]]-Tabla1[[#This Row],[Fatalities]]</f>
        <v>0</v>
      </c>
      <c r="W1864" s="50">
        <f>IFERROR(Tabla1[[#This Row],[Fatalities]]/Tabla1[[#This Row],[Aboard]],0)</f>
        <v>1</v>
      </c>
      <c r="X1864" s="51" t="str" cm="1">
        <f t="array" ref="X1864">_xlfn.IFS(Tabla1[[#This Row],[Porcentaje de muertes]]&lt;0.35,"LEVE",AND(Tabla1[[#This Row],[Porcentaje de muertes]]&gt;0.35,Tabla1[[#This Row],[Porcentaje de muertes]]&lt;0.65),"MEDIO",Tabla1[[#This Row],[Porcentaje de muertes]]&gt;0.65,"GRAVE")</f>
        <v>GRAVE</v>
      </c>
    </row>
    <row r="1865" spans="2:24" x14ac:dyDescent="0.3">
      <c r="B1865" s="9">
        <v>1864</v>
      </c>
      <c r="C1865" s="49">
        <v>22109</v>
      </c>
      <c r="D1865" s="9">
        <f>YEAR(Tabla1[[#This Row],[Date]])</f>
        <v>1960</v>
      </c>
      <c r="E1865" s="9" t="str" cm="1">
        <f t="array" ref="E1865">IFERROR(_xlfn.IFS(AND(D1865&lt;1980,D1865&gt;=1970),"70",AND(D1865&lt;1990,D1865&gt;=1980),"80",AND(D1865&lt;2000,D1865&gt;=1990),"90",AND(D1865&lt;2010,D1865&gt;=2000),"00",AND(D1865&lt;=2019,D1865&gt;=2010),"10"),"1908-1970")</f>
        <v>1908-1970</v>
      </c>
      <c r="F1865" s="3" t="s">
        <v>28931</v>
      </c>
      <c r="G1865" t="s">
        <v>13138</v>
      </c>
      <c r="H1865" t="s">
        <v>9960</v>
      </c>
      <c r="I1865" t="s">
        <v>28931</v>
      </c>
      <c r="J1865" t="s">
        <v>13139</v>
      </c>
      <c r="K1865" t="s">
        <v>13140</v>
      </c>
      <c r="L1865" s="7" t="s">
        <v>13141</v>
      </c>
      <c r="M1865">
        <v>295</v>
      </c>
      <c r="N1865">
        <v>15</v>
      </c>
      <c r="O1865">
        <v>13</v>
      </c>
      <c r="P1865">
        <v>2</v>
      </c>
      <c r="Q1865">
        <v>15</v>
      </c>
      <c r="R1865">
        <v>13</v>
      </c>
      <c r="S1865">
        <v>2</v>
      </c>
      <c r="T1865">
        <v>0</v>
      </c>
      <c r="U1865" t="s">
        <v>13142</v>
      </c>
      <c r="V1865">
        <f>Tabla1[[#This Row],[Aboard]]-Tabla1[[#This Row],[Fatalities]]</f>
        <v>0</v>
      </c>
      <c r="W1865" s="50">
        <f>IFERROR(Tabla1[[#This Row],[Fatalities]]/Tabla1[[#This Row],[Aboard]],0)</f>
        <v>1</v>
      </c>
      <c r="X1865" s="51" t="str" cm="1">
        <f t="array" ref="X1865">_xlfn.IFS(Tabla1[[#This Row],[Porcentaje de muertes]]&lt;0.35,"LEVE",AND(Tabla1[[#This Row],[Porcentaje de muertes]]&gt;0.35,Tabla1[[#This Row],[Porcentaje de muertes]]&lt;0.65),"MEDIO",Tabla1[[#This Row],[Porcentaje de muertes]]&gt;0.65,"GRAVE")</f>
        <v>GRAVE</v>
      </c>
    </row>
    <row r="1866" spans="2:24" x14ac:dyDescent="0.3">
      <c r="B1866" s="9">
        <v>1865</v>
      </c>
      <c r="C1866" s="49">
        <v>22232</v>
      </c>
      <c r="D1866" s="9">
        <f>YEAR(Tabla1[[#This Row],[Date]])</f>
        <v>1960</v>
      </c>
      <c r="E1866" s="9" t="str" cm="1">
        <f t="array" ref="E1866">IFERROR(_xlfn.IFS(AND(D1866&lt;1980,D1866&gt;=1970),"70",AND(D1866&lt;1990,D1866&gt;=1980),"80",AND(D1866&lt;2000,D1866&gt;=1990),"90",AND(D1866&lt;2010,D1866&gt;=2000),"00",AND(D1866&lt;=2019,D1866&gt;=2010),"10"),"1908-1970")</f>
        <v>1908-1970</v>
      </c>
      <c r="F1866" s="3">
        <v>0.82638888888888884</v>
      </c>
      <c r="G1866" t="s">
        <v>13143</v>
      </c>
      <c r="H1866" t="s">
        <v>13144</v>
      </c>
      <c r="I1866" t="s">
        <v>28931</v>
      </c>
      <c r="J1866" t="s">
        <v>13145</v>
      </c>
      <c r="K1866" t="s">
        <v>13146</v>
      </c>
      <c r="L1866" s="7" t="s">
        <v>13147</v>
      </c>
      <c r="M1866" t="s">
        <v>28931</v>
      </c>
      <c r="N1866">
        <v>31</v>
      </c>
      <c r="O1866">
        <v>23</v>
      </c>
      <c r="P1866">
        <v>8</v>
      </c>
      <c r="Q1866">
        <v>31</v>
      </c>
      <c r="R1866">
        <v>23</v>
      </c>
      <c r="S1866">
        <v>8</v>
      </c>
      <c r="T1866">
        <v>0</v>
      </c>
      <c r="U1866" t="s">
        <v>13148</v>
      </c>
      <c r="V1866">
        <f>Tabla1[[#This Row],[Aboard]]-Tabla1[[#This Row],[Fatalities]]</f>
        <v>0</v>
      </c>
      <c r="W1866" s="50">
        <f>IFERROR(Tabla1[[#This Row],[Fatalities]]/Tabla1[[#This Row],[Aboard]],0)</f>
        <v>1</v>
      </c>
      <c r="X1866" s="51" t="str" cm="1">
        <f t="array" ref="X1866">_xlfn.IFS(Tabla1[[#This Row],[Porcentaje de muertes]]&lt;0.35,"LEVE",AND(Tabla1[[#This Row],[Porcentaje de muertes]]&gt;0.35,Tabla1[[#This Row],[Porcentaje de muertes]]&lt;0.65),"MEDIO",Tabla1[[#This Row],[Porcentaje de muertes]]&gt;0.65,"GRAVE")</f>
        <v>GRAVE</v>
      </c>
    </row>
    <row r="1867" spans="2:24" x14ac:dyDescent="0.3">
      <c r="B1867" s="9">
        <v>1866</v>
      </c>
      <c r="C1867" s="49">
        <v>22266</v>
      </c>
      <c r="D1867" s="9">
        <f>YEAR(Tabla1[[#This Row],[Date]])</f>
        <v>1960</v>
      </c>
      <c r="E1867" s="9" t="str" cm="1">
        <f t="array" ref="E1867">IFERROR(_xlfn.IFS(AND(D1867&lt;1980,D1867&gt;=1970),"70",AND(D1867&lt;1990,D1867&gt;=1980),"80",AND(D1867&lt;2000,D1867&gt;=1990),"90",AND(D1867&lt;2010,D1867&gt;=2000),"00",AND(D1867&lt;=2019,D1867&gt;=2010),"10"),"1908-1970")</f>
        <v>1908-1970</v>
      </c>
      <c r="F1867" s="3">
        <v>0.43958333333333338</v>
      </c>
      <c r="G1867" t="s">
        <v>13149</v>
      </c>
      <c r="H1867" t="s">
        <v>11808</v>
      </c>
      <c r="I1867" t="s">
        <v>13150</v>
      </c>
      <c r="J1867" t="s">
        <v>13151</v>
      </c>
      <c r="K1867" t="s">
        <v>28958</v>
      </c>
      <c r="L1867" s="7" t="s">
        <v>13152</v>
      </c>
      <c r="M1867" t="s">
        <v>13153</v>
      </c>
      <c r="N1867">
        <v>128</v>
      </c>
      <c r="O1867">
        <v>116</v>
      </c>
      <c r="P1867">
        <v>12</v>
      </c>
      <c r="Q1867">
        <v>128</v>
      </c>
      <c r="R1867">
        <v>116</v>
      </c>
      <c r="S1867">
        <v>12</v>
      </c>
      <c r="T1867">
        <v>6</v>
      </c>
      <c r="U1867" t="s">
        <v>13154</v>
      </c>
      <c r="V1867">
        <f>Tabla1[[#This Row],[Aboard]]-Tabla1[[#This Row],[Fatalities]]</f>
        <v>0</v>
      </c>
      <c r="W1867" s="50">
        <f>IFERROR(Tabla1[[#This Row],[Fatalities]]/Tabla1[[#This Row],[Aboard]],0)</f>
        <v>1</v>
      </c>
      <c r="X1867" s="51" t="str" cm="1">
        <f t="array" ref="X1867">_xlfn.IFS(Tabla1[[#This Row],[Porcentaje de muertes]]&lt;0.35,"LEVE",AND(Tabla1[[#This Row],[Porcentaje de muertes]]&gt;0.35,Tabla1[[#This Row],[Porcentaje de muertes]]&lt;0.65),"MEDIO",Tabla1[[#This Row],[Porcentaje de muertes]]&gt;0.65,"GRAVE")</f>
        <v>GRAVE</v>
      </c>
    </row>
    <row r="1868" spans="2:24" x14ac:dyDescent="0.3">
      <c r="B1868" s="9">
        <v>1867</v>
      </c>
      <c r="C1868" s="49">
        <v>22267</v>
      </c>
      <c r="D1868" s="9">
        <f>YEAR(Tabla1[[#This Row],[Date]])</f>
        <v>1960</v>
      </c>
      <c r="E1868" s="9" t="str" cm="1">
        <f t="array" ref="E1868">IFERROR(_xlfn.IFS(AND(D1868&lt;1980,D1868&gt;=1970),"70",AND(D1868&lt;1990,D1868&gt;=1980),"80",AND(D1868&lt;2000,D1868&gt;=1990),"90",AND(D1868&lt;2010,D1868&gt;=2000),"00",AND(D1868&lt;=2019,D1868&gt;=2010),"10"),"1908-1970")</f>
        <v>1908-1970</v>
      </c>
      <c r="F1868" s="3">
        <v>0.59027777777777779</v>
      </c>
      <c r="G1868" t="s">
        <v>13155</v>
      </c>
      <c r="H1868" t="s">
        <v>7987</v>
      </c>
      <c r="I1868" t="s">
        <v>28931</v>
      </c>
      <c r="J1868" t="s">
        <v>13156</v>
      </c>
      <c r="K1868" t="s">
        <v>13157</v>
      </c>
      <c r="L1868" s="7" t="s">
        <v>13158</v>
      </c>
      <c r="M1868">
        <v>212</v>
      </c>
      <c r="N1868">
        <v>20</v>
      </c>
      <c r="O1868">
        <v>13</v>
      </c>
      <c r="P1868">
        <v>7</v>
      </c>
      <c r="Q1868">
        <v>20</v>
      </c>
      <c r="R1868">
        <v>13</v>
      </c>
      <c r="S1868">
        <v>7</v>
      </c>
      <c r="T1868">
        <v>31</v>
      </c>
      <c r="U1868" t="s">
        <v>13159</v>
      </c>
      <c r="V1868">
        <f>Tabla1[[#This Row],[Aboard]]-Tabla1[[#This Row],[Fatalities]]</f>
        <v>0</v>
      </c>
      <c r="W1868" s="50">
        <f>IFERROR(Tabla1[[#This Row],[Fatalities]]/Tabla1[[#This Row],[Aboard]],0)</f>
        <v>1</v>
      </c>
      <c r="X1868" s="51" t="str" cm="1">
        <f t="array" ref="X1868">_xlfn.IFS(Tabla1[[#This Row],[Porcentaje de muertes]]&lt;0.35,"LEVE",AND(Tabla1[[#This Row],[Porcentaje de muertes]]&gt;0.35,Tabla1[[#This Row],[Porcentaje de muertes]]&lt;0.65),"MEDIO",Tabla1[[#This Row],[Porcentaje de muertes]]&gt;0.65,"GRAVE")</f>
        <v>GRAVE</v>
      </c>
    </row>
    <row r="1869" spans="2:24" x14ac:dyDescent="0.3">
      <c r="B1869" s="9">
        <v>1868</v>
      </c>
      <c r="C1869" s="49">
        <v>22272</v>
      </c>
      <c r="D1869" s="9">
        <f>YEAR(Tabla1[[#This Row],[Date]])</f>
        <v>1960</v>
      </c>
      <c r="E1869" s="9" t="str" cm="1">
        <f t="array" ref="E1869">IFERROR(_xlfn.IFS(AND(D1869&lt;1980,D1869&gt;=1970),"70",AND(D1869&lt;1990,D1869&gt;=1980),"80",AND(D1869&lt;2000,D1869&gt;=1990),"90",AND(D1869&lt;2010,D1869&gt;=2000),"00",AND(D1869&lt;=2019,D1869&gt;=2010),"10"),"1908-1970")</f>
        <v>1908-1970</v>
      </c>
      <c r="F1869" s="3">
        <v>0.52152777777777781</v>
      </c>
      <c r="G1869" t="s">
        <v>13160</v>
      </c>
      <c r="H1869" t="s">
        <v>8992</v>
      </c>
      <c r="I1869" t="s">
        <v>13161</v>
      </c>
      <c r="J1869" t="s">
        <v>13162</v>
      </c>
      <c r="K1869" t="s">
        <v>7057</v>
      </c>
      <c r="L1869" s="7" t="s">
        <v>13163</v>
      </c>
      <c r="M1869">
        <v>20593</v>
      </c>
      <c r="N1869">
        <v>37</v>
      </c>
      <c r="O1869">
        <v>34</v>
      </c>
      <c r="P1869">
        <v>3</v>
      </c>
      <c r="Q1869">
        <v>28</v>
      </c>
      <c r="R1869">
        <v>26</v>
      </c>
      <c r="S1869">
        <v>2</v>
      </c>
      <c r="T1869">
        <v>0</v>
      </c>
      <c r="U1869" t="s">
        <v>13164</v>
      </c>
      <c r="V1869">
        <f>Tabla1[[#This Row],[Aboard]]-Tabla1[[#This Row],[Fatalities]]</f>
        <v>9</v>
      </c>
      <c r="W1869" s="50">
        <f>IFERROR(Tabla1[[#This Row],[Fatalities]]/Tabla1[[#This Row],[Aboard]],0)</f>
        <v>0.7567567567567568</v>
      </c>
      <c r="X1869" s="51" t="str" cm="1">
        <f t="array" ref="X1869">_xlfn.IFS(Tabla1[[#This Row],[Porcentaje de muertes]]&lt;0.35,"LEVE",AND(Tabla1[[#This Row],[Porcentaje de muertes]]&gt;0.35,Tabla1[[#This Row],[Porcentaje de muertes]]&lt;0.65),"MEDIO",Tabla1[[#This Row],[Porcentaje de muertes]]&gt;0.65,"GRAVE")</f>
        <v>GRAVE</v>
      </c>
    </row>
    <row r="1870" spans="2:24" x14ac:dyDescent="0.3">
      <c r="B1870" s="9">
        <v>1869</v>
      </c>
      <c r="C1870" s="49">
        <v>22276</v>
      </c>
      <c r="D1870" s="9">
        <f>YEAR(Tabla1[[#This Row],[Date]])</f>
        <v>1960</v>
      </c>
      <c r="E1870" s="9" t="str" cm="1">
        <f t="array" ref="E1870">IFERROR(_xlfn.IFS(AND(D1870&lt;1980,D1870&gt;=1970),"70",AND(D1870&lt;1990,D1870&gt;=1980),"80",AND(D1870&lt;2000,D1870&gt;=1990),"90",AND(D1870&lt;2010,D1870&gt;=2000),"00",AND(D1870&lt;=2019,D1870&gt;=2010),"10"),"1908-1970")</f>
        <v>1908-1970</v>
      </c>
      <c r="F1870" s="3">
        <v>0.8208333333333333</v>
      </c>
      <c r="G1870" t="s">
        <v>13165</v>
      </c>
      <c r="H1870" t="s">
        <v>6541</v>
      </c>
      <c r="I1870">
        <v>651</v>
      </c>
      <c r="J1870" t="s">
        <v>13166</v>
      </c>
      <c r="K1870" t="s">
        <v>13167</v>
      </c>
      <c r="L1870" s="7" t="s">
        <v>13168</v>
      </c>
      <c r="M1870">
        <v>188000405</v>
      </c>
      <c r="N1870">
        <v>17</v>
      </c>
      <c r="O1870">
        <v>13</v>
      </c>
      <c r="P1870">
        <v>4</v>
      </c>
      <c r="Q1870">
        <v>17</v>
      </c>
      <c r="R1870">
        <v>13</v>
      </c>
      <c r="S1870">
        <v>4</v>
      </c>
      <c r="T1870">
        <v>0</v>
      </c>
      <c r="U1870" t="s">
        <v>13169</v>
      </c>
      <c r="V1870">
        <f>Tabla1[[#This Row],[Aboard]]-Tabla1[[#This Row],[Fatalities]]</f>
        <v>0</v>
      </c>
      <c r="W1870" s="50">
        <f>IFERROR(Tabla1[[#This Row],[Fatalities]]/Tabla1[[#This Row],[Aboard]],0)</f>
        <v>1</v>
      </c>
      <c r="X1870" s="51" t="str" cm="1">
        <f t="array" ref="X1870">_xlfn.IFS(Tabla1[[#This Row],[Porcentaje de muertes]]&lt;0.35,"LEVE",AND(Tabla1[[#This Row],[Porcentaje de muertes]]&gt;0.35,Tabla1[[#This Row],[Porcentaje de muertes]]&lt;0.65),"MEDIO",Tabla1[[#This Row],[Porcentaje de muertes]]&gt;0.65,"GRAVE")</f>
        <v>GRAVE</v>
      </c>
    </row>
    <row r="1871" spans="2:24" x14ac:dyDescent="0.3">
      <c r="B1871" s="9">
        <v>1870</v>
      </c>
      <c r="C1871" s="49">
        <v>22313</v>
      </c>
      <c r="D1871" s="9">
        <f>YEAR(Tabla1[[#This Row],[Date]])</f>
        <v>1961</v>
      </c>
      <c r="E1871" s="9" t="str" cm="1">
        <f t="array" ref="E1871">IFERROR(_xlfn.IFS(AND(D1871&lt;1980,D1871&gt;=1970),"70",AND(D1871&lt;1990,D1871&gt;=1980),"80",AND(D1871&lt;2000,D1871&gt;=1990),"90",AND(D1871&lt;2010,D1871&gt;=2000),"00",AND(D1871&lt;=2019,D1871&gt;=2010),"10"),"1908-1970")</f>
        <v>1908-1970</v>
      </c>
      <c r="F1871" s="3" t="s">
        <v>28931</v>
      </c>
      <c r="G1871" t="s">
        <v>13170</v>
      </c>
      <c r="H1871" t="s">
        <v>5951</v>
      </c>
      <c r="I1871" t="s">
        <v>28931</v>
      </c>
      <c r="J1871" t="s">
        <v>6190</v>
      </c>
      <c r="K1871" t="s">
        <v>13171</v>
      </c>
      <c r="L1871" s="7" t="s">
        <v>13172</v>
      </c>
      <c r="M1871">
        <v>105807110</v>
      </c>
      <c r="N1871">
        <v>10</v>
      </c>
      <c r="O1871">
        <v>5</v>
      </c>
      <c r="P1871">
        <v>5</v>
      </c>
      <c r="Q1871">
        <v>10</v>
      </c>
      <c r="R1871">
        <v>5</v>
      </c>
      <c r="S1871">
        <v>5</v>
      </c>
      <c r="T1871">
        <v>0</v>
      </c>
      <c r="U1871" t="s">
        <v>13173</v>
      </c>
      <c r="V1871">
        <f>Tabla1[[#This Row],[Aboard]]-Tabla1[[#This Row],[Fatalities]]</f>
        <v>0</v>
      </c>
      <c r="W1871" s="50">
        <f>IFERROR(Tabla1[[#This Row],[Fatalities]]/Tabla1[[#This Row],[Aboard]],0)</f>
        <v>1</v>
      </c>
      <c r="X1871" s="51" t="str" cm="1">
        <f t="array" ref="X1871">_xlfn.IFS(Tabla1[[#This Row],[Porcentaje de muertes]]&lt;0.35,"LEVE",AND(Tabla1[[#This Row],[Porcentaje de muertes]]&gt;0.35,Tabla1[[#This Row],[Porcentaje de muertes]]&lt;0.65),"MEDIO",Tabla1[[#This Row],[Porcentaje de muertes]]&gt;0.65,"GRAVE")</f>
        <v>GRAVE</v>
      </c>
    </row>
    <row r="1872" spans="2:24" x14ac:dyDescent="0.3">
      <c r="B1872" s="9">
        <v>1871</v>
      </c>
      <c r="C1872" s="49">
        <v>22341</v>
      </c>
      <c r="D1872" s="9">
        <f>YEAR(Tabla1[[#This Row],[Date]])</f>
        <v>1961</v>
      </c>
      <c r="E1872" s="9" t="str" cm="1">
        <f t="array" ref="E1872">IFERROR(_xlfn.IFS(AND(D1872&lt;1980,D1872&gt;=1970),"70",AND(D1872&lt;1990,D1872&gt;=1980),"80",AND(D1872&lt;2000,D1872&gt;=1990),"90",AND(D1872&lt;2010,D1872&gt;=2000),"00",AND(D1872&lt;=2019,D1872&gt;=2010),"10"),"1908-1970")</f>
        <v>1908-1970</v>
      </c>
      <c r="F1872" s="3">
        <v>0.31944444444444448</v>
      </c>
      <c r="G1872" t="s">
        <v>13174</v>
      </c>
      <c r="H1872" t="s">
        <v>13175</v>
      </c>
      <c r="I1872">
        <v>311</v>
      </c>
      <c r="J1872" t="s">
        <v>13176</v>
      </c>
      <c r="K1872" t="s">
        <v>7057</v>
      </c>
      <c r="L1872" s="7" t="s">
        <v>13177</v>
      </c>
      <c r="M1872" t="s">
        <v>13178</v>
      </c>
      <c r="N1872">
        <v>25</v>
      </c>
      <c r="O1872">
        <v>22</v>
      </c>
      <c r="P1872">
        <v>3</v>
      </c>
      <c r="Q1872">
        <v>25</v>
      </c>
      <c r="R1872">
        <v>22</v>
      </c>
      <c r="S1872">
        <v>3</v>
      </c>
      <c r="T1872">
        <v>0</v>
      </c>
      <c r="U1872" t="s">
        <v>13179</v>
      </c>
      <c r="V1872">
        <f>Tabla1[[#This Row],[Aboard]]-Tabla1[[#This Row],[Fatalities]]</f>
        <v>0</v>
      </c>
      <c r="W1872" s="50">
        <f>IFERROR(Tabla1[[#This Row],[Fatalities]]/Tabla1[[#This Row],[Aboard]],0)</f>
        <v>1</v>
      </c>
      <c r="X1872" s="51" t="str" cm="1">
        <f t="array" ref="X1872">_xlfn.IFS(Tabla1[[#This Row],[Porcentaje de muertes]]&lt;0.35,"LEVE",AND(Tabla1[[#This Row],[Porcentaje de muertes]]&gt;0.35,Tabla1[[#This Row],[Porcentaje de muertes]]&lt;0.65),"MEDIO",Tabla1[[#This Row],[Porcentaje de muertes]]&gt;0.65,"GRAVE")</f>
        <v>GRAVE</v>
      </c>
    </row>
    <row r="1873" spans="2:24" x14ac:dyDescent="0.3">
      <c r="B1873" s="9">
        <v>1872</v>
      </c>
      <c r="C1873" s="49">
        <v>22300</v>
      </c>
      <c r="D1873" s="9">
        <f>YEAR(Tabla1[[#This Row],[Date]])</f>
        <v>1961</v>
      </c>
      <c r="E1873" s="9" t="str" cm="1">
        <f t="array" ref="E1873">IFERROR(_xlfn.IFS(AND(D1873&lt;1980,D1873&gt;=1970),"70",AND(D1873&lt;1990,D1873&gt;=1980),"80",AND(D1873&lt;2000,D1873&gt;=1990),"90",AND(D1873&lt;2010,D1873&gt;=2000),"00",AND(D1873&lt;=2019,D1873&gt;=2010),"10"),"1908-1970")</f>
        <v>1908-1970</v>
      </c>
      <c r="F1873" s="3">
        <v>0.85069444444444453</v>
      </c>
      <c r="G1873" t="s">
        <v>13180</v>
      </c>
      <c r="H1873" t="s">
        <v>11253</v>
      </c>
      <c r="I1873">
        <v>401</v>
      </c>
      <c r="J1873" t="s">
        <v>13181</v>
      </c>
      <c r="K1873" t="s">
        <v>13182</v>
      </c>
      <c r="L1873" s="7" t="s">
        <v>13183</v>
      </c>
      <c r="M1873" t="s">
        <v>13184</v>
      </c>
      <c r="N1873">
        <v>106</v>
      </c>
      <c r="O1873">
        <v>97</v>
      </c>
      <c r="P1873">
        <v>9</v>
      </c>
      <c r="Q1873">
        <v>4</v>
      </c>
      <c r="R1873">
        <v>0</v>
      </c>
      <c r="S1873">
        <v>4</v>
      </c>
      <c r="T1873">
        <v>0</v>
      </c>
      <c r="U1873" t="s">
        <v>13185</v>
      </c>
      <c r="V1873">
        <f>Tabla1[[#This Row],[Aboard]]-Tabla1[[#This Row],[Fatalities]]</f>
        <v>102</v>
      </c>
      <c r="W1873" s="50">
        <f>IFERROR(Tabla1[[#This Row],[Fatalities]]/Tabla1[[#This Row],[Aboard]],0)</f>
        <v>3.7735849056603772E-2</v>
      </c>
      <c r="X1873" s="51" t="str" cm="1">
        <f t="array" ref="X1873">_xlfn.IFS(Tabla1[[#This Row],[Porcentaje de muertes]]&lt;0.35,"LEVE",AND(Tabla1[[#This Row],[Porcentaje de muertes]]&gt;0.35,Tabla1[[#This Row],[Porcentaje de muertes]]&lt;0.65),"MEDIO",Tabla1[[#This Row],[Porcentaje de muertes]]&gt;0.65,"GRAVE")</f>
        <v>LEVE</v>
      </c>
    </row>
    <row r="1874" spans="2:24" x14ac:dyDescent="0.3">
      <c r="B1874" s="9">
        <v>1873</v>
      </c>
      <c r="C1874" s="49">
        <v>22303</v>
      </c>
      <c r="D1874" s="9">
        <f>YEAR(Tabla1[[#This Row],[Date]])</f>
        <v>1961</v>
      </c>
      <c r="E1874" s="9" t="str" cm="1">
        <f t="array" ref="E1874">IFERROR(_xlfn.IFS(AND(D1874&lt;1980,D1874&gt;=1970),"70",AND(D1874&lt;1990,D1874&gt;=1980),"80",AND(D1874&lt;2000,D1874&gt;=1990),"90",AND(D1874&lt;2010,D1874&gt;=2000),"00",AND(D1874&lt;=2019,D1874&gt;=2010),"10"),"1908-1970")</f>
        <v>1908-1970</v>
      </c>
      <c r="F1874" s="3">
        <v>0.1277777777777778</v>
      </c>
      <c r="G1874" t="s">
        <v>13186</v>
      </c>
      <c r="H1874" t="s">
        <v>5027</v>
      </c>
      <c r="I1874" t="s">
        <v>28931</v>
      </c>
      <c r="J1874" t="s">
        <v>13187</v>
      </c>
      <c r="K1874" t="s">
        <v>12505</v>
      </c>
      <c r="L1874" s="7" t="s">
        <v>13188</v>
      </c>
      <c r="M1874">
        <v>4467</v>
      </c>
      <c r="N1874">
        <v>22</v>
      </c>
      <c r="O1874">
        <v>0</v>
      </c>
      <c r="P1874">
        <v>22</v>
      </c>
      <c r="Q1874">
        <v>6</v>
      </c>
      <c r="R1874">
        <v>0</v>
      </c>
      <c r="S1874">
        <v>6</v>
      </c>
      <c r="T1874">
        <v>3</v>
      </c>
      <c r="U1874" t="s">
        <v>13189</v>
      </c>
      <c r="V1874">
        <f>Tabla1[[#This Row],[Aboard]]-Tabla1[[#This Row],[Fatalities]]</f>
        <v>16</v>
      </c>
      <c r="W1874" s="50">
        <f>IFERROR(Tabla1[[#This Row],[Fatalities]]/Tabla1[[#This Row],[Aboard]],0)</f>
        <v>0.27272727272727271</v>
      </c>
      <c r="X1874" s="51" t="str" cm="1">
        <f t="array" ref="X1874">_xlfn.IFS(Tabla1[[#This Row],[Porcentaje de muertes]]&lt;0.35,"LEVE",AND(Tabla1[[#This Row],[Porcentaje de muertes]]&gt;0.35,Tabla1[[#This Row],[Porcentaje de muertes]]&lt;0.65),"MEDIO",Tabla1[[#This Row],[Porcentaje de muertes]]&gt;0.65,"GRAVE")</f>
        <v>LEVE</v>
      </c>
    </row>
    <row r="1875" spans="2:24" x14ac:dyDescent="0.3">
      <c r="B1875" s="9">
        <v>1874</v>
      </c>
      <c r="C1875" s="49">
        <v>22305</v>
      </c>
      <c r="D1875" s="9">
        <f>YEAR(Tabla1[[#This Row],[Date]])</f>
        <v>1961</v>
      </c>
      <c r="E1875" s="9" t="str" cm="1">
        <f t="array" ref="E1875">IFERROR(_xlfn.IFS(AND(D1875&lt;1980,D1875&gt;=1970),"70",AND(D1875&lt;1990,D1875&gt;=1980),"80",AND(D1875&lt;2000,D1875&gt;=1990),"90",AND(D1875&lt;2010,D1875&gt;=2000),"00",AND(D1875&lt;=2019,D1875&gt;=2010),"10"),"1908-1970")</f>
        <v>1908-1970</v>
      </c>
      <c r="F1875" s="3">
        <v>0.45</v>
      </c>
      <c r="G1875" t="s">
        <v>13190</v>
      </c>
      <c r="H1875" t="s">
        <v>10225</v>
      </c>
      <c r="I1875">
        <v>424</v>
      </c>
      <c r="J1875" t="s">
        <v>13191</v>
      </c>
      <c r="K1875" t="s">
        <v>7057</v>
      </c>
      <c r="L1875" s="7" t="s">
        <v>13192</v>
      </c>
      <c r="M1875">
        <v>19672</v>
      </c>
      <c r="N1875">
        <v>21</v>
      </c>
      <c r="O1875">
        <v>16</v>
      </c>
      <c r="P1875">
        <v>5</v>
      </c>
      <c r="Q1875">
        <v>21</v>
      </c>
      <c r="R1875">
        <v>16</v>
      </c>
      <c r="S1875">
        <v>5</v>
      </c>
      <c r="T1875">
        <v>0</v>
      </c>
      <c r="U1875" t="s">
        <v>13193</v>
      </c>
      <c r="V1875">
        <f>Tabla1[[#This Row],[Aboard]]-Tabla1[[#This Row],[Fatalities]]</f>
        <v>0</v>
      </c>
      <c r="W1875" s="50">
        <f>IFERROR(Tabla1[[#This Row],[Fatalities]]/Tabla1[[#This Row],[Aboard]],0)</f>
        <v>1</v>
      </c>
      <c r="X1875" s="51" t="str" cm="1">
        <f t="array" ref="X1875">_xlfn.IFS(Tabla1[[#This Row],[Porcentaje de muertes]]&lt;0.35,"LEVE",AND(Tabla1[[#This Row],[Porcentaje de muertes]]&gt;0.35,Tabla1[[#This Row],[Porcentaje de muertes]]&lt;0.65),"MEDIO",Tabla1[[#This Row],[Porcentaje de muertes]]&gt;0.65,"GRAVE")</f>
        <v>GRAVE</v>
      </c>
    </row>
    <row r="1876" spans="2:24" x14ac:dyDescent="0.3">
      <c r="B1876" s="9">
        <v>1875</v>
      </c>
      <c r="C1876" s="49">
        <v>22307</v>
      </c>
      <c r="D1876" s="9">
        <f>YEAR(Tabla1[[#This Row],[Date]])</f>
        <v>1961</v>
      </c>
      <c r="E1876" s="9" t="str" cm="1">
        <f t="array" ref="E1876">IFERROR(_xlfn.IFS(AND(D1876&lt;1980,D1876&gt;=1970),"70",AND(D1876&lt;1990,D1876&gt;=1980),"80",AND(D1876&lt;2000,D1876&gt;=1990),"90",AND(D1876&lt;2010,D1876&gt;=2000),"00",AND(D1876&lt;=2019,D1876&gt;=2010),"10"),"1908-1970")</f>
        <v>1908-1970</v>
      </c>
      <c r="F1876" s="3">
        <v>0.14583333333333334</v>
      </c>
      <c r="G1876" t="s">
        <v>9740</v>
      </c>
      <c r="H1876" t="s">
        <v>7987</v>
      </c>
      <c r="I1876" t="s">
        <v>28931</v>
      </c>
      <c r="J1876" t="s">
        <v>13194</v>
      </c>
      <c r="K1876" t="s">
        <v>13195</v>
      </c>
      <c r="L1876" s="7" t="s">
        <v>13196</v>
      </c>
      <c r="M1876">
        <v>43670</v>
      </c>
      <c r="N1876">
        <v>23</v>
      </c>
      <c r="O1876">
        <v>13</v>
      </c>
      <c r="P1876">
        <v>10</v>
      </c>
      <c r="Q1876">
        <v>23</v>
      </c>
      <c r="R1876">
        <v>13</v>
      </c>
      <c r="S1876">
        <v>10</v>
      </c>
      <c r="T1876">
        <v>0</v>
      </c>
      <c r="U1876" t="s">
        <v>13197</v>
      </c>
      <c r="V1876">
        <f>Tabla1[[#This Row],[Aboard]]-Tabla1[[#This Row],[Fatalities]]</f>
        <v>0</v>
      </c>
      <c r="W1876" s="50">
        <f>IFERROR(Tabla1[[#This Row],[Fatalities]]/Tabla1[[#This Row],[Aboard]],0)</f>
        <v>1</v>
      </c>
      <c r="X1876" s="51" t="str" cm="1">
        <f t="array" ref="X1876">_xlfn.IFS(Tabla1[[#This Row],[Porcentaje de muertes]]&lt;0.35,"LEVE",AND(Tabla1[[#This Row],[Porcentaje de muertes]]&gt;0.35,Tabla1[[#This Row],[Porcentaje de muertes]]&lt;0.65),"MEDIO",Tabla1[[#This Row],[Porcentaje de muertes]]&gt;0.65,"GRAVE")</f>
        <v>GRAVE</v>
      </c>
    </row>
    <row r="1877" spans="2:24" x14ac:dyDescent="0.3">
      <c r="B1877" s="9">
        <v>1876</v>
      </c>
      <c r="C1877" s="49">
        <v>22309</v>
      </c>
      <c r="D1877" s="9">
        <f>YEAR(Tabla1[[#This Row],[Date]])</f>
        <v>1961</v>
      </c>
      <c r="E1877" s="9" t="str" cm="1">
        <f t="array" ref="E1877">IFERROR(_xlfn.IFS(AND(D1877&lt;1980,D1877&gt;=1970),"70",AND(D1877&lt;1990,D1877&gt;=1980),"80",AND(D1877&lt;2000,D1877&gt;=1990),"90",AND(D1877&lt;2010,D1877&gt;=2000),"00",AND(D1877&lt;=2019,D1877&gt;=2010),"10"),"1908-1970")</f>
        <v>1908-1970</v>
      </c>
      <c r="F1877" s="3">
        <v>0.51388888888888895</v>
      </c>
      <c r="G1877" t="s">
        <v>13198</v>
      </c>
      <c r="H1877" t="s">
        <v>6536</v>
      </c>
      <c r="I1877" t="s">
        <v>28931</v>
      </c>
      <c r="J1877" t="s">
        <v>6190</v>
      </c>
      <c r="K1877" t="s">
        <v>12731</v>
      </c>
      <c r="L1877" s="7" t="s">
        <v>13199</v>
      </c>
      <c r="M1877" t="s">
        <v>13200</v>
      </c>
      <c r="N1877">
        <v>6</v>
      </c>
      <c r="O1877">
        <v>0</v>
      </c>
      <c r="P1877">
        <v>6</v>
      </c>
      <c r="Q1877">
        <v>6</v>
      </c>
      <c r="R1877">
        <v>0</v>
      </c>
      <c r="S1877">
        <v>6</v>
      </c>
      <c r="T1877">
        <v>0</v>
      </c>
      <c r="U1877" t="s">
        <v>13201</v>
      </c>
      <c r="V1877">
        <f>Tabla1[[#This Row],[Aboard]]-Tabla1[[#This Row],[Fatalities]]</f>
        <v>0</v>
      </c>
      <c r="W1877" s="50">
        <f>IFERROR(Tabla1[[#This Row],[Fatalities]]/Tabla1[[#This Row],[Aboard]],0)</f>
        <v>1</v>
      </c>
      <c r="X1877" s="51" t="str" cm="1">
        <f t="array" ref="X1877">_xlfn.IFS(Tabla1[[#This Row],[Porcentaje de muertes]]&lt;0.35,"LEVE",AND(Tabla1[[#This Row],[Porcentaje de muertes]]&gt;0.35,Tabla1[[#This Row],[Porcentaje de muertes]]&lt;0.65),"MEDIO",Tabla1[[#This Row],[Porcentaje de muertes]]&gt;0.65,"GRAVE")</f>
        <v>GRAVE</v>
      </c>
    </row>
    <row r="1878" spans="2:24" x14ac:dyDescent="0.3">
      <c r="B1878" s="9">
        <v>1877</v>
      </c>
      <c r="C1878" s="49">
        <v>22342</v>
      </c>
      <c r="D1878" s="9">
        <f>YEAR(Tabla1[[#This Row],[Date]])</f>
        <v>1961</v>
      </c>
      <c r="E1878" s="9" t="str" cm="1">
        <f t="array" ref="E1878">IFERROR(_xlfn.IFS(AND(D1878&lt;1980,D1878&gt;=1970),"70",AND(D1878&lt;1990,D1878&gt;=1980),"80",AND(D1878&lt;2000,D1878&gt;=1990),"90",AND(D1878&lt;2010,D1878&gt;=2000),"00",AND(D1878&lt;=2019,D1878&gt;=2010),"10"),"1908-1970")</f>
        <v>1908-1970</v>
      </c>
      <c r="F1878" s="3">
        <v>0.99652777777777779</v>
      </c>
      <c r="G1878" t="s">
        <v>13202</v>
      </c>
      <c r="H1878" t="s">
        <v>10225</v>
      </c>
      <c r="I1878">
        <v>542</v>
      </c>
      <c r="J1878" t="s">
        <v>13203</v>
      </c>
      <c r="K1878" t="s">
        <v>7057</v>
      </c>
      <c r="L1878" s="7" t="s">
        <v>13204</v>
      </c>
      <c r="M1878">
        <v>13052</v>
      </c>
      <c r="N1878">
        <v>26</v>
      </c>
      <c r="O1878">
        <v>21</v>
      </c>
      <c r="P1878">
        <v>5</v>
      </c>
      <c r="Q1878">
        <v>26</v>
      </c>
      <c r="R1878">
        <v>21</v>
      </c>
      <c r="S1878">
        <v>5</v>
      </c>
      <c r="T1878">
        <v>0</v>
      </c>
      <c r="U1878" t="s">
        <v>13205</v>
      </c>
      <c r="V1878">
        <f>Tabla1[[#This Row],[Aboard]]-Tabla1[[#This Row],[Fatalities]]</f>
        <v>0</v>
      </c>
      <c r="W1878" s="50">
        <f>IFERROR(Tabla1[[#This Row],[Fatalities]]/Tabla1[[#This Row],[Aboard]],0)</f>
        <v>1</v>
      </c>
      <c r="X1878" s="51" t="str" cm="1">
        <f t="array" ref="X1878">_xlfn.IFS(Tabla1[[#This Row],[Porcentaje de muertes]]&lt;0.35,"LEVE",AND(Tabla1[[#This Row],[Porcentaje de muertes]]&gt;0.35,Tabla1[[#This Row],[Porcentaje de muertes]]&lt;0.65),"MEDIO",Tabla1[[#This Row],[Porcentaje de muertes]]&gt;0.65,"GRAVE")</f>
        <v>GRAVE</v>
      </c>
    </row>
    <row r="1879" spans="2:24" x14ac:dyDescent="0.3">
      <c r="B1879" s="9">
        <v>1878</v>
      </c>
      <c r="C1879" s="49">
        <v>22327</v>
      </c>
      <c r="D1879" s="9">
        <f>YEAR(Tabla1[[#This Row],[Date]])</f>
        <v>1961</v>
      </c>
      <c r="E1879" s="9" t="str" cm="1">
        <f t="array" ref="E1879">IFERROR(_xlfn.IFS(AND(D1879&lt;1980,D1879&gt;=1970),"70",AND(D1879&lt;1990,D1879&gt;=1980),"80",AND(D1879&lt;2000,D1879&gt;=1990),"90",AND(D1879&lt;2010,D1879&gt;=2000),"00",AND(D1879&lt;=2019,D1879&gt;=2010),"10"),"1908-1970")</f>
        <v>1908-1970</v>
      </c>
      <c r="F1879" s="3">
        <v>0.4201388888888889</v>
      </c>
      <c r="G1879" t="s">
        <v>13206</v>
      </c>
      <c r="H1879" t="s">
        <v>5957</v>
      </c>
      <c r="I1879">
        <v>548</v>
      </c>
      <c r="J1879" t="s">
        <v>13207</v>
      </c>
      <c r="K1879" t="s">
        <v>13208</v>
      </c>
      <c r="L1879" s="7" t="s">
        <v>13209</v>
      </c>
      <c r="M1879" t="s">
        <v>13210</v>
      </c>
      <c r="N1879">
        <v>72</v>
      </c>
      <c r="O1879">
        <v>61</v>
      </c>
      <c r="P1879">
        <v>11</v>
      </c>
      <c r="Q1879">
        <v>72</v>
      </c>
      <c r="R1879">
        <v>61</v>
      </c>
      <c r="S1879">
        <v>11</v>
      </c>
      <c r="T1879">
        <v>1</v>
      </c>
      <c r="U1879" t="s">
        <v>13211</v>
      </c>
      <c r="V1879">
        <f>Tabla1[[#This Row],[Aboard]]-Tabla1[[#This Row],[Fatalities]]</f>
        <v>0</v>
      </c>
      <c r="W1879" s="50">
        <f>IFERROR(Tabla1[[#This Row],[Fatalities]]/Tabla1[[#This Row],[Aboard]],0)</f>
        <v>1</v>
      </c>
      <c r="X1879" s="51" t="str" cm="1">
        <f t="array" ref="X1879">_xlfn.IFS(Tabla1[[#This Row],[Porcentaje de muertes]]&lt;0.35,"LEVE",AND(Tabla1[[#This Row],[Porcentaje de muertes]]&gt;0.35,Tabla1[[#This Row],[Porcentaje de muertes]]&lt;0.65),"MEDIO",Tabla1[[#This Row],[Porcentaje de muertes]]&gt;0.65,"GRAVE")</f>
        <v>GRAVE</v>
      </c>
    </row>
    <row r="1880" spans="2:24" x14ac:dyDescent="0.3">
      <c r="B1880" s="9">
        <v>1879</v>
      </c>
      <c r="C1880" s="49">
        <v>22527</v>
      </c>
      <c r="D1880" s="9">
        <f>YEAR(Tabla1[[#This Row],[Date]])</f>
        <v>1961</v>
      </c>
      <c r="E1880" s="9" t="str" cm="1">
        <f t="array" ref="E1880">IFERROR(_xlfn.IFS(AND(D1880&lt;1980,D1880&gt;=1970),"70",AND(D1880&lt;1990,D1880&gt;=1980),"80",AND(D1880&lt;2000,D1880&gt;=1990),"90",AND(D1880&lt;2010,D1880&gt;=2000),"00",AND(D1880&lt;=2019,D1880&gt;=2010),"10"),"1908-1970")</f>
        <v>1908-1970</v>
      </c>
      <c r="F1880" s="3">
        <v>0.625</v>
      </c>
      <c r="G1880" t="s">
        <v>9073</v>
      </c>
      <c r="H1880" t="s">
        <v>9074</v>
      </c>
      <c r="I1880" t="s">
        <v>28931</v>
      </c>
      <c r="J1880" t="s">
        <v>13212</v>
      </c>
      <c r="K1880" t="s">
        <v>7057</v>
      </c>
      <c r="L1880" s="7" t="s">
        <v>13213</v>
      </c>
      <c r="M1880">
        <v>19986</v>
      </c>
      <c r="N1880">
        <v>12</v>
      </c>
      <c r="O1880">
        <v>8</v>
      </c>
      <c r="P1880">
        <v>4</v>
      </c>
      <c r="Q1880">
        <v>12</v>
      </c>
      <c r="R1880">
        <v>8</v>
      </c>
      <c r="S1880">
        <v>4</v>
      </c>
      <c r="T1880">
        <v>0</v>
      </c>
      <c r="U1880" t="s">
        <v>13214</v>
      </c>
      <c r="V1880">
        <f>Tabla1[[#This Row],[Aboard]]-Tabla1[[#This Row],[Fatalities]]</f>
        <v>0</v>
      </c>
      <c r="W1880" s="50">
        <f>IFERROR(Tabla1[[#This Row],[Fatalities]]/Tabla1[[#This Row],[Aboard]],0)</f>
        <v>1</v>
      </c>
      <c r="X1880" s="51" t="str" cm="1">
        <f t="array" ref="X1880">_xlfn.IFS(Tabla1[[#This Row],[Porcentaje de muertes]]&lt;0.35,"LEVE",AND(Tabla1[[#This Row],[Porcentaje de muertes]]&gt;0.35,Tabla1[[#This Row],[Porcentaje de muertes]]&lt;0.65),"MEDIO",Tabla1[[#This Row],[Porcentaje de muertes]]&gt;0.65,"GRAVE")</f>
        <v>GRAVE</v>
      </c>
    </row>
    <row r="1881" spans="2:24" x14ac:dyDescent="0.3">
      <c r="B1881" s="9">
        <v>1880</v>
      </c>
      <c r="C1881" s="49">
        <v>22365</v>
      </c>
      <c r="D1881" s="9">
        <f>YEAR(Tabla1[[#This Row],[Date]])</f>
        <v>1961</v>
      </c>
      <c r="E1881" s="9" t="str" cm="1">
        <f t="array" ref="E1881">IFERROR(_xlfn.IFS(AND(D1881&lt;1980,D1881&gt;=1970),"70",AND(D1881&lt;1990,D1881&gt;=1980),"80",AND(D1881&lt;2000,D1881&gt;=1990),"90",AND(D1881&lt;2010,D1881&gt;=2000),"00",AND(D1881&lt;=2019,D1881&gt;=2010),"10"),"1908-1970")</f>
        <v>1908-1970</v>
      </c>
      <c r="F1881" s="3" t="s">
        <v>28931</v>
      </c>
      <c r="G1881" t="s">
        <v>9128</v>
      </c>
      <c r="H1881" t="s">
        <v>9398</v>
      </c>
      <c r="I1881" t="s">
        <v>28931</v>
      </c>
      <c r="J1881" t="s">
        <v>13215</v>
      </c>
      <c r="K1881" t="s">
        <v>10070</v>
      </c>
      <c r="L1881" s="7" t="s">
        <v>13216</v>
      </c>
      <c r="M1881">
        <v>4473</v>
      </c>
      <c r="N1881">
        <v>28</v>
      </c>
      <c r="O1881">
        <v>22</v>
      </c>
      <c r="P1881">
        <v>6</v>
      </c>
      <c r="Q1881">
        <v>23</v>
      </c>
      <c r="R1881">
        <v>21</v>
      </c>
      <c r="S1881">
        <v>2</v>
      </c>
      <c r="T1881">
        <v>0</v>
      </c>
      <c r="U1881" t="s">
        <v>5203</v>
      </c>
      <c r="V1881">
        <f>Tabla1[[#This Row],[Aboard]]-Tabla1[[#This Row],[Fatalities]]</f>
        <v>5</v>
      </c>
      <c r="W1881" s="50">
        <f>IFERROR(Tabla1[[#This Row],[Fatalities]]/Tabla1[[#This Row],[Aboard]],0)</f>
        <v>0.8214285714285714</v>
      </c>
      <c r="X1881" s="51" t="str" cm="1">
        <f t="array" ref="X1881">_xlfn.IFS(Tabla1[[#This Row],[Porcentaje de muertes]]&lt;0.35,"LEVE",AND(Tabla1[[#This Row],[Porcentaje de muertes]]&gt;0.35,Tabla1[[#This Row],[Porcentaje de muertes]]&lt;0.65),"MEDIO",Tabla1[[#This Row],[Porcentaje de muertes]]&gt;0.65,"GRAVE")</f>
        <v>GRAVE</v>
      </c>
    </row>
    <row r="1882" spans="2:24" x14ac:dyDescent="0.3">
      <c r="B1882" s="9">
        <v>1881</v>
      </c>
      <c r="C1882" s="49">
        <v>22368</v>
      </c>
      <c r="D1882" s="9">
        <f>YEAR(Tabla1[[#This Row],[Date]])</f>
        <v>1961</v>
      </c>
      <c r="E1882" s="9" t="str" cm="1">
        <f t="array" ref="E1882">IFERROR(_xlfn.IFS(AND(D1882&lt;1980,D1882&gt;=1970),"70",AND(D1882&lt;1990,D1882&gt;=1980),"80",AND(D1882&lt;2000,D1882&gt;=1990),"90",AND(D1882&lt;2010,D1882&gt;=2000),"00",AND(D1882&lt;=2019,D1882&gt;=2010),"10"),"1908-1970")</f>
        <v>1908-1970</v>
      </c>
      <c r="F1882" s="3">
        <v>0.83888888888888891</v>
      </c>
      <c r="G1882" t="s">
        <v>13217</v>
      </c>
      <c r="H1882" t="s">
        <v>5951</v>
      </c>
      <c r="I1882" t="s">
        <v>28931</v>
      </c>
      <c r="J1882" t="s">
        <v>13218</v>
      </c>
      <c r="K1882" t="s">
        <v>12828</v>
      </c>
      <c r="L1882" s="7" t="s">
        <v>13219</v>
      </c>
      <c r="M1882">
        <v>180002102</v>
      </c>
      <c r="N1882">
        <v>52</v>
      </c>
      <c r="O1882">
        <v>44</v>
      </c>
      <c r="P1882">
        <v>8</v>
      </c>
      <c r="Q1882">
        <v>52</v>
      </c>
      <c r="R1882">
        <v>44</v>
      </c>
      <c r="S1882">
        <v>8</v>
      </c>
      <c r="T1882">
        <v>0</v>
      </c>
      <c r="U1882" t="s">
        <v>13220</v>
      </c>
      <c r="V1882">
        <f>Tabla1[[#This Row],[Aboard]]-Tabla1[[#This Row],[Fatalities]]</f>
        <v>0</v>
      </c>
      <c r="W1882" s="50">
        <f>IFERROR(Tabla1[[#This Row],[Fatalities]]/Tabla1[[#This Row],[Aboard]],0)</f>
        <v>1</v>
      </c>
      <c r="X1882" s="51" t="str" cm="1">
        <f t="array" ref="X1882">_xlfn.IFS(Tabla1[[#This Row],[Porcentaje de muertes]]&lt;0.35,"LEVE",AND(Tabla1[[#This Row],[Porcentaje de muertes]]&gt;0.35,Tabla1[[#This Row],[Porcentaje de muertes]]&lt;0.65),"MEDIO",Tabla1[[#This Row],[Porcentaje de muertes]]&gt;0.65,"GRAVE")</f>
        <v>GRAVE</v>
      </c>
    </row>
    <row r="1883" spans="2:24" x14ac:dyDescent="0.3">
      <c r="B1883" s="9">
        <v>1882</v>
      </c>
      <c r="C1883" s="49">
        <v>22344</v>
      </c>
      <c r="D1883" s="9">
        <f>YEAR(Tabla1[[#This Row],[Date]])</f>
        <v>1961</v>
      </c>
      <c r="E1883" s="9" t="str" cm="1">
        <f t="array" ref="E1883">IFERROR(_xlfn.IFS(AND(D1883&lt;1980,D1883&gt;=1970),"70",AND(D1883&lt;1990,D1883&gt;=1980),"80",AND(D1883&lt;2000,D1883&gt;=1990),"90",AND(D1883&lt;2010,D1883&gt;=2000),"00",AND(D1883&lt;=2019,D1883&gt;=2010),"10"),"1908-1970")</f>
        <v>1908-1970</v>
      </c>
      <c r="F1883" s="3">
        <v>0.99791666666666667</v>
      </c>
      <c r="G1883" t="s">
        <v>13221</v>
      </c>
      <c r="H1883" t="s">
        <v>11280</v>
      </c>
      <c r="I1883">
        <v>210</v>
      </c>
      <c r="J1883" t="s">
        <v>13222</v>
      </c>
      <c r="K1883" t="s">
        <v>7057</v>
      </c>
      <c r="L1883" s="7" t="s">
        <v>13223</v>
      </c>
      <c r="M1883">
        <v>9716</v>
      </c>
      <c r="N1883">
        <v>24</v>
      </c>
      <c r="O1883">
        <v>20</v>
      </c>
      <c r="P1883">
        <v>4</v>
      </c>
      <c r="Q1883">
        <v>24</v>
      </c>
      <c r="R1883">
        <v>20</v>
      </c>
      <c r="S1883">
        <v>4</v>
      </c>
      <c r="T1883">
        <v>0</v>
      </c>
      <c r="U1883" t="s">
        <v>13224</v>
      </c>
      <c r="V1883">
        <f>Tabla1[[#This Row],[Aboard]]-Tabla1[[#This Row],[Fatalities]]</f>
        <v>0</v>
      </c>
      <c r="W1883" s="50">
        <f>IFERROR(Tabla1[[#This Row],[Fatalities]]/Tabla1[[#This Row],[Aboard]],0)</f>
        <v>1</v>
      </c>
      <c r="X1883" s="51" t="str" cm="1">
        <f t="array" ref="X1883">_xlfn.IFS(Tabla1[[#This Row],[Porcentaje de muertes]]&lt;0.35,"LEVE",AND(Tabla1[[#This Row],[Porcentaje de muertes]]&gt;0.35,Tabla1[[#This Row],[Porcentaje de muertes]]&lt;0.65),"MEDIO",Tabla1[[#This Row],[Porcentaje de muertes]]&gt;0.65,"GRAVE")</f>
        <v>GRAVE</v>
      </c>
    </row>
    <row r="1884" spans="2:24" x14ac:dyDescent="0.3">
      <c r="B1884" s="9">
        <v>1883</v>
      </c>
      <c r="C1884" s="49">
        <v>22389</v>
      </c>
      <c r="D1884" s="9">
        <f>YEAR(Tabla1[[#This Row],[Date]])</f>
        <v>1961</v>
      </c>
      <c r="E1884" s="9" t="str" cm="1">
        <f t="array" ref="E1884">IFERROR(_xlfn.IFS(AND(D1884&lt;1980,D1884&gt;=1970),"70",AND(D1884&lt;1990,D1884&gt;=1980),"80",AND(D1884&lt;2000,D1884&gt;=1990),"90",AND(D1884&lt;2010,D1884&gt;=2000),"00",AND(D1884&lt;=2019,D1884&gt;=2010),"10"),"1908-1970")</f>
        <v>1908-1970</v>
      </c>
      <c r="F1884" s="3">
        <v>0.75694444444444453</v>
      </c>
      <c r="G1884" t="s">
        <v>13225</v>
      </c>
      <c r="H1884" t="s">
        <v>10504</v>
      </c>
      <c r="I1884" t="s">
        <v>28931</v>
      </c>
      <c r="J1884" t="s">
        <v>13226</v>
      </c>
      <c r="K1884" t="s">
        <v>13227</v>
      </c>
      <c r="L1884" s="7" t="s">
        <v>13228</v>
      </c>
      <c r="M1884" t="s">
        <v>13229</v>
      </c>
      <c r="N1884">
        <v>15</v>
      </c>
      <c r="O1884">
        <v>12</v>
      </c>
      <c r="P1884">
        <v>3</v>
      </c>
      <c r="Q1884">
        <v>14</v>
      </c>
      <c r="R1884">
        <v>11</v>
      </c>
      <c r="S1884">
        <v>3</v>
      </c>
      <c r="T1884">
        <v>0</v>
      </c>
      <c r="U1884" t="s">
        <v>13230</v>
      </c>
      <c r="V1884">
        <f>Tabla1[[#This Row],[Aboard]]-Tabla1[[#This Row],[Fatalities]]</f>
        <v>1</v>
      </c>
      <c r="W1884" s="50">
        <f>IFERROR(Tabla1[[#This Row],[Fatalities]]/Tabla1[[#This Row],[Aboard]],0)</f>
        <v>0.93333333333333335</v>
      </c>
      <c r="X1884" s="51" t="str" cm="1">
        <f t="array" ref="X1884">_xlfn.IFS(Tabla1[[#This Row],[Porcentaje de muertes]]&lt;0.35,"LEVE",AND(Tabla1[[#This Row],[Porcentaje de muertes]]&gt;0.35,Tabla1[[#This Row],[Porcentaje de muertes]]&lt;0.65),"MEDIO",Tabla1[[#This Row],[Porcentaje de muertes]]&gt;0.65,"GRAVE")</f>
        <v>GRAVE</v>
      </c>
    </row>
    <row r="1885" spans="2:24" x14ac:dyDescent="0.3">
      <c r="B1885" s="9">
        <v>1884</v>
      </c>
      <c r="C1885" s="49">
        <v>22559</v>
      </c>
      <c r="D1885" s="9">
        <f>YEAR(Tabla1[[#This Row],[Date]])</f>
        <v>1961</v>
      </c>
      <c r="E1885" s="9" t="str" cm="1">
        <f t="array" ref="E1885">IFERROR(_xlfn.IFS(AND(D1885&lt;1980,D1885&gt;=1970),"70",AND(D1885&lt;1990,D1885&gt;=1980),"80",AND(D1885&lt;2000,D1885&gt;=1990),"90",AND(D1885&lt;2010,D1885&gt;=2000),"00",AND(D1885&lt;=2019,D1885&gt;=2010),"10"),"1908-1970")</f>
        <v>1908-1970</v>
      </c>
      <c r="F1885" s="3">
        <v>4.9999999999999996E-2</v>
      </c>
      <c r="G1885" t="s">
        <v>13231</v>
      </c>
      <c r="H1885" t="s">
        <v>6375</v>
      </c>
      <c r="I1885">
        <v>406</v>
      </c>
      <c r="J1885" t="s">
        <v>13232</v>
      </c>
      <c r="K1885" t="s">
        <v>12710</v>
      </c>
      <c r="L1885" s="7" t="s">
        <v>13233</v>
      </c>
      <c r="M1885">
        <v>1027</v>
      </c>
      <c r="N1885">
        <v>78</v>
      </c>
      <c r="O1885">
        <v>69</v>
      </c>
      <c r="P1885">
        <v>9</v>
      </c>
      <c r="Q1885">
        <v>78</v>
      </c>
      <c r="R1885">
        <v>69</v>
      </c>
      <c r="S1885">
        <v>9</v>
      </c>
      <c r="T1885">
        <v>0</v>
      </c>
      <c r="U1885" t="s">
        <v>13234</v>
      </c>
      <c r="V1885">
        <f>Tabla1[[#This Row],[Aboard]]-Tabla1[[#This Row],[Fatalities]]</f>
        <v>0</v>
      </c>
      <c r="W1885" s="50">
        <f>IFERROR(Tabla1[[#This Row],[Fatalities]]/Tabla1[[#This Row],[Aboard]],0)</f>
        <v>1</v>
      </c>
      <c r="X1885" s="51" t="str" cm="1">
        <f t="array" ref="X1885">_xlfn.IFS(Tabla1[[#This Row],[Porcentaje de muertes]]&lt;0.35,"LEVE",AND(Tabla1[[#This Row],[Porcentaje de muertes]]&gt;0.35,Tabla1[[#This Row],[Porcentaje de muertes]]&lt;0.65),"MEDIO",Tabla1[[#This Row],[Porcentaje de muertes]]&gt;0.65,"GRAVE")</f>
        <v>GRAVE</v>
      </c>
    </row>
    <row r="1886" spans="2:24" x14ac:dyDescent="0.3">
      <c r="B1886" s="9">
        <v>1885</v>
      </c>
      <c r="C1886" s="49">
        <v>22425</v>
      </c>
      <c r="D1886" s="9">
        <f>YEAR(Tabla1[[#This Row],[Date]])</f>
        <v>1961</v>
      </c>
      <c r="E1886" s="9" t="str" cm="1">
        <f t="array" ref="E1886">IFERROR(_xlfn.IFS(AND(D1886&lt;1980,D1886&gt;=1970),"70",AND(D1886&lt;1990,D1886&gt;=1980),"80",AND(D1886&lt;2000,D1886&gt;=1990),"90",AND(D1886&lt;2010,D1886&gt;=2000),"00",AND(D1886&lt;=2019,D1886&gt;=2010),"10"),"1908-1970")</f>
        <v>1908-1970</v>
      </c>
      <c r="F1886" s="3">
        <v>9.8611111111111108E-2</v>
      </c>
      <c r="G1886" t="s">
        <v>10845</v>
      </c>
      <c r="H1886" t="s">
        <v>7987</v>
      </c>
      <c r="I1886" t="s">
        <v>28931</v>
      </c>
      <c r="J1886" t="s">
        <v>13235</v>
      </c>
      <c r="K1886" t="s">
        <v>13236</v>
      </c>
      <c r="L1886" s="7" t="s">
        <v>13237</v>
      </c>
      <c r="M1886">
        <v>43508</v>
      </c>
      <c r="N1886">
        <v>22</v>
      </c>
      <c r="O1886">
        <v>16</v>
      </c>
      <c r="P1886">
        <v>6</v>
      </c>
      <c r="Q1886">
        <v>22</v>
      </c>
      <c r="R1886">
        <v>16</v>
      </c>
      <c r="S1886">
        <v>6</v>
      </c>
      <c r="T1886">
        <v>0</v>
      </c>
      <c r="U1886" t="s">
        <v>13238</v>
      </c>
      <c r="V1886">
        <f>Tabla1[[#This Row],[Aboard]]-Tabla1[[#This Row],[Fatalities]]</f>
        <v>0</v>
      </c>
      <c r="W1886" s="50">
        <f>IFERROR(Tabla1[[#This Row],[Fatalities]]/Tabla1[[#This Row],[Aboard]],0)</f>
        <v>1</v>
      </c>
      <c r="X1886" s="51" t="str" cm="1">
        <f t="array" ref="X1886">_xlfn.IFS(Tabla1[[#This Row],[Porcentaje de muertes]]&lt;0.35,"LEVE",AND(Tabla1[[#This Row],[Porcentaje de muertes]]&gt;0.35,Tabla1[[#This Row],[Porcentaje de muertes]]&lt;0.65),"MEDIO",Tabla1[[#This Row],[Porcentaje de muertes]]&gt;0.65,"GRAVE")</f>
        <v>GRAVE</v>
      </c>
    </row>
    <row r="1887" spans="2:24" x14ac:dyDescent="0.3">
      <c r="B1887" s="9">
        <v>1886</v>
      </c>
      <c r="C1887" s="49">
        <v>22430</v>
      </c>
      <c r="D1887" s="9">
        <f>YEAR(Tabla1[[#This Row],[Date]])</f>
        <v>1961</v>
      </c>
      <c r="E1887" s="9" t="str" cm="1">
        <f t="array" ref="E1887">IFERROR(_xlfn.IFS(AND(D1887&lt;1980,D1887&gt;=1970),"70",AND(D1887&lt;1990,D1887&gt;=1980),"80",AND(D1887&lt;2000,D1887&gt;=1990),"90",AND(D1887&lt;2010,D1887&gt;=2000),"00",AND(D1887&lt;=2019,D1887&gt;=2010),"10"),"1908-1970")</f>
        <v>1908-1970</v>
      </c>
      <c r="F1887" s="3">
        <v>0.60833333333333328</v>
      </c>
      <c r="G1887" t="s">
        <v>13239</v>
      </c>
      <c r="H1887" t="s">
        <v>7665</v>
      </c>
      <c r="I1887" t="s">
        <v>28931</v>
      </c>
      <c r="J1887" t="s">
        <v>13240</v>
      </c>
      <c r="K1887" t="s">
        <v>13241</v>
      </c>
      <c r="L1887" s="7" t="s">
        <v>13242</v>
      </c>
      <c r="M1887">
        <v>125</v>
      </c>
      <c r="N1887">
        <v>13</v>
      </c>
      <c r="O1887">
        <v>8</v>
      </c>
      <c r="P1887">
        <v>5</v>
      </c>
      <c r="Q1887">
        <v>13</v>
      </c>
      <c r="R1887">
        <v>8</v>
      </c>
      <c r="S1887">
        <v>5</v>
      </c>
      <c r="T1887">
        <v>0</v>
      </c>
      <c r="U1887" t="s">
        <v>13243</v>
      </c>
      <c r="V1887">
        <f>Tabla1[[#This Row],[Aboard]]-Tabla1[[#This Row],[Fatalities]]</f>
        <v>0</v>
      </c>
      <c r="W1887" s="50">
        <f>IFERROR(Tabla1[[#This Row],[Fatalities]]/Tabla1[[#This Row],[Aboard]],0)</f>
        <v>1</v>
      </c>
      <c r="X1887" s="51" t="str" cm="1">
        <f t="array" ref="X1887">_xlfn.IFS(Tabla1[[#This Row],[Porcentaje de muertes]]&lt;0.35,"LEVE",AND(Tabla1[[#This Row],[Porcentaje de muertes]]&gt;0.35,Tabla1[[#This Row],[Porcentaje de muertes]]&lt;0.65),"MEDIO",Tabla1[[#This Row],[Porcentaje de muertes]]&gt;0.65,"GRAVE")</f>
        <v>GRAVE</v>
      </c>
    </row>
    <row r="1888" spans="2:24" x14ac:dyDescent="0.3">
      <c r="B1888" s="9">
        <v>1887</v>
      </c>
      <c r="C1888" s="49">
        <v>22431</v>
      </c>
      <c r="D1888" s="9">
        <f>YEAR(Tabla1[[#This Row],[Date]])</f>
        <v>1961</v>
      </c>
      <c r="E1888" s="9" t="str" cm="1">
        <f t="array" ref="E1888">IFERROR(_xlfn.IFS(AND(D1888&lt;1980,D1888&gt;=1970),"70",AND(D1888&lt;1990,D1888&gt;=1980),"80",AND(D1888&lt;2000,D1888&gt;=1990),"90",AND(D1888&lt;2010,D1888&gt;=2000),"00",AND(D1888&lt;=2019,D1888&gt;=2010),"10"),"1908-1970")</f>
        <v>1908-1970</v>
      </c>
      <c r="F1888" s="3">
        <v>5.5555555555555552E-2</v>
      </c>
      <c r="G1888" t="s">
        <v>9003</v>
      </c>
      <c r="H1888" t="s">
        <v>5332</v>
      </c>
      <c r="I1888">
        <v>897</v>
      </c>
      <c r="J1888" t="s">
        <v>13244</v>
      </c>
      <c r="K1888" t="s">
        <v>13245</v>
      </c>
      <c r="L1888" s="7" t="s">
        <v>13246</v>
      </c>
      <c r="M1888">
        <v>45615</v>
      </c>
      <c r="N1888">
        <v>61</v>
      </c>
      <c r="O1888">
        <v>47</v>
      </c>
      <c r="P1888">
        <v>14</v>
      </c>
      <c r="Q1888">
        <v>61</v>
      </c>
      <c r="R1888">
        <v>47</v>
      </c>
      <c r="S1888">
        <v>14</v>
      </c>
      <c r="T1888">
        <v>0</v>
      </c>
      <c r="U1888" t="s">
        <v>13247</v>
      </c>
      <c r="V1888">
        <f>Tabla1[[#This Row],[Aboard]]-Tabla1[[#This Row],[Fatalities]]</f>
        <v>0</v>
      </c>
      <c r="W1888" s="50">
        <f>IFERROR(Tabla1[[#This Row],[Fatalities]]/Tabla1[[#This Row],[Aboard]],0)</f>
        <v>1</v>
      </c>
      <c r="X1888" s="51" t="str" cm="1">
        <f t="array" ref="X1888">_xlfn.IFS(Tabla1[[#This Row],[Porcentaje de muertes]]&lt;0.35,"LEVE",AND(Tabla1[[#This Row],[Porcentaje de muertes]]&gt;0.35,Tabla1[[#This Row],[Porcentaje de muertes]]&lt;0.65),"MEDIO",Tabla1[[#This Row],[Porcentaje de muertes]]&gt;0.65,"GRAVE")</f>
        <v>GRAVE</v>
      </c>
    </row>
    <row r="1889" spans="2:24" x14ac:dyDescent="0.3">
      <c r="B1889" s="9">
        <v>1888</v>
      </c>
      <c r="C1889" s="49">
        <v>22621</v>
      </c>
      <c r="D1889" s="9">
        <f>YEAR(Tabla1[[#This Row],[Date]])</f>
        <v>1961</v>
      </c>
      <c r="E1889" s="9" t="str" cm="1">
        <f t="array" ref="E1889">IFERROR(_xlfn.IFS(AND(D1889&lt;1980,D1889&gt;=1970),"70",AND(D1889&lt;1990,D1889&gt;=1980),"80",AND(D1889&lt;2000,D1889&gt;=1990),"90",AND(D1889&lt;2010,D1889&gt;=2000),"00",AND(D1889&lt;=2019,D1889&gt;=2010),"10"),"1908-1970")</f>
        <v>1908-1970</v>
      </c>
      <c r="F1889" s="3">
        <v>0.17430555555555557</v>
      </c>
      <c r="G1889" t="s">
        <v>6648</v>
      </c>
      <c r="H1889" t="s">
        <v>5332</v>
      </c>
      <c r="I1889">
        <v>823</v>
      </c>
      <c r="J1889" t="s">
        <v>9032</v>
      </c>
      <c r="K1889" t="s">
        <v>13248</v>
      </c>
      <c r="L1889" s="7" t="s">
        <v>13249</v>
      </c>
      <c r="M1889">
        <v>2019</v>
      </c>
      <c r="N1889">
        <v>36</v>
      </c>
      <c r="O1889">
        <v>29</v>
      </c>
      <c r="P1889">
        <v>7</v>
      </c>
      <c r="Q1889">
        <v>20</v>
      </c>
      <c r="R1889">
        <v>17</v>
      </c>
      <c r="S1889">
        <v>3</v>
      </c>
      <c r="T1889">
        <v>0</v>
      </c>
      <c r="U1889" t="s">
        <v>13250</v>
      </c>
      <c r="V1889">
        <f>Tabla1[[#This Row],[Aboard]]-Tabla1[[#This Row],[Fatalities]]</f>
        <v>16</v>
      </c>
      <c r="W1889" s="50">
        <f>IFERROR(Tabla1[[#This Row],[Fatalities]]/Tabla1[[#This Row],[Aboard]],0)</f>
        <v>0.55555555555555558</v>
      </c>
      <c r="X1889" s="51" t="str" cm="1">
        <f t="array" ref="X1889">_xlfn.IFS(Tabla1[[#This Row],[Porcentaje de muertes]]&lt;0.35,"LEVE",AND(Tabla1[[#This Row],[Porcentaje de muertes]]&gt;0.35,Tabla1[[#This Row],[Porcentaje de muertes]]&lt;0.65),"MEDIO",Tabla1[[#This Row],[Porcentaje de muertes]]&gt;0.65,"GRAVE")</f>
        <v>MEDIO</v>
      </c>
    </row>
    <row r="1890" spans="2:24" x14ac:dyDescent="0.3">
      <c r="B1890" s="9">
        <v>1889</v>
      </c>
      <c r="C1890" s="49">
        <v>22445</v>
      </c>
      <c r="D1890" s="9">
        <f>YEAR(Tabla1[[#This Row],[Date]])</f>
        <v>1961</v>
      </c>
      <c r="E1890" s="9" t="str" cm="1">
        <f t="array" ref="E1890">IFERROR(_xlfn.IFS(AND(D1890&lt;1980,D1890&gt;=1970),"70",AND(D1890&lt;1990,D1890&gt;=1980),"80",AND(D1890&lt;2000,D1890&gt;=1990),"90",AND(D1890&lt;2010,D1890&gt;=2000),"00",AND(D1890&lt;=2019,D1890&gt;=2010),"10"),"1908-1970")</f>
        <v>1908-1970</v>
      </c>
      <c r="F1890" s="3">
        <v>0.81458333333333333</v>
      </c>
      <c r="G1890" t="s">
        <v>13251</v>
      </c>
      <c r="H1890" t="s">
        <v>13252</v>
      </c>
      <c r="I1890" t="s">
        <v>28931</v>
      </c>
      <c r="J1890" t="s">
        <v>6190</v>
      </c>
      <c r="K1890" t="s">
        <v>8822</v>
      </c>
      <c r="L1890" s="7" t="s">
        <v>13253</v>
      </c>
      <c r="M1890">
        <v>7473</v>
      </c>
      <c r="N1890">
        <v>5</v>
      </c>
      <c r="O1890">
        <v>3</v>
      </c>
      <c r="P1890">
        <v>2</v>
      </c>
      <c r="Q1890">
        <v>5</v>
      </c>
      <c r="R1890">
        <v>3</v>
      </c>
      <c r="S1890">
        <v>2</v>
      </c>
      <c r="T1890">
        <v>0</v>
      </c>
      <c r="U1890" t="s">
        <v>13254</v>
      </c>
      <c r="V1890">
        <f>Tabla1[[#This Row],[Aboard]]-Tabla1[[#This Row],[Fatalities]]</f>
        <v>0</v>
      </c>
      <c r="W1890" s="50">
        <f>IFERROR(Tabla1[[#This Row],[Fatalities]]/Tabla1[[#This Row],[Aboard]],0)</f>
        <v>1</v>
      </c>
      <c r="X1890" s="51" t="str" cm="1">
        <f t="array" ref="X1890">_xlfn.IFS(Tabla1[[#This Row],[Porcentaje de muertes]]&lt;0.35,"LEVE",AND(Tabla1[[#This Row],[Porcentaje de muertes]]&gt;0.35,Tabla1[[#This Row],[Porcentaje de muertes]]&lt;0.65),"MEDIO",Tabla1[[#This Row],[Porcentaje de muertes]]&gt;0.65,"GRAVE")</f>
        <v>GRAVE</v>
      </c>
    </row>
    <row r="1891" spans="2:24" x14ac:dyDescent="0.3">
      <c r="B1891" s="9">
        <v>1890</v>
      </c>
      <c r="C1891" s="49">
        <v>22449</v>
      </c>
      <c r="D1891" s="9">
        <f>YEAR(Tabla1[[#This Row],[Date]])</f>
        <v>1961</v>
      </c>
      <c r="E1891" s="9" t="str" cm="1">
        <f t="array" ref="E1891">IFERROR(_xlfn.IFS(AND(D1891&lt;1980,D1891&gt;=1970),"70",AND(D1891&lt;1990,D1891&gt;=1980),"80",AND(D1891&lt;2000,D1891&gt;=1990),"90",AND(D1891&lt;2010,D1891&gt;=2000),"00",AND(D1891&lt;=2019,D1891&gt;=2010),"10"),"1908-1970")</f>
        <v>1908-1970</v>
      </c>
      <c r="F1891" s="3">
        <v>0.93263888888888891</v>
      </c>
      <c r="G1891" t="s">
        <v>13255</v>
      </c>
      <c r="H1891" t="s">
        <v>13256</v>
      </c>
      <c r="I1891" t="s">
        <v>28931</v>
      </c>
      <c r="J1891" t="s">
        <v>10739</v>
      </c>
      <c r="K1891" t="s">
        <v>10221</v>
      </c>
      <c r="L1891" s="7" t="s">
        <v>13257</v>
      </c>
      <c r="M1891">
        <v>10530</v>
      </c>
      <c r="N1891">
        <v>7</v>
      </c>
      <c r="O1891">
        <v>5</v>
      </c>
      <c r="P1891">
        <v>2</v>
      </c>
      <c r="Q1891">
        <v>1</v>
      </c>
      <c r="R1891">
        <v>1</v>
      </c>
      <c r="S1891">
        <v>0</v>
      </c>
      <c r="T1891">
        <v>0</v>
      </c>
      <c r="U1891" t="s">
        <v>13258</v>
      </c>
      <c r="V1891">
        <f>Tabla1[[#This Row],[Aboard]]-Tabla1[[#This Row],[Fatalities]]</f>
        <v>6</v>
      </c>
      <c r="W1891" s="50">
        <f>IFERROR(Tabla1[[#This Row],[Fatalities]]/Tabla1[[#This Row],[Aboard]],0)</f>
        <v>0.14285714285714285</v>
      </c>
      <c r="X1891" s="51" t="str" cm="1">
        <f t="array" ref="X1891">_xlfn.IFS(Tabla1[[#This Row],[Porcentaje de muertes]]&lt;0.35,"LEVE",AND(Tabla1[[#This Row],[Porcentaje de muertes]]&gt;0.35,Tabla1[[#This Row],[Porcentaje de muertes]]&lt;0.65),"MEDIO",Tabla1[[#This Row],[Porcentaje de muertes]]&gt;0.65,"GRAVE")</f>
        <v>LEVE</v>
      </c>
    </row>
    <row r="1892" spans="2:24" x14ac:dyDescent="0.3">
      <c r="B1892" s="9">
        <v>1891</v>
      </c>
      <c r="C1892" s="49">
        <v>22462</v>
      </c>
      <c r="D1892" s="9">
        <f>YEAR(Tabla1[[#This Row],[Date]])</f>
        <v>1961</v>
      </c>
      <c r="E1892" s="9" t="str" cm="1">
        <f t="array" ref="E1892">IFERROR(_xlfn.IFS(AND(D1892&lt;1980,D1892&gt;=1970),"70",AND(D1892&lt;1990,D1892&gt;=1980),"80",AND(D1892&lt;2000,D1892&gt;=1990),"90",AND(D1892&lt;2010,D1892&gt;=2000),"00",AND(D1892&lt;=2019,D1892&gt;=2010),"10"),"1908-1970")</f>
        <v>1908-1970</v>
      </c>
      <c r="F1892" s="3">
        <v>0.87291666666666667</v>
      </c>
      <c r="G1892" t="s">
        <v>5925</v>
      </c>
      <c r="H1892" t="s">
        <v>13259</v>
      </c>
      <c r="I1892" t="s">
        <v>28931</v>
      </c>
      <c r="J1892" t="s">
        <v>13260</v>
      </c>
      <c r="K1892" t="s">
        <v>8305</v>
      </c>
      <c r="L1892" s="7" t="s">
        <v>13261</v>
      </c>
      <c r="M1892">
        <v>193</v>
      </c>
      <c r="N1892">
        <v>35</v>
      </c>
      <c r="O1892">
        <v>30</v>
      </c>
      <c r="P1892">
        <v>5</v>
      </c>
      <c r="Q1892">
        <v>24</v>
      </c>
      <c r="R1892">
        <v>22</v>
      </c>
      <c r="S1892">
        <v>2</v>
      </c>
      <c r="T1892">
        <v>0</v>
      </c>
      <c r="U1892" t="s">
        <v>13262</v>
      </c>
      <c r="V1892">
        <f>Tabla1[[#This Row],[Aboard]]-Tabla1[[#This Row],[Fatalities]]</f>
        <v>11</v>
      </c>
      <c r="W1892" s="50">
        <f>IFERROR(Tabla1[[#This Row],[Fatalities]]/Tabla1[[#This Row],[Aboard]],0)</f>
        <v>0.68571428571428572</v>
      </c>
      <c r="X1892" s="51" t="str" cm="1">
        <f t="array" ref="X1892">_xlfn.IFS(Tabla1[[#This Row],[Porcentaje de muertes]]&lt;0.35,"LEVE",AND(Tabla1[[#This Row],[Porcentaje de muertes]]&gt;0.35,Tabla1[[#This Row],[Porcentaje de muertes]]&lt;0.65),"MEDIO",Tabla1[[#This Row],[Porcentaje de muertes]]&gt;0.65,"GRAVE")</f>
        <v>GRAVE</v>
      </c>
    </row>
    <row r="1893" spans="2:24" x14ac:dyDescent="0.3">
      <c r="B1893" s="9">
        <v>1892</v>
      </c>
      <c r="C1893" s="49">
        <v>22500</v>
      </c>
      <c r="D1893" s="9">
        <f>YEAR(Tabla1[[#This Row],[Date]])</f>
        <v>1961</v>
      </c>
      <c r="E1893" s="9" t="str" cm="1">
        <f t="array" ref="E1893">IFERROR(_xlfn.IFS(AND(D1893&lt;1980,D1893&gt;=1970),"70",AND(D1893&lt;1990,D1893&gt;=1980),"80",AND(D1893&lt;2000,D1893&gt;=1990),"90",AND(D1893&lt;2010,D1893&gt;=2000),"00",AND(D1893&lt;=2019,D1893&gt;=2010),"10"),"1908-1970")</f>
        <v>1908-1970</v>
      </c>
      <c r="F1893" s="3">
        <v>0.79166666666666663</v>
      </c>
      <c r="G1893" t="s">
        <v>13263</v>
      </c>
      <c r="H1893" t="s">
        <v>6541</v>
      </c>
      <c r="I1893">
        <v>411</v>
      </c>
      <c r="J1893" t="s">
        <v>13264</v>
      </c>
      <c r="K1893" t="s">
        <v>12110</v>
      </c>
      <c r="L1893" s="7" t="s">
        <v>13265</v>
      </c>
      <c r="M1893">
        <v>6341706</v>
      </c>
      <c r="N1893">
        <v>26</v>
      </c>
      <c r="O1893">
        <v>21</v>
      </c>
      <c r="P1893">
        <v>5</v>
      </c>
      <c r="Q1893">
        <v>9</v>
      </c>
      <c r="R1893">
        <v>4</v>
      </c>
      <c r="S1893">
        <v>5</v>
      </c>
      <c r="T1893">
        <v>0</v>
      </c>
      <c r="U1893" t="s">
        <v>13266</v>
      </c>
      <c r="V1893">
        <f>Tabla1[[#This Row],[Aboard]]-Tabla1[[#This Row],[Fatalities]]</f>
        <v>17</v>
      </c>
      <c r="W1893" s="50">
        <f>IFERROR(Tabla1[[#This Row],[Fatalities]]/Tabla1[[#This Row],[Aboard]],0)</f>
        <v>0.34615384615384615</v>
      </c>
      <c r="X1893" s="51" t="str" cm="1">
        <f t="array" ref="X1893">_xlfn.IFS(Tabla1[[#This Row],[Porcentaje de muertes]]&lt;0.35,"LEVE",AND(Tabla1[[#This Row],[Porcentaje de muertes]]&gt;0.35,Tabla1[[#This Row],[Porcentaje de muertes]]&lt;0.65),"MEDIO",Tabla1[[#This Row],[Porcentaje de muertes]]&gt;0.65,"GRAVE")</f>
        <v>LEVE</v>
      </c>
    </row>
    <row r="1894" spans="2:24" x14ac:dyDescent="0.3">
      <c r="B1894" s="9">
        <v>1893</v>
      </c>
      <c r="C1894" s="49">
        <v>22561</v>
      </c>
      <c r="D1894" s="9">
        <f>YEAR(Tabla1[[#This Row],[Date]])</f>
        <v>1961</v>
      </c>
      <c r="E1894" s="9" t="str" cm="1">
        <f t="array" ref="E1894">IFERROR(_xlfn.IFS(AND(D1894&lt;1980,D1894&gt;=1970),"70",AND(D1894&lt;1990,D1894&gt;=1980),"80",AND(D1894&lt;2000,D1894&gt;=1990),"90",AND(D1894&lt;2010,D1894&gt;=2000),"00",AND(D1894&lt;=2019,D1894&gt;=2010),"10"),"1908-1970")</f>
        <v>1908-1970</v>
      </c>
      <c r="F1894" s="3">
        <v>0.4465277777777778</v>
      </c>
      <c r="G1894" t="s">
        <v>13267</v>
      </c>
      <c r="H1894" t="s">
        <v>6541</v>
      </c>
      <c r="I1894">
        <v>381</v>
      </c>
      <c r="J1894" t="s">
        <v>13268</v>
      </c>
      <c r="K1894" t="s">
        <v>13269</v>
      </c>
      <c r="L1894" s="7" t="s">
        <v>13270</v>
      </c>
      <c r="M1894">
        <v>921004</v>
      </c>
      <c r="N1894">
        <v>85</v>
      </c>
      <c r="O1894">
        <v>76</v>
      </c>
      <c r="P1894">
        <v>9</v>
      </c>
      <c r="Q1894">
        <v>1</v>
      </c>
      <c r="R1894">
        <v>1</v>
      </c>
      <c r="S1894">
        <v>0</v>
      </c>
      <c r="T1894">
        <v>0</v>
      </c>
      <c r="U1894" t="s">
        <v>13271</v>
      </c>
      <c r="V1894">
        <f>Tabla1[[#This Row],[Aboard]]-Tabla1[[#This Row],[Fatalities]]</f>
        <v>84</v>
      </c>
      <c r="W1894" s="50">
        <f>IFERROR(Tabla1[[#This Row],[Fatalities]]/Tabla1[[#This Row],[Aboard]],0)</f>
        <v>1.1764705882352941E-2</v>
      </c>
      <c r="X1894" s="51" t="str" cm="1">
        <f t="array" ref="X1894">_xlfn.IFS(Tabla1[[#This Row],[Porcentaje de muertes]]&lt;0.35,"LEVE",AND(Tabla1[[#This Row],[Porcentaje de muertes]]&gt;0.35,Tabla1[[#This Row],[Porcentaje de muertes]]&lt;0.65),"MEDIO",Tabla1[[#This Row],[Porcentaje de muertes]]&gt;0.65,"GRAVE")</f>
        <v>LEVE</v>
      </c>
    </row>
    <row r="1895" spans="2:24" x14ac:dyDescent="0.3">
      <c r="B1895" s="9">
        <v>1894</v>
      </c>
      <c r="C1895" s="49">
        <v>22592</v>
      </c>
      <c r="D1895" s="9">
        <f>YEAR(Tabla1[[#This Row],[Date]])</f>
        <v>1961</v>
      </c>
      <c r="E1895" s="9" t="str" cm="1">
        <f t="array" ref="E1895">IFERROR(_xlfn.IFS(AND(D1895&lt;1980,D1895&gt;=1970),"70",AND(D1895&lt;1990,D1895&gt;=1980),"80",AND(D1895&lt;2000,D1895&gt;=1990),"90",AND(D1895&lt;2010,D1895&gt;=2000),"00",AND(D1895&lt;=2019,D1895&gt;=2010),"10"),"1908-1970")</f>
        <v>1908-1970</v>
      </c>
      <c r="F1895" s="3">
        <v>0.48333333333333334</v>
      </c>
      <c r="G1895" t="s">
        <v>9021</v>
      </c>
      <c r="H1895" t="s">
        <v>6369</v>
      </c>
      <c r="I1895">
        <v>859</v>
      </c>
      <c r="J1895" t="s">
        <v>13272</v>
      </c>
      <c r="K1895" t="s">
        <v>13273</v>
      </c>
      <c r="L1895" s="7" t="s">
        <v>13274</v>
      </c>
      <c r="M1895">
        <v>45307</v>
      </c>
      <c r="N1895">
        <v>122</v>
      </c>
      <c r="O1895">
        <v>115</v>
      </c>
      <c r="P1895">
        <v>7</v>
      </c>
      <c r="Q1895">
        <v>17</v>
      </c>
      <c r="R1895">
        <v>17</v>
      </c>
      <c r="S1895">
        <v>0</v>
      </c>
      <c r="T1895">
        <v>1</v>
      </c>
      <c r="U1895" t="s">
        <v>13275</v>
      </c>
      <c r="V1895">
        <f>Tabla1[[#This Row],[Aboard]]-Tabla1[[#This Row],[Fatalities]]</f>
        <v>105</v>
      </c>
      <c r="W1895" s="50">
        <f>IFERROR(Tabla1[[#This Row],[Fatalities]]/Tabla1[[#This Row],[Aboard]],0)</f>
        <v>0.13934426229508196</v>
      </c>
      <c r="X1895" s="51" t="str" cm="1">
        <f t="array" ref="X1895">_xlfn.IFS(Tabla1[[#This Row],[Porcentaje de muertes]]&lt;0.35,"LEVE",AND(Tabla1[[#This Row],[Porcentaje de muertes]]&gt;0.35,Tabla1[[#This Row],[Porcentaje de muertes]]&lt;0.65),"MEDIO",Tabla1[[#This Row],[Porcentaje de muertes]]&gt;0.65,"GRAVE")</f>
        <v>LEVE</v>
      </c>
    </row>
    <row r="1896" spans="2:24" x14ac:dyDescent="0.3">
      <c r="B1896" s="9">
        <v>1895</v>
      </c>
      <c r="C1896" s="49">
        <v>22622</v>
      </c>
      <c r="D1896" s="9">
        <f>YEAR(Tabla1[[#This Row],[Date]])</f>
        <v>1961</v>
      </c>
      <c r="E1896" s="9" t="str" cm="1">
        <f t="array" ref="E1896">IFERROR(_xlfn.IFS(AND(D1896&lt;1980,D1896&gt;=1970),"70",AND(D1896&lt;1990,D1896&gt;=1980),"80",AND(D1896&lt;2000,D1896&gt;=1990),"90",AND(D1896&lt;2010,D1896&gt;=2000),"00",AND(D1896&lt;=2019,D1896&gt;=2010),"10"),"1908-1970")</f>
        <v>1908-1970</v>
      </c>
      <c r="F1896" s="3">
        <v>6.1805555555555558E-2</v>
      </c>
      <c r="G1896" t="s">
        <v>8303</v>
      </c>
      <c r="H1896" t="s">
        <v>5951</v>
      </c>
      <c r="I1896">
        <v>511</v>
      </c>
      <c r="J1896" t="s">
        <v>13276</v>
      </c>
      <c r="K1896" t="s">
        <v>13035</v>
      </c>
      <c r="L1896" s="7" t="s">
        <v>13277</v>
      </c>
      <c r="M1896">
        <v>181002904</v>
      </c>
      <c r="N1896">
        <v>72</v>
      </c>
      <c r="O1896">
        <v>64</v>
      </c>
      <c r="P1896">
        <v>8</v>
      </c>
      <c r="Q1896">
        <v>72</v>
      </c>
      <c r="R1896">
        <v>64</v>
      </c>
      <c r="S1896">
        <v>8</v>
      </c>
      <c r="T1896">
        <v>0</v>
      </c>
      <c r="U1896" t="s">
        <v>13278</v>
      </c>
      <c r="V1896">
        <f>Tabla1[[#This Row],[Aboard]]-Tabla1[[#This Row],[Fatalities]]</f>
        <v>0</v>
      </c>
      <c r="W1896" s="50">
        <f>IFERROR(Tabla1[[#This Row],[Fatalities]]/Tabla1[[#This Row],[Aboard]],0)</f>
        <v>1</v>
      </c>
      <c r="X1896" s="51" t="str" cm="1">
        <f t="array" ref="X1896">_xlfn.IFS(Tabla1[[#This Row],[Porcentaje de muertes]]&lt;0.35,"LEVE",AND(Tabla1[[#This Row],[Porcentaje de muertes]]&gt;0.35,Tabla1[[#This Row],[Porcentaje de muertes]]&lt;0.65),"MEDIO",Tabla1[[#This Row],[Porcentaje de muertes]]&gt;0.65,"GRAVE")</f>
        <v>GRAVE</v>
      </c>
    </row>
    <row r="1897" spans="2:24" x14ac:dyDescent="0.3">
      <c r="B1897" s="9">
        <v>1896</v>
      </c>
      <c r="C1897" s="49">
        <v>22481</v>
      </c>
      <c r="D1897" s="9">
        <f>YEAR(Tabla1[[#This Row],[Date]])</f>
        <v>1961</v>
      </c>
      <c r="E1897" s="9" t="str" cm="1">
        <f t="array" ref="E1897">IFERROR(_xlfn.IFS(AND(D1897&lt;1980,D1897&gt;=1970),"70",AND(D1897&lt;1990,D1897&gt;=1980),"80",AND(D1897&lt;2000,D1897&gt;=1990),"90",AND(D1897&lt;2010,D1897&gt;=2000),"00",AND(D1897&lt;=2019,D1897&gt;=2010),"10"),"1908-1970")</f>
        <v>1908-1970</v>
      </c>
      <c r="F1897" s="3">
        <v>0.33333333333333331</v>
      </c>
      <c r="G1897" t="s">
        <v>13279</v>
      </c>
      <c r="H1897" t="s">
        <v>10275</v>
      </c>
      <c r="I1897" t="s">
        <v>28931</v>
      </c>
      <c r="J1897" t="s">
        <v>13280</v>
      </c>
      <c r="K1897" t="s">
        <v>9230</v>
      </c>
      <c r="L1897" s="7" t="s">
        <v>13281</v>
      </c>
      <c r="M1897">
        <v>43136</v>
      </c>
      <c r="N1897">
        <v>67</v>
      </c>
      <c r="O1897">
        <v>60</v>
      </c>
      <c r="P1897">
        <v>7</v>
      </c>
      <c r="Q1897">
        <v>67</v>
      </c>
      <c r="R1897">
        <v>60</v>
      </c>
      <c r="S1897">
        <v>7</v>
      </c>
      <c r="T1897">
        <v>0</v>
      </c>
      <c r="U1897" t="s">
        <v>13282</v>
      </c>
      <c r="V1897">
        <f>Tabla1[[#This Row],[Aboard]]-Tabla1[[#This Row],[Fatalities]]</f>
        <v>0</v>
      </c>
      <c r="W1897" s="50">
        <f>IFERROR(Tabla1[[#This Row],[Fatalities]]/Tabla1[[#This Row],[Aboard]],0)</f>
        <v>1</v>
      </c>
      <c r="X1897" s="51" t="str" cm="1">
        <f t="array" ref="X1897">_xlfn.IFS(Tabla1[[#This Row],[Porcentaje de muertes]]&lt;0.35,"LEVE",AND(Tabla1[[#This Row],[Porcentaje de muertes]]&gt;0.35,Tabla1[[#This Row],[Porcentaje de muertes]]&lt;0.65),"MEDIO",Tabla1[[#This Row],[Porcentaje de muertes]]&gt;0.65,"GRAVE")</f>
        <v>GRAVE</v>
      </c>
    </row>
    <row r="1898" spans="2:24" x14ac:dyDescent="0.3">
      <c r="B1898" s="9">
        <v>1897</v>
      </c>
      <c r="C1898" s="49">
        <v>22483</v>
      </c>
      <c r="D1898" s="9">
        <f>YEAR(Tabla1[[#This Row],[Date]])</f>
        <v>1961</v>
      </c>
      <c r="E1898" s="9" t="str" cm="1">
        <f t="array" ref="E1898">IFERROR(_xlfn.IFS(AND(D1898&lt;1980,D1898&gt;=1970),"70",AND(D1898&lt;1990,D1898&gt;=1980),"80",AND(D1898&lt;2000,D1898&gt;=1990),"90",AND(D1898&lt;2010,D1898&gt;=2000),"00",AND(D1898&lt;=2019,D1898&gt;=2010),"10"),"1908-1970")</f>
        <v>1908-1970</v>
      </c>
      <c r="F1898" s="3">
        <v>9.0972222222222218E-2</v>
      </c>
      <c r="G1898" t="s">
        <v>13283</v>
      </c>
      <c r="H1898" t="s">
        <v>9289</v>
      </c>
      <c r="I1898" t="s">
        <v>28931</v>
      </c>
      <c r="J1898" t="s">
        <v>13284</v>
      </c>
      <c r="K1898" t="s">
        <v>11052</v>
      </c>
      <c r="L1898" s="7" t="s">
        <v>13285</v>
      </c>
      <c r="M1898" t="s">
        <v>13286</v>
      </c>
      <c r="N1898">
        <v>6</v>
      </c>
      <c r="O1898">
        <v>0</v>
      </c>
      <c r="P1898">
        <v>6</v>
      </c>
      <c r="Q1898">
        <v>6</v>
      </c>
      <c r="R1898">
        <v>0</v>
      </c>
      <c r="S1898">
        <v>6</v>
      </c>
      <c r="T1898">
        <v>0</v>
      </c>
      <c r="U1898" t="s">
        <v>13287</v>
      </c>
      <c r="V1898">
        <f>Tabla1[[#This Row],[Aboard]]-Tabla1[[#This Row],[Fatalities]]</f>
        <v>0</v>
      </c>
      <c r="W1898" s="50">
        <f>IFERROR(Tabla1[[#This Row],[Fatalities]]/Tabla1[[#This Row],[Aboard]],0)</f>
        <v>1</v>
      </c>
      <c r="X1898" s="51" t="str" cm="1">
        <f t="array" ref="X1898">_xlfn.IFS(Tabla1[[#This Row],[Porcentaje de muertes]]&lt;0.35,"LEVE",AND(Tabla1[[#This Row],[Porcentaje de muertes]]&gt;0.35,Tabla1[[#This Row],[Porcentaje de muertes]]&lt;0.65),"MEDIO",Tabla1[[#This Row],[Porcentaje de muertes]]&gt;0.65,"GRAVE")</f>
        <v>GRAVE</v>
      </c>
    </row>
    <row r="1899" spans="2:24" x14ac:dyDescent="0.3">
      <c r="B1899" s="9">
        <v>1898</v>
      </c>
      <c r="C1899" s="49">
        <v>22440</v>
      </c>
      <c r="D1899" s="9">
        <f>YEAR(Tabla1[[#This Row],[Date]])</f>
        <v>1961</v>
      </c>
      <c r="E1899" s="9" t="str" cm="1">
        <f t="array" ref="E1899">IFERROR(_xlfn.IFS(AND(D1899&lt;1980,D1899&gt;=1970),"70",AND(D1899&lt;1990,D1899&gt;=1980),"80",AND(D1899&lt;2000,D1899&gt;=1990),"90",AND(D1899&lt;2010,D1899&gt;=2000),"00",AND(D1899&lt;=2019,D1899&gt;=2010),"10"),"1908-1970")</f>
        <v>1908-1970</v>
      </c>
      <c r="F1899" s="3" t="s">
        <v>28931</v>
      </c>
      <c r="G1899" t="s">
        <v>5376</v>
      </c>
      <c r="H1899" t="s">
        <v>13288</v>
      </c>
      <c r="I1899" t="s">
        <v>28931</v>
      </c>
      <c r="J1899" t="s">
        <v>5494</v>
      </c>
      <c r="K1899" t="s">
        <v>7057</v>
      </c>
      <c r="L1899" s="7" t="s">
        <v>13289</v>
      </c>
      <c r="M1899">
        <v>20492</v>
      </c>
      <c r="N1899">
        <v>27</v>
      </c>
      <c r="O1899">
        <v>23</v>
      </c>
      <c r="P1899">
        <v>4</v>
      </c>
      <c r="Q1899">
        <v>27</v>
      </c>
      <c r="R1899">
        <v>23</v>
      </c>
      <c r="S1899">
        <v>4</v>
      </c>
      <c r="T1899">
        <v>3</v>
      </c>
      <c r="U1899" t="s">
        <v>13290</v>
      </c>
      <c r="V1899">
        <f>Tabla1[[#This Row],[Aboard]]-Tabla1[[#This Row],[Fatalities]]</f>
        <v>0</v>
      </c>
      <c r="W1899" s="50">
        <f>IFERROR(Tabla1[[#This Row],[Fatalities]]/Tabla1[[#This Row],[Aboard]],0)</f>
        <v>1</v>
      </c>
      <c r="X1899" s="51" t="str" cm="1">
        <f t="array" ref="X1899">_xlfn.IFS(Tabla1[[#This Row],[Porcentaje de muertes]]&lt;0.35,"LEVE",AND(Tabla1[[#This Row],[Porcentaje de muertes]]&gt;0.35,Tabla1[[#This Row],[Porcentaje de muertes]]&lt;0.65),"MEDIO",Tabla1[[#This Row],[Porcentaje de muertes]]&gt;0.65,"GRAVE")</f>
        <v>GRAVE</v>
      </c>
    </row>
    <row r="1900" spans="2:24" x14ac:dyDescent="0.3">
      <c r="B1900" s="9">
        <v>1899</v>
      </c>
      <c r="C1900" s="49">
        <v>22532</v>
      </c>
      <c r="D1900" s="9">
        <f>YEAR(Tabla1[[#This Row],[Date]])</f>
        <v>1961</v>
      </c>
      <c r="E1900" s="9" t="str" cm="1">
        <f t="array" ref="E1900">IFERROR(_xlfn.IFS(AND(D1900&lt;1980,D1900&gt;=1970),"70",AND(D1900&lt;1990,D1900&gt;=1980),"80",AND(D1900&lt;2000,D1900&gt;=1990),"90",AND(D1900&lt;2010,D1900&gt;=2000),"00",AND(D1900&lt;=2019,D1900&gt;=2010),"10"),"1908-1970")</f>
        <v>1908-1970</v>
      </c>
      <c r="F1900" s="3">
        <v>0.72916666666666663</v>
      </c>
      <c r="G1900" t="s">
        <v>13291</v>
      </c>
      <c r="H1900" t="s">
        <v>13292</v>
      </c>
      <c r="I1900" t="s">
        <v>28931</v>
      </c>
      <c r="J1900" t="s">
        <v>13293</v>
      </c>
      <c r="K1900" t="s">
        <v>13294</v>
      </c>
      <c r="L1900" s="7" t="s">
        <v>13295</v>
      </c>
      <c r="M1900">
        <v>152</v>
      </c>
      <c r="N1900">
        <v>39</v>
      </c>
      <c r="O1900">
        <v>36</v>
      </c>
      <c r="P1900">
        <v>3</v>
      </c>
      <c r="Q1900">
        <v>39</v>
      </c>
      <c r="R1900">
        <v>36</v>
      </c>
      <c r="S1900">
        <v>3</v>
      </c>
      <c r="T1900">
        <v>0</v>
      </c>
      <c r="U1900" t="s">
        <v>13296</v>
      </c>
      <c r="V1900">
        <f>Tabla1[[#This Row],[Aboard]]-Tabla1[[#This Row],[Fatalities]]</f>
        <v>0</v>
      </c>
      <c r="W1900" s="50">
        <f>IFERROR(Tabla1[[#This Row],[Fatalities]]/Tabla1[[#This Row],[Aboard]],0)</f>
        <v>1</v>
      </c>
      <c r="X1900" s="51" t="str" cm="1">
        <f t="array" ref="X1900">_xlfn.IFS(Tabla1[[#This Row],[Porcentaje de muertes]]&lt;0.35,"LEVE",AND(Tabla1[[#This Row],[Porcentaje de muertes]]&gt;0.35,Tabla1[[#This Row],[Porcentaje de muertes]]&lt;0.65),"MEDIO",Tabla1[[#This Row],[Porcentaje de muertes]]&gt;0.65,"GRAVE")</f>
        <v>GRAVE</v>
      </c>
    </row>
    <row r="1901" spans="2:24" x14ac:dyDescent="0.3">
      <c r="B1901" s="9">
        <v>1900</v>
      </c>
      <c r="C1901" s="49">
        <v>22516</v>
      </c>
      <c r="D1901" s="9">
        <f>YEAR(Tabla1[[#This Row],[Date]])</f>
        <v>1961</v>
      </c>
      <c r="E1901" s="9" t="str" cm="1">
        <f t="array" ref="E1901">IFERROR(_xlfn.IFS(AND(D1901&lt;1980,D1901&gt;=1970),"70",AND(D1901&lt;1990,D1901&gt;=1980),"80",AND(D1901&lt;2000,D1901&gt;=1990),"90",AND(D1901&lt;2010,D1901&gt;=2000),"00",AND(D1901&lt;=2019,D1901&gt;=2010),"10"),"1908-1970")</f>
        <v>1908-1970</v>
      </c>
      <c r="F1901" s="3">
        <v>0.83472222222222225</v>
      </c>
      <c r="G1901" t="s">
        <v>10043</v>
      </c>
      <c r="H1901" t="s">
        <v>13297</v>
      </c>
      <c r="I1901" t="s">
        <v>28931</v>
      </c>
      <c r="J1901" t="s">
        <v>13298</v>
      </c>
      <c r="K1901" t="s">
        <v>10927</v>
      </c>
      <c r="L1901" s="7" t="s">
        <v>13299</v>
      </c>
      <c r="M1901">
        <v>10182</v>
      </c>
      <c r="N1901">
        <v>29</v>
      </c>
      <c r="O1901">
        <v>25</v>
      </c>
      <c r="P1901">
        <v>4</v>
      </c>
      <c r="Q1901">
        <v>28</v>
      </c>
      <c r="R1901">
        <v>24</v>
      </c>
      <c r="S1901">
        <v>4</v>
      </c>
      <c r="T1901">
        <v>0</v>
      </c>
      <c r="U1901" t="s">
        <v>13300</v>
      </c>
      <c r="V1901">
        <f>Tabla1[[#This Row],[Aboard]]-Tabla1[[#This Row],[Fatalities]]</f>
        <v>1</v>
      </c>
      <c r="W1901" s="50">
        <f>IFERROR(Tabla1[[#This Row],[Fatalities]]/Tabla1[[#This Row],[Aboard]],0)</f>
        <v>0.96551724137931039</v>
      </c>
      <c r="X1901" s="51" t="str" cm="1">
        <f t="array" ref="X1901">_xlfn.IFS(Tabla1[[#This Row],[Porcentaje de muertes]]&lt;0.35,"LEVE",AND(Tabla1[[#This Row],[Porcentaje de muertes]]&gt;0.35,Tabla1[[#This Row],[Porcentaje de muertes]]&lt;0.65),"MEDIO",Tabla1[[#This Row],[Porcentaje de muertes]]&gt;0.65,"GRAVE")</f>
        <v>GRAVE</v>
      </c>
    </row>
    <row r="1902" spans="2:24" x14ac:dyDescent="0.3">
      <c r="B1902" s="9">
        <v>1901</v>
      </c>
      <c r="C1902" s="49">
        <v>22522</v>
      </c>
      <c r="D1902" s="9">
        <f>YEAR(Tabla1[[#This Row],[Date]])</f>
        <v>1961</v>
      </c>
      <c r="E1902" s="9" t="str" cm="1">
        <f t="array" ref="E1902">IFERROR(_xlfn.IFS(AND(D1902&lt;1980,D1902&gt;=1970),"70",AND(D1902&lt;1990,D1902&gt;=1980),"80",AND(D1902&lt;2000,D1902&gt;=1990),"90",AND(D1902&lt;2010,D1902&gt;=2000),"00",AND(D1902&lt;=2019,D1902&gt;=2010),"10"),"1908-1970")</f>
        <v>1908-1970</v>
      </c>
      <c r="F1902" s="3">
        <v>0.76527777777777783</v>
      </c>
      <c r="G1902" t="s">
        <v>13301</v>
      </c>
      <c r="H1902" t="s">
        <v>13302</v>
      </c>
      <c r="I1902" t="s">
        <v>28931</v>
      </c>
      <c r="J1902" t="s">
        <v>28931</v>
      </c>
      <c r="K1902" t="s">
        <v>12223</v>
      </c>
      <c r="L1902" s="7" t="s">
        <v>13303</v>
      </c>
      <c r="M1902" t="s">
        <v>28931</v>
      </c>
      <c r="N1902">
        <v>6</v>
      </c>
      <c r="O1902">
        <v>4</v>
      </c>
      <c r="P1902">
        <v>2</v>
      </c>
      <c r="Q1902">
        <v>1</v>
      </c>
      <c r="R1902">
        <v>0</v>
      </c>
      <c r="S1902">
        <v>1</v>
      </c>
      <c r="T1902">
        <v>0</v>
      </c>
      <c r="U1902" t="s">
        <v>13304</v>
      </c>
      <c r="V1902">
        <f>Tabla1[[#This Row],[Aboard]]-Tabla1[[#This Row],[Fatalities]]</f>
        <v>5</v>
      </c>
      <c r="W1902" s="50">
        <f>IFERROR(Tabla1[[#This Row],[Fatalities]]/Tabla1[[#This Row],[Aboard]],0)</f>
        <v>0.16666666666666666</v>
      </c>
      <c r="X1902" s="51" t="str" cm="1">
        <f t="array" ref="X1902">_xlfn.IFS(Tabla1[[#This Row],[Porcentaje de muertes]]&lt;0.35,"LEVE",AND(Tabla1[[#This Row],[Porcentaje de muertes]]&gt;0.35,Tabla1[[#This Row],[Porcentaje de muertes]]&lt;0.65),"MEDIO",Tabla1[[#This Row],[Porcentaje de muertes]]&gt;0.65,"GRAVE")</f>
        <v>LEVE</v>
      </c>
    </row>
    <row r="1903" spans="2:24" x14ac:dyDescent="0.3">
      <c r="B1903" s="9">
        <v>1902</v>
      </c>
      <c r="C1903" s="49">
        <v>22290</v>
      </c>
      <c r="D1903" s="9">
        <f>YEAR(Tabla1[[#This Row],[Date]])</f>
        <v>1961</v>
      </c>
      <c r="E1903" s="9" t="str" cm="1">
        <f t="array" ref="E1903">IFERROR(_xlfn.IFS(AND(D1903&lt;1980,D1903&gt;=1970),"70",AND(D1903&lt;1990,D1903&gt;=1980),"80",AND(D1903&lt;2000,D1903&gt;=1990),"90",AND(D1903&lt;2010,D1903&gt;=2000),"00",AND(D1903&lt;=2019,D1903&gt;=2010),"10"),"1908-1970")</f>
        <v>1908-1970</v>
      </c>
      <c r="F1903" s="3">
        <v>8.6805555555555566E-2</v>
      </c>
      <c r="G1903" t="s">
        <v>13305</v>
      </c>
      <c r="H1903" t="s">
        <v>10166</v>
      </c>
      <c r="I1903">
        <v>529</v>
      </c>
      <c r="J1903" t="s">
        <v>13306</v>
      </c>
      <c r="K1903" t="s">
        <v>10138</v>
      </c>
      <c r="L1903" s="7" t="s">
        <v>13307</v>
      </c>
      <c r="M1903">
        <v>2035</v>
      </c>
      <c r="N1903">
        <v>78</v>
      </c>
      <c r="O1903">
        <v>73</v>
      </c>
      <c r="P1903">
        <v>5</v>
      </c>
      <c r="Q1903">
        <v>78</v>
      </c>
      <c r="R1903">
        <v>73</v>
      </c>
      <c r="S1903">
        <v>5</v>
      </c>
      <c r="T1903">
        <v>0</v>
      </c>
      <c r="U1903" t="s">
        <v>13308</v>
      </c>
      <c r="V1903">
        <f>Tabla1[[#This Row],[Aboard]]-Tabla1[[#This Row],[Fatalities]]</f>
        <v>0</v>
      </c>
      <c r="W1903" s="50">
        <f>IFERROR(Tabla1[[#This Row],[Fatalities]]/Tabla1[[#This Row],[Aboard]],0)</f>
        <v>1</v>
      </c>
      <c r="X1903" s="51" t="str" cm="1">
        <f t="array" ref="X1903">_xlfn.IFS(Tabla1[[#This Row],[Porcentaje de muertes]]&lt;0.35,"LEVE",AND(Tabla1[[#This Row],[Porcentaje de muertes]]&gt;0.35,Tabla1[[#This Row],[Porcentaje de muertes]]&lt;0.65),"MEDIO",Tabla1[[#This Row],[Porcentaje de muertes]]&gt;0.65,"GRAVE")</f>
        <v>GRAVE</v>
      </c>
    </row>
    <row r="1904" spans="2:24" x14ac:dyDescent="0.3">
      <c r="B1904" s="9">
        <v>1903</v>
      </c>
      <c r="C1904" s="49">
        <v>22410</v>
      </c>
      <c r="D1904" s="9">
        <f>YEAR(Tabla1[[#This Row],[Date]])</f>
        <v>1961</v>
      </c>
      <c r="E1904" s="9" t="str" cm="1">
        <f t="array" ref="E1904">IFERROR(_xlfn.IFS(AND(D1904&lt;1980,D1904&gt;=1970),"70",AND(D1904&lt;1990,D1904&gt;=1980),"80",AND(D1904&lt;2000,D1904&gt;=1990),"90",AND(D1904&lt;2010,D1904&gt;=2000),"00",AND(D1904&lt;=2019,D1904&gt;=2010),"10"),"1908-1970")</f>
        <v>1908-1970</v>
      </c>
      <c r="F1904" s="3" t="s">
        <v>28931</v>
      </c>
      <c r="G1904" t="s">
        <v>13309</v>
      </c>
      <c r="H1904" t="s">
        <v>13000</v>
      </c>
      <c r="I1904" t="s">
        <v>28931</v>
      </c>
      <c r="J1904" t="s">
        <v>13310</v>
      </c>
      <c r="K1904" t="s">
        <v>7057</v>
      </c>
      <c r="L1904" s="7" t="s">
        <v>13311</v>
      </c>
      <c r="M1904">
        <v>13305</v>
      </c>
      <c r="N1904">
        <v>19</v>
      </c>
      <c r="O1904">
        <v>16</v>
      </c>
      <c r="P1904">
        <v>3</v>
      </c>
      <c r="Q1904">
        <v>5</v>
      </c>
      <c r="R1904">
        <v>4</v>
      </c>
      <c r="S1904">
        <v>1</v>
      </c>
      <c r="T1904">
        <v>0</v>
      </c>
      <c r="U1904" t="s">
        <v>13312</v>
      </c>
      <c r="V1904">
        <f>Tabla1[[#This Row],[Aboard]]-Tabla1[[#This Row],[Fatalities]]</f>
        <v>14</v>
      </c>
      <c r="W1904" s="50">
        <f>IFERROR(Tabla1[[#This Row],[Fatalities]]/Tabla1[[#This Row],[Aboard]],0)</f>
        <v>0.26315789473684209</v>
      </c>
      <c r="X1904" s="51" t="str" cm="1">
        <f t="array" ref="X1904">_xlfn.IFS(Tabla1[[#This Row],[Porcentaje de muertes]]&lt;0.35,"LEVE",AND(Tabla1[[#This Row],[Porcentaje de muertes]]&gt;0.35,Tabla1[[#This Row],[Porcentaje de muertes]]&lt;0.65),"MEDIO",Tabla1[[#This Row],[Porcentaje de muertes]]&gt;0.65,"GRAVE")</f>
        <v>LEVE</v>
      </c>
    </row>
    <row r="1905" spans="2:24" x14ac:dyDescent="0.3">
      <c r="B1905" s="9">
        <v>1904</v>
      </c>
      <c r="C1905" s="49">
        <v>22441</v>
      </c>
      <c r="D1905" s="9">
        <f>YEAR(Tabla1[[#This Row],[Date]])</f>
        <v>1961</v>
      </c>
      <c r="E1905" s="9" t="str" cm="1">
        <f t="array" ref="E1905">IFERROR(_xlfn.IFS(AND(D1905&lt;1980,D1905&gt;=1970),"70",AND(D1905&lt;1990,D1905&gt;=1980),"80",AND(D1905&lt;2000,D1905&gt;=1990),"90",AND(D1905&lt;2010,D1905&gt;=2000),"00",AND(D1905&lt;=2019,D1905&gt;=2010),"10"),"1908-1970")</f>
        <v>1908-1970</v>
      </c>
      <c r="F1905" s="3" t="s">
        <v>28931</v>
      </c>
      <c r="G1905" t="s">
        <v>13313</v>
      </c>
      <c r="H1905" t="s">
        <v>13314</v>
      </c>
      <c r="I1905" t="s">
        <v>28931</v>
      </c>
      <c r="J1905" t="s">
        <v>13315</v>
      </c>
      <c r="K1905" t="s">
        <v>13316</v>
      </c>
      <c r="L1905" s="7" t="s">
        <v>13317</v>
      </c>
      <c r="M1905">
        <v>9886</v>
      </c>
      <c r="N1905">
        <v>4</v>
      </c>
      <c r="O1905">
        <v>0</v>
      </c>
      <c r="P1905">
        <v>4</v>
      </c>
      <c r="Q1905">
        <v>4</v>
      </c>
      <c r="R1905">
        <v>0</v>
      </c>
      <c r="S1905">
        <v>4</v>
      </c>
      <c r="T1905" t="s">
        <v>5038</v>
      </c>
      <c r="U1905" t="s">
        <v>13318</v>
      </c>
      <c r="V1905">
        <f>Tabla1[[#This Row],[Aboard]]-Tabla1[[#This Row],[Fatalities]]</f>
        <v>0</v>
      </c>
      <c r="W1905" s="50">
        <f>IFERROR(Tabla1[[#This Row],[Fatalities]]/Tabla1[[#This Row],[Aboard]],0)</f>
        <v>1</v>
      </c>
      <c r="X1905" s="51" t="str" cm="1">
        <f t="array" ref="X1905">_xlfn.IFS(Tabla1[[#This Row],[Porcentaje de muertes]]&lt;0.35,"LEVE",AND(Tabla1[[#This Row],[Porcentaje de muertes]]&gt;0.35,Tabla1[[#This Row],[Porcentaje de muertes]]&lt;0.65),"MEDIO",Tabla1[[#This Row],[Porcentaje de muertes]]&gt;0.65,"GRAVE")</f>
        <v>GRAVE</v>
      </c>
    </row>
    <row r="1906" spans="2:24" x14ac:dyDescent="0.3">
      <c r="B1906" s="9">
        <v>1905</v>
      </c>
      <c r="C1906" s="49">
        <v>22441</v>
      </c>
      <c r="D1906" s="9">
        <f>YEAR(Tabla1[[#This Row],[Date]])</f>
        <v>1961</v>
      </c>
      <c r="E1906" s="9" t="str" cm="1">
        <f t="array" ref="E1906">IFERROR(_xlfn.IFS(AND(D1906&lt;1980,D1906&gt;=1970),"70",AND(D1906&lt;1990,D1906&gt;=1980),"80",AND(D1906&lt;2000,D1906&gt;=1990),"90",AND(D1906&lt;2010,D1906&gt;=2000),"00",AND(D1906&lt;=2019,D1906&gt;=2010),"10"),"1908-1970")</f>
        <v>1908-1970</v>
      </c>
      <c r="F1906" s="3" t="s">
        <v>28931</v>
      </c>
      <c r="G1906" t="s">
        <v>13319</v>
      </c>
      <c r="H1906" t="s">
        <v>13320</v>
      </c>
      <c r="I1906" t="s">
        <v>28931</v>
      </c>
      <c r="J1906" t="s">
        <v>28931</v>
      </c>
      <c r="K1906" t="s">
        <v>7057</v>
      </c>
      <c r="L1906" s="7" t="s">
        <v>13321</v>
      </c>
      <c r="M1906">
        <v>4960</v>
      </c>
      <c r="N1906">
        <v>2</v>
      </c>
      <c r="O1906">
        <v>0</v>
      </c>
      <c r="P1906">
        <v>2</v>
      </c>
      <c r="Q1906">
        <v>2</v>
      </c>
      <c r="R1906">
        <v>0</v>
      </c>
      <c r="S1906">
        <v>2</v>
      </c>
      <c r="T1906">
        <v>0</v>
      </c>
      <c r="U1906" t="s">
        <v>13322</v>
      </c>
      <c r="V1906">
        <f>Tabla1[[#This Row],[Aboard]]-Tabla1[[#This Row],[Fatalities]]</f>
        <v>0</v>
      </c>
      <c r="W1906" s="50">
        <f>IFERROR(Tabla1[[#This Row],[Fatalities]]/Tabla1[[#This Row],[Aboard]],0)</f>
        <v>1</v>
      </c>
      <c r="X1906" s="51" t="str" cm="1">
        <f t="array" ref="X1906">_xlfn.IFS(Tabla1[[#This Row],[Porcentaje de muertes]]&lt;0.35,"LEVE",AND(Tabla1[[#This Row],[Porcentaje de muertes]]&gt;0.35,Tabla1[[#This Row],[Porcentaje de muertes]]&lt;0.65),"MEDIO",Tabla1[[#This Row],[Porcentaje de muertes]]&gt;0.65,"GRAVE")</f>
        <v>GRAVE</v>
      </c>
    </row>
    <row r="1907" spans="2:24" x14ac:dyDescent="0.3">
      <c r="B1907" s="9">
        <v>1906</v>
      </c>
      <c r="C1907" s="49">
        <v>22563</v>
      </c>
      <c r="D1907" s="9">
        <f>YEAR(Tabla1[[#This Row],[Date]])</f>
        <v>1961</v>
      </c>
      <c r="E1907" s="9" t="str" cm="1">
        <f t="array" ref="E1907">IFERROR(_xlfn.IFS(AND(D1907&lt;1980,D1907&gt;=1970),"70",AND(D1907&lt;1990,D1907&gt;=1980),"80",AND(D1907&lt;2000,D1907&gt;=1990),"90",AND(D1907&lt;2010,D1907&gt;=2000),"00",AND(D1907&lt;=2019,D1907&gt;=2010),"10"),"1908-1970")</f>
        <v>1908-1970</v>
      </c>
      <c r="F1907" s="3">
        <v>0.16319444444444445</v>
      </c>
      <c r="G1907" t="s">
        <v>9445</v>
      </c>
      <c r="H1907" t="s">
        <v>13323</v>
      </c>
      <c r="I1907" t="s">
        <v>28931</v>
      </c>
      <c r="J1907" t="s">
        <v>13324</v>
      </c>
      <c r="K1907" t="s">
        <v>10428</v>
      </c>
      <c r="L1907" s="7" t="s">
        <v>13325</v>
      </c>
      <c r="M1907" t="s">
        <v>13326</v>
      </c>
      <c r="N1907">
        <v>83</v>
      </c>
      <c r="O1907">
        <v>77</v>
      </c>
      <c r="P1907">
        <v>6</v>
      </c>
      <c r="Q1907">
        <v>83</v>
      </c>
      <c r="R1907">
        <v>77</v>
      </c>
      <c r="S1907">
        <v>6</v>
      </c>
      <c r="T1907">
        <v>0</v>
      </c>
      <c r="U1907" t="s">
        <v>13327</v>
      </c>
      <c r="V1907">
        <f>Tabla1[[#This Row],[Aboard]]-Tabla1[[#This Row],[Fatalities]]</f>
        <v>0</v>
      </c>
      <c r="W1907" s="50">
        <f>IFERROR(Tabla1[[#This Row],[Fatalities]]/Tabla1[[#This Row],[Aboard]],0)</f>
        <v>1</v>
      </c>
      <c r="X1907" s="51" t="str" cm="1">
        <f t="array" ref="X1907">_xlfn.IFS(Tabla1[[#This Row],[Porcentaje de muertes]]&lt;0.35,"LEVE",AND(Tabla1[[#This Row],[Porcentaje de muertes]]&gt;0.35,Tabla1[[#This Row],[Porcentaje de muertes]]&lt;0.65),"MEDIO",Tabla1[[#This Row],[Porcentaje de muertes]]&gt;0.65,"GRAVE")</f>
        <v>GRAVE</v>
      </c>
    </row>
    <row r="1908" spans="2:24" x14ac:dyDescent="0.3">
      <c r="B1908" s="9">
        <v>1907</v>
      </c>
      <c r="C1908" s="49">
        <v>22624</v>
      </c>
      <c r="D1908" s="9">
        <f>YEAR(Tabla1[[#This Row],[Date]])</f>
        <v>1961</v>
      </c>
      <c r="E1908" s="9" t="str" cm="1">
        <f t="array" ref="E1908">IFERROR(_xlfn.IFS(AND(D1908&lt;1980,D1908&gt;=1970),"70",AND(D1908&lt;1990,D1908&gt;=1980),"80",AND(D1908&lt;2000,D1908&gt;=1990),"90",AND(D1908&lt;2010,D1908&gt;=2000),"00",AND(D1908&lt;=2019,D1908&gt;=2010),"10"),"1908-1970")</f>
        <v>1908-1970</v>
      </c>
      <c r="F1908" s="3">
        <v>0.92291666666666661</v>
      </c>
      <c r="G1908" t="s">
        <v>13328</v>
      </c>
      <c r="H1908" t="s">
        <v>6375</v>
      </c>
      <c r="I1908">
        <v>2005</v>
      </c>
      <c r="J1908" t="s">
        <v>13329</v>
      </c>
      <c r="K1908" t="s">
        <v>13330</v>
      </c>
      <c r="L1908" s="7" t="s">
        <v>13331</v>
      </c>
      <c r="M1908">
        <v>68</v>
      </c>
      <c r="N1908">
        <v>77</v>
      </c>
      <c r="O1908">
        <v>71</v>
      </c>
      <c r="P1908">
        <v>6</v>
      </c>
      <c r="Q1908">
        <v>77</v>
      </c>
      <c r="R1908">
        <v>71</v>
      </c>
      <c r="S1908">
        <v>6</v>
      </c>
      <c r="T1908">
        <v>0</v>
      </c>
      <c r="U1908" t="s">
        <v>13332</v>
      </c>
      <c r="V1908">
        <f>Tabla1[[#This Row],[Aboard]]-Tabla1[[#This Row],[Fatalities]]</f>
        <v>0</v>
      </c>
      <c r="W1908" s="50">
        <f>IFERROR(Tabla1[[#This Row],[Fatalities]]/Tabla1[[#This Row],[Aboard]],0)</f>
        <v>1</v>
      </c>
      <c r="X1908" s="51" t="str" cm="1">
        <f t="array" ref="X1908">_xlfn.IFS(Tabla1[[#This Row],[Porcentaje de muertes]]&lt;0.35,"LEVE",AND(Tabla1[[#This Row],[Porcentaje de muertes]]&gt;0.35,Tabla1[[#This Row],[Porcentaje de muertes]]&lt;0.65),"MEDIO",Tabla1[[#This Row],[Porcentaje de muertes]]&gt;0.65,"GRAVE")</f>
        <v>GRAVE</v>
      </c>
    </row>
    <row r="1909" spans="2:24" x14ac:dyDescent="0.3">
      <c r="B1909" s="9">
        <v>1908</v>
      </c>
      <c r="C1909" s="49">
        <v>22541</v>
      </c>
      <c r="D1909" s="9">
        <f>YEAR(Tabla1[[#This Row],[Date]])</f>
        <v>1961</v>
      </c>
      <c r="E1909" s="9" t="str" cm="1">
        <f t="array" ref="E1909">IFERROR(_xlfn.IFS(AND(D1909&lt;1980,D1909&gt;=1970),"70",AND(D1909&lt;1990,D1909&gt;=1980),"80",AND(D1909&lt;2000,D1909&gt;=1990),"90",AND(D1909&lt;2010,D1909&gt;=2000),"00",AND(D1909&lt;=2019,D1909&gt;=2010),"10"),"1908-1970")</f>
        <v>1908-1970</v>
      </c>
      <c r="F1909" s="3">
        <v>0.37291666666666662</v>
      </c>
      <c r="G1909" t="s">
        <v>5103</v>
      </c>
      <c r="H1909" t="s">
        <v>5769</v>
      </c>
      <c r="I1909">
        <v>706</v>
      </c>
      <c r="J1909" t="s">
        <v>13333</v>
      </c>
      <c r="K1909" t="s">
        <v>12904</v>
      </c>
      <c r="L1909" s="7" t="s">
        <v>13334</v>
      </c>
      <c r="M1909">
        <v>1142</v>
      </c>
      <c r="N1909">
        <v>37</v>
      </c>
      <c r="O1909">
        <v>32</v>
      </c>
      <c r="P1909">
        <v>5</v>
      </c>
      <c r="Q1909">
        <v>37</v>
      </c>
      <c r="R1909">
        <v>32</v>
      </c>
      <c r="S1909">
        <v>5</v>
      </c>
      <c r="T1909">
        <v>0</v>
      </c>
      <c r="U1909" t="s">
        <v>13335</v>
      </c>
      <c r="V1909">
        <f>Tabla1[[#This Row],[Aboard]]-Tabla1[[#This Row],[Fatalities]]</f>
        <v>0</v>
      </c>
      <c r="W1909" s="50">
        <f>IFERROR(Tabla1[[#This Row],[Fatalities]]/Tabla1[[#This Row],[Aboard]],0)</f>
        <v>1</v>
      </c>
      <c r="X1909" s="51" t="str" cm="1">
        <f t="array" ref="X1909">_xlfn.IFS(Tabla1[[#This Row],[Porcentaje de muertes]]&lt;0.35,"LEVE",AND(Tabla1[[#This Row],[Porcentaje de muertes]]&gt;0.35,Tabla1[[#This Row],[Porcentaje de muertes]]&lt;0.65),"MEDIO",Tabla1[[#This Row],[Porcentaje de muertes]]&gt;0.65,"GRAVE")</f>
        <v>GRAVE</v>
      </c>
    </row>
    <row r="1910" spans="2:24" x14ac:dyDescent="0.3">
      <c r="B1910" s="9">
        <v>1909</v>
      </c>
      <c r="C1910" s="49">
        <v>22541</v>
      </c>
      <c r="D1910" s="9">
        <f>YEAR(Tabla1[[#This Row],[Date]])</f>
        <v>1961</v>
      </c>
      <c r="E1910" s="9" t="str" cm="1">
        <f t="array" ref="E1910">IFERROR(_xlfn.IFS(AND(D1910&lt;1980,D1910&gt;=1970),"70",AND(D1910&lt;1990,D1910&gt;=1980),"80",AND(D1910&lt;2000,D1910&gt;=1990),"90",AND(D1910&lt;2010,D1910&gt;=2000),"00",AND(D1910&lt;=2019,D1910&gt;=2010),"10"),"1908-1970")</f>
        <v>1908-1970</v>
      </c>
      <c r="F1910" s="3">
        <v>0.92569444444444438</v>
      </c>
      <c r="G1910" t="s">
        <v>13336</v>
      </c>
      <c r="H1910" t="s">
        <v>13337</v>
      </c>
      <c r="I1910" t="s">
        <v>28931</v>
      </c>
      <c r="J1910" t="s">
        <v>13338</v>
      </c>
      <c r="K1910" t="s">
        <v>10428</v>
      </c>
      <c r="L1910" s="7" t="s">
        <v>13339</v>
      </c>
      <c r="M1910">
        <v>43559</v>
      </c>
      <c r="N1910">
        <v>16</v>
      </c>
      <c r="O1910">
        <v>11</v>
      </c>
      <c r="P1910">
        <v>5</v>
      </c>
      <c r="Q1910">
        <v>16</v>
      </c>
      <c r="R1910">
        <v>11</v>
      </c>
      <c r="S1910">
        <v>5</v>
      </c>
      <c r="T1910">
        <v>0</v>
      </c>
      <c r="U1910" t="s">
        <v>13340</v>
      </c>
      <c r="V1910">
        <f>Tabla1[[#This Row],[Aboard]]-Tabla1[[#This Row],[Fatalities]]</f>
        <v>0</v>
      </c>
      <c r="W1910" s="50">
        <f>IFERROR(Tabla1[[#This Row],[Fatalities]]/Tabla1[[#This Row],[Aboard]],0)</f>
        <v>1</v>
      </c>
      <c r="X1910" s="51" t="str" cm="1">
        <f t="array" ref="X1910">_xlfn.IFS(Tabla1[[#This Row],[Porcentaje de muertes]]&lt;0.35,"LEVE",AND(Tabla1[[#This Row],[Porcentaje de muertes]]&gt;0.35,Tabla1[[#This Row],[Porcentaje de muertes]]&lt;0.65),"MEDIO",Tabla1[[#This Row],[Porcentaje de muertes]]&gt;0.65,"GRAVE")</f>
        <v>GRAVE</v>
      </c>
    </row>
    <row r="1911" spans="2:24" x14ac:dyDescent="0.3">
      <c r="B1911" s="9">
        <v>1910</v>
      </c>
      <c r="C1911" s="49">
        <v>22547</v>
      </c>
      <c r="D1911" s="9">
        <f>YEAR(Tabla1[[#This Row],[Date]])</f>
        <v>1961</v>
      </c>
      <c r="E1911" s="9" t="str" cm="1">
        <f t="array" ref="E1911">IFERROR(_xlfn.IFS(AND(D1911&lt;1980,D1911&gt;=1970),"70",AND(D1911&lt;1990,D1911&gt;=1980),"80",AND(D1911&lt;2000,D1911&gt;=1990),"90",AND(D1911&lt;2010,D1911&gt;=2000),"00",AND(D1911&lt;=2019,D1911&gt;=2010),"10"),"1908-1970")</f>
        <v>1908-1970</v>
      </c>
      <c r="F1911" s="3">
        <v>0.75138888888888899</v>
      </c>
      <c r="G1911" t="s">
        <v>10043</v>
      </c>
      <c r="H1911" t="s">
        <v>12613</v>
      </c>
      <c r="I1911" t="s">
        <v>28931</v>
      </c>
      <c r="J1911" t="s">
        <v>13341</v>
      </c>
      <c r="K1911" t="s">
        <v>12968</v>
      </c>
      <c r="L1911" s="7" t="s">
        <v>13299</v>
      </c>
      <c r="M1911">
        <v>10182</v>
      </c>
      <c r="N1911">
        <v>29</v>
      </c>
      <c r="O1911">
        <v>25</v>
      </c>
      <c r="P1911">
        <v>4</v>
      </c>
      <c r="Q1911">
        <v>28</v>
      </c>
      <c r="R1911">
        <v>24</v>
      </c>
      <c r="S1911">
        <v>4</v>
      </c>
      <c r="T1911">
        <v>0</v>
      </c>
      <c r="U1911" t="s">
        <v>13342</v>
      </c>
      <c r="V1911">
        <f>Tabla1[[#This Row],[Aboard]]-Tabla1[[#This Row],[Fatalities]]</f>
        <v>1</v>
      </c>
      <c r="W1911" s="50">
        <f>IFERROR(Tabla1[[#This Row],[Fatalities]]/Tabla1[[#This Row],[Aboard]],0)</f>
        <v>0.96551724137931039</v>
      </c>
      <c r="X1911" s="51" t="str" cm="1">
        <f t="array" ref="X1911">_xlfn.IFS(Tabla1[[#This Row],[Porcentaje de muertes]]&lt;0.35,"LEVE",AND(Tabla1[[#This Row],[Porcentaje de muertes]]&gt;0.35,Tabla1[[#This Row],[Porcentaje de muertes]]&lt;0.65),"MEDIO",Tabla1[[#This Row],[Porcentaje de muertes]]&gt;0.65,"GRAVE")</f>
        <v>GRAVE</v>
      </c>
    </row>
    <row r="1912" spans="2:24" x14ac:dyDescent="0.3">
      <c r="B1912" s="9">
        <v>1911</v>
      </c>
      <c r="C1912" s="49">
        <v>22472</v>
      </c>
      <c r="D1912" s="9">
        <f>YEAR(Tabla1[[#This Row],[Date]])</f>
        <v>1961</v>
      </c>
      <c r="E1912" s="9" t="str" cm="1">
        <f t="array" ref="E1912">IFERROR(_xlfn.IFS(AND(D1912&lt;1980,D1912&gt;=1970),"70",AND(D1912&lt;1990,D1912&gt;=1980),"80",AND(D1912&lt;2000,D1912&gt;=1990),"90",AND(D1912&lt;2010,D1912&gt;=2000),"00",AND(D1912&lt;=2019,D1912&gt;=2010),"10"),"1908-1970")</f>
        <v>1908-1970</v>
      </c>
      <c r="F1912" s="3">
        <v>8.3333333333333329E-2</v>
      </c>
      <c r="G1912" t="s">
        <v>13343</v>
      </c>
      <c r="H1912" t="s">
        <v>13344</v>
      </c>
      <c r="I1912" t="s">
        <v>28931</v>
      </c>
      <c r="J1912" t="s">
        <v>13345</v>
      </c>
      <c r="K1912" t="s">
        <v>7057</v>
      </c>
      <c r="L1912" s="7" t="s">
        <v>13346</v>
      </c>
      <c r="M1912" t="s">
        <v>13347</v>
      </c>
      <c r="N1912">
        <v>34</v>
      </c>
      <c r="O1912">
        <v>31</v>
      </c>
      <c r="P1912">
        <v>3</v>
      </c>
      <c r="Q1912">
        <v>34</v>
      </c>
      <c r="R1912">
        <v>31</v>
      </c>
      <c r="S1912">
        <v>3</v>
      </c>
      <c r="T1912">
        <v>0</v>
      </c>
      <c r="U1912" t="s">
        <v>13348</v>
      </c>
      <c r="V1912">
        <f>Tabla1[[#This Row],[Aboard]]-Tabla1[[#This Row],[Fatalities]]</f>
        <v>0</v>
      </c>
      <c r="W1912" s="50">
        <f>IFERROR(Tabla1[[#This Row],[Fatalities]]/Tabla1[[#This Row],[Aboard]],0)</f>
        <v>1</v>
      </c>
      <c r="X1912" s="51" t="str" cm="1">
        <f t="array" ref="X1912">_xlfn.IFS(Tabla1[[#This Row],[Porcentaje de muertes]]&lt;0.35,"LEVE",AND(Tabla1[[#This Row],[Porcentaje de muertes]]&gt;0.35,Tabla1[[#This Row],[Porcentaje de muertes]]&lt;0.65),"MEDIO",Tabla1[[#This Row],[Porcentaje de muertes]]&gt;0.65,"GRAVE")</f>
        <v>GRAVE</v>
      </c>
    </row>
    <row r="1913" spans="2:24" x14ac:dyDescent="0.3">
      <c r="B1913" s="9">
        <v>1912</v>
      </c>
      <c r="C1913" s="49">
        <v>22564</v>
      </c>
      <c r="D1913" s="9">
        <f>YEAR(Tabla1[[#This Row],[Date]])</f>
        <v>1961</v>
      </c>
      <c r="E1913" s="9" t="str" cm="1">
        <f t="array" ref="E1913">IFERROR(_xlfn.IFS(AND(D1913&lt;1980,D1913&gt;=1970),"70",AND(D1913&lt;1990,D1913&gt;=1980),"80",AND(D1913&lt;2000,D1913&gt;=1990),"90",AND(D1913&lt;2010,D1913&gt;=2000),"00",AND(D1913&lt;=2019,D1913&gt;=2010),"10"),"1908-1970")</f>
        <v>1908-1970</v>
      </c>
      <c r="F1913" s="3" t="s">
        <v>28931</v>
      </c>
      <c r="G1913" t="s">
        <v>13349</v>
      </c>
      <c r="H1913" t="s">
        <v>7665</v>
      </c>
      <c r="I1913" t="s">
        <v>28931</v>
      </c>
      <c r="J1913" t="s">
        <v>13350</v>
      </c>
      <c r="K1913" t="s">
        <v>13241</v>
      </c>
      <c r="L1913" s="7" t="s">
        <v>13351</v>
      </c>
      <c r="M1913">
        <v>126</v>
      </c>
      <c r="N1913">
        <v>37</v>
      </c>
      <c r="O1913">
        <v>34</v>
      </c>
      <c r="P1913">
        <v>3</v>
      </c>
      <c r="Q1913">
        <v>17</v>
      </c>
      <c r="R1913">
        <v>16</v>
      </c>
      <c r="S1913">
        <v>1</v>
      </c>
      <c r="T1913">
        <v>0</v>
      </c>
      <c r="U1913" t="s">
        <v>13352</v>
      </c>
      <c r="V1913">
        <f>Tabla1[[#This Row],[Aboard]]-Tabla1[[#This Row],[Fatalities]]</f>
        <v>20</v>
      </c>
      <c r="W1913" s="50">
        <f>IFERROR(Tabla1[[#This Row],[Fatalities]]/Tabla1[[#This Row],[Aboard]],0)</f>
        <v>0.45945945945945948</v>
      </c>
      <c r="X1913" s="51" t="str" cm="1">
        <f t="array" ref="X1913">_xlfn.IFS(Tabla1[[#This Row],[Porcentaje de muertes]]&lt;0.35,"LEVE",AND(Tabla1[[#This Row],[Porcentaje de muertes]]&gt;0.35,Tabla1[[#This Row],[Porcentaje de muertes]]&lt;0.65),"MEDIO",Tabla1[[#This Row],[Porcentaje de muertes]]&gt;0.65,"GRAVE")</f>
        <v>MEDIO</v>
      </c>
    </row>
    <row r="1914" spans="2:24" x14ac:dyDescent="0.3">
      <c r="B1914" s="9">
        <v>1913</v>
      </c>
      <c r="C1914" s="49">
        <v>22292</v>
      </c>
      <c r="D1914" s="9">
        <f>YEAR(Tabla1[[#This Row],[Date]])</f>
        <v>1961</v>
      </c>
      <c r="E1914" s="9" t="str" cm="1">
        <f t="array" ref="E1914">IFERROR(_xlfn.IFS(AND(D1914&lt;1980,D1914&gt;=1970),"70",AND(D1914&lt;1990,D1914&gt;=1980),"80",AND(D1914&lt;2000,D1914&gt;=1990),"90",AND(D1914&lt;2010,D1914&gt;=2000),"00",AND(D1914&lt;=2019,D1914&gt;=2010),"10"),"1908-1970")</f>
        <v>1908-1970</v>
      </c>
      <c r="F1914" s="3">
        <v>9.375E-2</v>
      </c>
      <c r="G1914" t="s">
        <v>13353</v>
      </c>
      <c r="H1914" t="s">
        <v>7669</v>
      </c>
      <c r="I1914" t="s">
        <v>28931</v>
      </c>
      <c r="J1914" t="s">
        <v>13354</v>
      </c>
      <c r="K1914" t="s">
        <v>12348</v>
      </c>
      <c r="L1914" s="7" t="s">
        <v>13355</v>
      </c>
      <c r="M1914">
        <v>44872</v>
      </c>
      <c r="N1914">
        <v>88</v>
      </c>
      <c r="O1914">
        <v>79</v>
      </c>
      <c r="P1914">
        <v>9</v>
      </c>
      <c r="Q1914">
        <v>45</v>
      </c>
      <c r="R1914">
        <v>38</v>
      </c>
      <c r="S1914">
        <v>7</v>
      </c>
      <c r="T1914">
        <v>0</v>
      </c>
      <c r="U1914" t="s">
        <v>13356</v>
      </c>
      <c r="V1914">
        <f>Tabla1[[#This Row],[Aboard]]-Tabla1[[#This Row],[Fatalities]]</f>
        <v>43</v>
      </c>
      <c r="W1914" s="50">
        <f>IFERROR(Tabla1[[#This Row],[Fatalities]]/Tabla1[[#This Row],[Aboard]],0)</f>
        <v>0.51136363636363635</v>
      </c>
      <c r="X1914" s="51" t="str" cm="1">
        <f t="array" ref="X1914">_xlfn.IFS(Tabla1[[#This Row],[Porcentaje de muertes]]&lt;0.35,"LEVE",AND(Tabla1[[#This Row],[Porcentaje de muertes]]&gt;0.35,Tabla1[[#This Row],[Porcentaje de muertes]]&lt;0.65),"MEDIO",Tabla1[[#This Row],[Porcentaje de muertes]]&gt;0.65,"GRAVE")</f>
        <v>MEDIO</v>
      </c>
    </row>
    <row r="1915" spans="2:24" x14ac:dyDescent="0.3">
      <c r="B1915" s="9">
        <v>1914</v>
      </c>
      <c r="C1915" s="49">
        <v>22292</v>
      </c>
      <c r="D1915" s="9">
        <f>YEAR(Tabla1[[#This Row],[Date]])</f>
        <v>1961</v>
      </c>
      <c r="E1915" s="9" t="str" cm="1">
        <f t="array" ref="E1915">IFERROR(_xlfn.IFS(AND(D1915&lt;1980,D1915&gt;=1970),"70",AND(D1915&lt;1990,D1915&gt;=1980),"80",AND(D1915&lt;2000,D1915&gt;=1990),"90",AND(D1915&lt;2010,D1915&gt;=2000),"00",AND(D1915&lt;=2019,D1915&gt;=2010),"10"),"1908-1970")</f>
        <v>1908-1970</v>
      </c>
      <c r="F1915" s="3">
        <v>0.60138888888888886</v>
      </c>
      <c r="G1915" t="s">
        <v>13357</v>
      </c>
      <c r="H1915" t="s">
        <v>12280</v>
      </c>
      <c r="I1915" t="s">
        <v>28931</v>
      </c>
      <c r="J1915" t="s">
        <v>13358</v>
      </c>
      <c r="K1915" t="s">
        <v>13359</v>
      </c>
      <c r="L1915" s="7" t="s">
        <v>13360</v>
      </c>
      <c r="M1915">
        <v>13260</v>
      </c>
      <c r="N1915">
        <v>10</v>
      </c>
      <c r="O1915">
        <v>7</v>
      </c>
      <c r="P1915">
        <v>3</v>
      </c>
      <c r="Q1915">
        <v>2</v>
      </c>
      <c r="R1915">
        <v>0</v>
      </c>
      <c r="S1915">
        <v>2</v>
      </c>
      <c r="T1915">
        <v>0</v>
      </c>
      <c r="U1915" t="s">
        <v>13361</v>
      </c>
      <c r="V1915">
        <f>Tabla1[[#This Row],[Aboard]]-Tabla1[[#This Row],[Fatalities]]</f>
        <v>8</v>
      </c>
      <c r="W1915" s="50">
        <f>IFERROR(Tabla1[[#This Row],[Fatalities]]/Tabla1[[#This Row],[Aboard]],0)</f>
        <v>0.2</v>
      </c>
      <c r="X1915" s="51" t="str" cm="1">
        <f t="array" ref="X1915">_xlfn.IFS(Tabla1[[#This Row],[Porcentaje de muertes]]&lt;0.35,"LEVE",AND(Tabla1[[#This Row],[Porcentaje de muertes]]&gt;0.35,Tabla1[[#This Row],[Porcentaje de muertes]]&lt;0.65),"MEDIO",Tabla1[[#This Row],[Porcentaje de muertes]]&gt;0.65,"GRAVE")</f>
        <v>LEVE</v>
      </c>
    </row>
    <row r="1916" spans="2:24" x14ac:dyDescent="0.3">
      <c r="B1916" s="9">
        <v>1915</v>
      </c>
      <c r="C1916" s="49">
        <v>22504</v>
      </c>
      <c r="D1916" s="9">
        <f>YEAR(Tabla1[[#This Row],[Date]])</f>
        <v>1961</v>
      </c>
      <c r="E1916" s="9" t="str" cm="1">
        <f t="array" ref="E1916">IFERROR(_xlfn.IFS(AND(D1916&lt;1980,D1916&gt;=1970),"70",AND(D1916&lt;1990,D1916&gt;=1980),"80",AND(D1916&lt;2000,D1916&gt;=1990),"90",AND(D1916&lt;2010,D1916&gt;=2000),"00",AND(D1916&lt;=2019,D1916&gt;=2010),"10"),"1908-1970")</f>
        <v>1908-1970</v>
      </c>
      <c r="F1916" s="3">
        <v>0.89166666666666661</v>
      </c>
      <c r="G1916" t="s">
        <v>13362</v>
      </c>
      <c r="H1916" t="s">
        <v>5350</v>
      </c>
      <c r="I1916" t="s">
        <v>13363</v>
      </c>
      <c r="J1916" t="s">
        <v>13364</v>
      </c>
      <c r="K1916" t="s">
        <v>12672</v>
      </c>
      <c r="L1916" s="7" t="s">
        <v>13365</v>
      </c>
      <c r="M1916">
        <v>1976</v>
      </c>
      <c r="N1916">
        <v>79</v>
      </c>
      <c r="O1916">
        <v>74</v>
      </c>
      <c r="P1916">
        <v>5</v>
      </c>
      <c r="Q1916">
        <v>76</v>
      </c>
      <c r="R1916">
        <v>74</v>
      </c>
      <c r="S1916">
        <v>2</v>
      </c>
      <c r="T1916">
        <v>0</v>
      </c>
      <c r="U1916" t="s">
        <v>13366</v>
      </c>
      <c r="V1916">
        <f>Tabla1[[#This Row],[Aboard]]-Tabla1[[#This Row],[Fatalities]]</f>
        <v>3</v>
      </c>
      <c r="W1916" s="50">
        <f>IFERROR(Tabla1[[#This Row],[Fatalities]]/Tabla1[[#This Row],[Aboard]],0)</f>
        <v>0.96202531645569622</v>
      </c>
      <c r="X1916" s="51" t="str" cm="1">
        <f t="array" ref="X1916">_xlfn.IFS(Tabla1[[#This Row],[Porcentaje de muertes]]&lt;0.35,"LEVE",AND(Tabla1[[#This Row],[Porcentaje de muertes]]&gt;0.35,Tabla1[[#This Row],[Porcentaje de muertes]]&lt;0.65),"MEDIO",Tabla1[[#This Row],[Porcentaje de muertes]]&gt;0.65,"GRAVE")</f>
        <v>GRAVE</v>
      </c>
    </row>
    <row r="1917" spans="2:24" x14ac:dyDescent="0.3">
      <c r="B1917" s="9">
        <v>1916</v>
      </c>
      <c r="C1917" s="49">
        <v>22596</v>
      </c>
      <c r="D1917" s="9">
        <f>YEAR(Tabla1[[#This Row],[Date]])</f>
        <v>1961</v>
      </c>
      <c r="E1917" s="9" t="str" cm="1">
        <f t="array" ref="E1917">IFERROR(_xlfn.IFS(AND(D1917&lt;1980,D1917&gt;=1970),"70",AND(D1917&lt;1990,D1917&gt;=1980),"80",AND(D1917&lt;2000,D1917&gt;=1990),"90",AND(D1917&lt;2010,D1917&gt;=2000),"00",AND(D1917&lt;=2019,D1917&gt;=2010),"10"),"1908-1970")</f>
        <v>1908-1970</v>
      </c>
      <c r="F1917" s="3" t="s">
        <v>28931</v>
      </c>
      <c r="G1917" t="s">
        <v>13367</v>
      </c>
      <c r="H1917" t="s">
        <v>13368</v>
      </c>
      <c r="I1917" t="s">
        <v>28931</v>
      </c>
      <c r="J1917" t="s">
        <v>13369</v>
      </c>
      <c r="K1917" t="s">
        <v>13370</v>
      </c>
      <c r="L1917" s="7" t="s">
        <v>13371</v>
      </c>
      <c r="M1917">
        <v>2615</v>
      </c>
      <c r="N1917">
        <v>3</v>
      </c>
      <c r="O1917">
        <v>0</v>
      </c>
      <c r="P1917">
        <v>3</v>
      </c>
      <c r="Q1917">
        <v>3</v>
      </c>
      <c r="R1917">
        <v>0</v>
      </c>
      <c r="S1917">
        <v>3</v>
      </c>
      <c r="T1917">
        <v>0</v>
      </c>
      <c r="U1917" t="s">
        <v>13372</v>
      </c>
      <c r="V1917">
        <f>Tabla1[[#This Row],[Aboard]]-Tabla1[[#This Row],[Fatalities]]</f>
        <v>0</v>
      </c>
      <c r="W1917" s="50">
        <f>IFERROR(Tabla1[[#This Row],[Fatalities]]/Tabla1[[#This Row],[Aboard]],0)</f>
        <v>1</v>
      </c>
      <c r="X1917" s="51" t="str" cm="1">
        <f t="array" ref="X1917">_xlfn.IFS(Tabla1[[#This Row],[Porcentaje de muertes]]&lt;0.35,"LEVE",AND(Tabla1[[#This Row],[Porcentaje de muertes]]&gt;0.35,Tabla1[[#This Row],[Porcentaje de muertes]]&lt;0.65),"MEDIO",Tabla1[[#This Row],[Porcentaje de muertes]]&gt;0.65,"GRAVE")</f>
        <v>GRAVE</v>
      </c>
    </row>
    <row r="1918" spans="2:24" x14ac:dyDescent="0.3">
      <c r="B1918" s="9">
        <v>1917</v>
      </c>
      <c r="C1918" s="49">
        <v>22606</v>
      </c>
      <c r="D1918" s="9">
        <f>YEAR(Tabla1[[#This Row],[Date]])</f>
        <v>1961</v>
      </c>
      <c r="E1918" s="9" t="str" cm="1">
        <f t="array" ref="E1918">IFERROR(_xlfn.IFS(AND(D1918&lt;1980,D1918&gt;=1970),"70",AND(D1918&lt;1990,D1918&gt;=1980),"80",AND(D1918&lt;2000,D1918&gt;=1990),"90",AND(D1918&lt;2010,D1918&gt;=2000),"00",AND(D1918&lt;=2019,D1918&gt;=2010),"10"),"1908-1970")</f>
        <v>1908-1970</v>
      </c>
      <c r="F1918" s="3">
        <v>0.49652777777777773</v>
      </c>
      <c r="G1918" t="s">
        <v>13373</v>
      </c>
      <c r="H1918" t="s">
        <v>13374</v>
      </c>
      <c r="I1918">
        <v>92</v>
      </c>
      <c r="J1918" t="s">
        <v>13375</v>
      </c>
      <c r="K1918" t="s">
        <v>13376</v>
      </c>
      <c r="L1918" s="7" t="s">
        <v>13377</v>
      </c>
      <c r="M1918" t="s">
        <v>13378</v>
      </c>
      <c r="N1918">
        <v>6</v>
      </c>
      <c r="O1918">
        <v>5</v>
      </c>
      <c r="P1918">
        <v>1</v>
      </c>
      <c r="Q1918">
        <v>6</v>
      </c>
      <c r="R1918">
        <v>5</v>
      </c>
      <c r="S1918">
        <v>1</v>
      </c>
      <c r="T1918">
        <v>0</v>
      </c>
      <c r="U1918" t="s">
        <v>13379</v>
      </c>
      <c r="V1918">
        <f>Tabla1[[#This Row],[Aboard]]-Tabla1[[#This Row],[Fatalities]]</f>
        <v>0</v>
      </c>
      <c r="W1918" s="50">
        <f>IFERROR(Tabla1[[#This Row],[Fatalities]]/Tabla1[[#This Row],[Aboard]],0)</f>
        <v>1</v>
      </c>
      <c r="X1918" s="51" t="str" cm="1">
        <f t="array" ref="X1918">_xlfn.IFS(Tabla1[[#This Row],[Porcentaje de muertes]]&lt;0.35,"LEVE",AND(Tabla1[[#This Row],[Porcentaje de muertes]]&gt;0.35,Tabla1[[#This Row],[Porcentaje de muertes]]&lt;0.65),"MEDIO",Tabla1[[#This Row],[Porcentaje de muertes]]&gt;0.65,"GRAVE")</f>
        <v>GRAVE</v>
      </c>
    </row>
    <row r="1919" spans="2:24" x14ac:dyDescent="0.3">
      <c r="B1919" s="9">
        <v>1918</v>
      </c>
      <c r="C1919" s="49">
        <v>22607</v>
      </c>
      <c r="D1919" s="9">
        <f>YEAR(Tabla1[[#This Row],[Date]])</f>
        <v>1961</v>
      </c>
      <c r="E1919" s="9" t="str" cm="1">
        <f t="array" ref="E1919">IFERROR(_xlfn.IFS(AND(D1919&lt;1980,D1919&gt;=1970),"70",AND(D1919&lt;1990,D1919&gt;=1980),"80",AND(D1919&lt;2000,D1919&gt;=1990),"90",AND(D1919&lt;2010,D1919&gt;=2000),"00",AND(D1919&lt;=2019,D1919&gt;=2010),"10"),"1908-1970")</f>
        <v>1908-1970</v>
      </c>
      <c r="F1919" s="3" t="s">
        <v>28931</v>
      </c>
      <c r="G1919" t="s">
        <v>13380</v>
      </c>
      <c r="H1919" t="s">
        <v>13381</v>
      </c>
      <c r="I1919" t="s">
        <v>28931</v>
      </c>
      <c r="J1919" t="s">
        <v>13382</v>
      </c>
      <c r="K1919" t="s">
        <v>5038</v>
      </c>
      <c r="L1919" s="7" t="s">
        <v>13383</v>
      </c>
      <c r="M1919">
        <v>19351</v>
      </c>
      <c r="N1919">
        <v>3</v>
      </c>
      <c r="O1919">
        <v>0</v>
      </c>
      <c r="P1919">
        <v>3</v>
      </c>
      <c r="Q1919">
        <v>3</v>
      </c>
      <c r="R1919">
        <v>0</v>
      </c>
      <c r="S1919">
        <v>3</v>
      </c>
      <c r="T1919">
        <v>0</v>
      </c>
      <c r="U1919" t="s">
        <v>13384</v>
      </c>
      <c r="V1919">
        <f>Tabla1[[#This Row],[Aboard]]-Tabla1[[#This Row],[Fatalities]]</f>
        <v>0</v>
      </c>
      <c r="W1919" s="50">
        <f>IFERROR(Tabla1[[#This Row],[Fatalities]]/Tabla1[[#This Row],[Aboard]],0)</f>
        <v>1</v>
      </c>
      <c r="X1919" s="51" t="str" cm="1">
        <f t="array" ref="X1919">_xlfn.IFS(Tabla1[[#This Row],[Porcentaje de muertes]]&lt;0.35,"LEVE",AND(Tabla1[[#This Row],[Porcentaje de muertes]]&gt;0.35,Tabla1[[#This Row],[Porcentaje de muertes]]&lt;0.65),"MEDIO",Tabla1[[#This Row],[Porcentaje de muertes]]&gt;0.65,"GRAVE")</f>
        <v>GRAVE</v>
      </c>
    </row>
    <row r="1920" spans="2:24" x14ac:dyDescent="0.3">
      <c r="B1920" s="9">
        <v>1919</v>
      </c>
      <c r="C1920" s="49">
        <v>22608</v>
      </c>
      <c r="D1920" s="9">
        <f>YEAR(Tabla1[[#This Row],[Date]])</f>
        <v>1961</v>
      </c>
      <c r="E1920" s="9" t="str" cm="1">
        <f t="array" ref="E1920">IFERROR(_xlfn.IFS(AND(D1920&lt;1980,D1920&gt;=1970),"70",AND(D1920&lt;1990,D1920&gt;=1980),"80",AND(D1920&lt;2000,D1920&gt;=1990),"90",AND(D1920&lt;2010,D1920&gt;=2000),"00",AND(D1920&lt;=2019,D1920&gt;=2010),"10"),"1908-1970")</f>
        <v>1908-1970</v>
      </c>
      <c r="F1920" s="3">
        <v>0.23611111111111113</v>
      </c>
      <c r="G1920" t="s">
        <v>13385</v>
      </c>
      <c r="H1920" t="s">
        <v>10275</v>
      </c>
      <c r="I1920" t="s">
        <v>28931</v>
      </c>
      <c r="J1920" t="s">
        <v>13386</v>
      </c>
      <c r="K1920" t="s">
        <v>13387</v>
      </c>
      <c r="L1920" s="7" t="s">
        <v>13388</v>
      </c>
      <c r="M1920">
        <v>6430</v>
      </c>
      <c r="N1920">
        <v>52</v>
      </c>
      <c r="O1920">
        <v>40</v>
      </c>
      <c r="P1920">
        <v>12</v>
      </c>
      <c r="Q1920">
        <v>52</v>
      </c>
      <c r="R1920">
        <v>40</v>
      </c>
      <c r="S1920">
        <v>12</v>
      </c>
      <c r="T1920">
        <v>0</v>
      </c>
      <c r="U1920" t="s">
        <v>13389</v>
      </c>
      <c r="V1920">
        <f>Tabla1[[#This Row],[Aboard]]-Tabla1[[#This Row],[Fatalities]]</f>
        <v>0</v>
      </c>
      <c r="W1920" s="50">
        <f>IFERROR(Tabla1[[#This Row],[Fatalities]]/Tabla1[[#This Row],[Aboard]],0)</f>
        <v>1</v>
      </c>
      <c r="X1920" s="51" t="str" cm="1">
        <f t="array" ref="X1920">_xlfn.IFS(Tabla1[[#This Row],[Porcentaje de muertes]]&lt;0.35,"LEVE",AND(Tabla1[[#This Row],[Porcentaje de muertes]]&gt;0.35,Tabla1[[#This Row],[Porcentaje de muertes]]&lt;0.65),"MEDIO",Tabla1[[#This Row],[Porcentaje de muertes]]&gt;0.65,"GRAVE")</f>
        <v>GRAVE</v>
      </c>
    </row>
    <row r="1921" spans="2:24" x14ac:dyDescent="0.3">
      <c r="B1921" s="9">
        <v>1920</v>
      </c>
      <c r="C1921" s="49">
        <v>22608</v>
      </c>
      <c r="D1921" s="9">
        <f>YEAR(Tabla1[[#This Row],[Date]])</f>
        <v>1961</v>
      </c>
      <c r="E1921" s="9" t="str" cm="1">
        <f t="array" ref="E1921">IFERROR(_xlfn.IFS(AND(D1921&lt;1980,D1921&gt;=1970),"70",AND(D1921&lt;1990,D1921&gt;=1980),"80",AND(D1921&lt;2000,D1921&gt;=1990),"90",AND(D1921&lt;2010,D1921&gt;=2000),"00",AND(D1921&lt;=2019,D1921&gt;=2010),"10"),"1908-1970")</f>
        <v>1908-1970</v>
      </c>
      <c r="F1921" s="3" t="s">
        <v>28931</v>
      </c>
      <c r="G1921" t="s">
        <v>13390</v>
      </c>
      <c r="H1921" t="s">
        <v>13391</v>
      </c>
      <c r="I1921" t="s">
        <v>28931</v>
      </c>
      <c r="J1921" t="s">
        <v>28931</v>
      </c>
      <c r="K1921" t="s">
        <v>9715</v>
      </c>
      <c r="L1921" s="7" t="s">
        <v>28931</v>
      </c>
      <c r="M1921" t="s">
        <v>28931</v>
      </c>
      <c r="N1921">
        <v>35</v>
      </c>
      <c r="O1921" t="s">
        <v>5038</v>
      </c>
      <c r="P1921" t="s">
        <v>5038</v>
      </c>
      <c r="Q1921">
        <v>21</v>
      </c>
      <c r="R1921" t="s">
        <v>5038</v>
      </c>
      <c r="S1921" t="s">
        <v>5038</v>
      </c>
      <c r="T1921">
        <v>0</v>
      </c>
      <c r="U1921" t="s">
        <v>28927</v>
      </c>
      <c r="V1921">
        <f>Tabla1[[#This Row],[Aboard]]-Tabla1[[#This Row],[Fatalities]]</f>
        <v>14</v>
      </c>
      <c r="W1921" s="50">
        <f>IFERROR(Tabla1[[#This Row],[Fatalities]]/Tabla1[[#This Row],[Aboard]],0)</f>
        <v>0.6</v>
      </c>
      <c r="X1921" s="51" t="str" cm="1">
        <f t="array" ref="X1921">_xlfn.IFS(Tabla1[[#This Row],[Porcentaje de muertes]]&lt;0.35,"LEVE",AND(Tabla1[[#This Row],[Porcentaje de muertes]]&gt;0.35,Tabla1[[#This Row],[Porcentaje de muertes]]&lt;0.65),"MEDIO",Tabla1[[#This Row],[Porcentaje de muertes]]&gt;0.65,"GRAVE")</f>
        <v>MEDIO</v>
      </c>
    </row>
    <row r="1922" spans="2:24" x14ac:dyDescent="0.3">
      <c r="B1922" s="9">
        <v>1921</v>
      </c>
      <c r="C1922" s="49">
        <v>22615</v>
      </c>
      <c r="D1922" s="9">
        <f>YEAR(Tabla1[[#This Row],[Date]])</f>
        <v>1961</v>
      </c>
      <c r="E1922" s="9" t="str" cm="1">
        <f t="array" ref="E1922">IFERROR(_xlfn.IFS(AND(D1922&lt;1980,D1922&gt;=1970),"70",AND(D1922&lt;1990,D1922&gt;=1980),"80",AND(D1922&lt;2000,D1922&gt;=1990),"90",AND(D1922&lt;2010,D1922&gt;=2000),"00",AND(D1922&lt;=2019,D1922&gt;=2010),"10"),"1908-1970")</f>
        <v>1908-1970</v>
      </c>
      <c r="F1922" s="3">
        <v>0.80902777777777779</v>
      </c>
      <c r="G1922" t="s">
        <v>13392</v>
      </c>
      <c r="H1922" t="s">
        <v>10114</v>
      </c>
      <c r="I1922" t="s">
        <v>28931</v>
      </c>
      <c r="J1922" t="s">
        <v>13393</v>
      </c>
      <c r="K1922" t="s">
        <v>13394</v>
      </c>
      <c r="L1922" s="7" t="s">
        <v>13395</v>
      </c>
      <c r="M1922">
        <v>46</v>
      </c>
      <c r="N1922">
        <v>15</v>
      </c>
      <c r="O1922">
        <v>11</v>
      </c>
      <c r="P1922">
        <v>4</v>
      </c>
      <c r="Q1922">
        <v>15</v>
      </c>
      <c r="R1922">
        <v>11</v>
      </c>
      <c r="S1922">
        <v>4</v>
      </c>
      <c r="T1922">
        <v>0</v>
      </c>
      <c r="U1922" t="s">
        <v>13396</v>
      </c>
      <c r="V1922">
        <f>Tabla1[[#This Row],[Aboard]]-Tabla1[[#This Row],[Fatalities]]</f>
        <v>0</v>
      </c>
      <c r="W1922" s="50">
        <f>IFERROR(Tabla1[[#This Row],[Fatalities]]/Tabla1[[#This Row],[Aboard]],0)</f>
        <v>1</v>
      </c>
      <c r="X1922" s="51" t="str" cm="1">
        <f t="array" ref="X1922">_xlfn.IFS(Tabla1[[#This Row],[Porcentaje de muertes]]&lt;0.35,"LEVE",AND(Tabla1[[#This Row],[Porcentaje de muertes]]&gt;0.35,Tabla1[[#This Row],[Porcentaje de muertes]]&lt;0.65),"MEDIO",Tabla1[[#This Row],[Porcentaje de muertes]]&gt;0.65,"GRAVE")</f>
        <v>GRAVE</v>
      </c>
    </row>
    <row r="1923" spans="2:24" x14ac:dyDescent="0.3">
      <c r="B1923" s="9">
        <v>1922</v>
      </c>
      <c r="C1923" s="49">
        <v>22383</v>
      </c>
      <c r="D1923" s="9">
        <f>YEAR(Tabla1[[#This Row],[Date]])</f>
        <v>1961</v>
      </c>
      <c r="E1923" s="9" t="str" cm="1">
        <f t="array" ref="E1923">IFERROR(_xlfn.IFS(AND(D1923&lt;1980,D1923&gt;=1970),"70",AND(D1923&lt;1990,D1923&gt;=1980),"80",AND(D1923&lt;2000,D1923&gt;=1990),"90",AND(D1923&lt;2010,D1923&gt;=2000),"00",AND(D1923&lt;=2019,D1923&gt;=2010),"10"),"1908-1970")</f>
        <v>1908-1970</v>
      </c>
      <c r="F1923" s="3">
        <v>0.52083333333333337</v>
      </c>
      <c r="G1923" t="s">
        <v>5059</v>
      </c>
      <c r="H1923" t="s">
        <v>7110</v>
      </c>
      <c r="I1923" t="s">
        <v>28931</v>
      </c>
      <c r="J1923" t="s">
        <v>6190</v>
      </c>
      <c r="K1923" t="s">
        <v>13397</v>
      </c>
      <c r="L1923" s="7" t="s">
        <v>13398</v>
      </c>
      <c r="M1923" t="s">
        <v>13399</v>
      </c>
      <c r="N1923">
        <v>3</v>
      </c>
      <c r="O1923">
        <v>0</v>
      </c>
      <c r="P1923">
        <v>3</v>
      </c>
      <c r="Q1923">
        <v>3</v>
      </c>
      <c r="R1923">
        <v>0</v>
      </c>
      <c r="S1923">
        <v>3</v>
      </c>
      <c r="T1923">
        <v>0</v>
      </c>
      <c r="U1923" t="s">
        <v>13400</v>
      </c>
      <c r="V1923">
        <f>Tabla1[[#This Row],[Aboard]]-Tabla1[[#This Row],[Fatalities]]</f>
        <v>0</v>
      </c>
      <c r="W1923" s="50">
        <f>IFERROR(Tabla1[[#This Row],[Fatalities]]/Tabla1[[#This Row],[Aboard]],0)</f>
        <v>1</v>
      </c>
      <c r="X1923" s="51" t="str" cm="1">
        <f t="array" ref="X1923">_xlfn.IFS(Tabla1[[#This Row],[Porcentaje de muertes]]&lt;0.35,"LEVE",AND(Tabla1[[#This Row],[Porcentaje de muertes]]&gt;0.35,Tabla1[[#This Row],[Porcentaje de muertes]]&lt;0.65),"MEDIO",Tabla1[[#This Row],[Porcentaje de muertes]]&gt;0.65,"GRAVE")</f>
        <v>GRAVE</v>
      </c>
    </row>
    <row r="1924" spans="2:24" x14ac:dyDescent="0.3">
      <c r="B1924" s="9">
        <v>1923</v>
      </c>
      <c r="C1924" s="49">
        <v>22627</v>
      </c>
      <c r="D1924" s="9">
        <f>YEAR(Tabla1[[#This Row],[Date]])</f>
        <v>1961</v>
      </c>
      <c r="E1924" s="9" t="str" cm="1">
        <f t="array" ref="E1924">IFERROR(_xlfn.IFS(AND(D1924&lt;1980,D1924&gt;=1970),"70",AND(D1924&lt;1990,D1924&gt;=1980),"80",AND(D1924&lt;2000,D1924&gt;=1990),"90",AND(D1924&lt;2010,D1924&gt;=2000),"00",AND(D1924&lt;=2019,D1924&gt;=2010),"10"),"1908-1970")</f>
        <v>1908-1970</v>
      </c>
      <c r="F1924" s="3">
        <v>0.36458333333333331</v>
      </c>
      <c r="G1924" t="s">
        <v>13401</v>
      </c>
      <c r="H1924" t="s">
        <v>13402</v>
      </c>
      <c r="I1924" t="s">
        <v>28931</v>
      </c>
      <c r="J1924" t="s">
        <v>28931</v>
      </c>
      <c r="K1924" t="s">
        <v>13403</v>
      </c>
      <c r="L1924" s="7" t="s">
        <v>13404</v>
      </c>
      <c r="M1924" t="s">
        <v>13405</v>
      </c>
      <c r="N1924">
        <v>13</v>
      </c>
      <c r="O1924">
        <v>0</v>
      </c>
      <c r="P1924">
        <v>13</v>
      </c>
      <c r="Q1924">
        <v>13</v>
      </c>
      <c r="R1924">
        <v>0</v>
      </c>
      <c r="S1924">
        <v>13</v>
      </c>
      <c r="T1924">
        <v>8</v>
      </c>
      <c r="U1924" t="s">
        <v>13406</v>
      </c>
      <c r="V1924">
        <f>Tabla1[[#This Row],[Aboard]]-Tabla1[[#This Row],[Fatalities]]</f>
        <v>0</v>
      </c>
      <c r="W1924" s="50">
        <f>IFERROR(Tabla1[[#This Row],[Fatalities]]/Tabla1[[#This Row],[Aboard]],0)</f>
        <v>1</v>
      </c>
      <c r="X1924" s="51" t="str" cm="1">
        <f t="array" ref="X1924">_xlfn.IFS(Tabla1[[#This Row],[Porcentaje de muertes]]&lt;0.35,"LEVE",AND(Tabla1[[#This Row],[Porcentaje de muertes]]&gt;0.35,Tabla1[[#This Row],[Porcentaje de muertes]]&lt;0.65),"MEDIO",Tabla1[[#This Row],[Porcentaje de muertes]]&gt;0.65,"GRAVE")</f>
        <v>GRAVE</v>
      </c>
    </row>
    <row r="1925" spans="2:24" x14ac:dyDescent="0.3">
      <c r="B1925" s="9">
        <v>1924</v>
      </c>
      <c r="C1925" s="49">
        <v>22630</v>
      </c>
      <c r="D1925" s="9">
        <f>YEAR(Tabla1[[#This Row],[Date]])</f>
        <v>1961</v>
      </c>
      <c r="E1925" s="9" t="str" cm="1">
        <f t="array" ref="E1925">IFERROR(_xlfn.IFS(AND(D1925&lt;1980,D1925&gt;=1970),"70",AND(D1925&lt;1990,D1925&gt;=1980),"80",AND(D1925&lt;2000,D1925&gt;=1990),"90",AND(D1925&lt;2010,D1925&gt;=2000),"00",AND(D1925&lt;=2019,D1925&gt;=2010),"10"),"1908-1970")</f>
        <v>1908-1970</v>
      </c>
      <c r="F1925" s="3">
        <v>0.45833333333333331</v>
      </c>
      <c r="G1925" t="s">
        <v>12623</v>
      </c>
      <c r="H1925" t="s">
        <v>11949</v>
      </c>
      <c r="I1925" t="s">
        <v>28931</v>
      </c>
      <c r="J1925" t="s">
        <v>13407</v>
      </c>
      <c r="K1925" t="s">
        <v>8697</v>
      </c>
      <c r="L1925" s="7" t="s">
        <v>13408</v>
      </c>
      <c r="M1925" t="s">
        <v>28931</v>
      </c>
      <c r="N1925">
        <v>2</v>
      </c>
      <c r="O1925">
        <v>0</v>
      </c>
      <c r="P1925">
        <v>2</v>
      </c>
      <c r="Q1925">
        <v>2</v>
      </c>
      <c r="R1925">
        <v>0</v>
      </c>
      <c r="S1925">
        <v>2</v>
      </c>
      <c r="T1925">
        <v>0</v>
      </c>
      <c r="U1925" t="s">
        <v>13409</v>
      </c>
      <c r="V1925">
        <f>Tabla1[[#This Row],[Aboard]]-Tabla1[[#This Row],[Fatalities]]</f>
        <v>0</v>
      </c>
      <c r="W1925" s="50">
        <f>IFERROR(Tabla1[[#This Row],[Fatalities]]/Tabla1[[#This Row],[Aboard]],0)</f>
        <v>1</v>
      </c>
      <c r="X1925" s="51" t="str" cm="1">
        <f t="array" ref="X1925">_xlfn.IFS(Tabla1[[#This Row],[Porcentaje de muertes]]&lt;0.35,"LEVE",AND(Tabla1[[#This Row],[Porcentaje de muertes]]&gt;0.35,Tabla1[[#This Row],[Porcentaje de muertes]]&lt;0.65),"MEDIO",Tabla1[[#This Row],[Porcentaje de muertes]]&gt;0.65,"GRAVE")</f>
        <v>GRAVE</v>
      </c>
    </row>
    <row r="1926" spans="2:24" x14ac:dyDescent="0.3">
      <c r="B1926" s="9">
        <v>1925</v>
      </c>
      <c r="C1926" s="49">
        <v>22632</v>
      </c>
      <c r="D1926" s="9">
        <f>YEAR(Tabla1[[#This Row],[Date]])</f>
        <v>1961</v>
      </c>
      <c r="E1926" s="9" t="str" cm="1">
        <f t="array" ref="E1926">IFERROR(_xlfn.IFS(AND(D1926&lt;1980,D1926&gt;=1970),"70",AND(D1926&lt;1990,D1926&gt;=1980),"80",AND(D1926&lt;2000,D1926&gt;=1990),"90",AND(D1926&lt;2010,D1926&gt;=2000),"00",AND(D1926&lt;=2019,D1926&gt;=2010),"10"),"1908-1970")</f>
        <v>1908-1970</v>
      </c>
      <c r="F1926" s="3">
        <v>0.66666666666666663</v>
      </c>
      <c r="G1926" t="s">
        <v>13410</v>
      </c>
      <c r="H1926" t="s">
        <v>6541</v>
      </c>
      <c r="I1926">
        <v>245</v>
      </c>
      <c r="J1926" t="s">
        <v>13411</v>
      </c>
      <c r="K1926" t="s">
        <v>13035</v>
      </c>
      <c r="L1926" s="7" t="s">
        <v>13412</v>
      </c>
      <c r="M1926">
        <v>188000503</v>
      </c>
      <c r="N1926">
        <v>59</v>
      </c>
      <c r="O1926">
        <v>50</v>
      </c>
      <c r="P1926">
        <v>9</v>
      </c>
      <c r="Q1926">
        <v>59</v>
      </c>
      <c r="R1926">
        <v>50</v>
      </c>
      <c r="S1926">
        <v>9</v>
      </c>
      <c r="T1926">
        <v>0</v>
      </c>
      <c r="U1926" t="s">
        <v>13413</v>
      </c>
      <c r="V1926">
        <f>Tabla1[[#This Row],[Aboard]]-Tabla1[[#This Row],[Fatalities]]</f>
        <v>0</v>
      </c>
      <c r="W1926" s="50">
        <f>IFERROR(Tabla1[[#This Row],[Fatalities]]/Tabla1[[#This Row],[Aboard]],0)</f>
        <v>1</v>
      </c>
      <c r="X1926" s="51" t="str" cm="1">
        <f t="array" ref="X1926">_xlfn.IFS(Tabla1[[#This Row],[Porcentaje de muertes]]&lt;0.35,"LEVE",AND(Tabla1[[#This Row],[Porcentaje de muertes]]&gt;0.35,Tabla1[[#This Row],[Porcentaje de muertes]]&lt;0.65),"MEDIO",Tabla1[[#This Row],[Porcentaje de muertes]]&gt;0.65,"GRAVE")</f>
        <v>GRAVE</v>
      </c>
    </row>
    <row r="1927" spans="2:24" x14ac:dyDescent="0.3">
      <c r="B1927" s="9">
        <v>1926</v>
      </c>
      <c r="C1927" s="49">
        <v>22636</v>
      </c>
      <c r="D1927" s="9">
        <f>YEAR(Tabla1[[#This Row],[Date]])</f>
        <v>1961</v>
      </c>
      <c r="E1927" s="9" t="str" cm="1">
        <f t="array" ref="E1927">IFERROR(_xlfn.IFS(AND(D1927&lt;1980,D1927&gt;=1970),"70",AND(D1927&lt;1990,D1927&gt;=1980),"80",AND(D1927&lt;2000,D1927&gt;=1990),"90",AND(D1927&lt;2010,D1927&gt;=2000),"00",AND(D1927&lt;=2019,D1927&gt;=2010),"10"),"1908-1970")</f>
        <v>1908-1970</v>
      </c>
      <c r="F1927" s="3">
        <v>0.9819444444444444</v>
      </c>
      <c r="G1927" t="s">
        <v>10043</v>
      </c>
      <c r="H1927" t="s">
        <v>8721</v>
      </c>
      <c r="I1927" t="s">
        <v>28931</v>
      </c>
      <c r="J1927" t="s">
        <v>13414</v>
      </c>
      <c r="K1927" t="s">
        <v>13415</v>
      </c>
      <c r="L1927" s="7" t="s">
        <v>13416</v>
      </c>
      <c r="M1927">
        <v>6456</v>
      </c>
      <c r="N1927">
        <v>34</v>
      </c>
      <c r="O1927">
        <v>27</v>
      </c>
      <c r="P1927">
        <v>7</v>
      </c>
      <c r="Q1927">
        <v>27</v>
      </c>
      <c r="R1927">
        <v>20</v>
      </c>
      <c r="S1927">
        <v>7</v>
      </c>
      <c r="T1927">
        <v>0</v>
      </c>
      <c r="U1927" t="s">
        <v>13417</v>
      </c>
      <c r="V1927">
        <f>Tabla1[[#This Row],[Aboard]]-Tabla1[[#This Row],[Fatalities]]</f>
        <v>7</v>
      </c>
      <c r="W1927" s="50">
        <f>IFERROR(Tabla1[[#This Row],[Fatalities]]/Tabla1[[#This Row],[Aboard]],0)</f>
        <v>0.79411764705882348</v>
      </c>
      <c r="X1927" s="51" t="str" cm="1">
        <f t="array" ref="X1927">_xlfn.IFS(Tabla1[[#This Row],[Porcentaje de muertes]]&lt;0.35,"LEVE",AND(Tabla1[[#This Row],[Porcentaje de muertes]]&gt;0.35,Tabla1[[#This Row],[Porcentaje de muertes]]&lt;0.65),"MEDIO",Tabla1[[#This Row],[Porcentaje de muertes]]&gt;0.65,"GRAVE")</f>
        <v>GRAVE</v>
      </c>
    </row>
    <row r="1928" spans="2:24" x14ac:dyDescent="0.3">
      <c r="B1928" s="9">
        <v>1927</v>
      </c>
      <c r="C1928" s="49">
        <v>22639</v>
      </c>
      <c r="D1928" s="9">
        <f>YEAR(Tabla1[[#This Row],[Date]])</f>
        <v>1961</v>
      </c>
      <c r="E1928" s="9" t="str" cm="1">
        <f t="array" ref="E1928">IFERROR(_xlfn.IFS(AND(D1928&lt;1980,D1928&gt;=1970),"70",AND(D1928&lt;1990,D1928&gt;=1980),"80",AND(D1928&lt;2000,D1928&gt;=1990),"90",AND(D1928&lt;2010,D1928&gt;=2000),"00",AND(D1928&lt;=2019,D1928&gt;=2010),"10"),"1908-1970")</f>
        <v>1908-1970</v>
      </c>
      <c r="F1928" s="3">
        <v>0.4513888888888889</v>
      </c>
      <c r="G1928" t="s">
        <v>13418</v>
      </c>
      <c r="H1928" t="s">
        <v>13419</v>
      </c>
      <c r="I1928" t="s">
        <v>28931</v>
      </c>
      <c r="J1928" t="s">
        <v>13420</v>
      </c>
      <c r="K1928" t="s">
        <v>13421</v>
      </c>
      <c r="L1928" s="7" t="s">
        <v>13422</v>
      </c>
      <c r="M1928">
        <v>1020</v>
      </c>
      <c r="N1928">
        <v>5</v>
      </c>
      <c r="O1928">
        <v>4</v>
      </c>
      <c r="P1928">
        <v>1</v>
      </c>
      <c r="Q1928">
        <v>1</v>
      </c>
      <c r="R1928">
        <v>1</v>
      </c>
      <c r="S1928">
        <v>0</v>
      </c>
      <c r="T1928">
        <v>0</v>
      </c>
      <c r="U1928" t="s">
        <v>13423</v>
      </c>
      <c r="V1928">
        <f>Tabla1[[#This Row],[Aboard]]-Tabla1[[#This Row],[Fatalities]]</f>
        <v>4</v>
      </c>
      <c r="W1928" s="50">
        <f>IFERROR(Tabla1[[#This Row],[Fatalities]]/Tabla1[[#This Row],[Aboard]],0)</f>
        <v>0.2</v>
      </c>
      <c r="X1928" s="51" t="str" cm="1">
        <f t="array" ref="X1928">_xlfn.IFS(Tabla1[[#This Row],[Porcentaje de muertes]]&lt;0.35,"LEVE",AND(Tabla1[[#This Row],[Porcentaje de muertes]]&gt;0.35,Tabla1[[#This Row],[Porcentaje de muertes]]&lt;0.65),"MEDIO",Tabla1[[#This Row],[Porcentaje de muertes]]&gt;0.65,"GRAVE")</f>
        <v>LEVE</v>
      </c>
    </row>
    <row r="1929" spans="2:24" x14ac:dyDescent="0.3">
      <c r="B1929" s="9">
        <v>1928</v>
      </c>
      <c r="C1929" s="49">
        <v>22644</v>
      </c>
      <c r="D1929" s="9">
        <f>YEAR(Tabla1[[#This Row],[Date]])</f>
        <v>1961</v>
      </c>
      <c r="E1929" s="9" t="str" cm="1">
        <f t="array" ref="E1929">IFERROR(_xlfn.IFS(AND(D1929&lt;1980,D1929&gt;=1970),"70",AND(D1929&lt;1990,D1929&gt;=1980),"80",AND(D1929&lt;2000,D1929&gt;=1990),"90",AND(D1929&lt;2010,D1929&gt;=2000),"00",AND(D1929&lt;=2019,D1929&gt;=2010),"10"),"1908-1970")</f>
        <v>1908-1970</v>
      </c>
      <c r="F1929" s="3" t="s">
        <v>28931</v>
      </c>
      <c r="G1929" t="s">
        <v>10224</v>
      </c>
      <c r="H1929" t="s">
        <v>10225</v>
      </c>
      <c r="I1929" t="s">
        <v>28931</v>
      </c>
      <c r="J1929" t="s">
        <v>13424</v>
      </c>
      <c r="K1929" t="s">
        <v>7057</v>
      </c>
      <c r="L1929" s="7" t="s">
        <v>13425</v>
      </c>
      <c r="M1929">
        <v>12514</v>
      </c>
      <c r="N1929">
        <v>14</v>
      </c>
      <c r="O1929" t="s">
        <v>5038</v>
      </c>
      <c r="P1929" t="s">
        <v>5038</v>
      </c>
      <c r="Q1929">
        <v>14</v>
      </c>
      <c r="R1929" t="s">
        <v>5038</v>
      </c>
      <c r="S1929" t="s">
        <v>5038</v>
      </c>
      <c r="T1929">
        <v>0</v>
      </c>
      <c r="U1929" t="s">
        <v>13426</v>
      </c>
      <c r="V1929">
        <f>Tabla1[[#This Row],[Aboard]]-Tabla1[[#This Row],[Fatalities]]</f>
        <v>0</v>
      </c>
      <c r="W1929" s="50">
        <f>IFERROR(Tabla1[[#This Row],[Fatalities]]/Tabla1[[#This Row],[Aboard]],0)</f>
        <v>1</v>
      </c>
      <c r="X1929" s="51" t="str" cm="1">
        <f t="array" ref="X1929">_xlfn.IFS(Tabla1[[#This Row],[Porcentaje de muertes]]&lt;0.35,"LEVE",AND(Tabla1[[#This Row],[Porcentaje de muertes]]&gt;0.35,Tabla1[[#This Row],[Porcentaje de muertes]]&lt;0.65),"MEDIO",Tabla1[[#This Row],[Porcentaje de muertes]]&gt;0.65,"GRAVE")</f>
        <v>GRAVE</v>
      </c>
    </row>
    <row r="1930" spans="2:24" x14ac:dyDescent="0.3">
      <c r="B1930" s="9">
        <v>1929</v>
      </c>
      <c r="C1930" s="49">
        <v>22646</v>
      </c>
      <c r="D1930" s="9">
        <f>YEAR(Tabla1[[#This Row],[Date]])</f>
        <v>1961</v>
      </c>
      <c r="E1930" s="9" t="str" cm="1">
        <f t="array" ref="E1930">IFERROR(_xlfn.IFS(AND(D1930&lt;1980,D1930&gt;=1970),"70",AND(D1930&lt;1990,D1930&gt;=1980),"80",AND(D1930&lt;2000,D1930&gt;=1990),"90",AND(D1930&lt;2010,D1930&gt;=2000),"00",AND(D1930&lt;=2019,D1930&gt;=2010),"10"),"1908-1970")</f>
        <v>1908-1970</v>
      </c>
      <c r="F1930" s="3">
        <v>0.74861111111111101</v>
      </c>
      <c r="G1930" t="s">
        <v>13427</v>
      </c>
      <c r="H1930" t="s">
        <v>6541</v>
      </c>
      <c r="I1930" t="s">
        <v>28931</v>
      </c>
      <c r="J1930" t="s">
        <v>13428</v>
      </c>
      <c r="K1930" t="s">
        <v>13035</v>
      </c>
      <c r="L1930" s="7" t="s">
        <v>13429</v>
      </c>
      <c r="M1930">
        <v>181003202</v>
      </c>
      <c r="N1930">
        <v>119</v>
      </c>
      <c r="O1930">
        <v>110</v>
      </c>
      <c r="P1930">
        <v>9</v>
      </c>
      <c r="Q1930">
        <v>32</v>
      </c>
      <c r="R1930">
        <v>30</v>
      </c>
      <c r="S1930">
        <v>2</v>
      </c>
      <c r="T1930">
        <v>0</v>
      </c>
      <c r="U1930" t="s">
        <v>13430</v>
      </c>
      <c r="V1930">
        <f>Tabla1[[#This Row],[Aboard]]-Tabla1[[#This Row],[Fatalities]]</f>
        <v>87</v>
      </c>
      <c r="W1930" s="50">
        <f>IFERROR(Tabla1[[#This Row],[Fatalities]]/Tabla1[[#This Row],[Aboard]],0)</f>
        <v>0.26890756302521007</v>
      </c>
      <c r="X1930" s="51" t="str" cm="1">
        <f t="array" ref="X1930">_xlfn.IFS(Tabla1[[#This Row],[Porcentaje de muertes]]&lt;0.35,"LEVE",AND(Tabla1[[#This Row],[Porcentaje de muertes]]&gt;0.35,Tabla1[[#This Row],[Porcentaje de muertes]]&lt;0.65),"MEDIO",Tabla1[[#This Row],[Porcentaje de muertes]]&gt;0.65,"GRAVE")</f>
        <v>LEVE</v>
      </c>
    </row>
    <row r="1931" spans="2:24" x14ac:dyDescent="0.3">
      <c r="B1931" s="9">
        <v>1930</v>
      </c>
      <c r="C1931" s="49">
        <v>22659</v>
      </c>
      <c r="D1931" s="9">
        <f>YEAR(Tabla1[[#This Row],[Date]])</f>
        <v>1962</v>
      </c>
      <c r="E1931" s="9" t="str" cm="1">
        <f t="array" ref="E1931">IFERROR(_xlfn.IFS(AND(D1931&lt;1980,D1931&gt;=1970),"70",AND(D1931&lt;1990,D1931&gt;=1980),"80",AND(D1931&lt;2000,D1931&gt;=1990),"90",AND(D1931&lt;2010,D1931&gt;=2000),"00",AND(D1931&lt;=2019,D1931&gt;=2010),"10"),"1908-1970")</f>
        <v>1908-1970</v>
      </c>
      <c r="F1931" s="3" t="s">
        <v>28931</v>
      </c>
      <c r="G1931" t="s">
        <v>13431</v>
      </c>
      <c r="H1931" t="s">
        <v>13000</v>
      </c>
      <c r="I1931" t="s">
        <v>28931</v>
      </c>
      <c r="J1931" t="s">
        <v>13432</v>
      </c>
      <c r="K1931" t="s">
        <v>7057</v>
      </c>
      <c r="L1931" s="7" t="s">
        <v>13433</v>
      </c>
      <c r="M1931">
        <v>10053</v>
      </c>
      <c r="N1931">
        <v>18</v>
      </c>
      <c r="O1931">
        <v>15</v>
      </c>
      <c r="P1931">
        <v>3</v>
      </c>
      <c r="Q1931">
        <v>5</v>
      </c>
      <c r="R1931">
        <v>3</v>
      </c>
      <c r="S1931">
        <v>2</v>
      </c>
      <c r="T1931">
        <v>1</v>
      </c>
      <c r="U1931" t="s">
        <v>13434</v>
      </c>
      <c r="V1931">
        <f>Tabla1[[#This Row],[Aboard]]-Tabla1[[#This Row],[Fatalities]]</f>
        <v>13</v>
      </c>
      <c r="W1931" s="50">
        <f>IFERROR(Tabla1[[#This Row],[Fatalities]]/Tabla1[[#This Row],[Aboard]],0)</f>
        <v>0.27777777777777779</v>
      </c>
      <c r="X1931" s="51" t="str" cm="1">
        <f t="array" ref="X1931">_xlfn.IFS(Tabla1[[#This Row],[Porcentaje de muertes]]&lt;0.35,"LEVE",AND(Tabla1[[#This Row],[Porcentaje de muertes]]&gt;0.35,Tabla1[[#This Row],[Porcentaje de muertes]]&lt;0.65),"MEDIO",Tabla1[[#This Row],[Porcentaje de muertes]]&gt;0.65,"GRAVE")</f>
        <v>LEVE</v>
      </c>
    </row>
    <row r="1932" spans="2:24" x14ac:dyDescent="0.3">
      <c r="B1932" s="9">
        <v>1931</v>
      </c>
      <c r="C1932" s="49">
        <v>22668</v>
      </c>
      <c r="D1932" s="9">
        <f>YEAR(Tabla1[[#This Row],[Date]])</f>
        <v>1962</v>
      </c>
      <c r="E1932" s="9" t="str" cm="1">
        <f t="array" ref="E1932">IFERROR(_xlfn.IFS(AND(D1932&lt;1980,D1932&gt;=1970),"70",AND(D1932&lt;1990,D1932&gt;=1980),"80",AND(D1932&lt;2000,D1932&gt;=1990),"90",AND(D1932&lt;2010,D1932&gt;=2000),"00",AND(D1932&lt;=2019,D1932&gt;=2010),"10"),"1908-1970")</f>
        <v>1908-1970</v>
      </c>
      <c r="F1932" s="3">
        <v>0.63611111111111118</v>
      </c>
      <c r="G1932" t="s">
        <v>13435</v>
      </c>
      <c r="H1932" t="s">
        <v>13436</v>
      </c>
      <c r="I1932" t="s">
        <v>28931</v>
      </c>
      <c r="J1932" t="s">
        <v>28931</v>
      </c>
      <c r="K1932" t="s">
        <v>8433</v>
      </c>
      <c r="L1932" s="7" t="s">
        <v>13437</v>
      </c>
      <c r="M1932">
        <v>33579</v>
      </c>
      <c r="N1932">
        <v>6</v>
      </c>
      <c r="O1932">
        <v>2</v>
      </c>
      <c r="P1932">
        <v>4</v>
      </c>
      <c r="Q1932">
        <v>6</v>
      </c>
      <c r="R1932">
        <v>2</v>
      </c>
      <c r="S1932">
        <v>4</v>
      </c>
      <c r="T1932">
        <v>0</v>
      </c>
      <c r="U1932" t="s">
        <v>13438</v>
      </c>
      <c r="V1932">
        <f>Tabla1[[#This Row],[Aboard]]-Tabla1[[#This Row],[Fatalities]]</f>
        <v>0</v>
      </c>
      <c r="W1932" s="50">
        <f>IFERROR(Tabla1[[#This Row],[Fatalities]]/Tabla1[[#This Row],[Aboard]],0)</f>
        <v>1</v>
      </c>
      <c r="X1932" s="51" t="str" cm="1">
        <f t="array" ref="X1932">_xlfn.IFS(Tabla1[[#This Row],[Porcentaje de muertes]]&lt;0.35,"LEVE",AND(Tabla1[[#This Row],[Porcentaje de muertes]]&gt;0.35,Tabla1[[#This Row],[Porcentaje de muertes]]&lt;0.65),"MEDIO",Tabla1[[#This Row],[Porcentaje de muertes]]&gt;0.65,"GRAVE")</f>
        <v>GRAVE</v>
      </c>
    </row>
    <row r="1933" spans="2:24" x14ac:dyDescent="0.3">
      <c r="B1933" s="9">
        <v>1932</v>
      </c>
      <c r="C1933" s="49">
        <v>22673</v>
      </c>
      <c r="D1933" s="9">
        <f>YEAR(Tabla1[[#This Row],[Date]])</f>
        <v>1962</v>
      </c>
      <c r="E1933" s="9" t="str" cm="1">
        <f t="array" ref="E1933">IFERROR(_xlfn.IFS(AND(D1933&lt;1980,D1933&gt;=1970),"70",AND(D1933&lt;1990,D1933&gt;=1980),"80",AND(D1933&lt;2000,D1933&gt;=1990),"90",AND(D1933&lt;2010,D1933&gt;=2000),"00",AND(D1933&lt;=2019,D1933&gt;=2010),"10"),"1908-1970")</f>
        <v>1908-1970</v>
      </c>
      <c r="F1933" s="3">
        <v>0.76180555555555562</v>
      </c>
      <c r="G1933" t="s">
        <v>13439</v>
      </c>
      <c r="H1933" t="s">
        <v>6541</v>
      </c>
      <c r="I1933" t="s">
        <v>28931</v>
      </c>
      <c r="J1933" t="s">
        <v>6190</v>
      </c>
      <c r="K1933" t="s">
        <v>13440</v>
      </c>
      <c r="L1933" s="7" t="s">
        <v>13441</v>
      </c>
      <c r="M1933" t="s">
        <v>13442</v>
      </c>
      <c r="N1933">
        <v>14</v>
      </c>
      <c r="O1933">
        <v>0</v>
      </c>
      <c r="P1933">
        <v>14</v>
      </c>
      <c r="Q1933">
        <v>13</v>
      </c>
      <c r="R1933">
        <v>0</v>
      </c>
      <c r="S1933">
        <v>13</v>
      </c>
      <c r="T1933">
        <v>0</v>
      </c>
      <c r="U1933" t="s">
        <v>13443</v>
      </c>
      <c r="V1933">
        <f>Tabla1[[#This Row],[Aboard]]-Tabla1[[#This Row],[Fatalities]]</f>
        <v>1</v>
      </c>
      <c r="W1933" s="50">
        <f>IFERROR(Tabla1[[#This Row],[Fatalities]]/Tabla1[[#This Row],[Aboard]],0)</f>
        <v>0.9285714285714286</v>
      </c>
      <c r="X1933" s="51" t="str" cm="1">
        <f t="array" ref="X1933">_xlfn.IFS(Tabla1[[#This Row],[Porcentaje de muertes]]&lt;0.35,"LEVE",AND(Tabla1[[#This Row],[Porcentaje de muertes]]&gt;0.35,Tabla1[[#This Row],[Porcentaje de muertes]]&lt;0.65),"MEDIO",Tabla1[[#This Row],[Porcentaje de muertes]]&gt;0.65,"GRAVE")</f>
        <v>GRAVE</v>
      </c>
    </row>
    <row r="1934" spans="2:24" x14ac:dyDescent="0.3">
      <c r="B1934" s="9">
        <v>1933</v>
      </c>
      <c r="C1934" s="49">
        <v>22738</v>
      </c>
      <c r="D1934" s="9">
        <f>YEAR(Tabla1[[#This Row],[Date]])</f>
        <v>1962</v>
      </c>
      <c r="E1934" s="9" t="str" cm="1">
        <f t="array" ref="E1934">IFERROR(_xlfn.IFS(AND(D1934&lt;1980,D1934&gt;=1970),"70",AND(D1934&lt;1990,D1934&gt;=1980),"80",AND(D1934&lt;2000,D1934&gt;=1990),"90",AND(D1934&lt;2010,D1934&gt;=2000),"00",AND(D1934&lt;=2019,D1934&gt;=2010),"10"),"1908-1970")</f>
        <v>1908-1970</v>
      </c>
      <c r="F1934" s="3">
        <v>0.4201388888888889</v>
      </c>
      <c r="G1934" t="s">
        <v>13444</v>
      </c>
      <c r="H1934" t="s">
        <v>8477</v>
      </c>
      <c r="I1934" t="s">
        <v>28931</v>
      </c>
      <c r="J1934" t="s">
        <v>13445</v>
      </c>
      <c r="K1934" t="s">
        <v>7057</v>
      </c>
      <c r="L1934" s="7" t="s">
        <v>13446</v>
      </c>
      <c r="M1934">
        <v>7331</v>
      </c>
      <c r="N1934">
        <v>18</v>
      </c>
      <c r="O1934">
        <v>15</v>
      </c>
      <c r="P1934">
        <v>3</v>
      </c>
      <c r="Q1934">
        <v>18</v>
      </c>
      <c r="R1934">
        <v>15</v>
      </c>
      <c r="S1934">
        <v>3</v>
      </c>
      <c r="T1934">
        <v>0</v>
      </c>
      <c r="U1934" t="s">
        <v>13447</v>
      </c>
      <c r="V1934">
        <f>Tabla1[[#This Row],[Aboard]]-Tabla1[[#This Row],[Fatalities]]</f>
        <v>0</v>
      </c>
      <c r="W1934" s="50">
        <f>IFERROR(Tabla1[[#This Row],[Fatalities]]/Tabla1[[#This Row],[Aboard]],0)</f>
        <v>1</v>
      </c>
      <c r="X1934" s="51" t="str" cm="1">
        <f t="array" ref="X1934">_xlfn.IFS(Tabla1[[#This Row],[Porcentaje de muertes]]&lt;0.35,"LEVE",AND(Tabla1[[#This Row],[Porcentaje de muertes]]&gt;0.35,Tabla1[[#This Row],[Porcentaje de muertes]]&lt;0.65),"MEDIO",Tabla1[[#This Row],[Porcentaje de muertes]]&gt;0.65,"GRAVE")</f>
        <v>GRAVE</v>
      </c>
    </row>
    <row r="1935" spans="2:24" x14ac:dyDescent="0.3">
      <c r="B1935" s="9">
        <v>1934</v>
      </c>
      <c r="C1935" s="49">
        <v>22702</v>
      </c>
      <c r="D1935" s="9">
        <f>YEAR(Tabla1[[#This Row],[Date]])</f>
        <v>1962</v>
      </c>
      <c r="E1935" s="9" t="str" cm="1">
        <f t="array" ref="E1935">IFERROR(_xlfn.IFS(AND(D1935&lt;1980,D1935&gt;=1970),"70",AND(D1935&lt;1990,D1935&gt;=1980),"80",AND(D1935&lt;2000,D1935&gt;=1990),"90",AND(D1935&lt;2010,D1935&gt;=2000),"00",AND(D1935&lt;=2019,D1935&gt;=2010),"10"),"1908-1970")</f>
        <v>1908-1970</v>
      </c>
      <c r="F1935" s="3" t="s">
        <v>28931</v>
      </c>
      <c r="G1935" t="s">
        <v>13448</v>
      </c>
      <c r="H1935" t="s">
        <v>9576</v>
      </c>
      <c r="I1935" t="s">
        <v>28931</v>
      </c>
      <c r="J1935" t="s">
        <v>13449</v>
      </c>
      <c r="K1935" t="s">
        <v>13450</v>
      </c>
      <c r="L1935" s="7" t="s">
        <v>13451</v>
      </c>
      <c r="M1935">
        <v>12</v>
      </c>
      <c r="N1935">
        <v>23</v>
      </c>
      <c r="O1935">
        <v>20</v>
      </c>
      <c r="P1935">
        <v>3</v>
      </c>
      <c r="Q1935">
        <v>23</v>
      </c>
      <c r="R1935">
        <v>20</v>
      </c>
      <c r="S1935">
        <v>3</v>
      </c>
      <c r="T1935">
        <v>0</v>
      </c>
      <c r="U1935" t="s">
        <v>13452</v>
      </c>
      <c r="V1935">
        <f>Tabla1[[#This Row],[Aboard]]-Tabla1[[#This Row],[Fatalities]]</f>
        <v>0</v>
      </c>
      <c r="W1935" s="50">
        <f>IFERROR(Tabla1[[#This Row],[Fatalities]]/Tabla1[[#This Row],[Aboard]],0)</f>
        <v>1</v>
      </c>
      <c r="X1935" s="51" t="str" cm="1">
        <f t="array" ref="X1935">_xlfn.IFS(Tabla1[[#This Row],[Porcentaje de muertes]]&lt;0.35,"LEVE",AND(Tabla1[[#This Row],[Porcentaje de muertes]]&gt;0.35,Tabla1[[#This Row],[Porcentaje de muertes]]&lt;0.65),"MEDIO",Tabla1[[#This Row],[Porcentaje de muertes]]&gt;0.65,"GRAVE")</f>
        <v>GRAVE</v>
      </c>
    </row>
    <row r="1936" spans="2:24" x14ac:dyDescent="0.3">
      <c r="B1936" s="9">
        <v>1935</v>
      </c>
      <c r="C1936" s="49">
        <v>22702</v>
      </c>
      <c r="D1936" s="9">
        <f>YEAR(Tabla1[[#This Row],[Date]])</f>
        <v>1962</v>
      </c>
      <c r="E1936" s="9" t="str" cm="1">
        <f t="array" ref="E1936">IFERROR(_xlfn.IFS(AND(D1936&lt;1980,D1936&gt;=1970),"70",AND(D1936&lt;1990,D1936&gt;=1980),"80",AND(D1936&lt;2000,D1936&gt;=1990),"90",AND(D1936&lt;2010,D1936&gt;=2000),"00",AND(D1936&lt;=2019,D1936&gt;=2010),"10"),"1908-1970")</f>
        <v>1908-1970</v>
      </c>
      <c r="F1936" s="3">
        <v>0.60763888888888895</v>
      </c>
      <c r="G1936" t="s">
        <v>13453</v>
      </c>
      <c r="H1936" t="s">
        <v>7854</v>
      </c>
      <c r="I1936" t="s">
        <v>28931</v>
      </c>
      <c r="J1936" t="s">
        <v>13454</v>
      </c>
      <c r="K1936" t="s">
        <v>8105</v>
      </c>
      <c r="L1936" s="7" t="s">
        <v>13455</v>
      </c>
      <c r="M1936">
        <v>19653</v>
      </c>
      <c r="N1936">
        <v>2</v>
      </c>
      <c r="O1936">
        <v>0</v>
      </c>
      <c r="P1936">
        <v>2</v>
      </c>
      <c r="Q1936">
        <v>2</v>
      </c>
      <c r="R1936">
        <v>0</v>
      </c>
      <c r="S1936">
        <v>2</v>
      </c>
      <c r="T1936">
        <v>0</v>
      </c>
      <c r="U1936" t="s">
        <v>13456</v>
      </c>
      <c r="V1936">
        <f>Tabla1[[#This Row],[Aboard]]-Tabla1[[#This Row],[Fatalities]]</f>
        <v>0</v>
      </c>
      <c r="W1936" s="50">
        <f>IFERROR(Tabla1[[#This Row],[Fatalities]]/Tabla1[[#This Row],[Aboard]],0)</f>
        <v>1</v>
      </c>
      <c r="X1936" s="51" t="str" cm="1">
        <f t="array" ref="X1936">_xlfn.IFS(Tabla1[[#This Row],[Porcentaje de muertes]]&lt;0.35,"LEVE",AND(Tabla1[[#This Row],[Porcentaje de muertes]]&gt;0.35,Tabla1[[#This Row],[Porcentaje de muertes]]&lt;0.65),"MEDIO",Tabla1[[#This Row],[Porcentaje de muertes]]&gt;0.65,"GRAVE")</f>
        <v>GRAVE</v>
      </c>
    </row>
    <row r="1937" spans="2:24" x14ac:dyDescent="0.3">
      <c r="B1937" s="9">
        <v>1936</v>
      </c>
      <c r="C1937" s="49">
        <v>22649</v>
      </c>
      <c r="D1937" s="9">
        <f>YEAR(Tabla1[[#This Row],[Date]])</f>
        <v>1962</v>
      </c>
      <c r="E1937" s="9" t="str" cm="1">
        <f t="array" ref="E1937">IFERROR(_xlfn.IFS(AND(D1937&lt;1980,D1937&gt;=1970),"70",AND(D1937&lt;1990,D1937&gt;=1980),"80",AND(D1937&lt;2000,D1937&gt;=1990),"90",AND(D1937&lt;2010,D1937&gt;=2000),"00",AND(D1937&lt;=2019,D1937&gt;=2010),"10"),"1908-1970")</f>
        <v>1908-1970</v>
      </c>
      <c r="F1937" s="3">
        <v>0.42291666666666666</v>
      </c>
      <c r="G1937" t="s">
        <v>13457</v>
      </c>
      <c r="H1937" t="s">
        <v>6536</v>
      </c>
      <c r="I1937">
        <v>1</v>
      </c>
      <c r="J1937" t="s">
        <v>8308</v>
      </c>
      <c r="K1937" t="s">
        <v>13458</v>
      </c>
      <c r="L1937" s="7" t="s">
        <v>13459</v>
      </c>
      <c r="M1937" t="s">
        <v>13460</v>
      </c>
      <c r="N1937">
        <v>95</v>
      </c>
      <c r="O1937">
        <v>87</v>
      </c>
      <c r="P1937">
        <v>8</v>
      </c>
      <c r="Q1937">
        <v>95</v>
      </c>
      <c r="R1937">
        <v>87</v>
      </c>
      <c r="S1937">
        <v>8</v>
      </c>
      <c r="T1937">
        <v>0</v>
      </c>
      <c r="U1937" t="s">
        <v>13461</v>
      </c>
      <c r="V1937">
        <f>Tabla1[[#This Row],[Aboard]]-Tabla1[[#This Row],[Fatalities]]</f>
        <v>0</v>
      </c>
      <c r="W1937" s="50">
        <f>IFERROR(Tabla1[[#This Row],[Fatalities]]/Tabla1[[#This Row],[Aboard]],0)</f>
        <v>1</v>
      </c>
      <c r="X1937" s="51" t="str" cm="1">
        <f t="array" ref="X1937">_xlfn.IFS(Tabla1[[#This Row],[Porcentaje de muertes]]&lt;0.35,"LEVE",AND(Tabla1[[#This Row],[Porcentaje de muertes]]&gt;0.35,Tabla1[[#This Row],[Porcentaje de muertes]]&lt;0.65),"MEDIO",Tabla1[[#This Row],[Porcentaje de muertes]]&gt;0.65,"GRAVE")</f>
        <v>GRAVE</v>
      </c>
    </row>
    <row r="1938" spans="2:24" x14ac:dyDescent="0.3">
      <c r="B1938" s="9">
        <v>1937</v>
      </c>
      <c r="C1938" s="49">
        <v>22739</v>
      </c>
      <c r="D1938" s="9">
        <f>YEAR(Tabla1[[#This Row],[Date]])</f>
        <v>1962</v>
      </c>
      <c r="E1938" s="9" t="str" cm="1">
        <f t="array" ref="E1938">IFERROR(_xlfn.IFS(AND(D1938&lt;1980,D1938&gt;=1970),"70",AND(D1938&lt;1990,D1938&gt;=1980),"80",AND(D1938&lt;2000,D1938&gt;=1990),"90",AND(D1938&lt;2010,D1938&gt;=2000),"00",AND(D1938&lt;=2019,D1938&gt;=2010),"10"),"1908-1970")</f>
        <v>1908-1970</v>
      </c>
      <c r="F1938" s="3">
        <v>0.76388888888888884</v>
      </c>
      <c r="G1938" t="s">
        <v>13251</v>
      </c>
      <c r="H1938" t="s">
        <v>13462</v>
      </c>
      <c r="I1938">
        <v>153</v>
      </c>
      <c r="J1938" t="s">
        <v>13463</v>
      </c>
      <c r="K1938" t="s">
        <v>12348</v>
      </c>
      <c r="L1938" s="7" t="s">
        <v>13464</v>
      </c>
      <c r="M1938" t="s">
        <v>13465</v>
      </c>
      <c r="N1938">
        <v>111</v>
      </c>
      <c r="O1938">
        <v>101</v>
      </c>
      <c r="P1938">
        <v>10</v>
      </c>
      <c r="Q1938">
        <v>111</v>
      </c>
      <c r="R1938">
        <v>101</v>
      </c>
      <c r="S1938">
        <v>10</v>
      </c>
      <c r="T1938">
        <v>0</v>
      </c>
      <c r="U1938" t="s">
        <v>13466</v>
      </c>
      <c r="V1938">
        <f>Tabla1[[#This Row],[Aboard]]-Tabla1[[#This Row],[Fatalities]]</f>
        <v>0</v>
      </c>
      <c r="W1938" s="50">
        <f>IFERROR(Tabla1[[#This Row],[Fatalities]]/Tabla1[[#This Row],[Aboard]],0)</f>
        <v>1</v>
      </c>
      <c r="X1938" s="51" t="str" cm="1">
        <f t="array" ref="X1938">_xlfn.IFS(Tabla1[[#This Row],[Porcentaje de muertes]]&lt;0.35,"LEVE",AND(Tabla1[[#This Row],[Porcentaje de muertes]]&gt;0.35,Tabla1[[#This Row],[Porcentaje de muertes]]&lt;0.65),"MEDIO",Tabla1[[#This Row],[Porcentaje de muertes]]&gt;0.65,"GRAVE")</f>
        <v>GRAVE</v>
      </c>
    </row>
    <row r="1939" spans="2:24" x14ac:dyDescent="0.3">
      <c r="B1939" s="9">
        <v>1938</v>
      </c>
      <c r="C1939" s="49">
        <v>22800</v>
      </c>
      <c r="D1939" s="9">
        <f>YEAR(Tabla1[[#This Row],[Date]])</f>
        <v>1962</v>
      </c>
      <c r="E1939" s="9" t="str" cm="1">
        <f t="array" ref="E1939">IFERROR(_xlfn.IFS(AND(D1939&lt;1980,D1939&gt;=1970),"70",AND(D1939&lt;1990,D1939&gt;=1980),"80",AND(D1939&lt;2000,D1939&gt;=1990),"90",AND(D1939&lt;2010,D1939&gt;=2000),"00",AND(D1939&lt;=2019,D1939&gt;=2010),"10"),"1908-1970")</f>
        <v>1908-1970</v>
      </c>
      <c r="F1939" s="3">
        <v>0.59375</v>
      </c>
      <c r="G1939" t="s">
        <v>13467</v>
      </c>
      <c r="H1939" t="s">
        <v>7638</v>
      </c>
      <c r="I1939">
        <v>512</v>
      </c>
      <c r="J1939" t="s">
        <v>13468</v>
      </c>
      <c r="K1939" t="s">
        <v>7057</v>
      </c>
      <c r="L1939" s="7" t="s">
        <v>13469</v>
      </c>
      <c r="M1939" t="s">
        <v>13470</v>
      </c>
      <c r="N1939">
        <v>7</v>
      </c>
      <c r="O1939">
        <v>3</v>
      </c>
      <c r="P1939">
        <v>4</v>
      </c>
      <c r="Q1939">
        <v>2</v>
      </c>
      <c r="R1939">
        <v>0</v>
      </c>
      <c r="S1939">
        <v>2</v>
      </c>
      <c r="T1939">
        <v>0</v>
      </c>
      <c r="U1939" t="s">
        <v>13471</v>
      </c>
      <c r="V1939">
        <f>Tabla1[[#This Row],[Aboard]]-Tabla1[[#This Row],[Fatalities]]</f>
        <v>5</v>
      </c>
      <c r="W1939" s="50">
        <f>IFERROR(Tabla1[[#This Row],[Fatalities]]/Tabla1[[#This Row],[Aboard]],0)</f>
        <v>0.2857142857142857</v>
      </c>
      <c r="X1939" s="51" t="str" cm="1">
        <f t="array" ref="X1939">_xlfn.IFS(Tabla1[[#This Row],[Porcentaje de muertes]]&lt;0.35,"LEVE",AND(Tabla1[[#This Row],[Porcentaje de muertes]]&gt;0.35,Tabla1[[#This Row],[Porcentaje de muertes]]&lt;0.65),"MEDIO",Tabla1[[#This Row],[Porcentaje de muertes]]&gt;0.65,"GRAVE")</f>
        <v>LEVE</v>
      </c>
    </row>
    <row r="1940" spans="2:24" x14ac:dyDescent="0.3">
      <c r="B1940" s="9">
        <v>1939</v>
      </c>
      <c r="C1940" s="49">
        <v>22861</v>
      </c>
      <c r="D1940" s="9">
        <f>YEAR(Tabla1[[#This Row],[Date]])</f>
        <v>1962</v>
      </c>
      <c r="E1940" s="9" t="str" cm="1">
        <f t="array" ref="E1940">IFERROR(_xlfn.IFS(AND(D1940&lt;1980,D1940&gt;=1970),"70",AND(D1940&lt;1990,D1940&gt;=1980),"80",AND(D1940&lt;2000,D1940&gt;=1990),"90",AND(D1940&lt;2010,D1940&gt;=2000),"00",AND(D1940&lt;=2019,D1940&gt;=2010),"10"),"1908-1970")</f>
        <v>1908-1970</v>
      </c>
      <c r="F1940" s="3">
        <v>0.95833333333333337</v>
      </c>
      <c r="G1940" t="s">
        <v>7654</v>
      </c>
      <c r="H1940" t="s">
        <v>13472</v>
      </c>
      <c r="I1940" t="s">
        <v>28931</v>
      </c>
      <c r="J1940" t="s">
        <v>13473</v>
      </c>
      <c r="K1940" t="s">
        <v>10428</v>
      </c>
      <c r="L1940" s="7" t="s">
        <v>13474</v>
      </c>
      <c r="M1940" t="s">
        <v>13475</v>
      </c>
      <c r="N1940">
        <v>5</v>
      </c>
      <c r="O1940">
        <v>0</v>
      </c>
      <c r="P1940">
        <v>5</v>
      </c>
      <c r="Q1940">
        <v>5</v>
      </c>
      <c r="R1940">
        <v>0</v>
      </c>
      <c r="S1940">
        <v>5</v>
      </c>
      <c r="T1940">
        <v>0</v>
      </c>
      <c r="U1940" t="s">
        <v>13476</v>
      </c>
      <c r="V1940">
        <f>Tabla1[[#This Row],[Aboard]]-Tabla1[[#This Row],[Fatalities]]</f>
        <v>0</v>
      </c>
      <c r="W1940" s="50">
        <f>IFERROR(Tabla1[[#This Row],[Fatalities]]/Tabla1[[#This Row],[Aboard]],0)</f>
        <v>1</v>
      </c>
      <c r="X1940" s="51" t="str" cm="1">
        <f t="array" ref="X1940">_xlfn.IFS(Tabla1[[#This Row],[Porcentaje de muertes]]&lt;0.35,"LEVE",AND(Tabla1[[#This Row],[Porcentaje de muertes]]&gt;0.35,Tabla1[[#This Row],[Porcentaje de muertes]]&lt;0.65),"MEDIO",Tabla1[[#This Row],[Porcentaje de muertes]]&gt;0.65,"GRAVE")</f>
        <v>GRAVE</v>
      </c>
    </row>
    <row r="1941" spans="2:24" x14ac:dyDescent="0.3">
      <c r="B1941" s="9">
        <v>1940</v>
      </c>
      <c r="C1941" s="49">
        <v>22861</v>
      </c>
      <c r="D1941" s="9">
        <f>YEAR(Tabla1[[#This Row],[Date]])</f>
        <v>1962</v>
      </c>
      <c r="E1941" s="9" t="str" cm="1">
        <f t="array" ref="E1941">IFERROR(_xlfn.IFS(AND(D1941&lt;1980,D1941&gt;=1970),"70",AND(D1941&lt;1990,D1941&gt;=1980),"80",AND(D1941&lt;2000,D1941&gt;=1990),"90",AND(D1941&lt;2010,D1941&gt;=2000),"00",AND(D1941&lt;=2019,D1941&gt;=2010),"10"),"1908-1970")</f>
        <v>1908-1970</v>
      </c>
      <c r="F1941" s="3">
        <v>0.72916666666666663</v>
      </c>
      <c r="G1941" t="s">
        <v>13477</v>
      </c>
      <c r="H1941" t="s">
        <v>7987</v>
      </c>
      <c r="I1941" t="s">
        <v>28931</v>
      </c>
      <c r="J1941" t="s">
        <v>13478</v>
      </c>
      <c r="K1941" t="s">
        <v>12471</v>
      </c>
      <c r="L1941" s="7" t="s">
        <v>13479</v>
      </c>
      <c r="M1941">
        <v>3047</v>
      </c>
      <c r="N1941">
        <v>15</v>
      </c>
      <c r="O1941">
        <v>13</v>
      </c>
      <c r="P1941">
        <v>2</v>
      </c>
      <c r="Q1941">
        <v>15</v>
      </c>
      <c r="R1941">
        <v>13</v>
      </c>
      <c r="S1941">
        <v>2</v>
      </c>
      <c r="T1941">
        <v>0</v>
      </c>
      <c r="U1941" t="s">
        <v>13480</v>
      </c>
      <c r="V1941">
        <f>Tabla1[[#This Row],[Aboard]]-Tabla1[[#This Row],[Fatalities]]</f>
        <v>0</v>
      </c>
      <c r="W1941" s="50">
        <f>IFERROR(Tabla1[[#This Row],[Fatalities]]/Tabla1[[#This Row],[Aboard]],0)</f>
        <v>1</v>
      </c>
      <c r="X1941" s="51" t="str" cm="1">
        <f t="array" ref="X1941">_xlfn.IFS(Tabla1[[#This Row],[Porcentaje de muertes]]&lt;0.35,"LEVE",AND(Tabla1[[#This Row],[Porcentaje de muertes]]&gt;0.35,Tabla1[[#This Row],[Porcentaje de muertes]]&lt;0.65),"MEDIO",Tabla1[[#This Row],[Porcentaje de muertes]]&gt;0.65,"GRAVE")</f>
        <v>GRAVE</v>
      </c>
    </row>
    <row r="1942" spans="2:24" x14ac:dyDescent="0.3">
      <c r="B1942" s="9">
        <v>1941</v>
      </c>
      <c r="C1942" s="49">
        <v>22861</v>
      </c>
      <c r="D1942" s="9">
        <f>YEAR(Tabla1[[#This Row],[Date]])</f>
        <v>1962</v>
      </c>
      <c r="E1942" s="9" t="str" cm="1">
        <f t="array" ref="E1942">IFERROR(_xlfn.IFS(AND(D1942&lt;1980,D1942&gt;=1970),"70",AND(D1942&lt;1990,D1942&gt;=1980),"80",AND(D1942&lt;2000,D1942&gt;=1990),"90",AND(D1942&lt;2010,D1942&gt;=2000),"00",AND(D1942&lt;=2019,D1942&gt;=2010),"10"),"1908-1970")</f>
        <v>1908-1970</v>
      </c>
      <c r="F1942" s="3">
        <v>0.73819444444444438</v>
      </c>
      <c r="G1942" t="s">
        <v>13481</v>
      </c>
      <c r="H1942" t="s">
        <v>12613</v>
      </c>
      <c r="I1942" t="s">
        <v>28931</v>
      </c>
      <c r="J1942" t="s">
        <v>13482</v>
      </c>
      <c r="K1942" t="s">
        <v>13450</v>
      </c>
      <c r="L1942" s="7" t="s">
        <v>13483</v>
      </c>
      <c r="M1942">
        <v>83</v>
      </c>
      <c r="N1942">
        <v>11</v>
      </c>
      <c r="O1942">
        <v>8</v>
      </c>
      <c r="P1942">
        <v>3</v>
      </c>
      <c r="Q1942">
        <v>11</v>
      </c>
      <c r="R1942">
        <v>8</v>
      </c>
      <c r="S1942">
        <v>3</v>
      </c>
      <c r="T1942">
        <v>0</v>
      </c>
      <c r="U1942" t="s">
        <v>13484</v>
      </c>
      <c r="V1942">
        <f>Tabla1[[#This Row],[Aboard]]-Tabla1[[#This Row],[Fatalities]]</f>
        <v>0</v>
      </c>
      <c r="W1942" s="50">
        <f>IFERROR(Tabla1[[#This Row],[Fatalities]]/Tabla1[[#This Row],[Aboard]],0)</f>
        <v>1</v>
      </c>
      <c r="X1942" s="51" t="str" cm="1">
        <f t="array" ref="X1942">_xlfn.IFS(Tabla1[[#This Row],[Porcentaje de muertes]]&lt;0.35,"LEVE",AND(Tabla1[[#This Row],[Porcentaje de muertes]]&gt;0.35,Tabla1[[#This Row],[Porcentaje de muertes]]&lt;0.65),"MEDIO",Tabla1[[#This Row],[Porcentaje de muertes]]&gt;0.65,"GRAVE")</f>
        <v>GRAVE</v>
      </c>
    </row>
    <row r="1943" spans="2:24" x14ac:dyDescent="0.3">
      <c r="B1943" s="9">
        <v>1942</v>
      </c>
      <c r="C1943" s="49">
        <v>22720</v>
      </c>
      <c r="D1943" s="9">
        <f>YEAR(Tabla1[[#This Row],[Date]])</f>
        <v>1962</v>
      </c>
      <c r="E1943" s="9" t="str" cm="1">
        <f t="array" ref="E1943">IFERROR(_xlfn.IFS(AND(D1943&lt;1980,D1943&gt;=1970),"70",AND(D1943&lt;1990,D1943&gt;=1980),"80",AND(D1943&lt;2000,D1943&gt;=1990),"90",AND(D1943&lt;2010,D1943&gt;=2000),"00",AND(D1943&lt;=2019,D1943&gt;=2010),"10"),"1908-1970")</f>
        <v>1908-1970</v>
      </c>
      <c r="F1943" s="3">
        <v>2.0833333333333332E-2</v>
      </c>
      <c r="G1943" t="s">
        <v>13485</v>
      </c>
      <c r="H1943" t="s">
        <v>10878</v>
      </c>
      <c r="I1943" t="s">
        <v>13486</v>
      </c>
      <c r="J1943" t="s">
        <v>13487</v>
      </c>
      <c r="K1943" t="s">
        <v>12422</v>
      </c>
      <c r="L1943" s="7" t="s">
        <v>13488</v>
      </c>
      <c r="M1943">
        <v>4817</v>
      </c>
      <c r="N1943">
        <v>107</v>
      </c>
      <c r="O1943">
        <v>96</v>
      </c>
      <c r="P1943">
        <v>11</v>
      </c>
      <c r="Q1943">
        <v>107</v>
      </c>
      <c r="R1943">
        <v>96</v>
      </c>
      <c r="S1943">
        <v>11</v>
      </c>
      <c r="T1943">
        <v>0</v>
      </c>
      <c r="U1943" t="s">
        <v>13489</v>
      </c>
      <c r="V1943">
        <f>Tabla1[[#This Row],[Aboard]]-Tabla1[[#This Row],[Fatalities]]</f>
        <v>0</v>
      </c>
      <c r="W1943" s="50">
        <f>IFERROR(Tabla1[[#This Row],[Fatalities]]/Tabla1[[#This Row],[Aboard]],0)</f>
        <v>1</v>
      </c>
      <c r="X1943" s="51" t="str" cm="1">
        <f t="array" ref="X1943">_xlfn.IFS(Tabla1[[#This Row],[Porcentaje de muertes]]&lt;0.35,"LEVE",AND(Tabla1[[#This Row],[Porcentaje de muertes]]&gt;0.35,Tabla1[[#This Row],[Porcentaje de muertes]]&lt;0.65),"MEDIO",Tabla1[[#This Row],[Porcentaje de muertes]]&gt;0.65,"GRAVE")</f>
        <v>GRAVE</v>
      </c>
    </row>
    <row r="1944" spans="2:24" x14ac:dyDescent="0.3">
      <c r="B1944" s="9">
        <v>1943</v>
      </c>
      <c r="C1944" s="49">
        <v>22720</v>
      </c>
      <c r="D1944" s="9">
        <f>YEAR(Tabla1[[#This Row],[Date]])</f>
        <v>1962</v>
      </c>
      <c r="E1944" s="9" t="str" cm="1">
        <f t="array" ref="E1944">IFERROR(_xlfn.IFS(AND(D1944&lt;1980,D1944&gt;=1970),"70",AND(D1944&lt;1990,D1944&gt;=1980),"80",AND(D1944&lt;2000,D1944&gt;=1990),"90",AND(D1944&lt;2010,D1944&gt;=2000),"00",AND(D1944&lt;=2019,D1944&gt;=2010),"10"),"1908-1970")</f>
        <v>1908-1970</v>
      </c>
      <c r="F1944" s="3">
        <v>5.1388888888888894E-2</v>
      </c>
      <c r="G1944" t="s">
        <v>13490</v>
      </c>
      <c r="H1944" t="s">
        <v>10878</v>
      </c>
      <c r="I1944">
        <v>7816</v>
      </c>
      <c r="J1944" t="s">
        <v>13491</v>
      </c>
      <c r="K1944" t="s">
        <v>12422</v>
      </c>
      <c r="L1944" s="7" t="s">
        <v>13492</v>
      </c>
      <c r="M1944">
        <v>4804</v>
      </c>
      <c r="N1944">
        <v>7</v>
      </c>
      <c r="O1944">
        <v>0</v>
      </c>
      <c r="P1944">
        <v>7</v>
      </c>
      <c r="Q1944">
        <v>1</v>
      </c>
      <c r="R1944">
        <v>0</v>
      </c>
      <c r="S1944">
        <v>1</v>
      </c>
      <c r="T1944">
        <v>0</v>
      </c>
      <c r="U1944" t="s">
        <v>13493</v>
      </c>
      <c r="V1944">
        <f>Tabla1[[#This Row],[Aboard]]-Tabla1[[#This Row],[Fatalities]]</f>
        <v>6</v>
      </c>
      <c r="W1944" s="50">
        <f>IFERROR(Tabla1[[#This Row],[Fatalities]]/Tabla1[[#This Row],[Aboard]],0)</f>
        <v>0.14285714285714285</v>
      </c>
      <c r="X1944" s="51" t="str" cm="1">
        <f t="array" ref="X1944">_xlfn.IFS(Tabla1[[#This Row],[Porcentaje de muertes]]&lt;0.35,"LEVE",AND(Tabla1[[#This Row],[Porcentaje de muertes]]&gt;0.35,Tabla1[[#This Row],[Porcentaje de muertes]]&lt;0.65),"MEDIO",Tabla1[[#This Row],[Porcentaje de muertes]]&gt;0.65,"GRAVE")</f>
        <v>LEVE</v>
      </c>
    </row>
    <row r="1945" spans="2:24" x14ac:dyDescent="0.3">
      <c r="B1945" s="9">
        <v>1944</v>
      </c>
      <c r="C1945" s="49">
        <v>22725</v>
      </c>
      <c r="D1945" s="9">
        <f>YEAR(Tabla1[[#This Row],[Date]])</f>
        <v>1962</v>
      </c>
      <c r="E1945" s="9" t="str" cm="1">
        <f t="array" ref="E1945">IFERROR(_xlfn.IFS(AND(D1945&lt;1980,D1945&gt;=1970),"70",AND(D1945&lt;1990,D1945&gt;=1980),"80",AND(D1945&lt;2000,D1945&gt;=1990),"90",AND(D1945&lt;2010,D1945&gt;=2000),"00",AND(D1945&lt;=2019,D1945&gt;=2010),"10"),"1908-1970")</f>
        <v>1908-1970</v>
      </c>
      <c r="F1945" s="3">
        <v>0.85416666666666663</v>
      </c>
      <c r="G1945" t="s">
        <v>13494</v>
      </c>
      <c r="H1945" t="s">
        <v>13495</v>
      </c>
      <c r="I1945" t="s">
        <v>28931</v>
      </c>
      <c r="J1945" t="s">
        <v>13496</v>
      </c>
      <c r="K1945" t="s">
        <v>12638</v>
      </c>
      <c r="L1945" s="7">
        <v>204</v>
      </c>
      <c r="M1945">
        <v>204</v>
      </c>
      <c r="N1945">
        <v>11</v>
      </c>
      <c r="O1945">
        <v>8</v>
      </c>
      <c r="P1945">
        <v>3</v>
      </c>
      <c r="Q1945">
        <v>11</v>
      </c>
      <c r="R1945">
        <v>8</v>
      </c>
      <c r="S1945">
        <v>3</v>
      </c>
      <c r="T1945">
        <v>0</v>
      </c>
      <c r="U1945" t="s">
        <v>13497</v>
      </c>
      <c r="V1945">
        <f>Tabla1[[#This Row],[Aboard]]-Tabla1[[#This Row],[Fatalities]]</f>
        <v>0</v>
      </c>
      <c r="W1945" s="50">
        <f>IFERROR(Tabla1[[#This Row],[Fatalities]]/Tabla1[[#This Row],[Aboard]],0)</f>
        <v>1</v>
      </c>
      <c r="X1945" s="51" t="str" cm="1">
        <f t="array" ref="X1945">_xlfn.IFS(Tabla1[[#This Row],[Porcentaje de muertes]]&lt;0.35,"LEVE",AND(Tabla1[[#This Row],[Porcentaje de muertes]]&gt;0.35,Tabla1[[#This Row],[Porcentaje de muertes]]&lt;0.65),"MEDIO",Tabla1[[#This Row],[Porcentaje de muertes]]&gt;0.65,"GRAVE")</f>
        <v>GRAVE</v>
      </c>
    </row>
    <row r="1946" spans="2:24" x14ac:dyDescent="0.3">
      <c r="B1946" s="9">
        <v>1945</v>
      </c>
      <c r="C1946" s="49">
        <v>22732</v>
      </c>
      <c r="D1946" s="9">
        <f>YEAR(Tabla1[[#This Row],[Date]])</f>
        <v>1962</v>
      </c>
      <c r="E1946" s="9" t="str" cm="1">
        <f t="array" ref="E1946">IFERROR(_xlfn.IFS(AND(D1946&lt;1980,D1946&gt;=1970),"70",AND(D1946&lt;1990,D1946&gt;=1980),"80",AND(D1946&lt;2000,D1946&gt;=1990),"90",AND(D1946&lt;2010,D1946&gt;=2000),"00",AND(D1946&lt;=2019,D1946&gt;=2010),"10"),"1908-1970")</f>
        <v>1908-1970</v>
      </c>
      <c r="F1946" s="3">
        <v>0.73958333333333337</v>
      </c>
      <c r="G1946" t="s">
        <v>5754</v>
      </c>
      <c r="H1946" t="s">
        <v>6524</v>
      </c>
      <c r="I1946" t="s">
        <v>28931</v>
      </c>
      <c r="J1946" t="s">
        <v>5756</v>
      </c>
      <c r="K1946" t="s">
        <v>12541</v>
      </c>
      <c r="L1946" s="7" t="s">
        <v>13498</v>
      </c>
      <c r="M1946" t="s">
        <v>28931</v>
      </c>
      <c r="N1946">
        <v>22</v>
      </c>
      <c r="O1946">
        <v>18</v>
      </c>
      <c r="P1946">
        <v>4</v>
      </c>
      <c r="Q1946">
        <v>22</v>
      </c>
      <c r="R1946">
        <v>18</v>
      </c>
      <c r="S1946">
        <v>4</v>
      </c>
      <c r="T1946">
        <v>0</v>
      </c>
      <c r="U1946" t="s">
        <v>13499</v>
      </c>
      <c r="V1946">
        <f>Tabla1[[#This Row],[Aboard]]-Tabla1[[#This Row],[Fatalities]]</f>
        <v>0</v>
      </c>
      <c r="W1946" s="50">
        <f>IFERROR(Tabla1[[#This Row],[Fatalities]]/Tabla1[[#This Row],[Aboard]],0)</f>
        <v>1</v>
      </c>
      <c r="X1946" s="51" t="str" cm="1">
        <f t="array" ref="X1946">_xlfn.IFS(Tabla1[[#This Row],[Porcentaje de muertes]]&lt;0.35,"LEVE",AND(Tabla1[[#This Row],[Porcentaje de muertes]]&gt;0.35,Tabla1[[#This Row],[Porcentaje de muertes]]&lt;0.65),"MEDIO",Tabla1[[#This Row],[Porcentaje de muertes]]&gt;0.65,"GRAVE")</f>
        <v>GRAVE</v>
      </c>
    </row>
    <row r="1947" spans="2:24" x14ac:dyDescent="0.3">
      <c r="B1947" s="9">
        <v>1946</v>
      </c>
      <c r="C1947" s="49">
        <v>22801</v>
      </c>
      <c r="D1947" s="9">
        <f>YEAR(Tabla1[[#This Row],[Date]])</f>
        <v>1962</v>
      </c>
      <c r="E1947" s="9" t="str" cm="1">
        <f t="array" ref="E1947">IFERROR(_xlfn.IFS(AND(D1947&lt;1980,D1947&gt;=1970),"70",AND(D1947&lt;1990,D1947&gt;=1980),"80",AND(D1947&lt;2000,D1947&gt;=1990),"90",AND(D1947&lt;2010,D1947&gt;=2000),"00",AND(D1947&lt;=2019,D1947&gt;=2010),"10"),"1908-1970")</f>
        <v>1908-1970</v>
      </c>
      <c r="F1947" s="3">
        <v>0.625</v>
      </c>
      <c r="G1947" t="s">
        <v>13500</v>
      </c>
      <c r="H1947" t="s">
        <v>13501</v>
      </c>
      <c r="I1947" t="s">
        <v>28931</v>
      </c>
      <c r="J1947" t="s">
        <v>13502</v>
      </c>
      <c r="K1947" t="s">
        <v>7826</v>
      </c>
      <c r="L1947" s="7" t="s">
        <v>13503</v>
      </c>
      <c r="M1947" t="s">
        <v>28931</v>
      </c>
      <c r="N1947">
        <v>31</v>
      </c>
      <c r="O1947">
        <v>26</v>
      </c>
      <c r="P1947">
        <v>5</v>
      </c>
      <c r="Q1947">
        <v>31</v>
      </c>
      <c r="R1947">
        <v>26</v>
      </c>
      <c r="S1947">
        <v>5</v>
      </c>
      <c r="T1947">
        <v>0</v>
      </c>
      <c r="U1947" t="s">
        <v>13504</v>
      </c>
      <c r="V1947">
        <f>Tabla1[[#This Row],[Aboard]]-Tabla1[[#This Row],[Fatalities]]</f>
        <v>0</v>
      </c>
      <c r="W1947" s="50">
        <f>IFERROR(Tabla1[[#This Row],[Fatalities]]/Tabla1[[#This Row],[Aboard]],0)</f>
        <v>1</v>
      </c>
      <c r="X1947" s="51" t="str" cm="1">
        <f t="array" ref="X1947">_xlfn.IFS(Tabla1[[#This Row],[Porcentaje de muertes]]&lt;0.35,"LEVE",AND(Tabla1[[#This Row],[Porcentaje de muertes]]&gt;0.35,Tabla1[[#This Row],[Porcentaje de muertes]]&lt;0.65),"MEDIO",Tabla1[[#This Row],[Porcentaje de muertes]]&gt;0.65,"GRAVE")</f>
        <v>GRAVE</v>
      </c>
    </row>
    <row r="1948" spans="2:24" x14ac:dyDescent="0.3">
      <c r="B1948" s="9">
        <v>1947</v>
      </c>
      <c r="C1948" s="49">
        <v>22755</v>
      </c>
      <c r="D1948" s="9">
        <f>YEAR(Tabla1[[#This Row],[Date]])</f>
        <v>1962</v>
      </c>
      <c r="E1948" s="9" t="str" cm="1">
        <f t="array" ref="E1948">IFERROR(_xlfn.IFS(AND(D1948&lt;1980,D1948&gt;=1970),"70",AND(D1948&lt;1990,D1948&gt;=1980),"80",AND(D1948&lt;2000,D1948&gt;=1990),"90",AND(D1948&lt;2010,D1948&gt;=2000),"00",AND(D1948&lt;=2019,D1948&gt;=2010),"10"),"1908-1970")</f>
        <v>1908-1970</v>
      </c>
      <c r="F1948" s="3" t="s">
        <v>28931</v>
      </c>
      <c r="G1948" t="s">
        <v>13505</v>
      </c>
      <c r="H1948" t="s">
        <v>7987</v>
      </c>
      <c r="I1948" t="s">
        <v>28931</v>
      </c>
      <c r="J1948" t="s">
        <v>13506</v>
      </c>
      <c r="K1948" t="s">
        <v>7826</v>
      </c>
      <c r="L1948" s="7" t="s">
        <v>28931</v>
      </c>
      <c r="M1948" t="s">
        <v>28931</v>
      </c>
      <c r="N1948">
        <v>16</v>
      </c>
      <c r="O1948">
        <v>10</v>
      </c>
      <c r="P1948">
        <v>6</v>
      </c>
      <c r="Q1948">
        <v>15</v>
      </c>
      <c r="R1948">
        <v>10</v>
      </c>
      <c r="S1948">
        <v>5</v>
      </c>
      <c r="T1948">
        <v>0</v>
      </c>
      <c r="U1948" t="s">
        <v>13507</v>
      </c>
      <c r="V1948">
        <f>Tabla1[[#This Row],[Aboard]]-Tabla1[[#This Row],[Fatalities]]</f>
        <v>1</v>
      </c>
      <c r="W1948" s="50">
        <f>IFERROR(Tabla1[[#This Row],[Fatalities]]/Tabla1[[#This Row],[Aboard]],0)</f>
        <v>0.9375</v>
      </c>
      <c r="X1948" s="51" t="str" cm="1">
        <f t="array" ref="X1948">_xlfn.IFS(Tabla1[[#This Row],[Porcentaje de muertes]]&lt;0.35,"LEVE",AND(Tabla1[[#This Row],[Porcentaje de muertes]]&gt;0.35,Tabla1[[#This Row],[Porcentaje de muertes]]&lt;0.65),"MEDIO",Tabla1[[#This Row],[Porcentaje de muertes]]&gt;0.65,"GRAVE")</f>
        <v>GRAVE</v>
      </c>
    </row>
    <row r="1949" spans="2:24" x14ac:dyDescent="0.3">
      <c r="B1949" s="9">
        <v>1948</v>
      </c>
      <c r="C1949" s="49">
        <v>22758</v>
      </c>
      <c r="D1949" s="9">
        <f>YEAR(Tabla1[[#This Row],[Date]])</f>
        <v>1962</v>
      </c>
      <c r="E1949" s="9" t="str" cm="1">
        <f t="array" ref="E1949">IFERROR(_xlfn.IFS(AND(D1949&lt;1980,D1949&gt;=1970),"70",AND(D1949&lt;1990,D1949&gt;=1980),"80",AND(D1949&lt;2000,D1949&gt;=1990),"90",AND(D1949&lt;2010,D1949&gt;=2000),"00",AND(D1949&lt;=2019,D1949&gt;=2010),"10"),"1908-1970")</f>
        <v>1908-1970</v>
      </c>
      <c r="F1949" s="3">
        <v>0.44791666666666669</v>
      </c>
      <c r="G1949" t="s">
        <v>13508</v>
      </c>
      <c r="H1949" t="s">
        <v>13509</v>
      </c>
      <c r="I1949" t="s">
        <v>28931</v>
      </c>
      <c r="J1949" t="s">
        <v>13510</v>
      </c>
      <c r="K1949" t="s">
        <v>13511</v>
      </c>
      <c r="L1949" s="7" t="s">
        <v>13512</v>
      </c>
      <c r="M1949">
        <v>12075</v>
      </c>
      <c r="N1949">
        <v>40</v>
      </c>
      <c r="O1949">
        <v>36</v>
      </c>
      <c r="P1949">
        <v>4</v>
      </c>
      <c r="Q1949">
        <v>40</v>
      </c>
      <c r="R1949">
        <v>36</v>
      </c>
      <c r="S1949">
        <v>4</v>
      </c>
      <c r="T1949">
        <v>0</v>
      </c>
      <c r="U1949" t="s">
        <v>13513</v>
      </c>
      <c r="V1949">
        <f>Tabla1[[#This Row],[Aboard]]-Tabla1[[#This Row],[Fatalities]]</f>
        <v>0</v>
      </c>
      <c r="W1949" s="50">
        <f>IFERROR(Tabla1[[#This Row],[Fatalities]]/Tabla1[[#This Row],[Aboard]],0)</f>
        <v>1</v>
      </c>
      <c r="X1949" s="51" t="str" cm="1">
        <f t="array" ref="X1949">_xlfn.IFS(Tabla1[[#This Row],[Porcentaje de muertes]]&lt;0.35,"LEVE",AND(Tabla1[[#This Row],[Porcentaje de muertes]]&gt;0.35,Tabla1[[#This Row],[Porcentaje de muertes]]&lt;0.65),"MEDIO",Tabla1[[#This Row],[Porcentaje de muertes]]&gt;0.65,"GRAVE")</f>
        <v>GRAVE</v>
      </c>
    </row>
    <row r="1950" spans="2:24" x14ac:dyDescent="0.3">
      <c r="B1950" s="9">
        <v>1949</v>
      </c>
      <c r="C1950" s="49">
        <v>22802</v>
      </c>
      <c r="D1950" s="9">
        <f>YEAR(Tabla1[[#This Row],[Date]])</f>
        <v>1962</v>
      </c>
      <c r="E1950" s="9" t="str" cm="1">
        <f t="array" ref="E1950">IFERROR(_xlfn.IFS(AND(D1950&lt;1980,D1950&gt;=1970),"70",AND(D1950&lt;1990,D1950&gt;=1980),"80",AND(D1950&lt;2000,D1950&gt;=1990),"90",AND(D1950&lt;2010,D1950&gt;=2000),"00",AND(D1950&lt;=2019,D1950&gt;=2010),"10"),"1908-1970")</f>
        <v>1908-1970</v>
      </c>
      <c r="F1950" s="3">
        <v>0.56180555555555556</v>
      </c>
      <c r="G1950" t="s">
        <v>13514</v>
      </c>
      <c r="H1950" t="s">
        <v>13515</v>
      </c>
      <c r="I1950" t="s">
        <v>28931</v>
      </c>
      <c r="J1950" t="s">
        <v>13516</v>
      </c>
      <c r="K1950" t="s">
        <v>8105</v>
      </c>
      <c r="L1950" s="7" t="s">
        <v>13517</v>
      </c>
      <c r="M1950">
        <v>12180</v>
      </c>
      <c r="N1950">
        <v>18</v>
      </c>
      <c r="O1950">
        <v>15</v>
      </c>
      <c r="P1950">
        <v>3</v>
      </c>
      <c r="Q1950">
        <v>12</v>
      </c>
      <c r="R1950">
        <v>9</v>
      </c>
      <c r="S1950">
        <v>3</v>
      </c>
      <c r="T1950">
        <v>0</v>
      </c>
      <c r="U1950" t="s">
        <v>13518</v>
      </c>
      <c r="V1950">
        <f>Tabla1[[#This Row],[Aboard]]-Tabla1[[#This Row],[Fatalities]]</f>
        <v>6</v>
      </c>
      <c r="W1950" s="50">
        <f>IFERROR(Tabla1[[#This Row],[Fatalities]]/Tabla1[[#This Row],[Aboard]],0)</f>
        <v>0.66666666666666663</v>
      </c>
      <c r="X1950" s="51" t="str" cm="1">
        <f t="array" ref="X1950">_xlfn.IFS(Tabla1[[#This Row],[Porcentaje de muertes]]&lt;0.35,"LEVE",AND(Tabla1[[#This Row],[Porcentaje de muertes]]&gt;0.35,Tabla1[[#This Row],[Porcentaje de muertes]]&lt;0.65),"MEDIO",Tabla1[[#This Row],[Porcentaje de muertes]]&gt;0.65,"GRAVE")</f>
        <v>GRAVE</v>
      </c>
    </row>
    <row r="1951" spans="2:24" x14ac:dyDescent="0.3">
      <c r="B1951" s="9">
        <v>1950</v>
      </c>
      <c r="C1951" s="49">
        <v>22863</v>
      </c>
      <c r="D1951" s="9">
        <f>YEAR(Tabla1[[#This Row],[Date]])</f>
        <v>1962</v>
      </c>
      <c r="E1951" s="9" t="str" cm="1">
        <f t="array" ref="E1951">IFERROR(_xlfn.IFS(AND(D1951&lt;1980,D1951&gt;=1970),"70",AND(D1951&lt;1990,D1951&gt;=1980),"80",AND(D1951&lt;2000,D1951&gt;=1990),"90",AND(D1951&lt;2010,D1951&gt;=2000),"00",AND(D1951&lt;=2019,D1951&gt;=2010),"10"),"1908-1970")</f>
        <v>1908-1970</v>
      </c>
      <c r="F1951" s="3" t="s">
        <v>28931</v>
      </c>
      <c r="G1951" t="s">
        <v>13519</v>
      </c>
      <c r="H1951" t="s">
        <v>13520</v>
      </c>
      <c r="I1951" t="s">
        <v>28931</v>
      </c>
      <c r="J1951" t="s">
        <v>13521</v>
      </c>
      <c r="K1951" t="s">
        <v>7826</v>
      </c>
      <c r="L1951" s="7" t="s">
        <v>13522</v>
      </c>
      <c r="M1951" t="s">
        <v>28931</v>
      </c>
      <c r="N1951">
        <v>32</v>
      </c>
      <c r="O1951">
        <v>28</v>
      </c>
      <c r="P1951">
        <v>4</v>
      </c>
      <c r="Q1951">
        <v>32</v>
      </c>
      <c r="R1951">
        <v>28</v>
      </c>
      <c r="S1951">
        <v>4</v>
      </c>
      <c r="T1951">
        <v>0</v>
      </c>
      <c r="U1951" t="s">
        <v>13523</v>
      </c>
      <c r="V1951">
        <f>Tabla1[[#This Row],[Aboard]]-Tabla1[[#This Row],[Fatalities]]</f>
        <v>0</v>
      </c>
      <c r="W1951" s="50">
        <f>IFERROR(Tabla1[[#This Row],[Fatalities]]/Tabla1[[#This Row],[Aboard]],0)</f>
        <v>1</v>
      </c>
      <c r="X1951" s="51" t="str" cm="1">
        <f t="array" ref="X1951">_xlfn.IFS(Tabla1[[#This Row],[Porcentaje de muertes]]&lt;0.35,"LEVE",AND(Tabla1[[#This Row],[Porcentaje de muertes]]&gt;0.35,Tabla1[[#This Row],[Porcentaje de muertes]]&lt;0.65),"MEDIO",Tabla1[[#This Row],[Porcentaje de muertes]]&gt;0.65,"GRAVE")</f>
        <v>GRAVE</v>
      </c>
    </row>
    <row r="1952" spans="2:24" x14ac:dyDescent="0.3">
      <c r="B1952" s="9">
        <v>1951</v>
      </c>
      <c r="C1952" s="49">
        <v>22894</v>
      </c>
      <c r="D1952" s="9">
        <f>YEAR(Tabla1[[#This Row],[Date]])</f>
        <v>1962</v>
      </c>
      <c r="E1952" s="9" t="str" cm="1">
        <f t="array" ref="E1952">IFERROR(_xlfn.IFS(AND(D1952&lt;1980,D1952&gt;=1970),"70",AND(D1952&lt;1990,D1952&gt;=1980),"80",AND(D1952&lt;2000,D1952&gt;=1990),"90",AND(D1952&lt;2010,D1952&gt;=2000),"00",AND(D1952&lt;=2019,D1952&gt;=2010),"10"),"1908-1970")</f>
        <v>1908-1970</v>
      </c>
      <c r="F1952" s="3">
        <v>0.8125</v>
      </c>
      <c r="G1952" t="s">
        <v>13524</v>
      </c>
      <c r="H1952" t="s">
        <v>9425</v>
      </c>
      <c r="I1952" t="s">
        <v>28931</v>
      </c>
      <c r="J1952" t="s">
        <v>13525</v>
      </c>
      <c r="K1952" t="s">
        <v>10625</v>
      </c>
      <c r="L1952" s="7" t="s">
        <v>13526</v>
      </c>
      <c r="M1952">
        <v>25</v>
      </c>
      <c r="N1952">
        <v>25</v>
      </c>
      <c r="O1952">
        <v>22</v>
      </c>
      <c r="P1952">
        <v>3</v>
      </c>
      <c r="Q1952">
        <v>23</v>
      </c>
      <c r="R1952">
        <v>20</v>
      </c>
      <c r="S1952">
        <v>3</v>
      </c>
      <c r="T1952">
        <v>0</v>
      </c>
      <c r="U1952" t="s">
        <v>13527</v>
      </c>
      <c r="V1952">
        <f>Tabla1[[#This Row],[Aboard]]-Tabla1[[#This Row],[Fatalities]]</f>
        <v>2</v>
      </c>
      <c r="W1952" s="50">
        <f>IFERROR(Tabla1[[#This Row],[Fatalities]]/Tabla1[[#This Row],[Aboard]],0)</f>
        <v>0.92</v>
      </c>
      <c r="X1952" s="51" t="str" cm="1">
        <f t="array" ref="X1952">_xlfn.IFS(Tabla1[[#This Row],[Porcentaje de muertes]]&lt;0.35,"LEVE",AND(Tabla1[[#This Row],[Porcentaje de muertes]]&gt;0.35,Tabla1[[#This Row],[Porcentaje de muertes]]&lt;0.65),"MEDIO",Tabla1[[#This Row],[Porcentaje de muertes]]&gt;0.65,"GRAVE")</f>
        <v>GRAVE</v>
      </c>
    </row>
    <row r="1953" spans="2:24" x14ac:dyDescent="0.3">
      <c r="B1953" s="9">
        <v>1952</v>
      </c>
      <c r="C1953" s="49">
        <v>22985</v>
      </c>
      <c r="D1953" s="9">
        <f>YEAR(Tabla1[[#This Row],[Date]])</f>
        <v>1962</v>
      </c>
      <c r="E1953" s="9" t="str" cm="1">
        <f t="array" ref="E1953">IFERROR(_xlfn.IFS(AND(D1953&lt;1980,D1953&gt;=1970),"70",AND(D1953&lt;1990,D1953&gt;=1980),"80",AND(D1953&lt;2000,D1953&gt;=1990),"90",AND(D1953&lt;2010,D1953&gt;=2000),"00",AND(D1953&lt;=2019,D1953&gt;=2010),"10"),"1908-1970")</f>
        <v>1908-1970</v>
      </c>
      <c r="F1953" s="3">
        <v>0.4548611111111111</v>
      </c>
      <c r="G1953" t="s">
        <v>13528</v>
      </c>
      <c r="H1953" t="s">
        <v>13529</v>
      </c>
      <c r="I1953" t="s">
        <v>28931</v>
      </c>
      <c r="J1953" t="s">
        <v>13530</v>
      </c>
      <c r="K1953" t="s">
        <v>13531</v>
      </c>
      <c r="L1953" s="7" t="s">
        <v>13532</v>
      </c>
      <c r="M1953" t="s">
        <v>13533</v>
      </c>
      <c r="N1953">
        <v>21</v>
      </c>
      <c r="O1953">
        <v>18</v>
      </c>
      <c r="P1953">
        <v>3</v>
      </c>
      <c r="Q1953">
        <v>15</v>
      </c>
      <c r="R1953">
        <v>15</v>
      </c>
      <c r="S1953">
        <v>0</v>
      </c>
      <c r="T1953">
        <v>0</v>
      </c>
      <c r="U1953" t="s">
        <v>13534</v>
      </c>
      <c r="V1953">
        <f>Tabla1[[#This Row],[Aboard]]-Tabla1[[#This Row],[Fatalities]]</f>
        <v>6</v>
      </c>
      <c r="W1953" s="50">
        <f>IFERROR(Tabla1[[#This Row],[Fatalities]]/Tabla1[[#This Row],[Aboard]],0)</f>
        <v>0.7142857142857143</v>
      </c>
      <c r="X1953" s="51" t="str" cm="1">
        <f t="array" ref="X1953">_xlfn.IFS(Tabla1[[#This Row],[Porcentaje de muertes]]&lt;0.35,"LEVE",AND(Tabla1[[#This Row],[Porcentaje de muertes]]&gt;0.35,Tabla1[[#This Row],[Porcentaje de muertes]]&lt;0.65),"MEDIO",Tabla1[[#This Row],[Porcentaje de muertes]]&gt;0.65,"GRAVE")</f>
        <v>GRAVE</v>
      </c>
    </row>
    <row r="1954" spans="2:24" x14ac:dyDescent="0.3">
      <c r="B1954" s="9">
        <v>1953</v>
      </c>
      <c r="C1954" s="49">
        <v>22781</v>
      </c>
      <c r="D1954" s="9">
        <f>YEAR(Tabla1[[#This Row],[Date]])</f>
        <v>1962</v>
      </c>
      <c r="E1954" s="9" t="str" cm="1">
        <f t="array" ref="E1954">IFERROR(_xlfn.IFS(AND(D1954&lt;1980,D1954&gt;=1970),"70",AND(D1954&lt;1990,D1954&gt;=1980),"80",AND(D1954&lt;2000,D1954&gt;=1990),"90",AND(D1954&lt;2010,D1954&gt;=2000),"00",AND(D1954&lt;=2019,D1954&gt;=2010),"10"),"1908-1970")</f>
        <v>1908-1970</v>
      </c>
      <c r="F1954" s="3" t="s">
        <v>28931</v>
      </c>
      <c r="G1954" t="s">
        <v>11159</v>
      </c>
      <c r="H1954" t="s">
        <v>13087</v>
      </c>
      <c r="I1954" t="s">
        <v>28931</v>
      </c>
      <c r="J1954" t="s">
        <v>13535</v>
      </c>
      <c r="K1954" t="s">
        <v>7057</v>
      </c>
      <c r="L1954" s="7" t="s">
        <v>13536</v>
      </c>
      <c r="M1954" t="s">
        <v>28931</v>
      </c>
      <c r="N1954">
        <v>3</v>
      </c>
      <c r="O1954">
        <v>0</v>
      </c>
      <c r="P1954">
        <v>3</v>
      </c>
      <c r="Q1954">
        <v>3</v>
      </c>
      <c r="R1954">
        <v>0</v>
      </c>
      <c r="S1954">
        <v>3</v>
      </c>
      <c r="T1954">
        <v>0</v>
      </c>
      <c r="U1954" t="s">
        <v>13537</v>
      </c>
      <c r="V1954">
        <f>Tabla1[[#This Row],[Aboard]]-Tabla1[[#This Row],[Fatalities]]</f>
        <v>0</v>
      </c>
      <c r="W1954" s="50">
        <f>IFERROR(Tabla1[[#This Row],[Fatalities]]/Tabla1[[#This Row],[Aboard]],0)</f>
        <v>1</v>
      </c>
      <c r="X1954" s="51" t="str" cm="1">
        <f t="array" ref="X1954">_xlfn.IFS(Tabla1[[#This Row],[Porcentaje de muertes]]&lt;0.35,"LEVE",AND(Tabla1[[#This Row],[Porcentaje de muertes]]&gt;0.35,Tabla1[[#This Row],[Porcentaje de muertes]]&lt;0.65),"MEDIO",Tabla1[[#This Row],[Porcentaje de muertes]]&gt;0.65,"GRAVE")</f>
        <v>GRAVE</v>
      </c>
    </row>
    <row r="1955" spans="2:24" x14ac:dyDescent="0.3">
      <c r="B1955" s="9">
        <v>1954</v>
      </c>
      <c r="C1955" s="49">
        <v>22783</v>
      </c>
      <c r="D1955" s="9">
        <f>YEAR(Tabla1[[#This Row],[Date]])</f>
        <v>1962</v>
      </c>
      <c r="E1955" s="9" t="str" cm="1">
        <f t="array" ref="E1955">IFERROR(_xlfn.IFS(AND(D1955&lt;1980,D1955&gt;=1970),"70",AND(D1955&lt;1990,D1955&gt;=1980),"80",AND(D1955&lt;2000,D1955&gt;=1990),"90",AND(D1955&lt;2010,D1955&gt;=2000),"00",AND(D1955&lt;=2019,D1955&gt;=2010),"10"),"1908-1970")</f>
        <v>1908-1970</v>
      </c>
      <c r="F1955" s="3" t="s">
        <v>28931</v>
      </c>
      <c r="G1955" t="s">
        <v>13538</v>
      </c>
      <c r="H1955" t="s">
        <v>7987</v>
      </c>
      <c r="I1955" t="s">
        <v>28931</v>
      </c>
      <c r="J1955" t="s">
        <v>13539</v>
      </c>
      <c r="K1955" t="s">
        <v>12471</v>
      </c>
      <c r="L1955" s="7" t="s">
        <v>13540</v>
      </c>
      <c r="M1955">
        <v>3154</v>
      </c>
      <c r="N1955">
        <v>13</v>
      </c>
      <c r="O1955">
        <v>7</v>
      </c>
      <c r="P1955">
        <v>6</v>
      </c>
      <c r="Q1955">
        <v>13</v>
      </c>
      <c r="R1955">
        <v>7</v>
      </c>
      <c r="S1955">
        <v>6</v>
      </c>
      <c r="T1955">
        <v>0</v>
      </c>
      <c r="U1955" t="s">
        <v>13541</v>
      </c>
      <c r="V1955">
        <f>Tabla1[[#This Row],[Aboard]]-Tabla1[[#This Row],[Fatalities]]</f>
        <v>0</v>
      </c>
      <c r="W1955" s="50">
        <f>IFERROR(Tabla1[[#This Row],[Fatalities]]/Tabla1[[#This Row],[Aboard]],0)</f>
        <v>1</v>
      </c>
      <c r="X1955" s="51" t="str" cm="1">
        <f t="array" ref="X1955">_xlfn.IFS(Tabla1[[#This Row],[Porcentaje de muertes]]&lt;0.35,"LEVE",AND(Tabla1[[#This Row],[Porcentaje de muertes]]&gt;0.35,Tabla1[[#This Row],[Porcentaje de muertes]]&lt;0.65),"MEDIO",Tabla1[[#This Row],[Porcentaje de muertes]]&gt;0.65,"GRAVE")</f>
        <v>GRAVE</v>
      </c>
    </row>
    <row r="1956" spans="2:24" x14ac:dyDescent="0.3">
      <c r="B1956" s="9">
        <v>1955</v>
      </c>
      <c r="C1956" s="49">
        <v>22788</v>
      </c>
      <c r="D1956" s="9">
        <f>YEAR(Tabla1[[#This Row],[Date]])</f>
        <v>1962</v>
      </c>
      <c r="E1956" s="9" t="str" cm="1">
        <f t="array" ref="E1956">IFERROR(_xlfn.IFS(AND(D1956&lt;1980,D1956&gt;=1970),"70",AND(D1956&lt;1990,D1956&gt;=1980),"80",AND(D1956&lt;2000,D1956&gt;=1990),"90",AND(D1956&lt;2010,D1956&gt;=2000),"00",AND(D1956&lt;=2019,D1956&gt;=2010),"10"),"1908-1970")</f>
        <v>1908-1970</v>
      </c>
      <c r="F1956" s="3">
        <v>0.4861111111111111</v>
      </c>
      <c r="G1956" t="s">
        <v>13542</v>
      </c>
      <c r="H1956" t="s">
        <v>5027</v>
      </c>
      <c r="I1956" t="s">
        <v>28931</v>
      </c>
      <c r="J1956" t="s">
        <v>28931</v>
      </c>
      <c r="K1956" t="s">
        <v>13543</v>
      </c>
      <c r="L1956" s="7">
        <v>131390</v>
      </c>
      <c r="M1956">
        <v>4310</v>
      </c>
      <c r="N1956">
        <v>26</v>
      </c>
      <c r="O1956">
        <v>22</v>
      </c>
      <c r="P1956">
        <v>4</v>
      </c>
      <c r="Q1956">
        <v>26</v>
      </c>
      <c r="R1956">
        <v>22</v>
      </c>
      <c r="S1956">
        <v>4</v>
      </c>
      <c r="T1956">
        <v>0</v>
      </c>
      <c r="U1956" t="s">
        <v>13544</v>
      </c>
      <c r="V1956">
        <f>Tabla1[[#This Row],[Aboard]]-Tabla1[[#This Row],[Fatalities]]</f>
        <v>0</v>
      </c>
      <c r="W1956" s="50">
        <f>IFERROR(Tabla1[[#This Row],[Fatalities]]/Tabla1[[#This Row],[Aboard]],0)</f>
        <v>1</v>
      </c>
      <c r="X1956" s="51" t="str" cm="1">
        <f t="array" ref="X1956">_xlfn.IFS(Tabla1[[#This Row],[Porcentaje de muertes]]&lt;0.35,"LEVE",AND(Tabla1[[#This Row],[Porcentaje de muertes]]&gt;0.35,Tabla1[[#This Row],[Porcentaje de muertes]]&lt;0.65),"MEDIO",Tabla1[[#This Row],[Porcentaje de muertes]]&gt;0.65,"GRAVE")</f>
        <v>GRAVE</v>
      </c>
    </row>
    <row r="1957" spans="2:24" x14ac:dyDescent="0.3">
      <c r="B1957" s="9">
        <v>1956</v>
      </c>
      <c r="C1957" s="49">
        <v>22788</v>
      </c>
      <c r="D1957" s="9">
        <f>YEAR(Tabla1[[#This Row],[Date]])</f>
        <v>1962</v>
      </c>
      <c r="E1957" s="9" t="str" cm="1">
        <f t="array" ref="E1957">IFERROR(_xlfn.IFS(AND(D1957&lt;1980,D1957&gt;=1970),"70",AND(D1957&lt;1990,D1957&gt;=1980),"80",AND(D1957&lt;2000,D1957&gt;=1990),"90",AND(D1957&lt;2010,D1957&gt;=2000),"00",AND(D1957&lt;=2019,D1957&gt;=2010),"10"),"1908-1970")</f>
        <v>1908-1970</v>
      </c>
      <c r="F1957" s="3">
        <v>0.88958333333333339</v>
      </c>
      <c r="G1957" t="s">
        <v>13545</v>
      </c>
      <c r="H1957" t="s">
        <v>11843</v>
      </c>
      <c r="I1957">
        <v>11</v>
      </c>
      <c r="J1957" t="s">
        <v>13546</v>
      </c>
      <c r="K1957" t="s">
        <v>13547</v>
      </c>
      <c r="L1957" s="7" t="s">
        <v>13548</v>
      </c>
      <c r="M1957" t="s">
        <v>13549</v>
      </c>
      <c r="N1957">
        <v>45</v>
      </c>
      <c r="O1957">
        <v>37</v>
      </c>
      <c r="P1957">
        <v>8</v>
      </c>
      <c r="Q1957">
        <v>45</v>
      </c>
      <c r="R1957">
        <v>37</v>
      </c>
      <c r="S1957">
        <v>8</v>
      </c>
      <c r="T1957">
        <v>0</v>
      </c>
      <c r="U1957" t="s">
        <v>13550</v>
      </c>
      <c r="V1957">
        <f>Tabla1[[#This Row],[Aboard]]-Tabla1[[#This Row],[Fatalities]]</f>
        <v>0</v>
      </c>
      <c r="W1957" s="50">
        <f>IFERROR(Tabla1[[#This Row],[Fatalities]]/Tabla1[[#This Row],[Aboard]],0)</f>
        <v>1</v>
      </c>
      <c r="X1957" s="51" t="str" cm="1">
        <f t="array" ref="X1957">_xlfn.IFS(Tabla1[[#This Row],[Porcentaje de muertes]]&lt;0.35,"LEVE",AND(Tabla1[[#This Row],[Porcentaje de muertes]]&gt;0.35,Tabla1[[#This Row],[Porcentaje de muertes]]&lt;0.65),"MEDIO",Tabla1[[#This Row],[Porcentaje de muertes]]&gt;0.65,"GRAVE")</f>
        <v>GRAVE</v>
      </c>
    </row>
    <row r="1958" spans="2:24" x14ac:dyDescent="0.3">
      <c r="B1958" s="9">
        <v>1957</v>
      </c>
      <c r="C1958" s="49">
        <v>22790</v>
      </c>
      <c r="D1958" s="9">
        <f>YEAR(Tabla1[[#This Row],[Date]])</f>
        <v>1962</v>
      </c>
      <c r="E1958" s="9" t="str" cm="1">
        <f t="array" ref="E1958">IFERROR(_xlfn.IFS(AND(D1958&lt;1980,D1958&gt;=1970),"70",AND(D1958&lt;1990,D1958&gt;=1980),"80",AND(D1958&lt;2000,D1958&gt;=1990),"90",AND(D1958&lt;2010,D1958&gt;=2000),"00",AND(D1958&lt;=2019,D1958&gt;=2010),"10"),"1908-1970")</f>
        <v>1908-1970</v>
      </c>
      <c r="F1958" s="3">
        <v>0.78680555555555554</v>
      </c>
      <c r="G1958" t="s">
        <v>13551</v>
      </c>
      <c r="H1958" t="s">
        <v>6541</v>
      </c>
      <c r="I1958">
        <v>56</v>
      </c>
      <c r="J1958" t="s">
        <v>13552</v>
      </c>
      <c r="K1958" t="s">
        <v>9145</v>
      </c>
      <c r="L1958" s="7" t="s">
        <v>13553</v>
      </c>
      <c r="M1958">
        <v>23443509</v>
      </c>
      <c r="N1958">
        <v>21</v>
      </c>
      <c r="O1958">
        <v>17</v>
      </c>
      <c r="P1958">
        <v>4</v>
      </c>
      <c r="Q1958">
        <v>20</v>
      </c>
      <c r="R1958">
        <v>16</v>
      </c>
      <c r="S1958">
        <v>4</v>
      </c>
      <c r="T1958">
        <v>0</v>
      </c>
      <c r="U1958" t="s">
        <v>13554</v>
      </c>
      <c r="V1958">
        <f>Tabla1[[#This Row],[Aboard]]-Tabla1[[#This Row],[Fatalities]]</f>
        <v>1</v>
      </c>
      <c r="W1958" s="50">
        <f>IFERROR(Tabla1[[#This Row],[Fatalities]]/Tabla1[[#This Row],[Aboard]],0)</f>
        <v>0.95238095238095233</v>
      </c>
      <c r="X1958" s="51" t="str" cm="1">
        <f t="array" ref="X1958">_xlfn.IFS(Tabla1[[#This Row],[Porcentaje de muertes]]&lt;0.35,"LEVE",AND(Tabla1[[#This Row],[Porcentaje de muertes]]&gt;0.35,Tabla1[[#This Row],[Porcentaje de muertes]]&lt;0.65),"MEDIO",Tabla1[[#This Row],[Porcentaje de muertes]]&gt;0.65,"GRAVE")</f>
        <v>GRAVE</v>
      </c>
    </row>
    <row r="1959" spans="2:24" x14ac:dyDescent="0.3">
      <c r="B1959" s="9">
        <v>1958</v>
      </c>
      <c r="C1959" s="49">
        <v>22711</v>
      </c>
      <c r="D1959" s="9">
        <f>YEAR(Tabla1[[#This Row],[Date]])</f>
        <v>1962</v>
      </c>
      <c r="E1959" s="9" t="str" cm="1">
        <f t="array" ref="E1959">IFERROR(_xlfn.IFS(AND(D1959&lt;1980,D1959&gt;=1970),"70",AND(D1959&lt;1990,D1959&gt;=1980),"80",AND(D1959&lt;2000,D1959&gt;=1990),"90",AND(D1959&lt;2010,D1959&gt;=2000),"00",AND(D1959&lt;=2019,D1959&gt;=2010),"10"),"1908-1970")</f>
        <v>1908-1970</v>
      </c>
      <c r="F1959" s="3">
        <v>0.52430555555555558</v>
      </c>
      <c r="G1959" t="s">
        <v>13555</v>
      </c>
      <c r="H1959" t="s">
        <v>6375</v>
      </c>
      <c r="I1959">
        <v>7</v>
      </c>
      <c r="J1959" t="s">
        <v>13556</v>
      </c>
      <c r="K1959" t="s">
        <v>13557</v>
      </c>
      <c r="L1959" s="7" t="s">
        <v>13558</v>
      </c>
      <c r="M1959" t="s">
        <v>13559</v>
      </c>
      <c r="N1959">
        <v>132</v>
      </c>
      <c r="O1959">
        <v>122</v>
      </c>
      <c r="P1959">
        <v>10</v>
      </c>
      <c r="Q1959">
        <v>130</v>
      </c>
      <c r="R1959">
        <v>122</v>
      </c>
      <c r="S1959">
        <v>8</v>
      </c>
      <c r="T1959">
        <v>0</v>
      </c>
      <c r="U1959" t="s">
        <v>13560</v>
      </c>
      <c r="V1959">
        <f>Tabla1[[#This Row],[Aboard]]-Tabla1[[#This Row],[Fatalities]]</f>
        <v>2</v>
      </c>
      <c r="W1959" s="50">
        <f>IFERROR(Tabla1[[#This Row],[Fatalities]]/Tabla1[[#This Row],[Aboard]],0)</f>
        <v>0.98484848484848486</v>
      </c>
      <c r="X1959" s="51" t="str" cm="1">
        <f t="array" ref="X1959">_xlfn.IFS(Tabla1[[#This Row],[Porcentaje de muertes]]&lt;0.35,"LEVE",AND(Tabla1[[#This Row],[Porcentaje de muertes]]&gt;0.35,Tabla1[[#This Row],[Porcentaje de muertes]]&lt;0.65),"MEDIO",Tabla1[[#This Row],[Porcentaje de muertes]]&gt;0.65,"GRAVE")</f>
        <v>GRAVE</v>
      </c>
    </row>
    <row r="1960" spans="2:24" x14ac:dyDescent="0.3">
      <c r="B1960" s="9">
        <v>1959</v>
      </c>
      <c r="C1960" s="49">
        <v>22742</v>
      </c>
      <c r="D1960" s="9">
        <f>YEAR(Tabla1[[#This Row],[Date]])</f>
        <v>1962</v>
      </c>
      <c r="E1960" s="9" t="str" cm="1">
        <f t="array" ref="E1960">IFERROR(_xlfn.IFS(AND(D1960&lt;1980,D1960&gt;=1970),"70",AND(D1960&lt;1990,D1960&gt;=1980),"80",AND(D1960&lt;2000,D1960&gt;=1990),"90",AND(D1960&lt;2010,D1960&gt;=2000),"00",AND(D1960&lt;=2019,D1960&gt;=2010),"10"),"1908-1970")</f>
        <v>1908-1970</v>
      </c>
      <c r="F1960" s="3">
        <v>0.23124999999999998</v>
      </c>
      <c r="G1960" t="s">
        <v>13561</v>
      </c>
      <c r="H1960" t="s">
        <v>6541</v>
      </c>
      <c r="I1960" t="s">
        <v>28931</v>
      </c>
      <c r="J1960" t="s">
        <v>13562</v>
      </c>
      <c r="K1960" t="s">
        <v>13563</v>
      </c>
      <c r="L1960" s="7" t="s">
        <v>13564</v>
      </c>
      <c r="M1960">
        <v>21604</v>
      </c>
      <c r="N1960">
        <v>5</v>
      </c>
      <c r="O1960">
        <v>0</v>
      </c>
      <c r="P1960">
        <v>5</v>
      </c>
      <c r="Q1960">
        <v>5</v>
      </c>
      <c r="R1960">
        <v>0</v>
      </c>
      <c r="S1960">
        <v>5</v>
      </c>
      <c r="T1960">
        <v>0</v>
      </c>
      <c r="U1960" t="s">
        <v>13565</v>
      </c>
      <c r="V1960">
        <f>Tabla1[[#This Row],[Aboard]]-Tabla1[[#This Row],[Fatalities]]</f>
        <v>0</v>
      </c>
      <c r="W1960" s="50">
        <f>IFERROR(Tabla1[[#This Row],[Fatalities]]/Tabla1[[#This Row],[Aboard]],0)</f>
        <v>1</v>
      </c>
      <c r="X1960" s="51" t="str" cm="1">
        <f t="array" ref="X1960">_xlfn.IFS(Tabla1[[#This Row],[Porcentaje de muertes]]&lt;0.35,"LEVE",AND(Tabla1[[#This Row],[Porcentaje de muertes]]&gt;0.35,Tabla1[[#This Row],[Porcentaje de muertes]]&lt;0.65),"MEDIO",Tabla1[[#This Row],[Porcentaje de muertes]]&gt;0.65,"GRAVE")</f>
        <v>GRAVE</v>
      </c>
    </row>
    <row r="1961" spans="2:24" x14ac:dyDescent="0.3">
      <c r="B1961" s="9">
        <v>1960</v>
      </c>
      <c r="C1961" s="49">
        <v>22819</v>
      </c>
      <c r="D1961" s="9">
        <f>YEAR(Tabla1[[#This Row],[Date]])</f>
        <v>1962</v>
      </c>
      <c r="E1961" s="9" t="str" cm="1">
        <f t="array" ref="E1961">IFERROR(_xlfn.IFS(AND(D1961&lt;1980,D1961&gt;=1970),"70",AND(D1961&lt;1990,D1961&gt;=1980),"80",AND(D1961&lt;2000,D1961&gt;=1990),"90",AND(D1961&lt;2010,D1961&gt;=2000),"00",AND(D1961&lt;=2019,D1961&gt;=2010),"10"),"1908-1970")</f>
        <v>1908-1970</v>
      </c>
      <c r="F1961" s="3">
        <v>0.1673611111111111</v>
      </c>
      <c r="G1961" t="s">
        <v>13566</v>
      </c>
      <c r="H1961" t="s">
        <v>6375</v>
      </c>
      <c r="I1961">
        <v>117</v>
      </c>
      <c r="J1961" t="s">
        <v>13567</v>
      </c>
      <c r="K1961" t="s">
        <v>13557</v>
      </c>
      <c r="L1961" s="7" t="s">
        <v>13568</v>
      </c>
      <c r="M1961" t="s">
        <v>13569</v>
      </c>
      <c r="N1961">
        <v>112</v>
      </c>
      <c r="O1961">
        <v>102</v>
      </c>
      <c r="P1961">
        <v>10</v>
      </c>
      <c r="Q1961">
        <v>112</v>
      </c>
      <c r="R1961">
        <v>102</v>
      </c>
      <c r="S1961">
        <v>10</v>
      </c>
      <c r="T1961">
        <v>0</v>
      </c>
      <c r="U1961" t="s">
        <v>13570</v>
      </c>
      <c r="V1961">
        <f>Tabla1[[#This Row],[Aboard]]-Tabla1[[#This Row],[Fatalities]]</f>
        <v>0</v>
      </c>
      <c r="W1961" s="50">
        <f>IFERROR(Tabla1[[#This Row],[Fatalities]]/Tabla1[[#This Row],[Aboard]],0)</f>
        <v>1</v>
      </c>
      <c r="X1961" s="51" t="str" cm="1">
        <f t="array" ref="X1961">_xlfn.IFS(Tabla1[[#This Row],[Porcentaje de muertes]]&lt;0.35,"LEVE",AND(Tabla1[[#This Row],[Porcentaje de muertes]]&gt;0.35,Tabla1[[#This Row],[Porcentaje de muertes]]&lt;0.65),"MEDIO",Tabla1[[#This Row],[Porcentaje de muertes]]&gt;0.65,"GRAVE")</f>
        <v>GRAVE</v>
      </c>
    </row>
    <row r="1962" spans="2:24" x14ac:dyDescent="0.3">
      <c r="B1962" s="9">
        <v>1961</v>
      </c>
      <c r="C1962" s="49">
        <v>22825</v>
      </c>
      <c r="D1962" s="9">
        <f>YEAR(Tabla1[[#This Row],[Date]])</f>
        <v>1962</v>
      </c>
      <c r="E1962" s="9" t="str" cm="1">
        <f t="array" ref="E1962">IFERROR(_xlfn.IFS(AND(D1962&lt;1980,D1962&gt;=1970),"70",AND(D1962&lt;1990,D1962&gt;=1980),"80",AND(D1962&lt;2000,D1962&gt;=1990),"90",AND(D1962&lt;2010,D1962&gt;=2000),"00",AND(D1962&lt;=2019,D1962&gt;=2010),"10"),"1908-1970")</f>
        <v>1908-1970</v>
      </c>
      <c r="F1962" s="3" t="s">
        <v>28931</v>
      </c>
      <c r="G1962" t="s">
        <v>13571</v>
      </c>
      <c r="H1962" t="s">
        <v>6541</v>
      </c>
      <c r="I1962" t="s">
        <v>28931</v>
      </c>
      <c r="J1962" t="s">
        <v>13572</v>
      </c>
      <c r="K1962" t="s">
        <v>13440</v>
      </c>
      <c r="L1962" s="7" t="s">
        <v>13573</v>
      </c>
      <c r="M1962" t="s">
        <v>28931</v>
      </c>
      <c r="N1962">
        <v>81</v>
      </c>
      <c r="O1962">
        <v>74</v>
      </c>
      <c r="P1962">
        <v>7</v>
      </c>
      <c r="Q1962">
        <v>81</v>
      </c>
      <c r="R1962">
        <v>74</v>
      </c>
      <c r="S1962">
        <v>7</v>
      </c>
      <c r="T1962">
        <v>0</v>
      </c>
      <c r="U1962" t="s">
        <v>13574</v>
      </c>
      <c r="V1962">
        <f>Tabla1[[#This Row],[Aboard]]-Tabla1[[#This Row],[Fatalities]]</f>
        <v>0</v>
      </c>
      <c r="W1962" s="50">
        <f>IFERROR(Tabla1[[#This Row],[Fatalities]]/Tabla1[[#This Row],[Aboard]],0)</f>
        <v>1</v>
      </c>
      <c r="X1962" s="51" t="str" cm="1">
        <f t="array" ref="X1962">_xlfn.IFS(Tabla1[[#This Row],[Porcentaje de muertes]]&lt;0.35,"LEVE",AND(Tabla1[[#This Row],[Porcentaje de muertes]]&gt;0.35,Tabla1[[#This Row],[Porcentaje de muertes]]&lt;0.65),"MEDIO",Tabla1[[#This Row],[Porcentaje de muertes]]&gt;0.65,"GRAVE")</f>
        <v>GRAVE</v>
      </c>
    </row>
    <row r="1963" spans="2:24" x14ac:dyDescent="0.3">
      <c r="B1963" s="9">
        <v>1962</v>
      </c>
      <c r="C1963" s="49">
        <v>22827</v>
      </c>
      <c r="D1963" s="9">
        <f>YEAR(Tabla1[[#This Row],[Date]])</f>
        <v>1962</v>
      </c>
      <c r="E1963" s="9" t="str" cm="1">
        <f t="array" ref="E1963">IFERROR(_xlfn.IFS(AND(D1963&lt;1980,D1963&gt;=1970),"70",AND(D1963&lt;1990,D1963&gt;=1980),"80",AND(D1963&lt;2000,D1963&gt;=1990),"90",AND(D1963&lt;2010,D1963&gt;=2000),"00",AND(D1963&lt;=2019,D1963&gt;=2010),"10"),"1908-1970")</f>
        <v>1908-1970</v>
      </c>
      <c r="F1963" s="3">
        <v>0.87013888888888891</v>
      </c>
      <c r="G1963" t="s">
        <v>13575</v>
      </c>
      <c r="H1963" t="s">
        <v>6541</v>
      </c>
      <c r="I1963">
        <v>902</v>
      </c>
      <c r="J1963" t="s">
        <v>13576</v>
      </c>
      <c r="K1963" t="s">
        <v>12500</v>
      </c>
      <c r="L1963" s="7" t="s">
        <v>13577</v>
      </c>
      <c r="M1963">
        <v>86601301</v>
      </c>
      <c r="N1963">
        <v>84</v>
      </c>
      <c r="O1963">
        <v>76</v>
      </c>
      <c r="P1963">
        <v>8</v>
      </c>
      <c r="Q1963">
        <v>84</v>
      </c>
      <c r="R1963">
        <v>76</v>
      </c>
      <c r="S1963">
        <v>8</v>
      </c>
      <c r="T1963">
        <v>0</v>
      </c>
      <c r="U1963" t="s">
        <v>13578</v>
      </c>
      <c r="V1963">
        <f>Tabla1[[#This Row],[Aboard]]-Tabla1[[#This Row],[Fatalities]]</f>
        <v>0</v>
      </c>
      <c r="W1963" s="50">
        <f>IFERROR(Tabla1[[#This Row],[Fatalities]]/Tabla1[[#This Row],[Aboard]],0)</f>
        <v>1</v>
      </c>
      <c r="X1963" s="51" t="str" cm="1">
        <f t="array" ref="X1963">_xlfn.IFS(Tabla1[[#This Row],[Porcentaje de muertes]]&lt;0.35,"LEVE",AND(Tabla1[[#This Row],[Porcentaje de muertes]]&gt;0.35,Tabla1[[#This Row],[Porcentaje de muertes]]&lt;0.65),"MEDIO",Tabla1[[#This Row],[Porcentaje de muertes]]&gt;0.65,"GRAVE")</f>
        <v>GRAVE</v>
      </c>
    </row>
    <row r="1964" spans="2:24" x14ac:dyDescent="0.3">
      <c r="B1964" s="9">
        <v>1963</v>
      </c>
      <c r="C1964" s="49">
        <v>22804</v>
      </c>
      <c r="D1964" s="9">
        <f>YEAR(Tabla1[[#This Row],[Date]])</f>
        <v>1962</v>
      </c>
      <c r="E1964" s="9" t="str" cm="1">
        <f t="array" ref="E1964">IFERROR(_xlfn.IFS(AND(D1964&lt;1980,D1964&gt;=1970),"70",AND(D1964&lt;1990,D1964&gt;=1980),"80",AND(D1964&lt;2000,D1964&gt;=1990),"90",AND(D1964&lt;2010,D1964&gt;=2000),"00",AND(D1964&lt;=2019,D1964&gt;=2010),"10"),"1908-1970")</f>
        <v>1908-1970</v>
      </c>
      <c r="F1964" s="3">
        <v>0.51041666666666663</v>
      </c>
      <c r="G1964" t="s">
        <v>12826</v>
      </c>
      <c r="H1964" t="s">
        <v>6541</v>
      </c>
      <c r="I1964">
        <v>40</v>
      </c>
      <c r="J1964" t="s">
        <v>13579</v>
      </c>
      <c r="K1964" t="s">
        <v>12541</v>
      </c>
      <c r="L1964" s="7" t="s">
        <v>13580</v>
      </c>
      <c r="M1964" t="s">
        <v>13581</v>
      </c>
      <c r="N1964">
        <v>38</v>
      </c>
      <c r="O1964">
        <v>33</v>
      </c>
      <c r="P1964">
        <v>5</v>
      </c>
      <c r="Q1964">
        <v>11</v>
      </c>
      <c r="R1964">
        <v>11</v>
      </c>
      <c r="S1964">
        <v>0</v>
      </c>
      <c r="T1964">
        <v>0</v>
      </c>
      <c r="U1964" t="s">
        <v>13582</v>
      </c>
      <c r="V1964">
        <f>Tabla1[[#This Row],[Aboard]]-Tabla1[[#This Row],[Fatalities]]</f>
        <v>27</v>
      </c>
      <c r="W1964" s="50">
        <f>IFERROR(Tabla1[[#This Row],[Fatalities]]/Tabla1[[#This Row],[Aboard]],0)</f>
        <v>0.28947368421052633</v>
      </c>
      <c r="X1964" s="51" t="str" cm="1">
        <f t="array" ref="X1964">_xlfn.IFS(Tabla1[[#This Row],[Porcentaje de muertes]]&lt;0.35,"LEVE",AND(Tabla1[[#This Row],[Porcentaje de muertes]]&gt;0.35,Tabla1[[#This Row],[Porcentaje de muertes]]&lt;0.65),"MEDIO",Tabla1[[#This Row],[Porcentaje de muertes]]&gt;0.65,"GRAVE")</f>
        <v>LEVE</v>
      </c>
    </row>
    <row r="1965" spans="2:24" x14ac:dyDescent="0.3">
      <c r="B1965" s="9">
        <v>1964</v>
      </c>
      <c r="C1965" s="49">
        <v>22834</v>
      </c>
      <c r="D1965" s="9">
        <f>YEAR(Tabla1[[#This Row],[Date]])</f>
        <v>1962</v>
      </c>
      <c r="E1965" s="9" t="str" cm="1">
        <f t="array" ref="E1965">IFERROR(_xlfn.IFS(AND(D1965&lt;1980,D1965&gt;=1970),"70",AND(D1965&lt;1990,D1965&gt;=1980),"80",AND(D1965&lt;2000,D1965&gt;=1990),"90",AND(D1965&lt;2010,D1965&gt;=2000),"00",AND(D1965&lt;=2019,D1965&gt;=2010),"10"),"1908-1970")</f>
        <v>1908-1970</v>
      </c>
      <c r="F1965" s="3">
        <v>6.9444444444444441E-3</v>
      </c>
      <c r="G1965" t="s">
        <v>13583</v>
      </c>
      <c r="H1965" t="s">
        <v>10299</v>
      </c>
      <c r="I1965">
        <v>771</v>
      </c>
      <c r="J1965" t="s">
        <v>13584</v>
      </c>
      <c r="K1965" t="s">
        <v>13585</v>
      </c>
      <c r="L1965" s="7" t="s">
        <v>13586</v>
      </c>
      <c r="M1965" t="s">
        <v>13587</v>
      </c>
      <c r="N1965">
        <v>94</v>
      </c>
      <c r="O1965">
        <v>85</v>
      </c>
      <c r="P1965">
        <v>9</v>
      </c>
      <c r="Q1965">
        <v>94</v>
      </c>
      <c r="R1965">
        <v>85</v>
      </c>
      <c r="S1965">
        <v>9</v>
      </c>
      <c r="T1965">
        <v>0</v>
      </c>
      <c r="U1965" t="s">
        <v>13588</v>
      </c>
      <c r="V1965">
        <f>Tabla1[[#This Row],[Aboard]]-Tabla1[[#This Row],[Fatalities]]</f>
        <v>0</v>
      </c>
      <c r="W1965" s="50">
        <f>IFERROR(Tabla1[[#This Row],[Fatalities]]/Tabla1[[#This Row],[Aboard]],0)</f>
        <v>1</v>
      </c>
      <c r="X1965" s="51" t="str" cm="1">
        <f t="array" ref="X1965">_xlfn.IFS(Tabla1[[#This Row],[Porcentaje de muertes]]&lt;0.35,"LEVE",AND(Tabla1[[#This Row],[Porcentaje de muertes]]&gt;0.35,Tabla1[[#This Row],[Porcentaje de muertes]]&lt;0.65),"MEDIO",Tabla1[[#This Row],[Porcentaje de muertes]]&gt;0.65,"GRAVE")</f>
        <v>GRAVE</v>
      </c>
    </row>
    <row r="1966" spans="2:24" x14ac:dyDescent="0.3">
      <c r="B1966" s="9">
        <v>1965</v>
      </c>
      <c r="C1966" s="49">
        <v>22896</v>
      </c>
      <c r="D1966" s="9">
        <f>YEAR(Tabla1[[#This Row],[Date]])</f>
        <v>1962</v>
      </c>
      <c r="E1966" s="9" t="str" cm="1">
        <f t="array" ref="E1966">IFERROR(_xlfn.IFS(AND(D1966&lt;1980,D1966&gt;=1970),"70",AND(D1966&lt;1990,D1966&gt;=1980),"80",AND(D1966&lt;2000,D1966&gt;=1990),"90",AND(D1966&lt;2010,D1966&gt;=2000),"00",AND(D1966&lt;=2019,D1966&gt;=2010),"10"),"1908-1970")</f>
        <v>1908-1970</v>
      </c>
      <c r="F1966" s="3">
        <v>0.98749999999999993</v>
      </c>
      <c r="G1966" t="s">
        <v>13589</v>
      </c>
      <c r="H1966" t="s">
        <v>13590</v>
      </c>
      <c r="I1966" t="s">
        <v>28931</v>
      </c>
      <c r="J1966" t="s">
        <v>28931</v>
      </c>
      <c r="K1966" t="s">
        <v>8822</v>
      </c>
      <c r="L1966" s="7" t="s">
        <v>13591</v>
      </c>
      <c r="M1966">
        <v>42918</v>
      </c>
      <c r="N1966">
        <v>6</v>
      </c>
      <c r="O1966">
        <v>0</v>
      </c>
      <c r="P1966">
        <v>6</v>
      </c>
      <c r="Q1966">
        <v>6</v>
      </c>
      <c r="R1966">
        <v>0</v>
      </c>
      <c r="S1966">
        <v>6</v>
      </c>
      <c r="T1966">
        <v>0</v>
      </c>
      <c r="U1966" t="s">
        <v>13592</v>
      </c>
      <c r="V1966">
        <f>Tabla1[[#This Row],[Aboard]]-Tabla1[[#This Row],[Fatalities]]</f>
        <v>0</v>
      </c>
      <c r="W1966" s="50">
        <f>IFERROR(Tabla1[[#This Row],[Fatalities]]/Tabla1[[#This Row],[Aboard]],0)</f>
        <v>1</v>
      </c>
      <c r="X1966" s="51" t="str" cm="1">
        <f t="array" ref="X1966">_xlfn.IFS(Tabla1[[#This Row],[Porcentaje de muertes]]&lt;0.35,"LEVE",AND(Tabla1[[#This Row],[Porcentaje de muertes]]&gt;0.35,Tabla1[[#This Row],[Porcentaje de muertes]]&lt;0.65),"MEDIO",Tabla1[[#This Row],[Porcentaje de muertes]]&gt;0.65,"GRAVE")</f>
        <v>GRAVE</v>
      </c>
    </row>
    <row r="1967" spans="2:24" x14ac:dyDescent="0.3">
      <c r="B1967" s="9">
        <v>1966</v>
      </c>
      <c r="C1967" s="49">
        <v>22842</v>
      </c>
      <c r="D1967" s="9">
        <f>YEAR(Tabla1[[#This Row],[Date]])</f>
        <v>1962</v>
      </c>
      <c r="E1967" s="9" t="str" cm="1">
        <f t="array" ref="E1967">IFERROR(_xlfn.IFS(AND(D1967&lt;1980,D1967&gt;=1970),"70",AND(D1967&lt;1990,D1967&gt;=1980),"80",AND(D1967&lt;2000,D1967&gt;=1990),"90",AND(D1967&lt;2010,D1967&gt;=2000),"00",AND(D1967&lt;=2019,D1967&gt;=2010),"10"),"1908-1970")</f>
        <v>1908-1970</v>
      </c>
      <c r="F1967" s="3" t="s">
        <v>28931</v>
      </c>
      <c r="G1967" t="s">
        <v>13593</v>
      </c>
      <c r="H1967" t="s">
        <v>11150</v>
      </c>
      <c r="I1967" t="s">
        <v>28931</v>
      </c>
      <c r="J1967" t="s">
        <v>13594</v>
      </c>
      <c r="K1967" t="s">
        <v>8105</v>
      </c>
      <c r="L1967" s="7" t="s">
        <v>13595</v>
      </c>
      <c r="M1967">
        <v>20289</v>
      </c>
      <c r="N1967">
        <v>3</v>
      </c>
      <c r="O1967">
        <v>0</v>
      </c>
      <c r="P1967">
        <v>3</v>
      </c>
      <c r="Q1967">
        <v>1</v>
      </c>
      <c r="R1967">
        <v>0</v>
      </c>
      <c r="S1967">
        <v>1</v>
      </c>
      <c r="T1967">
        <v>0</v>
      </c>
      <c r="U1967" t="s">
        <v>13596</v>
      </c>
      <c r="V1967">
        <f>Tabla1[[#This Row],[Aboard]]-Tabla1[[#This Row],[Fatalities]]</f>
        <v>2</v>
      </c>
      <c r="W1967" s="50">
        <f>IFERROR(Tabla1[[#This Row],[Fatalities]]/Tabla1[[#This Row],[Aboard]],0)</f>
        <v>0.33333333333333331</v>
      </c>
      <c r="X1967" s="51" t="str" cm="1">
        <f t="array" ref="X1967">_xlfn.IFS(Tabla1[[#This Row],[Porcentaje de muertes]]&lt;0.35,"LEVE",AND(Tabla1[[#This Row],[Porcentaje de muertes]]&gt;0.35,Tabla1[[#This Row],[Porcentaje de muertes]]&lt;0.65),"MEDIO",Tabla1[[#This Row],[Porcentaje de muertes]]&gt;0.65,"GRAVE")</f>
        <v>LEVE</v>
      </c>
    </row>
    <row r="1968" spans="2:24" x14ac:dyDescent="0.3">
      <c r="B1968" s="9">
        <v>1967</v>
      </c>
      <c r="C1968" s="49">
        <v>22843</v>
      </c>
      <c r="D1968" s="9">
        <f>YEAR(Tabla1[[#This Row],[Date]])</f>
        <v>1962</v>
      </c>
      <c r="E1968" s="9" t="str" cm="1">
        <f t="array" ref="E1968">IFERROR(_xlfn.IFS(AND(D1968&lt;1980,D1968&gt;=1970),"70",AND(D1968&lt;1990,D1968&gt;=1980),"80",AND(D1968&lt;2000,D1968&gt;=1990),"90",AND(D1968&lt;2010,D1968&gt;=2000),"00",AND(D1968&lt;=2019,D1968&gt;=2010),"10"),"1908-1970")</f>
        <v>1908-1970</v>
      </c>
      <c r="F1968" s="3" t="s">
        <v>28931</v>
      </c>
      <c r="G1968" t="s">
        <v>13597</v>
      </c>
      <c r="H1968" t="s">
        <v>10608</v>
      </c>
      <c r="I1968" t="s">
        <v>28931</v>
      </c>
      <c r="J1968" t="s">
        <v>13598</v>
      </c>
      <c r="K1968" t="s">
        <v>7826</v>
      </c>
      <c r="L1968" s="7" t="s">
        <v>13599</v>
      </c>
      <c r="M1968">
        <v>4647</v>
      </c>
      <c r="N1968">
        <v>9</v>
      </c>
      <c r="O1968">
        <v>6</v>
      </c>
      <c r="P1968">
        <v>3</v>
      </c>
      <c r="Q1968">
        <v>9</v>
      </c>
      <c r="R1968">
        <v>6</v>
      </c>
      <c r="S1968">
        <v>3</v>
      </c>
      <c r="T1968">
        <v>0</v>
      </c>
      <c r="U1968" t="s">
        <v>13600</v>
      </c>
      <c r="V1968">
        <f>Tabla1[[#This Row],[Aboard]]-Tabla1[[#This Row],[Fatalities]]</f>
        <v>0</v>
      </c>
      <c r="W1968" s="50">
        <f>IFERROR(Tabla1[[#This Row],[Fatalities]]/Tabla1[[#This Row],[Aboard]],0)</f>
        <v>1</v>
      </c>
      <c r="X1968" s="51" t="str" cm="1">
        <f t="array" ref="X1968">_xlfn.IFS(Tabla1[[#This Row],[Porcentaje de muertes]]&lt;0.35,"LEVE",AND(Tabla1[[#This Row],[Porcentaje de muertes]]&gt;0.35,Tabla1[[#This Row],[Porcentaje de muertes]]&lt;0.65),"MEDIO",Tabla1[[#This Row],[Porcentaje de muertes]]&gt;0.65,"GRAVE")</f>
        <v>GRAVE</v>
      </c>
    </row>
    <row r="1969" spans="2:24" x14ac:dyDescent="0.3">
      <c r="B1969" s="9">
        <v>1968</v>
      </c>
      <c r="C1969" s="49">
        <v>22846</v>
      </c>
      <c r="D1969" s="9">
        <f>YEAR(Tabla1[[#This Row],[Date]])</f>
        <v>1962</v>
      </c>
      <c r="E1969" s="9" t="str" cm="1">
        <f t="array" ref="E1969">IFERROR(_xlfn.IFS(AND(D1969&lt;1980,D1969&gt;=1970),"70",AND(D1969&lt;1990,D1969&gt;=1980),"80",AND(D1969&lt;2000,D1969&gt;=1990),"90",AND(D1969&lt;2010,D1969&gt;=2000),"00",AND(D1969&lt;=2019,D1969&gt;=2010),"10"),"1908-1970")</f>
        <v>1908-1970</v>
      </c>
      <c r="F1969" s="3">
        <v>0.65625</v>
      </c>
      <c r="G1969" t="s">
        <v>13601</v>
      </c>
      <c r="H1969" t="s">
        <v>13087</v>
      </c>
      <c r="I1969">
        <v>869</v>
      </c>
      <c r="J1969" t="s">
        <v>10334</v>
      </c>
      <c r="K1969" t="s">
        <v>13602</v>
      </c>
      <c r="L1969" s="7" t="s">
        <v>13603</v>
      </c>
      <c r="M1969">
        <v>6464</v>
      </c>
      <c r="N1969">
        <v>26</v>
      </c>
      <c r="O1969">
        <v>18</v>
      </c>
      <c r="P1969">
        <v>8</v>
      </c>
      <c r="Q1969">
        <v>26</v>
      </c>
      <c r="R1969">
        <v>18</v>
      </c>
      <c r="S1969">
        <v>8</v>
      </c>
      <c r="T1969">
        <v>0</v>
      </c>
      <c r="U1969" t="s">
        <v>13604</v>
      </c>
      <c r="V1969">
        <f>Tabla1[[#This Row],[Aboard]]-Tabla1[[#This Row],[Fatalities]]</f>
        <v>0</v>
      </c>
      <c r="W1969" s="50">
        <f>IFERROR(Tabla1[[#This Row],[Fatalities]]/Tabla1[[#This Row],[Aboard]],0)</f>
        <v>1</v>
      </c>
      <c r="X1969" s="51" t="str" cm="1">
        <f t="array" ref="X1969">_xlfn.IFS(Tabla1[[#This Row],[Porcentaje de muertes]]&lt;0.35,"LEVE",AND(Tabla1[[#This Row],[Porcentaje de muertes]]&gt;0.35,Tabla1[[#This Row],[Porcentaje de muertes]]&lt;0.65),"MEDIO",Tabla1[[#This Row],[Porcentaje de muertes]]&gt;0.65,"GRAVE")</f>
        <v>GRAVE</v>
      </c>
    </row>
    <row r="1970" spans="2:24" x14ac:dyDescent="0.3">
      <c r="B1970" s="9">
        <v>1969</v>
      </c>
      <c r="C1970" s="49">
        <v>22849</v>
      </c>
      <c r="D1970" s="9">
        <f>YEAR(Tabla1[[#This Row],[Date]])</f>
        <v>1962</v>
      </c>
      <c r="E1970" s="9" t="str" cm="1">
        <f t="array" ref="E1970">IFERROR(_xlfn.IFS(AND(D1970&lt;1980,D1970&gt;=1970),"70",AND(D1970&lt;1990,D1970&gt;=1980),"80",AND(D1970&lt;2000,D1970&gt;=1990),"90",AND(D1970&lt;2010,D1970&gt;=2000),"00",AND(D1970&lt;=2019,D1970&gt;=2010),"10"),"1908-1970")</f>
        <v>1908-1970</v>
      </c>
      <c r="F1970" s="3">
        <v>0.97152777777777777</v>
      </c>
      <c r="G1970" t="s">
        <v>13605</v>
      </c>
      <c r="H1970" t="s">
        <v>7883</v>
      </c>
      <c r="I1970">
        <v>323</v>
      </c>
      <c r="J1970" t="s">
        <v>13606</v>
      </c>
      <c r="K1970" t="s">
        <v>13607</v>
      </c>
      <c r="L1970" s="7" t="s">
        <v>13608</v>
      </c>
      <c r="M1970">
        <v>13394</v>
      </c>
      <c r="N1970">
        <v>40</v>
      </c>
      <c r="O1970">
        <v>29</v>
      </c>
      <c r="P1970">
        <v>11</v>
      </c>
      <c r="Q1970">
        <v>27</v>
      </c>
      <c r="R1970">
        <v>20</v>
      </c>
      <c r="S1970">
        <v>7</v>
      </c>
      <c r="T1970">
        <v>0</v>
      </c>
      <c r="U1970" t="s">
        <v>13609</v>
      </c>
      <c r="V1970">
        <f>Tabla1[[#This Row],[Aboard]]-Tabla1[[#This Row],[Fatalities]]</f>
        <v>13</v>
      </c>
      <c r="W1970" s="50">
        <f>IFERROR(Tabla1[[#This Row],[Fatalities]]/Tabla1[[#This Row],[Aboard]],0)</f>
        <v>0.67500000000000004</v>
      </c>
      <c r="X1970" s="51" t="str" cm="1">
        <f t="array" ref="X1970">_xlfn.IFS(Tabla1[[#This Row],[Porcentaje de muertes]]&lt;0.35,"LEVE",AND(Tabla1[[#This Row],[Porcentaje de muertes]]&gt;0.35,Tabla1[[#This Row],[Porcentaje de muertes]]&lt;0.65),"MEDIO",Tabla1[[#This Row],[Porcentaje de muertes]]&gt;0.65,"GRAVE")</f>
        <v>GRAVE</v>
      </c>
    </row>
    <row r="1971" spans="2:24" x14ac:dyDescent="0.3">
      <c r="B1971" s="9">
        <v>1970</v>
      </c>
      <c r="C1971" s="49">
        <v>22855</v>
      </c>
      <c r="D1971" s="9">
        <f>YEAR(Tabla1[[#This Row],[Date]])</f>
        <v>1962</v>
      </c>
      <c r="E1971" s="9" t="str" cm="1">
        <f t="array" ref="E1971">IFERROR(_xlfn.IFS(AND(D1971&lt;1980,D1971&gt;=1970),"70",AND(D1971&lt;1990,D1971&gt;=1980),"80",AND(D1971&lt;2000,D1971&gt;=1990),"90",AND(D1971&lt;2010,D1971&gt;=2000),"00",AND(D1971&lt;=2019,D1971&gt;=2010),"10"),"1908-1970")</f>
        <v>1908-1970</v>
      </c>
      <c r="F1971" s="3">
        <v>0.65347222222222223</v>
      </c>
      <c r="G1971" t="s">
        <v>5788</v>
      </c>
      <c r="H1971" t="s">
        <v>6541</v>
      </c>
      <c r="I1971">
        <v>415</v>
      </c>
      <c r="J1971" t="s">
        <v>13610</v>
      </c>
      <c r="K1971" t="s">
        <v>13611</v>
      </c>
      <c r="L1971" s="7" t="s">
        <v>13612</v>
      </c>
      <c r="M1971">
        <v>402003</v>
      </c>
      <c r="N1971">
        <v>81</v>
      </c>
      <c r="O1971">
        <v>74</v>
      </c>
      <c r="P1971">
        <v>7</v>
      </c>
      <c r="Q1971">
        <v>81</v>
      </c>
      <c r="R1971">
        <v>74</v>
      </c>
      <c r="S1971">
        <v>7</v>
      </c>
      <c r="T1971">
        <v>0</v>
      </c>
      <c r="U1971" t="s">
        <v>13613</v>
      </c>
      <c r="V1971">
        <f>Tabla1[[#This Row],[Aboard]]-Tabla1[[#This Row],[Fatalities]]</f>
        <v>0</v>
      </c>
      <c r="W1971" s="50">
        <f>IFERROR(Tabla1[[#This Row],[Fatalities]]/Tabla1[[#This Row],[Aboard]],0)</f>
        <v>1</v>
      </c>
      <c r="X1971" s="51" t="str" cm="1">
        <f t="array" ref="X1971">_xlfn.IFS(Tabla1[[#This Row],[Porcentaje de muertes]]&lt;0.35,"LEVE",AND(Tabla1[[#This Row],[Porcentaje de muertes]]&gt;0.35,Tabla1[[#This Row],[Porcentaje de muertes]]&lt;0.65),"MEDIO",Tabla1[[#This Row],[Porcentaje de muertes]]&gt;0.65,"GRAVE")</f>
        <v>GRAVE</v>
      </c>
    </row>
    <row r="1972" spans="2:24" x14ac:dyDescent="0.3">
      <c r="B1972" s="9">
        <v>1971</v>
      </c>
      <c r="C1972" s="49">
        <v>22857</v>
      </c>
      <c r="D1972" s="9">
        <f>YEAR(Tabla1[[#This Row],[Date]])</f>
        <v>1962</v>
      </c>
      <c r="E1972" s="9" t="str" cm="1">
        <f t="array" ref="E1972">IFERROR(_xlfn.IFS(AND(D1972&lt;1980,D1972&gt;=1970),"70",AND(D1972&lt;1990,D1972&gt;=1980),"80",AND(D1972&lt;2000,D1972&gt;=1990),"90",AND(D1972&lt;2010,D1972&gt;=2000),"00",AND(D1972&lt;=2019,D1972&gt;=2010),"10"),"1908-1970")</f>
        <v>1908-1970</v>
      </c>
      <c r="F1972" s="3" t="s">
        <v>28931</v>
      </c>
      <c r="G1972" t="s">
        <v>13614</v>
      </c>
      <c r="H1972" t="s">
        <v>6375</v>
      </c>
      <c r="I1972" t="s">
        <v>28931</v>
      </c>
      <c r="J1972" t="s">
        <v>6190</v>
      </c>
      <c r="K1972" t="s">
        <v>7057</v>
      </c>
      <c r="L1972" s="7" t="s">
        <v>13615</v>
      </c>
      <c r="M1972">
        <v>11769</v>
      </c>
      <c r="N1972">
        <v>8</v>
      </c>
      <c r="O1972">
        <v>0</v>
      </c>
      <c r="P1972">
        <v>8</v>
      </c>
      <c r="Q1972">
        <v>4</v>
      </c>
      <c r="R1972">
        <v>0</v>
      </c>
      <c r="S1972">
        <v>4</v>
      </c>
      <c r="T1972">
        <v>0</v>
      </c>
      <c r="U1972" t="s">
        <v>13616</v>
      </c>
      <c r="V1972">
        <f>Tabla1[[#This Row],[Aboard]]-Tabla1[[#This Row],[Fatalities]]</f>
        <v>4</v>
      </c>
      <c r="W1972" s="50">
        <f>IFERROR(Tabla1[[#This Row],[Fatalities]]/Tabla1[[#This Row],[Aboard]],0)</f>
        <v>0.5</v>
      </c>
      <c r="X1972" s="51" t="str" cm="1">
        <f t="array" ref="X1972">_xlfn.IFS(Tabla1[[#This Row],[Porcentaje de muertes]]&lt;0.35,"LEVE",AND(Tabla1[[#This Row],[Porcentaje de muertes]]&gt;0.35,Tabla1[[#This Row],[Porcentaje de muertes]]&lt;0.65),"MEDIO",Tabla1[[#This Row],[Porcentaje de muertes]]&gt;0.65,"GRAVE")</f>
        <v>MEDIO</v>
      </c>
    </row>
    <row r="1973" spans="2:24" x14ac:dyDescent="0.3">
      <c r="B1973" s="9">
        <v>1972</v>
      </c>
      <c r="C1973" s="49">
        <v>22654</v>
      </c>
      <c r="D1973" s="9">
        <f>YEAR(Tabla1[[#This Row],[Date]])</f>
        <v>1962</v>
      </c>
      <c r="E1973" s="9" t="str" cm="1">
        <f t="array" ref="E1973">IFERROR(_xlfn.IFS(AND(D1973&lt;1980,D1973&gt;=1970),"70",AND(D1973&lt;1990,D1973&gt;=1980),"80",AND(D1973&lt;2000,D1973&gt;=1990),"90",AND(D1973&lt;2010,D1973&gt;=2000),"00",AND(D1973&lt;=2019,D1973&gt;=2010),"10"),"1908-1970")</f>
        <v>1908-1970</v>
      </c>
      <c r="F1973" s="3">
        <v>0.55208333333333337</v>
      </c>
      <c r="G1973" t="s">
        <v>12298</v>
      </c>
      <c r="H1973" t="s">
        <v>13123</v>
      </c>
      <c r="I1973" t="s">
        <v>28931</v>
      </c>
      <c r="J1973" t="s">
        <v>13617</v>
      </c>
      <c r="K1973" t="s">
        <v>7057</v>
      </c>
      <c r="L1973" s="7" t="s">
        <v>13618</v>
      </c>
      <c r="M1973">
        <v>6216</v>
      </c>
      <c r="N1973">
        <v>10</v>
      </c>
      <c r="O1973">
        <v>6</v>
      </c>
      <c r="P1973">
        <v>4</v>
      </c>
      <c r="Q1973">
        <v>10</v>
      </c>
      <c r="R1973">
        <v>6</v>
      </c>
      <c r="S1973">
        <v>4</v>
      </c>
      <c r="T1973">
        <v>0</v>
      </c>
      <c r="U1973" t="s">
        <v>13619</v>
      </c>
      <c r="V1973">
        <f>Tabla1[[#This Row],[Aboard]]-Tabla1[[#This Row],[Fatalities]]</f>
        <v>0</v>
      </c>
      <c r="W1973" s="50">
        <f>IFERROR(Tabla1[[#This Row],[Fatalities]]/Tabla1[[#This Row],[Aboard]],0)</f>
        <v>1</v>
      </c>
      <c r="X1973" s="51" t="str" cm="1">
        <f t="array" ref="X1973">_xlfn.IFS(Tabla1[[#This Row],[Porcentaje de muertes]]&lt;0.35,"LEVE",AND(Tabla1[[#This Row],[Porcentaje de muertes]]&gt;0.35,Tabla1[[#This Row],[Porcentaje de muertes]]&lt;0.65),"MEDIO",Tabla1[[#This Row],[Porcentaje de muertes]]&gt;0.65,"GRAVE")</f>
        <v>GRAVE</v>
      </c>
    </row>
    <row r="1974" spans="2:24" x14ac:dyDescent="0.3">
      <c r="B1974" s="9">
        <v>1973</v>
      </c>
      <c r="C1974" s="49">
        <v>22878</v>
      </c>
      <c r="D1974" s="9">
        <f>YEAR(Tabla1[[#This Row],[Date]])</f>
        <v>1962</v>
      </c>
      <c r="E1974" s="9" t="str" cm="1">
        <f t="array" ref="E1974">IFERROR(_xlfn.IFS(AND(D1974&lt;1980,D1974&gt;=1970),"70",AND(D1974&lt;1990,D1974&gt;=1980),"80",AND(D1974&lt;2000,D1974&gt;=1990),"90",AND(D1974&lt;2010,D1974&gt;=2000),"00",AND(D1974&lt;=2019,D1974&gt;=2010),"10"),"1908-1970")</f>
        <v>1908-1970</v>
      </c>
      <c r="F1974" s="3">
        <v>0.92222222222222217</v>
      </c>
      <c r="G1974" t="s">
        <v>7368</v>
      </c>
      <c r="H1974" t="s">
        <v>13620</v>
      </c>
      <c r="I1974" t="s">
        <v>28931</v>
      </c>
      <c r="J1974" t="s">
        <v>13621</v>
      </c>
      <c r="K1974" t="s">
        <v>13622</v>
      </c>
      <c r="L1974" s="7" t="s">
        <v>13623</v>
      </c>
      <c r="M1974" t="s">
        <v>13624</v>
      </c>
      <c r="N1974">
        <v>105</v>
      </c>
      <c r="O1974">
        <v>94</v>
      </c>
      <c r="P1974">
        <v>11</v>
      </c>
      <c r="Q1974">
        <v>15</v>
      </c>
      <c r="R1974">
        <v>14</v>
      </c>
      <c r="S1974">
        <v>1</v>
      </c>
      <c r="T1974">
        <v>0</v>
      </c>
      <c r="U1974" t="s">
        <v>13625</v>
      </c>
      <c r="V1974">
        <f>Tabla1[[#This Row],[Aboard]]-Tabla1[[#This Row],[Fatalities]]</f>
        <v>90</v>
      </c>
      <c r="W1974" s="50">
        <f>IFERROR(Tabla1[[#This Row],[Fatalities]]/Tabla1[[#This Row],[Aboard]],0)</f>
        <v>0.14285714285714285</v>
      </c>
      <c r="X1974" s="51" t="str" cm="1">
        <f t="array" ref="X1974">_xlfn.IFS(Tabla1[[#This Row],[Porcentaje de muertes]]&lt;0.35,"LEVE",AND(Tabla1[[#This Row],[Porcentaje de muertes]]&gt;0.35,Tabla1[[#This Row],[Porcentaje de muertes]]&lt;0.65),"MEDIO",Tabla1[[#This Row],[Porcentaje de muertes]]&gt;0.65,"GRAVE")</f>
        <v>LEVE</v>
      </c>
    </row>
    <row r="1975" spans="2:24" x14ac:dyDescent="0.3">
      <c r="B1975" s="9">
        <v>1974</v>
      </c>
      <c r="C1975" s="49">
        <v>22881</v>
      </c>
      <c r="D1975" s="9">
        <f>YEAR(Tabla1[[#This Row],[Date]])</f>
        <v>1962</v>
      </c>
      <c r="E1975" s="9" t="str" cm="1">
        <f t="array" ref="E1975">IFERROR(_xlfn.IFS(AND(D1975&lt;1980,D1975&gt;=1970),"70",AND(D1975&lt;1990,D1975&gt;=1980),"80",AND(D1975&lt;2000,D1975&gt;=1990),"90",AND(D1975&lt;2010,D1975&gt;=2000),"00",AND(D1975&lt;=2019,D1975&gt;=2010),"10"),"1908-1970")</f>
        <v>1908-1970</v>
      </c>
      <c r="F1975" s="3">
        <v>0.6645833333333333</v>
      </c>
      <c r="G1975" t="s">
        <v>13626</v>
      </c>
      <c r="H1975" t="s">
        <v>13627</v>
      </c>
      <c r="I1975" t="s">
        <v>28931</v>
      </c>
      <c r="J1975" t="s">
        <v>13628</v>
      </c>
      <c r="K1975" t="s">
        <v>7057</v>
      </c>
      <c r="L1975" s="7" t="s">
        <v>13629</v>
      </c>
      <c r="M1975">
        <v>4551</v>
      </c>
      <c r="N1975">
        <v>32</v>
      </c>
      <c r="O1975">
        <v>29</v>
      </c>
      <c r="P1975">
        <v>3</v>
      </c>
      <c r="Q1975">
        <v>20</v>
      </c>
      <c r="R1975">
        <v>18</v>
      </c>
      <c r="S1975">
        <v>2</v>
      </c>
      <c r="T1975">
        <v>0</v>
      </c>
      <c r="U1975" t="s">
        <v>13630</v>
      </c>
      <c r="V1975">
        <f>Tabla1[[#This Row],[Aboard]]-Tabla1[[#This Row],[Fatalities]]</f>
        <v>12</v>
      </c>
      <c r="W1975" s="50">
        <f>IFERROR(Tabla1[[#This Row],[Fatalities]]/Tabla1[[#This Row],[Aboard]],0)</f>
        <v>0.625</v>
      </c>
      <c r="X1975" s="51" t="str" cm="1">
        <f t="array" ref="X1975">_xlfn.IFS(Tabla1[[#This Row],[Porcentaje de muertes]]&lt;0.35,"LEVE",AND(Tabla1[[#This Row],[Porcentaje de muertes]]&gt;0.35,Tabla1[[#This Row],[Porcentaje de muertes]]&lt;0.65),"MEDIO",Tabla1[[#This Row],[Porcentaje de muertes]]&gt;0.65,"GRAVE")</f>
        <v>MEDIO</v>
      </c>
    </row>
    <row r="1976" spans="2:24" x14ac:dyDescent="0.3">
      <c r="B1976" s="9">
        <v>1975</v>
      </c>
      <c r="C1976" s="49">
        <v>22882</v>
      </c>
      <c r="D1976" s="9">
        <f>YEAR(Tabla1[[#This Row],[Date]])</f>
        <v>1962</v>
      </c>
      <c r="E1976" s="9" t="str" cm="1">
        <f t="array" ref="E1976">IFERROR(_xlfn.IFS(AND(D1976&lt;1980,D1976&gt;=1970),"70",AND(D1976&lt;1990,D1976&gt;=1980),"80",AND(D1976&lt;2000,D1976&gt;=1990),"90",AND(D1976&lt;2010,D1976&gt;=2000),"00",AND(D1976&lt;=2019,D1976&gt;=2010),"10"),"1908-1970")</f>
        <v>1908-1970</v>
      </c>
      <c r="F1976" s="3" t="s">
        <v>28931</v>
      </c>
      <c r="G1976" t="s">
        <v>13631</v>
      </c>
      <c r="H1976" t="s">
        <v>8477</v>
      </c>
      <c r="I1976" t="s">
        <v>28931</v>
      </c>
      <c r="J1976" t="s">
        <v>28931</v>
      </c>
      <c r="K1976" t="s">
        <v>7057</v>
      </c>
      <c r="L1976" s="7" t="s">
        <v>13632</v>
      </c>
      <c r="M1976">
        <v>25839</v>
      </c>
      <c r="N1976">
        <v>9</v>
      </c>
      <c r="O1976">
        <v>6</v>
      </c>
      <c r="P1976">
        <v>3</v>
      </c>
      <c r="Q1976">
        <v>9</v>
      </c>
      <c r="R1976">
        <v>6</v>
      </c>
      <c r="S1976">
        <v>3</v>
      </c>
      <c r="T1976">
        <v>0</v>
      </c>
      <c r="U1976" t="s">
        <v>13633</v>
      </c>
      <c r="V1976">
        <f>Tabla1[[#This Row],[Aboard]]-Tabla1[[#This Row],[Fatalities]]</f>
        <v>0</v>
      </c>
      <c r="W1976" s="50">
        <f>IFERROR(Tabla1[[#This Row],[Fatalities]]/Tabla1[[#This Row],[Aboard]],0)</f>
        <v>1</v>
      </c>
      <c r="X1976" s="51" t="str" cm="1">
        <f t="array" ref="X1976">_xlfn.IFS(Tabla1[[#This Row],[Porcentaje de muertes]]&lt;0.35,"LEVE",AND(Tabla1[[#This Row],[Porcentaje de muertes]]&gt;0.35,Tabla1[[#This Row],[Porcentaje de muertes]]&lt;0.65),"MEDIO",Tabla1[[#This Row],[Porcentaje de muertes]]&gt;0.65,"GRAVE")</f>
        <v>GRAVE</v>
      </c>
    </row>
    <row r="1977" spans="2:24" x14ac:dyDescent="0.3">
      <c r="B1977" s="9">
        <v>1976</v>
      </c>
      <c r="C1977" s="49">
        <v>22714</v>
      </c>
      <c r="D1977" s="9">
        <f>YEAR(Tabla1[[#This Row],[Date]])</f>
        <v>1962</v>
      </c>
      <c r="E1977" s="9" t="str" cm="1">
        <f t="array" ref="E1977">IFERROR(_xlfn.IFS(AND(D1977&lt;1980,D1977&gt;=1970),"70",AND(D1977&lt;1990,D1977&gt;=1980),"80",AND(D1977&lt;2000,D1977&gt;=1990),"90",AND(D1977&lt;2010,D1977&gt;=2000),"00",AND(D1977&lt;=2019,D1977&gt;=2010),"10"),"1908-1970")</f>
        <v>1908-1970</v>
      </c>
      <c r="F1977" s="3">
        <v>0.70486111111111116</v>
      </c>
      <c r="G1977" t="s">
        <v>13634</v>
      </c>
      <c r="H1977" t="s">
        <v>13635</v>
      </c>
      <c r="I1977" t="s">
        <v>28931</v>
      </c>
      <c r="J1977" t="s">
        <v>28931</v>
      </c>
      <c r="K1977" t="s">
        <v>13636</v>
      </c>
      <c r="L1977" s="7" t="s">
        <v>13637</v>
      </c>
      <c r="M1977" t="s">
        <v>28931</v>
      </c>
      <c r="N1977">
        <v>12</v>
      </c>
      <c r="O1977">
        <v>0</v>
      </c>
      <c r="P1977">
        <v>12</v>
      </c>
      <c r="Q1977">
        <v>12</v>
      </c>
      <c r="R1977">
        <v>0</v>
      </c>
      <c r="S1977">
        <v>12</v>
      </c>
      <c r="T1977">
        <v>1</v>
      </c>
      <c r="U1977" t="s">
        <v>13638</v>
      </c>
      <c r="V1977">
        <f>Tabla1[[#This Row],[Aboard]]-Tabla1[[#This Row],[Fatalities]]</f>
        <v>0</v>
      </c>
      <c r="W1977" s="50">
        <f>IFERROR(Tabla1[[#This Row],[Fatalities]]/Tabla1[[#This Row],[Aboard]],0)</f>
        <v>1</v>
      </c>
      <c r="X1977" s="51" t="str" cm="1">
        <f t="array" ref="X1977">_xlfn.IFS(Tabla1[[#This Row],[Porcentaje de muertes]]&lt;0.35,"LEVE",AND(Tabla1[[#This Row],[Porcentaje de muertes]]&gt;0.35,Tabla1[[#This Row],[Porcentaje de muertes]]&lt;0.65),"MEDIO",Tabla1[[#This Row],[Porcentaje de muertes]]&gt;0.65,"GRAVE")</f>
        <v>GRAVE</v>
      </c>
    </row>
    <row r="1978" spans="2:24" x14ac:dyDescent="0.3">
      <c r="B1978" s="9">
        <v>1977</v>
      </c>
      <c r="C1978" s="49">
        <v>22714</v>
      </c>
      <c r="D1978" s="9">
        <f>YEAR(Tabla1[[#This Row],[Date]])</f>
        <v>1962</v>
      </c>
      <c r="E1978" s="9" t="str" cm="1">
        <f t="array" ref="E1978">IFERROR(_xlfn.IFS(AND(D1978&lt;1980,D1978&gt;=1970),"70",AND(D1978&lt;1990,D1978&gt;=1980),"80",AND(D1978&lt;2000,D1978&gt;=1990),"90",AND(D1978&lt;2010,D1978&gt;=2000),"00",AND(D1978&lt;=2019,D1978&gt;=2010),"10"),"1908-1970")</f>
        <v>1908-1970</v>
      </c>
      <c r="F1978" s="3">
        <v>0.20277777777777781</v>
      </c>
      <c r="G1978" t="s">
        <v>13639</v>
      </c>
      <c r="H1978" t="s">
        <v>6541</v>
      </c>
      <c r="I1978">
        <v>3</v>
      </c>
      <c r="J1978" t="s">
        <v>13640</v>
      </c>
      <c r="K1978" t="s">
        <v>12500</v>
      </c>
      <c r="L1978" s="7" t="s">
        <v>13641</v>
      </c>
      <c r="M1978">
        <v>86601103</v>
      </c>
      <c r="N1978">
        <v>86</v>
      </c>
      <c r="O1978">
        <v>79</v>
      </c>
      <c r="P1978">
        <v>7</v>
      </c>
      <c r="Q1978">
        <v>86</v>
      </c>
      <c r="R1978">
        <v>79</v>
      </c>
      <c r="S1978">
        <v>7</v>
      </c>
      <c r="T1978">
        <v>0</v>
      </c>
      <c r="U1978" t="s">
        <v>13642</v>
      </c>
      <c r="V1978">
        <f>Tabla1[[#This Row],[Aboard]]-Tabla1[[#This Row],[Fatalities]]</f>
        <v>0</v>
      </c>
      <c r="W1978" s="50">
        <f>IFERROR(Tabla1[[#This Row],[Fatalities]]/Tabla1[[#This Row],[Aboard]],0)</f>
        <v>1</v>
      </c>
      <c r="X1978" s="51" t="str" cm="1">
        <f t="array" ref="X1978">_xlfn.IFS(Tabla1[[#This Row],[Porcentaje de muertes]]&lt;0.35,"LEVE",AND(Tabla1[[#This Row],[Porcentaje de muertes]]&gt;0.35,Tabla1[[#This Row],[Porcentaje de muertes]]&lt;0.65),"MEDIO",Tabla1[[#This Row],[Porcentaje de muertes]]&gt;0.65,"GRAVE")</f>
        <v>GRAVE</v>
      </c>
    </row>
    <row r="1979" spans="2:24" x14ac:dyDescent="0.3">
      <c r="B1979" s="9">
        <v>1978</v>
      </c>
      <c r="C1979" s="49">
        <v>22745</v>
      </c>
      <c r="D1979" s="9">
        <f>YEAR(Tabla1[[#This Row],[Date]])</f>
        <v>1962</v>
      </c>
      <c r="E1979" s="9" t="str" cm="1">
        <f t="array" ref="E1979">IFERROR(_xlfn.IFS(AND(D1979&lt;1980,D1979&gt;=1970),"70",AND(D1979&lt;1990,D1979&gt;=1980),"80",AND(D1979&lt;2000,D1979&gt;=1990),"90",AND(D1979&lt;2010,D1979&gt;=2000),"00",AND(D1979&lt;=2019,D1979&gt;=2010),"10"),"1908-1970")</f>
        <v>1908-1970</v>
      </c>
      <c r="F1979" s="3">
        <v>0.875</v>
      </c>
      <c r="G1979" t="s">
        <v>13643</v>
      </c>
      <c r="H1979" t="s">
        <v>13644</v>
      </c>
      <c r="I1979" t="s">
        <v>28931</v>
      </c>
      <c r="J1979" t="s">
        <v>13645</v>
      </c>
      <c r="K1979" t="s">
        <v>7640</v>
      </c>
      <c r="L1979" s="7" t="s">
        <v>13646</v>
      </c>
      <c r="M1979">
        <v>2463</v>
      </c>
      <c r="N1979">
        <v>13</v>
      </c>
      <c r="O1979">
        <v>11</v>
      </c>
      <c r="P1979">
        <v>2</v>
      </c>
      <c r="Q1979">
        <v>13</v>
      </c>
      <c r="R1979">
        <v>11</v>
      </c>
      <c r="S1979">
        <v>2</v>
      </c>
      <c r="T1979">
        <v>0</v>
      </c>
      <c r="U1979" t="s">
        <v>13647</v>
      </c>
      <c r="V1979">
        <f>Tabla1[[#This Row],[Aboard]]-Tabla1[[#This Row],[Fatalities]]</f>
        <v>0</v>
      </c>
      <c r="W1979" s="50">
        <f>IFERROR(Tabla1[[#This Row],[Fatalities]]/Tabla1[[#This Row],[Aboard]],0)</f>
        <v>1</v>
      </c>
      <c r="X1979" s="51" t="str" cm="1">
        <f t="array" ref="X1979">_xlfn.IFS(Tabla1[[#This Row],[Porcentaje de muertes]]&lt;0.35,"LEVE",AND(Tabla1[[#This Row],[Porcentaje de muertes]]&gt;0.35,Tabla1[[#This Row],[Porcentaje de muertes]]&lt;0.65),"MEDIO",Tabla1[[#This Row],[Porcentaje de muertes]]&gt;0.65,"GRAVE")</f>
        <v>GRAVE</v>
      </c>
    </row>
    <row r="1980" spans="2:24" x14ac:dyDescent="0.3">
      <c r="B1980" s="9">
        <v>1979</v>
      </c>
      <c r="C1980" s="49">
        <v>22928</v>
      </c>
      <c r="D1980" s="9">
        <f>YEAR(Tabla1[[#This Row],[Date]])</f>
        <v>1962</v>
      </c>
      <c r="E1980" s="9" t="str" cm="1">
        <f t="array" ref="E1980">IFERROR(_xlfn.IFS(AND(D1980&lt;1980,D1980&gt;=1970),"70",AND(D1980&lt;1990,D1980&gt;=1980),"80",AND(D1980&lt;2000,D1980&gt;=1990),"90",AND(D1980&lt;2010,D1980&gt;=2000),"00",AND(D1980&lt;=2019,D1980&gt;=2010),"10"),"1908-1970")</f>
        <v>1908-1970</v>
      </c>
      <c r="F1980" s="3">
        <v>0.38194444444444442</v>
      </c>
      <c r="G1980" t="s">
        <v>13648</v>
      </c>
      <c r="H1980" t="s">
        <v>5951</v>
      </c>
      <c r="I1980" t="s">
        <v>28931</v>
      </c>
      <c r="J1980" t="s">
        <v>13649</v>
      </c>
      <c r="K1980" t="s">
        <v>13171</v>
      </c>
      <c r="L1980" s="7" t="s">
        <v>13650</v>
      </c>
      <c r="M1980">
        <v>90807103</v>
      </c>
      <c r="N1980">
        <v>34</v>
      </c>
      <c r="O1980">
        <v>31</v>
      </c>
      <c r="P1980">
        <v>3</v>
      </c>
      <c r="Q1980">
        <v>11</v>
      </c>
      <c r="R1980">
        <v>8</v>
      </c>
      <c r="S1980">
        <v>3</v>
      </c>
      <c r="T1980">
        <v>0</v>
      </c>
      <c r="U1980" t="s">
        <v>12079</v>
      </c>
      <c r="V1980">
        <f>Tabla1[[#This Row],[Aboard]]-Tabla1[[#This Row],[Fatalities]]</f>
        <v>23</v>
      </c>
      <c r="W1980" s="50">
        <f>IFERROR(Tabla1[[#This Row],[Fatalities]]/Tabla1[[#This Row],[Aboard]],0)</f>
        <v>0.3235294117647059</v>
      </c>
      <c r="X1980" s="51" t="str" cm="1">
        <f t="array" ref="X1980">_xlfn.IFS(Tabla1[[#This Row],[Porcentaje de muertes]]&lt;0.35,"LEVE",AND(Tabla1[[#This Row],[Porcentaje de muertes]]&gt;0.35,Tabla1[[#This Row],[Porcentaje de muertes]]&lt;0.65),"MEDIO",Tabla1[[#This Row],[Porcentaje de muertes]]&gt;0.65,"GRAVE")</f>
        <v>LEVE</v>
      </c>
    </row>
    <row r="1981" spans="2:24" x14ac:dyDescent="0.3">
      <c r="B1981" s="9">
        <v>1980</v>
      </c>
      <c r="C1981" s="49">
        <v>22928</v>
      </c>
      <c r="D1981" s="9">
        <f>YEAR(Tabla1[[#This Row],[Date]])</f>
        <v>1962</v>
      </c>
      <c r="E1981" s="9" t="str" cm="1">
        <f t="array" ref="E1981">IFERROR(_xlfn.IFS(AND(D1981&lt;1980,D1981&gt;=1970),"70",AND(D1981&lt;1990,D1981&gt;=1980),"80",AND(D1981&lt;2000,D1981&gt;=1990),"90",AND(D1981&lt;2010,D1981&gt;=2000),"00",AND(D1981&lt;=2019,D1981&gt;=2010),"10"),"1908-1970")</f>
        <v>1908-1970</v>
      </c>
      <c r="F1981" s="3">
        <v>0.46180555555555558</v>
      </c>
      <c r="G1981" t="s">
        <v>13651</v>
      </c>
      <c r="H1981" t="s">
        <v>7987</v>
      </c>
      <c r="I1981" t="s">
        <v>28931</v>
      </c>
      <c r="J1981" t="s">
        <v>13652</v>
      </c>
      <c r="K1981" t="s">
        <v>12399</v>
      </c>
      <c r="L1981" s="7" t="s">
        <v>13653</v>
      </c>
      <c r="M1981">
        <v>18127</v>
      </c>
      <c r="N1981">
        <v>44</v>
      </c>
      <c r="O1981">
        <v>40</v>
      </c>
      <c r="P1981">
        <v>4</v>
      </c>
      <c r="Q1981">
        <v>44</v>
      </c>
      <c r="R1981">
        <v>40</v>
      </c>
      <c r="S1981">
        <v>4</v>
      </c>
      <c r="T1981">
        <v>0</v>
      </c>
      <c r="U1981" t="s">
        <v>13654</v>
      </c>
      <c r="V1981">
        <f>Tabla1[[#This Row],[Aboard]]-Tabla1[[#This Row],[Fatalities]]</f>
        <v>0</v>
      </c>
      <c r="W1981" s="50">
        <f>IFERROR(Tabla1[[#This Row],[Fatalities]]/Tabla1[[#This Row],[Aboard]],0)</f>
        <v>1</v>
      </c>
      <c r="X1981" s="51" t="str" cm="1">
        <f t="array" ref="X1981">_xlfn.IFS(Tabla1[[#This Row],[Porcentaje de muertes]]&lt;0.35,"LEVE",AND(Tabla1[[#This Row],[Porcentaje de muertes]]&gt;0.35,Tabla1[[#This Row],[Porcentaje de muertes]]&lt;0.65),"MEDIO",Tabla1[[#This Row],[Porcentaje de muertes]]&gt;0.65,"GRAVE")</f>
        <v>GRAVE</v>
      </c>
    </row>
    <row r="1982" spans="2:24" x14ac:dyDescent="0.3">
      <c r="B1982" s="9">
        <v>1981</v>
      </c>
      <c r="C1982" s="49">
        <v>22928</v>
      </c>
      <c r="D1982" s="9">
        <f>YEAR(Tabla1[[#This Row],[Date]])</f>
        <v>1962</v>
      </c>
      <c r="E1982" s="9" t="str" cm="1">
        <f t="array" ref="E1982">IFERROR(_xlfn.IFS(AND(D1982&lt;1980,D1982&gt;=1970),"70",AND(D1982&lt;1990,D1982&gt;=1980),"80",AND(D1982&lt;2000,D1982&gt;=1990),"90",AND(D1982&lt;2010,D1982&gt;=2000),"00",AND(D1982&lt;=2019,D1982&gt;=2010),"10"),"1908-1970")</f>
        <v>1908-1970</v>
      </c>
      <c r="F1982" s="3">
        <v>0.46180555555555558</v>
      </c>
      <c r="G1982" t="s">
        <v>13655</v>
      </c>
      <c r="H1982" t="s">
        <v>13656</v>
      </c>
      <c r="I1982" t="s">
        <v>28931</v>
      </c>
      <c r="J1982" t="s">
        <v>13657</v>
      </c>
      <c r="K1982" t="s">
        <v>8105</v>
      </c>
      <c r="L1982" s="7" t="s">
        <v>13658</v>
      </c>
      <c r="M1982">
        <v>20230</v>
      </c>
      <c r="N1982">
        <v>4</v>
      </c>
      <c r="O1982">
        <v>2</v>
      </c>
      <c r="P1982">
        <v>2</v>
      </c>
      <c r="Q1982">
        <v>4</v>
      </c>
      <c r="R1982">
        <v>2</v>
      </c>
      <c r="S1982">
        <v>2</v>
      </c>
      <c r="T1982">
        <v>0</v>
      </c>
      <c r="U1982" t="s">
        <v>13659</v>
      </c>
      <c r="V1982">
        <f>Tabla1[[#This Row],[Aboard]]-Tabla1[[#This Row],[Fatalities]]</f>
        <v>0</v>
      </c>
      <c r="W1982" s="50">
        <f>IFERROR(Tabla1[[#This Row],[Fatalities]]/Tabla1[[#This Row],[Aboard]],0)</f>
        <v>1</v>
      </c>
      <c r="X1982" s="51" t="str" cm="1">
        <f t="array" ref="X1982">_xlfn.IFS(Tabla1[[#This Row],[Porcentaje de muertes]]&lt;0.35,"LEVE",AND(Tabla1[[#This Row],[Porcentaje de muertes]]&gt;0.35,Tabla1[[#This Row],[Porcentaje de muertes]]&lt;0.65),"MEDIO",Tabla1[[#This Row],[Porcentaje de muertes]]&gt;0.65,"GRAVE")</f>
        <v>GRAVE</v>
      </c>
    </row>
    <row r="1983" spans="2:24" x14ac:dyDescent="0.3">
      <c r="B1983" s="9">
        <v>1982</v>
      </c>
      <c r="C1983" s="49">
        <v>22907</v>
      </c>
      <c r="D1983" s="9">
        <f>YEAR(Tabla1[[#This Row],[Date]])</f>
        <v>1962</v>
      </c>
      <c r="E1983" s="9" t="str" cm="1">
        <f t="array" ref="E1983">IFERROR(_xlfn.IFS(AND(D1983&lt;1980,D1983&gt;=1970),"70",AND(D1983&lt;1990,D1983&gt;=1980),"80",AND(D1983&lt;2000,D1983&gt;=1990),"90",AND(D1983&lt;2010,D1983&gt;=2000),"00",AND(D1983&lt;=2019,D1983&gt;=2010),"10"),"1908-1970")</f>
        <v>1908-1970</v>
      </c>
      <c r="F1983" s="3">
        <v>0.2722222222222222</v>
      </c>
      <c r="G1983" t="s">
        <v>13660</v>
      </c>
      <c r="H1983" t="s">
        <v>6541</v>
      </c>
      <c r="I1983">
        <v>213</v>
      </c>
      <c r="J1983" t="s">
        <v>13661</v>
      </c>
      <c r="K1983" t="s">
        <v>6541</v>
      </c>
      <c r="L1983" s="7" t="s">
        <v>13662</v>
      </c>
      <c r="M1983">
        <v>146000929</v>
      </c>
      <c r="N1983">
        <v>32</v>
      </c>
      <c r="O1983">
        <v>27</v>
      </c>
      <c r="P1983">
        <v>5</v>
      </c>
      <c r="Q1983">
        <v>32</v>
      </c>
      <c r="R1983">
        <v>27</v>
      </c>
      <c r="S1983">
        <v>5</v>
      </c>
      <c r="T1983">
        <v>0</v>
      </c>
      <c r="U1983" t="s">
        <v>13663</v>
      </c>
      <c r="V1983">
        <f>Tabla1[[#This Row],[Aboard]]-Tabla1[[#This Row],[Fatalities]]</f>
        <v>0</v>
      </c>
      <c r="W1983" s="50">
        <f>IFERROR(Tabla1[[#This Row],[Fatalities]]/Tabla1[[#This Row],[Aboard]],0)</f>
        <v>1</v>
      </c>
      <c r="X1983" s="51" t="str" cm="1">
        <f t="array" ref="X1983">_xlfn.IFS(Tabla1[[#This Row],[Porcentaje de muertes]]&lt;0.35,"LEVE",AND(Tabla1[[#This Row],[Porcentaje de muertes]]&gt;0.35,Tabla1[[#This Row],[Porcentaje de muertes]]&lt;0.65),"MEDIO",Tabla1[[#This Row],[Porcentaje de muertes]]&gt;0.65,"GRAVE")</f>
        <v>GRAVE</v>
      </c>
    </row>
    <row r="1984" spans="2:24" x14ac:dyDescent="0.3">
      <c r="B1984" s="9">
        <v>1983</v>
      </c>
      <c r="C1984" s="49">
        <v>22910</v>
      </c>
      <c r="D1984" s="9">
        <f>YEAR(Tabla1[[#This Row],[Date]])</f>
        <v>1962</v>
      </c>
      <c r="E1984" s="9" t="str" cm="1">
        <f t="array" ref="E1984">IFERROR(_xlfn.IFS(AND(D1984&lt;1980,D1984&gt;=1970),"70",AND(D1984&lt;1990,D1984&gt;=1980),"80",AND(D1984&lt;2000,D1984&gt;=1990),"90",AND(D1984&lt;2010,D1984&gt;=2000),"00",AND(D1984&lt;=2019,D1984&gt;=2010),"10"),"1908-1970")</f>
        <v>1908-1970</v>
      </c>
      <c r="F1984" s="3" t="s">
        <v>28931</v>
      </c>
      <c r="G1984" t="s">
        <v>13664</v>
      </c>
      <c r="H1984" t="s">
        <v>10608</v>
      </c>
      <c r="I1984" t="s">
        <v>28931</v>
      </c>
      <c r="J1984" t="s">
        <v>28931</v>
      </c>
      <c r="K1984" t="s">
        <v>8105</v>
      </c>
      <c r="L1984" s="7" t="s">
        <v>13665</v>
      </c>
      <c r="M1984">
        <v>12142</v>
      </c>
      <c r="N1984">
        <v>8</v>
      </c>
      <c r="O1984">
        <v>5</v>
      </c>
      <c r="P1984">
        <v>3</v>
      </c>
      <c r="Q1984">
        <v>8</v>
      </c>
      <c r="R1984">
        <v>5</v>
      </c>
      <c r="S1984">
        <v>3</v>
      </c>
      <c r="T1984">
        <v>0</v>
      </c>
      <c r="U1984" t="s">
        <v>13666</v>
      </c>
      <c r="V1984">
        <f>Tabla1[[#This Row],[Aboard]]-Tabla1[[#This Row],[Fatalities]]</f>
        <v>0</v>
      </c>
      <c r="W1984" s="50">
        <f>IFERROR(Tabla1[[#This Row],[Fatalities]]/Tabla1[[#This Row],[Aboard]],0)</f>
        <v>1</v>
      </c>
      <c r="X1984" s="51" t="str" cm="1">
        <f t="array" ref="X1984">_xlfn.IFS(Tabla1[[#This Row],[Porcentaje de muertes]]&lt;0.35,"LEVE",AND(Tabla1[[#This Row],[Porcentaje de muertes]]&gt;0.35,Tabla1[[#This Row],[Porcentaje de muertes]]&lt;0.65),"MEDIO",Tabla1[[#This Row],[Porcentaje de muertes]]&gt;0.65,"GRAVE")</f>
        <v>GRAVE</v>
      </c>
    </row>
    <row r="1985" spans="2:24" x14ac:dyDescent="0.3">
      <c r="B1985" s="9">
        <v>1984</v>
      </c>
      <c r="C1985" s="49">
        <v>22912</v>
      </c>
      <c r="D1985" s="9">
        <f>YEAR(Tabla1[[#This Row],[Date]])</f>
        <v>1962</v>
      </c>
      <c r="E1985" s="9" t="str" cm="1">
        <f t="array" ref="E1985">IFERROR(_xlfn.IFS(AND(D1985&lt;1980,D1985&gt;=1970),"70",AND(D1985&lt;1990,D1985&gt;=1980),"80",AND(D1985&lt;2000,D1985&gt;=1990),"90",AND(D1985&lt;2010,D1985&gt;=2000),"00",AND(D1985&lt;=2019,D1985&gt;=2010),"10"),"1908-1970")</f>
        <v>1908-1970</v>
      </c>
      <c r="F1985" s="3">
        <v>0.875</v>
      </c>
      <c r="G1985" t="s">
        <v>5231</v>
      </c>
      <c r="H1985" t="s">
        <v>10878</v>
      </c>
      <c r="I1985">
        <v>923</v>
      </c>
      <c r="J1985" t="s">
        <v>13667</v>
      </c>
      <c r="K1985" t="s">
        <v>13668</v>
      </c>
      <c r="L1985" s="7" t="s">
        <v>13669</v>
      </c>
      <c r="M1985">
        <v>4827</v>
      </c>
      <c r="N1985">
        <v>76</v>
      </c>
      <c r="O1985">
        <v>68</v>
      </c>
      <c r="P1985">
        <v>8</v>
      </c>
      <c r="Q1985">
        <v>28</v>
      </c>
      <c r="R1985">
        <v>23</v>
      </c>
      <c r="S1985">
        <v>5</v>
      </c>
      <c r="T1985">
        <v>0</v>
      </c>
      <c r="U1985" t="s">
        <v>13670</v>
      </c>
      <c r="V1985">
        <f>Tabla1[[#This Row],[Aboard]]-Tabla1[[#This Row],[Fatalities]]</f>
        <v>48</v>
      </c>
      <c r="W1985" s="50">
        <f>IFERROR(Tabla1[[#This Row],[Fatalities]]/Tabla1[[#This Row],[Aboard]],0)</f>
        <v>0.36842105263157893</v>
      </c>
      <c r="X1985" s="51" t="str" cm="1">
        <f t="array" ref="X1985">_xlfn.IFS(Tabla1[[#This Row],[Porcentaje de muertes]]&lt;0.35,"LEVE",AND(Tabla1[[#This Row],[Porcentaje de muertes]]&gt;0.35,Tabla1[[#This Row],[Porcentaje de muertes]]&lt;0.65),"MEDIO",Tabla1[[#This Row],[Porcentaje de muertes]]&gt;0.65,"GRAVE")</f>
        <v>MEDIO</v>
      </c>
    </row>
    <row r="1986" spans="2:24" x14ac:dyDescent="0.3">
      <c r="B1986" s="9">
        <v>1985</v>
      </c>
      <c r="C1986" s="49">
        <v>22929</v>
      </c>
      <c r="D1986" s="9">
        <f>YEAR(Tabla1[[#This Row],[Date]])</f>
        <v>1962</v>
      </c>
      <c r="E1986" s="9" t="str" cm="1">
        <f t="array" ref="E1986">IFERROR(_xlfn.IFS(AND(D1986&lt;1980,D1986&gt;=1970),"70",AND(D1986&lt;1990,D1986&gt;=1980),"80",AND(D1986&lt;2000,D1986&gt;=1990),"90",AND(D1986&lt;2010,D1986&gt;=2000),"00",AND(D1986&lt;=2019,D1986&gt;=2010),"10"),"1908-1970")</f>
        <v>1908-1970</v>
      </c>
      <c r="F1986" s="3">
        <v>0.37291666666666662</v>
      </c>
      <c r="G1986" t="s">
        <v>13648</v>
      </c>
      <c r="H1986" t="s">
        <v>13671</v>
      </c>
      <c r="I1986">
        <v>306</v>
      </c>
      <c r="J1986" t="s">
        <v>13649</v>
      </c>
      <c r="K1986" t="s">
        <v>13171</v>
      </c>
      <c r="L1986" s="7" t="s">
        <v>13650</v>
      </c>
      <c r="M1986" t="s">
        <v>13672</v>
      </c>
      <c r="N1986">
        <v>42</v>
      </c>
      <c r="O1986">
        <v>38</v>
      </c>
      <c r="P1986">
        <v>4</v>
      </c>
      <c r="Q1986">
        <v>13</v>
      </c>
      <c r="R1986">
        <v>10</v>
      </c>
      <c r="S1986">
        <v>3</v>
      </c>
      <c r="T1986">
        <v>0</v>
      </c>
      <c r="U1986" t="s">
        <v>13673</v>
      </c>
      <c r="V1986">
        <f>Tabla1[[#This Row],[Aboard]]-Tabla1[[#This Row],[Fatalities]]</f>
        <v>29</v>
      </c>
      <c r="W1986" s="50">
        <f>IFERROR(Tabla1[[#This Row],[Fatalities]]/Tabla1[[#This Row],[Aboard]],0)</f>
        <v>0.30952380952380953</v>
      </c>
      <c r="X1986" s="51" t="str" cm="1">
        <f t="array" ref="X1986">_xlfn.IFS(Tabla1[[#This Row],[Porcentaje de muertes]]&lt;0.35,"LEVE",AND(Tabla1[[#This Row],[Porcentaje de muertes]]&gt;0.35,Tabla1[[#This Row],[Porcentaje de muertes]]&lt;0.65),"MEDIO",Tabla1[[#This Row],[Porcentaje de muertes]]&gt;0.65,"GRAVE")</f>
        <v>LEVE</v>
      </c>
    </row>
    <row r="1987" spans="2:24" x14ac:dyDescent="0.3">
      <c r="B1987" s="9">
        <v>1986</v>
      </c>
      <c r="C1987" s="49">
        <v>22929</v>
      </c>
      <c r="D1987" s="9">
        <f>YEAR(Tabla1[[#This Row],[Date]])</f>
        <v>1962</v>
      </c>
      <c r="E1987" s="9" t="str" cm="1">
        <f t="array" ref="E1987">IFERROR(_xlfn.IFS(AND(D1987&lt;1980,D1987&gt;=1970),"70",AND(D1987&lt;1990,D1987&gt;=1980),"80",AND(D1987&lt;2000,D1987&gt;=1990),"90",AND(D1987&lt;2010,D1987&gt;=2000),"00",AND(D1987&lt;=2019,D1987&gt;=2010),"10"),"1908-1970")</f>
        <v>1908-1970</v>
      </c>
      <c r="F1987" s="3">
        <v>0.77083333333333337</v>
      </c>
      <c r="G1987" t="s">
        <v>13674</v>
      </c>
      <c r="H1987" t="s">
        <v>7329</v>
      </c>
      <c r="I1987" t="s">
        <v>28931</v>
      </c>
      <c r="J1987" t="s">
        <v>13675</v>
      </c>
      <c r="K1987" t="s">
        <v>13676</v>
      </c>
      <c r="L1987" s="7" t="s">
        <v>13677</v>
      </c>
      <c r="M1987">
        <v>218</v>
      </c>
      <c r="N1987">
        <v>19</v>
      </c>
      <c r="O1987">
        <v>15</v>
      </c>
      <c r="P1987">
        <v>4</v>
      </c>
      <c r="Q1987">
        <v>2</v>
      </c>
      <c r="R1987">
        <v>1</v>
      </c>
      <c r="S1987">
        <v>1</v>
      </c>
      <c r="T1987">
        <v>0</v>
      </c>
      <c r="U1987" t="s">
        <v>13678</v>
      </c>
      <c r="V1987">
        <f>Tabla1[[#This Row],[Aboard]]-Tabla1[[#This Row],[Fatalities]]</f>
        <v>17</v>
      </c>
      <c r="W1987" s="50">
        <f>IFERROR(Tabla1[[#This Row],[Fatalities]]/Tabla1[[#This Row],[Aboard]],0)</f>
        <v>0.10526315789473684</v>
      </c>
      <c r="X1987" s="51" t="str" cm="1">
        <f t="array" ref="X1987">_xlfn.IFS(Tabla1[[#This Row],[Porcentaje de muertes]]&lt;0.35,"LEVE",AND(Tabla1[[#This Row],[Porcentaje de muertes]]&gt;0.35,Tabla1[[#This Row],[Porcentaje de muertes]]&lt;0.65),"MEDIO",Tabla1[[#This Row],[Porcentaje de muertes]]&gt;0.65,"GRAVE")</f>
        <v>LEVE</v>
      </c>
    </row>
    <row r="1988" spans="2:24" x14ac:dyDescent="0.3">
      <c r="B1988" s="9">
        <v>1987</v>
      </c>
      <c r="C1988" s="49">
        <v>22990</v>
      </c>
      <c r="D1988" s="9">
        <f>YEAR(Tabla1[[#This Row],[Date]])</f>
        <v>1962</v>
      </c>
      <c r="E1988" s="9" t="str" cm="1">
        <f t="array" ref="E1988">IFERROR(_xlfn.IFS(AND(D1988&lt;1980,D1988&gt;=1970),"70",AND(D1988&lt;1990,D1988&gt;=1980),"80",AND(D1988&lt;2000,D1988&gt;=1990),"90",AND(D1988&lt;2010,D1988&gt;=2000),"00",AND(D1988&lt;=2019,D1988&gt;=2010),"10"),"1908-1970")</f>
        <v>1908-1970</v>
      </c>
      <c r="F1988" s="3" t="s">
        <v>28931</v>
      </c>
      <c r="G1988" t="s">
        <v>13679</v>
      </c>
      <c r="H1988" t="s">
        <v>5570</v>
      </c>
      <c r="I1988" t="s">
        <v>28931</v>
      </c>
      <c r="J1988" t="s">
        <v>13680</v>
      </c>
      <c r="K1988" t="s">
        <v>13681</v>
      </c>
      <c r="L1988" s="7" t="s">
        <v>13682</v>
      </c>
      <c r="M1988">
        <v>443</v>
      </c>
      <c r="N1988">
        <v>18</v>
      </c>
      <c r="O1988">
        <v>14</v>
      </c>
      <c r="P1988">
        <v>4</v>
      </c>
      <c r="Q1988">
        <v>18</v>
      </c>
      <c r="R1988">
        <v>14</v>
      </c>
      <c r="S1988">
        <v>4</v>
      </c>
      <c r="T1988">
        <v>0</v>
      </c>
      <c r="U1988" t="s">
        <v>13683</v>
      </c>
      <c r="V1988">
        <f>Tabla1[[#This Row],[Aboard]]-Tabla1[[#This Row],[Fatalities]]</f>
        <v>0</v>
      </c>
      <c r="W1988" s="50">
        <f>IFERROR(Tabla1[[#This Row],[Fatalities]]/Tabla1[[#This Row],[Aboard]],0)</f>
        <v>1</v>
      </c>
      <c r="X1988" s="51" t="str" cm="1">
        <f t="array" ref="X1988">_xlfn.IFS(Tabla1[[#This Row],[Porcentaje de muertes]]&lt;0.35,"LEVE",AND(Tabla1[[#This Row],[Porcentaje de muertes]]&gt;0.35,Tabla1[[#This Row],[Porcentaje de muertes]]&lt;0.65),"MEDIO",Tabla1[[#This Row],[Porcentaje de muertes]]&gt;0.65,"GRAVE")</f>
        <v>GRAVE</v>
      </c>
    </row>
    <row r="1989" spans="2:24" x14ac:dyDescent="0.3">
      <c r="B1989" s="9">
        <v>1988</v>
      </c>
      <c r="C1989" s="49">
        <v>22990</v>
      </c>
      <c r="D1989" s="9">
        <f>YEAR(Tabla1[[#This Row],[Date]])</f>
        <v>1962</v>
      </c>
      <c r="E1989" s="9" t="str" cm="1">
        <f t="array" ref="E1989">IFERROR(_xlfn.IFS(AND(D1989&lt;1980,D1989&gt;=1970),"70",AND(D1989&lt;1990,D1989&gt;=1980),"80",AND(D1989&lt;2000,D1989&gt;=1990),"90",AND(D1989&lt;2010,D1989&gt;=2000),"00",AND(D1989&lt;=2019,D1989&gt;=2010),"10"),"1908-1970")</f>
        <v>1908-1970</v>
      </c>
      <c r="F1989" s="3" t="s">
        <v>28931</v>
      </c>
      <c r="G1989" t="s">
        <v>12372</v>
      </c>
      <c r="H1989" t="s">
        <v>8992</v>
      </c>
      <c r="I1989" t="s">
        <v>28931</v>
      </c>
      <c r="J1989" t="s">
        <v>6190</v>
      </c>
      <c r="K1989" t="s">
        <v>12968</v>
      </c>
      <c r="L1989" s="7" t="s">
        <v>13684</v>
      </c>
      <c r="M1989">
        <v>10191</v>
      </c>
      <c r="N1989">
        <v>3</v>
      </c>
      <c r="O1989">
        <v>0</v>
      </c>
      <c r="P1989">
        <v>3</v>
      </c>
      <c r="Q1989">
        <v>3</v>
      </c>
      <c r="R1989">
        <v>0</v>
      </c>
      <c r="S1989">
        <v>3</v>
      </c>
      <c r="T1989">
        <v>0</v>
      </c>
      <c r="U1989" t="s">
        <v>13685</v>
      </c>
      <c r="V1989">
        <f>Tabla1[[#This Row],[Aboard]]-Tabla1[[#This Row],[Fatalities]]</f>
        <v>0</v>
      </c>
      <c r="W1989" s="50">
        <f>IFERROR(Tabla1[[#This Row],[Fatalities]]/Tabla1[[#This Row],[Aboard]],0)</f>
        <v>1</v>
      </c>
      <c r="X1989" s="51" t="str" cm="1">
        <f t="array" ref="X1989">_xlfn.IFS(Tabla1[[#This Row],[Porcentaje de muertes]]&lt;0.35,"LEVE",AND(Tabla1[[#This Row],[Porcentaje de muertes]]&gt;0.35,Tabla1[[#This Row],[Porcentaje de muertes]]&lt;0.65),"MEDIO",Tabla1[[#This Row],[Porcentaje de muertes]]&gt;0.65,"GRAVE")</f>
        <v>GRAVE</v>
      </c>
    </row>
    <row r="1990" spans="2:24" x14ac:dyDescent="0.3">
      <c r="B1990" s="9">
        <v>1989</v>
      </c>
      <c r="C1990" s="49">
        <v>22938</v>
      </c>
      <c r="D1990" s="9">
        <f>YEAR(Tabla1[[#This Row],[Date]])</f>
        <v>1962</v>
      </c>
      <c r="E1990" s="9" t="str" cm="1">
        <f t="array" ref="E1990">IFERROR(_xlfn.IFS(AND(D1990&lt;1980,D1990&gt;=1970),"70",AND(D1990&lt;1990,D1990&gt;=1980),"80",AND(D1990&lt;2000,D1990&gt;=1990),"90",AND(D1990&lt;2010,D1990&gt;=2000),"00",AND(D1990&lt;=2019,D1990&gt;=2010),"10"),"1908-1970")</f>
        <v>1908-1970</v>
      </c>
      <c r="F1990" s="3">
        <v>0.86944444444444446</v>
      </c>
      <c r="G1990" t="s">
        <v>10925</v>
      </c>
      <c r="H1990" t="s">
        <v>12818</v>
      </c>
      <c r="I1990">
        <v>928</v>
      </c>
      <c r="J1990" t="s">
        <v>13686</v>
      </c>
      <c r="K1990" t="s">
        <v>13687</v>
      </c>
      <c r="L1990" s="7" t="s">
        <v>13688</v>
      </c>
      <c r="M1990">
        <v>125</v>
      </c>
      <c r="N1990">
        <v>52</v>
      </c>
      <c r="O1990">
        <v>48</v>
      </c>
      <c r="P1990">
        <v>4</v>
      </c>
      <c r="Q1990">
        <v>1</v>
      </c>
      <c r="R1990">
        <v>0</v>
      </c>
      <c r="S1990">
        <v>1</v>
      </c>
      <c r="T1990">
        <v>0</v>
      </c>
      <c r="U1990" t="s">
        <v>13689</v>
      </c>
      <c r="V1990">
        <f>Tabla1[[#This Row],[Aboard]]-Tabla1[[#This Row],[Fatalities]]</f>
        <v>51</v>
      </c>
      <c r="W1990" s="50">
        <f>IFERROR(Tabla1[[#This Row],[Fatalities]]/Tabla1[[#This Row],[Aboard]],0)</f>
        <v>1.9230769230769232E-2</v>
      </c>
      <c r="X1990" s="51" t="str" cm="1">
        <f t="array" ref="X1990">_xlfn.IFS(Tabla1[[#This Row],[Porcentaje de muertes]]&lt;0.35,"LEVE",AND(Tabla1[[#This Row],[Porcentaje de muertes]]&gt;0.35,Tabla1[[#This Row],[Porcentaje de muertes]]&lt;0.65),"MEDIO",Tabla1[[#This Row],[Porcentaje de muertes]]&gt;0.65,"GRAVE")</f>
        <v>LEVE</v>
      </c>
    </row>
    <row r="1991" spans="2:24" x14ac:dyDescent="0.3">
      <c r="B1991" s="9">
        <v>1990</v>
      </c>
      <c r="C1991" s="49">
        <v>22944</v>
      </c>
      <c r="D1991" s="9">
        <f>YEAR(Tabla1[[#This Row],[Date]])</f>
        <v>1962</v>
      </c>
      <c r="E1991" s="9" t="str" cm="1">
        <f t="array" ref="E1991">IFERROR(_xlfn.IFS(AND(D1991&lt;1980,D1991&gt;=1970),"70",AND(D1991&lt;1990,D1991&gt;=1980),"80",AND(D1991&lt;2000,D1991&gt;=1990),"90",AND(D1991&lt;2010,D1991&gt;=2000),"00",AND(D1991&lt;=2019,D1991&gt;=2010),"10"),"1908-1970")</f>
        <v>1908-1970</v>
      </c>
      <c r="F1991" s="3">
        <v>0.43958333333333338</v>
      </c>
      <c r="G1991" t="s">
        <v>6590</v>
      </c>
      <c r="H1991" t="s">
        <v>6541</v>
      </c>
      <c r="I1991" t="s">
        <v>28931</v>
      </c>
      <c r="J1991" t="s">
        <v>13690</v>
      </c>
      <c r="K1991" t="s">
        <v>13269</v>
      </c>
      <c r="L1991" s="7" t="s">
        <v>13691</v>
      </c>
      <c r="M1991">
        <v>21703</v>
      </c>
      <c r="N1991">
        <v>11</v>
      </c>
      <c r="O1991">
        <v>6</v>
      </c>
      <c r="P1991">
        <v>5</v>
      </c>
      <c r="Q1991">
        <v>11</v>
      </c>
      <c r="R1991">
        <v>6</v>
      </c>
      <c r="S1991">
        <v>5</v>
      </c>
      <c r="T1991">
        <v>0</v>
      </c>
      <c r="U1991" t="s">
        <v>13692</v>
      </c>
      <c r="V1991">
        <f>Tabla1[[#This Row],[Aboard]]-Tabla1[[#This Row],[Fatalities]]</f>
        <v>0</v>
      </c>
      <c r="W1991" s="50">
        <f>IFERROR(Tabla1[[#This Row],[Fatalities]]/Tabla1[[#This Row],[Aboard]],0)</f>
        <v>1</v>
      </c>
      <c r="X1991" s="51" t="str" cm="1">
        <f t="array" ref="X1991">_xlfn.IFS(Tabla1[[#This Row],[Porcentaje de muertes]]&lt;0.35,"LEVE",AND(Tabla1[[#This Row],[Porcentaje de muertes]]&gt;0.35,Tabla1[[#This Row],[Porcentaje de muertes]]&lt;0.65),"MEDIO",Tabla1[[#This Row],[Porcentaje de muertes]]&gt;0.65,"GRAVE")</f>
        <v>GRAVE</v>
      </c>
    </row>
    <row r="1992" spans="2:24" x14ac:dyDescent="0.3">
      <c r="B1992" s="9">
        <v>1991</v>
      </c>
      <c r="C1992" s="49">
        <v>22930</v>
      </c>
      <c r="D1992" s="9">
        <f>YEAR(Tabla1[[#This Row],[Date]])</f>
        <v>1962</v>
      </c>
      <c r="E1992" s="9" t="str" cm="1">
        <f t="array" ref="E1992">IFERROR(_xlfn.IFS(AND(D1992&lt;1980,D1992&gt;=1970),"70",AND(D1992&lt;1990,D1992&gt;=1980),"80",AND(D1992&lt;2000,D1992&gt;=1990),"90",AND(D1992&lt;2010,D1992&gt;=2000),"00",AND(D1992&lt;=2019,D1992&gt;=2010),"10"),"1908-1970")</f>
        <v>1908-1970</v>
      </c>
      <c r="F1992" s="3">
        <v>0.60902777777777783</v>
      </c>
      <c r="G1992" t="s">
        <v>13693</v>
      </c>
      <c r="H1992" t="s">
        <v>11339</v>
      </c>
      <c r="I1992" t="s">
        <v>28931</v>
      </c>
      <c r="J1992" t="s">
        <v>10937</v>
      </c>
      <c r="K1992" t="s">
        <v>7057</v>
      </c>
      <c r="L1992" s="7" t="s">
        <v>13694</v>
      </c>
      <c r="M1992" t="s">
        <v>13695</v>
      </c>
      <c r="N1992">
        <v>27</v>
      </c>
      <c r="O1992">
        <v>24</v>
      </c>
      <c r="P1992">
        <v>3</v>
      </c>
      <c r="Q1992">
        <v>27</v>
      </c>
      <c r="R1992">
        <v>24</v>
      </c>
      <c r="S1992">
        <v>3</v>
      </c>
      <c r="T1992">
        <v>0</v>
      </c>
      <c r="U1992" t="s">
        <v>13696</v>
      </c>
      <c r="V1992">
        <f>Tabla1[[#This Row],[Aboard]]-Tabla1[[#This Row],[Fatalities]]</f>
        <v>0</v>
      </c>
      <c r="W1992" s="50">
        <f>IFERROR(Tabla1[[#This Row],[Fatalities]]/Tabla1[[#This Row],[Aboard]],0)</f>
        <v>1</v>
      </c>
      <c r="X1992" s="51" t="str" cm="1">
        <f t="array" ref="X1992">_xlfn.IFS(Tabla1[[#This Row],[Porcentaje de muertes]]&lt;0.35,"LEVE",AND(Tabla1[[#This Row],[Porcentaje de muertes]]&gt;0.35,Tabla1[[#This Row],[Porcentaje de muertes]]&lt;0.65),"MEDIO",Tabla1[[#This Row],[Porcentaje de muertes]]&gt;0.65,"GRAVE")</f>
        <v>GRAVE</v>
      </c>
    </row>
    <row r="1993" spans="2:24" x14ac:dyDescent="0.3">
      <c r="B1993" s="9">
        <v>1992</v>
      </c>
      <c r="C1993" s="49">
        <v>22969</v>
      </c>
      <c r="D1993" s="9">
        <f>YEAR(Tabla1[[#This Row],[Date]])</f>
        <v>1962</v>
      </c>
      <c r="E1993" s="9" t="str" cm="1">
        <f t="array" ref="E1993">IFERROR(_xlfn.IFS(AND(D1993&lt;1980,D1993&gt;=1970),"70",AND(D1993&lt;1990,D1993&gt;=1980),"80",AND(D1993&lt;2000,D1993&gt;=1990),"90",AND(D1993&lt;2010,D1993&gt;=2000),"00",AND(D1993&lt;=2019,D1993&gt;=2010),"10"),"1908-1970")</f>
        <v>1908-1970</v>
      </c>
      <c r="F1993" s="3" t="s">
        <v>28931</v>
      </c>
      <c r="G1993" t="s">
        <v>13697</v>
      </c>
      <c r="H1993" t="s">
        <v>12415</v>
      </c>
      <c r="I1993" t="s">
        <v>28931</v>
      </c>
      <c r="J1993" t="s">
        <v>6190</v>
      </c>
      <c r="K1993" t="s">
        <v>13698</v>
      </c>
      <c r="L1993" s="7" t="s">
        <v>13699</v>
      </c>
      <c r="M1993">
        <v>444</v>
      </c>
      <c r="N1993">
        <v>4</v>
      </c>
      <c r="O1993">
        <v>0</v>
      </c>
      <c r="P1993">
        <v>4</v>
      </c>
      <c r="Q1993">
        <v>4</v>
      </c>
      <c r="R1993">
        <v>0</v>
      </c>
      <c r="S1993">
        <v>4</v>
      </c>
      <c r="T1993">
        <v>0</v>
      </c>
      <c r="U1993" t="s">
        <v>13700</v>
      </c>
      <c r="V1993">
        <f>Tabla1[[#This Row],[Aboard]]-Tabla1[[#This Row],[Fatalities]]</f>
        <v>0</v>
      </c>
      <c r="W1993" s="50">
        <f>IFERROR(Tabla1[[#This Row],[Fatalities]]/Tabla1[[#This Row],[Aboard]],0)</f>
        <v>1</v>
      </c>
      <c r="X1993" s="51" t="str" cm="1">
        <f t="array" ref="X1993">_xlfn.IFS(Tabla1[[#This Row],[Porcentaje de muertes]]&lt;0.35,"LEVE",AND(Tabla1[[#This Row],[Porcentaje de muertes]]&gt;0.35,Tabla1[[#This Row],[Porcentaje de muertes]]&lt;0.65),"MEDIO",Tabla1[[#This Row],[Porcentaje de muertes]]&gt;0.65,"GRAVE")</f>
        <v>GRAVE</v>
      </c>
    </row>
    <row r="1994" spans="2:24" x14ac:dyDescent="0.3">
      <c r="B1994" s="9">
        <v>1993</v>
      </c>
      <c r="C1994" s="49">
        <v>22973</v>
      </c>
      <c r="D1994" s="9">
        <f>YEAR(Tabla1[[#This Row],[Date]])</f>
        <v>1962</v>
      </c>
      <c r="E1994" s="9" t="str" cm="1">
        <f t="array" ref="E1994">IFERROR(_xlfn.IFS(AND(D1994&lt;1980,D1994&gt;=1970),"70",AND(D1994&lt;1990,D1994&gt;=1980),"80",AND(D1994&lt;2000,D1994&gt;=1990),"90",AND(D1994&lt;2010,D1994&gt;=2000),"00",AND(D1994&lt;=2019,D1994&gt;=2010),"10"),"1908-1970")</f>
        <v>1908-1970</v>
      </c>
      <c r="F1994" s="3" t="s">
        <v>28931</v>
      </c>
      <c r="G1994" t="s">
        <v>13701</v>
      </c>
      <c r="H1994" t="s">
        <v>10317</v>
      </c>
      <c r="I1994" t="s">
        <v>28931</v>
      </c>
      <c r="J1994" t="s">
        <v>28931</v>
      </c>
      <c r="K1994" t="s">
        <v>10065</v>
      </c>
      <c r="L1994" s="7">
        <v>7502</v>
      </c>
      <c r="M1994">
        <v>10773</v>
      </c>
      <c r="N1994">
        <v>37</v>
      </c>
      <c r="O1994" t="s">
        <v>5038</v>
      </c>
      <c r="P1994" t="s">
        <v>5038</v>
      </c>
      <c r="Q1994">
        <v>23</v>
      </c>
      <c r="R1994" t="s">
        <v>5038</v>
      </c>
      <c r="S1994" t="s">
        <v>5038</v>
      </c>
      <c r="T1994">
        <v>0</v>
      </c>
      <c r="U1994" t="s">
        <v>13702</v>
      </c>
      <c r="V1994">
        <f>Tabla1[[#This Row],[Aboard]]-Tabla1[[#This Row],[Fatalities]]</f>
        <v>14</v>
      </c>
      <c r="W1994" s="50">
        <f>IFERROR(Tabla1[[#This Row],[Fatalities]]/Tabla1[[#This Row],[Aboard]],0)</f>
        <v>0.6216216216216216</v>
      </c>
      <c r="X1994" s="51" t="str" cm="1">
        <f t="array" ref="X1994">_xlfn.IFS(Tabla1[[#This Row],[Porcentaje de muertes]]&lt;0.35,"LEVE",AND(Tabla1[[#This Row],[Porcentaje de muertes]]&gt;0.35,Tabla1[[#This Row],[Porcentaje de muertes]]&lt;0.65),"MEDIO",Tabla1[[#This Row],[Porcentaje de muertes]]&gt;0.65,"GRAVE")</f>
        <v>MEDIO</v>
      </c>
    </row>
    <row r="1995" spans="2:24" x14ac:dyDescent="0.3">
      <c r="B1995" s="9">
        <v>1994</v>
      </c>
      <c r="C1995" s="49">
        <v>22973</v>
      </c>
      <c r="D1995" s="9">
        <f>YEAR(Tabla1[[#This Row],[Date]])</f>
        <v>1962</v>
      </c>
      <c r="E1995" s="9" t="str" cm="1">
        <f t="array" ref="E1995">IFERROR(_xlfn.IFS(AND(D1995&lt;1980,D1995&gt;=1970),"70",AND(D1995&lt;1990,D1995&gt;=1980),"80",AND(D1995&lt;2000,D1995&gt;=1990),"90",AND(D1995&lt;2010,D1995&gt;=2000),"00",AND(D1995&lt;=2019,D1995&gt;=2010),"10"),"1908-1970")</f>
        <v>1908-1970</v>
      </c>
      <c r="F1995" s="3">
        <v>0.59027777777777779</v>
      </c>
      <c r="G1995" t="s">
        <v>8755</v>
      </c>
      <c r="H1995" t="s">
        <v>13288</v>
      </c>
      <c r="I1995">
        <v>355</v>
      </c>
      <c r="J1995" t="s">
        <v>13703</v>
      </c>
      <c r="K1995" t="s">
        <v>13704</v>
      </c>
      <c r="L1995" s="7" t="s">
        <v>13705</v>
      </c>
      <c r="M1995">
        <v>180002002</v>
      </c>
      <c r="N1995">
        <v>21</v>
      </c>
      <c r="O1995">
        <v>13</v>
      </c>
      <c r="P1995">
        <v>8</v>
      </c>
      <c r="Q1995">
        <v>21</v>
      </c>
      <c r="R1995">
        <v>13</v>
      </c>
      <c r="S1995">
        <v>8</v>
      </c>
      <c r="T1995">
        <v>0</v>
      </c>
      <c r="U1995" t="s">
        <v>13706</v>
      </c>
      <c r="V1995">
        <f>Tabla1[[#This Row],[Aboard]]-Tabla1[[#This Row],[Fatalities]]</f>
        <v>0</v>
      </c>
      <c r="W1995" s="50">
        <f>IFERROR(Tabla1[[#This Row],[Fatalities]]/Tabla1[[#This Row],[Aboard]],0)</f>
        <v>1</v>
      </c>
      <c r="X1995" s="51" t="str" cm="1">
        <f t="array" ref="X1995">_xlfn.IFS(Tabla1[[#This Row],[Porcentaje de muertes]]&lt;0.35,"LEVE",AND(Tabla1[[#This Row],[Porcentaje de muertes]]&gt;0.35,Tabla1[[#This Row],[Porcentaje de muertes]]&lt;0.65),"MEDIO",Tabla1[[#This Row],[Porcentaje de muertes]]&gt;0.65,"GRAVE")</f>
        <v>GRAVE</v>
      </c>
    </row>
    <row r="1996" spans="2:24" x14ac:dyDescent="0.3">
      <c r="B1996" s="9">
        <v>1995</v>
      </c>
      <c r="C1996" s="49">
        <v>22973</v>
      </c>
      <c r="D1996" s="9">
        <f>YEAR(Tabla1[[#This Row],[Date]])</f>
        <v>1962</v>
      </c>
      <c r="E1996" s="9" t="str" cm="1">
        <f t="array" ref="E1996">IFERROR(_xlfn.IFS(AND(D1996&lt;1980,D1996&gt;=1970),"70",AND(D1996&lt;1990,D1996&gt;=1980),"80",AND(D1996&lt;2000,D1996&gt;=1990),"90",AND(D1996&lt;2010,D1996&gt;=2000),"00",AND(D1996&lt;=2019,D1996&gt;=2010),"10"),"1908-1970")</f>
        <v>1908-1970</v>
      </c>
      <c r="F1996" s="3">
        <v>0.51666666666666672</v>
      </c>
      <c r="G1996" t="s">
        <v>13707</v>
      </c>
      <c r="H1996" t="s">
        <v>6369</v>
      </c>
      <c r="I1996">
        <v>297</v>
      </c>
      <c r="J1996" t="s">
        <v>13708</v>
      </c>
      <c r="K1996" t="s">
        <v>12322</v>
      </c>
      <c r="L1996" s="7" t="s">
        <v>13709</v>
      </c>
      <c r="M1996">
        <v>128</v>
      </c>
      <c r="N1996">
        <v>18</v>
      </c>
      <c r="O1996">
        <v>14</v>
      </c>
      <c r="P1996">
        <v>4</v>
      </c>
      <c r="Q1996">
        <v>18</v>
      </c>
      <c r="R1996">
        <v>14</v>
      </c>
      <c r="S1996">
        <v>4</v>
      </c>
      <c r="T1996">
        <v>0</v>
      </c>
      <c r="U1996" t="s">
        <v>13710</v>
      </c>
      <c r="V1996">
        <f>Tabla1[[#This Row],[Aboard]]-Tabla1[[#This Row],[Fatalities]]</f>
        <v>0</v>
      </c>
      <c r="W1996" s="50">
        <f>IFERROR(Tabla1[[#This Row],[Fatalities]]/Tabla1[[#This Row],[Aboard]],0)</f>
        <v>1</v>
      </c>
      <c r="X1996" s="51" t="str" cm="1">
        <f t="array" ref="X1996">_xlfn.IFS(Tabla1[[#This Row],[Porcentaje de muertes]]&lt;0.35,"LEVE",AND(Tabla1[[#This Row],[Porcentaje de muertes]]&gt;0.35,Tabla1[[#This Row],[Porcentaje de muertes]]&lt;0.65),"MEDIO",Tabla1[[#This Row],[Porcentaje de muertes]]&gt;0.65,"GRAVE")</f>
        <v>GRAVE</v>
      </c>
    </row>
    <row r="1997" spans="2:24" x14ac:dyDescent="0.3">
      <c r="B1997" s="9">
        <v>1996</v>
      </c>
      <c r="C1997" s="49">
        <v>22976</v>
      </c>
      <c r="D1997" s="9">
        <f>YEAR(Tabla1[[#This Row],[Date]])</f>
        <v>1962</v>
      </c>
      <c r="E1997" s="9" t="str" cm="1">
        <f t="array" ref="E1997">IFERROR(_xlfn.IFS(AND(D1997&lt;1980,D1997&gt;=1970),"70",AND(D1997&lt;1990,D1997&gt;=1980),"80",AND(D1997&lt;2000,D1997&gt;=1990),"90",AND(D1997&lt;2010,D1997&gt;=2000),"00",AND(D1997&lt;=2019,D1997&gt;=2010),"10"),"1908-1970")</f>
        <v>1908-1970</v>
      </c>
      <c r="F1997" s="3">
        <v>0.50624999999999998</v>
      </c>
      <c r="G1997" t="s">
        <v>13711</v>
      </c>
      <c r="H1997" t="s">
        <v>13712</v>
      </c>
      <c r="I1997" t="s">
        <v>28931</v>
      </c>
      <c r="J1997" t="s">
        <v>7996</v>
      </c>
      <c r="K1997" t="s">
        <v>13713</v>
      </c>
      <c r="L1997" s="7" t="s">
        <v>13714</v>
      </c>
      <c r="M1997">
        <v>107</v>
      </c>
      <c r="N1997">
        <v>26</v>
      </c>
      <c r="O1997">
        <v>21</v>
      </c>
      <c r="P1997">
        <v>5</v>
      </c>
      <c r="Q1997">
        <v>26</v>
      </c>
      <c r="R1997">
        <v>21</v>
      </c>
      <c r="S1997">
        <v>5</v>
      </c>
      <c r="T1997">
        <v>0</v>
      </c>
      <c r="U1997" t="s">
        <v>13715</v>
      </c>
      <c r="V1997">
        <f>Tabla1[[#This Row],[Aboard]]-Tabla1[[#This Row],[Fatalities]]</f>
        <v>0</v>
      </c>
      <c r="W1997" s="50">
        <f>IFERROR(Tabla1[[#This Row],[Fatalities]]/Tabla1[[#This Row],[Aboard]],0)</f>
        <v>1</v>
      </c>
      <c r="X1997" s="51" t="str" cm="1">
        <f t="array" ref="X1997">_xlfn.IFS(Tabla1[[#This Row],[Porcentaje de muertes]]&lt;0.35,"LEVE",AND(Tabla1[[#This Row],[Porcentaje de muertes]]&gt;0.35,Tabla1[[#This Row],[Porcentaje de muertes]]&lt;0.65),"MEDIO",Tabla1[[#This Row],[Porcentaje de muertes]]&gt;0.65,"GRAVE")</f>
        <v>GRAVE</v>
      </c>
    </row>
    <row r="1998" spans="2:24" x14ac:dyDescent="0.3">
      <c r="B1998" s="9">
        <v>1997</v>
      </c>
      <c r="C1998" s="49">
        <v>22977</v>
      </c>
      <c r="D1998" s="9">
        <f>YEAR(Tabla1[[#This Row],[Date]])</f>
        <v>1962</v>
      </c>
      <c r="E1998" s="9" t="str" cm="1">
        <f t="array" ref="E1998">IFERROR(_xlfn.IFS(AND(D1998&lt;1980,D1998&gt;=1970),"70",AND(D1998&lt;1990,D1998&gt;=1980),"80",AND(D1998&lt;2000,D1998&gt;=1990),"90",AND(D1998&lt;2010,D1998&gt;=2000),"00",AND(D1998&lt;=2019,D1998&gt;=2010),"10"),"1908-1970")</f>
        <v>1908-1970</v>
      </c>
      <c r="F1998" s="3">
        <v>0.15277777777777776</v>
      </c>
      <c r="G1998" t="s">
        <v>13716</v>
      </c>
      <c r="H1998" t="s">
        <v>8118</v>
      </c>
      <c r="I1998">
        <v>810</v>
      </c>
      <c r="J1998" t="s">
        <v>13717</v>
      </c>
      <c r="K1998" t="s">
        <v>13718</v>
      </c>
      <c r="L1998" s="7" t="s">
        <v>13719</v>
      </c>
      <c r="M1998" t="s">
        <v>13720</v>
      </c>
      <c r="N1998">
        <v>97</v>
      </c>
      <c r="O1998">
        <v>80</v>
      </c>
      <c r="P1998">
        <v>17</v>
      </c>
      <c r="Q1998">
        <v>97</v>
      </c>
      <c r="R1998">
        <v>80</v>
      </c>
      <c r="S1998">
        <v>17</v>
      </c>
      <c r="T1998">
        <v>0</v>
      </c>
      <c r="U1998" t="s">
        <v>13721</v>
      </c>
      <c r="V1998">
        <f>Tabla1[[#This Row],[Aboard]]-Tabla1[[#This Row],[Fatalities]]</f>
        <v>0</v>
      </c>
      <c r="W1998" s="50">
        <f>IFERROR(Tabla1[[#This Row],[Fatalities]]/Tabla1[[#This Row],[Aboard]],0)</f>
        <v>1</v>
      </c>
      <c r="X1998" s="51" t="str" cm="1">
        <f t="array" ref="X1998">_xlfn.IFS(Tabla1[[#This Row],[Porcentaje de muertes]]&lt;0.35,"LEVE",AND(Tabla1[[#This Row],[Porcentaje de muertes]]&gt;0.35,Tabla1[[#This Row],[Porcentaje de muertes]]&lt;0.65),"MEDIO",Tabla1[[#This Row],[Porcentaje de muertes]]&gt;0.65,"GRAVE")</f>
        <v>GRAVE</v>
      </c>
    </row>
    <row r="1999" spans="2:24" x14ac:dyDescent="0.3">
      <c r="B1999" s="9">
        <v>1998</v>
      </c>
      <c r="C1999" s="49">
        <v>22980</v>
      </c>
      <c r="D1999" s="9">
        <f>YEAR(Tabla1[[#This Row],[Date]])</f>
        <v>1962</v>
      </c>
      <c r="E1999" s="9" t="str" cm="1">
        <f t="array" ref="E1999">IFERROR(_xlfn.IFS(AND(D1999&lt;1980,D1999&gt;=1970),"70",AND(D1999&lt;1990,D1999&gt;=1980),"80",AND(D1999&lt;2000,D1999&gt;=1990),"90",AND(D1999&lt;2010,D1999&gt;=2000),"00",AND(D1999&lt;=2019,D1999&gt;=2010),"10"),"1908-1970")</f>
        <v>1908-1970</v>
      </c>
      <c r="F1999" s="3">
        <v>0.90625</v>
      </c>
      <c r="G1999" t="s">
        <v>5425</v>
      </c>
      <c r="H1999" t="s">
        <v>6941</v>
      </c>
      <c r="I1999">
        <v>512</v>
      </c>
      <c r="J1999" t="s">
        <v>13722</v>
      </c>
      <c r="K1999" t="s">
        <v>12808</v>
      </c>
      <c r="L1999" s="7" t="s">
        <v>13723</v>
      </c>
      <c r="M1999" t="s">
        <v>13724</v>
      </c>
      <c r="N1999">
        <v>51</v>
      </c>
      <c r="O1999">
        <v>45</v>
      </c>
      <c r="P1999">
        <v>6</v>
      </c>
      <c r="Q1999">
        <v>25</v>
      </c>
      <c r="R1999">
        <v>21</v>
      </c>
      <c r="S1999">
        <v>4</v>
      </c>
      <c r="T1999">
        <v>0</v>
      </c>
      <c r="U1999" t="s">
        <v>13725</v>
      </c>
      <c r="V1999">
        <f>Tabla1[[#This Row],[Aboard]]-Tabla1[[#This Row],[Fatalities]]</f>
        <v>26</v>
      </c>
      <c r="W1999" s="50">
        <f>IFERROR(Tabla1[[#This Row],[Fatalities]]/Tabla1[[#This Row],[Aboard]],0)</f>
        <v>0.49019607843137253</v>
      </c>
      <c r="X1999" s="51" t="str" cm="1">
        <f t="array" ref="X1999">_xlfn.IFS(Tabla1[[#This Row],[Porcentaje de muertes]]&lt;0.35,"LEVE",AND(Tabla1[[#This Row],[Porcentaje de muertes]]&gt;0.35,Tabla1[[#This Row],[Porcentaje de muertes]]&lt;0.65),"MEDIO",Tabla1[[#This Row],[Porcentaje de muertes]]&gt;0.65,"GRAVE")</f>
        <v>MEDIO</v>
      </c>
    </row>
    <row r="2000" spans="2:24" x14ac:dyDescent="0.3">
      <c r="B2000" s="9">
        <v>1999</v>
      </c>
      <c r="C2000" s="49">
        <v>22809</v>
      </c>
      <c r="D2000" s="9">
        <f>YEAR(Tabla1[[#This Row],[Date]])</f>
        <v>1962</v>
      </c>
      <c r="E2000" s="9" t="str" cm="1">
        <f t="array" ref="E2000">IFERROR(_xlfn.IFS(AND(D2000&lt;1980,D2000&gt;=1970),"70",AND(D2000&lt;1990,D2000&gt;=1980),"80",AND(D2000&lt;2000,D2000&gt;=1990),"90",AND(D2000&lt;2010,D2000&gt;=2000),"00",AND(D2000&lt;=2019,D2000&gt;=2010),"10"),"1908-1970")</f>
        <v>1908-1970</v>
      </c>
      <c r="F2000" s="3">
        <v>0.70833333333333337</v>
      </c>
      <c r="G2000" t="s">
        <v>13626</v>
      </c>
      <c r="H2000" t="s">
        <v>13627</v>
      </c>
      <c r="I2000">
        <v>209</v>
      </c>
      <c r="J2000" t="s">
        <v>13726</v>
      </c>
      <c r="K2000" t="s">
        <v>7826</v>
      </c>
      <c r="L2000" s="7" t="s">
        <v>13727</v>
      </c>
      <c r="M2000">
        <v>4697</v>
      </c>
      <c r="N2000">
        <v>26</v>
      </c>
      <c r="O2000">
        <v>23</v>
      </c>
      <c r="P2000">
        <v>3</v>
      </c>
      <c r="Q2000">
        <v>24</v>
      </c>
      <c r="R2000">
        <v>21</v>
      </c>
      <c r="S2000">
        <v>3</v>
      </c>
      <c r="T2000">
        <v>0</v>
      </c>
      <c r="U2000" t="s">
        <v>13728</v>
      </c>
      <c r="V2000">
        <f>Tabla1[[#This Row],[Aboard]]-Tabla1[[#This Row],[Fatalities]]</f>
        <v>2</v>
      </c>
      <c r="W2000" s="50">
        <f>IFERROR(Tabla1[[#This Row],[Fatalities]]/Tabla1[[#This Row],[Aboard]],0)</f>
        <v>0.92307692307692313</v>
      </c>
      <c r="X2000" s="51" t="str" cm="1">
        <f t="array" ref="X2000">_xlfn.IFS(Tabla1[[#This Row],[Porcentaje de muertes]]&lt;0.35,"LEVE",AND(Tabla1[[#This Row],[Porcentaje de muertes]]&gt;0.35,Tabla1[[#This Row],[Porcentaje de muertes]]&lt;0.65),"MEDIO",Tabla1[[#This Row],[Porcentaje de muertes]]&gt;0.65,"GRAVE")</f>
        <v>GRAVE</v>
      </c>
    </row>
    <row r="2001" spans="2:24" x14ac:dyDescent="0.3">
      <c r="B2001" s="9">
        <v>2000</v>
      </c>
      <c r="C2001" s="49">
        <v>22994</v>
      </c>
      <c r="D2001" s="9">
        <f>YEAR(Tabla1[[#This Row],[Date]])</f>
        <v>1962</v>
      </c>
      <c r="E2001" s="9" t="str" cm="1">
        <f t="array" ref="E2001">IFERROR(_xlfn.IFS(AND(D2001&lt;1980,D2001&gt;=1970),"70",AND(D2001&lt;1990,D2001&gt;=1980),"80",AND(D2001&lt;2000,D2001&gt;=1990),"90",AND(D2001&lt;2010,D2001&gt;=2000),"00",AND(D2001&lt;=2019,D2001&gt;=2010),"10"),"1908-1970")</f>
        <v>1908-1970</v>
      </c>
      <c r="F2001" s="3">
        <v>9.6527777777777768E-2</v>
      </c>
      <c r="G2001" t="s">
        <v>10735</v>
      </c>
      <c r="H2001" t="s">
        <v>7669</v>
      </c>
      <c r="I2001" t="s">
        <v>28931</v>
      </c>
      <c r="J2001" t="s">
        <v>13729</v>
      </c>
      <c r="K2001" t="s">
        <v>9141</v>
      </c>
      <c r="L2001" s="7" t="s">
        <v>13730</v>
      </c>
      <c r="M2001">
        <v>2047</v>
      </c>
      <c r="N2001">
        <v>50</v>
      </c>
      <c r="O2001">
        <v>43</v>
      </c>
      <c r="P2001">
        <v>7</v>
      </c>
      <c r="Q2001">
        <v>50</v>
      </c>
      <c r="R2001">
        <v>43</v>
      </c>
      <c r="S2001">
        <v>7</v>
      </c>
      <c r="T2001">
        <v>0</v>
      </c>
      <c r="U2001" t="s">
        <v>13731</v>
      </c>
      <c r="V2001">
        <f>Tabla1[[#This Row],[Aboard]]-Tabla1[[#This Row],[Fatalities]]</f>
        <v>0</v>
      </c>
      <c r="W2001" s="50">
        <f>IFERROR(Tabla1[[#This Row],[Fatalities]]/Tabla1[[#This Row],[Aboard]],0)</f>
        <v>1</v>
      </c>
      <c r="X2001" s="51" t="str" cm="1">
        <f t="array" ref="X2001">_xlfn.IFS(Tabla1[[#This Row],[Porcentaje de muertes]]&lt;0.35,"LEVE",AND(Tabla1[[#This Row],[Porcentaje de muertes]]&gt;0.35,Tabla1[[#This Row],[Porcentaje de muertes]]&lt;0.65),"MEDIO",Tabla1[[#This Row],[Porcentaje de muertes]]&gt;0.65,"GRAVE")</f>
        <v>GRAVE</v>
      </c>
    </row>
    <row r="2002" spans="2:24" x14ac:dyDescent="0.3">
      <c r="B2002" s="9">
        <v>2001</v>
      </c>
      <c r="C2002" s="49">
        <v>22994</v>
      </c>
      <c r="D2002" s="9">
        <f>YEAR(Tabla1[[#This Row],[Date]])</f>
        <v>1962</v>
      </c>
      <c r="E2002" s="9" t="str" cm="1">
        <f t="array" ref="E2002">IFERROR(_xlfn.IFS(AND(D2002&lt;1980,D2002&gt;=1970),"70",AND(D2002&lt;1990,D2002&gt;=1980),"80",AND(D2002&lt;2000,D2002&gt;=1990),"90",AND(D2002&lt;2010,D2002&gt;=2000),"00",AND(D2002&lt;=2019,D2002&gt;=2010),"10"),"1908-1970")</f>
        <v>1908-1970</v>
      </c>
      <c r="F2002" s="3">
        <v>0.92499999999999993</v>
      </c>
      <c r="G2002" t="s">
        <v>6053</v>
      </c>
      <c r="H2002" t="s">
        <v>10878</v>
      </c>
      <c r="I2002">
        <v>183</v>
      </c>
      <c r="J2002" t="s">
        <v>13732</v>
      </c>
      <c r="K2002" t="s">
        <v>12422</v>
      </c>
      <c r="L2002" s="7" t="s">
        <v>13733</v>
      </c>
      <c r="M2002">
        <v>4810</v>
      </c>
      <c r="N2002">
        <v>5</v>
      </c>
      <c r="O2002">
        <v>3</v>
      </c>
      <c r="P2002">
        <v>2</v>
      </c>
      <c r="Q2002">
        <v>5</v>
      </c>
      <c r="R2002">
        <v>3</v>
      </c>
      <c r="S2002">
        <v>2</v>
      </c>
      <c r="T2002">
        <v>3</v>
      </c>
      <c r="U2002" t="s">
        <v>13734</v>
      </c>
      <c r="V2002">
        <f>Tabla1[[#This Row],[Aboard]]-Tabla1[[#This Row],[Fatalities]]</f>
        <v>0</v>
      </c>
      <c r="W2002" s="50">
        <f>IFERROR(Tabla1[[#This Row],[Fatalities]]/Tabla1[[#This Row],[Aboard]],0)</f>
        <v>1</v>
      </c>
      <c r="X2002" s="51" t="str" cm="1">
        <f t="array" ref="X2002">_xlfn.IFS(Tabla1[[#This Row],[Porcentaje de muertes]]&lt;0.35,"LEVE",AND(Tabla1[[#This Row],[Porcentaje de muertes]]&gt;0.35,Tabla1[[#This Row],[Porcentaje de muertes]]&lt;0.65),"MEDIO",Tabla1[[#This Row],[Porcentaje de muertes]]&gt;0.65,"GRAVE")</f>
        <v>GRAVE</v>
      </c>
    </row>
    <row r="2003" spans="2:24" x14ac:dyDescent="0.3">
      <c r="B2003" s="9">
        <v>2002</v>
      </c>
      <c r="C2003" s="49">
        <v>22999</v>
      </c>
      <c r="D2003" s="9">
        <f>YEAR(Tabla1[[#This Row],[Date]])</f>
        <v>1962</v>
      </c>
      <c r="E2003" s="9" t="str" cm="1">
        <f t="array" ref="E2003">IFERROR(_xlfn.IFS(AND(D2003&lt;1980,D2003&gt;=1970),"70",AND(D2003&lt;1990,D2003&gt;=1980),"80",AND(D2003&lt;2000,D2003&gt;=1990),"90",AND(D2003&lt;2010,D2003&gt;=2000),"00",AND(D2003&lt;=2019,D2003&gt;=2010),"10"),"1908-1970")</f>
        <v>1908-1970</v>
      </c>
      <c r="F2003" s="3">
        <v>0.8125</v>
      </c>
      <c r="G2003" t="s">
        <v>7069</v>
      </c>
      <c r="H2003" t="s">
        <v>7237</v>
      </c>
      <c r="I2003" t="s">
        <v>28931</v>
      </c>
      <c r="J2003" t="s">
        <v>13735</v>
      </c>
      <c r="K2003" t="s">
        <v>13736</v>
      </c>
      <c r="L2003" s="7" t="s">
        <v>13737</v>
      </c>
      <c r="M2003">
        <v>395</v>
      </c>
      <c r="N2003">
        <v>33</v>
      </c>
      <c r="O2003">
        <v>28</v>
      </c>
      <c r="P2003">
        <v>5</v>
      </c>
      <c r="Q2003">
        <v>33</v>
      </c>
      <c r="R2003">
        <v>28</v>
      </c>
      <c r="S2003">
        <v>5</v>
      </c>
      <c r="T2003">
        <v>0</v>
      </c>
      <c r="U2003" t="s">
        <v>13738</v>
      </c>
      <c r="V2003">
        <f>Tabla1[[#This Row],[Aboard]]-Tabla1[[#This Row],[Fatalities]]</f>
        <v>0</v>
      </c>
      <c r="W2003" s="50">
        <f>IFERROR(Tabla1[[#This Row],[Fatalities]]/Tabla1[[#This Row],[Aboard]],0)</f>
        <v>1</v>
      </c>
      <c r="X2003" s="51" t="str" cm="1">
        <f t="array" ref="X2003">_xlfn.IFS(Tabla1[[#This Row],[Porcentaje de muertes]]&lt;0.35,"LEVE",AND(Tabla1[[#This Row],[Porcentaje de muertes]]&gt;0.35,Tabla1[[#This Row],[Porcentaje de muertes]]&lt;0.65),"MEDIO",Tabla1[[#This Row],[Porcentaje de muertes]]&gt;0.65,"GRAVE")</f>
        <v>GRAVE</v>
      </c>
    </row>
    <row r="2004" spans="2:24" x14ac:dyDescent="0.3">
      <c r="B2004" s="9">
        <v>2003</v>
      </c>
      <c r="C2004" s="49">
        <v>23000</v>
      </c>
      <c r="D2004" s="9">
        <f>YEAR(Tabla1[[#This Row],[Date]])</f>
        <v>1962</v>
      </c>
      <c r="E2004" s="9" t="str" cm="1">
        <f t="array" ref="E2004">IFERROR(_xlfn.IFS(AND(D2004&lt;1980,D2004&gt;=1970),"70",AND(D2004&lt;1990,D2004&gt;=1980),"80",AND(D2004&lt;2000,D2004&gt;=1990),"90",AND(D2004&lt;2010,D2004&gt;=2000),"00",AND(D2004&lt;=2019,D2004&gt;=2010),"10"),"1908-1970")</f>
        <v>1908-1970</v>
      </c>
      <c r="F2004" s="3" t="s">
        <v>28931</v>
      </c>
      <c r="G2004" t="s">
        <v>13739</v>
      </c>
      <c r="H2004" t="s">
        <v>7987</v>
      </c>
      <c r="I2004" t="s">
        <v>28931</v>
      </c>
      <c r="J2004" t="s">
        <v>28931</v>
      </c>
      <c r="K2004" t="s">
        <v>13740</v>
      </c>
      <c r="L2004" s="7" t="s">
        <v>28931</v>
      </c>
      <c r="M2004" t="s">
        <v>28931</v>
      </c>
      <c r="N2004">
        <v>12</v>
      </c>
      <c r="O2004" t="s">
        <v>5038</v>
      </c>
      <c r="P2004" t="s">
        <v>5038</v>
      </c>
      <c r="Q2004">
        <v>12</v>
      </c>
      <c r="R2004" t="s">
        <v>5038</v>
      </c>
      <c r="S2004" t="s">
        <v>5038</v>
      </c>
      <c r="T2004">
        <v>0</v>
      </c>
      <c r="U2004" t="s">
        <v>13741</v>
      </c>
      <c r="V2004">
        <f>Tabla1[[#This Row],[Aboard]]-Tabla1[[#This Row],[Fatalities]]</f>
        <v>0</v>
      </c>
      <c r="W2004" s="50">
        <f>IFERROR(Tabla1[[#This Row],[Fatalities]]/Tabla1[[#This Row],[Aboard]],0)</f>
        <v>1</v>
      </c>
      <c r="X2004" s="51" t="str" cm="1">
        <f t="array" ref="X2004">_xlfn.IFS(Tabla1[[#This Row],[Porcentaje de muertes]]&lt;0.35,"LEVE",AND(Tabla1[[#This Row],[Porcentaje de muertes]]&gt;0.35,Tabla1[[#This Row],[Porcentaje de muertes]]&lt;0.65),"MEDIO",Tabla1[[#This Row],[Porcentaje de muertes]]&gt;0.65,"GRAVE")</f>
        <v>GRAVE</v>
      </c>
    </row>
    <row r="2005" spans="2:24" x14ac:dyDescent="0.3">
      <c r="B2005" s="9">
        <v>2004</v>
      </c>
      <c r="C2005" s="49">
        <v>23002</v>
      </c>
      <c r="D2005" s="9">
        <f>YEAR(Tabla1[[#This Row],[Date]])</f>
        <v>1962</v>
      </c>
      <c r="E2005" s="9" t="str" cm="1">
        <f t="array" ref="E2005">IFERROR(_xlfn.IFS(AND(D2005&lt;1980,D2005&gt;=1970),"70",AND(D2005&lt;1990,D2005&gt;=1980),"80",AND(D2005&lt;2000,D2005&gt;=1990),"90",AND(D2005&lt;2010,D2005&gt;=2000),"00",AND(D2005&lt;=2019,D2005&gt;=2010),"10"),"1908-1970")</f>
        <v>1908-1970</v>
      </c>
      <c r="F2005" s="3">
        <v>4.1666666666666664E-2</v>
      </c>
      <c r="G2005" t="s">
        <v>13742</v>
      </c>
      <c r="H2005" t="s">
        <v>8118</v>
      </c>
      <c r="I2005" t="s">
        <v>28931</v>
      </c>
      <c r="J2005" t="s">
        <v>13743</v>
      </c>
      <c r="K2005" t="s">
        <v>12427</v>
      </c>
      <c r="L2005" s="7" t="s">
        <v>13744</v>
      </c>
      <c r="M2005">
        <v>103</v>
      </c>
      <c r="N2005">
        <v>40</v>
      </c>
      <c r="O2005">
        <v>35</v>
      </c>
      <c r="P2005">
        <v>5</v>
      </c>
      <c r="Q2005">
        <v>1</v>
      </c>
      <c r="R2005">
        <v>0</v>
      </c>
      <c r="S2005">
        <v>1</v>
      </c>
      <c r="T2005">
        <v>0</v>
      </c>
      <c r="U2005" t="s">
        <v>13745</v>
      </c>
      <c r="V2005">
        <f>Tabla1[[#This Row],[Aboard]]-Tabla1[[#This Row],[Fatalities]]</f>
        <v>39</v>
      </c>
      <c r="W2005" s="50">
        <f>IFERROR(Tabla1[[#This Row],[Fatalities]]/Tabla1[[#This Row],[Aboard]],0)</f>
        <v>2.5000000000000001E-2</v>
      </c>
      <c r="X2005" s="51" t="str" cm="1">
        <f t="array" ref="X2005">_xlfn.IFS(Tabla1[[#This Row],[Porcentaje de muertes]]&lt;0.35,"LEVE",AND(Tabla1[[#This Row],[Porcentaje de muertes]]&gt;0.35,Tabla1[[#This Row],[Porcentaje de muertes]]&lt;0.65),"MEDIO",Tabla1[[#This Row],[Porcentaje de muertes]]&gt;0.65,"GRAVE")</f>
        <v>LEVE</v>
      </c>
    </row>
    <row r="2006" spans="2:24" x14ac:dyDescent="0.3">
      <c r="B2006" s="9">
        <v>2005</v>
      </c>
      <c r="C2006" s="49">
        <v>23008</v>
      </c>
      <c r="D2006" s="9">
        <f>YEAR(Tabla1[[#This Row],[Date]])</f>
        <v>1962</v>
      </c>
      <c r="E2006" s="9" t="str" cm="1">
        <f t="array" ref="E2006">IFERROR(_xlfn.IFS(AND(D2006&lt;1980,D2006&gt;=1970),"70",AND(D2006&lt;1990,D2006&gt;=1980),"80",AND(D2006&lt;2000,D2006&gt;=1990),"90",AND(D2006&lt;2010,D2006&gt;=2000),"00",AND(D2006&lt;=2019,D2006&gt;=2010),"10"),"1908-1970")</f>
        <v>1908-1970</v>
      </c>
      <c r="F2006" s="3">
        <v>0.4548611111111111</v>
      </c>
      <c r="G2006" t="s">
        <v>13746</v>
      </c>
      <c r="H2006" t="s">
        <v>13747</v>
      </c>
      <c r="I2006" t="s">
        <v>28931</v>
      </c>
      <c r="J2006" t="s">
        <v>13748</v>
      </c>
      <c r="K2006" t="s">
        <v>13749</v>
      </c>
      <c r="L2006" s="7" t="s">
        <v>13750</v>
      </c>
      <c r="M2006">
        <v>18339</v>
      </c>
      <c r="N2006">
        <v>18</v>
      </c>
      <c r="O2006">
        <v>14</v>
      </c>
      <c r="P2006">
        <v>4</v>
      </c>
      <c r="Q2006">
        <v>1</v>
      </c>
      <c r="R2006">
        <v>0</v>
      </c>
      <c r="S2006">
        <v>1</v>
      </c>
      <c r="T2006">
        <v>0</v>
      </c>
      <c r="U2006" t="s">
        <v>13751</v>
      </c>
      <c r="V2006">
        <f>Tabla1[[#This Row],[Aboard]]-Tabla1[[#This Row],[Fatalities]]</f>
        <v>17</v>
      </c>
      <c r="W2006" s="50">
        <f>IFERROR(Tabla1[[#This Row],[Fatalities]]/Tabla1[[#This Row],[Aboard]],0)</f>
        <v>5.5555555555555552E-2</v>
      </c>
      <c r="X2006" s="51" t="str" cm="1">
        <f t="array" ref="X2006">_xlfn.IFS(Tabla1[[#This Row],[Porcentaje de muertes]]&lt;0.35,"LEVE",AND(Tabla1[[#This Row],[Porcentaje de muertes]]&gt;0.35,Tabla1[[#This Row],[Porcentaje de muertes]]&lt;0.65),"MEDIO",Tabla1[[#This Row],[Porcentaje de muertes]]&gt;0.65,"GRAVE")</f>
        <v>LEVE</v>
      </c>
    </row>
    <row r="2007" spans="2:24" x14ac:dyDescent="0.3">
      <c r="B2007" s="9">
        <v>2006</v>
      </c>
      <c r="C2007" s="49">
        <v>23009</v>
      </c>
      <c r="D2007" s="9">
        <f>YEAR(Tabla1[[#This Row],[Date]])</f>
        <v>1962</v>
      </c>
      <c r="E2007" s="9" t="str" cm="1">
        <f t="array" ref="E2007">IFERROR(_xlfn.IFS(AND(D2007&lt;1980,D2007&gt;=1970),"70",AND(D2007&lt;1990,D2007&gt;=1980),"80",AND(D2007&lt;2000,D2007&gt;=1990),"90",AND(D2007&lt;2010,D2007&gt;=2000),"00",AND(D2007&lt;=2019,D2007&gt;=2010),"10"),"1908-1970")</f>
        <v>1908-1970</v>
      </c>
      <c r="F2007" s="3">
        <v>4.9305555555555554E-2</v>
      </c>
      <c r="G2007" t="s">
        <v>13752</v>
      </c>
      <c r="H2007" t="s">
        <v>13753</v>
      </c>
      <c r="I2007" t="s">
        <v>28931</v>
      </c>
      <c r="J2007" t="s">
        <v>13754</v>
      </c>
      <c r="K2007" t="s">
        <v>13755</v>
      </c>
      <c r="L2007" s="7" t="s">
        <v>13756</v>
      </c>
      <c r="M2007">
        <v>2001</v>
      </c>
      <c r="N2007">
        <v>25</v>
      </c>
      <c r="O2007">
        <v>22</v>
      </c>
      <c r="P2007">
        <v>3</v>
      </c>
      <c r="Q2007">
        <v>25</v>
      </c>
      <c r="R2007">
        <v>22</v>
      </c>
      <c r="S2007">
        <v>3</v>
      </c>
      <c r="T2007">
        <v>0</v>
      </c>
      <c r="U2007" t="s">
        <v>13757</v>
      </c>
      <c r="V2007">
        <f>Tabla1[[#This Row],[Aboard]]-Tabla1[[#This Row],[Fatalities]]</f>
        <v>0</v>
      </c>
      <c r="W2007" s="50">
        <f>IFERROR(Tabla1[[#This Row],[Fatalities]]/Tabla1[[#This Row],[Aboard]],0)</f>
        <v>1</v>
      </c>
      <c r="X2007" s="51" t="str" cm="1">
        <f t="array" ref="X2007">_xlfn.IFS(Tabla1[[#This Row],[Porcentaje de muertes]]&lt;0.35,"LEVE",AND(Tabla1[[#This Row],[Porcentaje de muertes]]&gt;0.35,Tabla1[[#This Row],[Porcentaje de muertes]]&lt;0.65),"MEDIO",Tabla1[[#This Row],[Porcentaje de muertes]]&gt;0.65,"GRAVE")</f>
        <v>GRAVE</v>
      </c>
    </row>
    <row r="2008" spans="2:24" x14ac:dyDescent="0.3">
      <c r="B2008" s="9">
        <v>2007</v>
      </c>
      <c r="C2008" s="49">
        <v>23025</v>
      </c>
      <c r="D2008" s="9">
        <f>YEAR(Tabla1[[#This Row],[Date]])</f>
        <v>1963</v>
      </c>
      <c r="E2008" s="9" t="str" cm="1">
        <f t="array" ref="E2008">IFERROR(_xlfn.IFS(AND(D2008&lt;1980,D2008&gt;=1970),"70",AND(D2008&lt;1990,D2008&gt;=1980),"80",AND(D2008&lt;2000,D2008&gt;=1990),"90",AND(D2008&lt;2010,D2008&gt;=2000),"00",AND(D2008&lt;=2019,D2008&gt;=2010),"10"),"1908-1970")</f>
        <v>1908-1970</v>
      </c>
      <c r="F2008" s="3">
        <v>0.36180555555555555</v>
      </c>
      <c r="G2008" t="s">
        <v>13758</v>
      </c>
      <c r="H2008" t="s">
        <v>6541</v>
      </c>
      <c r="I2008" t="s">
        <v>28931</v>
      </c>
      <c r="J2008" t="s">
        <v>13759</v>
      </c>
      <c r="K2008" t="s">
        <v>8258</v>
      </c>
      <c r="L2008" s="7" t="s">
        <v>13760</v>
      </c>
      <c r="M2008" t="s">
        <v>13761</v>
      </c>
      <c r="N2008">
        <v>25</v>
      </c>
      <c r="O2008">
        <v>21</v>
      </c>
      <c r="P2008">
        <v>4</v>
      </c>
      <c r="Q2008">
        <v>12</v>
      </c>
      <c r="R2008">
        <v>8</v>
      </c>
      <c r="S2008">
        <v>4</v>
      </c>
      <c r="T2008">
        <v>0</v>
      </c>
      <c r="U2008" t="s">
        <v>13762</v>
      </c>
      <c r="V2008">
        <f>Tabla1[[#This Row],[Aboard]]-Tabla1[[#This Row],[Fatalities]]</f>
        <v>13</v>
      </c>
      <c r="W2008" s="50">
        <f>IFERROR(Tabla1[[#This Row],[Fatalities]]/Tabla1[[#This Row],[Aboard]],0)</f>
        <v>0.48</v>
      </c>
      <c r="X2008" s="51" t="str" cm="1">
        <f t="array" ref="X2008">_xlfn.IFS(Tabla1[[#This Row],[Porcentaje de muertes]]&lt;0.35,"LEVE",AND(Tabla1[[#This Row],[Porcentaje de muertes]]&gt;0.35,Tabla1[[#This Row],[Porcentaje de muertes]]&lt;0.65),"MEDIO",Tabla1[[#This Row],[Porcentaje de muertes]]&gt;0.65,"GRAVE")</f>
        <v>MEDIO</v>
      </c>
    </row>
    <row r="2009" spans="2:24" x14ac:dyDescent="0.3">
      <c r="B2009" s="9">
        <v>2008</v>
      </c>
      <c r="C2009" s="49">
        <v>23026</v>
      </c>
      <c r="D2009" s="9">
        <f>YEAR(Tabla1[[#This Row],[Date]])</f>
        <v>1963</v>
      </c>
      <c r="E2009" s="9" t="str" cm="1">
        <f t="array" ref="E2009">IFERROR(_xlfn.IFS(AND(D2009&lt;1980,D2009&gt;=1970),"70",AND(D2009&lt;1990,D2009&gt;=1980),"80",AND(D2009&lt;2000,D2009&gt;=1990),"90",AND(D2009&lt;2010,D2009&gt;=2000),"00",AND(D2009&lt;=2019,D2009&gt;=2010),"10"),"1908-1970")</f>
        <v>1908-1970</v>
      </c>
      <c r="F2009" s="3">
        <v>0.67499999999999993</v>
      </c>
      <c r="G2009" t="s">
        <v>7197</v>
      </c>
      <c r="H2009" t="s">
        <v>9425</v>
      </c>
      <c r="I2009">
        <v>403</v>
      </c>
      <c r="J2009" t="s">
        <v>13763</v>
      </c>
      <c r="K2009" t="s">
        <v>10625</v>
      </c>
      <c r="L2009" s="7" t="s">
        <v>13764</v>
      </c>
      <c r="M2009">
        <v>6</v>
      </c>
      <c r="N2009">
        <v>45</v>
      </c>
      <c r="O2009">
        <v>40</v>
      </c>
      <c r="P2009">
        <v>5</v>
      </c>
      <c r="Q2009">
        <v>6</v>
      </c>
      <c r="R2009">
        <v>5</v>
      </c>
      <c r="S2009">
        <v>1</v>
      </c>
      <c r="T2009">
        <v>7</v>
      </c>
      <c r="U2009" t="s">
        <v>13765</v>
      </c>
      <c r="V2009">
        <f>Tabla1[[#This Row],[Aboard]]-Tabla1[[#This Row],[Fatalities]]</f>
        <v>39</v>
      </c>
      <c r="W2009" s="50">
        <f>IFERROR(Tabla1[[#This Row],[Fatalities]]/Tabla1[[#This Row],[Aboard]],0)</f>
        <v>0.13333333333333333</v>
      </c>
      <c r="X2009" s="51" t="str" cm="1">
        <f t="array" ref="X2009">_xlfn.IFS(Tabla1[[#This Row],[Porcentaje de muertes]]&lt;0.35,"LEVE",AND(Tabla1[[#This Row],[Porcentaje de muertes]]&gt;0.35,Tabla1[[#This Row],[Porcentaje de muertes]]&lt;0.65),"MEDIO",Tabla1[[#This Row],[Porcentaje de muertes]]&gt;0.65,"GRAVE")</f>
        <v>LEVE</v>
      </c>
    </row>
    <row r="2010" spans="2:24" x14ac:dyDescent="0.3">
      <c r="B2010" s="9">
        <v>2009</v>
      </c>
      <c r="C2010" s="49">
        <v>23028</v>
      </c>
      <c r="D2010" s="9">
        <f>YEAR(Tabla1[[#This Row],[Date]])</f>
        <v>1963</v>
      </c>
      <c r="E2010" s="9" t="str" cm="1">
        <f t="array" ref="E2010">IFERROR(_xlfn.IFS(AND(D2010&lt;1980,D2010&gt;=1970),"70",AND(D2010&lt;1990,D2010&gt;=1980),"80",AND(D2010&lt;2000,D2010&gt;=1990),"90",AND(D2010&lt;2010,D2010&gt;=2000),"00",AND(D2010&lt;=2019,D2010&gt;=2010),"10"),"1908-1970")</f>
        <v>1908-1970</v>
      </c>
      <c r="F2010" s="3">
        <v>0.66180555555555554</v>
      </c>
      <c r="G2010" t="s">
        <v>13766</v>
      </c>
      <c r="H2010" t="s">
        <v>13767</v>
      </c>
      <c r="I2010">
        <v>703</v>
      </c>
      <c r="J2010" t="s">
        <v>6190</v>
      </c>
      <c r="K2010" t="s">
        <v>13450</v>
      </c>
      <c r="L2010" s="7" t="s">
        <v>13768</v>
      </c>
      <c r="M2010">
        <v>6</v>
      </c>
      <c r="N2010">
        <v>3</v>
      </c>
      <c r="O2010">
        <v>0</v>
      </c>
      <c r="P2010">
        <v>3</v>
      </c>
      <c r="Q2010">
        <v>3</v>
      </c>
      <c r="R2010">
        <v>0</v>
      </c>
      <c r="S2010">
        <v>3</v>
      </c>
      <c r="T2010">
        <v>0</v>
      </c>
      <c r="U2010" t="s">
        <v>13769</v>
      </c>
      <c r="V2010">
        <f>Tabla1[[#This Row],[Aboard]]-Tabla1[[#This Row],[Fatalities]]</f>
        <v>0</v>
      </c>
      <c r="W2010" s="50">
        <f>IFERROR(Tabla1[[#This Row],[Fatalities]]/Tabla1[[#This Row],[Aboard]],0)</f>
        <v>1</v>
      </c>
      <c r="X2010" s="51" t="str" cm="1">
        <f t="array" ref="X2010">_xlfn.IFS(Tabla1[[#This Row],[Porcentaje de muertes]]&lt;0.35,"LEVE",AND(Tabla1[[#This Row],[Porcentaje de muertes]]&gt;0.35,Tabla1[[#This Row],[Porcentaje de muertes]]&lt;0.65),"MEDIO",Tabla1[[#This Row],[Porcentaje de muertes]]&gt;0.65,"GRAVE")</f>
        <v>GRAVE</v>
      </c>
    </row>
    <row r="2011" spans="2:24" x14ac:dyDescent="0.3">
      <c r="B2011" s="9">
        <v>2010</v>
      </c>
      <c r="C2011" s="49">
        <v>23037</v>
      </c>
      <c r="D2011" s="9">
        <f>YEAR(Tabla1[[#This Row],[Date]])</f>
        <v>1963</v>
      </c>
      <c r="E2011" s="9" t="str" cm="1">
        <f t="array" ref="E2011">IFERROR(_xlfn.IFS(AND(D2011&lt;1980,D2011&gt;=1970),"70",AND(D2011&lt;1990,D2011&gt;=1980),"80",AND(D2011&lt;2000,D2011&gt;=1990),"90",AND(D2011&lt;2010,D2011&gt;=2000),"00",AND(D2011&lt;=2019,D2011&gt;=2010),"10"),"1908-1970")</f>
        <v>1908-1970</v>
      </c>
      <c r="F2011" s="3" t="s">
        <v>28931</v>
      </c>
      <c r="G2011" t="s">
        <v>13770</v>
      </c>
      <c r="H2011" t="s">
        <v>13771</v>
      </c>
      <c r="I2011" t="s">
        <v>28931</v>
      </c>
      <c r="J2011" t="s">
        <v>13772</v>
      </c>
      <c r="K2011" t="s">
        <v>10927</v>
      </c>
      <c r="L2011" s="7" t="s">
        <v>13773</v>
      </c>
      <c r="M2011">
        <v>22380</v>
      </c>
      <c r="N2011">
        <v>2</v>
      </c>
      <c r="O2011">
        <v>0</v>
      </c>
      <c r="P2011">
        <v>2</v>
      </c>
      <c r="Q2011">
        <v>1</v>
      </c>
      <c r="R2011">
        <v>0</v>
      </c>
      <c r="S2011">
        <v>1</v>
      </c>
      <c r="T2011">
        <v>0</v>
      </c>
      <c r="U2011" t="s">
        <v>13774</v>
      </c>
      <c r="V2011">
        <f>Tabla1[[#This Row],[Aboard]]-Tabla1[[#This Row],[Fatalities]]</f>
        <v>1</v>
      </c>
      <c r="W2011" s="50">
        <f>IFERROR(Tabla1[[#This Row],[Fatalities]]/Tabla1[[#This Row],[Aboard]],0)</f>
        <v>0.5</v>
      </c>
      <c r="X2011" s="51" t="str" cm="1">
        <f t="array" ref="X2011">_xlfn.IFS(Tabla1[[#This Row],[Porcentaje de muertes]]&lt;0.35,"LEVE",AND(Tabla1[[#This Row],[Porcentaje de muertes]]&gt;0.35,Tabla1[[#This Row],[Porcentaje de muertes]]&lt;0.65),"MEDIO",Tabla1[[#This Row],[Porcentaje de muertes]]&gt;0.65,"GRAVE")</f>
        <v>MEDIO</v>
      </c>
    </row>
    <row r="2012" spans="2:24" x14ac:dyDescent="0.3">
      <c r="B2012" s="9">
        <v>2011</v>
      </c>
      <c r="C2012" s="49">
        <v>23040</v>
      </c>
      <c r="D2012" s="9">
        <f>YEAR(Tabla1[[#This Row],[Date]])</f>
        <v>1963</v>
      </c>
      <c r="E2012" s="9" t="str" cm="1">
        <f t="array" ref="E2012">IFERROR(_xlfn.IFS(AND(D2012&lt;1980,D2012&gt;=1970),"70",AND(D2012&lt;1990,D2012&gt;=1980),"80",AND(D2012&lt;2000,D2012&gt;=1990),"90",AND(D2012&lt;2010,D2012&gt;=2000),"00",AND(D2012&lt;=2019,D2012&gt;=2010),"10"),"1908-1970")</f>
        <v>1908-1970</v>
      </c>
      <c r="F2012" s="3">
        <v>0.9472222222222223</v>
      </c>
      <c r="G2012" t="s">
        <v>5906</v>
      </c>
      <c r="H2012" t="s">
        <v>11843</v>
      </c>
      <c r="I2012">
        <v>290</v>
      </c>
      <c r="J2012" t="s">
        <v>13775</v>
      </c>
      <c r="K2012" t="s">
        <v>13776</v>
      </c>
      <c r="L2012" s="7" t="s">
        <v>13777</v>
      </c>
      <c r="M2012">
        <v>356</v>
      </c>
      <c r="N2012">
        <v>8</v>
      </c>
      <c r="O2012">
        <v>5</v>
      </c>
      <c r="P2012">
        <v>3</v>
      </c>
      <c r="Q2012">
        <v>8</v>
      </c>
      <c r="R2012">
        <v>5</v>
      </c>
      <c r="S2012">
        <v>3</v>
      </c>
      <c r="T2012">
        <v>0</v>
      </c>
      <c r="U2012" t="s">
        <v>13778</v>
      </c>
      <c r="V2012">
        <f>Tabla1[[#This Row],[Aboard]]-Tabla1[[#This Row],[Fatalities]]</f>
        <v>0</v>
      </c>
      <c r="W2012" s="50">
        <f>IFERROR(Tabla1[[#This Row],[Fatalities]]/Tabla1[[#This Row],[Aboard]],0)</f>
        <v>1</v>
      </c>
      <c r="X2012" s="51" t="str" cm="1">
        <f t="array" ref="X2012">_xlfn.IFS(Tabla1[[#This Row],[Porcentaje de muertes]]&lt;0.35,"LEVE",AND(Tabla1[[#This Row],[Porcentaje de muertes]]&gt;0.35,Tabla1[[#This Row],[Porcentaje de muertes]]&lt;0.65),"MEDIO",Tabla1[[#This Row],[Porcentaje de muertes]]&gt;0.65,"GRAVE")</f>
        <v>GRAVE</v>
      </c>
    </row>
    <row r="2013" spans="2:24" x14ac:dyDescent="0.3">
      <c r="B2013" s="9">
        <v>2012</v>
      </c>
      <c r="C2013" s="49">
        <v>23041</v>
      </c>
      <c r="D2013" s="9">
        <f>YEAR(Tabla1[[#This Row],[Date]])</f>
        <v>1963</v>
      </c>
      <c r="E2013" s="9" t="str" cm="1">
        <f t="array" ref="E2013">IFERROR(_xlfn.IFS(AND(D2013&lt;1980,D2013&gt;=1970),"70",AND(D2013&lt;1990,D2013&gt;=1980),"80",AND(D2013&lt;2000,D2013&gt;=1990),"90",AND(D2013&lt;2010,D2013&gt;=2000),"00",AND(D2013&lt;=2019,D2013&gt;=2010),"10"),"1908-1970")</f>
        <v>1908-1970</v>
      </c>
      <c r="F2013" s="3">
        <v>8.3333333333333329E-2</v>
      </c>
      <c r="G2013" t="s">
        <v>13779</v>
      </c>
      <c r="H2013" t="s">
        <v>5027</v>
      </c>
      <c r="I2013" t="s">
        <v>28931</v>
      </c>
      <c r="J2013" t="s">
        <v>6190</v>
      </c>
      <c r="K2013" t="s">
        <v>13780</v>
      </c>
      <c r="L2013" s="7">
        <v>149672</v>
      </c>
      <c r="M2013">
        <v>5013</v>
      </c>
      <c r="N2013">
        <v>14</v>
      </c>
      <c r="O2013">
        <v>0</v>
      </c>
      <c r="P2013">
        <v>14</v>
      </c>
      <c r="Q2013">
        <v>14</v>
      </c>
      <c r="R2013">
        <v>0</v>
      </c>
      <c r="S2013">
        <v>14</v>
      </c>
      <c r="T2013">
        <v>0</v>
      </c>
      <c r="U2013" t="s">
        <v>13781</v>
      </c>
      <c r="V2013">
        <f>Tabla1[[#This Row],[Aboard]]-Tabla1[[#This Row],[Fatalities]]</f>
        <v>0</v>
      </c>
      <c r="W2013" s="50">
        <f>IFERROR(Tabla1[[#This Row],[Fatalities]]/Tabla1[[#This Row],[Aboard]],0)</f>
        <v>1</v>
      </c>
      <c r="X2013" s="51" t="str" cm="1">
        <f t="array" ref="X2013">_xlfn.IFS(Tabla1[[#This Row],[Porcentaje de muertes]]&lt;0.35,"LEVE",AND(Tabla1[[#This Row],[Porcentaje de muertes]]&gt;0.35,Tabla1[[#This Row],[Porcentaje de muertes]]&lt;0.65),"MEDIO",Tabla1[[#This Row],[Porcentaje de muertes]]&gt;0.65,"GRAVE")</f>
        <v>GRAVE</v>
      </c>
    </row>
    <row r="2014" spans="2:24" x14ac:dyDescent="0.3">
      <c r="B2014" s="9">
        <v>2013</v>
      </c>
      <c r="C2014" s="49">
        <v>23013</v>
      </c>
      <c r="D2014" s="9">
        <f>YEAR(Tabla1[[#This Row],[Date]])</f>
        <v>1963</v>
      </c>
      <c r="E2014" s="9" t="str" cm="1">
        <f t="array" ref="E2014">IFERROR(_xlfn.IFS(AND(D2014&lt;1980,D2014&gt;=1970),"70",AND(D2014&lt;1990,D2014&gt;=1980),"80",AND(D2014&lt;2000,D2014&gt;=1990),"90",AND(D2014&lt;2010,D2014&gt;=2000),"00",AND(D2014&lt;=2019,D2014&gt;=2010),"10"),"1908-1970")</f>
        <v>1908-1970</v>
      </c>
      <c r="F2014" s="3">
        <v>0.71875</v>
      </c>
      <c r="G2014" t="s">
        <v>10043</v>
      </c>
      <c r="H2014" t="s">
        <v>13782</v>
      </c>
      <c r="I2014">
        <v>265</v>
      </c>
      <c r="J2014" t="s">
        <v>13783</v>
      </c>
      <c r="K2014" t="s">
        <v>13784</v>
      </c>
      <c r="L2014" s="7" t="s">
        <v>13785</v>
      </c>
      <c r="M2014" t="s">
        <v>13786</v>
      </c>
      <c r="N2014">
        <v>17</v>
      </c>
      <c r="O2014">
        <v>11</v>
      </c>
      <c r="P2014">
        <v>6</v>
      </c>
      <c r="Q2014">
        <v>17</v>
      </c>
      <c r="R2014">
        <v>11</v>
      </c>
      <c r="S2014">
        <v>6</v>
      </c>
      <c r="T2014">
        <v>87</v>
      </c>
      <c r="U2014" t="s">
        <v>13787</v>
      </c>
      <c r="V2014">
        <f>Tabla1[[#This Row],[Aboard]]-Tabla1[[#This Row],[Fatalities]]</f>
        <v>0</v>
      </c>
      <c r="W2014" s="50">
        <f>IFERROR(Tabla1[[#This Row],[Fatalities]]/Tabla1[[#This Row],[Aboard]],0)</f>
        <v>1</v>
      </c>
      <c r="X2014" s="51" t="str" cm="1">
        <f t="array" ref="X2014">_xlfn.IFS(Tabla1[[#This Row],[Porcentaje de muertes]]&lt;0.35,"LEVE",AND(Tabla1[[#This Row],[Porcentaje de muertes]]&gt;0.35,Tabla1[[#This Row],[Porcentaje de muertes]]&lt;0.65),"MEDIO",Tabla1[[#This Row],[Porcentaje de muertes]]&gt;0.65,"GRAVE")</f>
        <v>GRAVE</v>
      </c>
    </row>
    <row r="2015" spans="2:24" x14ac:dyDescent="0.3">
      <c r="B2015" s="9">
        <v>2014</v>
      </c>
      <c r="C2015" s="49">
        <v>23072</v>
      </c>
      <c r="D2015" s="9">
        <f>YEAR(Tabla1[[#This Row],[Date]])</f>
        <v>1963</v>
      </c>
      <c r="E2015" s="9" t="str" cm="1">
        <f t="array" ref="E2015">IFERROR(_xlfn.IFS(AND(D2015&lt;1980,D2015&gt;=1970),"70",AND(D2015&lt;1990,D2015&gt;=1980),"80",AND(D2015&lt;2000,D2015&gt;=1990),"90",AND(D2015&lt;2010,D2015&gt;=2000),"00",AND(D2015&lt;=2019,D2015&gt;=2010),"10"),"1908-1970")</f>
        <v>1908-1970</v>
      </c>
      <c r="F2015" s="3">
        <v>0.50486111111111109</v>
      </c>
      <c r="G2015" t="s">
        <v>13788</v>
      </c>
      <c r="H2015" t="s">
        <v>9022</v>
      </c>
      <c r="I2015">
        <v>40</v>
      </c>
      <c r="J2015" t="s">
        <v>13789</v>
      </c>
      <c r="K2015" t="s">
        <v>12422</v>
      </c>
      <c r="L2015" s="7" t="s">
        <v>13790</v>
      </c>
      <c r="M2015">
        <v>4851</v>
      </c>
      <c r="N2015">
        <v>8</v>
      </c>
      <c r="O2015">
        <v>5</v>
      </c>
      <c r="P2015">
        <v>3</v>
      </c>
      <c r="Q2015">
        <v>4</v>
      </c>
      <c r="R2015">
        <v>2</v>
      </c>
      <c r="S2015">
        <v>2</v>
      </c>
      <c r="T2015">
        <v>0</v>
      </c>
      <c r="U2015" t="s">
        <v>13791</v>
      </c>
      <c r="V2015">
        <f>Tabla1[[#This Row],[Aboard]]-Tabla1[[#This Row],[Fatalities]]</f>
        <v>4</v>
      </c>
      <c r="W2015" s="50">
        <f>IFERROR(Tabla1[[#This Row],[Fatalities]]/Tabla1[[#This Row],[Aboard]],0)</f>
        <v>0.5</v>
      </c>
      <c r="X2015" s="51" t="str" cm="1">
        <f t="array" ref="X2015">_xlfn.IFS(Tabla1[[#This Row],[Porcentaje de muertes]]&lt;0.35,"LEVE",AND(Tabla1[[#This Row],[Porcentaje de muertes]]&gt;0.35,Tabla1[[#This Row],[Porcentaje de muertes]]&lt;0.65),"MEDIO",Tabla1[[#This Row],[Porcentaje de muertes]]&gt;0.65,"GRAVE")</f>
        <v>MEDIO</v>
      </c>
    </row>
    <row r="2016" spans="2:24" x14ac:dyDescent="0.3">
      <c r="B2016" s="9">
        <v>2015</v>
      </c>
      <c r="C2016" s="49">
        <v>23225</v>
      </c>
      <c r="D2016" s="9">
        <f>YEAR(Tabla1[[#This Row],[Date]])</f>
        <v>1963</v>
      </c>
      <c r="E2016" s="9" t="str" cm="1">
        <f t="array" ref="E2016">IFERROR(_xlfn.IFS(AND(D2016&lt;1980,D2016&gt;=1970),"70",AND(D2016&lt;1990,D2016&gt;=1980),"80",AND(D2016&lt;2000,D2016&gt;=1990),"90",AND(D2016&lt;2010,D2016&gt;=2000),"00",AND(D2016&lt;=2019,D2016&gt;=2010),"10"),"1908-1970")</f>
        <v>1908-1970</v>
      </c>
      <c r="F2016" s="3">
        <v>0.73402777777777783</v>
      </c>
      <c r="G2016" t="s">
        <v>13792</v>
      </c>
      <c r="H2016" t="s">
        <v>6541</v>
      </c>
      <c r="I2016" t="s">
        <v>28931</v>
      </c>
      <c r="J2016" t="s">
        <v>6190</v>
      </c>
      <c r="K2016" t="s">
        <v>13611</v>
      </c>
      <c r="L2016" s="7" t="s">
        <v>13793</v>
      </c>
      <c r="M2016">
        <v>402104</v>
      </c>
      <c r="N2016">
        <v>7</v>
      </c>
      <c r="O2016">
        <v>0</v>
      </c>
      <c r="P2016">
        <v>7</v>
      </c>
      <c r="Q2016">
        <v>7</v>
      </c>
      <c r="R2016">
        <v>0</v>
      </c>
      <c r="S2016">
        <v>7</v>
      </c>
      <c r="T2016">
        <v>0</v>
      </c>
      <c r="U2016" t="s">
        <v>13794</v>
      </c>
      <c r="V2016">
        <f>Tabla1[[#This Row],[Aboard]]-Tabla1[[#This Row],[Fatalities]]</f>
        <v>0</v>
      </c>
      <c r="W2016" s="50">
        <f>IFERROR(Tabla1[[#This Row],[Fatalities]]/Tabla1[[#This Row],[Aboard]],0)</f>
        <v>1</v>
      </c>
      <c r="X2016" s="51" t="str" cm="1">
        <f t="array" ref="X2016">_xlfn.IFS(Tabla1[[#This Row],[Porcentaje de muertes]]&lt;0.35,"LEVE",AND(Tabla1[[#This Row],[Porcentaje de muertes]]&gt;0.35,Tabla1[[#This Row],[Porcentaje de muertes]]&lt;0.65),"MEDIO",Tabla1[[#This Row],[Porcentaje de muertes]]&gt;0.65,"GRAVE")</f>
        <v>GRAVE</v>
      </c>
    </row>
    <row r="2017" spans="2:24" x14ac:dyDescent="0.3">
      <c r="B2017" s="9">
        <v>2016</v>
      </c>
      <c r="C2017" s="49">
        <v>23347</v>
      </c>
      <c r="D2017" s="9">
        <f>YEAR(Tabla1[[#This Row],[Date]])</f>
        <v>1963</v>
      </c>
      <c r="E2017" s="9" t="str" cm="1">
        <f t="array" ref="E2017">IFERROR(_xlfn.IFS(AND(D2017&lt;1980,D2017&gt;=1970),"70",AND(D2017&lt;1990,D2017&gt;=1980),"80",AND(D2017&lt;2000,D2017&gt;=1990),"90",AND(D2017&lt;2010,D2017&gt;=2000),"00",AND(D2017&lt;=2019,D2017&gt;=2010),"10"),"1908-1970")</f>
        <v>1908-1970</v>
      </c>
      <c r="F2017" s="3">
        <v>0.57500000000000007</v>
      </c>
      <c r="G2017" t="s">
        <v>13795</v>
      </c>
      <c r="H2017" t="s">
        <v>5769</v>
      </c>
      <c r="I2017">
        <v>705</v>
      </c>
      <c r="J2017" t="s">
        <v>13796</v>
      </c>
      <c r="K2017" t="s">
        <v>13797</v>
      </c>
      <c r="L2017" s="7" t="s">
        <v>13798</v>
      </c>
      <c r="M2017" t="s">
        <v>13799</v>
      </c>
      <c r="N2017">
        <v>43</v>
      </c>
      <c r="O2017">
        <v>35</v>
      </c>
      <c r="P2017">
        <v>8</v>
      </c>
      <c r="Q2017">
        <v>43</v>
      </c>
      <c r="R2017">
        <v>35</v>
      </c>
      <c r="S2017">
        <v>8</v>
      </c>
      <c r="T2017">
        <v>0</v>
      </c>
      <c r="U2017" t="s">
        <v>13800</v>
      </c>
      <c r="V2017">
        <f>Tabla1[[#This Row],[Aboard]]-Tabla1[[#This Row],[Fatalities]]</f>
        <v>0</v>
      </c>
      <c r="W2017" s="50">
        <f>IFERROR(Tabla1[[#This Row],[Fatalities]]/Tabla1[[#This Row],[Aboard]],0)</f>
        <v>1</v>
      </c>
      <c r="X2017" s="51" t="str" cm="1">
        <f t="array" ref="X2017">_xlfn.IFS(Tabla1[[#This Row],[Porcentaje de muertes]]&lt;0.35,"LEVE",AND(Tabla1[[#This Row],[Porcentaje de muertes]]&gt;0.35,Tabla1[[#This Row],[Porcentaje de muertes]]&lt;0.65),"MEDIO",Tabla1[[#This Row],[Porcentaje de muertes]]&gt;0.65,"GRAVE")</f>
        <v>GRAVE</v>
      </c>
    </row>
    <row r="2018" spans="2:24" x14ac:dyDescent="0.3">
      <c r="B2018" s="9">
        <v>2017</v>
      </c>
      <c r="C2018" s="49">
        <v>23070</v>
      </c>
      <c r="D2018" s="9">
        <f>YEAR(Tabla1[[#This Row],[Date]])</f>
        <v>1963</v>
      </c>
      <c r="E2018" s="9" t="str" cm="1">
        <f t="array" ref="E2018">IFERROR(_xlfn.IFS(AND(D2018&lt;1980,D2018&gt;=1970),"70",AND(D2018&lt;1990,D2018&gt;=1980),"80",AND(D2018&lt;2000,D2018&gt;=1990),"90",AND(D2018&lt;2010,D2018&gt;=2000),"00",AND(D2018&lt;=2019,D2018&gt;=2010),"10"),"1908-1970")</f>
        <v>1908-1970</v>
      </c>
      <c r="F2018" s="3">
        <v>0.89513888888888893</v>
      </c>
      <c r="G2018" t="s">
        <v>5929</v>
      </c>
      <c r="H2018" t="s">
        <v>6941</v>
      </c>
      <c r="I2018" t="s">
        <v>28931</v>
      </c>
      <c r="J2018" t="s">
        <v>28931</v>
      </c>
      <c r="K2018" t="s">
        <v>13801</v>
      </c>
      <c r="L2018" s="7" t="s">
        <v>13802</v>
      </c>
      <c r="M2018" t="s">
        <v>13803</v>
      </c>
      <c r="N2018">
        <v>26</v>
      </c>
      <c r="O2018">
        <v>21</v>
      </c>
      <c r="P2018">
        <v>5</v>
      </c>
      <c r="Q2018">
        <v>0</v>
      </c>
      <c r="R2018">
        <v>0</v>
      </c>
      <c r="S2018">
        <v>0</v>
      </c>
      <c r="T2018">
        <v>1</v>
      </c>
      <c r="U2018" t="s">
        <v>13804</v>
      </c>
      <c r="V2018">
        <f>Tabla1[[#This Row],[Aboard]]-Tabla1[[#This Row],[Fatalities]]</f>
        <v>26</v>
      </c>
      <c r="W2018" s="50">
        <f>IFERROR(Tabla1[[#This Row],[Fatalities]]/Tabla1[[#This Row],[Aboard]],0)</f>
        <v>0</v>
      </c>
      <c r="X2018" s="51" t="str" cm="1">
        <f t="array" ref="X2018">_xlfn.IFS(Tabla1[[#This Row],[Porcentaje de muertes]]&lt;0.35,"LEVE",AND(Tabla1[[#This Row],[Porcentaje de muertes]]&gt;0.35,Tabla1[[#This Row],[Porcentaje de muertes]]&lt;0.65),"MEDIO",Tabla1[[#This Row],[Porcentaje de muertes]]&gt;0.65,"GRAVE")</f>
        <v>LEVE</v>
      </c>
    </row>
    <row r="2019" spans="2:24" x14ac:dyDescent="0.3">
      <c r="B2019" s="9">
        <v>2018</v>
      </c>
      <c r="C2019" s="49">
        <v>23045</v>
      </c>
      <c r="D2019" s="9">
        <f>YEAR(Tabla1[[#This Row],[Date]])</f>
        <v>1963</v>
      </c>
      <c r="E2019" s="9" t="str" cm="1">
        <f t="array" ref="E2019">IFERROR(_xlfn.IFS(AND(D2019&lt;1980,D2019&gt;=1970),"70",AND(D2019&lt;1990,D2019&gt;=1980),"80",AND(D2019&lt;2000,D2019&gt;=1990),"90",AND(D2019&lt;2010,D2019&gt;=2000),"00",AND(D2019&lt;=2019,D2019&gt;=2010),"10"),"1908-1970")</f>
        <v>1908-1970</v>
      </c>
      <c r="F2019" s="3">
        <v>0.41805555555555557</v>
      </c>
      <c r="G2019" t="s">
        <v>13805</v>
      </c>
      <c r="H2019" t="s">
        <v>8992</v>
      </c>
      <c r="I2019">
        <v>984</v>
      </c>
      <c r="J2019" t="s">
        <v>13806</v>
      </c>
      <c r="K2019" t="s">
        <v>7057</v>
      </c>
      <c r="L2019" s="7" t="s">
        <v>13807</v>
      </c>
      <c r="M2019" t="s">
        <v>13808</v>
      </c>
      <c r="N2019">
        <v>27</v>
      </c>
      <c r="O2019">
        <v>24</v>
      </c>
      <c r="P2019">
        <v>3</v>
      </c>
      <c r="Q2019">
        <v>27</v>
      </c>
      <c r="R2019">
        <v>24</v>
      </c>
      <c r="S2019">
        <v>3</v>
      </c>
      <c r="T2019">
        <v>0</v>
      </c>
      <c r="U2019" t="s">
        <v>13809</v>
      </c>
      <c r="V2019">
        <f>Tabla1[[#This Row],[Aboard]]-Tabla1[[#This Row],[Fatalities]]</f>
        <v>0</v>
      </c>
      <c r="W2019" s="50">
        <f>IFERROR(Tabla1[[#This Row],[Fatalities]]/Tabla1[[#This Row],[Aboard]],0)</f>
        <v>1</v>
      </c>
      <c r="X2019" s="51" t="str" cm="1">
        <f t="array" ref="X2019">_xlfn.IFS(Tabla1[[#This Row],[Porcentaje de muertes]]&lt;0.35,"LEVE",AND(Tabla1[[#This Row],[Porcentaje de muertes]]&gt;0.35,Tabla1[[#This Row],[Porcentaje de muertes]]&lt;0.65),"MEDIO",Tabla1[[#This Row],[Porcentaje de muertes]]&gt;0.65,"GRAVE")</f>
        <v>GRAVE</v>
      </c>
    </row>
    <row r="2020" spans="2:24" x14ac:dyDescent="0.3">
      <c r="B2020" s="9">
        <v>2019</v>
      </c>
      <c r="C2020" s="49">
        <v>23134</v>
      </c>
      <c r="D2020" s="9">
        <f>YEAR(Tabla1[[#This Row],[Date]])</f>
        <v>1963</v>
      </c>
      <c r="E2020" s="9" t="str" cm="1">
        <f t="array" ref="E2020">IFERROR(_xlfn.IFS(AND(D2020&lt;1980,D2020&gt;=1970),"70",AND(D2020&lt;1990,D2020&gt;=1980),"80",AND(D2020&lt;2000,D2020&gt;=1990),"90",AND(D2020&lt;2010,D2020&gt;=2000),"00",AND(D2020&lt;=2019,D2020&gt;=2010),"10"),"1908-1970")</f>
        <v>1908-1970</v>
      </c>
      <c r="F2020" s="3">
        <v>0.81597222222222221</v>
      </c>
      <c r="G2020" t="s">
        <v>13810</v>
      </c>
      <c r="H2020" t="s">
        <v>6541</v>
      </c>
      <c r="I2020">
        <v>191</v>
      </c>
      <c r="J2020" t="s">
        <v>13811</v>
      </c>
      <c r="K2020" t="s">
        <v>13812</v>
      </c>
      <c r="L2020" s="7" t="s">
        <v>13813</v>
      </c>
      <c r="M2020">
        <v>181003404</v>
      </c>
      <c r="N2020">
        <v>54</v>
      </c>
      <c r="O2020">
        <v>43</v>
      </c>
      <c r="P2020">
        <v>11</v>
      </c>
      <c r="Q2020">
        <v>12</v>
      </c>
      <c r="R2020">
        <v>4</v>
      </c>
      <c r="S2020">
        <v>8</v>
      </c>
      <c r="T2020">
        <v>0</v>
      </c>
      <c r="U2020" t="s">
        <v>13814</v>
      </c>
      <c r="V2020">
        <f>Tabla1[[#This Row],[Aboard]]-Tabla1[[#This Row],[Fatalities]]</f>
        <v>42</v>
      </c>
      <c r="W2020" s="50">
        <f>IFERROR(Tabla1[[#This Row],[Fatalities]]/Tabla1[[#This Row],[Aboard]],0)</f>
        <v>0.22222222222222221</v>
      </c>
      <c r="X2020" s="51" t="str" cm="1">
        <f t="array" ref="X2020">_xlfn.IFS(Tabla1[[#This Row],[Porcentaje de muertes]]&lt;0.35,"LEVE",AND(Tabla1[[#This Row],[Porcentaje de muertes]]&gt;0.35,Tabla1[[#This Row],[Porcentaje de muertes]]&lt;0.65),"MEDIO",Tabla1[[#This Row],[Porcentaje de muertes]]&gt;0.65,"GRAVE")</f>
        <v>LEVE</v>
      </c>
    </row>
    <row r="2021" spans="2:24" x14ac:dyDescent="0.3">
      <c r="B2021" s="9">
        <v>2020</v>
      </c>
      <c r="C2021" s="49">
        <v>23134</v>
      </c>
      <c r="D2021" s="9">
        <f>YEAR(Tabla1[[#This Row],[Date]])</f>
        <v>1963</v>
      </c>
      <c r="E2021" s="9" t="str" cm="1">
        <f t="array" ref="E2021">IFERROR(_xlfn.IFS(AND(D2021&lt;1980,D2021&gt;=1970),"70",AND(D2021&lt;1990,D2021&gt;=1980),"80",AND(D2021&lt;2000,D2021&gt;=1990),"90",AND(D2021&lt;2010,D2021&gt;=2000),"00",AND(D2021&lt;=2019,D2021&gt;=2010),"10"),"1908-1970")</f>
        <v>1908-1970</v>
      </c>
      <c r="F2021" s="3">
        <v>0.76388888888888884</v>
      </c>
      <c r="G2021" t="s">
        <v>13815</v>
      </c>
      <c r="H2021" t="s">
        <v>5032</v>
      </c>
      <c r="I2021" t="s">
        <v>8152</v>
      </c>
      <c r="J2021" t="s">
        <v>13816</v>
      </c>
      <c r="K2021" t="s">
        <v>13817</v>
      </c>
      <c r="L2021" s="7" t="s">
        <v>13818</v>
      </c>
      <c r="M2021" t="s">
        <v>13819</v>
      </c>
      <c r="N2021">
        <v>4</v>
      </c>
      <c r="O2021">
        <v>3</v>
      </c>
      <c r="P2021">
        <v>1</v>
      </c>
      <c r="Q2021">
        <v>4</v>
      </c>
      <c r="R2021">
        <v>3</v>
      </c>
      <c r="S2021">
        <v>1</v>
      </c>
      <c r="T2021">
        <v>0</v>
      </c>
      <c r="U2021" t="s">
        <v>13820</v>
      </c>
      <c r="V2021">
        <f>Tabla1[[#This Row],[Aboard]]-Tabla1[[#This Row],[Fatalities]]</f>
        <v>0</v>
      </c>
      <c r="W2021" s="50">
        <f>IFERROR(Tabla1[[#This Row],[Fatalities]]/Tabla1[[#This Row],[Aboard]],0)</f>
        <v>1</v>
      </c>
      <c r="X2021" s="51" t="str" cm="1">
        <f t="array" ref="X2021">_xlfn.IFS(Tabla1[[#This Row],[Porcentaje de muertes]]&lt;0.35,"LEVE",AND(Tabla1[[#This Row],[Porcentaje de muertes]]&gt;0.35,Tabla1[[#This Row],[Porcentaje de muertes]]&lt;0.65),"MEDIO",Tabla1[[#This Row],[Porcentaje de muertes]]&gt;0.65,"GRAVE")</f>
        <v>GRAVE</v>
      </c>
    </row>
    <row r="2022" spans="2:24" x14ac:dyDescent="0.3">
      <c r="B2022" s="9">
        <v>2021</v>
      </c>
      <c r="C2022" s="49">
        <v>23085</v>
      </c>
      <c r="D2022" s="9">
        <f>YEAR(Tabla1[[#This Row],[Date]])</f>
        <v>1963</v>
      </c>
      <c r="E2022" s="9" t="str" cm="1">
        <f t="array" ref="E2022">IFERROR(_xlfn.IFS(AND(D2022&lt;1980,D2022&gt;=1970),"70",AND(D2022&lt;1990,D2022&gt;=1980),"80",AND(D2022&lt;2000,D2022&gt;=1990),"90",AND(D2022&lt;2010,D2022&gt;=2000),"00",AND(D2022&lt;=2019,D2022&gt;=2010),"10"),"1908-1970")</f>
        <v>1908-1970</v>
      </c>
      <c r="F2022" s="3">
        <v>0.57986111111111105</v>
      </c>
      <c r="G2022" t="s">
        <v>13821</v>
      </c>
      <c r="H2022" t="s">
        <v>6750</v>
      </c>
      <c r="I2022">
        <v>915</v>
      </c>
      <c r="J2022" t="s">
        <v>13822</v>
      </c>
      <c r="K2022" t="s">
        <v>10428</v>
      </c>
      <c r="L2022" s="7" t="s">
        <v>13823</v>
      </c>
      <c r="M2022" t="s">
        <v>13824</v>
      </c>
      <c r="N2022">
        <v>39</v>
      </c>
      <c r="O2022">
        <v>36</v>
      </c>
      <c r="P2022">
        <v>3</v>
      </c>
      <c r="Q2022">
        <v>39</v>
      </c>
      <c r="R2022">
        <v>36</v>
      </c>
      <c r="S2022">
        <v>3</v>
      </c>
      <c r="T2022">
        <v>0</v>
      </c>
      <c r="U2022" t="s">
        <v>13825</v>
      </c>
      <c r="V2022">
        <f>Tabla1[[#This Row],[Aboard]]-Tabla1[[#This Row],[Fatalities]]</f>
        <v>0</v>
      </c>
      <c r="W2022" s="50">
        <f>IFERROR(Tabla1[[#This Row],[Fatalities]]/Tabla1[[#This Row],[Aboard]],0)</f>
        <v>1</v>
      </c>
      <c r="X2022" s="51" t="str" cm="1">
        <f t="array" ref="X2022">_xlfn.IFS(Tabla1[[#This Row],[Porcentaje de muertes]]&lt;0.35,"LEVE",AND(Tabla1[[#This Row],[Porcentaje de muertes]]&gt;0.35,Tabla1[[#This Row],[Porcentaje de muertes]]&lt;0.65),"MEDIO",Tabla1[[#This Row],[Porcentaje de muertes]]&gt;0.65,"GRAVE")</f>
        <v>GRAVE</v>
      </c>
    </row>
    <row r="2023" spans="2:24" x14ac:dyDescent="0.3">
      <c r="B2023" s="9">
        <v>2022</v>
      </c>
      <c r="C2023" s="49">
        <v>23085</v>
      </c>
      <c r="D2023" s="9">
        <f>YEAR(Tabla1[[#This Row],[Date]])</f>
        <v>1963</v>
      </c>
      <c r="E2023" s="9" t="str" cm="1">
        <f t="array" ref="E2023">IFERROR(_xlfn.IFS(AND(D2023&lt;1980,D2023&gt;=1970),"70",AND(D2023&lt;1990,D2023&gt;=1980),"80",AND(D2023&lt;2000,D2023&gt;=1990),"90",AND(D2023&lt;2010,D2023&gt;=2000),"00",AND(D2023&lt;=2019,D2023&gt;=2010),"10"),"1908-1970")</f>
        <v>1908-1970</v>
      </c>
      <c r="F2023" s="3">
        <v>0.23611111111111113</v>
      </c>
      <c r="G2023" t="s">
        <v>13826</v>
      </c>
      <c r="H2023" t="s">
        <v>12479</v>
      </c>
      <c r="I2023" t="s">
        <v>28931</v>
      </c>
      <c r="J2023" t="s">
        <v>13827</v>
      </c>
      <c r="K2023" t="s">
        <v>13828</v>
      </c>
      <c r="L2023" s="7" t="s">
        <v>13829</v>
      </c>
      <c r="M2023">
        <v>1218</v>
      </c>
      <c r="N2023">
        <v>4</v>
      </c>
      <c r="O2023">
        <v>0</v>
      </c>
      <c r="P2023">
        <v>4</v>
      </c>
      <c r="Q2023">
        <v>4</v>
      </c>
      <c r="R2023">
        <v>0</v>
      </c>
      <c r="S2023">
        <v>4</v>
      </c>
      <c r="T2023">
        <v>0</v>
      </c>
      <c r="U2023" t="s">
        <v>13830</v>
      </c>
      <c r="V2023">
        <f>Tabla1[[#This Row],[Aboard]]-Tabla1[[#This Row],[Fatalities]]</f>
        <v>0</v>
      </c>
      <c r="W2023" s="50">
        <f>IFERROR(Tabla1[[#This Row],[Fatalities]]/Tabla1[[#This Row],[Aboard]],0)</f>
        <v>1</v>
      </c>
      <c r="X2023" s="51" t="str" cm="1">
        <f t="array" ref="X2023">_xlfn.IFS(Tabla1[[#This Row],[Porcentaje de muertes]]&lt;0.35,"LEVE",AND(Tabla1[[#This Row],[Porcentaje de muertes]]&gt;0.35,Tabla1[[#This Row],[Porcentaje de muertes]]&lt;0.65),"MEDIO",Tabla1[[#This Row],[Porcentaje de muertes]]&gt;0.65,"GRAVE")</f>
        <v>GRAVE</v>
      </c>
    </row>
    <row r="2024" spans="2:24" x14ac:dyDescent="0.3">
      <c r="B2024" s="9">
        <v>2023</v>
      </c>
      <c r="C2024" s="49">
        <v>23090</v>
      </c>
      <c r="D2024" s="9">
        <f>YEAR(Tabla1[[#This Row],[Date]])</f>
        <v>1963</v>
      </c>
      <c r="E2024" s="9" t="str" cm="1">
        <f t="array" ref="E2024">IFERROR(_xlfn.IFS(AND(D2024&lt;1980,D2024&gt;=1970),"70",AND(D2024&lt;1990,D2024&gt;=1980),"80",AND(D2024&lt;2000,D2024&gt;=1990),"90",AND(D2024&lt;2010,D2024&gt;=2000),"00",AND(D2024&lt;=2019,D2024&gt;=2010),"10"),"1908-1970")</f>
        <v>1908-1970</v>
      </c>
      <c r="F2024" s="3">
        <v>0.14097222222222222</v>
      </c>
      <c r="G2024" t="s">
        <v>13831</v>
      </c>
      <c r="H2024" t="s">
        <v>13832</v>
      </c>
      <c r="I2024" t="s">
        <v>28931</v>
      </c>
      <c r="J2024" t="s">
        <v>13833</v>
      </c>
      <c r="K2024" t="s">
        <v>13602</v>
      </c>
      <c r="L2024" s="7" t="s">
        <v>13834</v>
      </c>
      <c r="M2024">
        <v>6461</v>
      </c>
      <c r="N2024">
        <v>18</v>
      </c>
      <c r="O2024">
        <v>9</v>
      </c>
      <c r="P2024">
        <v>9</v>
      </c>
      <c r="Q2024">
        <v>18</v>
      </c>
      <c r="R2024">
        <v>9</v>
      </c>
      <c r="S2024">
        <v>9</v>
      </c>
      <c r="T2024">
        <v>0</v>
      </c>
      <c r="U2024" t="s">
        <v>13835</v>
      </c>
      <c r="V2024">
        <f>Tabla1[[#This Row],[Aboard]]-Tabla1[[#This Row],[Fatalities]]</f>
        <v>0</v>
      </c>
      <c r="W2024" s="50">
        <f>IFERROR(Tabla1[[#This Row],[Fatalities]]/Tabla1[[#This Row],[Aboard]],0)</f>
        <v>1</v>
      </c>
      <c r="X2024" s="51" t="str" cm="1">
        <f t="array" ref="X2024">_xlfn.IFS(Tabla1[[#This Row],[Porcentaje de muertes]]&lt;0.35,"LEVE",AND(Tabla1[[#This Row],[Porcentaje de muertes]]&gt;0.35,Tabla1[[#This Row],[Porcentaje de muertes]]&lt;0.65),"MEDIO",Tabla1[[#This Row],[Porcentaje de muertes]]&gt;0.65,"GRAVE")</f>
        <v>GRAVE</v>
      </c>
    </row>
    <row r="2025" spans="2:24" x14ac:dyDescent="0.3">
      <c r="B2025" s="9">
        <v>2024</v>
      </c>
      <c r="C2025" s="49">
        <v>23093</v>
      </c>
      <c r="D2025" s="9">
        <f>YEAR(Tabla1[[#This Row],[Date]])</f>
        <v>1963</v>
      </c>
      <c r="E2025" s="9" t="str" cm="1">
        <f t="array" ref="E2025">IFERROR(_xlfn.IFS(AND(D2025&lt;1980,D2025&gt;=1970),"70",AND(D2025&lt;1990,D2025&gt;=1980),"80",AND(D2025&lt;2000,D2025&gt;=1990),"90",AND(D2025&lt;2010,D2025&gt;=2000),"00",AND(D2025&lt;=2019,D2025&gt;=2010),"10"),"1908-1970")</f>
        <v>1908-1970</v>
      </c>
      <c r="F2025" s="3">
        <v>0.45833333333333331</v>
      </c>
      <c r="G2025" t="s">
        <v>13836</v>
      </c>
      <c r="H2025" t="s">
        <v>13837</v>
      </c>
      <c r="I2025" t="s">
        <v>28931</v>
      </c>
      <c r="J2025" t="s">
        <v>28931</v>
      </c>
      <c r="K2025" t="s">
        <v>13838</v>
      </c>
      <c r="L2025" s="7" t="s">
        <v>28931</v>
      </c>
      <c r="M2025" t="s">
        <v>28931</v>
      </c>
      <c r="N2025">
        <v>10</v>
      </c>
      <c r="O2025">
        <v>0</v>
      </c>
      <c r="P2025">
        <v>10</v>
      </c>
      <c r="Q2025">
        <v>10</v>
      </c>
      <c r="R2025">
        <v>0</v>
      </c>
      <c r="S2025">
        <v>10</v>
      </c>
      <c r="T2025">
        <v>0</v>
      </c>
      <c r="U2025" t="s">
        <v>28927</v>
      </c>
      <c r="V2025">
        <f>Tabla1[[#This Row],[Aboard]]-Tabla1[[#This Row],[Fatalities]]</f>
        <v>0</v>
      </c>
      <c r="W2025" s="50">
        <f>IFERROR(Tabla1[[#This Row],[Fatalities]]/Tabla1[[#This Row],[Aboard]],0)</f>
        <v>1</v>
      </c>
      <c r="X2025" s="51" t="str" cm="1">
        <f t="array" ref="X2025">_xlfn.IFS(Tabla1[[#This Row],[Porcentaje de muertes]]&lt;0.35,"LEVE",AND(Tabla1[[#This Row],[Porcentaje de muertes]]&gt;0.35,Tabla1[[#This Row],[Porcentaje de muertes]]&lt;0.65),"MEDIO",Tabla1[[#This Row],[Porcentaje de muertes]]&gt;0.65,"GRAVE")</f>
        <v>GRAVE</v>
      </c>
    </row>
    <row r="2026" spans="2:24" x14ac:dyDescent="0.3">
      <c r="B2026" s="9">
        <v>2025</v>
      </c>
      <c r="C2026" s="49">
        <v>23100</v>
      </c>
      <c r="D2026" s="9">
        <f>YEAR(Tabla1[[#This Row],[Date]])</f>
        <v>1963</v>
      </c>
      <c r="E2026" s="9" t="str" cm="1">
        <f t="array" ref="E2026">IFERROR(_xlfn.IFS(AND(D2026&lt;1980,D2026&gt;=1970),"70",AND(D2026&lt;1990,D2026&gt;=1980),"80",AND(D2026&lt;2000,D2026&gt;=1990),"90",AND(D2026&lt;2010,D2026&gt;=2000),"00",AND(D2026&lt;=2019,D2026&gt;=2010),"10"),"1908-1970")</f>
        <v>1908-1970</v>
      </c>
      <c r="F2026" s="3">
        <v>0.77569444444444446</v>
      </c>
      <c r="G2026" t="s">
        <v>13839</v>
      </c>
      <c r="H2026" t="s">
        <v>13096</v>
      </c>
      <c r="I2026">
        <v>703</v>
      </c>
      <c r="J2026" t="s">
        <v>13840</v>
      </c>
      <c r="K2026" t="s">
        <v>7057</v>
      </c>
      <c r="L2026" s="7" t="s">
        <v>13841</v>
      </c>
      <c r="M2026" t="s">
        <v>13842</v>
      </c>
      <c r="N2026">
        <v>11</v>
      </c>
      <c r="O2026">
        <v>8</v>
      </c>
      <c r="P2026">
        <v>3</v>
      </c>
      <c r="Q2026">
        <v>11</v>
      </c>
      <c r="R2026">
        <v>8</v>
      </c>
      <c r="S2026">
        <v>3</v>
      </c>
      <c r="T2026">
        <v>0</v>
      </c>
      <c r="U2026" t="s">
        <v>13843</v>
      </c>
      <c r="V2026">
        <f>Tabla1[[#This Row],[Aboard]]-Tabla1[[#This Row],[Fatalities]]</f>
        <v>0</v>
      </c>
      <c r="W2026" s="50">
        <f>IFERROR(Tabla1[[#This Row],[Fatalities]]/Tabla1[[#This Row],[Aboard]],0)</f>
        <v>1</v>
      </c>
      <c r="X2026" s="51" t="str" cm="1">
        <f t="array" ref="X2026">_xlfn.IFS(Tabla1[[#This Row],[Porcentaje de muertes]]&lt;0.35,"LEVE",AND(Tabla1[[#This Row],[Porcentaje de muertes]]&gt;0.35,Tabla1[[#This Row],[Porcentaje de muertes]]&lt;0.65),"MEDIO",Tabla1[[#This Row],[Porcentaje de muertes]]&gt;0.65,"GRAVE")</f>
        <v>GRAVE</v>
      </c>
    </row>
    <row r="2027" spans="2:24" x14ac:dyDescent="0.3">
      <c r="B2027" s="9">
        <v>2026</v>
      </c>
      <c r="C2027" s="49">
        <v>23105</v>
      </c>
      <c r="D2027" s="9">
        <f>YEAR(Tabla1[[#This Row],[Date]])</f>
        <v>1963</v>
      </c>
      <c r="E2027" s="9" t="str" cm="1">
        <f t="array" ref="E2027">IFERROR(_xlfn.IFS(AND(D2027&lt;1980,D2027&gt;=1970),"70",AND(D2027&lt;1990,D2027&gt;=1980),"80",AND(D2027&lt;2000,D2027&gt;=1990),"90",AND(D2027&lt;2010,D2027&gt;=2000),"00",AND(D2027&lt;=2019,D2027&gt;=2010),"10"),"1908-1970")</f>
        <v>1908-1970</v>
      </c>
      <c r="F2027" s="3">
        <v>0.1875</v>
      </c>
      <c r="G2027" t="s">
        <v>13844</v>
      </c>
      <c r="H2027" t="s">
        <v>6541</v>
      </c>
      <c r="I2027">
        <v>25</v>
      </c>
      <c r="J2027" t="s">
        <v>13845</v>
      </c>
      <c r="K2027" t="s">
        <v>12828</v>
      </c>
      <c r="L2027" s="7" t="s">
        <v>13846</v>
      </c>
      <c r="M2027">
        <v>183005901</v>
      </c>
      <c r="N2027">
        <v>67</v>
      </c>
      <c r="O2027">
        <v>59</v>
      </c>
      <c r="P2027">
        <v>8</v>
      </c>
      <c r="Q2027">
        <v>67</v>
      </c>
      <c r="R2027">
        <v>59</v>
      </c>
      <c r="S2027">
        <v>8</v>
      </c>
      <c r="T2027">
        <v>0</v>
      </c>
      <c r="U2027" t="s">
        <v>13847</v>
      </c>
      <c r="V2027">
        <f>Tabla1[[#This Row],[Aboard]]-Tabla1[[#This Row],[Fatalities]]</f>
        <v>0</v>
      </c>
      <c r="W2027" s="50">
        <f>IFERROR(Tabla1[[#This Row],[Fatalities]]/Tabla1[[#This Row],[Aboard]],0)</f>
        <v>1</v>
      </c>
      <c r="X2027" s="51" t="str" cm="1">
        <f t="array" ref="X2027">_xlfn.IFS(Tabla1[[#This Row],[Porcentaje de muertes]]&lt;0.35,"LEVE",AND(Tabla1[[#This Row],[Porcentaje de muertes]]&gt;0.35,Tabla1[[#This Row],[Porcentaje de muertes]]&lt;0.65),"MEDIO",Tabla1[[#This Row],[Porcentaje de muertes]]&gt;0.65,"GRAVE")</f>
        <v>GRAVE</v>
      </c>
    </row>
    <row r="2028" spans="2:24" x14ac:dyDescent="0.3">
      <c r="B2028" s="9">
        <v>2027</v>
      </c>
      <c r="C2028" s="49">
        <v>23115</v>
      </c>
      <c r="D2028" s="9">
        <f>YEAR(Tabla1[[#This Row],[Date]])</f>
        <v>1963</v>
      </c>
      <c r="E2028" s="9" t="str" cm="1">
        <f t="array" ref="E2028">IFERROR(_xlfn.IFS(AND(D2028&lt;1980,D2028&gt;=1970),"70",AND(D2028&lt;1990,D2028&gt;=1980),"80",AND(D2028&lt;2000,D2028&gt;=1990),"90",AND(D2028&lt;2010,D2028&gt;=2000),"00",AND(D2028&lt;=2019,D2028&gt;=2010),"10"),"1908-1970")</f>
        <v>1908-1970</v>
      </c>
      <c r="F2028" s="3">
        <v>0.51250000000000007</v>
      </c>
      <c r="G2028" t="s">
        <v>8660</v>
      </c>
      <c r="H2028" t="s">
        <v>10312</v>
      </c>
      <c r="I2028" t="s">
        <v>28931</v>
      </c>
      <c r="J2028" t="s">
        <v>8093</v>
      </c>
      <c r="K2028" t="s">
        <v>13848</v>
      </c>
      <c r="L2028" s="7" t="s">
        <v>13849</v>
      </c>
      <c r="M2028">
        <v>149</v>
      </c>
      <c r="N2028">
        <v>12</v>
      </c>
      <c r="O2028">
        <v>7</v>
      </c>
      <c r="P2028">
        <v>5</v>
      </c>
      <c r="Q2028">
        <v>12</v>
      </c>
      <c r="R2028">
        <v>7</v>
      </c>
      <c r="S2028">
        <v>5</v>
      </c>
      <c r="T2028">
        <v>0</v>
      </c>
      <c r="U2028" t="s">
        <v>13850</v>
      </c>
      <c r="V2028">
        <f>Tabla1[[#This Row],[Aboard]]-Tabla1[[#This Row],[Fatalities]]</f>
        <v>0</v>
      </c>
      <c r="W2028" s="50">
        <f>IFERROR(Tabla1[[#This Row],[Fatalities]]/Tabla1[[#This Row],[Aboard]],0)</f>
        <v>1</v>
      </c>
      <c r="X2028" s="51" t="str" cm="1">
        <f t="array" ref="X2028">_xlfn.IFS(Tabla1[[#This Row],[Porcentaje de muertes]]&lt;0.35,"LEVE",AND(Tabla1[[#This Row],[Porcentaje de muertes]]&gt;0.35,Tabla1[[#This Row],[Porcentaje de muertes]]&lt;0.65),"MEDIO",Tabla1[[#This Row],[Porcentaje de muertes]]&gt;0.65,"GRAVE")</f>
        <v>GRAVE</v>
      </c>
    </row>
    <row r="2029" spans="2:24" x14ac:dyDescent="0.3">
      <c r="B2029" s="9">
        <v>2028</v>
      </c>
      <c r="C2029" s="49">
        <v>23075</v>
      </c>
      <c r="D2029" s="9">
        <f>YEAR(Tabla1[[#This Row],[Date]])</f>
        <v>1963</v>
      </c>
      <c r="E2029" s="9" t="str" cm="1">
        <f t="array" ref="E2029">IFERROR(_xlfn.IFS(AND(D2029&lt;1980,D2029&gt;=1970),"70",AND(D2029&lt;1990,D2029&gt;=1980),"80",AND(D2029&lt;2000,D2029&gt;=1990),"90",AND(D2029&lt;2010,D2029&gt;=2000),"00",AND(D2029&lt;=2019,D2029&gt;=2010),"10"),"1908-1970")</f>
        <v>1908-1970</v>
      </c>
      <c r="F2029" s="3">
        <v>0.81944444444444453</v>
      </c>
      <c r="G2029" t="s">
        <v>7197</v>
      </c>
      <c r="H2029" t="s">
        <v>9425</v>
      </c>
      <c r="I2029" t="s">
        <v>28931</v>
      </c>
      <c r="J2029" t="s">
        <v>7996</v>
      </c>
      <c r="K2029" t="s">
        <v>13851</v>
      </c>
      <c r="L2029" s="7" t="s">
        <v>13852</v>
      </c>
      <c r="M2029">
        <v>159</v>
      </c>
      <c r="N2029">
        <v>50</v>
      </c>
      <c r="O2029">
        <v>45</v>
      </c>
      <c r="P2029">
        <v>5</v>
      </c>
      <c r="Q2029">
        <v>37</v>
      </c>
      <c r="R2029">
        <v>33</v>
      </c>
      <c r="S2029">
        <v>4</v>
      </c>
      <c r="T2029">
        <v>0</v>
      </c>
      <c r="U2029" t="s">
        <v>13853</v>
      </c>
      <c r="V2029">
        <f>Tabla1[[#This Row],[Aboard]]-Tabla1[[#This Row],[Fatalities]]</f>
        <v>13</v>
      </c>
      <c r="W2029" s="50">
        <f>IFERROR(Tabla1[[#This Row],[Fatalities]]/Tabla1[[#This Row],[Aboard]],0)</f>
        <v>0.74</v>
      </c>
      <c r="X2029" s="51" t="str" cm="1">
        <f t="array" ref="X2029">_xlfn.IFS(Tabla1[[#This Row],[Porcentaje de muertes]]&lt;0.35,"LEVE",AND(Tabla1[[#This Row],[Porcentaje de muertes]]&gt;0.35,Tabla1[[#This Row],[Porcentaje de muertes]]&lt;0.65),"MEDIO",Tabla1[[#This Row],[Porcentaje de muertes]]&gt;0.65,"GRAVE")</f>
        <v>GRAVE</v>
      </c>
    </row>
    <row r="2030" spans="2:24" x14ac:dyDescent="0.3">
      <c r="B2030" s="9">
        <v>2029</v>
      </c>
      <c r="C2030" s="49">
        <v>23075</v>
      </c>
      <c r="D2030" s="9">
        <f>YEAR(Tabla1[[#This Row],[Date]])</f>
        <v>1963</v>
      </c>
      <c r="E2030" s="9" t="str" cm="1">
        <f t="array" ref="E2030">IFERROR(_xlfn.IFS(AND(D2030&lt;1980,D2030&gt;=1970),"70",AND(D2030&lt;1990,D2030&gt;=1980),"80",AND(D2030&lt;2000,D2030&gt;=1990),"90",AND(D2030&lt;2010,D2030&gt;=2000),"00",AND(D2030&lt;=2019,D2030&gt;=2010),"10"),"1908-1970")</f>
        <v>1908-1970</v>
      </c>
      <c r="F2030" s="3">
        <v>0.6020833333333333</v>
      </c>
      <c r="G2030" t="s">
        <v>13854</v>
      </c>
      <c r="H2030" t="s">
        <v>13855</v>
      </c>
      <c r="I2030" t="s">
        <v>28931</v>
      </c>
      <c r="J2030" t="s">
        <v>13856</v>
      </c>
      <c r="K2030" t="s">
        <v>10428</v>
      </c>
      <c r="L2030" s="7" t="s">
        <v>13857</v>
      </c>
      <c r="M2030" t="s">
        <v>13858</v>
      </c>
      <c r="N2030">
        <v>55</v>
      </c>
      <c r="O2030">
        <v>48</v>
      </c>
      <c r="P2030">
        <v>7</v>
      </c>
      <c r="Q2030">
        <v>55</v>
      </c>
      <c r="R2030">
        <v>48</v>
      </c>
      <c r="S2030">
        <v>7</v>
      </c>
      <c r="T2030">
        <v>0</v>
      </c>
      <c r="U2030" t="s">
        <v>13859</v>
      </c>
      <c r="V2030">
        <f>Tabla1[[#This Row],[Aboard]]-Tabla1[[#This Row],[Fatalities]]</f>
        <v>0</v>
      </c>
      <c r="W2030" s="50">
        <f>IFERROR(Tabla1[[#This Row],[Fatalities]]/Tabla1[[#This Row],[Aboard]],0)</f>
        <v>1</v>
      </c>
      <c r="X2030" s="51" t="str" cm="1">
        <f t="array" ref="X2030">_xlfn.IFS(Tabla1[[#This Row],[Porcentaje de muertes]]&lt;0.35,"LEVE",AND(Tabla1[[#This Row],[Porcentaje de muertes]]&gt;0.35,Tabla1[[#This Row],[Porcentaje de muertes]]&lt;0.65),"MEDIO",Tabla1[[#This Row],[Porcentaje de muertes]]&gt;0.65,"GRAVE")</f>
        <v>GRAVE</v>
      </c>
    </row>
    <row r="2031" spans="2:24" x14ac:dyDescent="0.3">
      <c r="B2031" s="9">
        <v>2030</v>
      </c>
      <c r="C2031" s="49">
        <v>23350</v>
      </c>
      <c r="D2031" s="9">
        <f>YEAR(Tabla1[[#This Row],[Date]])</f>
        <v>1963</v>
      </c>
      <c r="E2031" s="9" t="str" cm="1">
        <f t="array" ref="E2031">IFERROR(_xlfn.IFS(AND(D2031&lt;1980,D2031&gt;=1970),"70",AND(D2031&lt;1990,D2031&gt;=1980),"80",AND(D2031&lt;2000,D2031&gt;=1990),"90",AND(D2031&lt;2010,D2031&gt;=2000),"00",AND(D2031&lt;=2019,D2031&gt;=2010),"10"),"1908-1970")</f>
        <v>1908-1970</v>
      </c>
      <c r="F2031" s="3" t="s">
        <v>28931</v>
      </c>
      <c r="G2031" t="s">
        <v>13860</v>
      </c>
      <c r="H2031" t="s">
        <v>13087</v>
      </c>
      <c r="I2031" t="s">
        <v>28931</v>
      </c>
      <c r="J2031" t="s">
        <v>13861</v>
      </c>
      <c r="K2031" t="s">
        <v>7057</v>
      </c>
      <c r="L2031" s="7" t="s">
        <v>13862</v>
      </c>
      <c r="M2031" t="s">
        <v>28931</v>
      </c>
      <c r="N2031">
        <v>34</v>
      </c>
      <c r="O2031">
        <v>30</v>
      </c>
      <c r="P2031">
        <v>4</v>
      </c>
      <c r="Q2031">
        <v>34</v>
      </c>
      <c r="R2031">
        <v>30</v>
      </c>
      <c r="S2031">
        <v>4</v>
      </c>
      <c r="T2031">
        <v>0</v>
      </c>
      <c r="U2031" t="s">
        <v>13863</v>
      </c>
      <c r="V2031">
        <f>Tabla1[[#This Row],[Aboard]]-Tabla1[[#This Row],[Fatalities]]</f>
        <v>0</v>
      </c>
      <c r="W2031" s="50">
        <f>IFERROR(Tabla1[[#This Row],[Fatalities]]/Tabla1[[#This Row],[Aboard]],0)</f>
        <v>1</v>
      </c>
      <c r="X2031" s="51" t="str" cm="1">
        <f t="array" ref="X2031">_xlfn.IFS(Tabla1[[#This Row],[Porcentaje de muertes]]&lt;0.35,"LEVE",AND(Tabla1[[#This Row],[Porcentaje de muertes]]&gt;0.35,Tabla1[[#This Row],[Porcentaje de muertes]]&lt;0.65),"MEDIO",Tabla1[[#This Row],[Porcentaje de muertes]]&gt;0.65,"GRAVE")</f>
        <v>GRAVE</v>
      </c>
    </row>
    <row r="2032" spans="2:24" x14ac:dyDescent="0.3">
      <c r="B2032" s="9">
        <v>2031</v>
      </c>
      <c r="C2032" s="49">
        <v>23076</v>
      </c>
      <c r="D2032" s="9">
        <f>YEAR(Tabla1[[#This Row],[Date]])</f>
        <v>1963</v>
      </c>
      <c r="E2032" s="9" t="str" cm="1">
        <f t="array" ref="E2032">IFERROR(_xlfn.IFS(AND(D2032&lt;1980,D2032&gt;=1970),"70",AND(D2032&lt;1990,D2032&gt;=1980),"80",AND(D2032&lt;2000,D2032&gt;=1990),"90",AND(D2032&lt;2010,D2032&gt;=2000),"00",AND(D2032&lt;=2019,D2032&gt;=2010),"10"),"1908-1970")</f>
        <v>1908-1970</v>
      </c>
      <c r="F2032" s="3">
        <v>0.42777777777777781</v>
      </c>
      <c r="G2032" t="s">
        <v>13864</v>
      </c>
      <c r="H2032" t="s">
        <v>5769</v>
      </c>
      <c r="I2032">
        <v>293</v>
      </c>
      <c r="J2032" t="s">
        <v>13865</v>
      </c>
      <c r="K2032" t="s">
        <v>13866</v>
      </c>
      <c r="L2032" s="7" t="s">
        <v>13867</v>
      </c>
      <c r="M2032" t="s">
        <v>13868</v>
      </c>
      <c r="N2032">
        <v>101</v>
      </c>
      <c r="O2032">
        <v>95</v>
      </c>
      <c r="P2032">
        <v>6</v>
      </c>
      <c r="Q2032">
        <v>101</v>
      </c>
      <c r="R2032">
        <v>95</v>
      </c>
      <c r="S2032">
        <v>6</v>
      </c>
      <c r="T2032">
        <v>0</v>
      </c>
      <c r="U2032" t="s">
        <v>13869</v>
      </c>
      <c r="V2032">
        <f>Tabla1[[#This Row],[Aboard]]-Tabla1[[#This Row],[Fatalities]]</f>
        <v>0</v>
      </c>
      <c r="W2032" s="50">
        <f>IFERROR(Tabla1[[#This Row],[Fatalities]]/Tabla1[[#This Row],[Aboard]],0)</f>
        <v>1</v>
      </c>
      <c r="X2032" s="51" t="str" cm="1">
        <f t="array" ref="X2032">_xlfn.IFS(Tabla1[[#This Row],[Porcentaje de muertes]]&lt;0.35,"LEVE",AND(Tabla1[[#This Row],[Porcentaje de muertes]]&gt;0.35,Tabla1[[#This Row],[Porcentaje de muertes]]&lt;0.65),"MEDIO",Tabla1[[#This Row],[Porcentaje de muertes]]&gt;0.65,"GRAVE")</f>
        <v>GRAVE</v>
      </c>
    </row>
    <row r="2033" spans="2:24" x14ac:dyDescent="0.3">
      <c r="B2033" s="9">
        <v>2032</v>
      </c>
      <c r="C2033" s="49">
        <v>23076</v>
      </c>
      <c r="D2033" s="9">
        <f>YEAR(Tabla1[[#This Row],[Date]])</f>
        <v>1963</v>
      </c>
      <c r="E2033" s="9" t="str" cm="1">
        <f t="array" ref="E2033">IFERROR(_xlfn.IFS(AND(D2033&lt;1980,D2033&gt;=1970),"70",AND(D2033&lt;1990,D2033&gt;=1980),"80",AND(D2033&lt;2000,D2033&gt;=1990),"90",AND(D2033&lt;2010,D2033&gt;=2000),"00",AND(D2033&lt;=2019,D2033&gt;=2010),"10"),"1908-1970")</f>
        <v>1908-1970</v>
      </c>
      <c r="F2033" s="3">
        <v>0.47916666666666669</v>
      </c>
      <c r="G2033" t="s">
        <v>13870</v>
      </c>
      <c r="H2033" t="s">
        <v>11150</v>
      </c>
      <c r="I2033" t="s">
        <v>28931</v>
      </c>
      <c r="J2033" t="s">
        <v>13871</v>
      </c>
      <c r="K2033" t="s">
        <v>7826</v>
      </c>
      <c r="L2033" s="7" t="s">
        <v>13872</v>
      </c>
      <c r="M2033">
        <v>20265</v>
      </c>
      <c r="N2033">
        <v>29</v>
      </c>
      <c r="O2033">
        <v>26</v>
      </c>
      <c r="P2033">
        <v>3</v>
      </c>
      <c r="Q2033">
        <v>29</v>
      </c>
      <c r="R2033">
        <v>26</v>
      </c>
      <c r="S2033">
        <v>3</v>
      </c>
      <c r="T2033">
        <v>0</v>
      </c>
      <c r="U2033" t="s">
        <v>13873</v>
      </c>
      <c r="V2033">
        <f>Tabla1[[#This Row],[Aboard]]-Tabla1[[#This Row],[Fatalities]]</f>
        <v>0</v>
      </c>
      <c r="W2033" s="50">
        <f>IFERROR(Tabla1[[#This Row],[Fatalities]]/Tabla1[[#This Row],[Aboard]],0)</f>
        <v>1</v>
      </c>
      <c r="X2033" s="51" t="str" cm="1">
        <f t="array" ref="X2033">_xlfn.IFS(Tabla1[[#This Row],[Porcentaje de muertes]]&lt;0.35,"LEVE",AND(Tabla1[[#This Row],[Porcentaje de muertes]]&gt;0.35,Tabla1[[#This Row],[Porcentaje de muertes]]&lt;0.65),"MEDIO",Tabla1[[#This Row],[Porcentaje de muertes]]&gt;0.65,"GRAVE")</f>
        <v>GRAVE</v>
      </c>
    </row>
    <row r="2034" spans="2:24" x14ac:dyDescent="0.3">
      <c r="B2034" s="9">
        <v>2033</v>
      </c>
      <c r="C2034" s="49">
        <v>23290</v>
      </c>
      <c r="D2034" s="9">
        <f>YEAR(Tabla1[[#This Row],[Date]])</f>
        <v>1963</v>
      </c>
      <c r="E2034" s="9" t="str" cm="1">
        <f t="array" ref="E2034">IFERROR(_xlfn.IFS(AND(D2034&lt;1980,D2034&gt;=1970),"70",AND(D2034&lt;1990,D2034&gt;=1980),"80",AND(D2034&lt;2000,D2034&gt;=1990),"90",AND(D2034&lt;2010,D2034&gt;=2000),"00",AND(D2034&lt;=2019,D2034&gt;=2010),"10"),"1908-1970")</f>
        <v>1908-1970</v>
      </c>
      <c r="F2034" s="3" t="s">
        <v>28931</v>
      </c>
      <c r="G2034" t="s">
        <v>13874</v>
      </c>
      <c r="H2034" t="s">
        <v>11602</v>
      </c>
      <c r="I2034" t="s">
        <v>28931</v>
      </c>
      <c r="J2034" t="s">
        <v>13875</v>
      </c>
      <c r="K2034" t="s">
        <v>7057</v>
      </c>
      <c r="L2034" s="7" t="s">
        <v>13876</v>
      </c>
      <c r="M2034">
        <v>9877</v>
      </c>
      <c r="N2034">
        <v>20</v>
      </c>
      <c r="O2034">
        <v>15</v>
      </c>
      <c r="P2034">
        <v>5</v>
      </c>
      <c r="Q2034">
        <v>20</v>
      </c>
      <c r="R2034">
        <v>15</v>
      </c>
      <c r="S2034">
        <v>5</v>
      </c>
      <c r="T2034">
        <v>0</v>
      </c>
      <c r="U2034" t="s">
        <v>13877</v>
      </c>
      <c r="V2034">
        <f>Tabla1[[#This Row],[Aboard]]-Tabla1[[#This Row],[Fatalities]]</f>
        <v>0</v>
      </c>
      <c r="W2034" s="50">
        <f>IFERROR(Tabla1[[#This Row],[Fatalities]]/Tabla1[[#This Row],[Aboard]],0)</f>
        <v>1</v>
      </c>
      <c r="X2034" s="51" t="str" cm="1">
        <f t="array" ref="X2034">_xlfn.IFS(Tabla1[[#This Row],[Porcentaje de muertes]]&lt;0.35,"LEVE",AND(Tabla1[[#This Row],[Porcentaje de muertes]]&gt;0.35,Tabla1[[#This Row],[Porcentaje de muertes]]&lt;0.65),"MEDIO",Tabla1[[#This Row],[Porcentaje de muertes]]&gt;0.65,"GRAVE")</f>
        <v>GRAVE</v>
      </c>
    </row>
    <row r="2035" spans="2:24" x14ac:dyDescent="0.3">
      <c r="B2035" s="9">
        <v>2034</v>
      </c>
      <c r="C2035" s="49">
        <v>23178</v>
      </c>
      <c r="D2035" s="9">
        <f>YEAR(Tabla1[[#This Row],[Date]])</f>
        <v>1963</v>
      </c>
      <c r="E2035" s="9" t="str" cm="1">
        <f t="array" ref="E2035">IFERROR(_xlfn.IFS(AND(D2035&lt;1980,D2035&gt;=1970),"70",AND(D2035&lt;1990,D2035&gt;=1980),"80",AND(D2035&lt;2000,D2035&gt;=1990),"90",AND(D2035&lt;2010,D2035&gt;=2000),"00",AND(D2035&lt;=2019,D2035&gt;=2010),"10"),"1908-1970")</f>
        <v>1908-1970</v>
      </c>
      <c r="F2035" s="3">
        <v>0.625</v>
      </c>
      <c r="G2035" t="s">
        <v>13878</v>
      </c>
      <c r="H2035" t="s">
        <v>13879</v>
      </c>
      <c r="I2035" t="s">
        <v>28931</v>
      </c>
      <c r="J2035" t="s">
        <v>13880</v>
      </c>
      <c r="K2035" t="s">
        <v>8105</v>
      </c>
      <c r="L2035" s="7" t="s">
        <v>13881</v>
      </c>
      <c r="M2035">
        <v>19461</v>
      </c>
      <c r="N2035">
        <v>20</v>
      </c>
      <c r="O2035">
        <v>17</v>
      </c>
      <c r="P2035">
        <v>3</v>
      </c>
      <c r="Q2035">
        <v>19</v>
      </c>
      <c r="R2035">
        <v>16</v>
      </c>
      <c r="S2035">
        <v>3</v>
      </c>
      <c r="T2035">
        <v>0</v>
      </c>
      <c r="U2035" t="s">
        <v>13882</v>
      </c>
      <c r="V2035">
        <f>Tabla1[[#This Row],[Aboard]]-Tabla1[[#This Row],[Fatalities]]</f>
        <v>1</v>
      </c>
      <c r="W2035" s="50">
        <f>IFERROR(Tabla1[[#This Row],[Fatalities]]/Tabla1[[#This Row],[Aboard]],0)</f>
        <v>0.95</v>
      </c>
      <c r="X2035" s="51" t="str" cm="1">
        <f t="array" ref="X2035">_xlfn.IFS(Tabla1[[#This Row],[Porcentaje de muertes]]&lt;0.35,"LEVE",AND(Tabla1[[#This Row],[Porcentaje de muertes]]&gt;0.35,Tabla1[[#This Row],[Porcentaje de muertes]]&lt;0.65),"MEDIO",Tabla1[[#This Row],[Porcentaje de muertes]]&gt;0.65,"GRAVE")</f>
        <v>GRAVE</v>
      </c>
    </row>
    <row r="2036" spans="2:24" x14ac:dyDescent="0.3">
      <c r="B2036" s="9">
        <v>2035</v>
      </c>
      <c r="C2036" s="49">
        <v>23178</v>
      </c>
      <c r="D2036" s="9">
        <f>YEAR(Tabla1[[#This Row],[Date]])</f>
        <v>1963</v>
      </c>
      <c r="E2036" s="9" t="str" cm="1">
        <f t="array" ref="E2036">IFERROR(_xlfn.IFS(AND(D2036&lt;1980,D2036&gt;=1970),"70",AND(D2036&lt;1990,D2036&gt;=1980),"80",AND(D2036&lt;2000,D2036&gt;=1990),"90",AND(D2036&lt;2010,D2036&gt;=2000),"00",AND(D2036&lt;=2019,D2036&gt;=2010),"10"),"1908-1970")</f>
        <v>1908-1970</v>
      </c>
      <c r="F2036" s="3" t="s">
        <v>28931</v>
      </c>
      <c r="G2036" t="s">
        <v>13883</v>
      </c>
      <c r="H2036" t="s">
        <v>13884</v>
      </c>
      <c r="I2036" t="s">
        <v>28931</v>
      </c>
      <c r="J2036" t="s">
        <v>13885</v>
      </c>
      <c r="K2036" t="s">
        <v>13886</v>
      </c>
      <c r="L2036" s="7" t="s">
        <v>13887</v>
      </c>
      <c r="M2036">
        <v>14803072</v>
      </c>
      <c r="N2036">
        <v>31</v>
      </c>
      <c r="O2036">
        <v>27</v>
      </c>
      <c r="P2036">
        <v>4</v>
      </c>
      <c r="Q2036">
        <v>31</v>
      </c>
      <c r="R2036">
        <v>27</v>
      </c>
      <c r="S2036">
        <v>4</v>
      </c>
      <c r="T2036">
        <v>0</v>
      </c>
      <c r="U2036" t="s">
        <v>13888</v>
      </c>
      <c r="V2036">
        <f>Tabla1[[#This Row],[Aboard]]-Tabla1[[#This Row],[Fatalities]]</f>
        <v>0</v>
      </c>
      <c r="W2036" s="50">
        <f>IFERROR(Tabla1[[#This Row],[Fatalities]]/Tabla1[[#This Row],[Aboard]],0)</f>
        <v>1</v>
      </c>
      <c r="X2036" s="51" t="str" cm="1">
        <f t="array" ref="X2036">_xlfn.IFS(Tabla1[[#This Row],[Porcentaje de muertes]]&lt;0.35,"LEVE",AND(Tabla1[[#This Row],[Porcentaje de muertes]]&gt;0.35,Tabla1[[#This Row],[Porcentaje de muertes]]&lt;0.65),"MEDIO",Tabla1[[#This Row],[Porcentaje de muertes]]&gt;0.65,"GRAVE")</f>
        <v>GRAVE</v>
      </c>
    </row>
    <row r="2037" spans="2:24" x14ac:dyDescent="0.3">
      <c r="B2037" s="9">
        <v>2036</v>
      </c>
      <c r="C2037" s="49">
        <v>23185</v>
      </c>
      <c r="D2037" s="9">
        <f>YEAR(Tabla1[[#This Row],[Date]])</f>
        <v>1963</v>
      </c>
      <c r="E2037" s="9" t="str" cm="1">
        <f t="array" ref="E2037">IFERROR(_xlfn.IFS(AND(D2037&lt;1980,D2037&gt;=1970),"70",AND(D2037&lt;1990,D2037&gt;=1980),"80",AND(D2037&lt;2000,D2037&gt;=1990),"90",AND(D2037&lt;2010,D2037&gt;=2000),"00",AND(D2037&lt;=2019,D2037&gt;=2010),"10"),"1908-1970")</f>
        <v>1908-1970</v>
      </c>
      <c r="F2037" s="3">
        <v>0.5</v>
      </c>
      <c r="G2037" t="s">
        <v>13889</v>
      </c>
      <c r="H2037" t="s">
        <v>13010</v>
      </c>
      <c r="I2037" t="s">
        <v>28931</v>
      </c>
      <c r="J2037" t="s">
        <v>13890</v>
      </c>
      <c r="K2037" t="s">
        <v>13891</v>
      </c>
      <c r="L2037" s="7" t="s">
        <v>13892</v>
      </c>
      <c r="M2037">
        <v>246</v>
      </c>
      <c r="N2037">
        <v>47</v>
      </c>
      <c r="O2037">
        <v>42</v>
      </c>
      <c r="P2037">
        <v>5</v>
      </c>
      <c r="Q2037">
        <v>38</v>
      </c>
      <c r="R2037">
        <v>33</v>
      </c>
      <c r="S2037">
        <v>5</v>
      </c>
      <c r="T2037">
        <v>0</v>
      </c>
      <c r="U2037" t="s">
        <v>13893</v>
      </c>
      <c r="V2037">
        <f>Tabla1[[#This Row],[Aboard]]-Tabla1[[#This Row],[Fatalities]]</f>
        <v>9</v>
      </c>
      <c r="W2037" s="50">
        <f>IFERROR(Tabla1[[#This Row],[Fatalities]]/Tabla1[[#This Row],[Aboard]],0)</f>
        <v>0.80851063829787229</v>
      </c>
      <c r="X2037" s="51" t="str" cm="1">
        <f t="array" ref="X2037">_xlfn.IFS(Tabla1[[#This Row],[Porcentaje de muertes]]&lt;0.35,"LEVE",AND(Tabla1[[#This Row],[Porcentaje de muertes]]&gt;0.35,Tabla1[[#This Row],[Porcentaje de muertes]]&lt;0.65),"MEDIO",Tabla1[[#This Row],[Porcentaje de muertes]]&gt;0.65,"GRAVE")</f>
        <v>GRAVE</v>
      </c>
    </row>
    <row r="2038" spans="2:24" x14ac:dyDescent="0.3">
      <c r="B2038" s="9">
        <v>2037</v>
      </c>
      <c r="C2038" s="49">
        <v>23018</v>
      </c>
      <c r="D2038" s="9">
        <f>YEAR(Tabla1[[#This Row],[Date]])</f>
        <v>1963</v>
      </c>
      <c r="E2038" s="9" t="str" cm="1">
        <f t="array" ref="E2038">IFERROR(_xlfn.IFS(AND(D2038&lt;1980,D2038&gt;=1970),"70",AND(D2038&lt;1990,D2038&gt;=1980),"80",AND(D2038&lt;2000,D2038&gt;=1990),"90",AND(D2038&lt;2010,D2038&gt;=2000),"00",AND(D2038&lt;=2019,D2038&gt;=2010),"10"),"1908-1970")</f>
        <v>1908-1970</v>
      </c>
      <c r="F2038" s="3" t="s">
        <v>28931</v>
      </c>
      <c r="G2038" t="s">
        <v>13894</v>
      </c>
      <c r="H2038" t="s">
        <v>8118</v>
      </c>
      <c r="I2038" t="s">
        <v>28931</v>
      </c>
      <c r="J2038" t="s">
        <v>13895</v>
      </c>
      <c r="K2038" t="s">
        <v>7057</v>
      </c>
      <c r="L2038" s="7" t="s">
        <v>13896</v>
      </c>
      <c r="M2038" t="s">
        <v>13897</v>
      </c>
      <c r="N2038">
        <v>18</v>
      </c>
      <c r="O2038">
        <v>15</v>
      </c>
      <c r="P2038">
        <v>3</v>
      </c>
      <c r="Q2038">
        <v>15</v>
      </c>
      <c r="R2038">
        <v>13</v>
      </c>
      <c r="S2038">
        <v>2</v>
      </c>
      <c r="T2038">
        <v>0</v>
      </c>
      <c r="U2038" t="s">
        <v>13898</v>
      </c>
      <c r="V2038">
        <f>Tabla1[[#This Row],[Aboard]]-Tabla1[[#This Row],[Fatalities]]</f>
        <v>3</v>
      </c>
      <c r="W2038" s="50">
        <f>IFERROR(Tabla1[[#This Row],[Fatalities]]/Tabla1[[#This Row],[Aboard]],0)</f>
        <v>0.83333333333333337</v>
      </c>
      <c r="X2038" s="51" t="str" cm="1">
        <f t="array" ref="X2038">_xlfn.IFS(Tabla1[[#This Row],[Porcentaje de muertes]]&lt;0.35,"LEVE",AND(Tabla1[[#This Row],[Porcentaje de muertes]]&gt;0.35,Tabla1[[#This Row],[Porcentaje de muertes]]&lt;0.65),"MEDIO",Tabla1[[#This Row],[Porcentaje de muertes]]&gt;0.65,"GRAVE")</f>
        <v>GRAVE</v>
      </c>
    </row>
    <row r="2039" spans="2:24" x14ac:dyDescent="0.3">
      <c r="B2039" s="9">
        <v>2038</v>
      </c>
      <c r="C2039" s="49">
        <v>23049</v>
      </c>
      <c r="D2039" s="9">
        <f>YEAR(Tabla1[[#This Row],[Date]])</f>
        <v>1963</v>
      </c>
      <c r="E2039" s="9" t="str" cm="1">
        <f t="array" ref="E2039">IFERROR(_xlfn.IFS(AND(D2039&lt;1980,D2039&gt;=1970),"70",AND(D2039&lt;1990,D2039&gt;=1980),"80",AND(D2039&lt;2000,D2039&gt;=1990),"90",AND(D2039&lt;2010,D2039&gt;=2000),"00",AND(D2039&lt;=2019,D2039&gt;=2010),"10"),"1908-1970")</f>
        <v>1908-1970</v>
      </c>
      <c r="F2039" s="3">
        <v>0.65902777777777777</v>
      </c>
      <c r="G2039" t="s">
        <v>13899</v>
      </c>
      <c r="H2039" t="s">
        <v>13900</v>
      </c>
      <c r="I2039">
        <v>112</v>
      </c>
      <c r="J2039" t="s">
        <v>13901</v>
      </c>
      <c r="K2039" t="s">
        <v>11479</v>
      </c>
      <c r="L2039" s="7" t="s">
        <v>13902</v>
      </c>
      <c r="M2039">
        <v>14140</v>
      </c>
      <c r="N2039">
        <v>43</v>
      </c>
      <c r="O2039">
        <v>40</v>
      </c>
      <c r="P2039">
        <v>3</v>
      </c>
      <c r="Q2039">
        <v>7</v>
      </c>
      <c r="R2039">
        <v>5</v>
      </c>
      <c r="S2039">
        <v>2</v>
      </c>
      <c r="T2039">
        <v>0</v>
      </c>
      <c r="U2039" t="s">
        <v>13903</v>
      </c>
      <c r="V2039">
        <f>Tabla1[[#This Row],[Aboard]]-Tabla1[[#This Row],[Fatalities]]</f>
        <v>36</v>
      </c>
      <c r="W2039" s="50">
        <f>IFERROR(Tabla1[[#This Row],[Fatalities]]/Tabla1[[#This Row],[Aboard]],0)</f>
        <v>0.16279069767441862</v>
      </c>
      <c r="X2039" s="51" t="str" cm="1">
        <f t="array" ref="X2039">_xlfn.IFS(Tabla1[[#This Row],[Porcentaje de muertes]]&lt;0.35,"LEVE",AND(Tabla1[[#This Row],[Porcentaje de muertes]]&gt;0.35,Tabla1[[#This Row],[Porcentaje de muertes]]&lt;0.65),"MEDIO",Tabla1[[#This Row],[Porcentaje de muertes]]&gt;0.65,"GRAVE")</f>
        <v>LEVE</v>
      </c>
    </row>
    <row r="2040" spans="2:24" x14ac:dyDescent="0.3">
      <c r="B2040" s="9">
        <v>2039</v>
      </c>
      <c r="C2040" s="49">
        <v>23077</v>
      </c>
      <c r="D2040" s="9">
        <f>YEAR(Tabla1[[#This Row],[Date]])</f>
        <v>1963</v>
      </c>
      <c r="E2040" s="9" t="str" cm="1">
        <f t="array" ref="E2040">IFERROR(_xlfn.IFS(AND(D2040&lt;1980,D2040&gt;=1970),"70",AND(D2040&lt;1990,D2040&gt;=1980),"80",AND(D2040&lt;2000,D2040&gt;=1990),"90",AND(D2040&lt;2010,D2040&gt;=2000),"00",AND(D2040&lt;=2019,D2040&gt;=2010),"10"),"1908-1970")</f>
        <v>1908-1970</v>
      </c>
      <c r="F2040" s="3">
        <v>0.38125000000000003</v>
      </c>
      <c r="G2040" t="s">
        <v>13904</v>
      </c>
      <c r="H2040" t="s">
        <v>9570</v>
      </c>
      <c r="I2040">
        <v>441</v>
      </c>
      <c r="J2040" t="s">
        <v>13905</v>
      </c>
      <c r="K2040" t="s">
        <v>7057</v>
      </c>
      <c r="L2040" s="7" t="s">
        <v>13906</v>
      </c>
      <c r="M2040" t="s">
        <v>13907</v>
      </c>
      <c r="N2040">
        <v>23</v>
      </c>
      <c r="O2040">
        <v>20</v>
      </c>
      <c r="P2040">
        <v>3</v>
      </c>
      <c r="Q2040">
        <v>23</v>
      </c>
      <c r="R2040">
        <v>20</v>
      </c>
      <c r="S2040">
        <v>3</v>
      </c>
      <c r="T2040">
        <v>0</v>
      </c>
      <c r="U2040" t="s">
        <v>13908</v>
      </c>
      <c r="V2040">
        <f>Tabla1[[#This Row],[Aboard]]-Tabla1[[#This Row],[Fatalities]]</f>
        <v>0</v>
      </c>
      <c r="W2040" s="50">
        <f>IFERROR(Tabla1[[#This Row],[Fatalities]]/Tabla1[[#This Row],[Aboard]],0)</f>
        <v>1</v>
      </c>
      <c r="X2040" s="51" t="str" cm="1">
        <f t="array" ref="X2040">_xlfn.IFS(Tabla1[[#This Row],[Porcentaje de muertes]]&lt;0.35,"LEVE",AND(Tabla1[[#This Row],[Porcentaje de muertes]]&gt;0.35,Tabla1[[#This Row],[Porcentaje de muertes]]&lt;0.65),"MEDIO",Tabla1[[#This Row],[Porcentaje de muertes]]&gt;0.65,"GRAVE")</f>
        <v>GRAVE</v>
      </c>
    </row>
    <row r="2041" spans="2:24" x14ac:dyDescent="0.3">
      <c r="B2041" s="9">
        <v>2040</v>
      </c>
      <c r="C2041" s="49">
        <v>23205</v>
      </c>
      <c r="D2041" s="9">
        <f>YEAR(Tabla1[[#This Row],[Date]])</f>
        <v>1963</v>
      </c>
      <c r="E2041" s="9" t="str" cm="1">
        <f t="array" ref="E2041">IFERROR(_xlfn.IFS(AND(D2041&lt;1980,D2041&gt;=1970),"70",AND(D2041&lt;1990,D2041&gt;=1980),"80",AND(D2041&lt;2000,D2041&gt;=1990),"90",AND(D2041&lt;2010,D2041&gt;=2000),"00",AND(D2041&lt;=2019,D2041&gt;=2010),"10"),"1908-1970")</f>
        <v>1908-1970</v>
      </c>
      <c r="F2041" s="3">
        <v>0.21249999999999999</v>
      </c>
      <c r="G2041" t="s">
        <v>13909</v>
      </c>
      <c r="H2041" t="s">
        <v>6541</v>
      </c>
      <c r="I2041">
        <v>12</v>
      </c>
      <c r="J2041" t="s">
        <v>13910</v>
      </c>
      <c r="K2041" t="s">
        <v>13269</v>
      </c>
      <c r="L2041" s="7" t="s">
        <v>13911</v>
      </c>
      <c r="M2041">
        <v>21605</v>
      </c>
      <c r="N2041">
        <v>32</v>
      </c>
      <c r="O2041">
        <v>24</v>
      </c>
      <c r="P2041">
        <v>8</v>
      </c>
      <c r="Q2041">
        <v>32</v>
      </c>
      <c r="R2041">
        <v>24</v>
      </c>
      <c r="S2041">
        <v>8</v>
      </c>
      <c r="T2041">
        <v>0</v>
      </c>
      <c r="U2041" t="s">
        <v>13912</v>
      </c>
      <c r="V2041">
        <f>Tabla1[[#This Row],[Aboard]]-Tabla1[[#This Row],[Fatalities]]</f>
        <v>0</v>
      </c>
      <c r="W2041" s="50">
        <f>IFERROR(Tabla1[[#This Row],[Fatalities]]/Tabla1[[#This Row],[Aboard]],0)</f>
        <v>1</v>
      </c>
      <c r="X2041" s="51" t="str" cm="1">
        <f t="array" ref="X2041">_xlfn.IFS(Tabla1[[#This Row],[Porcentaje de muertes]]&lt;0.35,"LEVE",AND(Tabla1[[#This Row],[Porcentaje de muertes]]&gt;0.35,Tabla1[[#This Row],[Porcentaje de muertes]]&lt;0.65),"MEDIO",Tabla1[[#This Row],[Porcentaje de muertes]]&gt;0.65,"GRAVE")</f>
        <v>GRAVE</v>
      </c>
    </row>
    <row r="2042" spans="2:24" x14ac:dyDescent="0.3">
      <c r="B2042" s="9">
        <v>2041</v>
      </c>
      <c r="C2042" s="49">
        <v>23207</v>
      </c>
      <c r="D2042" s="9">
        <f>YEAR(Tabla1[[#This Row],[Date]])</f>
        <v>1963</v>
      </c>
      <c r="E2042" s="9" t="str" cm="1">
        <f t="array" ref="E2042">IFERROR(_xlfn.IFS(AND(D2042&lt;1980,D2042&gt;=1970),"70",AND(D2042&lt;1990,D2042&gt;=1980),"80",AND(D2042&lt;2000,D2042&gt;=1990),"90",AND(D2042&lt;2010,D2042&gt;=2000),"00",AND(D2042&lt;=2019,D2042&gt;=2010),"10"),"1908-1970")</f>
        <v>1908-1970</v>
      </c>
      <c r="F2042" s="3" t="s">
        <v>28931</v>
      </c>
      <c r="G2042" t="s">
        <v>13913</v>
      </c>
      <c r="H2042" t="s">
        <v>13914</v>
      </c>
      <c r="I2042" t="s">
        <v>28931</v>
      </c>
      <c r="J2042" t="s">
        <v>28931</v>
      </c>
      <c r="K2042" t="s">
        <v>7826</v>
      </c>
      <c r="L2042" s="7" t="s">
        <v>13915</v>
      </c>
      <c r="M2042">
        <v>12813</v>
      </c>
      <c r="N2042">
        <v>12</v>
      </c>
      <c r="O2042">
        <v>8</v>
      </c>
      <c r="P2042">
        <v>4</v>
      </c>
      <c r="Q2042">
        <v>6</v>
      </c>
      <c r="R2042">
        <v>2</v>
      </c>
      <c r="S2042">
        <v>4</v>
      </c>
      <c r="T2042">
        <v>0</v>
      </c>
      <c r="U2042" t="s">
        <v>5991</v>
      </c>
      <c r="V2042">
        <f>Tabla1[[#This Row],[Aboard]]-Tabla1[[#This Row],[Fatalities]]</f>
        <v>6</v>
      </c>
      <c r="W2042" s="50">
        <f>IFERROR(Tabla1[[#This Row],[Fatalities]]/Tabla1[[#This Row],[Aboard]],0)</f>
        <v>0.5</v>
      </c>
      <c r="X2042" s="51" t="str" cm="1">
        <f t="array" ref="X2042">_xlfn.IFS(Tabla1[[#This Row],[Porcentaje de muertes]]&lt;0.35,"LEVE",AND(Tabla1[[#This Row],[Porcentaje de muertes]]&gt;0.35,Tabla1[[#This Row],[Porcentaje de muertes]]&lt;0.65),"MEDIO",Tabla1[[#This Row],[Porcentaje de muertes]]&gt;0.65,"GRAVE")</f>
        <v>MEDIO</v>
      </c>
    </row>
    <row r="2043" spans="2:24" x14ac:dyDescent="0.3">
      <c r="B2043" s="9">
        <v>2042</v>
      </c>
      <c r="C2043" s="49">
        <v>23209</v>
      </c>
      <c r="D2043" s="9">
        <f>YEAR(Tabla1[[#This Row],[Date]])</f>
        <v>1963</v>
      </c>
      <c r="E2043" s="9" t="str" cm="1">
        <f t="array" ref="E2043">IFERROR(_xlfn.IFS(AND(D2043&lt;1980,D2043&gt;=1970),"70",AND(D2043&lt;1990,D2043&gt;=1980),"80",AND(D2043&lt;2000,D2043&gt;=1990),"90",AND(D2043&lt;2010,D2043&gt;=2000),"00",AND(D2043&lt;=2019,D2043&gt;=2010),"10"),"1908-1970")</f>
        <v>1908-1970</v>
      </c>
      <c r="F2043" s="3" t="s">
        <v>28931</v>
      </c>
      <c r="G2043" t="s">
        <v>13916</v>
      </c>
      <c r="H2043" t="s">
        <v>13917</v>
      </c>
      <c r="I2043" t="s">
        <v>28931</v>
      </c>
      <c r="J2043" t="s">
        <v>28931</v>
      </c>
      <c r="K2043" t="s">
        <v>10927</v>
      </c>
      <c r="L2043" s="7" t="s">
        <v>13918</v>
      </c>
      <c r="M2043">
        <v>22510</v>
      </c>
      <c r="N2043">
        <v>6</v>
      </c>
      <c r="O2043">
        <v>0</v>
      </c>
      <c r="P2043">
        <v>6</v>
      </c>
      <c r="Q2043">
        <v>6</v>
      </c>
      <c r="R2043">
        <v>0</v>
      </c>
      <c r="S2043">
        <v>6</v>
      </c>
      <c r="T2043">
        <v>0</v>
      </c>
      <c r="U2043" t="s">
        <v>13919</v>
      </c>
      <c r="V2043">
        <f>Tabla1[[#This Row],[Aboard]]-Tabla1[[#This Row],[Fatalities]]</f>
        <v>0</v>
      </c>
      <c r="W2043" s="50">
        <f>IFERROR(Tabla1[[#This Row],[Fatalities]]/Tabla1[[#This Row],[Aboard]],0)</f>
        <v>1</v>
      </c>
      <c r="X2043" s="51" t="str" cm="1">
        <f t="array" ref="X2043">_xlfn.IFS(Tabla1[[#This Row],[Porcentaje de muertes]]&lt;0.35,"LEVE",AND(Tabla1[[#This Row],[Porcentaje de muertes]]&gt;0.35,Tabla1[[#This Row],[Porcentaje de muertes]]&lt;0.65),"MEDIO",Tabla1[[#This Row],[Porcentaje de muertes]]&gt;0.65,"GRAVE")</f>
        <v>GRAVE</v>
      </c>
    </row>
    <row r="2044" spans="2:24" x14ac:dyDescent="0.3">
      <c r="B2044" s="9">
        <v>2043</v>
      </c>
      <c r="C2044" s="49">
        <v>23219</v>
      </c>
      <c r="D2044" s="9">
        <f>YEAR(Tabla1[[#This Row],[Date]])</f>
        <v>1963</v>
      </c>
      <c r="E2044" s="9" t="str" cm="1">
        <f t="array" ref="E2044">IFERROR(_xlfn.IFS(AND(D2044&lt;1980,D2044&gt;=1970),"70",AND(D2044&lt;1990,D2044&gt;=1980),"80",AND(D2044&lt;2000,D2044&gt;=1990),"90",AND(D2044&lt;2010,D2044&gt;=2000),"00",AND(D2044&lt;=2019,D2044&gt;=2010),"10"),"1908-1970")</f>
        <v>1908-1970</v>
      </c>
      <c r="F2044" s="3">
        <v>7.6388888888888895E-2</v>
      </c>
      <c r="G2044" t="s">
        <v>13920</v>
      </c>
      <c r="H2044" t="s">
        <v>13087</v>
      </c>
      <c r="I2044">
        <v>869</v>
      </c>
      <c r="J2044" t="s">
        <v>13584</v>
      </c>
      <c r="K2044" t="s">
        <v>13602</v>
      </c>
      <c r="L2044" s="7" t="s">
        <v>13921</v>
      </c>
      <c r="M2044">
        <v>6441</v>
      </c>
      <c r="N2044">
        <v>63</v>
      </c>
      <c r="O2044">
        <v>55</v>
      </c>
      <c r="P2044">
        <v>8</v>
      </c>
      <c r="Q2044">
        <v>63</v>
      </c>
      <c r="R2044">
        <v>55</v>
      </c>
      <c r="S2044">
        <v>8</v>
      </c>
      <c r="T2044">
        <v>0</v>
      </c>
      <c r="U2044" t="s">
        <v>13922</v>
      </c>
      <c r="V2044">
        <f>Tabla1[[#This Row],[Aboard]]-Tabla1[[#This Row],[Fatalities]]</f>
        <v>0</v>
      </c>
      <c r="W2044" s="50">
        <f>IFERROR(Tabla1[[#This Row],[Fatalities]]/Tabla1[[#This Row],[Aboard]],0)</f>
        <v>1</v>
      </c>
      <c r="X2044" s="51" t="str" cm="1">
        <f t="array" ref="X2044">_xlfn.IFS(Tabla1[[#This Row],[Porcentaje de muertes]]&lt;0.35,"LEVE",AND(Tabla1[[#This Row],[Porcentaje de muertes]]&gt;0.35,Tabla1[[#This Row],[Porcentaje de muertes]]&lt;0.65),"MEDIO",Tabla1[[#This Row],[Porcentaje de muertes]]&gt;0.65,"GRAVE")</f>
        <v>GRAVE</v>
      </c>
    </row>
    <row r="2045" spans="2:24" x14ac:dyDescent="0.3">
      <c r="B2045" s="9">
        <v>2044</v>
      </c>
      <c r="C2045" s="49">
        <v>23109</v>
      </c>
      <c r="D2045" s="9">
        <f>YEAR(Tabla1[[#This Row],[Date]])</f>
        <v>1963</v>
      </c>
      <c r="E2045" s="9" t="str" cm="1">
        <f t="array" ref="E2045">IFERROR(_xlfn.IFS(AND(D2045&lt;1980,D2045&gt;=1970),"70",AND(D2045&lt;1990,D2045&gt;=1980),"80",AND(D2045&lt;2000,D2045&gt;=1990),"90",AND(D2045&lt;2010,D2045&gt;=2000),"00",AND(D2045&lt;=2019,D2045&gt;=2010),"10"),"1908-1970")</f>
        <v>1908-1970</v>
      </c>
      <c r="F2045" s="3" t="s">
        <v>28931</v>
      </c>
      <c r="G2045" t="s">
        <v>13923</v>
      </c>
      <c r="H2045" t="s">
        <v>13924</v>
      </c>
      <c r="I2045" t="s">
        <v>28931</v>
      </c>
      <c r="J2045" t="s">
        <v>13925</v>
      </c>
      <c r="K2045" t="s">
        <v>7057</v>
      </c>
      <c r="L2045" s="7" t="s">
        <v>13926</v>
      </c>
      <c r="M2045">
        <v>1500</v>
      </c>
      <c r="N2045">
        <v>10</v>
      </c>
      <c r="O2045">
        <v>7</v>
      </c>
      <c r="P2045">
        <v>3</v>
      </c>
      <c r="Q2045">
        <v>10</v>
      </c>
      <c r="R2045">
        <v>7</v>
      </c>
      <c r="S2045">
        <v>3</v>
      </c>
      <c r="T2045">
        <v>0</v>
      </c>
      <c r="U2045" t="s">
        <v>13927</v>
      </c>
      <c r="V2045">
        <f>Tabla1[[#This Row],[Aboard]]-Tabla1[[#This Row],[Fatalities]]</f>
        <v>0</v>
      </c>
      <c r="W2045" s="50">
        <f>IFERROR(Tabla1[[#This Row],[Fatalities]]/Tabla1[[#This Row],[Aboard]],0)</f>
        <v>1</v>
      </c>
      <c r="X2045" s="51" t="str" cm="1">
        <f t="array" ref="X2045">_xlfn.IFS(Tabla1[[#This Row],[Porcentaje de muertes]]&lt;0.35,"LEVE",AND(Tabla1[[#This Row],[Porcentaje de muertes]]&gt;0.35,Tabla1[[#This Row],[Porcentaje de muertes]]&lt;0.65),"MEDIO",Tabla1[[#This Row],[Porcentaje de muertes]]&gt;0.65,"GRAVE")</f>
        <v>GRAVE</v>
      </c>
    </row>
    <row r="2046" spans="2:24" x14ac:dyDescent="0.3">
      <c r="B2046" s="9">
        <v>2045</v>
      </c>
      <c r="C2046" s="49">
        <v>23353</v>
      </c>
      <c r="D2046" s="9">
        <f>YEAR(Tabla1[[#This Row],[Date]])</f>
        <v>1963</v>
      </c>
      <c r="E2046" s="9" t="str" cm="1">
        <f t="array" ref="E2046">IFERROR(_xlfn.IFS(AND(D2046&lt;1980,D2046&gt;=1970),"70",AND(D2046&lt;1990,D2046&gt;=1980),"80",AND(D2046&lt;2000,D2046&gt;=1990),"90",AND(D2046&lt;2010,D2046&gt;=2000),"00",AND(D2046&lt;=2019,D2046&gt;=2010),"10"),"1908-1970")</f>
        <v>1908-1970</v>
      </c>
      <c r="F2046" s="3">
        <v>0.59652777777777777</v>
      </c>
      <c r="G2046" t="s">
        <v>11703</v>
      </c>
      <c r="H2046" t="s">
        <v>13928</v>
      </c>
      <c r="I2046">
        <v>2611</v>
      </c>
      <c r="J2046" t="s">
        <v>13929</v>
      </c>
      <c r="K2046" t="s">
        <v>13930</v>
      </c>
      <c r="L2046" s="7" t="s">
        <v>13931</v>
      </c>
      <c r="M2046">
        <v>39</v>
      </c>
      <c r="N2046">
        <v>20</v>
      </c>
      <c r="O2046">
        <v>16</v>
      </c>
      <c r="P2046">
        <v>4</v>
      </c>
      <c r="Q2046">
        <v>20</v>
      </c>
      <c r="R2046">
        <v>16</v>
      </c>
      <c r="S2046">
        <v>4</v>
      </c>
      <c r="T2046">
        <v>1</v>
      </c>
      <c r="U2046" t="s">
        <v>13932</v>
      </c>
      <c r="V2046">
        <f>Tabla1[[#This Row],[Aboard]]-Tabla1[[#This Row],[Fatalities]]</f>
        <v>0</v>
      </c>
      <c r="W2046" s="50">
        <f>IFERROR(Tabla1[[#This Row],[Fatalities]]/Tabla1[[#This Row],[Aboard]],0)</f>
        <v>1</v>
      </c>
      <c r="X2046" s="51" t="str" cm="1">
        <f t="array" ref="X2046">_xlfn.IFS(Tabla1[[#This Row],[Porcentaje de muertes]]&lt;0.35,"LEVE",AND(Tabla1[[#This Row],[Porcentaje de muertes]]&gt;0.35,Tabla1[[#This Row],[Porcentaje de muertes]]&lt;0.65),"MEDIO",Tabla1[[#This Row],[Porcentaje de muertes]]&gt;0.65,"GRAVE")</f>
        <v>GRAVE</v>
      </c>
    </row>
    <row r="2047" spans="2:24" x14ac:dyDescent="0.3">
      <c r="B2047" s="9">
        <v>2046</v>
      </c>
      <c r="C2047" s="49">
        <v>23237</v>
      </c>
      <c r="D2047" s="9">
        <f>YEAR(Tabla1[[#This Row],[Date]])</f>
        <v>1963</v>
      </c>
      <c r="E2047" s="9" t="str" cm="1">
        <f t="array" ref="E2047">IFERROR(_xlfn.IFS(AND(D2047&lt;1980,D2047&gt;=1970),"70",AND(D2047&lt;1990,D2047&gt;=1980),"80",AND(D2047&lt;2000,D2047&gt;=1990),"90",AND(D2047&lt;2010,D2047&gt;=2000),"00",AND(D2047&lt;=2019,D2047&gt;=2010),"10"),"1908-1970")</f>
        <v>1908-1970</v>
      </c>
      <c r="F2047" s="3">
        <v>0.625</v>
      </c>
      <c r="G2047" t="s">
        <v>13933</v>
      </c>
      <c r="H2047" t="s">
        <v>13934</v>
      </c>
      <c r="I2047">
        <v>1814</v>
      </c>
      <c r="J2047" t="s">
        <v>28931</v>
      </c>
      <c r="K2047" t="s">
        <v>9851</v>
      </c>
      <c r="L2047" s="7" t="s">
        <v>13935</v>
      </c>
      <c r="M2047">
        <v>22391</v>
      </c>
      <c r="N2047">
        <v>2</v>
      </c>
      <c r="O2047">
        <v>0</v>
      </c>
      <c r="P2047">
        <v>2</v>
      </c>
      <c r="Q2047">
        <v>1</v>
      </c>
      <c r="R2047">
        <v>0</v>
      </c>
      <c r="S2047">
        <v>1</v>
      </c>
      <c r="T2047">
        <v>0</v>
      </c>
      <c r="U2047" t="s">
        <v>13936</v>
      </c>
      <c r="V2047">
        <f>Tabla1[[#This Row],[Aboard]]-Tabla1[[#This Row],[Fatalities]]</f>
        <v>1</v>
      </c>
      <c r="W2047" s="50">
        <f>IFERROR(Tabla1[[#This Row],[Fatalities]]/Tabla1[[#This Row],[Aboard]],0)</f>
        <v>0.5</v>
      </c>
      <c r="X2047" s="51" t="str" cm="1">
        <f t="array" ref="X2047">_xlfn.IFS(Tabla1[[#This Row],[Porcentaje de muertes]]&lt;0.35,"LEVE",AND(Tabla1[[#This Row],[Porcentaje de muertes]]&gt;0.35,Tabla1[[#This Row],[Porcentaje de muertes]]&lt;0.65),"MEDIO",Tabla1[[#This Row],[Porcentaje de muertes]]&gt;0.65,"GRAVE")</f>
        <v>MEDIO</v>
      </c>
    </row>
    <row r="2048" spans="2:24" x14ac:dyDescent="0.3">
      <c r="B2048" s="9">
        <v>2047</v>
      </c>
      <c r="C2048" s="49">
        <v>23240</v>
      </c>
      <c r="D2048" s="9">
        <f>YEAR(Tabla1[[#This Row],[Date]])</f>
        <v>1963</v>
      </c>
      <c r="E2048" s="9" t="str" cm="1">
        <f t="array" ref="E2048">IFERROR(_xlfn.IFS(AND(D2048&lt;1980,D2048&gt;=1970),"70",AND(D2048&lt;1990,D2048&gt;=1980),"80",AND(D2048&lt;2000,D2048&gt;=1990),"90",AND(D2048&lt;2010,D2048&gt;=2000),"00",AND(D2048&lt;=2019,D2048&gt;=2010),"10"),"1908-1970")</f>
        <v>1908-1970</v>
      </c>
      <c r="F2048" s="3">
        <v>0.59097222222222223</v>
      </c>
      <c r="G2048" t="s">
        <v>13937</v>
      </c>
      <c r="H2048" t="s">
        <v>13938</v>
      </c>
      <c r="I2048" t="s">
        <v>28931</v>
      </c>
      <c r="J2048" t="s">
        <v>13939</v>
      </c>
      <c r="K2048" t="s">
        <v>12143</v>
      </c>
      <c r="L2048" s="7" t="s">
        <v>13940</v>
      </c>
      <c r="M2048">
        <v>14026</v>
      </c>
      <c r="N2048">
        <v>19</v>
      </c>
      <c r="O2048">
        <v>16</v>
      </c>
      <c r="P2048">
        <v>3</v>
      </c>
      <c r="Q2048">
        <v>19</v>
      </c>
      <c r="R2048">
        <v>16</v>
      </c>
      <c r="S2048">
        <v>3</v>
      </c>
      <c r="T2048">
        <v>0</v>
      </c>
      <c r="U2048" t="s">
        <v>13941</v>
      </c>
      <c r="V2048">
        <f>Tabla1[[#This Row],[Aboard]]-Tabla1[[#This Row],[Fatalities]]</f>
        <v>0</v>
      </c>
      <c r="W2048" s="50">
        <f>IFERROR(Tabla1[[#This Row],[Fatalities]]/Tabla1[[#This Row],[Aboard]],0)</f>
        <v>1</v>
      </c>
      <c r="X2048" s="51" t="str" cm="1">
        <f t="array" ref="X2048">_xlfn.IFS(Tabla1[[#This Row],[Porcentaje de muertes]]&lt;0.35,"LEVE",AND(Tabla1[[#This Row],[Porcentaje de muertes]]&gt;0.35,Tabla1[[#This Row],[Porcentaje de muertes]]&lt;0.65),"MEDIO",Tabla1[[#This Row],[Porcentaje de muertes]]&gt;0.65,"GRAVE")</f>
        <v>GRAVE</v>
      </c>
    </row>
    <row r="2049" spans="2:24" x14ac:dyDescent="0.3">
      <c r="B2049" s="9">
        <v>2048</v>
      </c>
      <c r="C2049" s="49">
        <v>23244</v>
      </c>
      <c r="D2049" s="9">
        <f>YEAR(Tabla1[[#This Row],[Date]])</f>
        <v>1963</v>
      </c>
      <c r="E2049" s="9" t="str" cm="1">
        <f t="array" ref="E2049">IFERROR(_xlfn.IFS(AND(D2049&lt;1980,D2049&gt;=1970),"70",AND(D2049&lt;1990,D2049&gt;=1980),"80",AND(D2049&lt;2000,D2049&gt;=1990),"90",AND(D2049&lt;2010,D2049&gt;=2000),"00",AND(D2049&lt;=2019,D2049&gt;=2010),"10"),"1908-1970")</f>
        <v>1908-1970</v>
      </c>
      <c r="F2049" s="3">
        <v>0.51041666666666663</v>
      </c>
      <c r="G2049" t="s">
        <v>13942</v>
      </c>
      <c r="H2049" t="s">
        <v>6541</v>
      </c>
      <c r="I2049" t="s">
        <v>28931</v>
      </c>
      <c r="J2049" t="s">
        <v>13943</v>
      </c>
      <c r="K2049" t="s">
        <v>13944</v>
      </c>
      <c r="L2049" s="7" t="s">
        <v>13945</v>
      </c>
      <c r="M2049">
        <v>2350701</v>
      </c>
      <c r="N2049">
        <v>52</v>
      </c>
      <c r="O2049">
        <v>45</v>
      </c>
      <c r="P2049">
        <v>7</v>
      </c>
      <c r="Q2049">
        <v>0</v>
      </c>
      <c r="R2049">
        <v>0</v>
      </c>
      <c r="S2049">
        <v>0</v>
      </c>
      <c r="T2049">
        <v>0</v>
      </c>
      <c r="U2049" t="s">
        <v>13946</v>
      </c>
      <c r="V2049">
        <f>Tabla1[[#This Row],[Aboard]]-Tabla1[[#This Row],[Fatalities]]</f>
        <v>52</v>
      </c>
      <c r="W2049" s="50">
        <f>IFERROR(Tabla1[[#This Row],[Fatalities]]/Tabla1[[#This Row],[Aboard]],0)</f>
        <v>0</v>
      </c>
      <c r="X2049" s="51" t="str" cm="1">
        <f t="array" ref="X2049">_xlfn.IFS(Tabla1[[#This Row],[Porcentaje de muertes]]&lt;0.35,"LEVE",AND(Tabla1[[#This Row],[Porcentaje de muertes]]&gt;0.35,Tabla1[[#This Row],[Porcentaje de muertes]]&lt;0.65),"MEDIO",Tabla1[[#This Row],[Porcentaje de muertes]]&gt;0.65,"GRAVE")</f>
        <v>LEVE</v>
      </c>
    </row>
    <row r="2050" spans="2:24" x14ac:dyDescent="0.3">
      <c r="B2050" s="9">
        <v>2049</v>
      </c>
      <c r="C2050" s="49">
        <v>23247</v>
      </c>
      <c r="D2050" s="9">
        <f>YEAR(Tabla1[[#This Row],[Date]])</f>
        <v>1963</v>
      </c>
      <c r="E2050" s="9" t="str" cm="1">
        <f t="array" ref="E2050">IFERROR(_xlfn.IFS(AND(D2050&lt;1980,D2050&gt;=1970),"70",AND(D2050&lt;1990,D2050&gt;=1980),"80",AND(D2050&lt;2000,D2050&gt;=1990),"90",AND(D2050&lt;2010,D2050&gt;=2000),"00",AND(D2050&lt;=2019,D2050&gt;=2010),"10"),"1908-1970")</f>
        <v>1908-1970</v>
      </c>
      <c r="F2050" s="3">
        <v>0.45347222222222222</v>
      </c>
      <c r="G2050" t="s">
        <v>13947</v>
      </c>
      <c r="H2050" t="s">
        <v>6541</v>
      </c>
      <c r="I2050">
        <v>663</v>
      </c>
      <c r="J2050" t="s">
        <v>13948</v>
      </c>
      <c r="K2050" t="s">
        <v>13949</v>
      </c>
      <c r="L2050" s="7" t="s">
        <v>13950</v>
      </c>
      <c r="M2050" t="s">
        <v>13951</v>
      </c>
      <c r="N2050">
        <v>32</v>
      </c>
      <c r="O2050">
        <v>27</v>
      </c>
      <c r="P2050">
        <v>5</v>
      </c>
      <c r="Q2050">
        <v>32</v>
      </c>
      <c r="R2050">
        <v>27</v>
      </c>
      <c r="S2050">
        <v>5</v>
      </c>
      <c r="T2050">
        <v>0</v>
      </c>
      <c r="U2050" t="s">
        <v>13952</v>
      </c>
      <c r="V2050">
        <f>Tabla1[[#This Row],[Aboard]]-Tabla1[[#This Row],[Fatalities]]</f>
        <v>0</v>
      </c>
      <c r="W2050" s="50">
        <f>IFERROR(Tabla1[[#This Row],[Fatalities]]/Tabla1[[#This Row],[Aboard]],0)</f>
        <v>1</v>
      </c>
      <c r="X2050" s="51" t="str" cm="1">
        <f t="array" ref="X2050">_xlfn.IFS(Tabla1[[#This Row],[Porcentaje de muertes]]&lt;0.35,"LEVE",AND(Tabla1[[#This Row],[Porcentaje de muertes]]&gt;0.35,Tabla1[[#This Row],[Porcentaje de muertes]]&lt;0.65),"MEDIO",Tabla1[[#This Row],[Porcentaje de muertes]]&gt;0.65,"GRAVE")</f>
        <v>GRAVE</v>
      </c>
    </row>
    <row r="2051" spans="2:24" x14ac:dyDescent="0.3">
      <c r="B2051" s="9">
        <v>2050</v>
      </c>
      <c r="C2051" s="49">
        <v>23251</v>
      </c>
      <c r="D2051" s="9">
        <f>YEAR(Tabla1[[#This Row],[Date]])</f>
        <v>1963</v>
      </c>
      <c r="E2051" s="9" t="str" cm="1">
        <f t="array" ref="E2051">IFERROR(_xlfn.IFS(AND(D2051&lt;1980,D2051&gt;=1970),"70",AND(D2051&lt;1990,D2051&gt;=1980),"80",AND(D2051&lt;2000,D2051&gt;=1990),"90",AND(D2051&lt;2010,D2051&gt;=2000),"00",AND(D2051&lt;=2019,D2051&gt;=2010),"10"),"1908-1970")</f>
        <v>1908-1970</v>
      </c>
      <c r="F2051" s="3">
        <v>0.52083333333333337</v>
      </c>
      <c r="G2051" t="s">
        <v>6172</v>
      </c>
      <c r="H2051" t="s">
        <v>13953</v>
      </c>
      <c r="I2051" t="s">
        <v>28931</v>
      </c>
      <c r="J2051" t="s">
        <v>28931</v>
      </c>
      <c r="K2051" t="s">
        <v>13954</v>
      </c>
      <c r="L2051" s="7" t="s">
        <v>13955</v>
      </c>
      <c r="M2051" t="s">
        <v>13956</v>
      </c>
      <c r="N2051">
        <v>11</v>
      </c>
      <c r="O2051">
        <v>0</v>
      </c>
      <c r="P2051">
        <v>11</v>
      </c>
      <c r="Q2051">
        <v>11</v>
      </c>
      <c r="R2051">
        <v>0</v>
      </c>
      <c r="S2051">
        <v>11</v>
      </c>
      <c r="T2051">
        <v>0</v>
      </c>
      <c r="U2051" t="s">
        <v>13957</v>
      </c>
      <c r="V2051">
        <f>Tabla1[[#This Row],[Aboard]]-Tabla1[[#This Row],[Fatalities]]</f>
        <v>0</v>
      </c>
      <c r="W2051" s="50">
        <f>IFERROR(Tabla1[[#This Row],[Fatalities]]/Tabla1[[#This Row],[Aboard]],0)</f>
        <v>1</v>
      </c>
      <c r="X2051" s="51" t="str" cm="1">
        <f t="array" ref="X2051">_xlfn.IFS(Tabla1[[#This Row],[Porcentaje de muertes]]&lt;0.35,"LEVE",AND(Tabla1[[#This Row],[Porcentaje de muertes]]&gt;0.35,Tabla1[[#This Row],[Porcentaje de muertes]]&lt;0.65),"MEDIO",Tabla1[[#This Row],[Porcentaje de muertes]]&gt;0.65,"GRAVE")</f>
        <v>GRAVE</v>
      </c>
    </row>
    <row r="2052" spans="2:24" x14ac:dyDescent="0.3">
      <c r="B2052" s="9">
        <v>2051</v>
      </c>
      <c r="C2052" s="49">
        <v>23051</v>
      </c>
      <c r="D2052" s="9">
        <f>YEAR(Tabla1[[#This Row],[Date]])</f>
        <v>1963</v>
      </c>
      <c r="E2052" s="9" t="str" cm="1">
        <f t="array" ref="E2052">IFERROR(_xlfn.IFS(AND(D2052&lt;1980,D2052&gt;=1970),"70",AND(D2052&lt;1990,D2052&gt;=1980),"80",AND(D2052&lt;2000,D2052&gt;=1990),"90",AND(D2052&lt;2010,D2052&gt;=2000),"00",AND(D2052&lt;=2019,D2052&gt;=2010),"10"),"1908-1970")</f>
        <v>1908-1970</v>
      </c>
      <c r="F2052" s="3" t="s">
        <v>28931</v>
      </c>
      <c r="G2052" t="s">
        <v>13958</v>
      </c>
      <c r="H2052" t="s">
        <v>28931</v>
      </c>
      <c r="I2052" t="s">
        <v>28931</v>
      </c>
      <c r="J2052" t="s">
        <v>28931</v>
      </c>
      <c r="K2052" t="s">
        <v>13959</v>
      </c>
      <c r="L2052" s="7" t="s">
        <v>28931</v>
      </c>
      <c r="M2052" t="s">
        <v>28931</v>
      </c>
      <c r="N2052">
        <v>16</v>
      </c>
      <c r="O2052">
        <v>13</v>
      </c>
      <c r="P2052">
        <v>3</v>
      </c>
      <c r="Q2052">
        <v>15</v>
      </c>
      <c r="R2052">
        <v>12</v>
      </c>
      <c r="S2052">
        <v>3</v>
      </c>
      <c r="T2052" t="s">
        <v>5038</v>
      </c>
      <c r="U2052" t="s">
        <v>13960</v>
      </c>
      <c r="V2052">
        <f>Tabla1[[#This Row],[Aboard]]-Tabla1[[#This Row],[Fatalities]]</f>
        <v>1</v>
      </c>
      <c r="W2052" s="50">
        <f>IFERROR(Tabla1[[#This Row],[Fatalities]]/Tabla1[[#This Row],[Aboard]],0)</f>
        <v>0.9375</v>
      </c>
      <c r="X2052" s="51" t="str" cm="1">
        <f t="array" ref="X2052">_xlfn.IFS(Tabla1[[#This Row],[Porcentaje de muertes]]&lt;0.35,"LEVE",AND(Tabla1[[#This Row],[Porcentaje de muertes]]&gt;0.35,Tabla1[[#This Row],[Porcentaje de muertes]]&lt;0.65),"MEDIO",Tabla1[[#This Row],[Porcentaje de muertes]]&gt;0.65,"GRAVE")</f>
        <v>GRAVE</v>
      </c>
    </row>
    <row r="2053" spans="2:24" x14ac:dyDescent="0.3">
      <c r="B2053" s="9">
        <v>2052</v>
      </c>
      <c r="C2053" s="49">
        <v>23110</v>
      </c>
      <c r="D2053" s="9">
        <f>YEAR(Tabla1[[#This Row],[Date]])</f>
        <v>1963</v>
      </c>
      <c r="E2053" s="9" t="str" cm="1">
        <f t="array" ref="E2053">IFERROR(_xlfn.IFS(AND(D2053&lt;1980,D2053&gt;=1970),"70",AND(D2053&lt;1990,D2053&gt;=1980),"80",AND(D2053&lt;2000,D2053&gt;=1990),"90",AND(D2053&lt;2010,D2053&gt;=2000),"00",AND(D2053&lt;=2019,D2053&gt;=2010),"10"),"1908-1970")</f>
        <v>1908-1970</v>
      </c>
      <c r="F2053" s="3">
        <v>0.26527777777777778</v>
      </c>
      <c r="G2053" t="s">
        <v>13961</v>
      </c>
      <c r="H2053" t="s">
        <v>6471</v>
      </c>
      <c r="I2053">
        <v>306</v>
      </c>
      <c r="J2053" t="s">
        <v>13962</v>
      </c>
      <c r="K2053" t="s">
        <v>13330</v>
      </c>
      <c r="L2053" s="7" t="s">
        <v>13963</v>
      </c>
      <c r="M2053">
        <v>147</v>
      </c>
      <c r="N2053">
        <v>80</v>
      </c>
      <c r="O2053">
        <v>74</v>
      </c>
      <c r="P2053">
        <v>6</v>
      </c>
      <c r="Q2053">
        <v>80</v>
      </c>
      <c r="R2053">
        <v>74</v>
      </c>
      <c r="S2053">
        <v>6</v>
      </c>
      <c r="T2053">
        <v>0</v>
      </c>
      <c r="U2053" t="s">
        <v>13964</v>
      </c>
      <c r="V2053">
        <f>Tabla1[[#This Row],[Aboard]]-Tabla1[[#This Row],[Fatalities]]</f>
        <v>0</v>
      </c>
      <c r="W2053" s="50">
        <f>IFERROR(Tabla1[[#This Row],[Fatalities]]/Tabla1[[#This Row],[Aboard]],0)</f>
        <v>1</v>
      </c>
      <c r="X2053" s="51" t="str" cm="1">
        <f t="array" ref="X2053">_xlfn.IFS(Tabla1[[#This Row],[Porcentaje de muertes]]&lt;0.35,"LEVE",AND(Tabla1[[#This Row],[Porcentaje de muertes]]&gt;0.35,Tabla1[[#This Row],[Porcentaje de muertes]]&lt;0.65),"MEDIO",Tabla1[[#This Row],[Porcentaje de muertes]]&gt;0.65,"GRAVE")</f>
        <v>GRAVE</v>
      </c>
    </row>
    <row r="2054" spans="2:24" x14ac:dyDescent="0.3">
      <c r="B2054" s="9">
        <v>2053</v>
      </c>
      <c r="C2054" s="49">
        <v>23324</v>
      </c>
      <c r="D2054" s="9">
        <f>YEAR(Tabla1[[#This Row],[Date]])</f>
        <v>1963</v>
      </c>
      <c r="E2054" s="9" t="str" cm="1">
        <f t="array" ref="E2054">IFERROR(_xlfn.IFS(AND(D2054&lt;1980,D2054&gt;=1970),"70",AND(D2054&lt;1990,D2054&gt;=1980),"80",AND(D2054&lt;2000,D2054&gt;=1990),"90",AND(D2054&lt;2010,D2054&gt;=2000),"00",AND(D2054&lt;=2019,D2054&gt;=2010),"10"),"1908-1970")</f>
        <v>1908-1970</v>
      </c>
      <c r="F2054" s="3">
        <v>0.16666666666666666</v>
      </c>
      <c r="G2054" t="s">
        <v>13965</v>
      </c>
      <c r="H2054" t="s">
        <v>11150</v>
      </c>
      <c r="I2054" t="s">
        <v>28931</v>
      </c>
      <c r="J2054" t="s">
        <v>13966</v>
      </c>
      <c r="K2054" t="s">
        <v>13967</v>
      </c>
      <c r="L2054" s="7" t="s">
        <v>13968</v>
      </c>
      <c r="M2054">
        <v>192</v>
      </c>
      <c r="N2054">
        <v>18</v>
      </c>
      <c r="O2054">
        <v>13</v>
      </c>
      <c r="P2054">
        <v>5</v>
      </c>
      <c r="Q2054">
        <v>18</v>
      </c>
      <c r="R2054">
        <v>13</v>
      </c>
      <c r="S2054">
        <v>5</v>
      </c>
      <c r="T2054">
        <v>0</v>
      </c>
      <c r="U2054" t="s">
        <v>13969</v>
      </c>
      <c r="V2054">
        <f>Tabla1[[#This Row],[Aboard]]-Tabla1[[#This Row],[Fatalities]]</f>
        <v>0</v>
      </c>
      <c r="W2054" s="50">
        <f>IFERROR(Tabla1[[#This Row],[Fatalities]]/Tabla1[[#This Row],[Aboard]],0)</f>
        <v>1</v>
      </c>
      <c r="X2054" s="51" t="str" cm="1">
        <f t="array" ref="X2054">_xlfn.IFS(Tabla1[[#This Row],[Porcentaje de muertes]]&lt;0.35,"LEVE",AND(Tabla1[[#This Row],[Porcentaje de muertes]]&gt;0.35,Tabla1[[#This Row],[Porcentaje de muertes]]&lt;0.65),"MEDIO",Tabla1[[#This Row],[Porcentaje de muertes]]&gt;0.65,"GRAVE")</f>
        <v>GRAVE</v>
      </c>
    </row>
    <row r="2055" spans="2:24" x14ac:dyDescent="0.3">
      <c r="B2055" s="9">
        <v>2054</v>
      </c>
      <c r="C2055" s="49">
        <v>23354</v>
      </c>
      <c r="D2055" s="9">
        <f>YEAR(Tabla1[[#This Row],[Date]])</f>
        <v>1963</v>
      </c>
      <c r="E2055" s="9" t="str" cm="1">
        <f t="array" ref="E2055">IFERROR(_xlfn.IFS(AND(D2055&lt;1980,D2055&gt;=1970),"70",AND(D2055&lt;1990,D2055&gt;=1980),"80",AND(D2055&lt;2000,D2055&gt;=1990),"90",AND(D2055&lt;2010,D2055&gt;=2000),"00",AND(D2055&lt;=2019,D2055&gt;=2010),"10"),"1908-1970")</f>
        <v>1908-1970</v>
      </c>
      <c r="F2055" s="3">
        <v>2.0833333333333332E-2</v>
      </c>
      <c r="G2055" t="s">
        <v>13970</v>
      </c>
      <c r="H2055" t="s">
        <v>13753</v>
      </c>
      <c r="I2055" t="s">
        <v>28931</v>
      </c>
      <c r="J2055" t="s">
        <v>13345</v>
      </c>
      <c r="K2055" t="s">
        <v>12039</v>
      </c>
      <c r="L2055" s="7" t="s">
        <v>13971</v>
      </c>
      <c r="M2055">
        <v>216</v>
      </c>
      <c r="N2055">
        <v>40</v>
      </c>
      <c r="O2055">
        <v>36</v>
      </c>
      <c r="P2055">
        <v>4</v>
      </c>
      <c r="Q2055">
        <v>40</v>
      </c>
      <c r="R2055">
        <v>36</v>
      </c>
      <c r="S2055">
        <v>4</v>
      </c>
      <c r="T2055">
        <v>0</v>
      </c>
      <c r="U2055" t="s">
        <v>13972</v>
      </c>
      <c r="V2055">
        <f>Tabla1[[#This Row],[Aboard]]-Tabla1[[#This Row],[Fatalities]]</f>
        <v>0</v>
      </c>
      <c r="W2055" s="50">
        <f>IFERROR(Tabla1[[#This Row],[Fatalities]]/Tabla1[[#This Row],[Aboard]],0)</f>
        <v>1</v>
      </c>
      <c r="X2055" s="51" t="str" cm="1">
        <f t="array" ref="X2055">_xlfn.IFS(Tabla1[[#This Row],[Porcentaje de muertes]]&lt;0.35,"LEVE",AND(Tabla1[[#This Row],[Porcentaje de muertes]]&gt;0.35,Tabla1[[#This Row],[Porcentaje de muertes]]&lt;0.65),"MEDIO",Tabla1[[#This Row],[Porcentaje de muertes]]&gt;0.65,"GRAVE")</f>
        <v>GRAVE</v>
      </c>
    </row>
    <row r="2056" spans="2:24" x14ac:dyDescent="0.3">
      <c r="B2056" s="9">
        <v>2055</v>
      </c>
      <c r="C2056" s="49">
        <v>23276</v>
      </c>
      <c r="D2056" s="9">
        <f>YEAR(Tabla1[[#This Row],[Date]])</f>
        <v>1963</v>
      </c>
      <c r="E2056" s="9" t="str" cm="1">
        <f t="array" ref="E2056">IFERROR(_xlfn.IFS(AND(D2056&lt;1980,D2056&gt;=1970),"70",AND(D2056&lt;1990,D2056&gt;=1980),"80",AND(D2056&lt;2000,D2056&gt;=1990),"90",AND(D2056&lt;2010,D2056&gt;=2000),"00",AND(D2056&lt;=2019,D2056&gt;=2010),"10"),"1908-1970")</f>
        <v>1908-1970</v>
      </c>
      <c r="F2056" s="3" t="s">
        <v>28931</v>
      </c>
      <c r="G2056" t="s">
        <v>13973</v>
      </c>
      <c r="H2056" t="s">
        <v>7987</v>
      </c>
      <c r="I2056" t="s">
        <v>28931</v>
      </c>
      <c r="J2056" t="s">
        <v>13974</v>
      </c>
      <c r="K2056" t="s">
        <v>13975</v>
      </c>
      <c r="L2056" s="7" t="s">
        <v>13976</v>
      </c>
      <c r="M2056">
        <v>45167</v>
      </c>
      <c r="N2056">
        <v>10</v>
      </c>
      <c r="O2056">
        <v>0</v>
      </c>
      <c r="P2056">
        <v>10</v>
      </c>
      <c r="Q2056">
        <v>10</v>
      </c>
      <c r="R2056">
        <v>0</v>
      </c>
      <c r="S2056">
        <v>10</v>
      </c>
      <c r="T2056">
        <v>0</v>
      </c>
      <c r="U2056" t="s">
        <v>13977</v>
      </c>
      <c r="V2056">
        <f>Tabla1[[#This Row],[Aboard]]-Tabla1[[#This Row],[Fatalities]]</f>
        <v>0</v>
      </c>
      <c r="W2056" s="50">
        <f>IFERROR(Tabla1[[#This Row],[Fatalities]]/Tabla1[[#This Row],[Aboard]],0)</f>
        <v>1</v>
      </c>
      <c r="X2056" s="51" t="str" cm="1">
        <f t="array" ref="X2056">_xlfn.IFS(Tabla1[[#This Row],[Porcentaje de muertes]]&lt;0.35,"LEVE",AND(Tabla1[[#This Row],[Porcentaje de muertes]]&gt;0.35,Tabla1[[#This Row],[Porcentaje de muertes]]&lt;0.65),"MEDIO",Tabla1[[#This Row],[Porcentaje de muertes]]&gt;0.65,"GRAVE")</f>
        <v>GRAVE</v>
      </c>
    </row>
    <row r="2057" spans="2:24" x14ac:dyDescent="0.3">
      <c r="B2057" s="9">
        <v>2056</v>
      </c>
      <c r="C2057" s="49">
        <v>23264</v>
      </c>
      <c r="D2057" s="9">
        <f>YEAR(Tabla1[[#This Row],[Date]])</f>
        <v>1963</v>
      </c>
      <c r="E2057" s="9" t="str" cm="1">
        <f t="array" ref="E2057">IFERROR(_xlfn.IFS(AND(D2057&lt;1980,D2057&gt;=1970),"70",AND(D2057&lt;1990,D2057&gt;=1980),"80",AND(D2057&lt;2000,D2057&gt;=1990),"90",AND(D2057&lt;2010,D2057&gt;=2000),"00",AND(D2057&lt;=2019,D2057&gt;=2010),"10"),"1908-1970")</f>
        <v>1908-1970</v>
      </c>
      <c r="F2057" s="3" t="s">
        <v>28931</v>
      </c>
      <c r="G2057" t="s">
        <v>13978</v>
      </c>
      <c r="H2057" t="s">
        <v>13979</v>
      </c>
      <c r="I2057" t="s">
        <v>28931</v>
      </c>
      <c r="J2057" t="s">
        <v>13980</v>
      </c>
      <c r="K2057" t="s">
        <v>13981</v>
      </c>
      <c r="L2057" s="7" t="s">
        <v>13982</v>
      </c>
      <c r="M2057">
        <v>13915</v>
      </c>
      <c r="N2057">
        <v>6</v>
      </c>
      <c r="O2057">
        <v>0</v>
      </c>
      <c r="P2057">
        <v>6</v>
      </c>
      <c r="Q2057">
        <v>6</v>
      </c>
      <c r="R2057">
        <v>0</v>
      </c>
      <c r="S2057">
        <v>6</v>
      </c>
      <c r="T2057">
        <v>0</v>
      </c>
      <c r="U2057" t="s">
        <v>13983</v>
      </c>
      <c r="V2057">
        <f>Tabla1[[#This Row],[Aboard]]-Tabla1[[#This Row],[Fatalities]]</f>
        <v>0</v>
      </c>
      <c r="W2057" s="50">
        <f>IFERROR(Tabla1[[#This Row],[Fatalities]]/Tabla1[[#This Row],[Aboard]],0)</f>
        <v>1</v>
      </c>
      <c r="X2057" s="51" t="str" cm="1">
        <f t="array" ref="X2057">_xlfn.IFS(Tabla1[[#This Row],[Porcentaje de muertes]]&lt;0.35,"LEVE",AND(Tabla1[[#This Row],[Porcentaje de muertes]]&gt;0.35,Tabla1[[#This Row],[Porcentaje de muertes]]&lt;0.65),"MEDIO",Tabla1[[#This Row],[Porcentaje de muertes]]&gt;0.65,"GRAVE")</f>
        <v>GRAVE</v>
      </c>
    </row>
    <row r="2058" spans="2:24" x14ac:dyDescent="0.3">
      <c r="B2058" s="9">
        <v>2057</v>
      </c>
      <c r="C2058" s="49">
        <v>23298</v>
      </c>
      <c r="D2058" s="9">
        <f>YEAR(Tabla1[[#This Row],[Date]])</f>
        <v>1963</v>
      </c>
      <c r="E2058" s="9" t="str" cm="1">
        <f t="array" ref="E2058">IFERROR(_xlfn.IFS(AND(D2058&lt;1980,D2058&gt;=1970),"70",AND(D2058&lt;1990,D2058&gt;=1980),"80",AND(D2058&lt;2000,D2058&gt;=1990),"90",AND(D2058&lt;2010,D2058&gt;=2000),"00",AND(D2058&lt;=2019,D2058&gt;=2010),"10"),"1908-1970")</f>
        <v>1908-1970</v>
      </c>
      <c r="F2058" s="3">
        <v>0.48125000000000001</v>
      </c>
      <c r="G2058" t="s">
        <v>13984</v>
      </c>
      <c r="H2058" t="s">
        <v>13985</v>
      </c>
      <c r="I2058">
        <v>600</v>
      </c>
      <c r="J2058" t="s">
        <v>13986</v>
      </c>
      <c r="K2058" t="s">
        <v>13987</v>
      </c>
      <c r="L2058" s="7" t="s">
        <v>13988</v>
      </c>
      <c r="M2058">
        <v>3</v>
      </c>
      <c r="N2058">
        <v>6</v>
      </c>
      <c r="O2058">
        <v>3</v>
      </c>
      <c r="P2058">
        <v>3</v>
      </c>
      <c r="Q2058">
        <v>6</v>
      </c>
      <c r="R2058">
        <v>3</v>
      </c>
      <c r="S2058">
        <v>3</v>
      </c>
      <c r="T2058">
        <v>0</v>
      </c>
      <c r="U2058" t="s">
        <v>13989</v>
      </c>
      <c r="V2058">
        <f>Tabla1[[#This Row],[Aboard]]-Tabla1[[#This Row],[Fatalities]]</f>
        <v>0</v>
      </c>
      <c r="W2058" s="50">
        <f>IFERROR(Tabla1[[#This Row],[Fatalities]]/Tabla1[[#This Row],[Aboard]],0)</f>
        <v>1</v>
      </c>
      <c r="X2058" s="51" t="str" cm="1">
        <f t="array" ref="X2058">_xlfn.IFS(Tabla1[[#This Row],[Porcentaje de muertes]]&lt;0.35,"LEVE",AND(Tabla1[[#This Row],[Porcentaje de muertes]]&gt;0.35,Tabla1[[#This Row],[Porcentaje de muertes]]&lt;0.65),"MEDIO",Tabla1[[#This Row],[Porcentaje de muertes]]&gt;0.65,"GRAVE")</f>
        <v>GRAVE</v>
      </c>
    </row>
    <row r="2059" spans="2:24" x14ac:dyDescent="0.3">
      <c r="B2059" s="9">
        <v>2058</v>
      </c>
      <c r="C2059" s="49">
        <v>23302</v>
      </c>
      <c r="D2059" s="9">
        <f>YEAR(Tabla1[[#This Row],[Date]])</f>
        <v>1963</v>
      </c>
      <c r="E2059" s="9" t="str" cm="1">
        <f t="array" ref="E2059">IFERROR(_xlfn.IFS(AND(D2059&lt;1980,D2059&gt;=1970),"70",AND(D2059&lt;1990,D2059&gt;=1980),"80",AND(D2059&lt;2000,D2059&gt;=1990),"90",AND(D2059&lt;2010,D2059&gt;=2000),"00",AND(D2059&lt;=2019,D2059&gt;=2010),"10"),"1908-1970")</f>
        <v>1908-1970</v>
      </c>
      <c r="F2059" s="3" t="s">
        <v>28931</v>
      </c>
      <c r="G2059" t="s">
        <v>13990</v>
      </c>
      <c r="H2059" t="s">
        <v>9999</v>
      </c>
      <c r="I2059" t="s">
        <v>28931</v>
      </c>
      <c r="J2059" t="s">
        <v>13991</v>
      </c>
      <c r="K2059" t="s">
        <v>13992</v>
      </c>
      <c r="L2059" s="7" t="s">
        <v>28931</v>
      </c>
      <c r="M2059" t="s">
        <v>28931</v>
      </c>
      <c r="N2059">
        <v>31</v>
      </c>
      <c r="O2059">
        <v>25</v>
      </c>
      <c r="P2059">
        <v>6</v>
      </c>
      <c r="Q2059">
        <v>31</v>
      </c>
      <c r="R2059">
        <v>25</v>
      </c>
      <c r="S2059">
        <v>6</v>
      </c>
      <c r="T2059">
        <v>0</v>
      </c>
      <c r="U2059" t="s">
        <v>13993</v>
      </c>
      <c r="V2059">
        <f>Tabla1[[#This Row],[Aboard]]-Tabla1[[#This Row],[Fatalities]]</f>
        <v>0</v>
      </c>
      <c r="W2059" s="50">
        <f>IFERROR(Tabla1[[#This Row],[Fatalities]]/Tabla1[[#This Row],[Aboard]],0)</f>
        <v>1</v>
      </c>
      <c r="X2059" s="51" t="str" cm="1">
        <f t="array" ref="X2059">_xlfn.IFS(Tabla1[[#This Row],[Porcentaje de muertes]]&lt;0.35,"LEVE",AND(Tabla1[[#This Row],[Porcentaje de muertes]]&gt;0.35,Tabla1[[#This Row],[Porcentaje de muertes]]&lt;0.65),"MEDIO",Tabla1[[#This Row],[Porcentaje de muertes]]&gt;0.65,"GRAVE")</f>
        <v>GRAVE</v>
      </c>
    </row>
    <row r="2060" spans="2:24" x14ac:dyDescent="0.3">
      <c r="B2060" s="9">
        <v>2059</v>
      </c>
      <c r="C2060" s="49">
        <v>23304</v>
      </c>
      <c r="D2060" s="9">
        <f>YEAR(Tabla1[[#This Row],[Date]])</f>
        <v>1963</v>
      </c>
      <c r="E2060" s="9" t="str" cm="1">
        <f t="array" ref="E2060">IFERROR(_xlfn.IFS(AND(D2060&lt;1980,D2060&gt;=1970),"70",AND(D2060&lt;1990,D2060&gt;=1980),"80",AND(D2060&lt;2000,D2060&gt;=1990),"90",AND(D2060&lt;2010,D2060&gt;=2000),"00",AND(D2060&lt;=2019,D2060&gt;=2010),"10"),"1908-1970")</f>
        <v>1908-1970</v>
      </c>
      <c r="F2060" s="3" t="s">
        <v>28931</v>
      </c>
      <c r="G2060" t="s">
        <v>13994</v>
      </c>
      <c r="H2060" t="s">
        <v>6541</v>
      </c>
      <c r="I2060" t="s">
        <v>28931</v>
      </c>
      <c r="J2060" t="s">
        <v>12436</v>
      </c>
      <c r="K2060" t="s">
        <v>12541</v>
      </c>
      <c r="L2060" s="7" t="s">
        <v>13995</v>
      </c>
      <c r="M2060">
        <v>6341301</v>
      </c>
      <c r="N2060">
        <v>7</v>
      </c>
      <c r="O2060">
        <v>5</v>
      </c>
      <c r="P2060">
        <v>2</v>
      </c>
      <c r="Q2060">
        <v>7</v>
      </c>
      <c r="R2060">
        <v>5</v>
      </c>
      <c r="S2060">
        <v>2</v>
      </c>
      <c r="T2060">
        <v>0</v>
      </c>
      <c r="U2060" t="s">
        <v>13996</v>
      </c>
      <c r="V2060">
        <f>Tabla1[[#This Row],[Aboard]]-Tabla1[[#This Row],[Fatalities]]</f>
        <v>0</v>
      </c>
      <c r="W2060" s="50">
        <f>IFERROR(Tabla1[[#This Row],[Fatalities]]/Tabla1[[#This Row],[Aboard]],0)</f>
        <v>1</v>
      </c>
      <c r="X2060" s="51" t="str" cm="1">
        <f t="array" ref="X2060">_xlfn.IFS(Tabla1[[#This Row],[Porcentaje de muertes]]&lt;0.35,"LEVE",AND(Tabla1[[#This Row],[Porcentaje de muertes]]&gt;0.35,Tabla1[[#This Row],[Porcentaje de muertes]]&lt;0.65),"MEDIO",Tabla1[[#This Row],[Porcentaje de muertes]]&gt;0.65,"GRAVE")</f>
        <v>GRAVE</v>
      </c>
    </row>
    <row r="2061" spans="2:24" x14ac:dyDescent="0.3">
      <c r="B2061" s="9">
        <v>2060</v>
      </c>
      <c r="C2061" s="49">
        <v>23306</v>
      </c>
      <c r="D2061" s="9">
        <f>YEAR(Tabla1[[#This Row],[Date]])</f>
        <v>1963</v>
      </c>
      <c r="E2061" s="9" t="str" cm="1">
        <f t="array" ref="E2061">IFERROR(_xlfn.IFS(AND(D2061&lt;1980,D2061&gt;=1970),"70",AND(D2061&lt;1990,D2061&gt;=1980),"80",AND(D2061&lt;2000,D2061&gt;=1990),"90",AND(D2061&lt;2010,D2061&gt;=2000),"00",AND(D2061&lt;=2019,D2061&gt;=2010),"10"),"1908-1970")</f>
        <v>1908-1970</v>
      </c>
      <c r="F2061" s="3">
        <v>0.44444444444444442</v>
      </c>
      <c r="G2061" t="s">
        <v>13997</v>
      </c>
      <c r="H2061" t="s">
        <v>13998</v>
      </c>
      <c r="I2061" t="s">
        <v>28931</v>
      </c>
      <c r="J2061" t="s">
        <v>5028</v>
      </c>
      <c r="K2061" t="s">
        <v>13999</v>
      </c>
      <c r="L2061" s="7" t="s">
        <v>14000</v>
      </c>
      <c r="M2061">
        <v>4</v>
      </c>
      <c r="N2061">
        <v>7</v>
      </c>
      <c r="O2061">
        <v>0</v>
      </c>
      <c r="P2061">
        <v>7</v>
      </c>
      <c r="Q2061">
        <v>7</v>
      </c>
      <c r="R2061">
        <v>0</v>
      </c>
      <c r="S2061">
        <v>7</v>
      </c>
      <c r="T2061">
        <v>0</v>
      </c>
      <c r="U2061" t="s">
        <v>14001</v>
      </c>
      <c r="V2061">
        <f>Tabla1[[#This Row],[Aboard]]-Tabla1[[#This Row],[Fatalities]]</f>
        <v>0</v>
      </c>
      <c r="W2061" s="50">
        <f>IFERROR(Tabla1[[#This Row],[Fatalities]]/Tabla1[[#This Row],[Aboard]],0)</f>
        <v>1</v>
      </c>
      <c r="X2061" s="51" t="str" cm="1">
        <f t="array" ref="X2061">_xlfn.IFS(Tabla1[[#This Row],[Porcentaje de muertes]]&lt;0.35,"LEVE",AND(Tabla1[[#This Row],[Porcentaje de muertes]]&gt;0.35,Tabla1[[#This Row],[Porcentaje de muertes]]&lt;0.65),"MEDIO",Tabla1[[#This Row],[Porcentaje de muertes]]&gt;0.65,"GRAVE")</f>
        <v>GRAVE</v>
      </c>
    </row>
    <row r="2062" spans="2:24" x14ac:dyDescent="0.3">
      <c r="B2062" s="9">
        <v>2061</v>
      </c>
      <c r="C2062" s="49">
        <v>23234</v>
      </c>
      <c r="D2062" s="9">
        <f>YEAR(Tabla1[[#This Row],[Date]])</f>
        <v>1963</v>
      </c>
      <c r="E2062" s="9" t="str" cm="1">
        <f t="array" ref="E2062">IFERROR(_xlfn.IFS(AND(D2062&lt;1980,D2062&gt;=1970),"70",AND(D2062&lt;1990,D2062&gt;=1980),"80",AND(D2062&lt;2000,D2062&gt;=1990),"90",AND(D2062&lt;2010,D2062&gt;=2000),"00",AND(D2062&lt;=2019,D2062&gt;=2010),"10"),"1908-1970")</f>
        <v>1908-1970</v>
      </c>
      <c r="F2062" s="3">
        <v>0.74930555555555556</v>
      </c>
      <c r="G2062" t="s">
        <v>14002</v>
      </c>
      <c r="H2062" t="s">
        <v>13175</v>
      </c>
      <c r="I2062">
        <v>217</v>
      </c>
      <c r="J2062" t="s">
        <v>14003</v>
      </c>
      <c r="K2062" t="s">
        <v>7057</v>
      </c>
      <c r="L2062" s="7" t="s">
        <v>14004</v>
      </c>
      <c r="M2062">
        <v>9799</v>
      </c>
      <c r="N2062">
        <v>24</v>
      </c>
      <c r="O2062">
        <v>21</v>
      </c>
      <c r="P2062">
        <v>3</v>
      </c>
      <c r="Q2062">
        <v>22</v>
      </c>
      <c r="R2062">
        <v>19</v>
      </c>
      <c r="S2062">
        <v>3</v>
      </c>
      <c r="T2062">
        <v>0</v>
      </c>
      <c r="U2062" t="s">
        <v>14005</v>
      </c>
      <c r="V2062">
        <f>Tabla1[[#This Row],[Aboard]]-Tabla1[[#This Row],[Fatalities]]</f>
        <v>2</v>
      </c>
      <c r="W2062" s="50">
        <f>IFERROR(Tabla1[[#This Row],[Fatalities]]/Tabla1[[#This Row],[Aboard]],0)</f>
        <v>0.91666666666666663</v>
      </c>
      <c r="X2062" s="51" t="str" cm="1">
        <f t="array" ref="X2062">_xlfn.IFS(Tabla1[[#This Row],[Porcentaje de muertes]]&lt;0.35,"LEVE",AND(Tabla1[[#This Row],[Porcentaje de muertes]]&gt;0.35,Tabla1[[#This Row],[Porcentaje de muertes]]&lt;0.65),"MEDIO",Tabla1[[#This Row],[Porcentaje de muertes]]&gt;0.65,"GRAVE")</f>
        <v>GRAVE</v>
      </c>
    </row>
    <row r="2063" spans="2:24" x14ac:dyDescent="0.3">
      <c r="B2063" s="9">
        <v>2062</v>
      </c>
      <c r="C2063" s="49">
        <v>23344</v>
      </c>
      <c r="D2063" s="9">
        <f>YEAR(Tabla1[[#This Row],[Date]])</f>
        <v>1963</v>
      </c>
      <c r="E2063" s="9" t="str" cm="1">
        <f t="array" ref="E2063">IFERROR(_xlfn.IFS(AND(D2063&lt;1980,D2063&gt;=1970),"70",AND(D2063&lt;1990,D2063&gt;=1980),"80",AND(D2063&lt;2000,D2063&gt;=1990),"90",AND(D2063&lt;2010,D2063&gt;=2000),"00",AND(D2063&lt;=2019,D2063&gt;=2010),"10"),"1908-1970")</f>
        <v>1908-1970</v>
      </c>
      <c r="F2063" s="3">
        <v>0.7729166666666667</v>
      </c>
      <c r="G2063" t="s">
        <v>14006</v>
      </c>
      <c r="H2063" t="s">
        <v>7329</v>
      </c>
      <c r="I2063">
        <v>831</v>
      </c>
      <c r="J2063" t="s">
        <v>14007</v>
      </c>
      <c r="K2063" t="s">
        <v>14008</v>
      </c>
      <c r="L2063" s="7" t="s">
        <v>14009</v>
      </c>
      <c r="M2063" t="s">
        <v>14010</v>
      </c>
      <c r="N2063">
        <v>118</v>
      </c>
      <c r="O2063">
        <v>111</v>
      </c>
      <c r="P2063">
        <v>7</v>
      </c>
      <c r="Q2063">
        <v>118</v>
      </c>
      <c r="R2063">
        <v>111</v>
      </c>
      <c r="S2063">
        <v>7</v>
      </c>
      <c r="T2063">
        <v>0</v>
      </c>
      <c r="U2063" t="s">
        <v>14011</v>
      </c>
      <c r="V2063">
        <f>Tabla1[[#This Row],[Aboard]]-Tabla1[[#This Row],[Fatalities]]</f>
        <v>0</v>
      </c>
      <c r="W2063" s="50">
        <f>IFERROR(Tabla1[[#This Row],[Fatalities]]/Tabla1[[#This Row],[Aboard]],0)</f>
        <v>1</v>
      </c>
      <c r="X2063" s="51" t="str" cm="1">
        <f t="array" ref="X2063">_xlfn.IFS(Tabla1[[#This Row],[Porcentaje de muertes]]&lt;0.35,"LEVE",AND(Tabla1[[#This Row],[Porcentaje de muertes]]&gt;0.35,Tabla1[[#This Row],[Porcentaje de muertes]]&lt;0.65),"MEDIO",Tabla1[[#This Row],[Porcentaje de muertes]]&gt;0.65,"GRAVE")</f>
        <v>GRAVE</v>
      </c>
    </row>
    <row r="2064" spans="2:24" x14ac:dyDescent="0.3">
      <c r="B2064" s="9">
        <v>2063</v>
      </c>
      <c r="C2064" s="49">
        <v>23204</v>
      </c>
      <c r="D2064" s="9">
        <f>YEAR(Tabla1[[#This Row],[Date]])</f>
        <v>1963</v>
      </c>
      <c r="E2064" s="9" t="str" cm="1">
        <f t="array" ref="E2064">IFERROR(_xlfn.IFS(AND(D2064&lt;1980,D2064&gt;=1970),"70",AND(D2064&lt;1990,D2064&gt;=1980),"80",AND(D2064&lt;2000,D2064&gt;=1990),"90",AND(D2064&lt;2010,D2064&gt;=2000),"00",AND(D2064&lt;=2019,D2064&gt;=2010),"10"),"1908-1970")</f>
        <v>1908-1970</v>
      </c>
      <c r="F2064" s="3">
        <v>0.80486111111111114</v>
      </c>
      <c r="G2064" t="s">
        <v>14012</v>
      </c>
      <c r="H2064" t="s">
        <v>11209</v>
      </c>
      <c r="I2064" t="s">
        <v>28931</v>
      </c>
      <c r="J2064" t="s">
        <v>14013</v>
      </c>
      <c r="K2064" t="s">
        <v>14014</v>
      </c>
      <c r="L2064" s="7" t="s">
        <v>14015</v>
      </c>
      <c r="M2064">
        <v>26571</v>
      </c>
      <c r="N2064">
        <v>3</v>
      </c>
      <c r="O2064">
        <v>1</v>
      </c>
      <c r="P2064">
        <v>2</v>
      </c>
      <c r="Q2064">
        <v>3</v>
      </c>
      <c r="R2064">
        <v>1</v>
      </c>
      <c r="S2064">
        <v>2</v>
      </c>
      <c r="T2064">
        <v>0</v>
      </c>
      <c r="U2064" t="s">
        <v>14016</v>
      </c>
      <c r="V2064">
        <f>Tabla1[[#This Row],[Aboard]]-Tabla1[[#This Row],[Fatalities]]</f>
        <v>0</v>
      </c>
      <c r="W2064" s="50">
        <f>IFERROR(Tabla1[[#This Row],[Fatalities]]/Tabla1[[#This Row],[Aboard]],0)</f>
        <v>1</v>
      </c>
      <c r="X2064" s="51" t="str" cm="1">
        <f t="array" ref="X2064">_xlfn.IFS(Tabla1[[#This Row],[Porcentaje de muertes]]&lt;0.35,"LEVE",AND(Tabla1[[#This Row],[Porcentaje de muertes]]&gt;0.35,Tabla1[[#This Row],[Porcentaje de muertes]]&lt;0.65),"MEDIO",Tabla1[[#This Row],[Porcentaje de muertes]]&gt;0.65,"GRAVE")</f>
        <v>GRAVE</v>
      </c>
    </row>
    <row r="2065" spans="2:24" x14ac:dyDescent="0.3">
      <c r="B2065" s="9">
        <v>2064</v>
      </c>
      <c r="C2065" s="49">
        <v>23235</v>
      </c>
      <c r="D2065" s="9">
        <f>YEAR(Tabla1[[#This Row],[Date]])</f>
        <v>1963</v>
      </c>
      <c r="E2065" s="9" t="str" cm="1">
        <f t="array" ref="E2065">IFERROR(_xlfn.IFS(AND(D2065&lt;1980,D2065&gt;=1970),"70",AND(D2065&lt;1990,D2065&gt;=1980),"80",AND(D2065&lt;2000,D2065&gt;=1990),"90",AND(D2065&lt;2010,D2065&gt;=2000),"00",AND(D2065&lt;=2019,D2065&gt;=2010),"10"),"1908-1970")</f>
        <v>1908-1970</v>
      </c>
      <c r="F2065" s="3">
        <v>0.87430555555555556</v>
      </c>
      <c r="G2065" t="s">
        <v>14017</v>
      </c>
      <c r="H2065" t="s">
        <v>7121</v>
      </c>
      <c r="I2065">
        <v>214</v>
      </c>
      <c r="J2065" t="s">
        <v>14018</v>
      </c>
      <c r="K2065" t="s">
        <v>14019</v>
      </c>
      <c r="L2065" s="7" t="s">
        <v>14020</v>
      </c>
      <c r="M2065" t="s">
        <v>14021</v>
      </c>
      <c r="N2065">
        <v>81</v>
      </c>
      <c r="O2065">
        <v>73</v>
      </c>
      <c r="P2065">
        <v>8</v>
      </c>
      <c r="Q2065">
        <v>81</v>
      </c>
      <c r="R2065">
        <v>73</v>
      </c>
      <c r="S2065">
        <v>8</v>
      </c>
      <c r="T2065">
        <v>0</v>
      </c>
      <c r="U2065" t="s">
        <v>14022</v>
      </c>
      <c r="V2065">
        <f>Tabla1[[#This Row],[Aboard]]-Tabla1[[#This Row],[Fatalities]]</f>
        <v>0</v>
      </c>
      <c r="W2065" s="50">
        <f>IFERROR(Tabla1[[#This Row],[Fatalities]]/Tabla1[[#This Row],[Aboard]],0)</f>
        <v>1</v>
      </c>
      <c r="X2065" s="51" t="str" cm="1">
        <f t="array" ref="X2065">_xlfn.IFS(Tabla1[[#This Row],[Porcentaje de muertes]]&lt;0.35,"LEVE",AND(Tabla1[[#This Row],[Porcentaje de muertes]]&gt;0.35,Tabla1[[#This Row],[Porcentaje de muertes]]&lt;0.65),"MEDIO",Tabla1[[#This Row],[Porcentaje de muertes]]&gt;0.65,"GRAVE")</f>
        <v>GRAVE</v>
      </c>
    </row>
    <row r="2066" spans="2:24" x14ac:dyDescent="0.3">
      <c r="B2066" s="9">
        <v>2065</v>
      </c>
      <c r="C2066" s="49">
        <v>23357</v>
      </c>
      <c r="D2066" s="9">
        <f>YEAR(Tabla1[[#This Row],[Date]])</f>
        <v>1963</v>
      </c>
      <c r="E2066" s="9" t="str" cm="1">
        <f t="array" ref="E2066">IFERROR(_xlfn.IFS(AND(D2066&lt;1980,D2066&gt;=1970),"70",AND(D2066&lt;1990,D2066&gt;=1980),"80",AND(D2066&lt;2000,D2066&gt;=1990),"90",AND(D2066&lt;2010,D2066&gt;=2000),"00",AND(D2066&lt;=2019,D2066&gt;=2010),"10"),"1908-1970")</f>
        <v>1908-1970</v>
      </c>
      <c r="F2066" s="3">
        <v>0.61458333333333337</v>
      </c>
      <c r="G2066" t="s">
        <v>14023</v>
      </c>
      <c r="H2066" t="s">
        <v>13590</v>
      </c>
      <c r="I2066" t="s">
        <v>28931</v>
      </c>
      <c r="J2066" t="s">
        <v>14024</v>
      </c>
      <c r="K2066" t="s">
        <v>7894</v>
      </c>
      <c r="L2066" s="7" t="s">
        <v>14025</v>
      </c>
      <c r="M2066">
        <v>10424</v>
      </c>
      <c r="N2066">
        <v>3</v>
      </c>
      <c r="O2066">
        <v>0</v>
      </c>
      <c r="P2066">
        <v>3</v>
      </c>
      <c r="Q2066">
        <v>3</v>
      </c>
      <c r="R2066">
        <v>0</v>
      </c>
      <c r="S2066">
        <v>3</v>
      </c>
      <c r="T2066">
        <v>0</v>
      </c>
      <c r="U2066" t="s">
        <v>14026</v>
      </c>
      <c r="V2066">
        <f>Tabla1[[#This Row],[Aboard]]-Tabla1[[#This Row],[Fatalities]]</f>
        <v>0</v>
      </c>
      <c r="W2066" s="50">
        <f>IFERROR(Tabla1[[#This Row],[Fatalities]]/Tabla1[[#This Row],[Aboard]],0)</f>
        <v>1</v>
      </c>
      <c r="X2066" s="51" t="str" cm="1">
        <f t="array" ref="X2066">_xlfn.IFS(Tabla1[[#This Row],[Porcentaje de muertes]]&lt;0.35,"LEVE",AND(Tabla1[[#This Row],[Porcentaje de muertes]]&gt;0.35,Tabla1[[#This Row],[Porcentaje de muertes]]&lt;0.65),"MEDIO",Tabla1[[#This Row],[Porcentaje de muertes]]&gt;0.65,"GRAVE")</f>
        <v>GRAVE</v>
      </c>
    </row>
    <row r="2067" spans="2:24" x14ac:dyDescent="0.3">
      <c r="B2067" s="9">
        <v>2066</v>
      </c>
      <c r="C2067" s="49">
        <v>23360</v>
      </c>
      <c r="D2067" s="9">
        <f>YEAR(Tabla1[[#This Row],[Date]])</f>
        <v>1963</v>
      </c>
      <c r="E2067" s="9" t="str" cm="1">
        <f t="array" ref="E2067">IFERROR(_xlfn.IFS(AND(D2067&lt;1980,D2067&gt;=1970),"70",AND(D2067&lt;1990,D2067&gt;=1980),"80",AND(D2067&lt;2000,D2067&gt;=1990),"90",AND(D2067&lt;2010,D2067&gt;=2000),"00",AND(D2067&lt;=2019,D2067&gt;=2010),"10"),"1908-1970")</f>
        <v>1908-1970</v>
      </c>
      <c r="F2067" s="3" t="s">
        <v>28931</v>
      </c>
      <c r="G2067" t="s">
        <v>6648</v>
      </c>
      <c r="H2067" t="s">
        <v>6563</v>
      </c>
      <c r="I2067" t="s">
        <v>28931</v>
      </c>
      <c r="J2067" t="s">
        <v>11161</v>
      </c>
      <c r="K2067" t="s">
        <v>13046</v>
      </c>
      <c r="L2067" s="7" t="s">
        <v>11163</v>
      </c>
      <c r="M2067">
        <v>213</v>
      </c>
      <c r="N2067">
        <v>6</v>
      </c>
      <c r="O2067">
        <v>1</v>
      </c>
      <c r="P2067">
        <v>5</v>
      </c>
      <c r="Q2067">
        <v>6</v>
      </c>
      <c r="R2067">
        <v>1</v>
      </c>
      <c r="S2067">
        <v>5</v>
      </c>
      <c r="T2067">
        <v>0</v>
      </c>
      <c r="U2067" t="s">
        <v>9744</v>
      </c>
      <c r="V2067">
        <f>Tabla1[[#This Row],[Aboard]]-Tabla1[[#This Row],[Fatalities]]</f>
        <v>0</v>
      </c>
      <c r="W2067" s="50">
        <f>IFERROR(Tabla1[[#This Row],[Fatalities]]/Tabla1[[#This Row],[Aboard]],0)</f>
        <v>1</v>
      </c>
      <c r="X2067" s="51" t="str" cm="1">
        <f t="array" ref="X2067">_xlfn.IFS(Tabla1[[#This Row],[Porcentaje de muertes]]&lt;0.35,"LEVE",AND(Tabla1[[#This Row],[Porcentaje de muertes]]&gt;0.35,Tabla1[[#This Row],[Porcentaje de muertes]]&lt;0.65),"MEDIO",Tabla1[[#This Row],[Porcentaje de muertes]]&gt;0.65,"GRAVE")</f>
        <v>GRAVE</v>
      </c>
    </row>
    <row r="2068" spans="2:24" x14ac:dyDescent="0.3">
      <c r="B2068" s="9">
        <v>2067</v>
      </c>
      <c r="C2068" s="49">
        <v>23362</v>
      </c>
      <c r="D2068" s="9">
        <f>YEAR(Tabla1[[#This Row],[Date]])</f>
        <v>1963</v>
      </c>
      <c r="E2068" s="9" t="str" cm="1">
        <f t="array" ref="E2068">IFERROR(_xlfn.IFS(AND(D2068&lt;1980,D2068&gt;=1970),"70",AND(D2068&lt;1990,D2068&gt;=1980),"80",AND(D2068&lt;2000,D2068&gt;=1990),"90",AND(D2068&lt;2010,D2068&gt;=2000),"00",AND(D2068&lt;=2019,D2068&gt;=2010),"10"),"1908-1970")</f>
        <v>1908-1970</v>
      </c>
      <c r="F2068" s="3">
        <v>0.9868055555555556</v>
      </c>
      <c r="G2068" t="s">
        <v>14027</v>
      </c>
      <c r="H2068" t="s">
        <v>7873</v>
      </c>
      <c r="I2068" t="s">
        <v>28931</v>
      </c>
      <c r="J2068" t="s">
        <v>28931</v>
      </c>
      <c r="K2068" t="s">
        <v>10428</v>
      </c>
      <c r="L2068" s="7" t="s">
        <v>14028</v>
      </c>
      <c r="M2068">
        <v>45536</v>
      </c>
      <c r="N2068">
        <v>46</v>
      </c>
      <c r="O2068">
        <v>40</v>
      </c>
      <c r="P2068">
        <v>6</v>
      </c>
      <c r="Q2068">
        <v>0</v>
      </c>
      <c r="R2068">
        <v>0</v>
      </c>
      <c r="S2068">
        <v>0</v>
      </c>
      <c r="T2068">
        <v>0</v>
      </c>
      <c r="U2068" t="s">
        <v>14029</v>
      </c>
      <c r="V2068">
        <f>Tabla1[[#This Row],[Aboard]]-Tabla1[[#This Row],[Fatalities]]</f>
        <v>46</v>
      </c>
      <c r="W2068" s="50">
        <f>IFERROR(Tabla1[[#This Row],[Fatalities]]/Tabla1[[#This Row],[Aboard]],0)</f>
        <v>0</v>
      </c>
      <c r="X2068" s="51" t="str" cm="1">
        <f t="array" ref="X2068">_xlfn.IFS(Tabla1[[#This Row],[Porcentaje de muertes]]&lt;0.35,"LEVE",AND(Tabla1[[#This Row],[Porcentaje de muertes]]&gt;0.35,Tabla1[[#This Row],[Porcentaje de muertes]]&lt;0.65),"MEDIO",Tabla1[[#This Row],[Porcentaje de muertes]]&gt;0.65,"GRAVE")</f>
        <v>LEVE</v>
      </c>
    </row>
    <row r="2069" spans="2:24" x14ac:dyDescent="0.3">
      <c r="B2069" s="9">
        <v>2068</v>
      </c>
      <c r="C2069" s="49">
        <v>23621</v>
      </c>
      <c r="D2069" s="9">
        <f>YEAR(Tabla1[[#This Row],[Date]])</f>
        <v>1964</v>
      </c>
      <c r="E2069" s="9" t="str" cm="1">
        <f t="array" ref="E2069">IFERROR(_xlfn.IFS(AND(D2069&lt;1980,D2069&gt;=1970),"70",AND(D2069&lt;1990,D2069&gt;=1980),"80",AND(D2069&lt;2000,D2069&gt;=1990),"90",AND(D2069&lt;2010,D2069&gt;=2000),"00",AND(D2069&lt;=2019,D2069&gt;=2010),"10"),"1908-1970")</f>
        <v>1908-1970</v>
      </c>
      <c r="F2069" s="3">
        <v>0.40972222222222227</v>
      </c>
      <c r="G2069" t="s">
        <v>14030</v>
      </c>
      <c r="H2069" t="s">
        <v>14031</v>
      </c>
      <c r="I2069" t="s">
        <v>28931</v>
      </c>
      <c r="J2069" t="s">
        <v>14032</v>
      </c>
      <c r="K2069" t="s">
        <v>7057</v>
      </c>
      <c r="L2069" s="7" t="s">
        <v>14033</v>
      </c>
      <c r="M2069" t="s">
        <v>14034</v>
      </c>
      <c r="N2069">
        <v>30</v>
      </c>
      <c r="O2069">
        <v>27</v>
      </c>
      <c r="P2069">
        <v>3</v>
      </c>
      <c r="Q2069">
        <v>28</v>
      </c>
      <c r="R2069">
        <v>25</v>
      </c>
      <c r="S2069">
        <v>3</v>
      </c>
      <c r="T2069">
        <v>0</v>
      </c>
      <c r="U2069" t="s">
        <v>14035</v>
      </c>
      <c r="V2069">
        <f>Tabla1[[#This Row],[Aboard]]-Tabla1[[#This Row],[Fatalities]]</f>
        <v>2</v>
      </c>
      <c r="W2069" s="50">
        <f>IFERROR(Tabla1[[#This Row],[Fatalities]]/Tabla1[[#This Row],[Aboard]],0)</f>
        <v>0.93333333333333335</v>
      </c>
      <c r="X2069" s="51" t="str" cm="1">
        <f t="array" ref="X2069">_xlfn.IFS(Tabla1[[#This Row],[Porcentaje de muertes]]&lt;0.35,"LEVE",AND(Tabla1[[#This Row],[Porcentaje de muertes]]&gt;0.35,Tabla1[[#This Row],[Porcentaje de muertes]]&lt;0.65),"MEDIO",Tabla1[[#This Row],[Porcentaje de muertes]]&gt;0.65,"GRAVE")</f>
        <v>GRAVE</v>
      </c>
    </row>
    <row r="2070" spans="2:24" x14ac:dyDescent="0.3">
      <c r="B2070" s="9">
        <v>2069</v>
      </c>
      <c r="C2070" s="49">
        <v>23438</v>
      </c>
      <c r="D2070" s="9">
        <f>YEAR(Tabla1[[#This Row],[Date]])</f>
        <v>1964</v>
      </c>
      <c r="E2070" s="9" t="str" cm="1">
        <f t="array" ref="E2070">IFERROR(_xlfn.IFS(AND(D2070&lt;1980,D2070&gt;=1970),"70",AND(D2070&lt;1990,D2070&gt;=1980),"80",AND(D2070&lt;2000,D2070&gt;=1990),"90",AND(D2070&lt;2010,D2070&gt;=2000),"00",AND(D2070&lt;=2019,D2070&gt;=2010),"10"),"1908-1970")</f>
        <v>1908-1970</v>
      </c>
      <c r="F2070" s="3">
        <v>0.85416666666666663</v>
      </c>
      <c r="G2070" t="s">
        <v>14036</v>
      </c>
      <c r="H2070" t="s">
        <v>12613</v>
      </c>
      <c r="I2070" t="s">
        <v>28931</v>
      </c>
      <c r="J2070" t="s">
        <v>12865</v>
      </c>
      <c r="K2070" t="s">
        <v>8105</v>
      </c>
      <c r="L2070" s="7" t="s">
        <v>14037</v>
      </c>
      <c r="M2070">
        <v>12319</v>
      </c>
      <c r="N2070">
        <v>3</v>
      </c>
      <c r="O2070">
        <v>0</v>
      </c>
      <c r="P2070">
        <v>3</v>
      </c>
      <c r="Q2070">
        <v>3</v>
      </c>
      <c r="R2070">
        <v>0</v>
      </c>
      <c r="S2070">
        <v>3</v>
      </c>
      <c r="T2070">
        <v>0</v>
      </c>
      <c r="U2070" t="s">
        <v>14038</v>
      </c>
      <c r="V2070">
        <f>Tabla1[[#This Row],[Aboard]]-Tabla1[[#This Row],[Fatalities]]</f>
        <v>0</v>
      </c>
      <c r="W2070" s="50">
        <f>IFERROR(Tabla1[[#This Row],[Fatalities]]/Tabla1[[#This Row],[Aboard]],0)</f>
        <v>1</v>
      </c>
      <c r="X2070" s="51" t="str" cm="1">
        <f t="array" ref="X2070">_xlfn.IFS(Tabla1[[#This Row],[Porcentaje de muertes]]&lt;0.35,"LEVE",AND(Tabla1[[#This Row],[Porcentaje de muertes]]&gt;0.35,Tabla1[[#This Row],[Porcentaje de muertes]]&lt;0.65),"MEDIO",Tabla1[[#This Row],[Porcentaje de muertes]]&gt;0.65,"GRAVE")</f>
        <v>GRAVE</v>
      </c>
    </row>
    <row r="2071" spans="2:24" x14ac:dyDescent="0.3">
      <c r="B2071" s="9">
        <v>2070</v>
      </c>
      <c r="C2071" s="49">
        <v>23438</v>
      </c>
      <c r="D2071" s="9">
        <f>YEAR(Tabla1[[#This Row],[Date]])</f>
        <v>1964</v>
      </c>
      <c r="E2071" s="9" t="str" cm="1">
        <f t="array" ref="E2071">IFERROR(_xlfn.IFS(AND(D2071&lt;1980,D2071&gt;=1970),"70",AND(D2071&lt;1990,D2071&gt;=1980),"80",AND(D2071&lt;2000,D2071&gt;=1990),"90",AND(D2071&lt;2010,D2071&gt;=2000),"00",AND(D2071&lt;=2019,D2071&gt;=2010),"10"),"1908-1970")</f>
        <v>1908-1970</v>
      </c>
      <c r="F2071" s="3">
        <v>0.33333333333333331</v>
      </c>
      <c r="G2071" t="s">
        <v>14039</v>
      </c>
      <c r="H2071" t="s">
        <v>14040</v>
      </c>
      <c r="I2071" t="s">
        <v>14041</v>
      </c>
      <c r="J2071" t="s">
        <v>14042</v>
      </c>
      <c r="K2071" t="s">
        <v>14043</v>
      </c>
      <c r="L2071" s="7" t="s">
        <v>14044</v>
      </c>
      <c r="M2071" t="s">
        <v>14045</v>
      </c>
      <c r="N2071">
        <v>10</v>
      </c>
      <c r="O2071">
        <v>9</v>
      </c>
      <c r="P2071">
        <v>1</v>
      </c>
      <c r="Q2071">
        <v>10</v>
      </c>
      <c r="R2071">
        <v>9</v>
      </c>
      <c r="S2071">
        <v>1</v>
      </c>
      <c r="T2071">
        <v>0</v>
      </c>
      <c r="U2071" t="s">
        <v>14046</v>
      </c>
      <c r="V2071">
        <f>Tabla1[[#This Row],[Aboard]]-Tabla1[[#This Row],[Fatalities]]</f>
        <v>0</v>
      </c>
      <c r="W2071" s="50">
        <f>IFERROR(Tabla1[[#This Row],[Fatalities]]/Tabla1[[#This Row],[Aboard]],0)</f>
        <v>1</v>
      </c>
      <c r="X2071" s="51" t="str" cm="1">
        <f t="array" ref="X2071">_xlfn.IFS(Tabla1[[#This Row],[Porcentaje de muertes]]&lt;0.35,"LEVE",AND(Tabla1[[#This Row],[Porcentaje de muertes]]&gt;0.35,Tabla1[[#This Row],[Porcentaje de muertes]]&lt;0.65),"MEDIO",Tabla1[[#This Row],[Porcentaje de muertes]]&gt;0.65,"GRAVE")</f>
        <v>GRAVE</v>
      </c>
    </row>
    <row r="2072" spans="2:24" x14ac:dyDescent="0.3">
      <c r="B2072" s="9">
        <v>2071</v>
      </c>
      <c r="C2072" s="49">
        <v>23469</v>
      </c>
      <c r="D2072" s="9">
        <f>YEAR(Tabla1[[#This Row],[Date]])</f>
        <v>1964</v>
      </c>
      <c r="E2072" s="9" t="str" cm="1">
        <f t="array" ref="E2072">IFERROR(_xlfn.IFS(AND(D2072&lt;1980,D2072&gt;=1970),"70",AND(D2072&lt;1990,D2072&gt;=1980),"80",AND(D2072&lt;2000,D2072&gt;=1990),"90",AND(D2072&lt;2010,D2072&gt;=2000),"00",AND(D2072&lt;=2019,D2072&gt;=2010),"10"),"1908-1970")</f>
        <v>1908-1970</v>
      </c>
      <c r="F2072" s="3" t="s">
        <v>28931</v>
      </c>
      <c r="G2072" t="s">
        <v>14047</v>
      </c>
      <c r="H2072" t="s">
        <v>14048</v>
      </c>
      <c r="I2072" t="s">
        <v>28931</v>
      </c>
      <c r="J2072" t="s">
        <v>14049</v>
      </c>
      <c r="K2072" t="s">
        <v>7057</v>
      </c>
      <c r="L2072" s="7" t="s">
        <v>14050</v>
      </c>
      <c r="M2072">
        <v>19024</v>
      </c>
      <c r="N2072">
        <v>29</v>
      </c>
      <c r="O2072">
        <v>26</v>
      </c>
      <c r="P2072">
        <v>3</v>
      </c>
      <c r="Q2072">
        <v>2</v>
      </c>
      <c r="R2072" t="s">
        <v>5038</v>
      </c>
      <c r="S2072" t="s">
        <v>5038</v>
      </c>
      <c r="T2072">
        <v>0</v>
      </c>
      <c r="U2072" t="s">
        <v>14051</v>
      </c>
      <c r="V2072">
        <f>Tabla1[[#This Row],[Aboard]]-Tabla1[[#This Row],[Fatalities]]</f>
        <v>27</v>
      </c>
      <c r="W2072" s="50">
        <f>IFERROR(Tabla1[[#This Row],[Fatalities]]/Tabla1[[#This Row],[Aboard]],0)</f>
        <v>6.8965517241379309E-2</v>
      </c>
      <c r="X2072" s="51" t="str" cm="1">
        <f t="array" ref="X2072">_xlfn.IFS(Tabla1[[#This Row],[Porcentaje de muertes]]&lt;0.35,"LEVE",AND(Tabla1[[#This Row],[Porcentaje de muertes]]&gt;0.35,Tabla1[[#This Row],[Porcentaje de muertes]]&lt;0.65),"MEDIO",Tabla1[[#This Row],[Porcentaje de muertes]]&gt;0.65,"GRAVE")</f>
        <v>LEVE</v>
      </c>
    </row>
    <row r="2073" spans="2:24" x14ac:dyDescent="0.3">
      <c r="B2073" s="9">
        <v>2072</v>
      </c>
      <c r="C2073" s="49">
        <v>23425</v>
      </c>
      <c r="D2073" s="9">
        <f>YEAR(Tabla1[[#This Row],[Date]])</f>
        <v>1964</v>
      </c>
      <c r="E2073" s="9" t="str" cm="1">
        <f t="array" ref="E2073">IFERROR(_xlfn.IFS(AND(D2073&lt;1980,D2073&gt;=1970),"70",AND(D2073&lt;1990,D2073&gt;=1980),"80",AND(D2073&lt;2000,D2073&gt;=1990),"90",AND(D2073&lt;2010,D2073&gt;=2000),"00",AND(D2073&lt;=2019,D2073&gt;=2010),"10"),"1908-1970")</f>
        <v>1908-1970</v>
      </c>
      <c r="F2073" s="3">
        <v>0.65277777777777779</v>
      </c>
      <c r="G2073" t="s">
        <v>14052</v>
      </c>
      <c r="H2073" t="s">
        <v>8036</v>
      </c>
      <c r="I2073" t="s">
        <v>28931</v>
      </c>
      <c r="J2073" t="s">
        <v>14053</v>
      </c>
      <c r="K2073" t="s">
        <v>12541</v>
      </c>
      <c r="L2073" s="7" t="s">
        <v>28931</v>
      </c>
      <c r="M2073" t="s">
        <v>28931</v>
      </c>
      <c r="N2073">
        <v>13</v>
      </c>
      <c r="O2073">
        <v>8</v>
      </c>
      <c r="P2073">
        <v>5</v>
      </c>
      <c r="Q2073">
        <v>13</v>
      </c>
      <c r="R2073">
        <v>8</v>
      </c>
      <c r="S2073">
        <v>5</v>
      </c>
      <c r="T2073">
        <v>0</v>
      </c>
      <c r="U2073" t="s">
        <v>9988</v>
      </c>
      <c r="V2073">
        <f>Tabla1[[#This Row],[Aboard]]-Tabla1[[#This Row],[Fatalities]]</f>
        <v>0</v>
      </c>
      <c r="W2073" s="50">
        <f>IFERROR(Tabla1[[#This Row],[Fatalities]]/Tabla1[[#This Row],[Aboard]],0)</f>
        <v>1</v>
      </c>
      <c r="X2073" s="51" t="str" cm="1">
        <f t="array" ref="X2073">_xlfn.IFS(Tabla1[[#This Row],[Porcentaje de muertes]]&lt;0.35,"LEVE",AND(Tabla1[[#This Row],[Porcentaje de muertes]]&gt;0.35,Tabla1[[#This Row],[Porcentaje de muertes]]&lt;0.65),"MEDIO",Tabla1[[#This Row],[Porcentaje de muertes]]&gt;0.65,"GRAVE")</f>
        <v>GRAVE</v>
      </c>
    </row>
    <row r="2074" spans="2:24" x14ac:dyDescent="0.3">
      <c r="B2074" s="9">
        <v>2073</v>
      </c>
      <c r="C2074" s="49">
        <v>23428</v>
      </c>
      <c r="D2074" s="9">
        <f>YEAR(Tabla1[[#This Row],[Date]])</f>
        <v>1964</v>
      </c>
      <c r="E2074" s="9" t="str" cm="1">
        <f t="array" ref="E2074">IFERROR(_xlfn.IFS(AND(D2074&lt;1980,D2074&gt;=1970),"70",AND(D2074&lt;1990,D2074&gt;=1980),"80",AND(D2074&lt;2000,D2074&gt;=1990),"90",AND(D2074&lt;2010,D2074&gt;=2000),"00",AND(D2074&lt;=2019,D2074&gt;=2010),"10"),"1908-1970")</f>
        <v>1908-1970</v>
      </c>
      <c r="F2074" s="3">
        <v>0.66666666666666663</v>
      </c>
      <c r="G2074" t="s">
        <v>14054</v>
      </c>
      <c r="H2074" t="s">
        <v>8992</v>
      </c>
      <c r="I2074">
        <v>946</v>
      </c>
      <c r="J2074" t="s">
        <v>14055</v>
      </c>
      <c r="K2074" t="s">
        <v>7057</v>
      </c>
      <c r="L2074" s="7" t="s">
        <v>14056</v>
      </c>
      <c r="M2074" t="s">
        <v>14057</v>
      </c>
      <c r="N2074">
        <v>32</v>
      </c>
      <c r="O2074">
        <v>29</v>
      </c>
      <c r="P2074">
        <v>3</v>
      </c>
      <c r="Q2074">
        <v>31</v>
      </c>
      <c r="R2074">
        <v>28</v>
      </c>
      <c r="S2074">
        <v>3</v>
      </c>
      <c r="T2074">
        <v>0</v>
      </c>
      <c r="U2074" t="s">
        <v>14058</v>
      </c>
      <c r="V2074">
        <f>Tabla1[[#This Row],[Aboard]]-Tabla1[[#This Row],[Fatalities]]</f>
        <v>1</v>
      </c>
      <c r="W2074" s="50">
        <f>IFERROR(Tabla1[[#This Row],[Fatalities]]/Tabla1[[#This Row],[Aboard]],0)</f>
        <v>0.96875</v>
      </c>
      <c r="X2074" s="51" t="str" cm="1">
        <f t="array" ref="X2074">_xlfn.IFS(Tabla1[[#This Row],[Porcentaje de muertes]]&lt;0.35,"LEVE",AND(Tabla1[[#This Row],[Porcentaje de muertes]]&gt;0.35,Tabla1[[#This Row],[Porcentaje de muertes]]&lt;0.65),"MEDIO",Tabla1[[#This Row],[Porcentaje de muertes]]&gt;0.65,"GRAVE")</f>
        <v>GRAVE</v>
      </c>
    </row>
    <row r="2075" spans="2:24" x14ac:dyDescent="0.3">
      <c r="B2075" s="9">
        <v>2074</v>
      </c>
      <c r="C2075" s="49">
        <v>23432</v>
      </c>
      <c r="D2075" s="9">
        <f>YEAR(Tabla1[[#This Row],[Date]])</f>
        <v>1964</v>
      </c>
      <c r="E2075" s="9" t="str" cm="1">
        <f t="array" ref="E2075">IFERROR(_xlfn.IFS(AND(D2075&lt;1980,D2075&gt;=1970),"70",AND(D2075&lt;1990,D2075&gt;=1980),"80",AND(D2075&lt;2000,D2075&gt;=1990),"90",AND(D2075&lt;2010,D2075&gt;=2000),"00",AND(D2075&lt;=2019,D2075&gt;=2010),"10"),"1908-1970")</f>
        <v>1908-1970</v>
      </c>
      <c r="F2075" s="3">
        <v>8.7500000000000008E-2</v>
      </c>
      <c r="G2075" t="s">
        <v>14059</v>
      </c>
      <c r="H2075" t="s">
        <v>6941</v>
      </c>
      <c r="I2075">
        <v>304</v>
      </c>
      <c r="J2075" t="s">
        <v>14060</v>
      </c>
      <c r="K2075" t="s">
        <v>13182</v>
      </c>
      <c r="L2075" s="7" t="s">
        <v>14061</v>
      </c>
      <c r="M2075" t="s">
        <v>14062</v>
      </c>
      <c r="N2075">
        <v>58</v>
      </c>
      <c r="O2075">
        <v>51</v>
      </c>
      <c r="P2075">
        <v>7</v>
      </c>
      <c r="Q2075">
        <v>58</v>
      </c>
      <c r="R2075">
        <v>51</v>
      </c>
      <c r="S2075">
        <v>7</v>
      </c>
      <c r="T2075">
        <v>0</v>
      </c>
      <c r="U2075" t="s">
        <v>14063</v>
      </c>
      <c r="V2075">
        <f>Tabla1[[#This Row],[Aboard]]-Tabla1[[#This Row],[Fatalities]]</f>
        <v>0</v>
      </c>
      <c r="W2075" s="50">
        <f>IFERROR(Tabla1[[#This Row],[Fatalities]]/Tabla1[[#This Row],[Aboard]],0)</f>
        <v>1</v>
      </c>
      <c r="X2075" s="51" t="str" cm="1">
        <f t="array" ref="X2075">_xlfn.IFS(Tabla1[[#This Row],[Porcentaje de muertes]]&lt;0.35,"LEVE",AND(Tabla1[[#This Row],[Porcentaje de muertes]]&gt;0.35,Tabla1[[#This Row],[Porcentaje de muertes]]&lt;0.65),"MEDIO",Tabla1[[#This Row],[Porcentaje de muertes]]&gt;0.65,"GRAVE")</f>
        <v>GRAVE</v>
      </c>
    </row>
    <row r="2076" spans="2:24" x14ac:dyDescent="0.3">
      <c r="B2076" s="9">
        <v>2075</v>
      </c>
      <c r="C2076" s="49">
        <v>23434</v>
      </c>
      <c r="D2076" s="9">
        <f>YEAR(Tabla1[[#This Row],[Date]])</f>
        <v>1964</v>
      </c>
      <c r="E2076" s="9" t="str" cm="1">
        <f t="array" ref="E2076">IFERROR(_xlfn.IFS(AND(D2076&lt;1980,D2076&gt;=1970),"70",AND(D2076&lt;1990,D2076&gt;=1980),"80",AND(D2076&lt;2000,D2076&gt;=1990),"90",AND(D2076&lt;2010,D2076&gt;=2000),"00",AND(D2076&lt;=2019,D2076&gt;=2010),"10"),"1908-1970")</f>
        <v>1908-1970</v>
      </c>
      <c r="F2076" s="3">
        <v>0.26041666666666669</v>
      </c>
      <c r="G2076" t="s">
        <v>14064</v>
      </c>
      <c r="H2076" t="s">
        <v>14065</v>
      </c>
      <c r="I2076">
        <v>902</v>
      </c>
      <c r="J2076" t="s">
        <v>14066</v>
      </c>
      <c r="K2076" t="s">
        <v>10625</v>
      </c>
      <c r="L2076" s="7" t="s">
        <v>14067</v>
      </c>
      <c r="M2076">
        <v>53</v>
      </c>
      <c r="N2076">
        <v>42</v>
      </c>
      <c r="O2076">
        <v>37</v>
      </c>
      <c r="P2076">
        <v>5</v>
      </c>
      <c r="Q2076">
        <v>20</v>
      </c>
      <c r="R2076">
        <v>18</v>
      </c>
      <c r="S2076">
        <v>2</v>
      </c>
      <c r="T2076">
        <v>0</v>
      </c>
      <c r="U2076" t="s">
        <v>14068</v>
      </c>
      <c r="V2076">
        <f>Tabla1[[#This Row],[Aboard]]-Tabla1[[#This Row],[Fatalities]]</f>
        <v>22</v>
      </c>
      <c r="W2076" s="50">
        <f>IFERROR(Tabla1[[#This Row],[Fatalities]]/Tabla1[[#This Row],[Aboard]],0)</f>
        <v>0.47619047619047616</v>
      </c>
      <c r="X2076" s="51" t="str" cm="1">
        <f t="array" ref="X2076">_xlfn.IFS(Tabla1[[#This Row],[Porcentaje de muertes]]&lt;0.35,"LEVE",AND(Tabla1[[#This Row],[Porcentaje de muertes]]&gt;0.35,Tabla1[[#This Row],[Porcentaje de muertes]]&lt;0.65),"MEDIO",Tabla1[[#This Row],[Porcentaje de muertes]]&gt;0.65,"GRAVE")</f>
        <v>MEDIO</v>
      </c>
    </row>
    <row r="2077" spans="2:24" x14ac:dyDescent="0.3">
      <c r="B2077" s="9">
        <v>2076</v>
      </c>
      <c r="C2077" s="49">
        <v>23436</v>
      </c>
      <c r="D2077" s="9">
        <f>YEAR(Tabla1[[#This Row],[Date]])</f>
        <v>1964</v>
      </c>
      <c r="E2077" s="9" t="str" cm="1">
        <f t="array" ref="E2077">IFERROR(_xlfn.IFS(AND(D2077&lt;1980,D2077&gt;=1970),"70",AND(D2077&lt;1990,D2077&gt;=1980),"80",AND(D2077&lt;2000,D2077&gt;=1990),"90",AND(D2077&lt;2010,D2077&gt;=2000),"00",AND(D2077&lt;=2019,D2077&gt;=2010),"10"),"1908-1970")</f>
        <v>1908-1970</v>
      </c>
      <c r="F2077" s="3">
        <v>0.61388888888888882</v>
      </c>
      <c r="G2077" t="s">
        <v>14069</v>
      </c>
      <c r="H2077" t="s">
        <v>14070</v>
      </c>
      <c r="I2077">
        <v>802</v>
      </c>
      <c r="J2077" t="s">
        <v>14071</v>
      </c>
      <c r="K2077" t="s">
        <v>14072</v>
      </c>
      <c r="L2077" s="7" t="s">
        <v>14073</v>
      </c>
      <c r="M2077">
        <v>13423</v>
      </c>
      <c r="N2077">
        <v>83</v>
      </c>
      <c r="O2077">
        <v>75</v>
      </c>
      <c r="P2077">
        <v>8</v>
      </c>
      <c r="Q2077">
        <v>83</v>
      </c>
      <c r="R2077">
        <v>75</v>
      </c>
      <c r="S2077">
        <v>8</v>
      </c>
      <c r="T2077">
        <v>0</v>
      </c>
      <c r="U2077" t="s">
        <v>14074</v>
      </c>
      <c r="V2077">
        <f>Tabla1[[#This Row],[Aboard]]-Tabla1[[#This Row],[Fatalities]]</f>
        <v>0</v>
      </c>
      <c r="W2077" s="50">
        <f>IFERROR(Tabla1[[#This Row],[Fatalities]]/Tabla1[[#This Row],[Aboard]],0)</f>
        <v>1</v>
      </c>
      <c r="X2077" s="51" t="str" cm="1">
        <f t="array" ref="X2077">_xlfn.IFS(Tabla1[[#This Row],[Porcentaje de muertes]]&lt;0.35,"LEVE",AND(Tabla1[[#This Row],[Porcentaje de muertes]]&gt;0.35,Tabla1[[#This Row],[Porcentaje de muertes]]&lt;0.65),"MEDIO",Tabla1[[#This Row],[Porcentaje de muertes]]&gt;0.65,"GRAVE")</f>
        <v>GRAVE</v>
      </c>
    </row>
    <row r="2078" spans="2:24" x14ac:dyDescent="0.3">
      <c r="B2078" s="9">
        <v>2077</v>
      </c>
      <c r="C2078" s="49">
        <v>23379</v>
      </c>
      <c r="D2078" s="9">
        <f>YEAR(Tabla1[[#This Row],[Date]])</f>
        <v>1964</v>
      </c>
      <c r="E2078" s="9" t="str" cm="1">
        <f t="array" ref="E2078">IFERROR(_xlfn.IFS(AND(D2078&lt;1980,D2078&gt;=1970),"70",AND(D2078&lt;1990,D2078&gt;=1980),"80",AND(D2078&lt;2000,D2078&gt;=1990),"90",AND(D2078&lt;2010,D2078&gt;=2000),"00",AND(D2078&lt;=2019,D2078&gt;=2010),"10"),"1908-1970")</f>
        <v>1908-1970</v>
      </c>
      <c r="F2078" s="3">
        <v>0.47847222222222219</v>
      </c>
      <c r="G2078" t="s">
        <v>14075</v>
      </c>
      <c r="H2078" t="s">
        <v>14076</v>
      </c>
      <c r="I2078" t="s">
        <v>14077</v>
      </c>
      <c r="J2078" t="s">
        <v>14078</v>
      </c>
      <c r="K2078" t="s">
        <v>10138</v>
      </c>
      <c r="L2078" s="7" t="s">
        <v>14079</v>
      </c>
      <c r="M2078">
        <v>2025</v>
      </c>
      <c r="N2078">
        <v>85</v>
      </c>
      <c r="O2078">
        <v>81</v>
      </c>
      <c r="P2078">
        <v>4</v>
      </c>
      <c r="Q2078">
        <v>85</v>
      </c>
      <c r="R2078">
        <v>81</v>
      </c>
      <c r="S2078">
        <v>4</v>
      </c>
      <c r="T2078">
        <v>0</v>
      </c>
      <c r="U2078" t="s">
        <v>14080</v>
      </c>
      <c r="V2078">
        <f>Tabla1[[#This Row],[Aboard]]-Tabla1[[#This Row],[Fatalities]]</f>
        <v>0</v>
      </c>
      <c r="W2078" s="50">
        <f>IFERROR(Tabla1[[#This Row],[Fatalities]]/Tabla1[[#This Row],[Aboard]],0)</f>
        <v>1</v>
      </c>
      <c r="X2078" s="51" t="str" cm="1">
        <f t="array" ref="X2078">_xlfn.IFS(Tabla1[[#This Row],[Porcentaje de muertes]]&lt;0.35,"LEVE",AND(Tabla1[[#This Row],[Porcentaje de muertes]]&gt;0.35,Tabla1[[#This Row],[Porcentaje de muertes]]&lt;0.65),"MEDIO",Tabla1[[#This Row],[Porcentaje de muertes]]&gt;0.65,"GRAVE")</f>
        <v>GRAVE</v>
      </c>
    </row>
    <row r="2079" spans="2:24" x14ac:dyDescent="0.3">
      <c r="B2079" s="9">
        <v>2078</v>
      </c>
      <c r="C2079" s="49">
        <v>23470</v>
      </c>
      <c r="D2079" s="9">
        <f>YEAR(Tabla1[[#This Row],[Date]])</f>
        <v>1964</v>
      </c>
      <c r="E2079" s="9" t="str" cm="1">
        <f t="array" ref="E2079">IFERROR(_xlfn.IFS(AND(D2079&lt;1980,D2079&gt;=1970),"70",AND(D2079&lt;1990,D2079&gt;=1980),"80",AND(D2079&lt;2000,D2079&gt;=1990),"90",AND(D2079&lt;2010,D2079&gt;=2000),"00",AND(D2079&lt;=2019,D2079&gt;=2010),"10"),"1908-1970")</f>
        <v>1908-1970</v>
      </c>
      <c r="F2079" s="3" t="s">
        <v>28931</v>
      </c>
      <c r="G2079" t="s">
        <v>14081</v>
      </c>
      <c r="H2079" t="s">
        <v>8036</v>
      </c>
      <c r="I2079" t="s">
        <v>28931</v>
      </c>
      <c r="J2079" t="s">
        <v>14082</v>
      </c>
      <c r="K2079" t="s">
        <v>13891</v>
      </c>
      <c r="L2079" s="7" t="s">
        <v>28931</v>
      </c>
      <c r="M2079" t="s">
        <v>28931</v>
      </c>
      <c r="N2079">
        <v>22</v>
      </c>
      <c r="O2079">
        <v>17</v>
      </c>
      <c r="P2079">
        <v>5</v>
      </c>
      <c r="Q2079">
        <v>22</v>
      </c>
      <c r="R2079">
        <v>17</v>
      </c>
      <c r="S2079">
        <v>5</v>
      </c>
      <c r="T2079">
        <v>0</v>
      </c>
      <c r="U2079" t="s">
        <v>14083</v>
      </c>
      <c r="V2079">
        <f>Tabla1[[#This Row],[Aboard]]-Tabla1[[#This Row],[Fatalities]]</f>
        <v>0</v>
      </c>
      <c r="W2079" s="50">
        <f>IFERROR(Tabla1[[#This Row],[Fatalities]]/Tabla1[[#This Row],[Aboard]],0)</f>
        <v>1</v>
      </c>
      <c r="X2079" s="51" t="str" cm="1">
        <f t="array" ref="X2079">_xlfn.IFS(Tabla1[[#This Row],[Porcentaje de muertes]]&lt;0.35,"LEVE",AND(Tabla1[[#This Row],[Porcentaje de muertes]]&gt;0.35,Tabla1[[#This Row],[Porcentaje de muertes]]&lt;0.65),"MEDIO",Tabla1[[#This Row],[Porcentaje de muertes]]&gt;0.65,"GRAVE")</f>
        <v>GRAVE</v>
      </c>
    </row>
    <row r="2080" spans="2:24" x14ac:dyDescent="0.3">
      <c r="B2080" s="9">
        <v>2079</v>
      </c>
      <c r="C2080" s="49">
        <v>23592</v>
      </c>
      <c r="D2080" s="9">
        <f>YEAR(Tabla1[[#This Row],[Date]])</f>
        <v>1964</v>
      </c>
      <c r="E2080" s="9" t="str" cm="1">
        <f t="array" ref="E2080">IFERROR(_xlfn.IFS(AND(D2080&lt;1980,D2080&gt;=1970),"70",AND(D2080&lt;1990,D2080&gt;=1980),"80",AND(D2080&lt;2000,D2080&gt;=1990),"90",AND(D2080&lt;2010,D2080&gt;=2000),"00",AND(D2080&lt;=2019,D2080&gt;=2010),"10"),"1908-1970")</f>
        <v>1908-1970</v>
      </c>
      <c r="F2080" s="3">
        <v>0.99722222222222223</v>
      </c>
      <c r="G2080" t="s">
        <v>14084</v>
      </c>
      <c r="H2080" t="s">
        <v>14085</v>
      </c>
      <c r="I2080" t="s">
        <v>28931</v>
      </c>
      <c r="J2080" t="s">
        <v>28931</v>
      </c>
      <c r="K2080" t="s">
        <v>7057</v>
      </c>
      <c r="L2080" s="7" t="s">
        <v>14086</v>
      </c>
      <c r="M2080">
        <v>4970</v>
      </c>
      <c r="N2080">
        <v>30</v>
      </c>
      <c r="O2080">
        <v>28</v>
      </c>
      <c r="P2080">
        <v>2</v>
      </c>
      <c r="Q2080">
        <v>1</v>
      </c>
      <c r="R2080">
        <v>0</v>
      </c>
      <c r="S2080">
        <v>1</v>
      </c>
      <c r="T2080">
        <v>0</v>
      </c>
      <c r="U2080" t="s">
        <v>14087</v>
      </c>
      <c r="V2080">
        <f>Tabla1[[#This Row],[Aboard]]-Tabla1[[#This Row],[Fatalities]]</f>
        <v>29</v>
      </c>
      <c r="W2080" s="50">
        <f>IFERROR(Tabla1[[#This Row],[Fatalities]]/Tabla1[[#This Row],[Aboard]],0)</f>
        <v>3.3333333333333333E-2</v>
      </c>
      <c r="X2080" s="51" t="str" cm="1">
        <f t="array" ref="X2080">_xlfn.IFS(Tabla1[[#This Row],[Porcentaje de muertes]]&lt;0.35,"LEVE",AND(Tabla1[[#This Row],[Porcentaje de muertes]]&gt;0.35,Tabla1[[#This Row],[Porcentaje de muertes]]&lt;0.65),"MEDIO",Tabla1[[#This Row],[Porcentaje de muertes]]&gt;0.65,"GRAVE")</f>
        <v>LEVE</v>
      </c>
    </row>
    <row r="2081" spans="2:24" x14ac:dyDescent="0.3">
      <c r="B2081" s="9">
        <v>2080</v>
      </c>
      <c r="C2081" s="49">
        <v>23592</v>
      </c>
      <c r="D2081" s="9">
        <f>YEAR(Tabla1[[#This Row],[Date]])</f>
        <v>1964</v>
      </c>
      <c r="E2081" s="9" t="str" cm="1">
        <f t="array" ref="E2081">IFERROR(_xlfn.IFS(AND(D2081&lt;1980,D2081&gt;=1970),"70",AND(D2081&lt;1990,D2081&gt;=1980),"80",AND(D2081&lt;2000,D2081&gt;=1990),"90",AND(D2081&lt;2010,D2081&gt;=2000),"00",AND(D2081&lt;=2019,D2081&gt;=2010),"10"),"1908-1970")</f>
        <v>1908-1970</v>
      </c>
      <c r="F2081" s="3">
        <v>0.78125</v>
      </c>
      <c r="G2081" t="s">
        <v>10364</v>
      </c>
      <c r="H2081" t="s">
        <v>14088</v>
      </c>
      <c r="I2081" t="s">
        <v>28931</v>
      </c>
      <c r="J2081" t="s">
        <v>14089</v>
      </c>
      <c r="K2081" t="s">
        <v>7057</v>
      </c>
      <c r="L2081" s="7" t="s">
        <v>14090</v>
      </c>
      <c r="M2081">
        <v>12374</v>
      </c>
      <c r="N2081">
        <v>28</v>
      </c>
      <c r="O2081">
        <v>25</v>
      </c>
      <c r="P2081">
        <v>3</v>
      </c>
      <c r="Q2081">
        <v>28</v>
      </c>
      <c r="R2081">
        <v>25</v>
      </c>
      <c r="S2081">
        <v>3</v>
      </c>
      <c r="T2081">
        <v>0</v>
      </c>
      <c r="U2081" t="s">
        <v>14091</v>
      </c>
      <c r="V2081">
        <f>Tabla1[[#This Row],[Aboard]]-Tabla1[[#This Row],[Fatalities]]</f>
        <v>0</v>
      </c>
      <c r="W2081" s="50">
        <f>IFERROR(Tabla1[[#This Row],[Fatalities]]/Tabla1[[#This Row],[Aboard]],0)</f>
        <v>1</v>
      </c>
      <c r="X2081" s="51" t="str" cm="1">
        <f t="array" ref="X2081">_xlfn.IFS(Tabla1[[#This Row],[Porcentaje de muertes]]&lt;0.35,"LEVE",AND(Tabla1[[#This Row],[Porcentaje de muertes]]&gt;0.35,Tabla1[[#This Row],[Porcentaje de muertes]]&lt;0.65),"MEDIO",Tabla1[[#This Row],[Porcentaje de muertes]]&gt;0.65,"GRAVE")</f>
        <v>GRAVE</v>
      </c>
    </row>
    <row r="2082" spans="2:24" x14ac:dyDescent="0.3">
      <c r="B2082" s="9">
        <v>2081</v>
      </c>
      <c r="C2082" s="49">
        <v>23653</v>
      </c>
      <c r="D2082" s="9">
        <f>YEAR(Tabla1[[#This Row],[Date]])</f>
        <v>1964</v>
      </c>
      <c r="E2082" s="9" t="str" cm="1">
        <f t="array" ref="E2082">IFERROR(_xlfn.IFS(AND(D2082&lt;1980,D2082&gt;=1970),"70",AND(D2082&lt;1990,D2082&gt;=1980),"80",AND(D2082&lt;2000,D2082&gt;=1990),"90",AND(D2082&lt;2010,D2082&gt;=2000),"00",AND(D2082&lt;=2019,D2082&gt;=2010),"10"),"1908-1970")</f>
        <v>1908-1970</v>
      </c>
      <c r="F2082" s="3">
        <v>0.34861111111111115</v>
      </c>
      <c r="G2082" t="s">
        <v>14092</v>
      </c>
      <c r="H2082" t="s">
        <v>14093</v>
      </c>
      <c r="I2082">
        <v>12</v>
      </c>
      <c r="J2082" t="s">
        <v>14094</v>
      </c>
      <c r="K2082" t="s">
        <v>8822</v>
      </c>
      <c r="L2082" s="7" t="s">
        <v>14095</v>
      </c>
      <c r="M2082">
        <v>18379</v>
      </c>
      <c r="N2082">
        <v>3</v>
      </c>
      <c r="O2082">
        <v>0</v>
      </c>
      <c r="P2082">
        <v>3</v>
      </c>
      <c r="Q2082">
        <v>3</v>
      </c>
      <c r="R2082">
        <v>0</v>
      </c>
      <c r="S2082">
        <v>3</v>
      </c>
      <c r="T2082">
        <v>0</v>
      </c>
      <c r="U2082" t="s">
        <v>14096</v>
      </c>
      <c r="V2082">
        <f>Tabla1[[#This Row],[Aboard]]-Tabla1[[#This Row],[Fatalities]]</f>
        <v>0</v>
      </c>
      <c r="W2082" s="50">
        <f>IFERROR(Tabla1[[#This Row],[Fatalities]]/Tabla1[[#This Row],[Aboard]],0)</f>
        <v>1</v>
      </c>
      <c r="X2082" s="51" t="str" cm="1">
        <f t="array" ref="X2082">_xlfn.IFS(Tabla1[[#This Row],[Porcentaje de muertes]]&lt;0.35,"LEVE",AND(Tabla1[[#This Row],[Porcentaje de muertes]]&gt;0.35,Tabla1[[#This Row],[Porcentaje de muertes]]&lt;0.65),"MEDIO",Tabla1[[#This Row],[Porcentaje de muertes]]&gt;0.65,"GRAVE")</f>
        <v>GRAVE</v>
      </c>
    </row>
    <row r="2083" spans="2:24" x14ac:dyDescent="0.3">
      <c r="B2083" s="9">
        <v>2082</v>
      </c>
      <c r="C2083" s="49">
        <v>23714</v>
      </c>
      <c r="D2083" s="9">
        <f>YEAR(Tabla1[[#This Row],[Date]])</f>
        <v>1964</v>
      </c>
      <c r="E2083" s="9" t="str" cm="1">
        <f t="array" ref="E2083">IFERROR(_xlfn.IFS(AND(D2083&lt;1980,D2083&gt;=1970),"70",AND(D2083&lt;1990,D2083&gt;=1980),"80",AND(D2083&lt;2000,D2083&gt;=1990),"90",AND(D2083&lt;2010,D2083&gt;=2000),"00",AND(D2083&lt;=2019,D2083&gt;=2010),"10"),"1908-1970")</f>
        <v>1908-1970</v>
      </c>
      <c r="F2083" s="3">
        <v>0.86805555555555547</v>
      </c>
      <c r="G2083" t="s">
        <v>7372</v>
      </c>
      <c r="H2083" t="s">
        <v>14097</v>
      </c>
      <c r="I2083">
        <v>32</v>
      </c>
      <c r="J2083" t="s">
        <v>14098</v>
      </c>
      <c r="K2083" t="s">
        <v>9005</v>
      </c>
      <c r="L2083" s="7" t="s">
        <v>14099</v>
      </c>
      <c r="M2083">
        <v>9642</v>
      </c>
      <c r="N2083">
        <v>5</v>
      </c>
      <c r="O2083">
        <v>2</v>
      </c>
      <c r="P2083">
        <v>3</v>
      </c>
      <c r="Q2083">
        <v>5</v>
      </c>
      <c r="R2083">
        <v>2</v>
      </c>
      <c r="S2083">
        <v>3</v>
      </c>
      <c r="T2083">
        <v>0</v>
      </c>
      <c r="U2083" t="s">
        <v>14100</v>
      </c>
      <c r="V2083">
        <f>Tabla1[[#This Row],[Aboard]]-Tabla1[[#This Row],[Fatalities]]</f>
        <v>0</v>
      </c>
      <c r="W2083" s="50">
        <f>IFERROR(Tabla1[[#This Row],[Fatalities]]/Tabla1[[#This Row],[Aboard]],0)</f>
        <v>1</v>
      </c>
      <c r="X2083" s="51" t="str" cm="1">
        <f t="array" ref="X2083">_xlfn.IFS(Tabla1[[#This Row],[Porcentaje de muertes]]&lt;0.35,"LEVE",AND(Tabla1[[#This Row],[Porcentaje de muertes]]&gt;0.35,Tabla1[[#This Row],[Porcentaje de muertes]]&lt;0.65),"MEDIO",Tabla1[[#This Row],[Porcentaje de muertes]]&gt;0.65,"GRAVE")</f>
        <v>GRAVE</v>
      </c>
    </row>
    <row r="2084" spans="2:24" x14ac:dyDescent="0.3">
      <c r="B2084" s="9">
        <v>2083</v>
      </c>
      <c r="C2084" s="49">
        <v>23456</v>
      </c>
      <c r="D2084" s="9">
        <f>YEAR(Tabla1[[#This Row],[Date]])</f>
        <v>1964</v>
      </c>
      <c r="E2084" s="9" t="str" cm="1">
        <f t="array" ref="E2084">IFERROR(_xlfn.IFS(AND(D2084&lt;1980,D2084&gt;=1970),"70",AND(D2084&lt;1990,D2084&gt;=1980),"80",AND(D2084&lt;2000,D2084&gt;=1990),"90",AND(D2084&lt;2010,D2084&gt;=2000),"00",AND(D2084&lt;=2019,D2084&gt;=2010),"10"),"1908-1970")</f>
        <v>1908-1970</v>
      </c>
      <c r="F2084" s="3">
        <v>0.30555555555555552</v>
      </c>
      <c r="G2084" t="s">
        <v>14101</v>
      </c>
      <c r="H2084" t="s">
        <v>14102</v>
      </c>
      <c r="I2084" t="s">
        <v>28931</v>
      </c>
      <c r="J2084" t="s">
        <v>28931</v>
      </c>
      <c r="K2084" t="s">
        <v>14103</v>
      </c>
      <c r="L2084" s="7" t="s">
        <v>14104</v>
      </c>
      <c r="M2084" t="s">
        <v>28931</v>
      </c>
      <c r="N2084">
        <v>3</v>
      </c>
      <c r="O2084">
        <v>2</v>
      </c>
      <c r="P2084">
        <v>1</v>
      </c>
      <c r="Q2084">
        <v>3</v>
      </c>
      <c r="R2084">
        <v>2</v>
      </c>
      <c r="S2084">
        <v>1</v>
      </c>
      <c r="T2084">
        <v>0</v>
      </c>
      <c r="U2084" t="s">
        <v>14105</v>
      </c>
      <c r="V2084">
        <f>Tabla1[[#This Row],[Aboard]]-Tabla1[[#This Row],[Fatalities]]</f>
        <v>0</v>
      </c>
      <c r="W2084" s="50">
        <f>IFERROR(Tabla1[[#This Row],[Fatalities]]/Tabla1[[#This Row],[Aboard]],0)</f>
        <v>1</v>
      </c>
      <c r="X2084" s="51" t="str" cm="1">
        <f t="array" ref="X2084">_xlfn.IFS(Tabla1[[#This Row],[Porcentaje de muertes]]&lt;0.35,"LEVE",AND(Tabla1[[#This Row],[Porcentaje de muertes]]&gt;0.35,Tabla1[[#This Row],[Porcentaje de muertes]]&lt;0.65),"MEDIO",Tabla1[[#This Row],[Porcentaje de muertes]]&gt;0.65,"GRAVE")</f>
        <v>GRAVE</v>
      </c>
    </row>
    <row r="2085" spans="2:24" x14ac:dyDescent="0.3">
      <c r="B2085" s="9">
        <v>2084</v>
      </c>
      <c r="C2085" s="49">
        <v>23464</v>
      </c>
      <c r="D2085" s="9">
        <f>YEAR(Tabla1[[#This Row],[Date]])</f>
        <v>1964</v>
      </c>
      <c r="E2085" s="9" t="str" cm="1">
        <f t="array" ref="E2085">IFERROR(_xlfn.IFS(AND(D2085&lt;1980,D2085&gt;=1970),"70",AND(D2085&lt;1990,D2085&gt;=1980),"80",AND(D2085&lt;2000,D2085&gt;=1990),"90",AND(D2085&lt;2010,D2085&gt;=2000),"00",AND(D2085&lt;=2019,D2085&gt;=2010),"10"),"1908-1970")</f>
        <v>1908-1970</v>
      </c>
      <c r="F2085" s="3">
        <v>0.94374999999999998</v>
      </c>
      <c r="G2085" t="s">
        <v>14106</v>
      </c>
      <c r="H2085" t="s">
        <v>10299</v>
      </c>
      <c r="I2085">
        <v>45</v>
      </c>
      <c r="J2085" t="s">
        <v>14107</v>
      </c>
      <c r="K2085" t="s">
        <v>14108</v>
      </c>
      <c r="L2085" s="7" t="s">
        <v>14109</v>
      </c>
      <c r="M2085">
        <v>328</v>
      </c>
      <c r="N2085">
        <v>45</v>
      </c>
      <c r="O2085">
        <v>40</v>
      </c>
      <c r="P2085">
        <v>5</v>
      </c>
      <c r="Q2085">
        <v>45</v>
      </c>
      <c r="R2085">
        <v>40</v>
      </c>
      <c r="S2085">
        <v>5</v>
      </c>
      <c r="T2085">
        <v>0</v>
      </c>
      <c r="U2085" t="s">
        <v>14110</v>
      </c>
      <c r="V2085">
        <f>Tabla1[[#This Row],[Aboard]]-Tabla1[[#This Row],[Fatalities]]</f>
        <v>0</v>
      </c>
      <c r="W2085" s="50">
        <f>IFERROR(Tabla1[[#This Row],[Fatalities]]/Tabla1[[#This Row],[Aboard]],0)</f>
        <v>1</v>
      </c>
      <c r="X2085" s="51" t="str" cm="1">
        <f t="array" ref="X2085">_xlfn.IFS(Tabla1[[#This Row],[Porcentaje de muertes]]&lt;0.35,"LEVE",AND(Tabla1[[#This Row],[Porcentaje de muertes]]&gt;0.35,Tabla1[[#This Row],[Porcentaje de muertes]]&lt;0.65),"MEDIO",Tabla1[[#This Row],[Porcentaje de muertes]]&gt;0.65,"GRAVE")</f>
        <v>GRAVE</v>
      </c>
    </row>
    <row r="2086" spans="2:24" x14ac:dyDescent="0.3">
      <c r="B2086" s="9">
        <v>2085</v>
      </c>
      <c r="C2086" s="49">
        <v>23464</v>
      </c>
      <c r="D2086" s="9">
        <f>YEAR(Tabla1[[#This Row],[Date]])</f>
        <v>1964</v>
      </c>
      <c r="E2086" s="9" t="str" cm="1">
        <f t="array" ref="E2086">IFERROR(_xlfn.IFS(AND(D2086&lt;1980,D2086&gt;=1970),"70",AND(D2086&lt;1990,D2086&gt;=1980),"80",AND(D2086&lt;2000,D2086&gt;=1990),"90",AND(D2086&lt;2010,D2086&gt;=2000),"00",AND(D2086&lt;=2019,D2086&gt;=2010),"10"),"1908-1970")</f>
        <v>1908-1970</v>
      </c>
      <c r="F2086" s="3">
        <v>0.25</v>
      </c>
      <c r="G2086" t="s">
        <v>8871</v>
      </c>
      <c r="H2086" t="s">
        <v>14111</v>
      </c>
      <c r="I2086" t="s">
        <v>28931</v>
      </c>
      <c r="J2086" t="s">
        <v>7904</v>
      </c>
      <c r="K2086" t="s">
        <v>11890</v>
      </c>
      <c r="L2086" s="7" t="s">
        <v>14112</v>
      </c>
      <c r="M2086">
        <v>10315</v>
      </c>
      <c r="N2086">
        <v>9</v>
      </c>
      <c r="O2086">
        <v>6</v>
      </c>
      <c r="P2086">
        <v>3</v>
      </c>
      <c r="Q2086">
        <v>9</v>
      </c>
      <c r="R2086">
        <v>6</v>
      </c>
      <c r="S2086">
        <v>3</v>
      </c>
      <c r="T2086">
        <v>0</v>
      </c>
      <c r="U2086" t="s">
        <v>14113</v>
      </c>
      <c r="V2086">
        <f>Tabla1[[#This Row],[Aboard]]-Tabla1[[#This Row],[Fatalities]]</f>
        <v>0</v>
      </c>
      <c r="W2086" s="50">
        <f>IFERROR(Tabla1[[#This Row],[Fatalities]]/Tabla1[[#This Row],[Aboard]],0)</f>
        <v>1</v>
      </c>
      <c r="X2086" s="51" t="str" cm="1">
        <f t="array" ref="X2086">_xlfn.IFS(Tabla1[[#This Row],[Porcentaje de muertes]]&lt;0.35,"LEVE",AND(Tabla1[[#This Row],[Porcentaje de muertes]]&gt;0.35,Tabla1[[#This Row],[Porcentaje de muertes]]&lt;0.65),"MEDIO",Tabla1[[#This Row],[Porcentaje de muertes]]&gt;0.65,"GRAVE")</f>
        <v>GRAVE</v>
      </c>
    </row>
    <row r="2087" spans="2:24" x14ac:dyDescent="0.3">
      <c r="B2087" s="9">
        <v>2086</v>
      </c>
      <c r="C2087" s="49">
        <v>23715</v>
      </c>
      <c r="D2087" s="9">
        <f>YEAR(Tabla1[[#This Row],[Date]])</f>
        <v>1964</v>
      </c>
      <c r="E2087" s="9" t="str" cm="1">
        <f t="array" ref="E2087">IFERROR(_xlfn.IFS(AND(D2087&lt;1980,D2087&gt;=1970),"70",AND(D2087&lt;1990,D2087&gt;=1980),"80",AND(D2087&lt;2000,D2087&gt;=1990),"90",AND(D2087&lt;2010,D2087&gt;=2000),"00",AND(D2087&lt;=2019,D2087&gt;=2010),"10"),"1908-1970")</f>
        <v>1908-1970</v>
      </c>
      <c r="F2087" s="3" t="s">
        <v>28931</v>
      </c>
      <c r="G2087" t="s">
        <v>14114</v>
      </c>
      <c r="H2087" t="s">
        <v>14115</v>
      </c>
      <c r="I2087" t="s">
        <v>28931</v>
      </c>
      <c r="J2087" t="s">
        <v>14116</v>
      </c>
      <c r="K2087" t="s">
        <v>7057</v>
      </c>
      <c r="L2087" s="7" t="s">
        <v>14117</v>
      </c>
      <c r="M2087" t="s">
        <v>14118</v>
      </c>
      <c r="N2087">
        <v>15</v>
      </c>
      <c r="O2087">
        <v>12</v>
      </c>
      <c r="P2087">
        <v>3</v>
      </c>
      <c r="Q2087">
        <v>15</v>
      </c>
      <c r="R2087">
        <v>12</v>
      </c>
      <c r="S2087">
        <v>3</v>
      </c>
      <c r="T2087">
        <v>0</v>
      </c>
      <c r="U2087" t="s">
        <v>14119</v>
      </c>
      <c r="V2087">
        <f>Tabla1[[#This Row],[Aboard]]-Tabla1[[#This Row],[Fatalities]]</f>
        <v>0</v>
      </c>
      <c r="W2087" s="50">
        <f>IFERROR(Tabla1[[#This Row],[Fatalities]]/Tabla1[[#This Row],[Aboard]],0)</f>
        <v>1</v>
      </c>
      <c r="X2087" s="51" t="str" cm="1">
        <f t="array" ref="X2087">_xlfn.IFS(Tabla1[[#This Row],[Porcentaje de muertes]]&lt;0.35,"LEVE",AND(Tabla1[[#This Row],[Porcentaje de muertes]]&gt;0.35,Tabla1[[#This Row],[Porcentaje de muertes]]&lt;0.65),"MEDIO",Tabla1[[#This Row],[Porcentaje de muertes]]&gt;0.65,"GRAVE")</f>
        <v>GRAVE</v>
      </c>
    </row>
    <row r="2088" spans="2:24" x14ac:dyDescent="0.3">
      <c r="B2088" s="9">
        <v>2087</v>
      </c>
      <c r="C2088" s="49">
        <v>23484</v>
      </c>
      <c r="D2088" s="9">
        <f>YEAR(Tabla1[[#This Row],[Date]])</f>
        <v>1964</v>
      </c>
      <c r="E2088" s="9" t="str" cm="1">
        <f t="array" ref="E2088">IFERROR(_xlfn.IFS(AND(D2088&lt;1980,D2088&gt;=1970),"70",AND(D2088&lt;1990,D2088&gt;=1980),"80",AND(D2088&lt;2000,D2088&gt;=1990),"90",AND(D2088&lt;2010,D2088&gt;=2000),"00",AND(D2088&lt;=2019,D2088&gt;=2010),"10"),"1908-1970")</f>
        <v>1908-1970</v>
      </c>
      <c r="F2088" s="3">
        <v>0.63472222222222219</v>
      </c>
      <c r="G2088" t="s">
        <v>14120</v>
      </c>
      <c r="H2088" t="s">
        <v>14121</v>
      </c>
      <c r="I2088" t="s">
        <v>28931</v>
      </c>
      <c r="J2088" t="s">
        <v>28931</v>
      </c>
      <c r="K2088" t="s">
        <v>14122</v>
      </c>
      <c r="L2088" s="7" t="s">
        <v>14123</v>
      </c>
      <c r="M2088" t="s">
        <v>28931</v>
      </c>
      <c r="N2088">
        <v>2</v>
      </c>
      <c r="O2088">
        <v>1</v>
      </c>
      <c r="P2088">
        <v>1</v>
      </c>
      <c r="Q2088">
        <v>2</v>
      </c>
      <c r="R2088">
        <v>1</v>
      </c>
      <c r="S2088">
        <v>1</v>
      </c>
      <c r="T2088">
        <v>0</v>
      </c>
      <c r="U2088" t="s">
        <v>14124</v>
      </c>
      <c r="V2088">
        <f>Tabla1[[#This Row],[Aboard]]-Tabla1[[#This Row],[Fatalities]]</f>
        <v>0</v>
      </c>
      <c r="W2088" s="50">
        <f>IFERROR(Tabla1[[#This Row],[Fatalities]]/Tabla1[[#This Row],[Aboard]],0)</f>
        <v>1</v>
      </c>
      <c r="X2088" s="51" t="str" cm="1">
        <f t="array" ref="X2088">_xlfn.IFS(Tabla1[[#This Row],[Porcentaje de muertes]]&lt;0.35,"LEVE",AND(Tabla1[[#This Row],[Porcentaje de muertes]]&gt;0.35,Tabla1[[#This Row],[Porcentaje de muertes]]&lt;0.65),"MEDIO",Tabla1[[#This Row],[Porcentaje de muertes]]&gt;0.65,"GRAVE")</f>
        <v>GRAVE</v>
      </c>
    </row>
    <row r="2089" spans="2:24" x14ac:dyDescent="0.3">
      <c r="B2089" s="9">
        <v>2088</v>
      </c>
      <c r="C2089" s="49">
        <v>23484</v>
      </c>
      <c r="D2089" s="9">
        <f>YEAR(Tabla1[[#This Row],[Date]])</f>
        <v>1964</v>
      </c>
      <c r="E2089" s="9" t="str" cm="1">
        <f t="array" ref="E2089">IFERROR(_xlfn.IFS(AND(D2089&lt;1980,D2089&gt;=1970),"70",AND(D2089&lt;1990,D2089&gt;=1980),"80",AND(D2089&lt;2000,D2089&gt;=1990),"90",AND(D2089&lt;2010,D2089&gt;=2000),"00",AND(D2089&lt;=2019,D2089&gt;=2010),"10"),"1908-1970")</f>
        <v>1908-1970</v>
      </c>
      <c r="F2089" s="3">
        <v>0.81388888888888899</v>
      </c>
      <c r="G2089" t="s">
        <v>11933</v>
      </c>
      <c r="H2089" t="s">
        <v>12479</v>
      </c>
      <c r="I2089">
        <v>444</v>
      </c>
      <c r="J2089" t="s">
        <v>14125</v>
      </c>
      <c r="K2089" t="s">
        <v>14126</v>
      </c>
      <c r="L2089" s="7" t="s">
        <v>14127</v>
      </c>
      <c r="M2089" t="s">
        <v>14128</v>
      </c>
      <c r="N2089">
        <v>49</v>
      </c>
      <c r="O2089">
        <v>42</v>
      </c>
      <c r="P2089">
        <v>7</v>
      </c>
      <c r="Q2089">
        <v>49</v>
      </c>
      <c r="R2089">
        <v>42</v>
      </c>
      <c r="S2089">
        <v>7</v>
      </c>
      <c r="T2089">
        <v>0</v>
      </c>
      <c r="U2089" t="s">
        <v>14129</v>
      </c>
      <c r="V2089">
        <f>Tabla1[[#This Row],[Aboard]]-Tabla1[[#This Row],[Fatalities]]</f>
        <v>0</v>
      </c>
      <c r="W2089" s="50">
        <f>IFERROR(Tabla1[[#This Row],[Fatalities]]/Tabla1[[#This Row],[Aboard]],0)</f>
        <v>1</v>
      </c>
      <c r="X2089" s="51" t="str" cm="1">
        <f t="array" ref="X2089">_xlfn.IFS(Tabla1[[#This Row],[Porcentaje de muertes]]&lt;0.35,"LEVE",AND(Tabla1[[#This Row],[Porcentaje de muertes]]&gt;0.35,Tabla1[[#This Row],[Porcentaje de muertes]]&lt;0.65),"MEDIO",Tabla1[[#This Row],[Porcentaje de muertes]]&gt;0.65,"GRAVE")</f>
        <v>GRAVE</v>
      </c>
    </row>
    <row r="2090" spans="2:24" x14ac:dyDescent="0.3">
      <c r="B2090" s="9">
        <v>2089</v>
      </c>
      <c r="C2090" s="49">
        <v>23563</v>
      </c>
      <c r="D2090" s="9">
        <f>YEAR(Tabla1[[#This Row],[Date]])</f>
        <v>1964</v>
      </c>
      <c r="E2090" s="9" t="str" cm="1">
        <f t="array" ref="E2090">IFERROR(_xlfn.IFS(AND(D2090&lt;1980,D2090&gt;=1970),"70",AND(D2090&lt;1990,D2090&gt;=1980),"80",AND(D2090&lt;2000,D2090&gt;=1990),"90",AND(D2090&lt;2010,D2090&gt;=2000),"00",AND(D2090&lt;=2019,D2090&gt;=2010),"10"),"1908-1970")</f>
        <v>1908-1970</v>
      </c>
      <c r="F2090" s="3">
        <v>0.28402777777777777</v>
      </c>
      <c r="G2090" t="s">
        <v>14130</v>
      </c>
      <c r="H2090" t="s">
        <v>12782</v>
      </c>
      <c r="I2090">
        <v>773</v>
      </c>
      <c r="J2090" t="s">
        <v>14131</v>
      </c>
      <c r="K2090" t="s">
        <v>13127</v>
      </c>
      <c r="L2090" s="7" t="s">
        <v>14132</v>
      </c>
      <c r="M2090">
        <v>36</v>
      </c>
      <c r="N2090">
        <v>44</v>
      </c>
      <c r="O2090">
        <v>41</v>
      </c>
      <c r="P2090">
        <v>3</v>
      </c>
      <c r="Q2090">
        <v>44</v>
      </c>
      <c r="R2090">
        <v>41</v>
      </c>
      <c r="S2090">
        <v>3</v>
      </c>
      <c r="T2090">
        <v>0</v>
      </c>
      <c r="U2090" t="s">
        <v>14133</v>
      </c>
      <c r="V2090">
        <f>Tabla1[[#This Row],[Aboard]]-Tabla1[[#This Row],[Fatalities]]</f>
        <v>0</v>
      </c>
      <c r="W2090" s="50">
        <f>IFERROR(Tabla1[[#This Row],[Fatalities]]/Tabla1[[#This Row],[Aboard]],0)</f>
        <v>1</v>
      </c>
      <c r="X2090" s="51" t="str" cm="1">
        <f t="array" ref="X2090">_xlfn.IFS(Tabla1[[#This Row],[Porcentaje de muertes]]&lt;0.35,"LEVE",AND(Tabla1[[#This Row],[Porcentaje de muertes]]&gt;0.35,Tabla1[[#This Row],[Porcentaje de muertes]]&lt;0.65),"MEDIO",Tabla1[[#This Row],[Porcentaje de muertes]]&gt;0.65,"GRAVE")</f>
        <v>GRAVE</v>
      </c>
    </row>
    <row r="2091" spans="2:24" x14ac:dyDescent="0.3">
      <c r="B2091" s="9">
        <v>2090</v>
      </c>
      <c r="C2091" s="49">
        <v>23594</v>
      </c>
      <c r="D2091" s="9">
        <f>YEAR(Tabla1[[#This Row],[Date]])</f>
        <v>1964</v>
      </c>
      <c r="E2091" s="9" t="str" cm="1">
        <f t="array" ref="E2091">IFERROR(_xlfn.IFS(AND(D2091&lt;1980,D2091&gt;=1970),"70",AND(D2091&lt;1990,D2091&gt;=1980),"80",AND(D2091&lt;2000,D2091&gt;=1990),"90",AND(D2091&lt;2010,D2091&gt;=2000),"00",AND(D2091&lt;=2019,D2091&gt;=2010),"10"),"1908-1970")</f>
        <v>1908-1970</v>
      </c>
      <c r="F2091" s="3">
        <v>0.84722222222222221</v>
      </c>
      <c r="G2091" t="s">
        <v>6432</v>
      </c>
      <c r="H2091" t="s">
        <v>8880</v>
      </c>
      <c r="I2091" t="s">
        <v>28931</v>
      </c>
      <c r="J2091" t="s">
        <v>14134</v>
      </c>
      <c r="K2091" t="s">
        <v>8513</v>
      </c>
      <c r="L2091" s="7" t="s">
        <v>14135</v>
      </c>
      <c r="M2091">
        <v>3082</v>
      </c>
      <c r="N2091">
        <v>49</v>
      </c>
      <c r="O2091">
        <v>42</v>
      </c>
      <c r="P2091">
        <v>7</v>
      </c>
      <c r="Q2091">
        <v>46</v>
      </c>
      <c r="R2091">
        <v>40</v>
      </c>
      <c r="S2091">
        <v>6</v>
      </c>
      <c r="T2091">
        <v>0</v>
      </c>
      <c r="U2091" t="s">
        <v>14136</v>
      </c>
      <c r="V2091">
        <f>Tabla1[[#This Row],[Aboard]]-Tabla1[[#This Row],[Fatalities]]</f>
        <v>3</v>
      </c>
      <c r="W2091" s="50">
        <f>IFERROR(Tabla1[[#This Row],[Fatalities]]/Tabla1[[#This Row],[Aboard]],0)</f>
        <v>0.93877551020408168</v>
      </c>
      <c r="X2091" s="51" t="str" cm="1">
        <f t="array" ref="X2091">_xlfn.IFS(Tabla1[[#This Row],[Porcentaje de muertes]]&lt;0.35,"LEVE",AND(Tabla1[[#This Row],[Porcentaje de muertes]]&gt;0.35,Tabla1[[#This Row],[Porcentaje de muertes]]&lt;0.65),"MEDIO",Tabla1[[#This Row],[Porcentaje de muertes]]&gt;0.65,"GRAVE")</f>
        <v>GRAVE</v>
      </c>
    </row>
    <row r="2092" spans="2:24" x14ac:dyDescent="0.3">
      <c r="B2092" s="9">
        <v>2091</v>
      </c>
      <c r="C2092" s="49">
        <v>23686</v>
      </c>
      <c r="D2092" s="9">
        <f>YEAR(Tabla1[[#This Row],[Date]])</f>
        <v>1964</v>
      </c>
      <c r="E2092" s="9" t="str" cm="1">
        <f t="array" ref="E2092">IFERROR(_xlfn.IFS(AND(D2092&lt;1980,D2092&gt;=1970),"70",AND(D2092&lt;1990,D2092&gt;=1980),"80",AND(D2092&lt;2000,D2092&gt;=1990),"90",AND(D2092&lt;2010,D2092&gt;=2000),"00",AND(D2092&lt;=2019,D2092&gt;=2010),"10"),"1908-1970")</f>
        <v>1908-1970</v>
      </c>
      <c r="F2092" s="3">
        <v>0.80555555555555547</v>
      </c>
      <c r="G2092" t="s">
        <v>14137</v>
      </c>
      <c r="H2092" t="s">
        <v>7987</v>
      </c>
      <c r="I2092" t="s">
        <v>28931</v>
      </c>
      <c r="J2092" t="s">
        <v>14138</v>
      </c>
      <c r="K2092" t="s">
        <v>14139</v>
      </c>
      <c r="L2092" s="7" t="s">
        <v>14140</v>
      </c>
      <c r="M2092">
        <v>18239</v>
      </c>
      <c r="N2092">
        <v>84</v>
      </c>
      <c r="O2092">
        <v>74</v>
      </c>
      <c r="P2092">
        <v>10</v>
      </c>
      <c r="Q2092">
        <v>79</v>
      </c>
      <c r="R2092">
        <v>74</v>
      </c>
      <c r="S2092">
        <v>5</v>
      </c>
      <c r="T2092">
        <v>0</v>
      </c>
      <c r="U2092" t="s">
        <v>14141</v>
      </c>
      <c r="V2092">
        <f>Tabla1[[#This Row],[Aboard]]-Tabla1[[#This Row],[Fatalities]]</f>
        <v>5</v>
      </c>
      <c r="W2092" s="50">
        <f>IFERROR(Tabla1[[#This Row],[Fatalities]]/Tabla1[[#This Row],[Aboard]],0)</f>
        <v>0.94047619047619047</v>
      </c>
      <c r="X2092" s="51" t="str" cm="1">
        <f t="array" ref="X2092">_xlfn.IFS(Tabla1[[#This Row],[Porcentaje de muertes]]&lt;0.35,"LEVE",AND(Tabla1[[#This Row],[Porcentaje de muertes]]&gt;0.35,Tabla1[[#This Row],[Porcentaje de muertes]]&lt;0.65),"MEDIO",Tabla1[[#This Row],[Porcentaje de muertes]]&gt;0.65,"GRAVE")</f>
        <v>GRAVE</v>
      </c>
    </row>
    <row r="2093" spans="2:24" x14ac:dyDescent="0.3">
      <c r="B2093" s="9">
        <v>2092</v>
      </c>
      <c r="C2093" s="49">
        <v>23517</v>
      </c>
      <c r="D2093" s="9">
        <f>YEAR(Tabla1[[#This Row],[Date]])</f>
        <v>1964</v>
      </c>
      <c r="E2093" s="9" t="str" cm="1">
        <f t="array" ref="E2093">IFERROR(_xlfn.IFS(AND(D2093&lt;1980,D2093&gt;=1970),"70",AND(D2093&lt;1990,D2093&gt;=1980),"80",AND(D2093&lt;2000,D2093&gt;=1990),"90",AND(D2093&lt;2010,D2093&gt;=2000),"00",AND(D2093&lt;=2019,D2093&gt;=2010),"10"),"1908-1970")</f>
        <v>1908-1970</v>
      </c>
      <c r="F2093" s="3">
        <v>0.41666666666666669</v>
      </c>
      <c r="G2093" t="s">
        <v>14142</v>
      </c>
      <c r="H2093" t="s">
        <v>8992</v>
      </c>
      <c r="I2093" t="s">
        <v>28931</v>
      </c>
      <c r="J2093" t="s">
        <v>14143</v>
      </c>
      <c r="K2093" t="s">
        <v>12223</v>
      </c>
      <c r="L2093" s="7" t="s">
        <v>14144</v>
      </c>
      <c r="M2093">
        <v>68</v>
      </c>
      <c r="N2093">
        <v>11</v>
      </c>
      <c r="O2093">
        <v>10</v>
      </c>
      <c r="P2093">
        <v>1</v>
      </c>
      <c r="Q2093">
        <v>11</v>
      </c>
      <c r="R2093">
        <v>10</v>
      </c>
      <c r="S2093">
        <v>1</v>
      </c>
      <c r="T2093">
        <v>0</v>
      </c>
      <c r="U2093" t="s">
        <v>14145</v>
      </c>
      <c r="V2093">
        <f>Tabla1[[#This Row],[Aboard]]-Tabla1[[#This Row],[Fatalities]]</f>
        <v>0</v>
      </c>
      <c r="W2093" s="50">
        <f>IFERROR(Tabla1[[#This Row],[Fatalities]]/Tabla1[[#This Row],[Aboard]],0)</f>
        <v>1</v>
      </c>
      <c r="X2093" s="51" t="str" cm="1">
        <f t="array" ref="X2093">_xlfn.IFS(Tabla1[[#This Row],[Porcentaje de muertes]]&lt;0.35,"LEVE",AND(Tabla1[[#This Row],[Porcentaje de muertes]]&gt;0.35,Tabla1[[#This Row],[Porcentaje de muertes]]&lt;0.65),"MEDIO",Tabla1[[#This Row],[Porcentaje de muertes]]&gt;0.65,"GRAVE")</f>
        <v>GRAVE</v>
      </c>
    </row>
    <row r="2094" spans="2:24" x14ac:dyDescent="0.3">
      <c r="B2094" s="9">
        <v>2093</v>
      </c>
      <c r="C2094" s="49">
        <v>23524</v>
      </c>
      <c r="D2094" s="9">
        <f>YEAR(Tabla1[[#This Row],[Date]])</f>
        <v>1964</v>
      </c>
      <c r="E2094" s="9" t="str" cm="1">
        <f t="array" ref="E2094">IFERROR(_xlfn.IFS(AND(D2094&lt;1980,D2094&gt;=1970),"70",AND(D2094&lt;1990,D2094&gt;=1980),"80",AND(D2094&lt;2000,D2094&gt;=1990),"90",AND(D2094&lt;2010,D2094&gt;=2000),"00",AND(D2094&lt;=2019,D2094&gt;=2010),"10"),"1908-1970")</f>
        <v>1908-1970</v>
      </c>
      <c r="F2094" s="3">
        <v>0.625</v>
      </c>
      <c r="G2094" t="s">
        <v>14146</v>
      </c>
      <c r="H2094" t="s">
        <v>7581</v>
      </c>
      <c r="I2094" t="s">
        <v>28931</v>
      </c>
      <c r="J2094" t="s">
        <v>6190</v>
      </c>
      <c r="K2094" t="s">
        <v>11792</v>
      </c>
      <c r="L2094" s="7" t="s">
        <v>14147</v>
      </c>
      <c r="M2094">
        <v>4649</v>
      </c>
      <c r="N2094">
        <v>3</v>
      </c>
      <c r="O2094">
        <v>0</v>
      </c>
      <c r="P2094">
        <v>3</v>
      </c>
      <c r="Q2094">
        <v>3</v>
      </c>
      <c r="R2094">
        <v>0</v>
      </c>
      <c r="S2094">
        <v>3</v>
      </c>
      <c r="T2094">
        <v>0</v>
      </c>
      <c r="U2094" t="s">
        <v>14148</v>
      </c>
      <c r="V2094">
        <f>Tabla1[[#This Row],[Aboard]]-Tabla1[[#This Row],[Fatalities]]</f>
        <v>0</v>
      </c>
      <c r="W2094" s="50">
        <f>IFERROR(Tabla1[[#This Row],[Fatalities]]/Tabla1[[#This Row],[Aboard]],0)</f>
        <v>1</v>
      </c>
      <c r="X2094" s="51" t="str" cm="1">
        <f t="array" ref="X2094">_xlfn.IFS(Tabla1[[#This Row],[Porcentaje de muertes]]&lt;0.35,"LEVE",AND(Tabla1[[#This Row],[Porcentaje de muertes]]&gt;0.35,Tabla1[[#This Row],[Porcentaje de muertes]]&lt;0.65),"MEDIO",Tabla1[[#This Row],[Porcentaje de muertes]]&gt;0.65,"GRAVE")</f>
        <v>GRAVE</v>
      </c>
    </row>
    <row r="2095" spans="2:24" x14ac:dyDescent="0.3">
      <c r="B2095" s="9">
        <v>2094</v>
      </c>
      <c r="C2095" s="49">
        <v>23541</v>
      </c>
      <c r="D2095" s="9">
        <f>YEAR(Tabla1[[#This Row],[Date]])</f>
        <v>1964</v>
      </c>
      <c r="E2095" s="9" t="str" cm="1">
        <f t="array" ref="E2095">IFERROR(_xlfn.IFS(AND(D2095&lt;1980,D2095&gt;=1970),"70",AND(D2095&lt;1990,D2095&gt;=1980),"80",AND(D2095&lt;2000,D2095&gt;=1990),"90",AND(D2095&lt;2010,D2095&gt;=2000),"00",AND(D2095&lt;=2019,D2095&gt;=2010),"10"),"1908-1970")</f>
        <v>1908-1970</v>
      </c>
      <c r="F2095" s="3" t="s">
        <v>28931</v>
      </c>
      <c r="G2095" t="s">
        <v>14149</v>
      </c>
      <c r="H2095" t="s">
        <v>14150</v>
      </c>
      <c r="I2095" t="s">
        <v>28931</v>
      </c>
      <c r="J2095" t="s">
        <v>6190</v>
      </c>
      <c r="K2095" t="s">
        <v>8105</v>
      </c>
      <c r="L2095" s="7" t="s">
        <v>14151</v>
      </c>
      <c r="M2095">
        <v>12899</v>
      </c>
      <c r="N2095">
        <v>2</v>
      </c>
      <c r="O2095">
        <v>0</v>
      </c>
      <c r="P2095">
        <v>2</v>
      </c>
      <c r="Q2095">
        <v>2</v>
      </c>
      <c r="R2095">
        <v>0</v>
      </c>
      <c r="S2095">
        <v>2</v>
      </c>
      <c r="T2095">
        <v>0</v>
      </c>
      <c r="U2095" t="s">
        <v>14152</v>
      </c>
      <c r="V2095">
        <f>Tabla1[[#This Row],[Aboard]]-Tabla1[[#This Row],[Fatalities]]</f>
        <v>0</v>
      </c>
      <c r="W2095" s="50">
        <f>IFERROR(Tabla1[[#This Row],[Fatalities]]/Tabla1[[#This Row],[Aboard]],0)</f>
        <v>1</v>
      </c>
      <c r="X2095" s="51" t="str" cm="1">
        <f t="array" ref="X2095">_xlfn.IFS(Tabla1[[#This Row],[Porcentaje de muertes]]&lt;0.35,"LEVE",AND(Tabla1[[#This Row],[Porcentaje de muertes]]&gt;0.35,Tabla1[[#This Row],[Porcentaje de muertes]]&lt;0.65),"MEDIO",Tabla1[[#This Row],[Porcentaje de muertes]]&gt;0.65,"GRAVE")</f>
        <v>GRAVE</v>
      </c>
    </row>
    <row r="2096" spans="2:24" x14ac:dyDescent="0.3">
      <c r="B2096" s="9">
        <v>2095</v>
      </c>
      <c r="C2096" s="49">
        <v>23548</v>
      </c>
      <c r="D2096" s="9">
        <f>YEAR(Tabla1[[#This Row],[Date]])</f>
        <v>1964</v>
      </c>
      <c r="E2096" s="9" t="str" cm="1">
        <f t="array" ref="E2096">IFERROR(_xlfn.IFS(AND(D2096&lt;1980,D2096&gt;=1970),"70",AND(D2096&lt;1990,D2096&gt;=1980),"80",AND(D2096&lt;2000,D2096&gt;=1990),"90",AND(D2096&lt;2010,D2096&gt;=2000),"00",AND(D2096&lt;=2019,D2096&gt;=2010),"10"),"1908-1970")</f>
        <v>1908-1970</v>
      </c>
      <c r="F2096" s="3">
        <v>0.73611111111111116</v>
      </c>
      <c r="G2096" t="s">
        <v>14153</v>
      </c>
      <c r="H2096" t="s">
        <v>9548</v>
      </c>
      <c r="I2096" t="s">
        <v>28931</v>
      </c>
      <c r="J2096" t="s">
        <v>14154</v>
      </c>
      <c r="K2096" t="s">
        <v>14155</v>
      </c>
      <c r="L2096" s="7" t="s">
        <v>14156</v>
      </c>
      <c r="M2096">
        <v>2950</v>
      </c>
      <c r="N2096">
        <v>57</v>
      </c>
      <c r="O2096">
        <v>52</v>
      </c>
      <c r="P2096">
        <v>5</v>
      </c>
      <c r="Q2096">
        <v>57</v>
      </c>
      <c r="R2096">
        <v>52</v>
      </c>
      <c r="S2096">
        <v>5</v>
      </c>
      <c r="T2096">
        <v>0</v>
      </c>
      <c r="U2096" t="s">
        <v>14157</v>
      </c>
      <c r="V2096">
        <f>Tabla1[[#This Row],[Aboard]]-Tabla1[[#This Row],[Fatalities]]</f>
        <v>0</v>
      </c>
      <c r="W2096" s="50">
        <f>IFERROR(Tabla1[[#This Row],[Fatalities]]/Tabla1[[#This Row],[Aboard]],0)</f>
        <v>1</v>
      </c>
      <c r="X2096" s="51" t="str" cm="1">
        <f t="array" ref="X2096">_xlfn.IFS(Tabla1[[#This Row],[Porcentaje de muertes]]&lt;0.35,"LEVE",AND(Tabla1[[#This Row],[Porcentaje de muertes]]&gt;0.35,Tabla1[[#This Row],[Porcentaje de muertes]]&lt;0.65),"MEDIO",Tabla1[[#This Row],[Porcentaje de muertes]]&gt;0.65,"GRAVE")</f>
        <v>GRAVE</v>
      </c>
    </row>
    <row r="2097" spans="2:24" x14ac:dyDescent="0.3">
      <c r="B2097" s="9">
        <v>2096</v>
      </c>
      <c r="C2097" s="49">
        <v>23549</v>
      </c>
      <c r="D2097" s="9">
        <f>YEAR(Tabla1[[#This Row],[Date]])</f>
        <v>1964</v>
      </c>
      <c r="E2097" s="9" t="str" cm="1">
        <f t="array" ref="E2097">IFERROR(_xlfn.IFS(AND(D2097&lt;1980,D2097&gt;=1970),"70",AND(D2097&lt;1990,D2097&gt;=1980),"80",AND(D2097&lt;2000,D2097&gt;=1990),"90",AND(D2097&lt;2010,D2097&gt;=2000),"00",AND(D2097&lt;=2019,D2097&gt;=2010),"10"),"1908-1970")</f>
        <v>1908-1970</v>
      </c>
      <c r="F2097" s="3">
        <v>0.16666666666666666</v>
      </c>
      <c r="G2097" t="s">
        <v>14158</v>
      </c>
      <c r="H2097" t="s">
        <v>14159</v>
      </c>
      <c r="I2097" t="s">
        <v>28931</v>
      </c>
      <c r="J2097" t="s">
        <v>14160</v>
      </c>
      <c r="K2097" t="s">
        <v>7057</v>
      </c>
      <c r="L2097" s="7" t="s">
        <v>14161</v>
      </c>
      <c r="M2097">
        <v>20072</v>
      </c>
      <c r="N2097">
        <v>28</v>
      </c>
      <c r="O2097">
        <v>25</v>
      </c>
      <c r="P2097">
        <v>3</v>
      </c>
      <c r="Q2097">
        <v>1</v>
      </c>
      <c r="R2097">
        <v>1</v>
      </c>
      <c r="S2097">
        <v>0</v>
      </c>
      <c r="T2097">
        <v>0</v>
      </c>
      <c r="U2097" t="s">
        <v>14162</v>
      </c>
      <c r="V2097">
        <f>Tabla1[[#This Row],[Aboard]]-Tabla1[[#This Row],[Fatalities]]</f>
        <v>27</v>
      </c>
      <c r="W2097" s="50">
        <f>IFERROR(Tabla1[[#This Row],[Fatalities]]/Tabla1[[#This Row],[Aboard]],0)</f>
        <v>3.5714285714285712E-2</v>
      </c>
      <c r="X2097" s="51" t="str" cm="1">
        <f t="array" ref="X2097">_xlfn.IFS(Tabla1[[#This Row],[Porcentaje de muertes]]&lt;0.35,"LEVE",AND(Tabla1[[#This Row],[Porcentaje de muertes]]&gt;0.35,Tabla1[[#This Row],[Porcentaje de muertes]]&lt;0.65),"MEDIO",Tabla1[[#This Row],[Porcentaje de muertes]]&gt;0.65,"GRAVE")</f>
        <v>LEVE</v>
      </c>
    </row>
    <row r="2098" spans="2:24" x14ac:dyDescent="0.3">
      <c r="B2098" s="9">
        <v>2097</v>
      </c>
      <c r="C2098" s="49">
        <v>23596</v>
      </c>
      <c r="D2098" s="9">
        <f>YEAR(Tabla1[[#This Row],[Date]])</f>
        <v>1964</v>
      </c>
      <c r="E2098" s="9" t="str" cm="1">
        <f t="array" ref="E2098">IFERROR(_xlfn.IFS(AND(D2098&lt;1980,D2098&gt;=1970),"70",AND(D2098&lt;1990,D2098&gt;=1980),"80",AND(D2098&lt;2000,D2098&gt;=1990),"90",AND(D2098&lt;2010,D2098&gt;=2000),"00",AND(D2098&lt;=2019,D2098&gt;=2010),"10"),"1908-1970")</f>
        <v>1908-1970</v>
      </c>
      <c r="F2098" s="3">
        <v>0.50694444444444442</v>
      </c>
      <c r="G2098" t="s">
        <v>14163</v>
      </c>
      <c r="H2098" t="s">
        <v>6369</v>
      </c>
      <c r="I2098" t="s">
        <v>28931</v>
      </c>
      <c r="J2098" t="s">
        <v>28931</v>
      </c>
      <c r="K2098" t="s">
        <v>14164</v>
      </c>
      <c r="L2098" s="7" t="s">
        <v>14165</v>
      </c>
      <c r="M2098">
        <v>92</v>
      </c>
      <c r="N2098">
        <v>53</v>
      </c>
      <c r="O2098">
        <v>48</v>
      </c>
      <c r="P2098">
        <v>5</v>
      </c>
      <c r="Q2098">
        <v>1</v>
      </c>
      <c r="R2098">
        <v>1</v>
      </c>
      <c r="S2098">
        <v>0</v>
      </c>
      <c r="T2098">
        <v>0</v>
      </c>
      <c r="U2098" t="s">
        <v>14166</v>
      </c>
      <c r="V2098">
        <f>Tabla1[[#This Row],[Aboard]]-Tabla1[[#This Row],[Fatalities]]</f>
        <v>52</v>
      </c>
      <c r="W2098" s="50">
        <f>IFERROR(Tabla1[[#This Row],[Fatalities]]/Tabla1[[#This Row],[Aboard]],0)</f>
        <v>1.8867924528301886E-2</v>
      </c>
      <c r="X2098" s="51" t="str" cm="1">
        <f t="array" ref="X2098">_xlfn.IFS(Tabla1[[#This Row],[Porcentaje de muertes]]&lt;0.35,"LEVE",AND(Tabla1[[#This Row],[Porcentaje de muertes]]&gt;0.35,Tabla1[[#This Row],[Porcentaje de muertes]]&lt;0.65),"MEDIO",Tabla1[[#This Row],[Porcentaje de muertes]]&gt;0.65,"GRAVE")</f>
        <v>LEVE</v>
      </c>
    </row>
    <row r="2099" spans="2:24" x14ac:dyDescent="0.3">
      <c r="B2099" s="9">
        <v>2098</v>
      </c>
      <c r="C2099" s="49">
        <v>23627</v>
      </c>
      <c r="D2099" s="9">
        <f>YEAR(Tabla1[[#This Row],[Date]])</f>
        <v>1964</v>
      </c>
      <c r="E2099" s="9" t="str" cm="1">
        <f t="array" ref="E2099">IFERROR(_xlfn.IFS(AND(D2099&lt;1980,D2099&gt;=1970),"70",AND(D2099&lt;1990,D2099&gt;=1980),"80",AND(D2099&lt;2000,D2099&gt;=1990),"90",AND(D2099&lt;2010,D2099&gt;=2000),"00",AND(D2099&lt;=2019,D2099&gt;=2010),"10"),"1908-1970")</f>
        <v>1908-1970</v>
      </c>
      <c r="F2099" s="3">
        <v>0.76041666666666663</v>
      </c>
      <c r="G2099" t="s">
        <v>14167</v>
      </c>
      <c r="H2099" t="s">
        <v>6369</v>
      </c>
      <c r="I2099">
        <v>823</v>
      </c>
      <c r="J2099" t="s">
        <v>14168</v>
      </c>
      <c r="K2099" t="s">
        <v>12322</v>
      </c>
      <c r="L2099" s="7" t="s">
        <v>14169</v>
      </c>
      <c r="M2099">
        <v>103</v>
      </c>
      <c r="N2099">
        <v>39</v>
      </c>
      <c r="O2099">
        <v>35</v>
      </c>
      <c r="P2099">
        <v>4</v>
      </c>
      <c r="Q2099">
        <v>39</v>
      </c>
      <c r="R2099">
        <v>35</v>
      </c>
      <c r="S2099">
        <v>4</v>
      </c>
      <c r="T2099">
        <v>0</v>
      </c>
      <c r="U2099" t="s">
        <v>14170</v>
      </c>
      <c r="V2099">
        <f>Tabla1[[#This Row],[Aboard]]-Tabla1[[#This Row],[Fatalities]]</f>
        <v>0</v>
      </c>
      <c r="W2099" s="50">
        <f>IFERROR(Tabla1[[#This Row],[Fatalities]]/Tabla1[[#This Row],[Aboard]],0)</f>
        <v>1</v>
      </c>
      <c r="X2099" s="51" t="str" cm="1">
        <f t="array" ref="X2099">_xlfn.IFS(Tabla1[[#This Row],[Porcentaje de muertes]]&lt;0.35,"LEVE",AND(Tabla1[[#This Row],[Porcentaje de muertes]]&gt;0.35,Tabla1[[#This Row],[Porcentaje de muertes]]&lt;0.65),"MEDIO",Tabla1[[#This Row],[Porcentaje de muertes]]&gt;0.65,"GRAVE")</f>
        <v>GRAVE</v>
      </c>
    </row>
    <row r="2100" spans="2:24" x14ac:dyDescent="0.3">
      <c r="B2100" s="9">
        <v>2099</v>
      </c>
      <c r="C2100" s="49">
        <v>23574</v>
      </c>
      <c r="D2100" s="9">
        <f>YEAR(Tabla1[[#This Row],[Date]])</f>
        <v>1964</v>
      </c>
      <c r="E2100" s="9" t="str" cm="1">
        <f t="array" ref="E2100">IFERROR(_xlfn.IFS(AND(D2100&lt;1980,D2100&gt;=1970),"70",AND(D2100&lt;1990,D2100&gt;=1980),"80",AND(D2100&lt;2000,D2100&gt;=1990),"90",AND(D2100&lt;2010,D2100&gt;=2000),"00",AND(D2100&lt;=2019,D2100&gt;=2010),"10"),"1908-1970")</f>
        <v>1908-1970</v>
      </c>
      <c r="F2100" s="3">
        <v>0.77013888888888893</v>
      </c>
      <c r="G2100" t="s">
        <v>8655</v>
      </c>
      <c r="H2100" t="s">
        <v>6941</v>
      </c>
      <c r="I2100" t="s">
        <v>28931</v>
      </c>
      <c r="J2100" t="s">
        <v>14171</v>
      </c>
      <c r="K2100" t="s">
        <v>12808</v>
      </c>
      <c r="L2100" s="7" t="s">
        <v>14172</v>
      </c>
      <c r="M2100" t="s">
        <v>14173</v>
      </c>
      <c r="N2100">
        <v>76</v>
      </c>
      <c r="O2100">
        <v>71</v>
      </c>
      <c r="P2100">
        <v>5</v>
      </c>
      <c r="Q2100">
        <v>0</v>
      </c>
      <c r="R2100">
        <v>0</v>
      </c>
      <c r="S2100">
        <v>0</v>
      </c>
      <c r="T2100">
        <v>0</v>
      </c>
      <c r="U2100" t="s">
        <v>14174</v>
      </c>
      <c r="V2100">
        <f>Tabla1[[#This Row],[Aboard]]-Tabla1[[#This Row],[Fatalities]]</f>
        <v>76</v>
      </c>
      <c r="W2100" s="50">
        <f>IFERROR(Tabla1[[#This Row],[Fatalities]]/Tabla1[[#This Row],[Aboard]],0)</f>
        <v>0</v>
      </c>
      <c r="X2100" s="51" t="str" cm="1">
        <f t="array" ref="X2100">_xlfn.IFS(Tabla1[[#This Row],[Porcentaje de muertes]]&lt;0.35,"LEVE",AND(Tabla1[[#This Row],[Porcentaje de muertes]]&gt;0.35,Tabla1[[#This Row],[Porcentaje de muertes]]&lt;0.65),"MEDIO",Tabla1[[#This Row],[Porcentaje de muertes]]&gt;0.65,"GRAVE")</f>
        <v>LEVE</v>
      </c>
    </row>
    <row r="2101" spans="2:24" x14ac:dyDescent="0.3">
      <c r="B2101" s="9">
        <v>2100</v>
      </c>
      <c r="C2101" s="49">
        <v>23589</v>
      </c>
      <c r="D2101" s="9">
        <f>YEAR(Tabla1[[#This Row],[Date]])</f>
        <v>1964</v>
      </c>
      <c r="E2101" s="9" t="str" cm="1">
        <f t="array" ref="E2101">IFERROR(_xlfn.IFS(AND(D2101&lt;1980,D2101&gt;=1970),"70",AND(D2101&lt;1990,D2101&gt;=1980),"80",AND(D2101&lt;2000,D2101&gt;=1990),"90",AND(D2101&lt;2010,D2101&gt;=2000),"00",AND(D2101&lt;=2019,D2101&gt;=2010),"10"),"1908-1970")</f>
        <v>1908-1970</v>
      </c>
      <c r="F2101" s="3">
        <v>0.70277777777777783</v>
      </c>
      <c r="G2101" t="s">
        <v>14175</v>
      </c>
      <c r="H2101" t="s">
        <v>5032</v>
      </c>
      <c r="I2101" t="s">
        <v>8152</v>
      </c>
      <c r="J2101" t="s">
        <v>14176</v>
      </c>
      <c r="K2101" t="s">
        <v>14177</v>
      </c>
      <c r="L2101" s="7" t="s">
        <v>14178</v>
      </c>
      <c r="M2101" t="s">
        <v>28931</v>
      </c>
      <c r="N2101">
        <v>2</v>
      </c>
      <c r="O2101">
        <v>1</v>
      </c>
      <c r="P2101">
        <v>1</v>
      </c>
      <c r="Q2101">
        <v>2</v>
      </c>
      <c r="R2101">
        <v>1</v>
      </c>
      <c r="S2101">
        <v>1</v>
      </c>
      <c r="T2101">
        <v>0</v>
      </c>
      <c r="U2101" t="s">
        <v>14179</v>
      </c>
      <c r="V2101">
        <f>Tabla1[[#This Row],[Aboard]]-Tabla1[[#This Row],[Fatalities]]</f>
        <v>0</v>
      </c>
      <c r="W2101" s="50">
        <f>IFERROR(Tabla1[[#This Row],[Fatalities]]/Tabla1[[#This Row],[Aboard]],0)</f>
        <v>1</v>
      </c>
      <c r="X2101" s="51" t="str" cm="1">
        <f t="array" ref="X2101">_xlfn.IFS(Tabla1[[#This Row],[Porcentaje de muertes]]&lt;0.35,"LEVE",AND(Tabla1[[#This Row],[Porcentaje de muertes]]&gt;0.35,Tabla1[[#This Row],[Porcentaje de muertes]]&lt;0.65),"MEDIO",Tabla1[[#This Row],[Porcentaje de muertes]]&gt;0.65,"GRAVE")</f>
        <v>GRAVE</v>
      </c>
    </row>
    <row r="2102" spans="2:24" x14ac:dyDescent="0.3">
      <c r="B2102" s="9">
        <v>2101</v>
      </c>
      <c r="C2102" s="49">
        <v>23611</v>
      </c>
      <c r="D2102" s="9">
        <f>YEAR(Tabla1[[#This Row],[Date]])</f>
        <v>1964</v>
      </c>
      <c r="E2102" s="9" t="str" cm="1">
        <f t="array" ref="E2102">IFERROR(_xlfn.IFS(AND(D2102&lt;1980,D2102&gt;=1970),"70",AND(D2102&lt;1990,D2102&gt;=1980),"80",AND(D2102&lt;2000,D2102&gt;=1990),"90",AND(D2102&lt;2010,D2102&gt;=2000),"00",AND(D2102&lt;=2019,D2102&gt;=2010),"10"),"1908-1970")</f>
        <v>1908-1970</v>
      </c>
      <c r="F2102" s="3" t="s">
        <v>28931</v>
      </c>
      <c r="G2102" t="s">
        <v>13029</v>
      </c>
      <c r="H2102" t="s">
        <v>14180</v>
      </c>
      <c r="I2102" t="s">
        <v>28931</v>
      </c>
      <c r="J2102" t="s">
        <v>13030</v>
      </c>
      <c r="K2102" t="s">
        <v>14181</v>
      </c>
      <c r="L2102" s="7" t="s">
        <v>14182</v>
      </c>
      <c r="M2102">
        <v>13371</v>
      </c>
      <c r="N2102">
        <v>4</v>
      </c>
      <c r="O2102">
        <v>2</v>
      </c>
      <c r="P2102">
        <v>2</v>
      </c>
      <c r="Q2102">
        <v>4</v>
      </c>
      <c r="R2102">
        <v>2</v>
      </c>
      <c r="S2102">
        <v>2</v>
      </c>
      <c r="T2102">
        <v>0</v>
      </c>
      <c r="U2102" t="s">
        <v>14183</v>
      </c>
      <c r="V2102">
        <f>Tabla1[[#This Row],[Aboard]]-Tabla1[[#This Row],[Fatalities]]</f>
        <v>0</v>
      </c>
      <c r="W2102" s="50">
        <f>IFERROR(Tabla1[[#This Row],[Fatalities]]/Tabla1[[#This Row],[Aboard]],0)</f>
        <v>1</v>
      </c>
      <c r="X2102" s="51" t="str" cm="1">
        <f t="array" ref="X2102">_xlfn.IFS(Tabla1[[#This Row],[Porcentaje de muertes]]&lt;0.35,"LEVE",AND(Tabla1[[#This Row],[Porcentaje de muertes]]&gt;0.35,Tabla1[[#This Row],[Porcentaje de muertes]]&lt;0.65),"MEDIO",Tabla1[[#This Row],[Porcentaje de muertes]]&gt;0.65,"GRAVE")</f>
        <v>GRAVE</v>
      </c>
    </row>
    <row r="2103" spans="2:24" x14ac:dyDescent="0.3">
      <c r="B2103" s="9">
        <v>2102</v>
      </c>
      <c r="C2103" s="49">
        <v>23416</v>
      </c>
      <c r="D2103" s="9">
        <f>YEAR(Tabla1[[#This Row],[Date]])</f>
        <v>1964</v>
      </c>
      <c r="E2103" s="9" t="str" cm="1">
        <f t="array" ref="E2103">IFERROR(_xlfn.IFS(AND(D2103&lt;1980,D2103&gt;=1970),"70",AND(D2103&lt;1990,D2103&gt;=1980),"80",AND(D2103&lt;2000,D2103&gt;=1990),"90",AND(D2103&lt;2010,D2103&gt;=2000),"00",AND(D2103&lt;=2019,D2103&gt;=2010),"10"),"1908-1970")</f>
        <v>1908-1970</v>
      </c>
      <c r="F2103" s="3">
        <v>0.88263888888888886</v>
      </c>
      <c r="G2103" t="s">
        <v>14184</v>
      </c>
      <c r="H2103" t="s">
        <v>6541</v>
      </c>
      <c r="I2103">
        <v>721</v>
      </c>
      <c r="J2103" t="s">
        <v>14185</v>
      </c>
      <c r="K2103" t="s">
        <v>13035</v>
      </c>
      <c r="L2103" s="7" t="s">
        <v>14186</v>
      </c>
      <c r="M2103">
        <v>180002402</v>
      </c>
      <c r="N2103">
        <v>87</v>
      </c>
      <c r="O2103">
        <v>78</v>
      </c>
      <c r="P2103">
        <v>9</v>
      </c>
      <c r="Q2103">
        <v>87</v>
      </c>
      <c r="R2103">
        <v>78</v>
      </c>
      <c r="S2103">
        <v>9</v>
      </c>
      <c r="T2103">
        <v>0</v>
      </c>
      <c r="U2103" t="s">
        <v>14187</v>
      </c>
      <c r="V2103">
        <f>Tabla1[[#This Row],[Aboard]]-Tabla1[[#This Row],[Fatalities]]</f>
        <v>0</v>
      </c>
      <c r="W2103" s="50">
        <f>IFERROR(Tabla1[[#This Row],[Fatalities]]/Tabla1[[#This Row],[Aboard]],0)</f>
        <v>1</v>
      </c>
      <c r="X2103" s="51" t="str" cm="1">
        <f t="array" ref="X2103">_xlfn.IFS(Tabla1[[#This Row],[Porcentaje de muertes]]&lt;0.35,"LEVE",AND(Tabla1[[#This Row],[Porcentaje de muertes]]&gt;0.35,Tabla1[[#This Row],[Porcentaje de muertes]]&lt;0.65),"MEDIO",Tabla1[[#This Row],[Porcentaje de muertes]]&gt;0.65,"GRAVE")</f>
        <v>GRAVE</v>
      </c>
    </row>
    <row r="2104" spans="2:24" x14ac:dyDescent="0.3">
      <c r="B2104" s="9">
        <v>2103</v>
      </c>
      <c r="C2104" s="49">
        <v>23476</v>
      </c>
      <c r="D2104" s="9">
        <f>YEAR(Tabla1[[#This Row],[Date]])</f>
        <v>1964</v>
      </c>
      <c r="E2104" s="9" t="str" cm="1">
        <f t="array" ref="E2104">IFERROR(_xlfn.IFS(AND(D2104&lt;1980,D2104&gt;=1970),"70",AND(D2104&lt;1990,D2104&gt;=1980),"80",AND(D2104&lt;2000,D2104&gt;=1990),"90",AND(D2104&lt;2010,D2104&gt;=2000),"00",AND(D2104&lt;=2019,D2104&gt;=2010),"10"),"1908-1970")</f>
        <v>1908-1970</v>
      </c>
      <c r="F2104" s="3">
        <v>0.79166666666666663</v>
      </c>
      <c r="G2104" t="s">
        <v>14188</v>
      </c>
      <c r="H2104" t="s">
        <v>11757</v>
      </c>
      <c r="I2104" t="s">
        <v>28931</v>
      </c>
      <c r="J2104" t="s">
        <v>14189</v>
      </c>
      <c r="K2104" t="s">
        <v>7826</v>
      </c>
      <c r="L2104" s="7" t="s">
        <v>28931</v>
      </c>
      <c r="M2104" t="s">
        <v>28931</v>
      </c>
      <c r="N2104">
        <v>34</v>
      </c>
      <c r="O2104" t="s">
        <v>5038</v>
      </c>
      <c r="P2104" t="s">
        <v>5038</v>
      </c>
      <c r="Q2104">
        <v>28</v>
      </c>
      <c r="R2104" t="s">
        <v>5038</v>
      </c>
      <c r="S2104" t="s">
        <v>5038</v>
      </c>
      <c r="T2104">
        <v>0</v>
      </c>
      <c r="U2104" t="s">
        <v>14190</v>
      </c>
      <c r="V2104">
        <f>Tabla1[[#This Row],[Aboard]]-Tabla1[[#This Row],[Fatalities]]</f>
        <v>6</v>
      </c>
      <c r="W2104" s="50">
        <f>IFERROR(Tabla1[[#This Row],[Fatalities]]/Tabla1[[#This Row],[Aboard]],0)</f>
        <v>0.82352941176470584</v>
      </c>
      <c r="X2104" s="51" t="str" cm="1">
        <f t="array" ref="X2104">_xlfn.IFS(Tabla1[[#This Row],[Porcentaje de muertes]]&lt;0.35,"LEVE",AND(Tabla1[[#This Row],[Porcentaje de muertes]]&gt;0.35,Tabla1[[#This Row],[Porcentaje de muertes]]&lt;0.65),"MEDIO",Tabla1[[#This Row],[Porcentaje de muertes]]&gt;0.65,"GRAVE")</f>
        <v>GRAVE</v>
      </c>
    </row>
    <row r="2105" spans="2:24" x14ac:dyDescent="0.3">
      <c r="B2105" s="9">
        <v>2104</v>
      </c>
      <c r="C2105" s="49">
        <v>23476</v>
      </c>
      <c r="D2105" s="9">
        <f>YEAR(Tabla1[[#This Row],[Date]])</f>
        <v>1964</v>
      </c>
      <c r="E2105" s="9" t="str" cm="1">
        <f t="array" ref="E2105">IFERROR(_xlfn.IFS(AND(D2105&lt;1980,D2105&gt;=1970),"70",AND(D2105&lt;1990,D2105&gt;=1980),"80",AND(D2105&lt;2000,D2105&gt;=1990),"90",AND(D2105&lt;2010,D2105&gt;=2000),"00",AND(D2105&lt;=2019,D2105&gt;=2010),"10"),"1908-1970")</f>
        <v>1908-1970</v>
      </c>
      <c r="F2105" s="3">
        <v>0.69027777777777777</v>
      </c>
      <c r="G2105" t="s">
        <v>14191</v>
      </c>
      <c r="H2105" t="s">
        <v>7581</v>
      </c>
      <c r="I2105" t="s">
        <v>28931</v>
      </c>
      <c r="J2105" t="s">
        <v>7369</v>
      </c>
      <c r="K2105" t="s">
        <v>14192</v>
      </c>
      <c r="L2105" s="7" t="s">
        <v>14193</v>
      </c>
      <c r="M2105">
        <v>66</v>
      </c>
      <c r="N2105">
        <v>39</v>
      </c>
      <c r="O2105">
        <v>34</v>
      </c>
      <c r="P2105">
        <v>5</v>
      </c>
      <c r="Q2105">
        <v>39</v>
      </c>
      <c r="R2105">
        <v>34</v>
      </c>
      <c r="S2105">
        <v>5</v>
      </c>
      <c r="T2105">
        <v>0</v>
      </c>
      <c r="U2105" t="s">
        <v>14194</v>
      </c>
      <c r="V2105">
        <f>Tabla1[[#This Row],[Aboard]]-Tabla1[[#This Row],[Fatalities]]</f>
        <v>0</v>
      </c>
      <c r="W2105" s="50">
        <f>IFERROR(Tabla1[[#This Row],[Fatalities]]/Tabla1[[#This Row],[Aboard]],0)</f>
        <v>1</v>
      </c>
      <c r="X2105" s="51" t="str" cm="1">
        <f t="array" ref="X2105">_xlfn.IFS(Tabla1[[#This Row],[Porcentaje de muertes]]&lt;0.35,"LEVE",AND(Tabla1[[#This Row],[Porcentaje de muertes]]&gt;0.35,Tabla1[[#This Row],[Porcentaje de muertes]]&lt;0.65),"MEDIO",Tabla1[[#This Row],[Porcentaje de muertes]]&gt;0.65,"GRAVE")</f>
        <v>GRAVE</v>
      </c>
    </row>
    <row r="2106" spans="2:24" x14ac:dyDescent="0.3">
      <c r="B2106" s="9">
        <v>2105</v>
      </c>
      <c r="C2106" s="49">
        <v>23635</v>
      </c>
      <c r="D2106" s="9">
        <f>YEAR(Tabla1[[#This Row],[Date]])</f>
        <v>1964</v>
      </c>
      <c r="E2106" s="9" t="str" cm="1">
        <f t="array" ref="E2106">IFERROR(_xlfn.IFS(AND(D2106&lt;1980,D2106&gt;=1970),"70",AND(D2106&lt;1990,D2106&gt;=1980),"80",AND(D2106&lt;2000,D2106&gt;=1990),"90",AND(D2106&lt;2010,D2106&gt;=2000),"00",AND(D2106&lt;=2019,D2106&gt;=2010),"10"),"1908-1970")</f>
        <v>1908-1970</v>
      </c>
      <c r="F2106" s="3">
        <v>0.74375000000000002</v>
      </c>
      <c r="G2106" t="s">
        <v>14195</v>
      </c>
      <c r="H2106" t="s">
        <v>8976</v>
      </c>
      <c r="I2106" t="s">
        <v>28931</v>
      </c>
      <c r="J2106" t="s">
        <v>14196</v>
      </c>
      <c r="K2106" t="s">
        <v>8105</v>
      </c>
      <c r="L2106" s="7" t="s">
        <v>14197</v>
      </c>
      <c r="M2106">
        <v>19680</v>
      </c>
      <c r="N2106">
        <v>2</v>
      </c>
      <c r="O2106">
        <v>0</v>
      </c>
      <c r="P2106">
        <v>2</v>
      </c>
      <c r="Q2106">
        <v>2</v>
      </c>
      <c r="R2106">
        <v>0</v>
      </c>
      <c r="S2106">
        <v>2</v>
      </c>
      <c r="T2106">
        <v>0</v>
      </c>
      <c r="U2106" t="s">
        <v>14198</v>
      </c>
      <c r="V2106">
        <f>Tabla1[[#This Row],[Aboard]]-Tabla1[[#This Row],[Fatalities]]</f>
        <v>0</v>
      </c>
      <c r="W2106" s="50">
        <f>IFERROR(Tabla1[[#This Row],[Fatalities]]/Tabla1[[#This Row],[Aboard]],0)</f>
        <v>1</v>
      </c>
      <c r="X2106" s="51" t="str" cm="1">
        <f t="array" ref="X2106">_xlfn.IFS(Tabla1[[#This Row],[Porcentaje de muertes]]&lt;0.35,"LEVE",AND(Tabla1[[#This Row],[Porcentaje de muertes]]&gt;0.35,Tabla1[[#This Row],[Porcentaje de muertes]]&lt;0.65),"MEDIO",Tabla1[[#This Row],[Porcentaje de muertes]]&gt;0.65,"GRAVE")</f>
        <v>GRAVE</v>
      </c>
    </row>
    <row r="2107" spans="2:24" x14ac:dyDescent="0.3">
      <c r="B2107" s="9">
        <v>2106</v>
      </c>
      <c r="C2107" s="49">
        <v>23417</v>
      </c>
      <c r="D2107" s="9">
        <f>YEAR(Tabla1[[#This Row],[Date]])</f>
        <v>1964</v>
      </c>
      <c r="E2107" s="9" t="str" cm="1">
        <f t="array" ref="E2107">IFERROR(_xlfn.IFS(AND(D2107&lt;1980,D2107&gt;=1970),"70",AND(D2107&lt;1990,D2107&gt;=1980),"80",AND(D2107&lt;2000,D2107&gt;=1990),"90",AND(D2107&lt;2010,D2107&gt;=2000),"00",AND(D2107&lt;=2019,D2107&gt;=2010),"10"),"1908-1970")</f>
        <v>1908-1970</v>
      </c>
      <c r="F2107" s="3" t="s">
        <v>28931</v>
      </c>
      <c r="G2107" t="s">
        <v>14199</v>
      </c>
      <c r="H2107" t="s">
        <v>14200</v>
      </c>
      <c r="I2107" t="s">
        <v>28931</v>
      </c>
      <c r="J2107" t="s">
        <v>14201</v>
      </c>
      <c r="K2107" t="s">
        <v>14202</v>
      </c>
      <c r="L2107" s="7" t="s">
        <v>14203</v>
      </c>
      <c r="M2107">
        <v>2562</v>
      </c>
      <c r="N2107">
        <v>7</v>
      </c>
      <c r="O2107">
        <v>0</v>
      </c>
      <c r="P2107">
        <v>7</v>
      </c>
      <c r="Q2107">
        <v>1</v>
      </c>
      <c r="R2107">
        <v>0</v>
      </c>
      <c r="S2107">
        <v>1</v>
      </c>
      <c r="T2107">
        <v>0</v>
      </c>
      <c r="U2107" t="s">
        <v>14204</v>
      </c>
      <c r="V2107">
        <f>Tabla1[[#This Row],[Aboard]]-Tabla1[[#This Row],[Fatalities]]</f>
        <v>6</v>
      </c>
      <c r="W2107" s="50">
        <f>IFERROR(Tabla1[[#This Row],[Fatalities]]/Tabla1[[#This Row],[Aboard]],0)</f>
        <v>0.14285714285714285</v>
      </c>
      <c r="X2107" s="51" t="str" cm="1">
        <f t="array" ref="X2107">_xlfn.IFS(Tabla1[[#This Row],[Porcentaje de muertes]]&lt;0.35,"LEVE",AND(Tabla1[[#This Row],[Porcentaje de muertes]]&gt;0.35,Tabla1[[#This Row],[Porcentaje de muertes]]&lt;0.65),"MEDIO",Tabla1[[#This Row],[Porcentaje de muertes]]&gt;0.65,"GRAVE")</f>
        <v>LEVE</v>
      </c>
    </row>
    <row r="2108" spans="2:24" x14ac:dyDescent="0.3">
      <c r="B2108" s="9">
        <v>2107</v>
      </c>
      <c r="C2108" s="49">
        <v>23417</v>
      </c>
      <c r="D2108" s="9">
        <f>YEAR(Tabla1[[#This Row],[Date]])</f>
        <v>1964</v>
      </c>
      <c r="E2108" s="9" t="str" cm="1">
        <f t="array" ref="E2108">IFERROR(_xlfn.IFS(AND(D2108&lt;1980,D2108&gt;=1970),"70",AND(D2108&lt;1990,D2108&gt;=1980),"80",AND(D2108&lt;2000,D2108&gt;=1990),"90",AND(D2108&lt;2010,D2108&gt;=2000),"00",AND(D2108&lt;=2019,D2108&gt;=2010),"10"),"1908-1970")</f>
        <v>1908-1970</v>
      </c>
      <c r="F2108" s="3">
        <v>0.23958333333333334</v>
      </c>
      <c r="G2108" t="s">
        <v>14205</v>
      </c>
      <c r="H2108" t="s">
        <v>11535</v>
      </c>
      <c r="I2108" t="s">
        <v>28931</v>
      </c>
      <c r="J2108" t="s">
        <v>14206</v>
      </c>
      <c r="K2108" t="s">
        <v>10428</v>
      </c>
      <c r="L2108" s="7" t="s">
        <v>14207</v>
      </c>
      <c r="M2108" t="s">
        <v>14208</v>
      </c>
      <c r="N2108">
        <v>80</v>
      </c>
      <c r="O2108">
        <v>73</v>
      </c>
      <c r="P2108">
        <v>7</v>
      </c>
      <c r="Q2108">
        <v>80</v>
      </c>
      <c r="R2108">
        <v>73</v>
      </c>
      <c r="S2108">
        <v>7</v>
      </c>
      <c r="T2108">
        <v>0</v>
      </c>
      <c r="U2108" t="s">
        <v>14209</v>
      </c>
      <c r="V2108">
        <f>Tabla1[[#This Row],[Aboard]]-Tabla1[[#This Row],[Fatalities]]</f>
        <v>0</v>
      </c>
      <c r="W2108" s="50">
        <f>IFERROR(Tabla1[[#This Row],[Fatalities]]/Tabla1[[#This Row],[Aboard]],0)</f>
        <v>1</v>
      </c>
      <c r="X2108" s="51" t="str" cm="1">
        <f t="array" ref="X2108">_xlfn.IFS(Tabla1[[#This Row],[Porcentaje de muertes]]&lt;0.35,"LEVE",AND(Tabla1[[#This Row],[Porcentaje de muertes]]&gt;0.35,Tabla1[[#This Row],[Porcentaje de muertes]]&lt;0.65),"MEDIO",Tabla1[[#This Row],[Porcentaje de muertes]]&gt;0.65,"GRAVE")</f>
        <v>GRAVE</v>
      </c>
    </row>
    <row r="2109" spans="2:24" x14ac:dyDescent="0.3">
      <c r="B2109" s="9">
        <v>2108</v>
      </c>
      <c r="C2109" s="49">
        <v>23630</v>
      </c>
      <c r="D2109" s="9">
        <f>YEAR(Tabla1[[#This Row],[Date]])</f>
        <v>1964</v>
      </c>
      <c r="E2109" s="9" t="str" cm="1">
        <f t="array" ref="E2109">IFERROR(_xlfn.IFS(AND(D2109&lt;1980,D2109&gt;=1970),"70",AND(D2109&lt;1990,D2109&gt;=1980),"80",AND(D2109&lt;2000,D2109&gt;=1990),"90",AND(D2109&lt;2010,D2109&gt;=2000),"00",AND(D2109&lt;=2019,D2109&gt;=2010),"10"),"1908-1970")</f>
        <v>1908-1970</v>
      </c>
      <c r="F2109" s="3">
        <v>0.85138888888888886</v>
      </c>
      <c r="G2109" t="s">
        <v>14210</v>
      </c>
      <c r="H2109" t="s">
        <v>13884</v>
      </c>
      <c r="I2109" t="s">
        <v>28931</v>
      </c>
      <c r="J2109" t="s">
        <v>14211</v>
      </c>
      <c r="K2109" t="s">
        <v>12541</v>
      </c>
      <c r="L2109" s="7" t="s">
        <v>14212</v>
      </c>
      <c r="M2109">
        <v>146000926</v>
      </c>
      <c r="N2109">
        <v>32</v>
      </c>
      <c r="O2109">
        <v>28</v>
      </c>
      <c r="P2109">
        <v>4</v>
      </c>
      <c r="Q2109">
        <v>32</v>
      </c>
      <c r="R2109">
        <v>28</v>
      </c>
      <c r="S2109">
        <v>4</v>
      </c>
      <c r="T2109">
        <v>0</v>
      </c>
      <c r="U2109" t="s">
        <v>14213</v>
      </c>
      <c r="V2109">
        <f>Tabla1[[#This Row],[Aboard]]-Tabla1[[#This Row],[Fatalities]]</f>
        <v>0</v>
      </c>
      <c r="W2109" s="50">
        <f>IFERROR(Tabla1[[#This Row],[Fatalities]]/Tabla1[[#This Row],[Aboard]],0)</f>
        <v>1</v>
      </c>
      <c r="X2109" s="51" t="str" cm="1">
        <f t="array" ref="X2109">_xlfn.IFS(Tabla1[[#This Row],[Porcentaje de muertes]]&lt;0.35,"LEVE",AND(Tabla1[[#This Row],[Porcentaje de muertes]]&gt;0.35,Tabla1[[#This Row],[Porcentaje de muertes]]&lt;0.65),"MEDIO",Tabla1[[#This Row],[Porcentaje de muertes]]&gt;0.65,"GRAVE")</f>
        <v>GRAVE</v>
      </c>
    </row>
    <row r="2110" spans="2:24" x14ac:dyDescent="0.3">
      <c r="B2110" s="9">
        <v>2109</v>
      </c>
      <c r="C2110" s="49">
        <v>23669</v>
      </c>
      <c r="D2110" s="9">
        <f>YEAR(Tabla1[[#This Row],[Date]])</f>
        <v>1964</v>
      </c>
      <c r="E2110" s="9" t="str" cm="1">
        <f t="array" ref="E2110">IFERROR(_xlfn.IFS(AND(D2110&lt;1980,D2110&gt;=1970),"70",AND(D2110&lt;1990,D2110&gt;=1980),"80",AND(D2110&lt;2000,D2110&gt;=1990),"90",AND(D2110&lt;2010,D2110&gt;=2000),"00",AND(D2110&lt;=2019,D2110&gt;=2010),"10"),"1908-1970")</f>
        <v>1908-1970</v>
      </c>
      <c r="F2110" s="3">
        <v>0.4826388888888889</v>
      </c>
      <c r="G2110" t="s">
        <v>14214</v>
      </c>
      <c r="H2110" t="s">
        <v>9999</v>
      </c>
      <c r="I2110" t="s">
        <v>28931</v>
      </c>
      <c r="J2110" t="s">
        <v>14215</v>
      </c>
      <c r="K2110" t="s">
        <v>12828</v>
      </c>
      <c r="L2110" s="7" t="s">
        <v>14216</v>
      </c>
      <c r="M2110" t="s">
        <v>14217</v>
      </c>
      <c r="N2110">
        <v>33</v>
      </c>
      <c r="O2110">
        <v>29</v>
      </c>
      <c r="P2110">
        <v>4</v>
      </c>
      <c r="Q2110">
        <v>33</v>
      </c>
      <c r="R2110">
        <v>29</v>
      </c>
      <c r="S2110">
        <v>4</v>
      </c>
      <c r="T2110">
        <v>0</v>
      </c>
      <c r="U2110" t="s">
        <v>14218</v>
      </c>
      <c r="V2110">
        <f>Tabla1[[#This Row],[Aboard]]-Tabla1[[#This Row],[Fatalities]]</f>
        <v>0</v>
      </c>
      <c r="W2110" s="50">
        <f>IFERROR(Tabla1[[#This Row],[Fatalities]]/Tabla1[[#This Row],[Aboard]],0)</f>
        <v>1</v>
      </c>
      <c r="X2110" s="51" t="str" cm="1">
        <f t="array" ref="X2110">_xlfn.IFS(Tabla1[[#This Row],[Porcentaje de muertes]]&lt;0.35,"LEVE",AND(Tabla1[[#This Row],[Porcentaje de muertes]]&gt;0.35,Tabla1[[#This Row],[Porcentaje de muertes]]&lt;0.65),"MEDIO",Tabla1[[#This Row],[Porcentaje de muertes]]&gt;0.65,"GRAVE")</f>
        <v>GRAVE</v>
      </c>
    </row>
    <row r="2111" spans="2:24" x14ac:dyDescent="0.3">
      <c r="B2111" s="9">
        <v>2110</v>
      </c>
      <c r="C2111" s="49">
        <v>23447</v>
      </c>
      <c r="D2111" s="9">
        <f>YEAR(Tabla1[[#This Row],[Date]])</f>
        <v>1964</v>
      </c>
      <c r="E2111" s="9" t="str" cm="1">
        <f t="array" ref="E2111">IFERROR(_xlfn.IFS(AND(D2111&lt;1980,D2111&gt;=1970),"70",AND(D2111&lt;1990,D2111&gt;=1980),"80",AND(D2111&lt;2000,D2111&gt;=1990),"90",AND(D2111&lt;2010,D2111&gt;=2000),"00",AND(D2111&lt;=2019,D2111&gt;=2010),"10"),"1908-1970")</f>
        <v>1908-1970</v>
      </c>
      <c r="F2111" s="3">
        <v>0.46527777777777773</v>
      </c>
      <c r="G2111" t="s">
        <v>14219</v>
      </c>
      <c r="H2111" t="s">
        <v>14220</v>
      </c>
      <c r="I2111" t="s">
        <v>28931</v>
      </c>
      <c r="J2111" t="s">
        <v>28931</v>
      </c>
      <c r="K2111" t="s">
        <v>14221</v>
      </c>
      <c r="L2111" s="7" t="s">
        <v>14222</v>
      </c>
      <c r="M2111" t="s">
        <v>14223</v>
      </c>
      <c r="N2111">
        <v>5</v>
      </c>
      <c r="O2111">
        <v>4</v>
      </c>
      <c r="P2111">
        <v>1</v>
      </c>
      <c r="Q2111">
        <v>5</v>
      </c>
      <c r="R2111">
        <v>4</v>
      </c>
      <c r="S2111">
        <v>1</v>
      </c>
      <c r="T2111">
        <v>0</v>
      </c>
      <c r="U2111" t="s">
        <v>14224</v>
      </c>
      <c r="V2111">
        <f>Tabla1[[#This Row],[Aboard]]-Tabla1[[#This Row],[Fatalities]]</f>
        <v>0</v>
      </c>
      <c r="W2111" s="50">
        <f>IFERROR(Tabla1[[#This Row],[Fatalities]]/Tabla1[[#This Row],[Aboard]],0)</f>
        <v>1</v>
      </c>
      <c r="X2111" s="51" t="str" cm="1">
        <f t="array" ref="X2111">_xlfn.IFS(Tabla1[[#This Row],[Porcentaje de muertes]]&lt;0.35,"LEVE",AND(Tabla1[[#This Row],[Porcentaje de muertes]]&gt;0.35,Tabla1[[#This Row],[Porcentaje de muertes]]&lt;0.65),"MEDIO",Tabla1[[#This Row],[Porcentaje de muertes]]&gt;0.65,"GRAVE")</f>
        <v>GRAVE</v>
      </c>
    </row>
    <row r="2112" spans="2:24" x14ac:dyDescent="0.3">
      <c r="B2112" s="9">
        <v>2111</v>
      </c>
      <c r="C2112" s="49">
        <v>23696</v>
      </c>
      <c r="D2112" s="9">
        <f>YEAR(Tabla1[[#This Row],[Date]])</f>
        <v>1964</v>
      </c>
      <c r="E2112" s="9" t="str" cm="1">
        <f t="array" ref="E2112">IFERROR(_xlfn.IFS(AND(D2112&lt;1980,D2112&gt;=1970),"70",AND(D2112&lt;1990,D2112&gt;=1980),"80",AND(D2112&lt;2000,D2112&gt;=1990),"90",AND(D2112&lt;2010,D2112&gt;=2000),"00",AND(D2112&lt;=2019,D2112&gt;=2010),"10"),"1908-1970")</f>
        <v>1908-1970</v>
      </c>
      <c r="F2112" s="3">
        <v>0.85069444444444453</v>
      </c>
      <c r="G2112" t="s">
        <v>14225</v>
      </c>
      <c r="H2112" t="s">
        <v>14226</v>
      </c>
      <c r="I2112">
        <v>114</v>
      </c>
      <c r="J2112" t="s">
        <v>14227</v>
      </c>
      <c r="K2112" t="s">
        <v>13127</v>
      </c>
      <c r="L2112" s="7" t="s">
        <v>14228</v>
      </c>
      <c r="M2112">
        <v>29</v>
      </c>
      <c r="N2112">
        <v>29</v>
      </c>
      <c r="O2112">
        <v>26</v>
      </c>
      <c r="P2112">
        <v>3</v>
      </c>
      <c r="Q2112">
        <v>29</v>
      </c>
      <c r="R2112">
        <v>26</v>
      </c>
      <c r="S2112">
        <v>3</v>
      </c>
      <c r="T2112">
        <v>0</v>
      </c>
      <c r="U2112" t="s">
        <v>14229</v>
      </c>
      <c r="V2112">
        <f>Tabla1[[#This Row],[Aboard]]-Tabla1[[#This Row],[Fatalities]]</f>
        <v>0</v>
      </c>
      <c r="W2112" s="50">
        <f>IFERROR(Tabla1[[#This Row],[Fatalities]]/Tabla1[[#This Row],[Aboard]],0)</f>
        <v>1</v>
      </c>
      <c r="X2112" s="51" t="str" cm="1">
        <f t="array" ref="X2112">_xlfn.IFS(Tabla1[[#This Row],[Porcentaje de muertes]]&lt;0.35,"LEVE",AND(Tabla1[[#This Row],[Porcentaje de muertes]]&gt;0.35,Tabla1[[#This Row],[Porcentaje de muertes]]&lt;0.65),"MEDIO",Tabla1[[#This Row],[Porcentaje de muertes]]&gt;0.65,"GRAVE")</f>
        <v>GRAVE</v>
      </c>
    </row>
    <row r="2113" spans="2:24" x14ac:dyDescent="0.3">
      <c r="B2113" s="9">
        <v>2112</v>
      </c>
      <c r="C2113" s="49">
        <v>23698</v>
      </c>
      <c r="D2113" s="9">
        <f>YEAR(Tabla1[[#This Row],[Date]])</f>
        <v>1964</v>
      </c>
      <c r="E2113" s="9" t="str" cm="1">
        <f t="array" ref="E2113">IFERROR(_xlfn.IFS(AND(D2113&lt;1980,D2113&gt;=1970),"70",AND(D2113&lt;1990,D2113&gt;=1980),"80",AND(D2113&lt;2000,D2113&gt;=1990),"90",AND(D2113&lt;2010,D2113&gt;=2000),"00",AND(D2113&lt;=2019,D2113&gt;=2010),"10"),"1908-1970")</f>
        <v>1908-1970</v>
      </c>
      <c r="F2113" s="3">
        <v>0.78819444444444453</v>
      </c>
      <c r="G2113" t="s">
        <v>14230</v>
      </c>
      <c r="H2113" t="s">
        <v>5027</v>
      </c>
      <c r="I2113" t="s">
        <v>28931</v>
      </c>
      <c r="J2113" t="s">
        <v>6190</v>
      </c>
      <c r="K2113" t="s">
        <v>14231</v>
      </c>
      <c r="L2113" s="7">
        <v>151362</v>
      </c>
      <c r="M2113" t="s">
        <v>14232</v>
      </c>
      <c r="N2113">
        <v>10</v>
      </c>
      <c r="O2113">
        <v>0</v>
      </c>
      <c r="P2113">
        <v>10</v>
      </c>
      <c r="Q2113">
        <v>10</v>
      </c>
      <c r="R2113">
        <v>0</v>
      </c>
      <c r="S2113">
        <v>10</v>
      </c>
      <c r="T2113">
        <v>0</v>
      </c>
      <c r="U2113" t="s">
        <v>14233</v>
      </c>
      <c r="V2113">
        <f>Tabla1[[#This Row],[Aboard]]-Tabla1[[#This Row],[Fatalities]]</f>
        <v>0</v>
      </c>
      <c r="W2113" s="50">
        <f>IFERROR(Tabla1[[#This Row],[Fatalities]]/Tabla1[[#This Row],[Aboard]],0)</f>
        <v>1</v>
      </c>
      <c r="X2113" s="51" t="str" cm="1">
        <f t="array" ref="X2113">_xlfn.IFS(Tabla1[[#This Row],[Porcentaje de muertes]]&lt;0.35,"LEVE",AND(Tabla1[[#This Row],[Porcentaje de muertes]]&gt;0.35,Tabla1[[#This Row],[Porcentaje de muertes]]&lt;0.65),"MEDIO",Tabla1[[#This Row],[Porcentaje de muertes]]&gt;0.65,"GRAVE")</f>
        <v>GRAVE</v>
      </c>
    </row>
    <row r="2114" spans="2:24" x14ac:dyDescent="0.3">
      <c r="B2114" s="9">
        <v>2113</v>
      </c>
      <c r="C2114" s="49">
        <v>23701</v>
      </c>
      <c r="D2114" s="9">
        <f>YEAR(Tabla1[[#This Row],[Date]])</f>
        <v>1964</v>
      </c>
      <c r="E2114" s="9" t="str" cm="1">
        <f t="array" ref="E2114">IFERROR(_xlfn.IFS(AND(D2114&lt;1980,D2114&gt;=1970),"70",AND(D2114&lt;1990,D2114&gt;=1980),"80",AND(D2114&lt;2000,D2114&gt;=1990),"90",AND(D2114&lt;2010,D2114&gt;=2000),"00",AND(D2114&lt;=2019,D2114&gt;=2010),"10"),"1908-1970")</f>
        <v>1908-1970</v>
      </c>
      <c r="F2114" s="3">
        <v>0.8847222222222223</v>
      </c>
      <c r="G2114" t="s">
        <v>14234</v>
      </c>
      <c r="H2114" t="s">
        <v>14235</v>
      </c>
      <c r="I2114" t="s">
        <v>28931</v>
      </c>
      <c r="J2114" t="s">
        <v>14236</v>
      </c>
      <c r="K2114" t="s">
        <v>14237</v>
      </c>
      <c r="L2114" s="7" t="s">
        <v>14238</v>
      </c>
      <c r="M2114">
        <v>195</v>
      </c>
      <c r="N2114">
        <v>43</v>
      </c>
      <c r="O2114">
        <v>39</v>
      </c>
      <c r="P2114">
        <v>4</v>
      </c>
      <c r="Q2114">
        <v>31</v>
      </c>
      <c r="R2114">
        <v>29</v>
      </c>
      <c r="S2114">
        <v>2</v>
      </c>
      <c r="T2114">
        <v>0</v>
      </c>
      <c r="U2114" t="s">
        <v>14239</v>
      </c>
      <c r="V2114">
        <f>Tabla1[[#This Row],[Aboard]]-Tabla1[[#This Row],[Fatalities]]</f>
        <v>12</v>
      </c>
      <c r="W2114" s="50">
        <f>IFERROR(Tabla1[[#This Row],[Fatalities]]/Tabla1[[#This Row],[Aboard]],0)</f>
        <v>0.72093023255813948</v>
      </c>
      <c r="X2114" s="51" t="str" cm="1">
        <f t="array" ref="X2114">_xlfn.IFS(Tabla1[[#This Row],[Porcentaje de muertes]]&lt;0.35,"LEVE",AND(Tabla1[[#This Row],[Porcentaje de muertes]]&gt;0.35,Tabla1[[#This Row],[Porcentaje de muertes]]&lt;0.65),"MEDIO",Tabla1[[#This Row],[Porcentaje de muertes]]&gt;0.65,"GRAVE")</f>
        <v>GRAVE</v>
      </c>
    </row>
    <row r="2115" spans="2:24" x14ac:dyDescent="0.3">
      <c r="B2115" s="9">
        <v>2114</v>
      </c>
      <c r="C2115" s="49">
        <v>23704</v>
      </c>
      <c r="D2115" s="9">
        <f>YEAR(Tabla1[[#This Row],[Date]])</f>
        <v>1964</v>
      </c>
      <c r="E2115" s="9" t="str" cm="1">
        <f t="array" ref="E2115">IFERROR(_xlfn.IFS(AND(D2115&lt;1980,D2115&gt;=1970),"70",AND(D2115&lt;1990,D2115&gt;=1980),"80",AND(D2115&lt;2000,D2115&gt;=1990),"90",AND(D2115&lt;2010,D2115&gt;=2000),"00",AND(D2115&lt;=2019,D2115&gt;=2010),"10"),"1908-1970")</f>
        <v>1908-1970</v>
      </c>
      <c r="F2115" s="3">
        <v>0.58958333333333335</v>
      </c>
      <c r="G2115" t="s">
        <v>7654</v>
      </c>
      <c r="H2115" t="s">
        <v>10166</v>
      </c>
      <c r="I2115">
        <v>800</v>
      </c>
      <c r="J2115" t="s">
        <v>9677</v>
      </c>
      <c r="K2115" t="s">
        <v>14240</v>
      </c>
      <c r="L2115" s="7" t="s">
        <v>14241</v>
      </c>
      <c r="M2115" t="s">
        <v>14242</v>
      </c>
      <c r="N2115">
        <v>73</v>
      </c>
      <c r="O2115">
        <v>62</v>
      </c>
      <c r="P2115">
        <v>11</v>
      </c>
      <c r="Q2115">
        <v>50</v>
      </c>
      <c r="R2115">
        <v>45</v>
      </c>
      <c r="S2115">
        <v>5</v>
      </c>
      <c r="T2115">
        <v>0</v>
      </c>
      <c r="U2115" t="s">
        <v>14243</v>
      </c>
      <c r="V2115">
        <f>Tabla1[[#This Row],[Aboard]]-Tabla1[[#This Row],[Fatalities]]</f>
        <v>23</v>
      </c>
      <c r="W2115" s="50">
        <f>IFERROR(Tabla1[[#This Row],[Fatalities]]/Tabla1[[#This Row],[Aboard]],0)</f>
        <v>0.68493150684931503</v>
      </c>
      <c r="X2115" s="51" t="str" cm="1">
        <f t="array" ref="X2115">_xlfn.IFS(Tabla1[[#This Row],[Porcentaje de muertes]]&lt;0.35,"LEVE",AND(Tabla1[[#This Row],[Porcentaje de muertes]]&gt;0.35,Tabla1[[#This Row],[Porcentaje de muertes]]&lt;0.65),"MEDIO",Tabla1[[#This Row],[Porcentaje de muertes]]&gt;0.65,"GRAVE")</f>
        <v>GRAVE</v>
      </c>
    </row>
    <row r="2116" spans="2:24" x14ac:dyDescent="0.3">
      <c r="B2116" s="9">
        <v>2115</v>
      </c>
      <c r="C2116" s="49">
        <v>23710</v>
      </c>
      <c r="D2116" s="9">
        <f>YEAR(Tabla1[[#This Row],[Date]])</f>
        <v>1964</v>
      </c>
      <c r="E2116" s="9" t="str" cm="1">
        <f t="array" ref="E2116">IFERROR(_xlfn.IFS(AND(D2116&lt;1980,D2116&gt;=1970),"70",AND(D2116&lt;1990,D2116&gt;=1980),"80",AND(D2116&lt;2000,D2116&gt;=1990),"90",AND(D2116&lt;2010,D2116&gt;=2000),"00",AND(D2116&lt;=2019,D2116&gt;=2010),"10"),"1908-1970")</f>
        <v>1908-1970</v>
      </c>
      <c r="F2116" s="3">
        <v>0.80555555555555547</v>
      </c>
      <c r="G2116" t="s">
        <v>14244</v>
      </c>
      <c r="H2116" t="s">
        <v>14245</v>
      </c>
      <c r="I2116" t="s">
        <v>28931</v>
      </c>
      <c r="J2116" t="s">
        <v>14246</v>
      </c>
      <c r="K2116" t="s">
        <v>8822</v>
      </c>
      <c r="L2116" s="7" t="s">
        <v>14247</v>
      </c>
      <c r="M2116">
        <v>18384</v>
      </c>
      <c r="N2116">
        <v>14</v>
      </c>
      <c r="O2116">
        <v>11</v>
      </c>
      <c r="P2116">
        <v>3</v>
      </c>
      <c r="Q2116">
        <v>6</v>
      </c>
      <c r="R2116">
        <v>3</v>
      </c>
      <c r="S2116">
        <v>3</v>
      </c>
      <c r="T2116">
        <v>0</v>
      </c>
      <c r="U2116" t="s">
        <v>14248</v>
      </c>
      <c r="V2116">
        <f>Tabla1[[#This Row],[Aboard]]-Tabla1[[#This Row],[Fatalities]]</f>
        <v>8</v>
      </c>
      <c r="W2116" s="50">
        <f>IFERROR(Tabla1[[#This Row],[Fatalities]]/Tabla1[[#This Row],[Aboard]],0)</f>
        <v>0.42857142857142855</v>
      </c>
      <c r="X2116" s="51" t="str" cm="1">
        <f t="array" ref="X2116">_xlfn.IFS(Tabla1[[#This Row],[Porcentaje de muertes]]&lt;0.35,"LEVE",AND(Tabla1[[#This Row],[Porcentaje de muertes]]&gt;0.35,Tabla1[[#This Row],[Porcentaje de muertes]]&lt;0.65),"MEDIO",Tabla1[[#This Row],[Porcentaje de muertes]]&gt;0.65,"GRAVE")</f>
        <v>MEDIO</v>
      </c>
    </row>
    <row r="2117" spans="2:24" x14ac:dyDescent="0.3">
      <c r="B2117" s="9">
        <v>2116</v>
      </c>
      <c r="C2117" s="49">
        <v>23601</v>
      </c>
      <c r="D2117" s="9">
        <f>YEAR(Tabla1[[#This Row],[Date]])</f>
        <v>1964</v>
      </c>
      <c r="E2117" s="9" t="str" cm="1">
        <f t="array" ref="E2117">IFERROR(_xlfn.IFS(AND(D2117&lt;1980,D2117&gt;=1970),"70",AND(D2117&lt;1990,D2117&gt;=1980),"80",AND(D2117&lt;2000,D2117&gt;=1990),"90",AND(D2117&lt;2010,D2117&gt;=2000),"00",AND(D2117&lt;=2019,D2117&gt;=2010),"10"),"1908-1970")</f>
        <v>1908-1970</v>
      </c>
      <c r="F2117" s="3">
        <v>0.45</v>
      </c>
      <c r="G2117" t="s">
        <v>14249</v>
      </c>
      <c r="H2117" t="s">
        <v>13656</v>
      </c>
      <c r="I2117" t="s">
        <v>28931</v>
      </c>
      <c r="J2117" t="s">
        <v>12246</v>
      </c>
      <c r="K2117" t="s">
        <v>7057</v>
      </c>
      <c r="L2117" s="7" t="s">
        <v>14250</v>
      </c>
      <c r="M2117">
        <v>7375</v>
      </c>
      <c r="N2117">
        <v>17</v>
      </c>
      <c r="O2117">
        <v>13</v>
      </c>
      <c r="P2117">
        <v>4</v>
      </c>
      <c r="Q2117">
        <v>17</v>
      </c>
      <c r="R2117">
        <v>13</v>
      </c>
      <c r="S2117">
        <v>4</v>
      </c>
      <c r="T2117">
        <v>0</v>
      </c>
      <c r="U2117" t="s">
        <v>14251</v>
      </c>
      <c r="V2117">
        <f>Tabla1[[#This Row],[Aboard]]-Tabla1[[#This Row],[Fatalities]]</f>
        <v>0</v>
      </c>
      <c r="W2117" s="50">
        <f>IFERROR(Tabla1[[#This Row],[Fatalities]]/Tabla1[[#This Row],[Aboard]],0)</f>
        <v>1</v>
      </c>
      <c r="X2117" s="51" t="str" cm="1">
        <f t="array" ref="X2117">_xlfn.IFS(Tabla1[[#This Row],[Porcentaje de muertes]]&lt;0.35,"LEVE",AND(Tabla1[[#This Row],[Porcentaje de muertes]]&gt;0.35,Tabla1[[#This Row],[Porcentaje de muertes]]&lt;0.65),"MEDIO",Tabla1[[#This Row],[Porcentaje de muertes]]&gt;0.65,"GRAVE")</f>
        <v>GRAVE</v>
      </c>
    </row>
    <row r="2118" spans="2:24" x14ac:dyDescent="0.3">
      <c r="B2118" s="9">
        <v>2117</v>
      </c>
      <c r="C2118" s="49">
        <v>23693</v>
      </c>
      <c r="D2118" s="9">
        <f>YEAR(Tabla1[[#This Row],[Date]])</f>
        <v>1964</v>
      </c>
      <c r="E2118" s="9" t="str" cm="1">
        <f t="array" ref="E2118">IFERROR(_xlfn.IFS(AND(D2118&lt;1980,D2118&gt;=1970),"70",AND(D2118&lt;1990,D2118&gt;=1980),"80",AND(D2118&lt;2000,D2118&gt;=1990),"90",AND(D2118&lt;2010,D2118&gt;=2000),"00",AND(D2118&lt;=2019,D2118&gt;=2010),"10"),"1908-1970")</f>
        <v>1908-1970</v>
      </c>
      <c r="F2118" s="3" t="s">
        <v>28931</v>
      </c>
      <c r="G2118" t="s">
        <v>14252</v>
      </c>
      <c r="H2118" t="s">
        <v>14253</v>
      </c>
      <c r="I2118" t="s">
        <v>28931</v>
      </c>
      <c r="J2118" t="s">
        <v>28931</v>
      </c>
      <c r="K2118" t="s">
        <v>14254</v>
      </c>
      <c r="L2118" s="7" t="s">
        <v>28931</v>
      </c>
      <c r="M2118" t="s">
        <v>28931</v>
      </c>
      <c r="N2118">
        <v>38</v>
      </c>
      <c r="O2118">
        <v>32</v>
      </c>
      <c r="P2118">
        <v>6</v>
      </c>
      <c r="Q2118">
        <v>38</v>
      </c>
      <c r="R2118">
        <v>32</v>
      </c>
      <c r="S2118">
        <v>6</v>
      </c>
      <c r="T2118">
        <v>0</v>
      </c>
      <c r="U2118" t="s">
        <v>14255</v>
      </c>
      <c r="V2118">
        <f>Tabla1[[#This Row],[Aboard]]-Tabla1[[#This Row],[Fatalities]]</f>
        <v>0</v>
      </c>
      <c r="W2118" s="50">
        <f>IFERROR(Tabla1[[#This Row],[Fatalities]]/Tabla1[[#This Row],[Aboard]],0)</f>
        <v>1</v>
      </c>
      <c r="X2118" s="51" t="str" cm="1">
        <f t="array" ref="X2118">_xlfn.IFS(Tabla1[[#This Row],[Porcentaje de muertes]]&lt;0.35,"LEVE",AND(Tabla1[[#This Row],[Porcentaje de muertes]]&gt;0.35,Tabla1[[#This Row],[Porcentaje de muertes]]&lt;0.65),"MEDIO",Tabla1[[#This Row],[Porcentaje de muertes]]&gt;0.65,"GRAVE")</f>
        <v>GRAVE</v>
      </c>
    </row>
    <row r="2119" spans="2:24" x14ac:dyDescent="0.3">
      <c r="B2119" s="9">
        <v>2118</v>
      </c>
      <c r="C2119" s="49">
        <v>23732</v>
      </c>
      <c r="D2119" s="9">
        <f>YEAR(Tabla1[[#This Row],[Date]])</f>
        <v>1964</v>
      </c>
      <c r="E2119" s="9" t="str" cm="1">
        <f t="array" ref="E2119">IFERROR(_xlfn.IFS(AND(D2119&lt;1980,D2119&gt;=1970),"70",AND(D2119&lt;1990,D2119&gt;=1980),"80",AND(D2119&lt;2000,D2119&gt;=1990),"90",AND(D2119&lt;2010,D2119&gt;=2000),"00",AND(D2119&lt;=2019,D2119&gt;=2010),"10"),"1908-1970")</f>
        <v>1908-1970</v>
      </c>
      <c r="F2119" s="3">
        <v>0.77777777777777779</v>
      </c>
      <c r="G2119" t="s">
        <v>14256</v>
      </c>
      <c r="H2119" t="s">
        <v>14257</v>
      </c>
      <c r="I2119" t="s">
        <v>28931</v>
      </c>
      <c r="J2119" t="s">
        <v>14258</v>
      </c>
      <c r="K2119" t="s">
        <v>7057</v>
      </c>
      <c r="L2119" s="7" t="s">
        <v>14259</v>
      </c>
      <c r="M2119">
        <v>20396</v>
      </c>
      <c r="N2119">
        <v>39</v>
      </c>
      <c r="O2119">
        <v>36</v>
      </c>
      <c r="P2119">
        <v>3</v>
      </c>
      <c r="Q2119">
        <v>1</v>
      </c>
      <c r="R2119">
        <v>1</v>
      </c>
      <c r="S2119">
        <v>0</v>
      </c>
      <c r="T2119">
        <v>0</v>
      </c>
      <c r="U2119" t="s">
        <v>14260</v>
      </c>
      <c r="V2119">
        <f>Tabla1[[#This Row],[Aboard]]-Tabla1[[#This Row],[Fatalities]]</f>
        <v>38</v>
      </c>
      <c r="W2119" s="50">
        <f>IFERROR(Tabla1[[#This Row],[Fatalities]]/Tabla1[[#This Row],[Aboard]],0)</f>
        <v>2.564102564102564E-2</v>
      </c>
      <c r="X2119" s="51" t="str" cm="1">
        <f t="array" ref="X2119">_xlfn.IFS(Tabla1[[#This Row],[Porcentaje de muertes]]&lt;0.35,"LEVE",AND(Tabla1[[#This Row],[Porcentaje de muertes]]&gt;0.35,Tabla1[[#This Row],[Porcentaje de muertes]]&lt;0.65),"MEDIO",Tabla1[[#This Row],[Porcentaje de muertes]]&gt;0.65,"GRAVE")</f>
        <v>LEVE</v>
      </c>
    </row>
    <row r="2120" spans="2:24" x14ac:dyDescent="0.3">
      <c r="B2120" s="9">
        <v>2119</v>
      </c>
      <c r="C2120" s="49">
        <v>23735</v>
      </c>
      <c r="D2120" s="9">
        <f>YEAR(Tabla1[[#This Row],[Date]])</f>
        <v>1964</v>
      </c>
      <c r="E2120" s="9" t="str" cm="1">
        <f t="array" ref="E2120">IFERROR(_xlfn.IFS(AND(D2120&lt;1980,D2120&gt;=1970),"70",AND(D2120&lt;1990,D2120&gt;=1980),"80",AND(D2120&lt;2000,D2120&gt;=1990),"90",AND(D2120&lt;2010,D2120&gt;=2000),"00",AND(D2120&lt;=2019,D2120&gt;=2010),"10"),"1908-1970")</f>
        <v>1908-1970</v>
      </c>
      <c r="F2120" s="3">
        <v>2.1527777777777781E-2</v>
      </c>
      <c r="G2120" t="s">
        <v>14261</v>
      </c>
      <c r="H2120" t="s">
        <v>10878</v>
      </c>
      <c r="I2120" t="s">
        <v>28931</v>
      </c>
      <c r="J2120" t="s">
        <v>14262</v>
      </c>
      <c r="K2120" t="s">
        <v>12466</v>
      </c>
      <c r="L2120" s="7" t="s">
        <v>14263</v>
      </c>
      <c r="M2120">
        <v>4812</v>
      </c>
      <c r="N2120">
        <v>3</v>
      </c>
      <c r="O2120">
        <v>0</v>
      </c>
      <c r="P2120">
        <v>3</v>
      </c>
      <c r="Q2120">
        <v>3</v>
      </c>
      <c r="R2120">
        <v>0</v>
      </c>
      <c r="S2120">
        <v>3</v>
      </c>
      <c r="T2120">
        <v>0</v>
      </c>
      <c r="U2120" t="s">
        <v>14264</v>
      </c>
      <c r="V2120">
        <f>Tabla1[[#This Row],[Aboard]]-Tabla1[[#This Row],[Fatalities]]</f>
        <v>0</v>
      </c>
      <c r="W2120" s="50">
        <f>IFERROR(Tabla1[[#This Row],[Fatalities]]/Tabla1[[#This Row],[Aboard]],0)</f>
        <v>1</v>
      </c>
      <c r="X2120" s="51" t="str" cm="1">
        <f t="array" ref="X2120">_xlfn.IFS(Tabla1[[#This Row],[Porcentaje de muertes]]&lt;0.35,"LEVE",AND(Tabla1[[#This Row],[Porcentaje de muertes]]&gt;0.35,Tabla1[[#This Row],[Porcentaje de muertes]]&lt;0.65),"MEDIO",Tabla1[[#This Row],[Porcentaje de muertes]]&gt;0.65,"GRAVE")</f>
        <v>GRAVE</v>
      </c>
    </row>
    <row r="2121" spans="2:24" x14ac:dyDescent="0.3">
      <c r="B2121" s="9">
        <v>2120</v>
      </c>
      <c r="C2121" s="49">
        <v>23735</v>
      </c>
      <c r="D2121" s="9">
        <f>YEAR(Tabla1[[#This Row],[Date]])</f>
        <v>1964</v>
      </c>
      <c r="E2121" s="9" t="str" cm="1">
        <f t="array" ref="E2121">IFERROR(_xlfn.IFS(AND(D2121&lt;1980,D2121&gt;=1970),"70",AND(D2121&lt;1990,D2121&gt;=1980),"80",AND(D2121&lt;2000,D2121&gt;=1990),"90",AND(D2121&lt;2010,D2121&gt;=2000),"00",AND(D2121&lt;=2019,D2121&gt;=2010),"10"),"1908-1970")</f>
        <v>1908-1970</v>
      </c>
      <c r="F2121" s="3" t="s">
        <v>28931</v>
      </c>
      <c r="G2121" t="s">
        <v>14265</v>
      </c>
      <c r="H2121" t="s">
        <v>14266</v>
      </c>
      <c r="I2121" t="s">
        <v>28931</v>
      </c>
      <c r="J2121" t="s">
        <v>28931</v>
      </c>
      <c r="K2121" t="s">
        <v>7057</v>
      </c>
      <c r="L2121" s="7" t="s">
        <v>14267</v>
      </c>
      <c r="M2121" t="s">
        <v>14268</v>
      </c>
      <c r="N2121">
        <v>23</v>
      </c>
      <c r="O2121">
        <v>22</v>
      </c>
      <c r="P2121">
        <v>1</v>
      </c>
      <c r="Q2121">
        <v>1</v>
      </c>
      <c r="R2121">
        <v>0</v>
      </c>
      <c r="S2121">
        <v>1</v>
      </c>
      <c r="T2121">
        <v>0</v>
      </c>
      <c r="U2121" t="s">
        <v>14269</v>
      </c>
      <c r="V2121">
        <f>Tabla1[[#This Row],[Aboard]]-Tabla1[[#This Row],[Fatalities]]</f>
        <v>22</v>
      </c>
      <c r="W2121" s="50">
        <f>IFERROR(Tabla1[[#This Row],[Fatalities]]/Tabla1[[#This Row],[Aboard]],0)</f>
        <v>4.3478260869565216E-2</v>
      </c>
      <c r="X2121" s="51" t="str" cm="1">
        <f t="array" ref="X2121">_xlfn.IFS(Tabla1[[#This Row],[Porcentaje de muertes]]&lt;0.35,"LEVE",AND(Tabla1[[#This Row],[Porcentaje de muertes]]&gt;0.35,Tabla1[[#This Row],[Porcentaje de muertes]]&lt;0.65),"MEDIO",Tabla1[[#This Row],[Porcentaje de muertes]]&gt;0.65,"GRAVE")</f>
        <v>LEVE</v>
      </c>
    </row>
    <row r="2122" spans="2:24" x14ac:dyDescent="0.3">
      <c r="B2122" s="9">
        <v>2121</v>
      </c>
      <c r="C2122" s="49">
        <v>23740</v>
      </c>
      <c r="D2122" s="9">
        <f>YEAR(Tabla1[[#This Row],[Date]])</f>
        <v>1964</v>
      </c>
      <c r="E2122" s="9" t="str" cm="1">
        <f t="array" ref="E2122">IFERROR(_xlfn.IFS(AND(D2122&lt;1980,D2122&gt;=1970),"70",AND(D2122&lt;1990,D2122&gt;=1980),"80",AND(D2122&lt;2000,D2122&gt;=1990),"90",AND(D2122&lt;2010,D2122&gt;=2000),"00",AND(D2122&lt;=2019,D2122&gt;=2010),"10"),"1908-1970")</f>
        <v>1908-1970</v>
      </c>
      <c r="F2122" s="3" t="s">
        <v>28931</v>
      </c>
      <c r="G2122" t="s">
        <v>14270</v>
      </c>
      <c r="H2122" t="s">
        <v>14271</v>
      </c>
      <c r="I2122" t="s">
        <v>28931</v>
      </c>
      <c r="J2122" t="s">
        <v>14272</v>
      </c>
      <c r="K2122" t="s">
        <v>8697</v>
      </c>
      <c r="L2122" s="7" t="s">
        <v>14273</v>
      </c>
      <c r="M2122" t="s">
        <v>28931</v>
      </c>
      <c r="N2122">
        <v>5</v>
      </c>
      <c r="O2122">
        <v>0</v>
      </c>
      <c r="P2122">
        <v>5</v>
      </c>
      <c r="Q2122">
        <v>5</v>
      </c>
      <c r="R2122">
        <v>0</v>
      </c>
      <c r="S2122">
        <v>5</v>
      </c>
      <c r="T2122">
        <v>0</v>
      </c>
      <c r="U2122" t="s">
        <v>14274</v>
      </c>
      <c r="V2122">
        <f>Tabla1[[#This Row],[Aboard]]-Tabla1[[#This Row],[Fatalities]]</f>
        <v>0</v>
      </c>
      <c r="W2122" s="50">
        <f>IFERROR(Tabla1[[#This Row],[Fatalities]]/Tabla1[[#This Row],[Aboard]],0)</f>
        <v>1</v>
      </c>
      <c r="X2122" s="51" t="str" cm="1">
        <f t="array" ref="X2122">_xlfn.IFS(Tabla1[[#This Row],[Porcentaje de muertes]]&lt;0.35,"LEVE",AND(Tabla1[[#This Row],[Porcentaje de muertes]]&gt;0.35,Tabla1[[#This Row],[Porcentaje de muertes]]&lt;0.65),"MEDIO",Tabla1[[#This Row],[Porcentaje de muertes]]&gt;0.65,"GRAVE")</f>
        <v>GRAVE</v>
      </c>
    </row>
    <row r="2123" spans="2:24" x14ac:dyDescent="0.3">
      <c r="B2123" s="9">
        <v>2122</v>
      </c>
      <c r="C2123" s="49">
        <v>23741</v>
      </c>
      <c r="D2123" s="9">
        <f>YEAR(Tabla1[[#This Row],[Date]])</f>
        <v>1964</v>
      </c>
      <c r="E2123" s="9" t="str" cm="1">
        <f t="array" ref="E2123">IFERROR(_xlfn.IFS(AND(D2123&lt;1980,D2123&gt;=1970),"70",AND(D2123&lt;1990,D2123&gt;=1980),"80",AND(D2123&lt;2000,D2123&gt;=1990),"90",AND(D2123&lt;2010,D2123&gt;=2000),"00",AND(D2123&lt;=2019,D2123&gt;=2010),"10"),"1908-1970")</f>
        <v>1908-1970</v>
      </c>
      <c r="F2123" s="3">
        <v>9.3055555555555558E-2</v>
      </c>
      <c r="G2123" t="s">
        <v>14275</v>
      </c>
      <c r="H2123" t="s">
        <v>11209</v>
      </c>
      <c r="I2123" t="s">
        <v>28931</v>
      </c>
      <c r="J2123" t="s">
        <v>14276</v>
      </c>
      <c r="K2123" t="s">
        <v>14277</v>
      </c>
      <c r="L2123" s="7" t="s">
        <v>14278</v>
      </c>
      <c r="M2123">
        <v>30328</v>
      </c>
      <c r="N2123">
        <v>4</v>
      </c>
      <c r="O2123">
        <v>2</v>
      </c>
      <c r="P2123">
        <v>2</v>
      </c>
      <c r="Q2123">
        <v>4</v>
      </c>
      <c r="R2123">
        <v>2</v>
      </c>
      <c r="S2123">
        <v>2</v>
      </c>
      <c r="T2123">
        <v>0</v>
      </c>
      <c r="U2123" t="s">
        <v>14279</v>
      </c>
      <c r="V2123">
        <f>Tabla1[[#This Row],[Aboard]]-Tabla1[[#This Row],[Fatalities]]</f>
        <v>0</v>
      </c>
      <c r="W2123" s="50">
        <f>IFERROR(Tabla1[[#This Row],[Fatalities]]/Tabla1[[#This Row],[Aboard]],0)</f>
        <v>1</v>
      </c>
      <c r="X2123" s="51" t="str" cm="1">
        <f t="array" ref="X2123">_xlfn.IFS(Tabla1[[#This Row],[Porcentaje de muertes]]&lt;0.35,"LEVE",AND(Tabla1[[#This Row],[Porcentaje de muertes]]&gt;0.35,Tabla1[[#This Row],[Porcentaje de muertes]]&lt;0.65),"MEDIO",Tabla1[[#This Row],[Porcentaje de muertes]]&gt;0.65,"GRAVE")</f>
        <v>GRAVE</v>
      </c>
    </row>
    <row r="2124" spans="2:24" x14ac:dyDescent="0.3">
      <c r="B2124" s="9">
        <v>2123</v>
      </c>
      <c r="C2124" s="49">
        <v>23774</v>
      </c>
      <c r="D2124" s="9">
        <f>YEAR(Tabla1[[#This Row],[Date]])</f>
        <v>1965</v>
      </c>
      <c r="E2124" s="9" t="str" cm="1">
        <f t="array" ref="E2124">IFERROR(_xlfn.IFS(AND(D2124&lt;1980,D2124&gt;=1970),"70",AND(D2124&lt;1990,D2124&gt;=1980),"80",AND(D2124&lt;2000,D2124&gt;=1990),"90",AND(D2124&lt;2010,D2124&gt;=2000),"00",AND(D2124&lt;=2019,D2124&gt;=2010),"10"),"1908-1970")</f>
        <v>1908-1970</v>
      </c>
      <c r="F2124" s="3">
        <v>0.4145833333333333</v>
      </c>
      <c r="G2124" t="s">
        <v>14280</v>
      </c>
      <c r="H2124" t="s">
        <v>6541</v>
      </c>
      <c r="I2124" t="s">
        <v>28931</v>
      </c>
      <c r="J2124" t="s">
        <v>14281</v>
      </c>
      <c r="K2124" t="s">
        <v>8258</v>
      </c>
      <c r="L2124" s="7" t="s">
        <v>14282</v>
      </c>
      <c r="M2124">
        <v>6401</v>
      </c>
      <c r="N2124">
        <v>24</v>
      </c>
      <c r="O2124">
        <v>22</v>
      </c>
      <c r="P2124">
        <v>2</v>
      </c>
      <c r="Q2124">
        <v>24</v>
      </c>
      <c r="R2124">
        <v>22</v>
      </c>
      <c r="S2124">
        <v>2</v>
      </c>
      <c r="T2124">
        <v>0</v>
      </c>
      <c r="U2124" t="s">
        <v>14283</v>
      </c>
      <c r="V2124">
        <f>Tabla1[[#This Row],[Aboard]]-Tabla1[[#This Row],[Fatalities]]</f>
        <v>0</v>
      </c>
      <c r="W2124" s="50">
        <f>IFERROR(Tabla1[[#This Row],[Fatalities]]/Tabla1[[#This Row],[Aboard]],0)</f>
        <v>1</v>
      </c>
      <c r="X2124" s="51" t="str" cm="1">
        <f t="array" ref="X2124">_xlfn.IFS(Tabla1[[#This Row],[Porcentaje de muertes]]&lt;0.35,"LEVE",AND(Tabla1[[#This Row],[Porcentaje de muertes]]&gt;0.35,Tabla1[[#This Row],[Porcentaje de muertes]]&lt;0.65),"MEDIO",Tabla1[[#This Row],[Porcentaje de muertes]]&gt;0.65,"GRAVE")</f>
        <v>GRAVE</v>
      </c>
    </row>
    <row r="2125" spans="2:24" x14ac:dyDescent="0.3">
      <c r="B2125" s="9">
        <v>2124</v>
      </c>
      <c r="C2125" s="49">
        <v>23802</v>
      </c>
      <c r="D2125" s="9">
        <f>YEAR(Tabla1[[#This Row],[Date]])</f>
        <v>1965</v>
      </c>
      <c r="E2125" s="9" t="str" cm="1">
        <f t="array" ref="E2125">IFERROR(_xlfn.IFS(AND(D2125&lt;1980,D2125&gt;=1970),"70",AND(D2125&lt;1990,D2125&gt;=1980),"80",AND(D2125&lt;2000,D2125&gt;=1990),"90",AND(D2125&lt;2010,D2125&gt;=2000),"00",AND(D2125&lt;=2019,D2125&gt;=2010),"10"),"1908-1970")</f>
        <v>1908-1970</v>
      </c>
      <c r="F2125" s="3">
        <v>0.87708333333333333</v>
      </c>
      <c r="G2125" t="s">
        <v>14284</v>
      </c>
      <c r="H2125" t="s">
        <v>14285</v>
      </c>
      <c r="I2125">
        <v>101</v>
      </c>
      <c r="J2125" t="s">
        <v>14286</v>
      </c>
      <c r="K2125" t="s">
        <v>13035</v>
      </c>
      <c r="L2125" s="7" t="s">
        <v>14287</v>
      </c>
      <c r="M2125">
        <v>189001105</v>
      </c>
      <c r="N2125">
        <v>103</v>
      </c>
      <c r="O2125">
        <v>95</v>
      </c>
      <c r="P2125">
        <v>8</v>
      </c>
      <c r="Q2125">
        <v>64</v>
      </c>
      <c r="R2125">
        <v>61</v>
      </c>
      <c r="S2125">
        <v>3</v>
      </c>
      <c r="T2125">
        <v>0</v>
      </c>
      <c r="U2125" t="s">
        <v>14288</v>
      </c>
      <c r="V2125">
        <f>Tabla1[[#This Row],[Aboard]]-Tabla1[[#This Row],[Fatalities]]</f>
        <v>39</v>
      </c>
      <c r="W2125" s="50">
        <f>IFERROR(Tabla1[[#This Row],[Fatalities]]/Tabla1[[#This Row],[Aboard]],0)</f>
        <v>0.62135922330097082</v>
      </c>
      <c r="X2125" s="51" t="str" cm="1">
        <f t="array" ref="X2125">_xlfn.IFS(Tabla1[[#This Row],[Porcentaje de muertes]]&lt;0.35,"LEVE",AND(Tabla1[[#This Row],[Porcentaje de muertes]]&gt;0.35,Tabla1[[#This Row],[Porcentaje de muertes]]&lt;0.65),"MEDIO",Tabla1[[#This Row],[Porcentaje de muertes]]&gt;0.65,"GRAVE")</f>
        <v>MEDIO</v>
      </c>
    </row>
    <row r="2126" spans="2:24" x14ac:dyDescent="0.3">
      <c r="B2126" s="9">
        <v>2125</v>
      </c>
      <c r="C2126" s="49">
        <v>23758</v>
      </c>
      <c r="D2126" s="9">
        <f>YEAR(Tabla1[[#This Row],[Date]])</f>
        <v>1965</v>
      </c>
      <c r="E2126" s="9" t="str" cm="1">
        <f t="array" ref="E2126">IFERROR(_xlfn.IFS(AND(D2126&lt;1980,D2126&gt;=1970),"70",AND(D2126&lt;1990,D2126&gt;=1980),"80",AND(D2126&lt;2000,D2126&gt;=1990),"90",AND(D2126&lt;2010,D2126&gt;=2000),"00",AND(D2126&lt;=2019,D2126&gt;=2010),"10"),"1908-1970")</f>
        <v>1908-1970</v>
      </c>
      <c r="F2126" s="3">
        <v>0.39583333333333331</v>
      </c>
      <c r="G2126" t="s">
        <v>14289</v>
      </c>
      <c r="H2126" t="s">
        <v>7987</v>
      </c>
      <c r="I2126" t="s">
        <v>28931</v>
      </c>
      <c r="J2126" t="s">
        <v>28931</v>
      </c>
      <c r="K2126" t="s">
        <v>12399</v>
      </c>
      <c r="L2126" s="7" t="s">
        <v>14290</v>
      </c>
      <c r="M2126">
        <v>17513</v>
      </c>
      <c r="N2126">
        <v>7</v>
      </c>
      <c r="O2126">
        <v>0</v>
      </c>
      <c r="P2126">
        <v>7</v>
      </c>
      <c r="Q2126">
        <v>7</v>
      </c>
      <c r="R2126">
        <v>0</v>
      </c>
      <c r="S2126">
        <v>7</v>
      </c>
      <c r="T2126">
        <v>23</v>
      </c>
      <c r="U2126" t="s">
        <v>14291</v>
      </c>
      <c r="V2126">
        <f>Tabla1[[#This Row],[Aboard]]-Tabla1[[#This Row],[Fatalities]]</f>
        <v>0</v>
      </c>
      <c r="W2126" s="50">
        <f>IFERROR(Tabla1[[#This Row],[Fatalities]]/Tabla1[[#This Row],[Aboard]],0)</f>
        <v>1</v>
      </c>
      <c r="X2126" s="51" t="str" cm="1">
        <f t="array" ref="X2126">_xlfn.IFS(Tabla1[[#This Row],[Porcentaje de muertes]]&lt;0.35,"LEVE",AND(Tabla1[[#This Row],[Porcentaje de muertes]]&gt;0.35,Tabla1[[#This Row],[Porcentaje de muertes]]&lt;0.65),"MEDIO",Tabla1[[#This Row],[Porcentaje de muertes]]&gt;0.65,"GRAVE")</f>
        <v>GRAVE</v>
      </c>
    </row>
    <row r="2127" spans="2:24" x14ac:dyDescent="0.3">
      <c r="B2127" s="9">
        <v>2126</v>
      </c>
      <c r="C2127" s="49">
        <v>23759</v>
      </c>
      <c r="D2127" s="9">
        <f>YEAR(Tabla1[[#This Row],[Date]])</f>
        <v>1965</v>
      </c>
      <c r="E2127" s="9" t="str" cm="1">
        <f t="array" ref="E2127">IFERROR(_xlfn.IFS(AND(D2127&lt;1980,D2127&gt;=1970),"70",AND(D2127&lt;1990,D2127&gt;=1980),"80",AND(D2127&lt;2000,D2127&gt;=1990),"90",AND(D2127&lt;2010,D2127&gt;=2000),"00",AND(D2127&lt;=2019,D2127&gt;=2010),"10"),"1908-1970")</f>
        <v>1908-1970</v>
      </c>
      <c r="F2127" s="3">
        <v>3.75</v>
      </c>
      <c r="G2127" t="s">
        <v>14292</v>
      </c>
      <c r="H2127" t="s">
        <v>14293</v>
      </c>
      <c r="I2127" t="s">
        <v>28931</v>
      </c>
      <c r="J2127" t="s">
        <v>14294</v>
      </c>
      <c r="K2127" t="s">
        <v>8697</v>
      </c>
      <c r="L2127" s="7" t="s">
        <v>14295</v>
      </c>
      <c r="M2127">
        <v>5960</v>
      </c>
      <c r="N2127">
        <v>10</v>
      </c>
      <c r="O2127">
        <v>7</v>
      </c>
      <c r="P2127">
        <v>3</v>
      </c>
      <c r="Q2127">
        <v>10</v>
      </c>
      <c r="R2127">
        <v>7</v>
      </c>
      <c r="S2127">
        <v>3</v>
      </c>
      <c r="T2127">
        <v>0</v>
      </c>
      <c r="U2127" t="s">
        <v>14296</v>
      </c>
      <c r="V2127">
        <f>Tabla1[[#This Row],[Aboard]]-Tabla1[[#This Row],[Fatalities]]</f>
        <v>0</v>
      </c>
      <c r="W2127" s="50">
        <f>IFERROR(Tabla1[[#This Row],[Fatalities]]/Tabla1[[#This Row],[Aboard]],0)</f>
        <v>1</v>
      </c>
      <c r="X2127" s="51" t="str" cm="1">
        <f t="array" ref="X2127">_xlfn.IFS(Tabla1[[#This Row],[Porcentaje de muertes]]&lt;0.35,"LEVE",AND(Tabla1[[#This Row],[Porcentaje de muertes]]&gt;0.35,Tabla1[[#This Row],[Porcentaje de muertes]]&lt;0.65),"MEDIO",Tabla1[[#This Row],[Porcentaje de muertes]]&gt;0.65,"GRAVE")</f>
        <v>GRAVE</v>
      </c>
    </row>
    <row r="2128" spans="2:24" x14ac:dyDescent="0.3">
      <c r="B2128" s="9">
        <v>2127</v>
      </c>
      <c r="C2128" s="49">
        <v>23764</v>
      </c>
      <c r="D2128" s="9">
        <f>YEAR(Tabla1[[#This Row],[Date]])</f>
        <v>1965</v>
      </c>
      <c r="E2128" s="9" t="str" cm="1">
        <f t="array" ref="E2128">IFERROR(_xlfn.IFS(AND(D2128&lt;1980,D2128&gt;=1970),"70",AND(D2128&lt;1990,D2128&gt;=1980),"80",AND(D2128&lt;2000,D2128&gt;=1990),"90",AND(D2128&lt;2010,D2128&gt;=2000),"00",AND(D2128&lt;=2019,D2128&gt;=2010),"10"),"1908-1970")</f>
        <v>1908-1970</v>
      </c>
      <c r="F2128" s="3" t="s">
        <v>28931</v>
      </c>
      <c r="G2128" t="s">
        <v>14297</v>
      </c>
      <c r="H2128" t="s">
        <v>7987</v>
      </c>
      <c r="I2128" t="s">
        <v>28931</v>
      </c>
      <c r="J2128" t="s">
        <v>14298</v>
      </c>
      <c r="K2128" t="s">
        <v>11970</v>
      </c>
      <c r="L2128" s="7" t="s">
        <v>14299</v>
      </c>
      <c r="M2128">
        <v>43967</v>
      </c>
      <c r="N2128">
        <v>10</v>
      </c>
      <c r="O2128">
        <v>0</v>
      </c>
      <c r="P2128">
        <v>10</v>
      </c>
      <c r="Q2128">
        <v>10</v>
      </c>
      <c r="R2128">
        <v>0</v>
      </c>
      <c r="S2128">
        <v>10</v>
      </c>
      <c r="T2128">
        <v>0</v>
      </c>
      <c r="U2128" t="s">
        <v>14300</v>
      </c>
      <c r="V2128">
        <f>Tabla1[[#This Row],[Aboard]]-Tabla1[[#This Row],[Fatalities]]</f>
        <v>0</v>
      </c>
      <c r="W2128" s="50">
        <f>IFERROR(Tabla1[[#This Row],[Fatalities]]/Tabla1[[#This Row],[Aboard]],0)</f>
        <v>1</v>
      </c>
      <c r="X2128" s="51" t="str" cm="1">
        <f t="array" ref="X2128">_xlfn.IFS(Tabla1[[#This Row],[Porcentaje de muertes]]&lt;0.35,"LEVE",AND(Tabla1[[#This Row],[Porcentaje de muertes]]&gt;0.35,Tabla1[[#This Row],[Porcentaje de muertes]]&lt;0.65),"MEDIO",Tabla1[[#This Row],[Porcentaje de muertes]]&gt;0.65,"GRAVE")</f>
        <v>GRAVE</v>
      </c>
    </row>
    <row r="2129" spans="2:24" x14ac:dyDescent="0.3">
      <c r="B2129" s="9">
        <v>2128</v>
      </c>
      <c r="C2129" s="49">
        <v>23895</v>
      </c>
      <c r="D2129" s="9">
        <f>YEAR(Tabla1[[#This Row],[Date]])</f>
        <v>1965</v>
      </c>
      <c r="E2129" s="9" t="str" cm="1">
        <f t="array" ref="E2129">IFERROR(_xlfn.IFS(AND(D2129&lt;1980,D2129&gt;=1970),"70",AND(D2129&lt;1990,D2129&gt;=1980),"80",AND(D2129&lt;2000,D2129&gt;=1990),"90",AND(D2129&lt;2010,D2129&gt;=2000),"00",AND(D2129&lt;=2019,D2129&gt;=2010),"10"),"1908-1970")</f>
        <v>1908-1970</v>
      </c>
      <c r="F2129" s="3">
        <v>0.35833333333333334</v>
      </c>
      <c r="G2129" t="s">
        <v>14301</v>
      </c>
      <c r="H2129" t="s">
        <v>11280</v>
      </c>
      <c r="I2129">
        <v>107</v>
      </c>
      <c r="J2129" t="s">
        <v>14302</v>
      </c>
      <c r="K2129" t="s">
        <v>10428</v>
      </c>
      <c r="L2129" s="7" t="s">
        <v>14303</v>
      </c>
      <c r="M2129" t="s">
        <v>14304</v>
      </c>
      <c r="N2129">
        <v>87</v>
      </c>
      <c r="O2129">
        <v>80</v>
      </c>
      <c r="P2129">
        <v>7</v>
      </c>
      <c r="Q2129">
        <v>87</v>
      </c>
      <c r="R2129">
        <v>80</v>
      </c>
      <c r="S2129">
        <v>7</v>
      </c>
      <c r="T2129">
        <v>0</v>
      </c>
      <c r="U2129" t="s">
        <v>14305</v>
      </c>
      <c r="V2129">
        <f>Tabla1[[#This Row],[Aboard]]-Tabla1[[#This Row],[Fatalities]]</f>
        <v>0</v>
      </c>
      <c r="W2129" s="50">
        <f>IFERROR(Tabla1[[#This Row],[Fatalities]]/Tabla1[[#This Row],[Aboard]],0)</f>
        <v>1</v>
      </c>
      <c r="X2129" s="51" t="str" cm="1">
        <f t="array" ref="X2129">_xlfn.IFS(Tabla1[[#This Row],[Porcentaje de muertes]]&lt;0.35,"LEVE",AND(Tabla1[[#This Row],[Porcentaje de muertes]]&gt;0.35,Tabla1[[#This Row],[Porcentaje de muertes]]&lt;0.65),"MEDIO",Tabla1[[#This Row],[Porcentaje de muertes]]&gt;0.65,"GRAVE")</f>
        <v>GRAVE</v>
      </c>
    </row>
    <row r="2130" spans="2:24" x14ac:dyDescent="0.3">
      <c r="B2130" s="9">
        <v>2129</v>
      </c>
      <c r="C2130" s="49">
        <v>23956</v>
      </c>
      <c r="D2130" s="9">
        <f>YEAR(Tabla1[[#This Row],[Date]])</f>
        <v>1965</v>
      </c>
      <c r="E2130" s="9" t="str" cm="1">
        <f t="array" ref="E2130">IFERROR(_xlfn.IFS(AND(D2130&lt;1980,D2130&gt;=1970),"70",AND(D2130&lt;1990,D2130&gt;=1980),"80",AND(D2130&lt;2000,D2130&gt;=1990),"90",AND(D2130&lt;2010,D2130&gt;=2000),"00",AND(D2130&lt;=2019,D2130&gt;=2010),"10"),"1908-1970")</f>
        <v>1908-1970</v>
      </c>
      <c r="F2130" s="3">
        <v>0.7680555555555556</v>
      </c>
      <c r="G2130" t="s">
        <v>14306</v>
      </c>
      <c r="H2130" t="s">
        <v>6941</v>
      </c>
      <c r="I2130">
        <v>663</v>
      </c>
      <c r="J2130" t="s">
        <v>14307</v>
      </c>
      <c r="K2130" t="s">
        <v>12808</v>
      </c>
      <c r="L2130" s="7" t="s">
        <v>14308</v>
      </c>
      <c r="M2130" t="s">
        <v>14309</v>
      </c>
      <c r="N2130">
        <v>84</v>
      </c>
      <c r="O2130">
        <v>79</v>
      </c>
      <c r="P2130">
        <v>5</v>
      </c>
      <c r="Q2130">
        <v>84</v>
      </c>
      <c r="R2130">
        <v>79</v>
      </c>
      <c r="S2130">
        <v>5</v>
      </c>
      <c r="T2130">
        <v>0</v>
      </c>
      <c r="U2130" t="s">
        <v>14310</v>
      </c>
      <c r="V2130">
        <f>Tabla1[[#This Row],[Aboard]]-Tabla1[[#This Row],[Fatalities]]</f>
        <v>0</v>
      </c>
      <c r="W2130" s="50">
        <f>IFERROR(Tabla1[[#This Row],[Fatalities]]/Tabla1[[#This Row],[Aboard]],0)</f>
        <v>1</v>
      </c>
      <c r="X2130" s="51" t="str" cm="1">
        <f t="array" ref="X2130">_xlfn.IFS(Tabla1[[#This Row],[Porcentaje de muertes]]&lt;0.35,"LEVE",AND(Tabla1[[#This Row],[Porcentaje de muertes]]&gt;0.35,Tabla1[[#This Row],[Porcentaje de muertes]]&lt;0.65),"MEDIO",Tabla1[[#This Row],[Porcentaje de muertes]]&gt;0.65,"GRAVE")</f>
        <v>GRAVE</v>
      </c>
    </row>
    <row r="2131" spans="2:24" x14ac:dyDescent="0.3">
      <c r="B2131" s="9">
        <v>2130</v>
      </c>
      <c r="C2131" s="49">
        <v>23786</v>
      </c>
      <c r="D2131" s="9">
        <f>YEAR(Tabla1[[#This Row],[Date]])</f>
        <v>1965</v>
      </c>
      <c r="E2131" s="9" t="str" cm="1">
        <f t="array" ref="E2131">IFERROR(_xlfn.IFS(AND(D2131&lt;1980,D2131&gt;=1970),"70",AND(D2131&lt;1990,D2131&gt;=1980),"80",AND(D2131&lt;2000,D2131&gt;=1990),"90",AND(D2131&lt;2010,D2131&gt;=2000),"00",AND(D2131&lt;=2019,D2131&gt;=2010),"10"),"1908-1970")</f>
        <v>1908-1970</v>
      </c>
      <c r="F2131" s="3">
        <v>0.18055555555555555</v>
      </c>
      <c r="G2131" t="s">
        <v>7709</v>
      </c>
      <c r="H2131" t="s">
        <v>14311</v>
      </c>
      <c r="I2131" t="s">
        <v>28931</v>
      </c>
      <c r="J2131" t="s">
        <v>28931</v>
      </c>
      <c r="K2131" t="s">
        <v>8305</v>
      </c>
      <c r="L2131" s="7" t="s">
        <v>14312</v>
      </c>
      <c r="M2131">
        <v>127</v>
      </c>
      <c r="N2131">
        <v>2</v>
      </c>
      <c r="O2131">
        <v>0</v>
      </c>
      <c r="P2131">
        <v>2</v>
      </c>
      <c r="Q2131">
        <v>2</v>
      </c>
      <c r="R2131">
        <v>0</v>
      </c>
      <c r="S2131">
        <v>2</v>
      </c>
      <c r="T2131">
        <v>0</v>
      </c>
      <c r="U2131" t="s">
        <v>14313</v>
      </c>
      <c r="V2131">
        <f>Tabla1[[#This Row],[Aboard]]-Tabla1[[#This Row],[Fatalities]]</f>
        <v>0</v>
      </c>
      <c r="W2131" s="50">
        <f>IFERROR(Tabla1[[#This Row],[Fatalities]]/Tabla1[[#This Row],[Aboard]],0)</f>
        <v>1</v>
      </c>
      <c r="X2131" s="51" t="str" cm="1">
        <f t="array" ref="X2131">_xlfn.IFS(Tabla1[[#This Row],[Porcentaje de muertes]]&lt;0.35,"LEVE",AND(Tabla1[[#This Row],[Porcentaje de muertes]]&gt;0.35,Tabla1[[#This Row],[Porcentaje de muertes]]&lt;0.65),"MEDIO",Tabla1[[#This Row],[Porcentaje de muertes]]&gt;0.65,"GRAVE")</f>
        <v>GRAVE</v>
      </c>
    </row>
    <row r="2132" spans="2:24" x14ac:dyDescent="0.3">
      <c r="B2132" s="9">
        <v>2131</v>
      </c>
      <c r="C2132" s="49">
        <v>23786</v>
      </c>
      <c r="D2132" s="9">
        <f>YEAR(Tabla1[[#This Row],[Date]])</f>
        <v>1965</v>
      </c>
      <c r="E2132" s="9" t="str" cm="1">
        <f t="array" ref="E2132">IFERROR(_xlfn.IFS(AND(D2132&lt;1980,D2132&gt;=1970),"70",AND(D2132&lt;1990,D2132&gt;=1980),"80",AND(D2132&lt;2000,D2132&gt;=1990),"90",AND(D2132&lt;2010,D2132&gt;=2000),"00",AND(D2132&lt;=2019,D2132&gt;=2010),"10"),"1908-1970")</f>
        <v>1908-1970</v>
      </c>
      <c r="F2132" s="3">
        <v>0.43194444444444446</v>
      </c>
      <c r="G2132" t="s">
        <v>14314</v>
      </c>
      <c r="H2132" t="s">
        <v>6541</v>
      </c>
      <c r="I2132" t="s">
        <v>14315</v>
      </c>
      <c r="J2132" t="s">
        <v>14316</v>
      </c>
      <c r="K2132" t="s">
        <v>12110</v>
      </c>
      <c r="L2132" s="7" t="s">
        <v>14317</v>
      </c>
      <c r="M2132">
        <v>602112</v>
      </c>
      <c r="N2132">
        <v>23</v>
      </c>
      <c r="O2132">
        <v>19</v>
      </c>
      <c r="P2132">
        <v>4</v>
      </c>
      <c r="Q2132">
        <v>23</v>
      </c>
      <c r="R2132">
        <v>19</v>
      </c>
      <c r="S2132">
        <v>4</v>
      </c>
      <c r="T2132">
        <v>0</v>
      </c>
      <c r="U2132" t="s">
        <v>14318</v>
      </c>
      <c r="V2132">
        <f>Tabla1[[#This Row],[Aboard]]-Tabla1[[#This Row],[Fatalities]]</f>
        <v>0</v>
      </c>
      <c r="W2132" s="50">
        <f>IFERROR(Tabla1[[#This Row],[Fatalities]]/Tabla1[[#This Row],[Aboard]],0)</f>
        <v>1</v>
      </c>
      <c r="X2132" s="51" t="str" cm="1">
        <f t="array" ref="X2132">_xlfn.IFS(Tabla1[[#This Row],[Porcentaje de muertes]]&lt;0.35,"LEVE",AND(Tabla1[[#This Row],[Porcentaje de muertes]]&gt;0.35,Tabla1[[#This Row],[Porcentaje de muertes]]&lt;0.65),"MEDIO",Tabla1[[#This Row],[Porcentaje de muertes]]&gt;0.65,"GRAVE")</f>
        <v>GRAVE</v>
      </c>
    </row>
    <row r="2133" spans="2:24" x14ac:dyDescent="0.3">
      <c r="B2133" s="9">
        <v>2132</v>
      </c>
      <c r="C2133" s="49">
        <v>23776</v>
      </c>
      <c r="D2133" s="9">
        <f>YEAR(Tabla1[[#This Row],[Date]])</f>
        <v>1965</v>
      </c>
      <c r="E2133" s="9" t="str" cm="1">
        <f t="array" ref="E2133">IFERROR(_xlfn.IFS(AND(D2133&lt;1980,D2133&gt;=1970),"70",AND(D2133&lt;1990,D2133&gt;=1980),"80",AND(D2133&lt;2000,D2133&gt;=1990),"90",AND(D2133&lt;2010,D2133&gt;=2000),"00",AND(D2133&lt;=2019,D2133&gt;=2010),"10"),"1908-1970")</f>
        <v>1908-1970</v>
      </c>
      <c r="F2133" s="3">
        <v>0.32291666666666669</v>
      </c>
      <c r="G2133" t="s">
        <v>14319</v>
      </c>
      <c r="H2133" t="s">
        <v>6541</v>
      </c>
      <c r="I2133">
        <v>542</v>
      </c>
      <c r="J2133" t="s">
        <v>28931</v>
      </c>
      <c r="K2133" t="s">
        <v>9145</v>
      </c>
      <c r="L2133" s="7" t="s">
        <v>14320</v>
      </c>
      <c r="M2133">
        <v>23442810</v>
      </c>
      <c r="N2133">
        <v>31</v>
      </c>
      <c r="O2133">
        <v>27</v>
      </c>
      <c r="P2133">
        <v>4</v>
      </c>
      <c r="Q2133">
        <v>31</v>
      </c>
      <c r="R2133">
        <v>27</v>
      </c>
      <c r="S2133">
        <v>4</v>
      </c>
      <c r="T2133">
        <v>0</v>
      </c>
      <c r="U2133" t="s">
        <v>14321</v>
      </c>
      <c r="V2133">
        <f>Tabla1[[#This Row],[Aboard]]-Tabla1[[#This Row],[Fatalities]]</f>
        <v>0</v>
      </c>
      <c r="W2133" s="50">
        <f>IFERROR(Tabla1[[#This Row],[Fatalities]]/Tabla1[[#This Row],[Aboard]],0)</f>
        <v>1</v>
      </c>
      <c r="X2133" s="51" t="str" cm="1">
        <f t="array" ref="X2133">_xlfn.IFS(Tabla1[[#This Row],[Porcentaje de muertes]]&lt;0.35,"LEVE",AND(Tabla1[[#This Row],[Porcentaje de muertes]]&gt;0.35,Tabla1[[#This Row],[Porcentaje de muertes]]&lt;0.65),"MEDIO",Tabla1[[#This Row],[Porcentaje de muertes]]&gt;0.65,"GRAVE")</f>
        <v>GRAVE</v>
      </c>
    </row>
    <row r="2134" spans="2:24" x14ac:dyDescent="0.3">
      <c r="B2134" s="9">
        <v>2133</v>
      </c>
      <c r="C2134" s="49">
        <v>23957</v>
      </c>
      <c r="D2134" s="9">
        <f>YEAR(Tabla1[[#This Row],[Date]])</f>
        <v>1965</v>
      </c>
      <c r="E2134" s="9" t="str" cm="1">
        <f t="array" ref="E2134">IFERROR(_xlfn.IFS(AND(D2134&lt;1980,D2134&gt;=1970),"70",AND(D2134&lt;1990,D2134&gt;=1980),"80",AND(D2134&lt;2000,D2134&gt;=1990),"90",AND(D2134&lt;2010,D2134&gt;=2000),"00",AND(D2134&lt;=2019,D2134&gt;=2010),"10"),"1908-1970")</f>
        <v>1908-1970</v>
      </c>
      <c r="F2134" s="3">
        <v>0.4375</v>
      </c>
      <c r="G2134" t="s">
        <v>14322</v>
      </c>
      <c r="H2134" t="s">
        <v>14323</v>
      </c>
      <c r="I2134">
        <v>43</v>
      </c>
      <c r="J2134" t="s">
        <v>14324</v>
      </c>
      <c r="K2134" t="s">
        <v>7057</v>
      </c>
      <c r="L2134" s="7" t="s">
        <v>14325</v>
      </c>
      <c r="M2134">
        <v>4892</v>
      </c>
      <c r="N2134">
        <v>12</v>
      </c>
      <c r="O2134">
        <v>9</v>
      </c>
      <c r="P2134">
        <v>3</v>
      </c>
      <c r="Q2134">
        <v>10</v>
      </c>
      <c r="R2134">
        <v>7</v>
      </c>
      <c r="S2134">
        <v>3</v>
      </c>
      <c r="T2134">
        <v>0</v>
      </c>
      <c r="U2134" t="s">
        <v>14326</v>
      </c>
      <c r="V2134">
        <f>Tabla1[[#This Row],[Aboard]]-Tabla1[[#This Row],[Fatalities]]</f>
        <v>2</v>
      </c>
      <c r="W2134" s="50">
        <f>IFERROR(Tabla1[[#This Row],[Fatalities]]/Tabla1[[#This Row],[Aboard]],0)</f>
        <v>0.83333333333333337</v>
      </c>
      <c r="X2134" s="51" t="str" cm="1">
        <f t="array" ref="X2134">_xlfn.IFS(Tabla1[[#This Row],[Porcentaje de muertes]]&lt;0.35,"LEVE",AND(Tabla1[[#This Row],[Porcentaje de muertes]]&gt;0.35,Tabla1[[#This Row],[Porcentaje de muertes]]&lt;0.65),"MEDIO",Tabla1[[#This Row],[Porcentaje de muertes]]&gt;0.65,"GRAVE")</f>
        <v>GRAVE</v>
      </c>
    </row>
    <row r="2135" spans="2:24" x14ac:dyDescent="0.3">
      <c r="B2135" s="9">
        <v>2134</v>
      </c>
      <c r="C2135" s="49">
        <v>23957</v>
      </c>
      <c r="D2135" s="9">
        <f>YEAR(Tabla1[[#This Row],[Date]])</f>
        <v>1965</v>
      </c>
      <c r="E2135" s="9" t="str" cm="1">
        <f t="array" ref="E2135">IFERROR(_xlfn.IFS(AND(D2135&lt;1980,D2135&gt;=1970),"70",AND(D2135&lt;1990,D2135&gt;=1980),"80",AND(D2135&lt;2000,D2135&gt;=1990),"90",AND(D2135&lt;2010,D2135&gt;=2000),"00",AND(D2135&lt;=2019,D2135&gt;=2010),"10"),"1908-1970")</f>
        <v>1908-1970</v>
      </c>
      <c r="F2135" s="3">
        <v>0.4826388888888889</v>
      </c>
      <c r="G2135" t="s">
        <v>14327</v>
      </c>
      <c r="H2135" t="s">
        <v>6541</v>
      </c>
      <c r="I2135">
        <v>513</v>
      </c>
      <c r="J2135" t="s">
        <v>14328</v>
      </c>
      <c r="K2135" t="s">
        <v>14329</v>
      </c>
      <c r="L2135" s="7" t="s">
        <v>14330</v>
      </c>
      <c r="M2135">
        <v>2350803</v>
      </c>
      <c r="N2135">
        <v>30</v>
      </c>
      <c r="O2135">
        <v>21</v>
      </c>
      <c r="P2135">
        <v>9</v>
      </c>
      <c r="Q2135">
        <v>30</v>
      </c>
      <c r="R2135">
        <v>21</v>
      </c>
      <c r="S2135">
        <v>9</v>
      </c>
      <c r="T2135">
        <v>0</v>
      </c>
      <c r="U2135" t="s">
        <v>14331</v>
      </c>
      <c r="V2135">
        <f>Tabla1[[#This Row],[Aboard]]-Tabla1[[#This Row],[Fatalities]]</f>
        <v>0</v>
      </c>
      <c r="W2135" s="50">
        <f>IFERROR(Tabla1[[#This Row],[Fatalities]]/Tabla1[[#This Row],[Aboard]],0)</f>
        <v>1</v>
      </c>
      <c r="X2135" s="51" t="str" cm="1">
        <f t="array" ref="X2135">_xlfn.IFS(Tabla1[[#This Row],[Porcentaje de muertes]]&lt;0.35,"LEVE",AND(Tabla1[[#This Row],[Porcentaje de muertes]]&gt;0.35,Tabla1[[#This Row],[Porcentaje de muertes]]&lt;0.65),"MEDIO",Tabla1[[#This Row],[Porcentaje de muertes]]&gt;0.65,"GRAVE")</f>
        <v>GRAVE</v>
      </c>
    </row>
    <row r="2136" spans="2:24" x14ac:dyDescent="0.3">
      <c r="B2136" s="9">
        <v>2135</v>
      </c>
      <c r="C2136" s="49">
        <v>23818</v>
      </c>
      <c r="D2136" s="9">
        <f>YEAR(Tabla1[[#This Row],[Date]])</f>
        <v>1965</v>
      </c>
      <c r="E2136" s="9" t="str" cm="1">
        <f t="array" ref="E2136">IFERROR(_xlfn.IFS(AND(D2136&lt;1980,D2136&gt;=1970),"70",AND(D2136&lt;1990,D2136&gt;=1980),"80",AND(D2136&lt;2000,D2136&gt;=1990),"90",AND(D2136&lt;2010,D2136&gt;=2000),"00",AND(D2136&lt;=2019,D2136&gt;=2010),"10"),"1908-1970")</f>
        <v>1908-1970</v>
      </c>
      <c r="F2136" s="3">
        <v>0.39027777777777778</v>
      </c>
      <c r="G2136" t="s">
        <v>14332</v>
      </c>
      <c r="H2136" t="s">
        <v>13302</v>
      </c>
      <c r="I2136">
        <v>102</v>
      </c>
      <c r="J2136" t="s">
        <v>14333</v>
      </c>
      <c r="K2136" t="s">
        <v>14334</v>
      </c>
      <c r="L2136" s="7" t="s">
        <v>14335</v>
      </c>
      <c r="M2136">
        <v>160</v>
      </c>
      <c r="N2136">
        <v>8</v>
      </c>
      <c r="O2136">
        <v>5</v>
      </c>
      <c r="P2136">
        <v>3</v>
      </c>
      <c r="Q2136">
        <v>8</v>
      </c>
      <c r="R2136">
        <v>5</v>
      </c>
      <c r="S2136">
        <v>3</v>
      </c>
      <c r="T2136">
        <v>0</v>
      </c>
      <c r="U2136" t="s">
        <v>14336</v>
      </c>
      <c r="V2136">
        <f>Tabla1[[#This Row],[Aboard]]-Tabla1[[#This Row],[Fatalities]]</f>
        <v>0</v>
      </c>
      <c r="W2136" s="50">
        <f>IFERROR(Tabla1[[#This Row],[Fatalities]]/Tabla1[[#This Row],[Aboard]],0)</f>
        <v>1</v>
      </c>
      <c r="X2136" s="51" t="str" cm="1">
        <f t="array" ref="X2136">_xlfn.IFS(Tabla1[[#This Row],[Porcentaje de muertes]]&lt;0.35,"LEVE",AND(Tabla1[[#This Row],[Porcentaje de muertes]]&gt;0.35,Tabla1[[#This Row],[Porcentaje de muertes]]&lt;0.65),"MEDIO",Tabla1[[#This Row],[Porcentaje de muertes]]&gt;0.65,"GRAVE")</f>
        <v>GRAVE</v>
      </c>
    </row>
    <row r="2137" spans="2:24" x14ac:dyDescent="0.3">
      <c r="B2137" s="9">
        <v>2136</v>
      </c>
      <c r="C2137" s="49">
        <v>23821</v>
      </c>
      <c r="D2137" s="9">
        <f>YEAR(Tabla1[[#This Row],[Date]])</f>
        <v>1965</v>
      </c>
      <c r="E2137" s="9" t="str" cm="1">
        <f t="array" ref="E2137">IFERROR(_xlfn.IFS(AND(D2137&lt;1980,D2137&gt;=1970),"70",AND(D2137&lt;1990,D2137&gt;=1980),"80",AND(D2137&lt;2000,D2137&gt;=1990),"90",AND(D2137&lt;2010,D2137&gt;=2000),"00",AND(D2137&lt;=2019,D2137&gt;=2010),"10"),"1908-1970")</f>
        <v>1908-1970</v>
      </c>
      <c r="F2137" s="3">
        <v>0.55069444444444449</v>
      </c>
      <c r="G2137" t="s">
        <v>14337</v>
      </c>
      <c r="H2137" t="s">
        <v>6541</v>
      </c>
      <c r="I2137" t="s">
        <v>14338</v>
      </c>
      <c r="J2137" t="s">
        <v>14339</v>
      </c>
      <c r="K2137" t="s">
        <v>14340</v>
      </c>
      <c r="L2137" s="7" t="s">
        <v>14338</v>
      </c>
      <c r="M2137">
        <v>47301301</v>
      </c>
      <c r="N2137">
        <v>47</v>
      </c>
      <c r="O2137">
        <v>42</v>
      </c>
      <c r="P2137">
        <v>5</v>
      </c>
      <c r="Q2137">
        <v>43</v>
      </c>
      <c r="R2137">
        <v>42</v>
      </c>
      <c r="S2137">
        <v>1</v>
      </c>
      <c r="T2137">
        <v>0</v>
      </c>
      <c r="U2137" t="s">
        <v>14341</v>
      </c>
      <c r="V2137">
        <f>Tabla1[[#This Row],[Aboard]]-Tabla1[[#This Row],[Fatalities]]</f>
        <v>4</v>
      </c>
      <c r="W2137" s="50">
        <f>IFERROR(Tabla1[[#This Row],[Fatalities]]/Tabla1[[#This Row],[Aboard]],0)</f>
        <v>0.91489361702127658</v>
      </c>
      <c r="X2137" s="51" t="str" cm="1">
        <f t="array" ref="X2137">_xlfn.IFS(Tabla1[[#This Row],[Porcentaje de muertes]]&lt;0.35,"LEVE",AND(Tabla1[[#This Row],[Porcentaje de muertes]]&gt;0.35,Tabla1[[#This Row],[Porcentaje de muertes]]&lt;0.65),"MEDIO",Tabla1[[#This Row],[Porcentaje de muertes]]&gt;0.65,"GRAVE")</f>
        <v>GRAVE</v>
      </c>
    </row>
    <row r="2138" spans="2:24" x14ac:dyDescent="0.3">
      <c r="B2138" s="9">
        <v>2137</v>
      </c>
      <c r="C2138" s="49">
        <v>23823</v>
      </c>
      <c r="D2138" s="9">
        <f>YEAR(Tabla1[[#This Row],[Date]])</f>
        <v>1965</v>
      </c>
      <c r="E2138" s="9" t="str" cm="1">
        <f t="array" ref="E2138">IFERROR(_xlfn.IFS(AND(D2138&lt;1980,D2138&gt;=1970),"70",AND(D2138&lt;1990,D2138&gt;=1980),"80",AND(D2138&lt;2000,D2138&gt;=1990),"90",AND(D2138&lt;2010,D2138&gt;=2000),"00",AND(D2138&lt;=2019,D2138&gt;=2010),"10"),"1908-1970")</f>
        <v>1908-1970</v>
      </c>
      <c r="F2138" s="3">
        <v>0.62152777777777779</v>
      </c>
      <c r="G2138" t="s">
        <v>14342</v>
      </c>
      <c r="H2138" t="s">
        <v>8976</v>
      </c>
      <c r="I2138">
        <v>676</v>
      </c>
      <c r="J2138" t="s">
        <v>14343</v>
      </c>
      <c r="K2138" t="s">
        <v>7826</v>
      </c>
      <c r="L2138" s="7" t="s">
        <v>14344</v>
      </c>
      <c r="M2138">
        <v>4753</v>
      </c>
      <c r="N2138">
        <v>28</v>
      </c>
      <c r="O2138">
        <v>26</v>
      </c>
      <c r="P2138">
        <v>2</v>
      </c>
      <c r="Q2138">
        <v>28</v>
      </c>
      <c r="R2138">
        <v>26</v>
      </c>
      <c r="S2138">
        <v>2</v>
      </c>
      <c r="T2138">
        <v>0</v>
      </c>
      <c r="U2138" t="s">
        <v>14345</v>
      </c>
      <c r="V2138">
        <f>Tabla1[[#This Row],[Aboard]]-Tabla1[[#This Row],[Fatalities]]</f>
        <v>0</v>
      </c>
      <c r="W2138" s="50">
        <f>IFERROR(Tabla1[[#This Row],[Fatalities]]/Tabla1[[#This Row],[Aboard]],0)</f>
        <v>1</v>
      </c>
      <c r="X2138" s="51" t="str" cm="1">
        <f t="array" ref="X2138">_xlfn.IFS(Tabla1[[#This Row],[Porcentaje de muertes]]&lt;0.35,"LEVE",AND(Tabla1[[#This Row],[Porcentaje de muertes]]&gt;0.35,Tabla1[[#This Row],[Porcentaje de muertes]]&lt;0.65),"MEDIO",Tabla1[[#This Row],[Porcentaje de muertes]]&gt;0.65,"GRAVE")</f>
        <v>GRAVE</v>
      </c>
    </row>
    <row r="2139" spans="2:24" x14ac:dyDescent="0.3">
      <c r="B2139" s="9">
        <v>2138</v>
      </c>
      <c r="C2139" s="49">
        <v>23824</v>
      </c>
      <c r="D2139" s="9">
        <f>YEAR(Tabla1[[#This Row],[Date]])</f>
        <v>1965</v>
      </c>
      <c r="E2139" s="9" t="str" cm="1">
        <f t="array" ref="E2139">IFERROR(_xlfn.IFS(AND(D2139&lt;1980,D2139&gt;=1970),"70",AND(D2139&lt;1990,D2139&gt;=1980),"80",AND(D2139&lt;2000,D2139&gt;=1990),"90",AND(D2139&lt;2010,D2139&gt;=2000),"00",AND(D2139&lt;=2019,D2139&gt;=2010),"10"),"1908-1970")</f>
        <v>1908-1970</v>
      </c>
      <c r="F2139" s="3" t="s">
        <v>28931</v>
      </c>
      <c r="G2139" t="s">
        <v>9685</v>
      </c>
      <c r="H2139" t="s">
        <v>8021</v>
      </c>
      <c r="I2139" t="s">
        <v>28931</v>
      </c>
      <c r="J2139" t="s">
        <v>13478</v>
      </c>
      <c r="K2139" t="s">
        <v>14346</v>
      </c>
      <c r="L2139" s="7">
        <v>20727</v>
      </c>
      <c r="M2139">
        <v>18</v>
      </c>
      <c r="N2139">
        <v>16</v>
      </c>
      <c r="O2139">
        <v>14</v>
      </c>
      <c r="P2139">
        <v>2</v>
      </c>
      <c r="Q2139">
        <v>16</v>
      </c>
      <c r="R2139">
        <v>14</v>
      </c>
      <c r="S2139">
        <v>2</v>
      </c>
      <c r="T2139">
        <v>0</v>
      </c>
      <c r="U2139" t="s">
        <v>14347</v>
      </c>
      <c r="V2139">
        <f>Tabla1[[#This Row],[Aboard]]-Tabla1[[#This Row],[Fatalities]]</f>
        <v>0</v>
      </c>
      <c r="W2139" s="50">
        <f>IFERROR(Tabla1[[#This Row],[Fatalities]]/Tabla1[[#This Row],[Aboard]],0)</f>
        <v>1</v>
      </c>
      <c r="X2139" s="51" t="str" cm="1">
        <f t="array" ref="X2139">_xlfn.IFS(Tabla1[[#This Row],[Porcentaje de muertes]]&lt;0.35,"LEVE",AND(Tabla1[[#This Row],[Porcentaje de muertes]]&gt;0.35,Tabla1[[#This Row],[Porcentaje de muertes]]&lt;0.65),"MEDIO",Tabla1[[#This Row],[Porcentaje de muertes]]&gt;0.65,"GRAVE")</f>
        <v>GRAVE</v>
      </c>
    </row>
    <row r="2140" spans="2:24" x14ac:dyDescent="0.3">
      <c r="B2140" s="9">
        <v>2139</v>
      </c>
      <c r="C2140" s="49">
        <v>23827</v>
      </c>
      <c r="D2140" s="9">
        <f>YEAR(Tabla1[[#This Row],[Date]])</f>
        <v>1965</v>
      </c>
      <c r="E2140" s="9" t="str" cm="1">
        <f t="array" ref="E2140">IFERROR(_xlfn.IFS(AND(D2140&lt;1980,D2140&gt;=1970),"70",AND(D2140&lt;1990,D2140&gt;=1980),"80",AND(D2140&lt;2000,D2140&gt;=1990),"90",AND(D2140&lt;2010,D2140&gt;=2000),"00",AND(D2140&lt;=2019,D2140&gt;=2010),"10"),"1908-1970")</f>
        <v>1908-1970</v>
      </c>
      <c r="F2140" s="3" t="s">
        <v>28931</v>
      </c>
      <c r="G2140" t="s">
        <v>14348</v>
      </c>
      <c r="H2140" t="s">
        <v>11736</v>
      </c>
      <c r="I2140" t="s">
        <v>28931</v>
      </c>
      <c r="J2140" t="s">
        <v>14349</v>
      </c>
      <c r="K2140" t="s">
        <v>7826</v>
      </c>
      <c r="L2140" s="7" t="s">
        <v>14350</v>
      </c>
      <c r="M2140">
        <v>12089</v>
      </c>
      <c r="N2140">
        <v>26</v>
      </c>
      <c r="O2140">
        <v>22</v>
      </c>
      <c r="P2140">
        <v>4</v>
      </c>
      <c r="Q2140">
        <v>22</v>
      </c>
      <c r="R2140">
        <v>18</v>
      </c>
      <c r="S2140">
        <v>4</v>
      </c>
      <c r="T2140">
        <v>0</v>
      </c>
      <c r="U2140" t="s">
        <v>14351</v>
      </c>
      <c r="V2140">
        <f>Tabla1[[#This Row],[Aboard]]-Tabla1[[#This Row],[Fatalities]]</f>
        <v>4</v>
      </c>
      <c r="W2140" s="50">
        <f>IFERROR(Tabla1[[#This Row],[Fatalities]]/Tabla1[[#This Row],[Aboard]],0)</f>
        <v>0.84615384615384615</v>
      </c>
      <c r="X2140" s="51" t="str" cm="1">
        <f t="array" ref="X2140">_xlfn.IFS(Tabla1[[#This Row],[Porcentaje de muertes]]&lt;0.35,"LEVE",AND(Tabla1[[#This Row],[Porcentaje de muertes]]&gt;0.35,Tabla1[[#This Row],[Porcentaje de muertes]]&lt;0.65),"MEDIO",Tabla1[[#This Row],[Porcentaje de muertes]]&gt;0.65,"GRAVE")</f>
        <v>GRAVE</v>
      </c>
    </row>
    <row r="2141" spans="2:24" x14ac:dyDescent="0.3">
      <c r="B2141" s="9">
        <v>2140</v>
      </c>
      <c r="C2141" s="49">
        <v>23832</v>
      </c>
      <c r="D2141" s="9">
        <f>YEAR(Tabla1[[#This Row],[Date]])</f>
        <v>1965</v>
      </c>
      <c r="E2141" s="9" t="str" cm="1">
        <f t="array" ref="E2141">IFERROR(_xlfn.IFS(AND(D2141&lt;1980,D2141&gt;=1970),"70",AND(D2141&lt;1990,D2141&gt;=1980),"80",AND(D2141&lt;2000,D2141&gt;=1990),"90",AND(D2141&lt;2010,D2141&gt;=2000),"00",AND(D2141&lt;=2019,D2141&gt;=2010),"10"),"1908-1970")</f>
        <v>1908-1970</v>
      </c>
      <c r="F2141" s="3">
        <v>0.33611111111111108</v>
      </c>
      <c r="G2141" t="s">
        <v>14352</v>
      </c>
      <c r="H2141" t="s">
        <v>5570</v>
      </c>
      <c r="I2141" t="s">
        <v>28931</v>
      </c>
      <c r="J2141" t="s">
        <v>14353</v>
      </c>
      <c r="K2141" t="s">
        <v>12133</v>
      </c>
      <c r="L2141" s="7" t="s">
        <v>14354</v>
      </c>
      <c r="M2141">
        <v>388</v>
      </c>
      <c r="N2141">
        <v>53</v>
      </c>
      <c r="O2141">
        <v>48</v>
      </c>
      <c r="P2141">
        <v>5</v>
      </c>
      <c r="Q2141">
        <v>50</v>
      </c>
      <c r="R2141">
        <v>45</v>
      </c>
      <c r="S2141">
        <v>5</v>
      </c>
      <c r="T2141">
        <v>0</v>
      </c>
      <c r="U2141" t="s">
        <v>14355</v>
      </c>
      <c r="V2141">
        <f>Tabla1[[#This Row],[Aboard]]-Tabla1[[#This Row],[Fatalities]]</f>
        <v>3</v>
      </c>
      <c r="W2141" s="50">
        <f>IFERROR(Tabla1[[#This Row],[Fatalities]]/Tabla1[[#This Row],[Aboard]],0)</f>
        <v>0.94339622641509435</v>
      </c>
      <c r="X2141" s="51" t="str" cm="1">
        <f t="array" ref="X2141">_xlfn.IFS(Tabla1[[#This Row],[Porcentaje de muertes]]&lt;0.35,"LEVE",AND(Tabla1[[#This Row],[Porcentaje de muertes]]&gt;0.35,Tabla1[[#This Row],[Porcentaje de muertes]]&lt;0.65),"MEDIO",Tabla1[[#This Row],[Porcentaje de muertes]]&gt;0.65,"GRAVE")</f>
        <v>GRAVE</v>
      </c>
    </row>
    <row r="2142" spans="2:24" x14ac:dyDescent="0.3">
      <c r="B2142" s="9">
        <v>2141</v>
      </c>
      <c r="C2142" s="49">
        <v>24019</v>
      </c>
      <c r="D2142" s="9">
        <f>YEAR(Tabla1[[#This Row],[Date]])</f>
        <v>1965</v>
      </c>
      <c r="E2142" s="9" t="str" cm="1">
        <f t="array" ref="E2142">IFERROR(_xlfn.IFS(AND(D2142&lt;1980,D2142&gt;=1970),"70",AND(D2142&lt;1990,D2142&gt;=1980),"80",AND(D2142&lt;2000,D2142&gt;=1990),"90",AND(D2142&lt;2010,D2142&gt;=2000),"00",AND(D2142&lt;=2019,D2142&gt;=2010),"10"),"1908-1970")</f>
        <v>1908-1970</v>
      </c>
      <c r="F2142" s="3">
        <v>0.97222222222222221</v>
      </c>
      <c r="G2142" t="s">
        <v>14356</v>
      </c>
      <c r="H2142" t="s">
        <v>14357</v>
      </c>
      <c r="I2142" t="s">
        <v>28931</v>
      </c>
      <c r="J2142" t="s">
        <v>14358</v>
      </c>
      <c r="K2142" t="s">
        <v>14359</v>
      </c>
      <c r="L2142" s="7" t="s">
        <v>14360</v>
      </c>
      <c r="M2142">
        <v>170</v>
      </c>
      <c r="N2142">
        <v>54</v>
      </c>
      <c r="O2142">
        <v>50</v>
      </c>
      <c r="P2142">
        <v>4</v>
      </c>
      <c r="Q2142">
        <v>54</v>
      </c>
      <c r="R2142">
        <v>50</v>
      </c>
      <c r="S2142">
        <v>4</v>
      </c>
      <c r="T2142">
        <v>0</v>
      </c>
      <c r="U2142" t="s">
        <v>14361</v>
      </c>
      <c r="V2142">
        <f>Tabla1[[#This Row],[Aboard]]-Tabla1[[#This Row],[Fatalities]]</f>
        <v>0</v>
      </c>
      <c r="W2142" s="50">
        <f>IFERROR(Tabla1[[#This Row],[Fatalities]]/Tabla1[[#This Row],[Aboard]],0)</f>
        <v>1</v>
      </c>
      <c r="X2142" s="51" t="str" cm="1">
        <f t="array" ref="X2142">_xlfn.IFS(Tabla1[[#This Row],[Porcentaje de muertes]]&lt;0.35,"LEVE",AND(Tabla1[[#This Row],[Porcentaje de muertes]]&gt;0.35,Tabla1[[#This Row],[Porcentaje de muertes]]&lt;0.65),"MEDIO",Tabla1[[#This Row],[Porcentaje de muertes]]&gt;0.65,"GRAVE")</f>
        <v>GRAVE</v>
      </c>
    </row>
    <row r="2143" spans="2:24" x14ac:dyDescent="0.3">
      <c r="B2143" s="9">
        <v>2142</v>
      </c>
      <c r="C2143" s="49">
        <v>23846</v>
      </c>
      <c r="D2143" s="9">
        <f>YEAR(Tabla1[[#This Row],[Date]])</f>
        <v>1965</v>
      </c>
      <c r="E2143" s="9" t="str" cm="1">
        <f t="array" ref="E2143">IFERROR(_xlfn.IFS(AND(D2143&lt;1980,D2143&gt;=1970),"70",AND(D2143&lt;1990,D2143&gt;=1980),"80",AND(D2143&lt;2000,D2143&gt;=1990),"90",AND(D2143&lt;2010,D2143&gt;=2000),"00",AND(D2143&lt;=2019,D2143&gt;=2010),"10"),"1908-1970")</f>
        <v>1908-1970</v>
      </c>
      <c r="F2143" s="3">
        <v>0.75416666666666676</v>
      </c>
      <c r="G2143" t="s">
        <v>14362</v>
      </c>
      <c r="H2143" t="s">
        <v>14363</v>
      </c>
      <c r="I2143" t="s">
        <v>14364</v>
      </c>
      <c r="J2143" t="s">
        <v>14365</v>
      </c>
      <c r="K2143" t="s">
        <v>8465</v>
      </c>
      <c r="L2143" s="7" t="s">
        <v>14366</v>
      </c>
      <c r="M2143" t="s">
        <v>14367</v>
      </c>
      <c r="N2143">
        <v>27</v>
      </c>
      <c r="O2143">
        <v>23</v>
      </c>
      <c r="P2143">
        <v>4</v>
      </c>
      <c r="Q2143">
        <v>26</v>
      </c>
      <c r="R2143">
        <v>23</v>
      </c>
      <c r="S2143">
        <v>3</v>
      </c>
      <c r="T2143">
        <v>0</v>
      </c>
      <c r="U2143" t="s">
        <v>14368</v>
      </c>
      <c r="V2143">
        <f>Tabla1[[#This Row],[Aboard]]-Tabla1[[#This Row],[Fatalities]]</f>
        <v>1</v>
      </c>
      <c r="W2143" s="50">
        <f>IFERROR(Tabla1[[#This Row],[Fatalities]]/Tabla1[[#This Row],[Aboard]],0)</f>
        <v>0.96296296296296291</v>
      </c>
      <c r="X2143" s="51" t="str" cm="1">
        <f t="array" ref="X2143">_xlfn.IFS(Tabla1[[#This Row],[Porcentaje de muertes]]&lt;0.35,"LEVE",AND(Tabla1[[#This Row],[Porcentaje de muertes]]&gt;0.35,Tabla1[[#This Row],[Porcentaje de muertes]]&lt;0.65),"MEDIO",Tabla1[[#This Row],[Porcentaje de muertes]]&gt;0.65,"GRAVE")</f>
        <v>GRAVE</v>
      </c>
    </row>
    <row r="2144" spans="2:24" x14ac:dyDescent="0.3">
      <c r="B2144" s="9">
        <v>2143</v>
      </c>
      <c r="C2144" s="49">
        <v>23855</v>
      </c>
      <c r="D2144" s="9">
        <f>YEAR(Tabla1[[#This Row],[Date]])</f>
        <v>1965</v>
      </c>
      <c r="E2144" s="9" t="str" cm="1">
        <f t="array" ref="E2144">IFERROR(_xlfn.IFS(AND(D2144&lt;1980,D2144&gt;=1970),"70",AND(D2144&lt;1990,D2144&gt;=1980),"80",AND(D2144&lt;2000,D2144&gt;=1990),"90",AND(D2144&lt;2010,D2144&gt;=2000),"00",AND(D2144&lt;=2019,D2144&gt;=2010),"10"),"1908-1970")</f>
        <v>1908-1970</v>
      </c>
      <c r="F2144" s="3">
        <v>0.59930555555555554</v>
      </c>
      <c r="G2144" t="s">
        <v>14369</v>
      </c>
      <c r="H2144" t="s">
        <v>11522</v>
      </c>
      <c r="I2144">
        <v>1422</v>
      </c>
      <c r="J2144" t="s">
        <v>14370</v>
      </c>
      <c r="K2144" t="s">
        <v>11052</v>
      </c>
      <c r="L2144" s="7" t="s">
        <v>14371</v>
      </c>
      <c r="M2144" t="s">
        <v>14372</v>
      </c>
      <c r="N2144">
        <v>5</v>
      </c>
      <c r="O2144">
        <v>0</v>
      </c>
      <c r="P2144">
        <v>5</v>
      </c>
      <c r="Q2144">
        <v>5</v>
      </c>
      <c r="R2144">
        <v>0</v>
      </c>
      <c r="S2144">
        <v>5</v>
      </c>
      <c r="T2144">
        <v>0</v>
      </c>
      <c r="U2144" t="s">
        <v>14373</v>
      </c>
      <c r="V2144">
        <f>Tabla1[[#This Row],[Aboard]]-Tabla1[[#This Row],[Fatalities]]</f>
        <v>0</v>
      </c>
      <c r="W2144" s="50">
        <f>IFERROR(Tabla1[[#This Row],[Fatalities]]/Tabla1[[#This Row],[Aboard]],0)</f>
        <v>1</v>
      </c>
      <c r="X2144" s="51" t="str" cm="1">
        <f t="array" ref="X2144">_xlfn.IFS(Tabla1[[#This Row],[Porcentaje de muertes]]&lt;0.35,"LEVE",AND(Tabla1[[#This Row],[Porcentaje de muertes]]&gt;0.35,Tabla1[[#This Row],[Porcentaje de muertes]]&lt;0.65),"MEDIO",Tabla1[[#This Row],[Porcentaje de muertes]]&gt;0.65,"GRAVE")</f>
        <v>GRAVE</v>
      </c>
    </row>
    <row r="2145" spans="2:24" x14ac:dyDescent="0.3">
      <c r="B2145" s="9">
        <v>2144</v>
      </c>
      <c r="C2145" s="49">
        <v>23867</v>
      </c>
      <c r="D2145" s="9">
        <f>YEAR(Tabla1[[#This Row],[Date]])</f>
        <v>1965</v>
      </c>
      <c r="E2145" s="9" t="str" cm="1">
        <f t="array" ref="E2145">IFERROR(_xlfn.IFS(AND(D2145&lt;1980,D2145&gt;=1970),"70",AND(D2145&lt;1990,D2145&gt;=1980),"80",AND(D2145&lt;2000,D2145&gt;=1990),"90",AND(D2145&lt;2010,D2145&gt;=2000),"00",AND(D2145&lt;=2019,D2145&gt;=2010),"10"),"1908-1970")</f>
        <v>1908-1970</v>
      </c>
      <c r="F2145" s="3">
        <v>0.88680555555555562</v>
      </c>
      <c r="G2145" t="s">
        <v>14374</v>
      </c>
      <c r="H2145" t="s">
        <v>5570</v>
      </c>
      <c r="I2145">
        <v>401</v>
      </c>
      <c r="J2145" t="s">
        <v>14375</v>
      </c>
      <c r="K2145" t="s">
        <v>14376</v>
      </c>
      <c r="L2145" s="7" t="s">
        <v>14377</v>
      </c>
      <c r="M2145">
        <v>4550</v>
      </c>
      <c r="N2145">
        <v>49</v>
      </c>
      <c r="O2145">
        <v>40</v>
      </c>
      <c r="P2145">
        <v>9</v>
      </c>
      <c r="Q2145">
        <v>30</v>
      </c>
      <c r="R2145">
        <v>24</v>
      </c>
      <c r="S2145">
        <v>6</v>
      </c>
      <c r="T2145">
        <v>0</v>
      </c>
      <c r="U2145" t="s">
        <v>14378</v>
      </c>
      <c r="V2145">
        <f>Tabla1[[#This Row],[Aboard]]-Tabla1[[#This Row],[Fatalities]]</f>
        <v>19</v>
      </c>
      <c r="W2145" s="50">
        <f>IFERROR(Tabla1[[#This Row],[Fatalities]]/Tabla1[[#This Row],[Aboard]],0)</f>
        <v>0.61224489795918369</v>
      </c>
      <c r="X2145" s="51" t="str" cm="1">
        <f t="array" ref="X2145">_xlfn.IFS(Tabla1[[#This Row],[Porcentaje de muertes]]&lt;0.35,"LEVE",AND(Tabla1[[#This Row],[Porcentaje de muertes]]&gt;0.35,Tabla1[[#This Row],[Porcentaje de muertes]]&lt;0.65),"MEDIO",Tabla1[[#This Row],[Porcentaje de muertes]]&gt;0.65,"GRAVE")</f>
        <v>MEDIO</v>
      </c>
    </row>
    <row r="2146" spans="2:24" x14ac:dyDescent="0.3">
      <c r="B2146" s="9">
        <v>2145</v>
      </c>
      <c r="C2146" s="49">
        <v>23882</v>
      </c>
      <c r="D2146" s="9">
        <f>YEAR(Tabla1[[#This Row],[Date]])</f>
        <v>1965</v>
      </c>
      <c r="E2146" s="9" t="str" cm="1">
        <f t="array" ref="E2146">IFERROR(_xlfn.IFS(AND(D2146&lt;1980,D2146&gt;=1970),"70",AND(D2146&lt;1990,D2146&gt;=1980),"80",AND(D2146&lt;2000,D2146&gt;=1990),"90",AND(D2146&lt;2010,D2146&gt;=2000),"00",AND(D2146&lt;=2019,D2146&gt;=2010),"10"),"1908-1970")</f>
        <v>1908-1970</v>
      </c>
      <c r="F2146" s="3">
        <v>0.9916666666666667</v>
      </c>
      <c r="G2146" t="s">
        <v>6648</v>
      </c>
      <c r="H2146" t="s">
        <v>11736</v>
      </c>
      <c r="I2146">
        <v>705</v>
      </c>
      <c r="J2146" t="s">
        <v>14379</v>
      </c>
      <c r="K2146" t="s">
        <v>14380</v>
      </c>
      <c r="L2146" s="7" t="s">
        <v>14381</v>
      </c>
      <c r="M2146">
        <v>18379</v>
      </c>
      <c r="N2146">
        <v>127</v>
      </c>
      <c r="O2146">
        <v>114</v>
      </c>
      <c r="P2146">
        <v>13</v>
      </c>
      <c r="Q2146">
        <v>121</v>
      </c>
      <c r="R2146">
        <v>108</v>
      </c>
      <c r="S2146">
        <v>13</v>
      </c>
      <c r="T2146">
        <v>0</v>
      </c>
      <c r="U2146" t="s">
        <v>14382</v>
      </c>
      <c r="V2146">
        <f>Tabla1[[#This Row],[Aboard]]-Tabla1[[#This Row],[Fatalities]]</f>
        <v>6</v>
      </c>
      <c r="W2146" s="50">
        <f>IFERROR(Tabla1[[#This Row],[Fatalities]]/Tabla1[[#This Row],[Aboard]],0)</f>
        <v>0.952755905511811</v>
      </c>
      <c r="X2146" s="51" t="str" cm="1">
        <f t="array" ref="X2146">_xlfn.IFS(Tabla1[[#This Row],[Porcentaje de muertes]]&lt;0.35,"LEVE",AND(Tabla1[[#This Row],[Porcentaje de muertes]]&gt;0.35,Tabla1[[#This Row],[Porcentaje de muertes]]&lt;0.65),"MEDIO",Tabla1[[#This Row],[Porcentaje de muertes]]&gt;0.65,"GRAVE")</f>
        <v>GRAVE</v>
      </c>
    </row>
    <row r="2147" spans="2:24" x14ac:dyDescent="0.3">
      <c r="B2147" s="9">
        <v>2146</v>
      </c>
      <c r="C2147" s="49">
        <v>23908</v>
      </c>
      <c r="D2147" s="9">
        <f>YEAR(Tabla1[[#This Row],[Date]])</f>
        <v>1965</v>
      </c>
      <c r="E2147" s="9" t="str" cm="1">
        <f t="array" ref="E2147">IFERROR(_xlfn.IFS(AND(D2147&lt;1980,D2147&gt;=1970),"70",AND(D2147&lt;1990,D2147&gt;=1980),"80",AND(D2147&lt;2000,D2147&gt;=1990),"90",AND(D2147&lt;2010,D2147&gt;=2000),"00",AND(D2147&lt;=2019,D2147&gt;=2010),"10"),"1908-1970")</f>
        <v>1908-1970</v>
      </c>
      <c r="F2147" s="3">
        <v>0.40972222222222227</v>
      </c>
      <c r="G2147" t="s">
        <v>14383</v>
      </c>
      <c r="H2147" t="s">
        <v>14384</v>
      </c>
      <c r="I2147" t="s">
        <v>28931</v>
      </c>
      <c r="J2147" t="s">
        <v>28931</v>
      </c>
      <c r="K2147" t="s">
        <v>14385</v>
      </c>
      <c r="L2147" s="7" t="s">
        <v>14386</v>
      </c>
      <c r="M2147" t="s">
        <v>28931</v>
      </c>
      <c r="N2147">
        <v>18</v>
      </c>
      <c r="O2147" t="s">
        <v>5038</v>
      </c>
      <c r="P2147" t="s">
        <v>5038</v>
      </c>
      <c r="Q2147">
        <v>18</v>
      </c>
      <c r="R2147" t="s">
        <v>5038</v>
      </c>
      <c r="S2147" t="s">
        <v>5038</v>
      </c>
      <c r="T2147">
        <v>0</v>
      </c>
      <c r="U2147" t="s">
        <v>14387</v>
      </c>
      <c r="V2147">
        <f>Tabla1[[#This Row],[Aboard]]-Tabla1[[#This Row],[Fatalities]]</f>
        <v>0</v>
      </c>
      <c r="W2147" s="50">
        <f>IFERROR(Tabla1[[#This Row],[Fatalities]]/Tabla1[[#This Row],[Aboard]],0)</f>
        <v>1</v>
      </c>
      <c r="X2147" s="51" t="str" cm="1">
        <f t="array" ref="X2147">_xlfn.IFS(Tabla1[[#This Row],[Porcentaje de muertes]]&lt;0.35,"LEVE",AND(Tabla1[[#This Row],[Porcentaje de muertes]]&gt;0.35,Tabla1[[#This Row],[Porcentaje de muertes]]&lt;0.65),"MEDIO",Tabla1[[#This Row],[Porcentaje de muertes]]&gt;0.65,"GRAVE")</f>
        <v>GRAVE</v>
      </c>
    </row>
    <row r="2148" spans="2:24" x14ac:dyDescent="0.3">
      <c r="B2148" s="9">
        <v>2147</v>
      </c>
      <c r="C2148" s="49">
        <v>23918</v>
      </c>
      <c r="D2148" s="9">
        <f>YEAR(Tabla1[[#This Row],[Date]])</f>
        <v>1965</v>
      </c>
      <c r="E2148" s="9" t="str" cm="1">
        <f t="array" ref="E2148">IFERROR(_xlfn.IFS(AND(D2148&lt;1980,D2148&gt;=1970),"70",AND(D2148&lt;1990,D2148&gt;=1980),"80",AND(D2148&lt;2000,D2148&gt;=1990),"90",AND(D2148&lt;2010,D2148&gt;=2000),"00",AND(D2148&lt;=2019,D2148&gt;=2010),"10"),"1908-1970")</f>
        <v>1908-1970</v>
      </c>
      <c r="F2148" s="3">
        <v>7.3611111111111113E-2</v>
      </c>
      <c r="G2148" t="s">
        <v>14388</v>
      </c>
      <c r="H2148" t="s">
        <v>7987</v>
      </c>
      <c r="I2148" t="s">
        <v>28931</v>
      </c>
      <c r="J2148" t="s">
        <v>14389</v>
      </c>
      <c r="K2148" t="s">
        <v>14390</v>
      </c>
      <c r="L2148" s="7" t="s">
        <v>14391</v>
      </c>
      <c r="M2148">
        <v>18148</v>
      </c>
      <c r="N2148">
        <v>85</v>
      </c>
      <c r="O2148">
        <v>73</v>
      </c>
      <c r="P2148">
        <v>12</v>
      </c>
      <c r="Q2148">
        <v>85</v>
      </c>
      <c r="R2148">
        <v>73</v>
      </c>
      <c r="S2148">
        <v>12</v>
      </c>
      <c r="T2148">
        <v>0</v>
      </c>
      <c r="U2148" t="s">
        <v>14392</v>
      </c>
      <c r="V2148">
        <f>Tabla1[[#This Row],[Aboard]]-Tabla1[[#This Row],[Fatalities]]</f>
        <v>0</v>
      </c>
      <c r="W2148" s="50">
        <f>IFERROR(Tabla1[[#This Row],[Fatalities]]/Tabla1[[#This Row],[Aboard]],0)</f>
        <v>1</v>
      </c>
      <c r="X2148" s="51" t="str" cm="1">
        <f t="array" ref="X2148">_xlfn.IFS(Tabla1[[#This Row],[Porcentaje de muertes]]&lt;0.35,"LEVE",AND(Tabla1[[#This Row],[Porcentaje de muertes]]&gt;0.35,Tabla1[[#This Row],[Porcentaje de muertes]]&lt;0.65),"MEDIO",Tabla1[[#This Row],[Porcentaje de muertes]]&gt;0.65,"GRAVE")</f>
        <v>GRAVE</v>
      </c>
    </row>
    <row r="2149" spans="2:24" x14ac:dyDescent="0.3">
      <c r="B2149" s="9">
        <v>2148</v>
      </c>
      <c r="C2149" s="49">
        <v>23921</v>
      </c>
      <c r="D2149" s="9">
        <f>YEAR(Tabla1[[#This Row],[Date]])</f>
        <v>1965</v>
      </c>
      <c r="E2149" s="9" t="str" cm="1">
        <f t="array" ref="E2149">IFERROR(_xlfn.IFS(AND(D2149&lt;1980,D2149&gt;=1970),"70",AND(D2149&lt;1990,D2149&gt;=1980),"80",AND(D2149&lt;2000,D2149&gt;=1990),"90",AND(D2149&lt;2010,D2149&gt;=2000),"00",AND(D2149&lt;=2019,D2149&gt;=2010),"10"),"1908-1970")</f>
        <v>1908-1970</v>
      </c>
      <c r="F2149" s="3">
        <v>0.54861111111111105</v>
      </c>
      <c r="G2149" t="s">
        <v>13788</v>
      </c>
      <c r="H2149" t="s">
        <v>7121</v>
      </c>
      <c r="I2149" t="s">
        <v>28931</v>
      </c>
      <c r="J2149" t="s">
        <v>14393</v>
      </c>
      <c r="K2149" t="s">
        <v>14394</v>
      </c>
      <c r="L2149" s="7" t="s">
        <v>14395</v>
      </c>
      <c r="M2149">
        <v>18336</v>
      </c>
      <c r="N2149">
        <v>153</v>
      </c>
      <c r="O2149">
        <v>143</v>
      </c>
      <c r="P2149">
        <v>10</v>
      </c>
      <c r="Q2149">
        <v>0</v>
      </c>
      <c r="R2149">
        <v>0</v>
      </c>
      <c r="S2149">
        <v>0</v>
      </c>
      <c r="T2149">
        <v>0</v>
      </c>
      <c r="U2149" t="s">
        <v>14396</v>
      </c>
      <c r="V2149">
        <f>Tabla1[[#This Row],[Aboard]]-Tabla1[[#This Row],[Fatalities]]</f>
        <v>153</v>
      </c>
      <c r="W2149" s="50">
        <f>IFERROR(Tabla1[[#This Row],[Fatalities]]/Tabla1[[#This Row],[Aboard]],0)</f>
        <v>0</v>
      </c>
      <c r="X2149" s="51" t="str" cm="1">
        <f t="array" ref="X2149">_xlfn.IFS(Tabla1[[#This Row],[Porcentaje de muertes]]&lt;0.35,"LEVE",AND(Tabla1[[#This Row],[Porcentaje de muertes]]&gt;0.35,Tabla1[[#This Row],[Porcentaje de muertes]]&lt;0.65),"MEDIO",Tabla1[[#This Row],[Porcentaje de muertes]]&gt;0.65,"GRAVE")</f>
        <v>LEVE</v>
      </c>
    </row>
    <row r="2150" spans="2:24" x14ac:dyDescent="0.3">
      <c r="B2150" s="9">
        <v>2149</v>
      </c>
      <c r="C2150" s="49">
        <v>23749</v>
      </c>
      <c r="D2150" s="9">
        <f>YEAR(Tabla1[[#This Row],[Date]])</f>
        <v>1965</v>
      </c>
      <c r="E2150" s="9" t="str" cm="1">
        <f t="array" ref="E2150">IFERROR(_xlfn.IFS(AND(D2150&lt;1980,D2150&gt;=1970),"70",AND(D2150&lt;1990,D2150&gt;=1980),"80",AND(D2150&lt;2000,D2150&gt;=1990),"90",AND(D2150&lt;2010,D2150&gt;=2000),"00",AND(D2150&lt;=2019,D2150&gt;=2010),"10"),"1908-1970")</f>
        <v>1908-1970</v>
      </c>
      <c r="F2150" s="3">
        <v>0.22847222222222222</v>
      </c>
      <c r="G2150" t="s">
        <v>5906</v>
      </c>
      <c r="H2150" t="s">
        <v>11843</v>
      </c>
      <c r="I2150">
        <v>12</v>
      </c>
      <c r="J2150" t="s">
        <v>14397</v>
      </c>
      <c r="K2150" t="s">
        <v>13547</v>
      </c>
      <c r="L2150" s="7" t="s">
        <v>14398</v>
      </c>
      <c r="M2150" t="s">
        <v>14399</v>
      </c>
      <c r="N2150">
        <v>66</v>
      </c>
      <c r="O2150">
        <v>60</v>
      </c>
      <c r="P2150">
        <v>6</v>
      </c>
      <c r="Q2150">
        <v>0</v>
      </c>
      <c r="R2150">
        <v>0</v>
      </c>
      <c r="S2150">
        <v>0</v>
      </c>
      <c r="T2150">
        <v>0</v>
      </c>
      <c r="U2150" t="s">
        <v>14400</v>
      </c>
      <c r="V2150">
        <f>Tabla1[[#This Row],[Aboard]]-Tabla1[[#This Row],[Fatalities]]</f>
        <v>66</v>
      </c>
      <c r="W2150" s="50">
        <f>IFERROR(Tabla1[[#This Row],[Fatalities]]/Tabla1[[#This Row],[Aboard]],0)</f>
        <v>0</v>
      </c>
      <c r="X2150" s="51" t="str" cm="1">
        <f t="array" ref="X2150">_xlfn.IFS(Tabla1[[#This Row],[Porcentaje de muertes]]&lt;0.35,"LEVE",AND(Tabla1[[#This Row],[Porcentaje de muertes]]&gt;0.35,Tabla1[[#This Row],[Porcentaje de muertes]]&lt;0.65),"MEDIO",Tabla1[[#This Row],[Porcentaje de muertes]]&gt;0.65,"GRAVE")</f>
        <v>LEVE</v>
      </c>
    </row>
    <row r="2151" spans="2:24" x14ac:dyDescent="0.3">
      <c r="B2151" s="9">
        <v>2150</v>
      </c>
      <c r="C2151" s="49">
        <v>23900</v>
      </c>
      <c r="D2151" s="9">
        <f>YEAR(Tabla1[[#This Row],[Date]])</f>
        <v>1965</v>
      </c>
      <c r="E2151" s="9" t="str" cm="1">
        <f t="array" ref="E2151">IFERROR(_xlfn.IFS(AND(D2151&lt;1980,D2151&gt;=1970),"70",AND(D2151&lt;1990,D2151&gt;=1980),"80",AND(D2151&lt;2000,D2151&gt;=1990),"90",AND(D2151&lt;2010,D2151&gt;=2000),"00",AND(D2151&lt;=2019,D2151&gt;=2010),"10"),"1908-1970")</f>
        <v>1908-1970</v>
      </c>
      <c r="F2151" s="3">
        <v>0.66666666666666663</v>
      </c>
      <c r="G2151" t="s">
        <v>14401</v>
      </c>
      <c r="H2151" t="s">
        <v>7660</v>
      </c>
      <c r="I2151" t="s">
        <v>28931</v>
      </c>
      <c r="J2151" t="s">
        <v>28931</v>
      </c>
      <c r="K2151" t="s">
        <v>14402</v>
      </c>
      <c r="L2151" s="7" t="s">
        <v>14403</v>
      </c>
      <c r="M2151" t="s">
        <v>28931</v>
      </c>
      <c r="N2151">
        <v>41</v>
      </c>
      <c r="O2151">
        <v>35</v>
      </c>
      <c r="P2151">
        <v>6</v>
      </c>
      <c r="Q2151">
        <v>41</v>
      </c>
      <c r="R2151">
        <v>35</v>
      </c>
      <c r="S2151">
        <v>6</v>
      </c>
      <c r="T2151">
        <v>0</v>
      </c>
      <c r="U2151" t="s">
        <v>14404</v>
      </c>
      <c r="V2151">
        <f>Tabla1[[#This Row],[Aboard]]-Tabla1[[#This Row],[Fatalities]]</f>
        <v>0</v>
      </c>
      <c r="W2151" s="50">
        <f>IFERROR(Tabla1[[#This Row],[Fatalities]]/Tabla1[[#This Row],[Aboard]],0)</f>
        <v>1</v>
      </c>
      <c r="X2151" s="51" t="str" cm="1">
        <f t="array" ref="X2151">_xlfn.IFS(Tabla1[[#This Row],[Porcentaje de muertes]]&lt;0.35,"LEVE",AND(Tabla1[[#This Row],[Porcentaje de muertes]]&gt;0.35,Tabla1[[#This Row],[Porcentaje de muertes]]&lt;0.65),"MEDIO",Tabla1[[#This Row],[Porcentaje de muertes]]&gt;0.65,"GRAVE")</f>
        <v>GRAVE</v>
      </c>
    </row>
    <row r="2152" spans="2:24" x14ac:dyDescent="0.3">
      <c r="B2152" s="9">
        <v>2151</v>
      </c>
      <c r="C2152" s="49">
        <v>23930</v>
      </c>
      <c r="D2152" s="9">
        <f>YEAR(Tabla1[[#This Row],[Date]])</f>
        <v>1965</v>
      </c>
      <c r="E2152" s="9" t="str" cm="1">
        <f t="array" ref="E2152">IFERROR(_xlfn.IFS(AND(D2152&lt;1980,D2152&gt;=1970),"70",AND(D2152&lt;1990,D2152&gt;=1980),"80",AND(D2152&lt;2000,D2152&gt;=1990),"90",AND(D2152&lt;2010,D2152&gt;=2000),"00",AND(D2152&lt;=2019,D2152&gt;=2010),"10"),"1908-1970")</f>
        <v>1908-1970</v>
      </c>
      <c r="F2152" s="3">
        <v>6.25E-2</v>
      </c>
      <c r="G2152" t="s">
        <v>6648</v>
      </c>
      <c r="H2152" t="s">
        <v>9999</v>
      </c>
      <c r="I2152" t="s">
        <v>28931</v>
      </c>
      <c r="J2152" t="s">
        <v>14405</v>
      </c>
      <c r="K2152" t="s">
        <v>13992</v>
      </c>
      <c r="L2152" s="7" t="s">
        <v>28931</v>
      </c>
      <c r="M2152" t="s">
        <v>28931</v>
      </c>
      <c r="N2152">
        <v>31</v>
      </c>
      <c r="O2152">
        <v>22</v>
      </c>
      <c r="P2152">
        <v>9</v>
      </c>
      <c r="Q2152">
        <v>30</v>
      </c>
      <c r="R2152">
        <v>21</v>
      </c>
      <c r="S2152">
        <v>9</v>
      </c>
      <c r="T2152">
        <v>0</v>
      </c>
      <c r="U2152" t="s">
        <v>14406</v>
      </c>
      <c r="V2152">
        <f>Tabla1[[#This Row],[Aboard]]-Tabla1[[#This Row],[Fatalities]]</f>
        <v>1</v>
      </c>
      <c r="W2152" s="50">
        <f>IFERROR(Tabla1[[#This Row],[Fatalities]]/Tabla1[[#This Row],[Aboard]],0)</f>
        <v>0.967741935483871</v>
      </c>
      <c r="X2152" s="51" t="str" cm="1">
        <f t="array" ref="X2152">_xlfn.IFS(Tabla1[[#This Row],[Porcentaje de muertes]]&lt;0.35,"LEVE",AND(Tabla1[[#This Row],[Porcentaje de muertes]]&gt;0.35,Tabla1[[#This Row],[Porcentaje de muertes]]&lt;0.65),"MEDIO",Tabla1[[#This Row],[Porcentaje de muertes]]&gt;0.65,"GRAVE")</f>
        <v>GRAVE</v>
      </c>
    </row>
    <row r="2153" spans="2:24" x14ac:dyDescent="0.3">
      <c r="B2153" s="9">
        <v>2152</v>
      </c>
      <c r="C2153" s="49">
        <v>23961</v>
      </c>
      <c r="D2153" s="9">
        <f>YEAR(Tabla1[[#This Row],[Date]])</f>
        <v>1965</v>
      </c>
      <c r="E2153" s="9" t="str" cm="1">
        <f t="array" ref="E2153">IFERROR(_xlfn.IFS(AND(D2153&lt;1980,D2153&gt;=1970),"70",AND(D2153&lt;1990,D2153&gt;=1980),"80",AND(D2153&lt;2000,D2153&gt;=1990),"90",AND(D2153&lt;2010,D2153&gt;=2000),"00",AND(D2153&lt;=2019,D2153&gt;=2010),"10"),"1908-1970")</f>
        <v>1908-1970</v>
      </c>
      <c r="F2153" s="3">
        <v>0.65277777777777779</v>
      </c>
      <c r="G2153" t="s">
        <v>14407</v>
      </c>
      <c r="H2153" t="s">
        <v>7883</v>
      </c>
      <c r="I2153">
        <v>21</v>
      </c>
      <c r="J2153" t="s">
        <v>14408</v>
      </c>
      <c r="K2153" t="s">
        <v>10428</v>
      </c>
      <c r="L2153" s="7" t="s">
        <v>14409</v>
      </c>
      <c r="M2153" t="s">
        <v>14410</v>
      </c>
      <c r="N2153">
        <v>52</v>
      </c>
      <c r="O2153">
        <v>46</v>
      </c>
      <c r="P2153">
        <v>6</v>
      </c>
      <c r="Q2153">
        <v>52</v>
      </c>
      <c r="R2153">
        <v>46</v>
      </c>
      <c r="S2153">
        <v>6</v>
      </c>
      <c r="T2153">
        <v>0</v>
      </c>
      <c r="U2153" t="s">
        <v>14411</v>
      </c>
      <c r="V2153">
        <f>Tabla1[[#This Row],[Aboard]]-Tabla1[[#This Row],[Fatalities]]</f>
        <v>0</v>
      </c>
      <c r="W2153" s="50">
        <f>IFERROR(Tabla1[[#This Row],[Fatalities]]/Tabla1[[#This Row],[Aboard]],0)</f>
        <v>1</v>
      </c>
      <c r="X2153" s="51" t="str" cm="1">
        <f t="array" ref="X2153">_xlfn.IFS(Tabla1[[#This Row],[Porcentaje de muertes]]&lt;0.35,"LEVE",AND(Tabla1[[#This Row],[Porcentaje de muertes]]&gt;0.35,Tabla1[[#This Row],[Porcentaje de muertes]]&lt;0.65),"MEDIO",Tabla1[[#This Row],[Porcentaje de muertes]]&gt;0.65,"GRAVE")</f>
        <v>GRAVE</v>
      </c>
    </row>
    <row r="2154" spans="2:24" x14ac:dyDescent="0.3">
      <c r="B2154" s="9">
        <v>2153</v>
      </c>
      <c r="C2154" s="49">
        <v>24053</v>
      </c>
      <c r="D2154" s="9">
        <f>YEAR(Tabla1[[#This Row],[Date]])</f>
        <v>1965</v>
      </c>
      <c r="E2154" s="9" t="str" cm="1">
        <f t="array" ref="E2154">IFERROR(_xlfn.IFS(AND(D2154&lt;1980,D2154&gt;=1970),"70",AND(D2154&lt;1990,D2154&gt;=1980),"80",AND(D2154&lt;2000,D2154&gt;=1990),"90",AND(D2154&lt;2010,D2154&gt;=2000),"00",AND(D2154&lt;=2019,D2154&gt;=2010),"10"),"1908-1970")</f>
        <v>1908-1970</v>
      </c>
      <c r="F2154" s="3">
        <v>0.93194444444444446</v>
      </c>
      <c r="G2154" t="s">
        <v>14412</v>
      </c>
      <c r="H2154" t="s">
        <v>7987</v>
      </c>
      <c r="I2154" t="s">
        <v>8152</v>
      </c>
      <c r="J2154" t="s">
        <v>14413</v>
      </c>
      <c r="K2154" t="s">
        <v>14414</v>
      </c>
      <c r="L2154" s="7" t="s">
        <v>14415</v>
      </c>
      <c r="M2154">
        <v>4409</v>
      </c>
      <c r="N2154">
        <v>19</v>
      </c>
      <c r="O2154">
        <v>15</v>
      </c>
      <c r="P2154">
        <v>4</v>
      </c>
      <c r="Q2154">
        <v>16</v>
      </c>
      <c r="R2154">
        <v>13</v>
      </c>
      <c r="S2154">
        <v>3</v>
      </c>
      <c r="T2154">
        <v>0</v>
      </c>
      <c r="U2154" t="s">
        <v>14416</v>
      </c>
      <c r="V2154">
        <f>Tabla1[[#This Row],[Aboard]]-Tabla1[[#This Row],[Fatalities]]</f>
        <v>3</v>
      </c>
      <c r="W2154" s="50">
        <f>IFERROR(Tabla1[[#This Row],[Fatalities]]/Tabla1[[#This Row],[Aboard]],0)</f>
        <v>0.84210526315789469</v>
      </c>
      <c r="X2154" s="51" t="str" cm="1">
        <f t="array" ref="X2154">_xlfn.IFS(Tabla1[[#This Row],[Porcentaje de muertes]]&lt;0.35,"LEVE",AND(Tabla1[[#This Row],[Porcentaje de muertes]]&gt;0.35,Tabla1[[#This Row],[Porcentaje de muertes]]&lt;0.65),"MEDIO",Tabla1[[#This Row],[Porcentaje de muertes]]&gt;0.65,"GRAVE")</f>
        <v>GRAVE</v>
      </c>
    </row>
    <row r="2155" spans="2:24" x14ac:dyDescent="0.3">
      <c r="B2155" s="9">
        <v>2154</v>
      </c>
      <c r="C2155" s="49">
        <v>23938</v>
      </c>
      <c r="D2155" s="9">
        <f>YEAR(Tabla1[[#This Row],[Date]])</f>
        <v>1965</v>
      </c>
      <c r="E2155" s="9" t="str" cm="1">
        <f t="array" ref="E2155">IFERROR(_xlfn.IFS(AND(D2155&lt;1980,D2155&gt;=1970),"70",AND(D2155&lt;1990,D2155&gt;=1980),"80",AND(D2155&lt;2000,D2155&gt;=1990),"90",AND(D2155&lt;2010,D2155&gt;=2000),"00",AND(D2155&lt;=2019,D2155&gt;=2010),"10"),"1908-1970")</f>
        <v>1908-1970</v>
      </c>
      <c r="F2155" s="3">
        <v>0.71180555555555547</v>
      </c>
      <c r="G2155" t="s">
        <v>14417</v>
      </c>
      <c r="H2155" t="s">
        <v>14418</v>
      </c>
      <c r="I2155" t="s">
        <v>28931</v>
      </c>
      <c r="J2155" t="s">
        <v>28931</v>
      </c>
      <c r="K2155" t="s">
        <v>14419</v>
      </c>
      <c r="L2155" s="7" t="s">
        <v>14420</v>
      </c>
      <c r="M2155" t="s">
        <v>28931</v>
      </c>
      <c r="N2155">
        <v>12</v>
      </c>
      <c r="O2155">
        <v>11</v>
      </c>
      <c r="P2155">
        <v>1</v>
      </c>
      <c r="Q2155">
        <v>8</v>
      </c>
      <c r="R2155">
        <v>7</v>
      </c>
      <c r="S2155">
        <v>1</v>
      </c>
      <c r="T2155">
        <v>0</v>
      </c>
      <c r="U2155" t="s">
        <v>14421</v>
      </c>
      <c r="V2155">
        <f>Tabla1[[#This Row],[Aboard]]-Tabla1[[#This Row],[Fatalities]]</f>
        <v>4</v>
      </c>
      <c r="W2155" s="50">
        <f>IFERROR(Tabla1[[#This Row],[Fatalities]]/Tabla1[[#This Row],[Aboard]],0)</f>
        <v>0.66666666666666663</v>
      </c>
      <c r="X2155" s="51" t="str" cm="1">
        <f t="array" ref="X2155">_xlfn.IFS(Tabla1[[#This Row],[Porcentaje de muertes]]&lt;0.35,"LEVE",AND(Tabla1[[#This Row],[Porcentaje de muertes]]&gt;0.35,Tabla1[[#This Row],[Porcentaje de muertes]]&lt;0.65),"MEDIO",Tabla1[[#This Row],[Porcentaje de muertes]]&gt;0.65,"GRAVE")</f>
        <v>GRAVE</v>
      </c>
    </row>
    <row r="2156" spans="2:24" x14ac:dyDescent="0.3">
      <c r="B2156" s="9">
        <v>2155</v>
      </c>
      <c r="C2156" s="49">
        <v>23948</v>
      </c>
      <c r="D2156" s="9">
        <f>YEAR(Tabla1[[#This Row],[Date]])</f>
        <v>1965</v>
      </c>
      <c r="E2156" s="9" t="str" cm="1">
        <f t="array" ref="E2156">IFERROR(_xlfn.IFS(AND(D2156&lt;1980,D2156&gt;=1970),"70",AND(D2156&lt;1990,D2156&gt;=1980),"80",AND(D2156&lt;2000,D2156&gt;=1990),"90",AND(D2156&lt;2010,D2156&gt;=2000),"00",AND(D2156&lt;=2019,D2156&gt;=2010),"10"),"1908-1970")</f>
        <v>1908-1970</v>
      </c>
      <c r="F2156" s="3">
        <v>0.31944444444444448</v>
      </c>
      <c r="G2156" t="s">
        <v>14422</v>
      </c>
      <c r="H2156" t="s">
        <v>11996</v>
      </c>
      <c r="I2156" t="s">
        <v>28931</v>
      </c>
      <c r="J2156" t="s">
        <v>14423</v>
      </c>
      <c r="K2156" t="s">
        <v>7826</v>
      </c>
      <c r="L2156" s="7">
        <v>777</v>
      </c>
      <c r="M2156" t="s">
        <v>28931</v>
      </c>
      <c r="N2156">
        <v>37</v>
      </c>
      <c r="O2156">
        <v>30</v>
      </c>
      <c r="P2156">
        <v>7</v>
      </c>
      <c r="Q2156">
        <v>37</v>
      </c>
      <c r="R2156">
        <v>30</v>
      </c>
      <c r="S2156">
        <v>7</v>
      </c>
      <c r="T2156">
        <v>0</v>
      </c>
      <c r="U2156" t="s">
        <v>14424</v>
      </c>
      <c r="V2156">
        <f>Tabla1[[#This Row],[Aboard]]-Tabla1[[#This Row],[Fatalities]]</f>
        <v>0</v>
      </c>
      <c r="W2156" s="50">
        <f>IFERROR(Tabla1[[#This Row],[Fatalities]]/Tabla1[[#This Row],[Aboard]],0)</f>
        <v>1</v>
      </c>
      <c r="X2156" s="51" t="str" cm="1">
        <f t="array" ref="X2156">_xlfn.IFS(Tabla1[[#This Row],[Porcentaje de muertes]]&lt;0.35,"LEVE",AND(Tabla1[[#This Row],[Porcentaje de muertes]]&gt;0.35,Tabla1[[#This Row],[Porcentaje de muertes]]&lt;0.65),"MEDIO",Tabla1[[#This Row],[Porcentaje de muertes]]&gt;0.65,"GRAVE")</f>
        <v>GRAVE</v>
      </c>
    </row>
    <row r="2157" spans="2:24" x14ac:dyDescent="0.3">
      <c r="B2157" s="9">
        <v>2156</v>
      </c>
      <c r="C2157" s="49">
        <v>23840</v>
      </c>
      <c r="D2157" s="9">
        <f>YEAR(Tabla1[[#This Row],[Date]])</f>
        <v>1965</v>
      </c>
      <c r="E2157" s="9" t="str" cm="1">
        <f t="array" ref="E2157">IFERROR(_xlfn.IFS(AND(D2157&lt;1980,D2157&gt;=1970),"70",AND(D2157&lt;1990,D2157&gt;=1980),"80",AND(D2157&lt;2000,D2157&gt;=1990),"90",AND(D2157&lt;2010,D2157&gt;=2000),"00",AND(D2157&lt;=2019,D2157&gt;=2010),"10"),"1908-1970")</f>
        <v>1908-1970</v>
      </c>
      <c r="F2157" s="3">
        <v>0.9819444444444444</v>
      </c>
      <c r="G2157" t="s">
        <v>14425</v>
      </c>
      <c r="H2157" t="s">
        <v>14426</v>
      </c>
      <c r="I2157" t="s">
        <v>28931</v>
      </c>
      <c r="J2157" t="s">
        <v>14427</v>
      </c>
      <c r="K2157" t="s">
        <v>10065</v>
      </c>
      <c r="L2157" s="7" t="s">
        <v>14428</v>
      </c>
      <c r="M2157">
        <v>10826</v>
      </c>
      <c r="N2157">
        <v>7</v>
      </c>
      <c r="O2157">
        <v>4</v>
      </c>
      <c r="P2157">
        <v>3</v>
      </c>
      <c r="Q2157">
        <v>7</v>
      </c>
      <c r="R2157">
        <v>4</v>
      </c>
      <c r="S2157">
        <v>3</v>
      </c>
      <c r="T2157">
        <v>0</v>
      </c>
      <c r="U2157" t="s">
        <v>14429</v>
      </c>
      <c r="V2157">
        <f>Tabla1[[#This Row],[Aboard]]-Tabla1[[#This Row],[Fatalities]]</f>
        <v>0</v>
      </c>
      <c r="W2157" s="50">
        <f>IFERROR(Tabla1[[#This Row],[Fatalities]]/Tabla1[[#This Row],[Aboard]],0)</f>
        <v>1</v>
      </c>
      <c r="X2157" s="51" t="str" cm="1">
        <f t="array" ref="X2157">_xlfn.IFS(Tabla1[[#This Row],[Porcentaje de muertes]]&lt;0.35,"LEVE",AND(Tabla1[[#This Row],[Porcentaje de muertes]]&gt;0.35,Tabla1[[#This Row],[Porcentaje de muertes]]&lt;0.65),"MEDIO",Tabla1[[#This Row],[Porcentaje de muertes]]&gt;0.65,"GRAVE")</f>
        <v>GRAVE</v>
      </c>
    </row>
    <row r="2158" spans="2:24" x14ac:dyDescent="0.3">
      <c r="B2158" s="9">
        <v>2157</v>
      </c>
      <c r="C2158" s="49">
        <v>24084</v>
      </c>
      <c r="D2158" s="9">
        <f>YEAR(Tabla1[[#This Row],[Date]])</f>
        <v>1965</v>
      </c>
      <c r="E2158" s="9" t="str" cm="1">
        <f t="array" ref="E2158">IFERROR(_xlfn.IFS(AND(D2158&lt;1980,D2158&gt;=1970),"70",AND(D2158&lt;1990,D2158&gt;=1980),"80",AND(D2158&lt;2000,D2158&gt;=1990),"90",AND(D2158&lt;2010,D2158&gt;=2000),"00",AND(D2158&lt;=2019,D2158&gt;=2010),"10"),"1908-1970")</f>
        <v>1908-1970</v>
      </c>
      <c r="F2158" s="3">
        <v>0.45833333333333331</v>
      </c>
      <c r="G2158" t="s">
        <v>14430</v>
      </c>
      <c r="H2158" t="s">
        <v>12364</v>
      </c>
      <c r="I2158" t="s">
        <v>28931</v>
      </c>
      <c r="J2158" t="s">
        <v>14431</v>
      </c>
      <c r="K2158" t="s">
        <v>8305</v>
      </c>
      <c r="L2158" s="7" t="s">
        <v>14432</v>
      </c>
      <c r="M2158">
        <v>30571</v>
      </c>
      <c r="N2158">
        <v>13</v>
      </c>
      <c r="O2158">
        <v>10</v>
      </c>
      <c r="P2158">
        <v>3</v>
      </c>
      <c r="Q2158">
        <v>13</v>
      </c>
      <c r="R2158">
        <v>10</v>
      </c>
      <c r="S2158">
        <v>3</v>
      </c>
      <c r="T2158">
        <v>0</v>
      </c>
      <c r="U2158" t="s">
        <v>14433</v>
      </c>
      <c r="V2158">
        <f>Tabla1[[#This Row],[Aboard]]-Tabla1[[#This Row],[Fatalities]]</f>
        <v>0</v>
      </c>
      <c r="W2158" s="50">
        <f>IFERROR(Tabla1[[#This Row],[Fatalities]]/Tabla1[[#This Row],[Aboard]],0)</f>
        <v>1</v>
      </c>
      <c r="X2158" s="51" t="str" cm="1">
        <f t="array" ref="X2158">_xlfn.IFS(Tabla1[[#This Row],[Porcentaje de muertes]]&lt;0.35,"LEVE",AND(Tabla1[[#This Row],[Porcentaje de muertes]]&gt;0.35,Tabla1[[#This Row],[Porcentaje de muertes]]&lt;0.65),"MEDIO",Tabla1[[#This Row],[Porcentaje de muertes]]&gt;0.65,"GRAVE")</f>
        <v>GRAVE</v>
      </c>
    </row>
    <row r="2159" spans="2:24" x14ac:dyDescent="0.3">
      <c r="B2159" s="9">
        <v>2158</v>
      </c>
      <c r="C2159" s="49">
        <v>23970</v>
      </c>
      <c r="D2159" s="9">
        <f>YEAR(Tabla1[[#This Row],[Date]])</f>
        <v>1965</v>
      </c>
      <c r="E2159" s="9" t="str" cm="1">
        <f t="array" ref="E2159">IFERROR(_xlfn.IFS(AND(D2159&lt;1980,D2159&gt;=1970),"70",AND(D2159&lt;1990,D2159&gt;=1980),"80",AND(D2159&lt;2000,D2159&gt;=1990),"90",AND(D2159&lt;2010,D2159&gt;=2000),"00",AND(D2159&lt;=2019,D2159&gt;=2010),"10"),"1908-1970")</f>
        <v>1908-1970</v>
      </c>
      <c r="F2159" s="3">
        <v>0.84791666666666676</v>
      </c>
      <c r="G2159" t="s">
        <v>14434</v>
      </c>
      <c r="H2159" t="s">
        <v>6369</v>
      </c>
      <c r="I2159">
        <v>389</v>
      </c>
      <c r="J2159" t="s">
        <v>7594</v>
      </c>
      <c r="K2159" t="s">
        <v>14435</v>
      </c>
      <c r="L2159" s="7" t="s">
        <v>14436</v>
      </c>
      <c r="M2159" t="s">
        <v>14437</v>
      </c>
      <c r="N2159">
        <v>30</v>
      </c>
      <c r="O2159">
        <v>24</v>
      </c>
      <c r="P2159">
        <v>6</v>
      </c>
      <c r="Q2159">
        <v>30</v>
      </c>
      <c r="R2159">
        <v>24</v>
      </c>
      <c r="S2159">
        <v>6</v>
      </c>
      <c r="T2159">
        <v>0</v>
      </c>
      <c r="U2159" t="s">
        <v>14438</v>
      </c>
      <c r="V2159">
        <f>Tabla1[[#This Row],[Aboard]]-Tabla1[[#This Row],[Fatalities]]</f>
        <v>0</v>
      </c>
      <c r="W2159" s="50">
        <f>IFERROR(Tabla1[[#This Row],[Fatalities]]/Tabla1[[#This Row],[Aboard]],0)</f>
        <v>1</v>
      </c>
      <c r="X2159" s="51" t="str" cm="1">
        <f t="array" ref="X2159">_xlfn.IFS(Tabla1[[#This Row],[Porcentaje de muertes]]&lt;0.35,"LEVE",AND(Tabla1[[#This Row],[Porcentaje de muertes]]&gt;0.35,Tabla1[[#This Row],[Porcentaje de muertes]]&lt;0.65),"MEDIO",Tabla1[[#This Row],[Porcentaje de muertes]]&gt;0.65,"GRAVE")</f>
        <v>GRAVE</v>
      </c>
    </row>
    <row r="2160" spans="2:24" x14ac:dyDescent="0.3">
      <c r="B2160" s="9">
        <v>2159</v>
      </c>
      <c r="C2160" s="49">
        <v>23974</v>
      </c>
      <c r="D2160" s="9">
        <f>YEAR(Tabla1[[#This Row],[Date]])</f>
        <v>1965</v>
      </c>
      <c r="E2160" s="9" t="str" cm="1">
        <f t="array" ref="E2160">IFERROR(_xlfn.IFS(AND(D2160&lt;1980,D2160&gt;=1970),"70",AND(D2160&lt;1990,D2160&gt;=1980),"80",AND(D2160&lt;2000,D2160&gt;=1990),"90",AND(D2160&lt;2010,D2160&gt;=2000),"00",AND(D2160&lt;=2019,D2160&gt;=2010),"10"),"1908-1970")</f>
        <v>1908-1970</v>
      </c>
      <c r="F2160" s="3">
        <v>0.54722222222222217</v>
      </c>
      <c r="G2160" t="s">
        <v>14439</v>
      </c>
      <c r="H2160" t="s">
        <v>7237</v>
      </c>
      <c r="I2160" t="s">
        <v>28931</v>
      </c>
      <c r="J2160" t="s">
        <v>14440</v>
      </c>
      <c r="K2160" t="s">
        <v>14441</v>
      </c>
      <c r="L2160" s="7" t="s">
        <v>14442</v>
      </c>
      <c r="M2160">
        <v>249</v>
      </c>
      <c r="N2160">
        <v>4</v>
      </c>
      <c r="O2160">
        <v>0</v>
      </c>
      <c r="P2160">
        <v>4</v>
      </c>
      <c r="Q2160">
        <v>4</v>
      </c>
      <c r="R2160">
        <v>0</v>
      </c>
      <c r="S2160">
        <v>4</v>
      </c>
      <c r="T2160">
        <v>0</v>
      </c>
      <c r="U2160" t="s">
        <v>14443</v>
      </c>
      <c r="V2160">
        <f>Tabla1[[#This Row],[Aboard]]-Tabla1[[#This Row],[Fatalities]]</f>
        <v>0</v>
      </c>
      <c r="W2160" s="50">
        <f>IFERROR(Tabla1[[#This Row],[Fatalities]]/Tabla1[[#This Row],[Aboard]],0)</f>
        <v>1</v>
      </c>
      <c r="X2160" s="51" t="str" cm="1">
        <f t="array" ref="X2160">_xlfn.IFS(Tabla1[[#This Row],[Porcentaje de muertes]]&lt;0.35,"LEVE",AND(Tabla1[[#This Row],[Porcentaje de muertes]]&gt;0.35,Tabla1[[#This Row],[Porcentaje de muertes]]&lt;0.65),"MEDIO",Tabla1[[#This Row],[Porcentaje de muertes]]&gt;0.65,"GRAVE")</f>
        <v>GRAVE</v>
      </c>
    </row>
    <row r="2161" spans="2:24" x14ac:dyDescent="0.3">
      <c r="B2161" s="9">
        <v>2160</v>
      </c>
      <c r="C2161" s="49">
        <v>23978</v>
      </c>
      <c r="D2161" s="9">
        <f>YEAR(Tabla1[[#This Row],[Date]])</f>
        <v>1965</v>
      </c>
      <c r="E2161" s="9" t="str" cm="1">
        <f t="array" ref="E2161">IFERROR(_xlfn.IFS(AND(D2161&lt;1980,D2161&gt;=1970),"70",AND(D2161&lt;1990,D2161&gt;=1980),"80",AND(D2161&lt;2000,D2161&gt;=1990),"90",AND(D2161&lt;2010,D2161&gt;=2000),"00",AND(D2161&lt;=2019,D2161&gt;=2010),"10"),"1908-1970")</f>
        <v>1908-1970</v>
      </c>
      <c r="F2161" s="3">
        <v>0.4236111111111111</v>
      </c>
      <c r="G2161" t="s">
        <v>8991</v>
      </c>
      <c r="H2161" t="s">
        <v>8891</v>
      </c>
      <c r="I2161" t="s">
        <v>28931</v>
      </c>
      <c r="J2161" t="s">
        <v>14423</v>
      </c>
      <c r="K2161" t="s">
        <v>14444</v>
      </c>
      <c r="L2161" s="7">
        <v>149802</v>
      </c>
      <c r="M2161">
        <v>3693</v>
      </c>
      <c r="N2161">
        <v>72</v>
      </c>
      <c r="O2161">
        <v>66</v>
      </c>
      <c r="P2161">
        <v>6</v>
      </c>
      <c r="Q2161">
        <v>59</v>
      </c>
      <c r="R2161">
        <v>57</v>
      </c>
      <c r="S2161">
        <v>2</v>
      </c>
      <c r="T2161">
        <v>0</v>
      </c>
      <c r="U2161" t="s">
        <v>14445</v>
      </c>
      <c r="V2161">
        <f>Tabla1[[#This Row],[Aboard]]-Tabla1[[#This Row],[Fatalities]]</f>
        <v>13</v>
      </c>
      <c r="W2161" s="50">
        <f>IFERROR(Tabla1[[#This Row],[Fatalities]]/Tabla1[[#This Row],[Aboard]],0)</f>
        <v>0.81944444444444442</v>
      </c>
      <c r="X2161" s="51" t="str" cm="1">
        <f t="array" ref="X2161">_xlfn.IFS(Tabla1[[#This Row],[Porcentaje de muertes]]&lt;0.35,"LEVE",AND(Tabla1[[#This Row],[Porcentaje de muertes]]&gt;0.35,Tabla1[[#This Row],[Porcentaje de muertes]]&lt;0.65),"MEDIO",Tabla1[[#This Row],[Porcentaje de muertes]]&gt;0.65,"GRAVE")</f>
        <v>GRAVE</v>
      </c>
    </row>
    <row r="2162" spans="2:24" x14ac:dyDescent="0.3">
      <c r="B2162" s="9">
        <v>2161</v>
      </c>
      <c r="C2162" s="49">
        <v>23841</v>
      </c>
      <c r="D2162" s="9">
        <f>YEAR(Tabla1[[#This Row],[Date]])</f>
        <v>1965</v>
      </c>
      <c r="E2162" s="9" t="str" cm="1">
        <f t="array" ref="E2162">IFERROR(_xlfn.IFS(AND(D2162&lt;1980,D2162&gt;=1970),"70",AND(D2162&lt;1990,D2162&gt;=1980),"80",AND(D2162&lt;2000,D2162&gt;=1990),"90",AND(D2162&lt;2010,D2162&gt;=2000),"00",AND(D2162&lt;=2019,D2162&gt;=2010),"10"),"1908-1970")</f>
        <v>1908-1970</v>
      </c>
      <c r="F2162" s="3">
        <v>0.40277777777777773</v>
      </c>
      <c r="G2162" t="s">
        <v>14446</v>
      </c>
      <c r="H2162" t="s">
        <v>11768</v>
      </c>
      <c r="I2162" t="s">
        <v>28931</v>
      </c>
      <c r="J2162" t="s">
        <v>28931</v>
      </c>
      <c r="K2162" t="s">
        <v>14447</v>
      </c>
      <c r="L2162" s="7" t="s">
        <v>14448</v>
      </c>
      <c r="M2162" t="s">
        <v>28931</v>
      </c>
      <c r="N2162">
        <v>5</v>
      </c>
      <c r="O2162">
        <v>4</v>
      </c>
      <c r="P2162">
        <v>1</v>
      </c>
      <c r="Q2162">
        <v>4</v>
      </c>
      <c r="R2162">
        <v>3</v>
      </c>
      <c r="S2162">
        <v>1</v>
      </c>
      <c r="T2162">
        <v>0</v>
      </c>
      <c r="U2162" t="s">
        <v>14449</v>
      </c>
      <c r="V2162">
        <f>Tabla1[[#This Row],[Aboard]]-Tabla1[[#This Row],[Fatalities]]</f>
        <v>1</v>
      </c>
      <c r="W2162" s="50">
        <f>IFERROR(Tabla1[[#This Row],[Fatalities]]/Tabla1[[#This Row],[Aboard]],0)</f>
        <v>0.8</v>
      </c>
      <c r="X2162" s="51" t="str" cm="1">
        <f t="array" ref="X2162">_xlfn.IFS(Tabla1[[#This Row],[Porcentaje de muertes]]&lt;0.35,"LEVE",AND(Tabla1[[#This Row],[Porcentaje de muertes]]&gt;0.35,Tabla1[[#This Row],[Porcentaje de muertes]]&lt;0.65),"MEDIO",Tabla1[[#This Row],[Porcentaje de muertes]]&gt;0.65,"GRAVE")</f>
        <v>GRAVE</v>
      </c>
    </row>
    <row r="2163" spans="2:24" x14ac:dyDescent="0.3">
      <c r="B2163" s="9">
        <v>2162</v>
      </c>
      <c r="C2163" s="49">
        <v>24055</v>
      </c>
      <c r="D2163" s="9">
        <f>YEAR(Tabla1[[#This Row],[Date]])</f>
        <v>1965</v>
      </c>
      <c r="E2163" s="9" t="str" cm="1">
        <f t="array" ref="E2163">IFERROR(_xlfn.IFS(AND(D2163&lt;1980,D2163&gt;=1970),"70",AND(D2163&lt;1990,D2163&gt;=1980),"80",AND(D2163&lt;2000,D2163&gt;=1990),"90",AND(D2163&lt;2010,D2163&gt;=2000),"00",AND(D2163&lt;=2019,D2163&gt;=2010),"10"),"1908-1970")</f>
        <v>1908-1970</v>
      </c>
      <c r="F2163" s="3">
        <v>0.68402777777777779</v>
      </c>
      <c r="G2163" t="s">
        <v>14450</v>
      </c>
      <c r="H2163" t="s">
        <v>14451</v>
      </c>
      <c r="I2163">
        <v>60</v>
      </c>
      <c r="J2163" t="s">
        <v>14452</v>
      </c>
      <c r="K2163" t="s">
        <v>6970</v>
      </c>
      <c r="L2163" s="7" t="s">
        <v>14453</v>
      </c>
      <c r="M2163">
        <v>1926</v>
      </c>
      <c r="N2163">
        <v>11</v>
      </c>
      <c r="O2163">
        <v>8</v>
      </c>
      <c r="P2163">
        <v>3</v>
      </c>
      <c r="Q2163">
        <v>11</v>
      </c>
      <c r="R2163">
        <v>8</v>
      </c>
      <c r="S2163">
        <v>3</v>
      </c>
      <c r="T2163">
        <v>0</v>
      </c>
      <c r="U2163" t="s">
        <v>14454</v>
      </c>
      <c r="V2163">
        <f>Tabla1[[#This Row],[Aboard]]-Tabla1[[#This Row],[Fatalities]]</f>
        <v>0</v>
      </c>
      <c r="W2163" s="50">
        <f>IFERROR(Tabla1[[#This Row],[Fatalities]]/Tabla1[[#This Row],[Aboard]],0)</f>
        <v>1</v>
      </c>
      <c r="X2163" s="51" t="str" cm="1">
        <f t="array" ref="X2163">_xlfn.IFS(Tabla1[[#This Row],[Porcentaje de muertes]]&lt;0.35,"LEVE",AND(Tabla1[[#This Row],[Porcentaje de muertes]]&gt;0.35,Tabla1[[#This Row],[Porcentaje de muertes]]&lt;0.65),"MEDIO",Tabla1[[#This Row],[Porcentaje de muertes]]&gt;0.65,"GRAVE")</f>
        <v>GRAVE</v>
      </c>
    </row>
    <row r="2164" spans="2:24" x14ac:dyDescent="0.3">
      <c r="B2164" s="9">
        <v>2163</v>
      </c>
      <c r="C2164" s="49">
        <v>23999</v>
      </c>
      <c r="D2164" s="9">
        <f>YEAR(Tabla1[[#This Row],[Date]])</f>
        <v>1965</v>
      </c>
      <c r="E2164" s="9" t="str" cm="1">
        <f t="array" ref="E2164">IFERROR(_xlfn.IFS(AND(D2164&lt;1980,D2164&gt;=1970),"70",AND(D2164&lt;1990,D2164&gt;=1980),"80",AND(D2164&lt;2000,D2164&gt;=1990),"90",AND(D2164&lt;2010,D2164&gt;=2000),"00",AND(D2164&lt;=2019,D2164&gt;=2010),"10"),"1908-1970")</f>
        <v>1908-1970</v>
      </c>
      <c r="F2164" s="3" t="s">
        <v>28931</v>
      </c>
      <c r="G2164" t="s">
        <v>14455</v>
      </c>
      <c r="H2164" t="s">
        <v>13000</v>
      </c>
      <c r="I2164" t="s">
        <v>28931</v>
      </c>
      <c r="J2164" t="s">
        <v>14456</v>
      </c>
      <c r="K2164" t="s">
        <v>7057</v>
      </c>
      <c r="L2164" s="7" t="s">
        <v>14457</v>
      </c>
      <c r="M2164">
        <v>12000</v>
      </c>
      <c r="N2164">
        <v>17</v>
      </c>
      <c r="O2164">
        <v>14</v>
      </c>
      <c r="P2164">
        <v>3</v>
      </c>
      <c r="Q2164">
        <v>17</v>
      </c>
      <c r="R2164">
        <v>14</v>
      </c>
      <c r="S2164">
        <v>3</v>
      </c>
      <c r="T2164">
        <v>0</v>
      </c>
      <c r="U2164" t="s">
        <v>28927</v>
      </c>
      <c r="V2164">
        <f>Tabla1[[#This Row],[Aboard]]-Tabla1[[#This Row],[Fatalities]]</f>
        <v>0</v>
      </c>
      <c r="W2164" s="50">
        <f>IFERROR(Tabla1[[#This Row],[Fatalities]]/Tabla1[[#This Row],[Aboard]],0)</f>
        <v>1</v>
      </c>
      <c r="X2164" s="51" t="str" cm="1">
        <f t="array" ref="X2164">_xlfn.IFS(Tabla1[[#This Row],[Porcentaje de muertes]]&lt;0.35,"LEVE",AND(Tabla1[[#This Row],[Porcentaje de muertes]]&gt;0.35,Tabla1[[#This Row],[Porcentaje de muertes]]&lt;0.65),"MEDIO",Tabla1[[#This Row],[Porcentaje de muertes]]&gt;0.65,"GRAVE")</f>
        <v>GRAVE</v>
      </c>
    </row>
    <row r="2165" spans="2:24" x14ac:dyDescent="0.3">
      <c r="B2165" s="9">
        <v>2164</v>
      </c>
      <c r="C2165" s="49">
        <v>24001</v>
      </c>
      <c r="D2165" s="9">
        <f>YEAR(Tabla1[[#This Row],[Date]])</f>
        <v>1965</v>
      </c>
      <c r="E2165" s="9" t="str" cm="1">
        <f t="array" ref="E2165">IFERROR(_xlfn.IFS(AND(D2165&lt;1980,D2165&gt;=1970),"70",AND(D2165&lt;1990,D2165&gt;=1980),"80",AND(D2165&lt;2000,D2165&gt;=1990),"90",AND(D2165&lt;2010,D2165&gt;=2000),"00",AND(D2165&lt;=2019,D2165&gt;=2010),"10"),"1908-1970")</f>
        <v>1908-1970</v>
      </c>
      <c r="F2165" s="3" t="s">
        <v>28931</v>
      </c>
      <c r="G2165" t="s">
        <v>14458</v>
      </c>
      <c r="H2165" t="s">
        <v>11339</v>
      </c>
      <c r="I2165" t="s">
        <v>28931</v>
      </c>
      <c r="J2165" t="s">
        <v>14459</v>
      </c>
      <c r="K2165" t="s">
        <v>7057</v>
      </c>
      <c r="L2165" s="7" t="s">
        <v>14460</v>
      </c>
      <c r="M2165">
        <v>20301</v>
      </c>
      <c r="N2165">
        <v>39</v>
      </c>
      <c r="O2165">
        <v>36</v>
      </c>
      <c r="P2165">
        <v>3</v>
      </c>
      <c r="Q2165">
        <v>38</v>
      </c>
      <c r="R2165">
        <v>35</v>
      </c>
      <c r="S2165">
        <v>3</v>
      </c>
      <c r="T2165">
        <v>0</v>
      </c>
      <c r="U2165" t="s">
        <v>14461</v>
      </c>
      <c r="V2165">
        <f>Tabla1[[#This Row],[Aboard]]-Tabla1[[#This Row],[Fatalities]]</f>
        <v>1</v>
      </c>
      <c r="W2165" s="50">
        <f>IFERROR(Tabla1[[#This Row],[Fatalities]]/Tabla1[[#This Row],[Aboard]],0)</f>
        <v>0.97435897435897434</v>
      </c>
      <c r="X2165" s="51" t="str" cm="1">
        <f t="array" ref="X2165">_xlfn.IFS(Tabla1[[#This Row],[Porcentaje de muertes]]&lt;0.35,"LEVE",AND(Tabla1[[#This Row],[Porcentaje de muertes]]&gt;0.35,Tabla1[[#This Row],[Porcentaje de muertes]]&lt;0.65),"MEDIO",Tabla1[[#This Row],[Porcentaje de muertes]]&gt;0.65,"GRAVE")</f>
        <v>GRAVE</v>
      </c>
    </row>
    <row r="2166" spans="2:24" x14ac:dyDescent="0.3">
      <c r="B2166" s="9">
        <v>2165</v>
      </c>
      <c r="C2166" s="49">
        <v>24001</v>
      </c>
      <c r="D2166" s="9">
        <f>YEAR(Tabla1[[#This Row],[Date]])</f>
        <v>1965</v>
      </c>
      <c r="E2166" s="9" t="str" cm="1">
        <f t="array" ref="E2166">IFERROR(_xlfn.IFS(AND(D2166&lt;1980,D2166&gt;=1970),"70",AND(D2166&lt;1990,D2166&gt;=1980),"80",AND(D2166&lt;2000,D2166&gt;=1990),"90",AND(D2166&lt;2010,D2166&gt;=2000),"00",AND(D2166&lt;=2019,D2166&gt;=2010),"10"),"1908-1970")</f>
        <v>1908-1970</v>
      </c>
      <c r="F2166" s="3">
        <v>0.4597222222222222</v>
      </c>
      <c r="G2166" t="s">
        <v>14462</v>
      </c>
      <c r="H2166" t="s">
        <v>14463</v>
      </c>
      <c r="I2166" t="s">
        <v>28931</v>
      </c>
      <c r="J2166" t="s">
        <v>14464</v>
      </c>
      <c r="K2166" t="s">
        <v>14465</v>
      </c>
      <c r="L2166" s="7" t="s">
        <v>14466</v>
      </c>
      <c r="M2166" t="s">
        <v>14467</v>
      </c>
      <c r="N2166">
        <v>11</v>
      </c>
      <c r="O2166">
        <v>8</v>
      </c>
      <c r="P2166">
        <v>3</v>
      </c>
      <c r="Q2166">
        <v>9</v>
      </c>
      <c r="R2166">
        <v>6</v>
      </c>
      <c r="S2166">
        <v>3</v>
      </c>
      <c r="T2166">
        <v>0</v>
      </c>
      <c r="U2166" t="s">
        <v>7476</v>
      </c>
      <c r="V2166">
        <f>Tabla1[[#This Row],[Aboard]]-Tabla1[[#This Row],[Fatalities]]</f>
        <v>2</v>
      </c>
      <c r="W2166" s="50">
        <f>IFERROR(Tabla1[[#This Row],[Fatalities]]/Tabla1[[#This Row],[Aboard]],0)</f>
        <v>0.81818181818181823</v>
      </c>
      <c r="X2166" s="51" t="str" cm="1">
        <f t="array" ref="X2166">_xlfn.IFS(Tabla1[[#This Row],[Porcentaje de muertes]]&lt;0.35,"LEVE",AND(Tabla1[[#This Row],[Porcentaje de muertes]]&gt;0.35,Tabla1[[#This Row],[Porcentaje de muertes]]&lt;0.65),"MEDIO",Tabla1[[#This Row],[Porcentaje de muertes]]&gt;0.65,"GRAVE")</f>
        <v>GRAVE</v>
      </c>
    </row>
    <row r="2167" spans="2:24" x14ac:dyDescent="0.3">
      <c r="B2167" s="9">
        <v>2166</v>
      </c>
      <c r="C2167" s="49">
        <v>24002</v>
      </c>
      <c r="D2167" s="9">
        <f>YEAR(Tabla1[[#This Row],[Date]])</f>
        <v>1965</v>
      </c>
      <c r="E2167" s="9" t="str" cm="1">
        <f t="array" ref="E2167">IFERROR(_xlfn.IFS(AND(D2167&lt;1980,D2167&gt;=1970),"70",AND(D2167&lt;1990,D2167&gt;=1980),"80",AND(D2167&lt;2000,D2167&gt;=1990),"90",AND(D2167&lt;2010,D2167&gt;=2000),"00",AND(D2167&lt;=2019,D2167&gt;=2010),"10"),"1908-1970")</f>
        <v>1908-1970</v>
      </c>
      <c r="F2167" s="3">
        <v>0.47569444444444442</v>
      </c>
      <c r="G2167" t="s">
        <v>14468</v>
      </c>
      <c r="H2167" t="s">
        <v>7121</v>
      </c>
      <c r="I2167">
        <v>292</v>
      </c>
      <c r="J2167" t="s">
        <v>14469</v>
      </c>
      <c r="K2167" t="s">
        <v>14470</v>
      </c>
      <c r="L2167" s="7" t="s">
        <v>14471</v>
      </c>
      <c r="M2167" t="s">
        <v>14472</v>
      </c>
      <c r="N2167">
        <v>30</v>
      </c>
      <c r="O2167">
        <v>21</v>
      </c>
      <c r="P2167">
        <v>9</v>
      </c>
      <c r="Q2167">
        <v>30</v>
      </c>
      <c r="R2167">
        <v>21</v>
      </c>
      <c r="S2167">
        <v>9</v>
      </c>
      <c r="T2167">
        <v>0</v>
      </c>
      <c r="U2167" t="s">
        <v>14473</v>
      </c>
      <c r="V2167">
        <f>Tabla1[[#This Row],[Aboard]]-Tabla1[[#This Row],[Fatalities]]</f>
        <v>0</v>
      </c>
      <c r="W2167" s="50">
        <f>IFERROR(Tabla1[[#This Row],[Fatalities]]/Tabla1[[#This Row],[Aboard]],0)</f>
        <v>1</v>
      </c>
      <c r="X2167" s="51" t="str" cm="1">
        <f t="array" ref="X2167">_xlfn.IFS(Tabla1[[#This Row],[Porcentaje de muertes]]&lt;0.35,"LEVE",AND(Tabla1[[#This Row],[Porcentaje de muertes]]&gt;0.35,Tabla1[[#This Row],[Porcentaje de muertes]]&lt;0.65),"MEDIO",Tabla1[[#This Row],[Porcentaje de muertes]]&gt;0.65,"GRAVE")</f>
        <v>GRAVE</v>
      </c>
    </row>
    <row r="2168" spans="2:24" x14ac:dyDescent="0.3">
      <c r="B2168" s="9">
        <v>2167</v>
      </c>
      <c r="C2168" s="49">
        <v>24012</v>
      </c>
      <c r="D2168" s="9">
        <f>YEAR(Tabla1[[#This Row],[Date]])</f>
        <v>1965</v>
      </c>
      <c r="E2168" s="9" t="str" cm="1">
        <f t="array" ref="E2168">IFERROR(_xlfn.IFS(AND(D2168&lt;1980,D2168&gt;=1970),"70",AND(D2168&lt;1990,D2168&gt;=1980),"80",AND(D2168&lt;2000,D2168&gt;=1990),"90",AND(D2168&lt;2010,D2168&gt;=2000),"00",AND(D2168&lt;=2019,D2168&gt;=2010),"10"),"1908-1970")</f>
        <v>1908-1970</v>
      </c>
      <c r="F2168" s="3">
        <v>0.63194444444444442</v>
      </c>
      <c r="G2168" t="s">
        <v>14474</v>
      </c>
      <c r="H2168" t="s">
        <v>13917</v>
      </c>
      <c r="I2168" t="s">
        <v>28931</v>
      </c>
      <c r="J2168" t="s">
        <v>28931</v>
      </c>
      <c r="K2168" t="s">
        <v>14475</v>
      </c>
      <c r="L2168" s="7" t="s">
        <v>14476</v>
      </c>
      <c r="M2168" t="s">
        <v>14477</v>
      </c>
      <c r="N2168">
        <v>3</v>
      </c>
      <c r="O2168">
        <v>1</v>
      </c>
      <c r="P2168">
        <v>2</v>
      </c>
      <c r="Q2168">
        <v>3</v>
      </c>
      <c r="R2168">
        <v>1</v>
      </c>
      <c r="S2168">
        <v>2</v>
      </c>
      <c r="T2168">
        <v>0</v>
      </c>
      <c r="U2168" t="s">
        <v>14478</v>
      </c>
      <c r="V2168">
        <f>Tabla1[[#This Row],[Aboard]]-Tabla1[[#This Row],[Fatalities]]</f>
        <v>0</v>
      </c>
      <c r="W2168" s="50">
        <f>IFERROR(Tabla1[[#This Row],[Fatalities]]/Tabla1[[#This Row],[Aboard]],0)</f>
        <v>1</v>
      </c>
      <c r="X2168" s="51" t="str" cm="1">
        <f t="array" ref="X2168">_xlfn.IFS(Tabla1[[#This Row],[Porcentaje de muertes]]&lt;0.35,"LEVE",AND(Tabla1[[#This Row],[Porcentaje de muertes]]&gt;0.35,Tabla1[[#This Row],[Porcentaje de muertes]]&lt;0.65),"MEDIO",Tabla1[[#This Row],[Porcentaje de muertes]]&gt;0.65,"GRAVE")</f>
        <v>GRAVE</v>
      </c>
    </row>
    <row r="2169" spans="2:24" x14ac:dyDescent="0.3">
      <c r="B2169" s="9">
        <v>2168</v>
      </c>
      <c r="C2169" s="49">
        <v>23964</v>
      </c>
      <c r="D2169" s="9">
        <f>YEAR(Tabla1[[#This Row],[Date]])</f>
        <v>1965</v>
      </c>
      <c r="E2169" s="9" t="str" cm="1">
        <f t="array" ref="E2169">IFERROR(_xlfn.IFS(AND(D2169&lt;1980,D2169&gt;=1970),"70",AND(D2169&lt;1990,D2169&gt;=1980),"80",AND(D2169&lt;2000,D2169&gt;=1990),"90",AND(D2169&lt;2010,D2169&gt;=2000),"00",AND(D2169&lt;=2019,D2169&gt;=2010),"10"),"1908-1970")</f>
        <v>1908-1970</v>
      </c>
      <c r="F2169" s="3">
        <v>0.27083333333333331</v>
      </c>
      <c r="G2169" t="s">
        <v>14479</v>
      </c>
      <c r="H2169" t="s">
        <v>11736</v>
      </c>
      <c r="I2169" t="s">
        <v>28931</v>
      </c>
      <c r="J2169" t="s">
        <v>14480</v>
      </c>
      <c r="K2169" t="s">
        <v>14481</v>
      </c>
      <c r="L2169" s="7" t="s">
        <v>14482</v>
      </c>
      <c r="M2169">
        <v>10279</v>
      </c>
      <c r="N2169">
        <v>4</v>
      </c>
      <c r="O2169">
        <v>0</v>
      </c>
      <c r="P2169">
        <v>4</v>
      </c>
      <c r="Q2169">
        <v>4</v>
      </c>
      <c r="R2169">
        <v>0</v>
      </c>
      <c r="S2169">
        <v>4</v>
      </c>
      <c r="T2169">
        <v>0</v>
      </c>
      <c r="U2169" t="s">
        <v>14483</v>
      </c>
      <c r="V2169">
        <f>Tabla1[[#This Row],[Aboard]]-Tabla1[[#This Row],[Fatalities]]</f>
        <v>0</v>
      </c>
      <c r="W2169" s="50">
        <f>IFERROR(Tabla1[[#This Row],[Fatalities]]/Tabla1[[#This Row],[Aboard]],0)</f>
        <v>1</v>
      </c>
      <c r="X2169" s="51" t="str" cm="1">
        <f t="array" ref="X2169">_xlfn.IFS(Tabla1[[#This Row],[Porcentaje de muertes]]&lt;0.35,"LEVE",AND(Tabla1[[#This Row],[Porcentaje de muertes]]&gt;0.35,Tabla1[[#This Row],[Porcentaje de muertes]]&lt;0.65),"MEDIO",Tabla1[[#This Row],[Porcentaje de muertes]]&gt;0.65,"GRAVE")</f>
        <v>GRAVE</v>
      </c>
    </row>
    <row r="2170" spans="2:24" x14ac:dyDescent="0.3">
      <c r="B2170" s="9">
        <v>2169</v>
      </c>
      <c r="C2170" s="49">
        <v>24032</v>
      </c>
      <c r="D2170" s="9">
        <f>YEAR(Tabla1[[#This Row],[Date]])</f>
        <v>1965</v>
      </c>
      <c r="E2170" s="9" t="str" cm="1">
        <f t="array" ref="E2170">IFERROR(_xlfn.IFS(AND(D2170&lt;1980,D2170&gt;=1970),"70",AND(D2170&lt;1990,D2170&gt;=1980),"80",AND(D2170&lt;2000,D2170&gt;=1990),"90",AND(D2170&lt;2010,D2170&gt;=2000),"00",AND(D2170&lt;=2019,D2170&gt;=2010),"10"),"1908-1970")</f>
        <v>1908-1970</v>
      </c>
      <c r="F2170" s="3" t="s">
        <v>28931</v>
      </c>
      <c r="G2170" t="s">
        <v>14484</v>
      </c>
      <c r="H2170" t="s">
        <v>8976</v>
      </c>
      <c r="I2170" t="s">
        <v>28931</v>
      </c>
      <c r="J2170" t="s">
        <v>14343</v>
      </c>
      <c r="K2170" t="s">
        <v>14485</v>
      </c>
      <c r="L2170" s="7" t="s">
        <v>14486</v>
      </c>
      <c r="M2170">
        <v>6182</v>
      </c>
      <c r="N2170">
        <v>19</v>
      </c>
      <c r="O2170">
        <v>15</v>
      </c>
      <c r="P2170">
        <v>4</v>
      </c>
      <c r="Q2170">
        <v>19</v>
      </c>
      <c r="R2170">
        <v>15</v>
      </c>
      <c r="S2170">
        <v>4</v>
      </c>
      <c r="T2170">
        <v>0</v>
      </c>
      <c r="U2170" t="s">
        <v>14487</v>
      </c>
      <c r="V2170">
        <f>Tabla1[[#This Row],[Aboard]]-Tabla1[[#This Row],[Fatalities]]</f>
        <v>0</v>
      </c>
      <c r="W2170" s="50">
        <f>IFERROR(Tabla1[[#This Row],[Fatalities]]/Tabla1[[#This Row],[Aboard]],0)</f>
        <v>1</v>
      </c>
      <c r="X2170" s="51" t="str" cm="1">
        <f t="array" ref="X2170">_xlfn.IFS(Tabla1[[#This Row],[Porcentaje de muertes]]&lt;0.35,"LEVE",AND(Tabla1[[#This Row],[Porcentaje de muertes]]&gt;0.35,Tabla1[[#This Row],[Porcentaje de muertes]]&lt;0.65),"MEDIO",Tabla1[[#This Row],[Porcentaje de muertes]]&gt;0.65,"GRAVE")</f>
        <v>GRAVE</v>
      </c>
    </row>
    <row r="2171" spans="2:24" x14ac:dyDescent="0.3">
      <c r="B2171" s="9">
        <v>2170</v>
      </c>
      <c r="C2171" s="49">
        <v>24033</v>
      </c>
      <c r="D2171" s="9">
        <f>YEAR(Tabla1[[#This Row],[Date]])</f>
        <v>1965</v>
      </c>
      <c r="E2171" s="9" t="str" cm="1">
        <f t="array" ref="E2171">IFERROR(_xlfn.IFS(AND(D2171&lt;1980,D2171&gt;=1970),"70",AND(D2171&lt;1990,D2171&gt;=1980),"80",AND(D2171&lt;2000,D2171&gt;=1990),"90",AND(D2171&lt;2010,D2171&gt;=2000),"00",AND(D2171&lt;=2019,D2171&gt;=2010),"10"),"1908-1970")</f>
        <v>1908-1970</v>
      </c>
      <c r="F2171" s="3">
        <v>0.6875</v>
      </c>
      <c r="G2171" t="s">
        <v>14488</v>
      </c>
      <c r="H2171" t="s">
        <v>14489</v>
      </c>
      <c r="I2171" t="s">
        <v>28931</v>
      </c>
      <c r="J2171" t="s">
        <v>14490</v>
      </c>
      <c r="K2171" t="s">
        <v>14491</v>
      </c>
      <c r="L2171" s="7" t="s">
        <v>14492</v>
      </c>
      <c r="M2171">
        <v>1996</v>
      </c>
      <c r="N2171">
        <v>13</v>
      </c>
      <c r="O2171">
        <v>9</v>
      </c>
      <c r="P2171">
        <v>4</v>
      </c>
      <c r="Q2171">
        <v>13</v>
      </c>
      <c r="R2171">
        <v>9</v>
      </c>
      <c r="S2171">
        <v>4</v>
      </c>
      <c r="T2171">
        <v>0</v>
      </c>
      <c r="U2171" t="s">
        <v>14461</v>
      </c>
      <c r="V2171">
        <f>Tabla1[[#This Row],[Aboard]]-Tabla1[[#This Row],[Fatalities]]</f>
        <v>0</v>
      </c>
      <c r="W2171" s="50">
        <f>IFERROR(Tabla1[[#This Row],[Fatalities]]/Tabla1[[#This Row],[Aboard]],0)</f>
        <v>1</v>
      </c>
      <c r="X2171" s="51" t="str" cm="1">
        <f t="array" ref="X2171">_xlfn.IFS(Tabla1[[#This Row],[Porcentaje de muertes]]&lt;0.35,"LEVE",AND(Tabla1[[#This Row],[Porcentaje de muertes]]&gt;0.35,Tabla1[[#This Row],[Porcentaje de muertes]]&lt;0.65),"MEDIO",Tabla1[[#This Row],[Porcentaje de muertes]]&gt;0.65,"GRAVE")</f>
        <v>GRAVE</v>
      </c>
    </row>
    <row r="2172" spans="2:24" x14ac:dyDescent="0.3">
      <c r="B2172" s="9">
        <v>2171</v>
      </c>
      <c r="C2172" s="49">
        <v>24035</v>
      </c>
      <c r="D2172" s="9">
        <f>YEAR(Tabla1[[#This Row],[Date]])</f>
        <v>1965</v>
      </c>
      <c r="E2172" s="9" t="str" cm="1">
        <f t="array" ref="E2172">IFERROR(_xlfn.IFS(AND(D2172&lt;1980,D2172&gt;=1970),"70",AND(D2172&lt;1990,D2172&gt;=1980),"80",AND(D2172&lt;2000,D2172&gt;=1990),"90",AND(D2172&lt;2010,D2172&gt;=2000),"00",AND(D2172&lt;=2019,D2172&gt;=2010),"10"),"1908-1970")</f>
        <v>1908-1970</v>
      </c>
      <c r="F2172" s="3">
        <v>0.43958333333333338</v>
      </c>
      <c r="G2172" t="s">
        <v>14493</v>
      </c>
      <c r="H2172" t="s">
        <v>8992</v>
      </c>
      <c r="I2172">
        <v>741</v>
      </c>
      <c r="J2172" t="s">
        <v>14494</v>
      </c>
      <c r="K2172" t="s">
        <v>7057</v>
      </c>
      <c r="L2172" s="7" t="s">
        <v>14495</v>
      </c>
      <c r="M2172">
        <v>13403</v>
      </c>
      <c r="N2172">
        <v>37</v>
      </c>
      <c r="O2172">
        <v>34</v>
      </c>
      <c r="P2172">
        <v>3</v>
      </c>
      <c r="Q2172">
        <v>1</v>
      </c>
      <c r="R2172">
        <v>1</v>
      </c>
      <c r="S2172">
        <v>0</v>
      </c>
      <c r="T2172">
        <v>0</v>
      </c>
      <c r="U2172" t="s">
        <v>14496</v>
      </c>
      <c r="V2172">
        <f>Tabla1[[#This Row],[Aboard]]-Tabla1[[#This Row],[Fatalities]]</f>
        <v>36</v>
      </c>
      <c r="W2172" s="50">
        <f>IFERROR(Tabla1[[#This Row],[Fatalities]]/Tabla1[[#This Row],[Aboard]],0)</f>
        <v>2.7027027027027029E-2</v>
      </c>
      <c r="X2172" s="51" t="str" cm="1">
        <f t="array" ref="X2172">_xlfn.IFS(Tabla1[[#This Row],[Porcentaje de muertes]]&lt;0.35,"LEVE",AND(Tabla1[[#This Row],[Porcentaje de muertes]]&gt;0.35,Tabla1[[#This Row],[Porcentaje de muertes]]&lt;0.65),"MEDIO",Tabla1[[#This Row],[Porcentaje de muertes]]&gt;0.65,"GRAVE")</f>
        <v>LEVE</v>
      </c>
    </row>
    <row r="2173" spans="2:24" x14ac:dyDescent="0.3">
      <c r="B2173" s="9">
        <v>2172</v>
      </c>
      <c r="C2173" s="49">
        <v>24042</v>
      </c>
      <c r="D2173" s="9">
        <f>YEAR(Tabla1[[#This Row],[Date]])</f>
        <v>1965</v>
      </c>
      <c r="E2173" s="9" t="str" cm="1">
        <f t="array" ref="E2173">IFERROR(_xlfn.IFS(AND(D2173&lt;1980,D2173&gt;=1970),"70",AND(D2173&lt;1990,D2173&gt;=1980),"80",AND(D2173&lt;2000,D2173&gt;=1990),"90",AND(D2173&lt;2010,D2173&gt;=2000),"00",AND(D2173&lt;=2019,D2173&gt;=2010),"10"),"1908-1970")</f>
        <v>1908-1970</v>
      </c>
      <c r="F2173" s="3">
        <v>5.7638888888888885E-2</v>
      </c>
      <c r="G2173" t="s">
        <v>5174</v>
      </c>
      <c r="H2173" t="s">
        <v>8721</v>
      </c>
      <c r="I2173" t="s">
        <v>28931</v>
      </c>
      <c r="J2173" t="s">
        <v>14497</v>
      </c>
      <c r="K2173" t="s">
        <v>14498</v>
      </c>
      <c r="L2173" s="7" t="s">
        <v>14499</v>
      </c>
      <c r="M2173">
        <v>708</v>
      </c>
      <c r="N2173">
        <v>36</v>
      </c>
      <c r="O2173">
        <v>30</v>
      </c>
      <c r="P2173">
        <v>6</v>
      </c>
      <c r="Q2173">
        <v>36</v>
      </c>
      <c r="R2173">
        <v>30</v>
      </c>
      <c r="S2173">
        <v>6</v>
      </c>
      <c r="T2173">
        <v>0</v>
      </c>
      <c r="U2173" t="s">
        <v>14500</v>
      </c>
      <c r="V2173">
        <f>Tabla1[[#This Row],[Aboard]]-Tabla1[[#This Row],[Fatalities]]</f>
        <v>0</v>
      </c>
      <c r="W2173" s="50">
        <f>IFERROR(Tabla1[[#This Row],[Fatalities]]/Tabla1[[#This Row],[Aboard]],0)</f>
        <v>1</v>
      </c>
      <c r="X2173" s="51" t="str" cm="1">
        <f t="array" ref="X2173">_xlfn.IFS(Tabla1[[#This Row],[Porcentaje de muertes]]&lt;0.35,"LEVE",AND(Tabla1[[#This Row],[Porcentaje de muertes]]&gt;0.35,Tabla1[[#This Row],[Porcentaje de muertes]]&lt;0.65),"MEDIO",Tabla1[[#This Row],[Porcentaje de muertes]]&gt;0.65,"GRAVE")</f>
        <v>GRAVE</v>
      </c>
    </row>
    <row r="2174" spans="2:24" x14ac:dyDescent="0.3">
      <c r="B2174" s="9">
        <v>2173</v>
      </c>
      <c r="C2174" s="49">
        <v>23784</v>
      </c>
      <c r="D2174" s="9">
        <f>YEAR(Tabla1[[#This Row],[Date]])</f>
        <v>1965</v>
      </c>
      <c r="E2174" s="9" t="str" cm="1">
        <f t="array" ref="E2174">IFERROR(_xlfn.IFS(AND(D2174&lt;1980,D2174&gt;=1970),"70",AND(D2174&lt;1990,D2174&gt;=1980),"80",AND(D2174&lt;2000,D2174&gt;=1990),"90",AND(D2174&lt;2010,D2174&gt;=2000),"00",AND(D2174&lt;=2019,D2174&gt;=2010),"10"),"1908-1970")</f>
        <v>1908-1970</v>
      </c>
      <c r="F2174" s="3" t="s">
        <v>28931</v>
      </c>
      <c r="G2174" t="s">
        <v>14501</v>
      </c>
      <c r="H2174" t="s">
        <v>13495</v>
      </c>
      <c r="I2174" t="s">
        <v>28931</v>
      </c>
      <c r="J2174" t="s">
        <v>14502</v>
      </c>
      <c r="K2174" t="s">
        <v>8105</v>
      </c>
      <c r="L2174" s="7">
        <v>316410</v>
      </c>
      <c r="M2174">
        <v>20876</v>
      </c>
      <c r="N2174">
        <v>30</v>
      </c>
      <c r="O2174">
        <v>25</v>
      </c>
      <c r="P2174">
        <v>5</v>
      </c>
      <c r="Q2174">
        <v>30</v>
      </c>
      <c r="R2174">
        <v>25</v>
      </c>
      <c r="S2174">
        <v>5</v>
      </c>
      <c r="T2174">
        <v>0</v>
      </c>
      <c r="U2174" t="s">
        <v>14503</v>
      </c>
      <c r="V2174">
        <f>Tabla1[[#This Row],[Aboard]]-Tabla1[[#This Row],[Fatalities]]</f>
        <v>0</v>
      </c>
      <c r="W2174" s="50">
        <f>IFERROR(Tabla1[[#This Row],[Fatalities]]/Tabla1[[#This Row],[Aboard]],0)</f>
        <v>1</v>
      </c>
      <c r="X2174" s="51" t="str" cm="1">
        <f t="array" ref="X2174">_xlfn.IFS(Tabla1[[#This Row],[Porcentaje de muertes]]&lt;0.35,"LEVE",AND(Tabla1[[#This Row],[Porcentaje de muertes]]&gt;0.35,Tabla1[[#This Row],[Porcentaje de muertes]]&lt;0.65),"MEDIO",Tabla1[[#This Row],[Porcentaje de muertes]]&gt;0.65,"GRAVE")</f>
        <v>GRAVE</v>
      </c>
    </row>
    <row r="2175" spans="2:24" x14ac:dyDescent="0.3">
      <c r="B2175" s="9">
        <v>2174</v>
      </c>
      <c r="C2175" s="49">
        <v>23812</v>
      </c>
      <c r="D2175" s="9">
        <f>YEAR(Tabla1[[#This Row],[Date]])</f>
        <v>1965</v>
      </c>
      <c r="E2175" s="9" t="str" cm="1">
        <f t="array" ref="E2175">IFERROR(_xlfn.IFS(AND(D2175&lt;1980,D2175&gt;=1970),"70",AND(D2175&lt;1990,D2175&gt;=1980),"80",AND(D2175&lt;2000,D2175&gt;=1990),"90",AND(D2175&lt;2010,D2175&gt;=2000),"00",AND(D2175&lt;=2019,D2175&gt;=2010),"10"),"1908-1970")</f>
        <v>1908-1970</v>
      </c>
      <c r="F2175" s="3">
        <v>0.3125</v>
      </c>
      <c r="G2175" t="s">
        <v>14504</v>
      </c>
      <c r="H2175" t="s">
        <v>13144</v>
      </c>
      <c r="I2175" t="s">
        <v>28931</v>
      </c>
      <c r="J2175" t="s">
        <v>14505</v>
      </c>
      <c r="K2175" t="s">
        <v>8513</v>
      </c>
      <c r="L2175" s="7" t="s">
        <v>14506</v>
      </c>
      <c r="M2175">
        <v>983</v>
      </c>
      <c r="N2175">
        <v>68</v>
      </c>
      <c r="O2175">
        <v>59</v>
      </c>
      <c r="P2175">
        <v>9</v>
      </c>
      <c r="Q2175">
        <v>68</v>
      </c>
      <c r="R2175">
        <v>59</v>
      </c>
      <c r="S2175">
        <v>9</v>
      </c>
      <c r="T2175">
        <v>0</v>
      </c>
      <c r="U2175" t="s">
        <v>14507</v>
      </c>
      <c r="V2175">
        <f>Tabla1[[#This Row],[Aboard]]-Tabla1[[#This Row],[Fatalities]]</f>
        <v>0</v>
      </c>
      <c r="W2175" s="50">
        <f>IFERROR(Tabla1[[#This Row],[Fatalities]]/Tabla1[[#This Row],[Aboard]],0)</f>
        <v>1</v>
      </c>
      <c r="X2175" s="51" t="str" cm="1">
        <f t="array" ref="X2175">_xlfn.IFS(Tabla1[[#This Row],[Porcentaje de muertes]]&lt;0.35,"LEVE",AND(Tabla1[[#This Row],[Porcentaje de muertes]]&gt;0.35,Tabla1[[#This Row],[Porcentaje de muertes]]&lt;0.65),"MEDIO",Tabla1[[#This Row],[Porcentaje de muertes]]&gt;0.65,"GRAVE")</f>
        <v>GRAVE</v>
      </c>
    </row>
    <row r="2176" spans="2:24" x14ac:dyDescent="0.3">
      <c r="B2176" s="9">
        <v>2175</v>
      </c>
      <c r="C2176" s="49">
        <v>23965</v>
      </c>
      <c r="D2176" s="9">
        <f>YEAR(Tabla1[[#This Row],[Date]])</f>
        <v>1965</v>
      </c>
      <c r="E2176" s="9" t="str" cm="1">
        <f t="array" ref="E2176">IFERROR(_xlfn.IFS(AND(D2176&lt;1980,D2176&gt;=1970),"70",AND(D2176&lt;1990,D2176&gt;=1980),"80",AND(D2176&lt;2000,D2176&gt;=1990),"90",AND(D2176&lt;2010,D2176&gt;=2000),"00",AND(D2176&lt;=2019,D2176&gt;=2010),"10"),"1908-1970")</f>
        <v>1908-1970</v>
      </c>
      <c r="F2176" s="3">
        <v>0.79305555555555562</v>
      </c>
      <c r="G2176" t="s">
        <v>14508</v>
      </c>
      <c r="H2176" t="s">
        <v>6536</v>
      </c>
      <c r="I2176">
        <v>383</v>
      </c>
      <c r="J2176" t="s">
        <v>14509</v>
      </c>
      <c r="K2176" t="s">
        <v>14510</v>
      </c>
      <c r="L2176" s="7" t="s">
        <v>14511</v>
      </c>
      <c r="M2176" t="s">
        <v>14512</v>
      </c>
      <c r="N2176">
        <v>62</v>
      </c>
      <c r="O2176">
        <v>56</v>
      </c>
      <c r="P2176">
        <v>6</v>
      </c>
      <c r="Q2176">
        <v>58</v>
      </c>
      <c r="R2176">
        <v>53</v>
      </c>
      <c r="S2176">
        <v>5</v>
      </c>
      <c r="T2176">
        <v>0</v>
      </c>
      <c r="U2176" t="s">
        <v>14513</v>
      </c>
      <c r="V2176">
        <f>Tabla1[[#This Row],[Aboard]]-Tabla1[[#This Row],[Fatalities]]</f>
        <v>4</v>
      </c>
      <c r="W2176" s="50">
        <f>IFERROR(Tabla1[[#This Row],[Fatalities]]/Tabla1[[#This Row],[Aboard]],0)</f>
        <v>0.93548387096774188</v>
      </c>
      <c r="X2176" s="51" t="str" cm="1">
        <f t="array" ref="X2176">_xlfn.IFS(Tabla1[[#This Row],[Porcentaje de muertes]]&lt;0.35,"LEVE",AND(Tabla1[[#This Row],[Porcentaje de muertes]]&gt;0.35,Tabla1[[#This Row],[Porcentaje de muertes]]&lt;0.65),"MEDIO",Tabla1[[#This Row],[Porcentaje de muertes]]&gt;0.65,"GRAVE")</f>
        <v>GRAVE</v>
      </c>
    </row>
    <row r="2177" spans="2:24" x14ac:dyDescent="0.3">
      <c r="B2177" s="9">
        <v>2176</v>
      </c>
      <c r="C2177" s="49">
        <v>23965</v>
      </c>
      <c r="D2177" s="9">
        <f>YEAR(Tabla1[[#This Row],[Date]])</f>
        <v>1965</v>
      </c>
      <c r="E2177" s="9" t="str" cm="1">
        <f t="array" ref="E2177">IFERROR(_xlfn.IFS(AND(D2177&lt;1980,D2177&gt;=1970),"70",AND(D2177&lt;1990,D2177&gt;=1980),"80",AND(D2177&lt;2000,D2177&gt;=1990),"90",AND(D2177&lt;2010,D2177&gt;=2000),"00",AND(D2177&lt;=2019,D2177&gt;=2010),"10"),"1908-1970")</f>
        <v>1908-1970</v>
      </c>
      <c r="F2177" s="3">
        <v>0.51736111111111105</v>
      </c>
      <c r="G2177" t="s">
        <v>14514</v>
      </c>
      <c r="H2177" t="s">
        <v>14515</v>
      </c>
      <c r="I2177" t="s">
        <v>28931</v>
      </c>
      <c r="J2177" t="s">
        <v>14516</v>
      </c>
      <c r="K2177" t="s">
        <v>10070</v>
      </c>
      <c r="L2177" s="7" t="s">
        <v>14517</v>
      </c>
      <c r="M2177">
        <v>4402</v>
      </c>
      <c r="N2177">
        <v>30</v>
      </c>
      <c r="O2177">
        <v>25</v>
      </c>
      <c r="P2177">
        <v>5</v>
      </c>
      <c r="Q2177">
        <v>30</v>
      </c>
      <c r="R2177">
        <v>25</v>
      </c>
      <c r="S2177">
        <v>5</v>
      </c>
      <c r="T2177">
        <v>0</v>
      </c>
      <c r="U2177" t="s">
        <v>14518</v>
      </c>
      <c r="V2177">
        <f>Tabla1[[#This Row],[Aboard]]-Tabla1[[#This Row],[Fatalities]]</f>
        <v>0</v>
      </c>
      <c r="W2177" s="50">
        <f>IFERROR(Tabla1[[#This Row],[Fatalities]]/Tabla1[[#This Row],[Aboard]],0)</f>
        <v>1</v>
      </c>
      <c r="X2177" s="51" t="str" cm="1">
        <f t="array" ref="X2177">_xlfn.IFS(Tabla1[[#This Row],[Porcentaje de muertes]]&lt;0.35,"LEVE",AND(Tabla1[[#This Row],[Porcentaje de muertes]]&gt;0.35,Tabla1[[#This Row],[Porcentaje de muertes]]&lt;0.65),"MEDIO",Tabla1[[#This Row],[Porcentaje de muertes]]&gt;0.65,"GRAVE")</f>
        <v>GRAVE</v>
      </c>
    </row>
    <row r="2178" spans="2:24" x14ac:dyDescent="0.3">
      <c r="B2178" s="9">
        <v>2177</v>
      </c>
      <c r="C2178" s="49">
        <v>24026</v>
      </c>
      <c r="D2178" s="9">
        <f>YEAR(Tabla1[[#This Row],[Date]])</f>
        <v>1965</v>
      </c>
      <c r="E2178" s="9" t="str" cm="1">
        <f t="array" ref="E2178">IFERROR(_xlfn.IFS(AND(D2178&lt;1980,D2178&gt;=1970),"70",AND(D2178&lt;1990,D2178&gt;=1980),"80",AND(D2178&lt;2000,D2178&gt;=1990),"90",AND(D2178&lt;2010,D2178&gt;=2000),"00",AND(D2178&lt;=2019,D2178&gt;=2010),"10"),"1908-1970")</f>
        <v>1908-1970</v>
      </c>
      <c r="F2178" s="3">
        <v>0.6645833333333333</v>
      </c>
      <c r="G2178" t="s">
        <v>14519</v>
      </c>
      <c r="H2178" t="s">
        <v>6541</v>
      </c>
      <c r="I2178">
        <v>99</v>
      </c>
      <c r="J2178" t="s">
        <v>28931</v>
      </c>
      <c r="K2178" t="s">
        <v>14520</v>
      </c>
      <c r="L2178" s="7" t="s">
        <v>14521</v>
      </c>
      <c r="M2178">
        <v>5351801</v>
      </c>
      <c r="N2178">
        <v>64</v>
      </c>
      <c r="O2178">
        <v>57</v>
      </c>
      <c r="P2178">
        <v>7</v>
      </c>
      <c r="Q2178">
        <v>32</v>
      </c>
      <c r="R2178">
        <v>30</v>
      </c>
      <c r="S2178">
        <v>2</v>
      </c>
      <c r="T2178">
        <v>0</v>
      </c>
      <c r="U2178" t="s">
        <v>14522</v>
      </c>
      <c r="V2178">
        <f>Tabla1[[#This Row],[Aboard]]-Tabla1[[#This Row],[Fatalities]]</f>
        <v>32</v>
      </c>
      <c r="W2178" s="50">
        <f>IFERROR(Tabla1[[#This Row],[Fatalities]]/Tabla1[[#This Row],[Aboard]],0)</f>
        <v>0.5</v>
      </c>
      <c r="X2178" s="51" t="str" cm="1">
        <f t="array" ref="X2178">_xlfn.IFS(Tabla1[[#This Row],[Porcentaje de muertes]]&lt;0.35,"LEVE",AND(Tabla1[[#This Row],[Porcentaje de muertes]]&gt;0.35,Tabla1[[#This Row],[Porcentaje de muertes]]&lt;0.65),"MEDIO",Tabla1[[#This Row],[Porcentaje de muertes]]&gt;0.65,"GRAVE")</f>
        <v>MEDIO</v>
      </c>
    </row>
    <row r="2179" spans="2:24" x14ac:dyDescent="0.3">
      <c r="B2179" s="9">
        <v>2178</v>
      </c>
      <c r="C2179" s="49">
        <v>24057</v>
      </c>
      <c r="D2179" s="9">
        <f>YEAR(Tabla1[[#This Row],[Date]])</f>
        <v>1965</v>
      </c>
      <c r="E2179" s="9" t="str" cm="1">
        <f t="array" ref="E2179">IFERROR(_xlfn.IFS(AND(D2179&lt;1980,D2179&gt;=1970),"70",AND(D2179&lt;1990,D2179&gt;=1980),"80",AND(D2179&lt;2000,D2179&gt;=1990),"90",AND(D2179&lt;2010,D2179&gt;=2000),"00",AND(D2179&lt;=2019,D2179&gt;=2010),"10"),"1908-1970")</f>
        <v>1908-1970</v>
      </c>
      <c r="F2179" s="3">
        <v>0.74444444444444446</v>
      </c>
      <c r="G2179" t="s">
        <v>6130</v>
      </c>
      <c r="H2179" t="s">
        <v>6369</v>
      </c>
      <c r="I2179">
        <v>227</v>
      </c>
      <c r="J2179" t="s">
        <v>14523</v>
      </c>
      <c r="K2179" t="s">
        <v>14435</v>
      </c>
      <c r="L2179" s="7" t="s">
        <v>14524</v>
      </c>
      <c r="M2179" t="s">
        <v>14525</v>
      </c>
      <c r="N2179">
        <v>91</v>
      </c>
      <c r="O2179">
        <v>85</v>
      </c>
      <c r="P2179">
        <v>6</v>
      </c>
      <c r="Q2179">
        <v>43</v>
      </c>
      <c r="R2179">
        <v>43</v>
      </c>
      <c r="S2179">
        <v>0</v>
      </c>
      <c r="T2179">
        <v>0</v>
      </c>
      <c r="U2179" t="s">
        <v>14526</v>
      </c>
      <c r="V2179">
        <f>Tabla1[[#This Row],[Aboard]]-Tabla1[[#This Row],[Fatalities]]</f>
        <v>48</v>
      </c>
      <c r="W2179" s="50">
        <f>IFERROR(Tabla1[[#This Row],[Fatalities]]/Tabla1[[#This Row],[Aboard]],0)</f>
        <v>0.47252747252747251</v>
      </c>
      <c r="X2179" s="51" t="str" cm="1">
        <f t="array" ref="X2179">_xlfn.IFS(Tabla1[[#This Row],[Porcentaje de muertes]]&lt;0.35,"LEVE",AND(Tabla1[[#This Row],[Porcentaje de muertes]]&gt;0.35,Tabla1[[#This Row],[Porcentaje de muertes]]&lt;0.65),"MEDIO",Tabla1[[#This Row],[Porcentaje de muertes]]&gt;0.65,"GRAVE")</f>
        <v>MEDIO</v>
      </c>
    </row>
    <row r="2180" spans="2:24" x14ac:dyDescent="0.3">
      <c r="B2180" s="9">
        <v>2179</v>
      </c>
      <c r="C2180" s="49">
        <v>24060</v>
      </c>
      <c r="D2180" s="9">
        <f>YEAR(Tabla1[[#This Row],[Date]])</f>
        <v>1965</v>
      </c>
      <c r="E2180" s="9" t="str" cm="1">
        <f t="array" ref="E2180">IFERROR(_xlfn.IFS(AND(D2180&lt;1980,D2180&gt;=1970),"70",AND(D2180&lt;1990,D2180&gt;=1980),"80",AND(D2180&lt;2000,D2180&gt;=1990),"90",AND(D2180&lt;2010,D2180&gt;=2000),"00",AND(D2180&lt;=2019,D2180&gt;=2010),"10"),"1908-1970")</f>
        <v>1908-1970</v>
      </c>
      <c r="F2180" s="3">
        <v>0.72291666666666676</v>
      </c>
      <c r="G2180" t="s">
        <v>14527</v>
      </c>
      <c r="H2180" t="s">
        <v>14528</v>
      </c>
      <c r="I2180" t="s">
        <v>28931</v>
      </c>
      <c r="J2180" t="s">
        <v>14529</v>
      </c>
      <c r="K2180" t="s">
        <v>14530</v>
      </c>
      <c r="L2180" s="7" t="s">
        <v>14531</v>
      </c>
      <c r="M2180" t="s">
        <v>14532</v>
      </c>
      <c r="N2180">
        <v>8</v>
      </c>
      <c r="O2180">
        <v>6</v>
      </c>
      <c r="P2180">
        <v>2</v>
      </c>
      <c r="Q2180">
        <v>8</v>
      </c>
      <c r="R2180">
        <v>6</v>
      </c>
      <c r="S2180">
        <v>2</v>
      </c>
      <c r="T2180">
        <v>0</v>
      </c>
      <c r="U2180" t="s">
        <v>14533</v>
      </c>
      <c r="V2180">
        <f>Tabla1[[#This Row],[Aboard]]-Tabla1[[#This Row],[Fatalities]]</f>
        <v>0</v>
      </c>
      <c r="W2180" s="50">
        <f>IFERROR(Tabla1[[#This Row],[Fatalities]]/Tabla1[[#This Row],[Aboard]],0)</f>
        <v>1</v>
      </c>
      <c r="X2180" s="51" t="str" cm="1">
        <f t="array" ref="X2180">_xlfn.IFS(Tabla1[[#This Row],[Porcentaje de muertes]]&lt;0.35,"LEVE",AND(Tabla1[[#This Row],[Porcentaje de muertes]]&gt;0.35,Tabla1[[#This Row],[Porcentaje de muertes]]&lt;0.65),"MEDIO",Tabla1[[#This Row],[Porcentaje de muertes]]&gt;0.65,"GRAVE")</f>
        <v>GRAVE</v>
      </c>
    </row>
    <row r="2181" spans="2:24" x14ac:dyDescent="0.3">
      <c r="B2181" s="9">
        <v>2180</v>
      </c>
      <c r="C2181" s="49">
        <v>24073</v>
      </c>
      <c r="D2181" s="9">
        <f>YEAR(Tabla1[[#This Row],[Date]])</f>
        <v>1965</v>
      </c>
      <c r="E2181" s="9" t="str" cm="1">
        <f t="array" ref="E2181">IFERROR(_xlfn.IFS(AND(D2181&lt;1980,D2181&gt;=1970),"70",AND(D2181&lt;1990,D2181&gt;=1980),"80",AND(D2181&lt;2000,D2181&gt;=1990),"90",AND(D2181&lt;2010,D2181&gt;=2000),"00",AND(D2181&lt;=2019,D2181&gt;=2010),"10"),"1908-1970")</f>
        <v>1908-1970</v>
      </c>
      <c r="F2181" s="3">
        <v>0.30208333333333331</v>
      </c>
      <c r="G2181" t="s">
        <v>14534</v>
      </c>
      <c r="H2181" t="s">
        <v>14535</v>
      </c>
      <c r="I2181" t="s">
        <v>14536</v>
      </c>
      <c r="J2181" t="s">
        <v>14537</v>
      </c>
      <c r="K2181" t="s">
        <v>14538</v>
      </c>
      <c r="L2181" s="7" t="s">
        <v>14539</v>
      </c>
      <c r="M2181">
        <v>4848</v>
      </c>
      <c r="N2181">
        <v>13</v>
      </c>
      <c r="O2181">
        <v>9</v>
      </c>
      <c r="P2181">
        <v>4</v>
      </c>
      <c r="Q2181">
        <v>13</v>
      </c>
      <c r="R2181">
        <v>9</v>
      </c>
      <c r="S2181">
        <v>4</v>
      </c>
      <c r="T2181">
        <v>0</v>
      </c>
      <c r="U2181" t="s">
        <v>14540</v>
      </c>
      <c r="V2181">
        <f>Tabla1[[#This Row],[Aboard]]-Tabla1[[#This Row],[Fatalities]]</f>
        <v>0</v>
      </c>
      <c r="W2181" s="50">
        <f>IFERROR(Tabla1[[#This Row],[Fatalities]]/Tabla1[[#This Row],[Aboard]],0)</f>
        <v>1</v>
      </c>
      <c r="X2181" s="51" t="str" cm="1">
        <f t="array" ref="X2181">_xlfn.IFS(Tabla1[[#This Row],[Porcentaje de muertes]]&lt;0.35,"LEVE",AND(Tabla1[[#This Row],[Porcentaje de muertes]]&gt;0.35,Tabla1[[#This Row],[Porcentaje de muertes]]&lt;0.65),"MEDIO",Tabla1[[#This Row],[Porcentaje de muertes]]&gt;0.65,"GRAVE")</f>
        <v>GRAVE</v>
      </c>
    </row>
    <row r="2182" spans="2:24" x14ac:dyDescent="0.3">
      <c r="B2182" s="9">
        <v>2181</v>
      </c>
      <c r="C2182" s="49">
        <v>23844</v>
      </c>
      <c r="D2182" s="9">
        <f>YEAR(Tabla1[[#This Row],[Date]])</f>
        <v>1965</v>
      </c>
      <c r="E2182" s="9" t="str" cm="1">
        <f t="array" ref="E2182">IFERROR(_xlfn.IFS(AND(D2182&lt;1980,D2182&gt;=1970),"70",AND(D2182&lt;1990,D2182&gt;=1980),"80",AND(D2182&lt;2000,D2182&gt;=1990),"90",AND(D2182&lt;2010,D2182&gt;=2000),"00",AND(D2182&lt;=2019,D2182&gt;=2010),"10"),"1908-1970")</f>
        <v>1908-1970</v>
      </c>
      <c r="F2182" s="3">
        <v>0.6791666666666667</v>
      </c>
      <c r="G2182" t="s">
        <v>14541</v>
      </c>
      <c r="H2182" t="s">
        <v>14542</v>
      </c>
      <c r="I2182" t="s">
        <v>14543</v>
      </c>
      <c r="J2182" t="s">
        <v>5930</v>
      </c>
      <c r="K2182" t="s">
        <v>14544</v>
      </c>
      <c r="L2182" s="7" t="s">
        <v>14545</v>
      </c>
      <c r="M2182" t="s">
        <v>14546</v>
      </c>
      <c r="N2182">
        <v>112</v>
      </c>
      <c r="O2182">
        <v>100</v>
      </c>
      <c r="P2182">
        <v>12</v>
      </c>
      <c r="Q2182">
        <v>4</v>
      </c>
      <c r="R2182">
        <v>3</v>
      </c>
      <c r="S2182">
        <v>1</v>
      </c>
      <c r="T2182">
        <v>0</v>
      </c>
      <c r="U2182" t="s">
        <v>14547</v>
      </c>
      <c r="V2182">
        <f>Tabla1[[#This Row],[Aboard]]-Tabla1[[#This Row],[Fatalities]]</f>
        <v>108</v>
      </c>
      <c r="W2182" s="50">
        <f>IFERROR(Tabla1[[#This Row],[Fatalities]]/Tabla1[[#This Row],[Aboard]],0)</f>
        <v>3.5714285714285712E-2</v>
      </c>
      <c r="X2182" s="51" t="str" cm="1">
        <f t="array" ref="X2182">_xlfn.IFS(Tabla1[[#This Row],[Porcentaje de muertes]]&lt;0.35,"LEVE",AND(Tabla1[[#This Row],[Porcentaje de muertes]]&gt;0.35,Tabla1[[#This Row],[Porcentaje de muertes]]&lt;0.65),"MEDIO",Tabla1[[#This Row],[Porcentaje de muertes]]&gt;0.65,"GRAVE")</f>
        <v>LEVE</v>
      </c>
    </row>
    <row r="2183" spans="2:24" x14ac:dyDescent="0.3">
      <c r="B2183" s="9">
        <v>2182</v>
      </c>
      <c r="C2183" s="49">
        <v>23935</v>
      </c>
      <c r="D2183" s="9">
        <f>YEAR(Tabla1[[#This Row],[Date]])</f>
        <v>1965</v>
      </c>
      <c r="E2183" s="9" t="str" cm="1">
        <f t="array" ref="E2183">IFERROR(_xlfn.IFS(AND(D2183&lt;1980,D2183&gt;=1970),"70",AND(D2183&lt;1990,D2183&gt;=1980),"80",AND(D2183&lt;2000,D2183&gt;=1990),"90",AND(D2183&lt;2010,D2183&gt;=2000),"00",AND(D2183&lt;=2019,D2183&gt;=2010),"10"),"1908-1970")</f>
        <v>1908-1970</v>
      </c>
      <c r="F2183" s="3">
        <v>0.77777777777777779</v>
      </c>
      <c r="G2183" t="s">
        <v>14548</v>
      </c>
      <c r="H2183" t="s">
        <v>14549</v>
      </c>
      <c r="I2183" t="s">
        <v>28931</v>
      </c>
      <c r="J2183" t="s">
        <v>14550</v>
      </c>
      <c r="K2183" t="s">
        <v>7057</v>
      </c>
      <c r="L2183" s="7" t="s">
        <v>14551</v>
      </c>
      <c r="M2183">
        <v>13474</v>
      </c>
      <c r="N2183">
        <v>32</v>
      </c>
      <c r="O2183">
        <v>28</v>
      </c>
      <c r="P2183">
        <v>4</v>
      </c>
      <c r="Q2183">
        <v>32</v>
      </c>
      <c r="R2183">
        <v>28</v>
      </c>
      <c r="S2183">
        <v>4</v>
      </c>
      <c r="T2183">
        <v>0</v>
      </c>
      <c r="U2183" t="s">
        <v>14552</v>
      </c>
      <c r="V2183">
        <f>Tabla1[[#This Row],[Aboard]]-Tabla1[[#This Row],[Fatalities]]</f>
        <v>0</v>
      </c>
      <c r="W2183" s="50">
        <f>IFERROR(Tabla1[[#This Row],[Fatalities]]/Tabla1[[#This Row],[Aboard]],0)</f>
        <v>1</v>
      </c>
      <c r="X2183" s="51" t="str" cm="1">
        <f t="array" ref="X2183">_xlfn.IFS(Tabla1[[#This Row],[Porcentaje de muertes]]&lt;0.35,"LEVE",AND(Tabla1[[#This Row],[Porcentaje de muertes]]&gt;0.35,Tabla1[[#This Row],[Porcentaje de muertes]]&lt;0.65),"MEDIO",Tabla1[[#This Row],[Porcentaje de muertes]]&gt;0.65,"GRAVE")</f>
        <v>GRAVE</v>
      </c>
    </row>
    <row r="2184" spans="2:24" x14ac:dyDescent="0.3">
      <c r="B2184" s="9">
        <v>2183</v>
      </c>
      <c r="C2184" s="49">
        <v>24058</v>
      </c>
      <c r="D2184" s="9">
        <f>YEAR(Tabla1[[#This Row],[Date]])</f>
        <v>1965</v>
      </c>
      <c r="E2184" s="9" t="str" cm="1">
        <f t="array" ref="E2184">IFERROR(_xlfn.IFS(AND(D2184&lt;1980,D2184&gt;=1970),"70",AND(D2184&lt;1990,D2184&gt;=1980),"80",AND(D2184&lt;2000,D2184&gt;=1990),"90",AND(D2184&lt;2010,D2184&gt;=2000),"00",AND(D2184&lt;=2019,D2184&gt;=2010),"10"),"1908-1970")</f>
        <v>1908-1970</v>
      </c>
      <c r="F2184" s="3">
        <v>0.625</v>
      </c>
      <c r="G2184" t="s">
        <v>14553</v>
      </c>
      <c r="H2184" t="s">
        <v>7987</v>
      </c>
      <c r="I2184" t="s">
        <v>28931</v>
      </c>
      <c r="J2184" t="s">
        <v>14554</v>
      </c>
      <c r="K2184" t="s">
        <v>14555</v>
      </c>
      <c r="L2184" s="7" t="s">
        <v>14556</v>
      </c>
      <c r="M2184">
        <v>20260</v>
      </c>
      <c r="N2184">
        <v>85</v>
      </c>
      <c r="O2184">
        <v>81</v>
      </c>
      <c r="P2184">
        <v>4</v>
      </c>
      <c r="Q2184">
        <v>85</v>
      </c>
      <c r="R2184">
        <v>81</v>
      </c>
      <c r="S2184">
        <v>4</v>
      </c>
      <c r="T2184">
        <v>0</v>
      </c>
      <c r="U2184" t="s">
        <v>14557</v>
      </c>
      <c r="V2184">
        <f>Tabla1[[#This Row],[Aboard]]-Tabla1[[#This Row],[Fatalities]]</f>
        <v>0</v>
      </c>
      <c r="W2184" s="50">
        <f>IFERROR(Tabla1[[#This Row],[Fatalities]]/Tabla1[[#This Row],[Aboard]],0)</f>
        <v>1</v>
      </c>
      <c r="X2184" s="51" t="str" cm="1">
        <f t="array" ref="X2184">_xlfn.IFS(Tabla1[[#This Row],[Porcentaje de muertes]]&lt;0.35,"LEVE",AND(Tabla1[[#This Row],[Porcentaje de muertes]]&gt;0.35,Tabla1[[#This Row],[Porcentaje de muertes]]&lt;0.65),"MEDIO",Tabla1[[#This Row],[Porcentaje de muertes]]&gt;0.65,"GRAVE")</f>
        <v>GRAVE</v>
      </c>
    </row>
    <row r="2185" spans="2:24" x14ac:dyDescent="0.3">
      <c r="B2185" s="9">
        <v>2184</v>
      </c>
      <c r="C2185" s="49">
        <v>24092</v>
      </c>
      <c r="D2185" s="9">
        <f>YEAR(Tabla1[[#This Row],[Date]])</f>
        <v>1965</v>
      </c>
      <c r="E2185" s="9" t="str" cm="1">
        <f t="array" ref="E2185">IFERROR(_xlfn.IFS(AND(D2185&lt;1980,D2185&gt;=1970),"70",AND(D2185&lt;1990,D2185&gt;=1980),"80",AND(D2185&lt;2000,D2185&gt;=1990),"90",AND(D2185&lt;2010,D2185&gt;=2000),"00",AND(D2185&lt;=2019,D2185&gt;=2010),"10"),"1908-1970")</f>
        <v>1908-1970</v>
      </c>
      <c r="F2185" s="3">
        <v>0.72361111111111109</v>
      </c>
      <c r="G2185" t="s">
        <v>14558</v>
      </c>
      <c r="H2185" t="s">
        <v>14559</v>
      </c>
      <c r="I2185">
        <v>101</v>
      </c>
      <c r="J2185" t="s">
        <v>14560</v>
      </c>
      <c r="K2185" t="s">
        <v>6970</v>
      </c>
      <c r="L2185" s="7" t="s">
        <v>14561</v>
      </c>
      <c r="M2185">
        <v>18</v>
      </c>
      <c r="N2185">
        <v>21</v>
      </c>
      <c r="O2185">
        <v>18</v>
      </c>
      <c r="P2185">
        <v>3</v>
      </c>
      <c r="Q2185">
        <v>2</v>
      </c>
      <c r="R2185">
        <v>0</v>
      </c>
      <c r="S2185">
        <v>2</v>
      </c>
      <c r="T2185">
        <v>0</v>
      </c>
      <c r="U2185" t="s">
        <v>14562</v>
      </c>
      <c r="V2185">
        <f>Tabla1[[#This Row],[Aboard]]-Tabla1[[#This Row],[Fatalities]]</f>
        <v>19</v>
      </c>
      <c r="W2185" s="50">
        <f>IFERROR(Tabla1[[#This Row],[Fatalities]]/Tabla1[[#This Row],[Aboard]],0)</f>
        <v>9.5238095238095233E-2</v>
      </c>
      <c r="X2185" s="51" t="str" cm="1">
        <f t="array" ref="X2185">_xlfn.IFS(Tabla1[[#This Row],[Porcentaje de muertes]]&lt;0.35,"LEVE",AND(Tabla1[[#This Row],[Porcentaje de muertes]]&gt;0.35,Tabla1[[#This Row],[Porcentaje de muertes]]&lt;0.65),"MEDIO",Tabla1[[#This Row],[Porcentaje de muertes]]&gt;0.65,"GRAVE")</f>
        <v>LEVE</v>
      </c>
    </row>
    <row r="2186" spans="2:24" x14ac:dyDescent="0.3">
      <c r="B2186" s="9">
        <v>2185</v>
      </c>
      <c r="C2186" s="49">
        <v>24108</v>
      </c>
      <c r="D2186" s="9">
        <f>YEAR(Tabla1[[#This Row],[Date]])</f>
        <v>1966</v>
      </c>
      <c r="E2186" s="9" t="str" cm="1">
        <f t="array" ref="E2186">IFERROR(_xlfn.IFS(AND(D2186&lt;1980,D2186&gt;=1970),"70",AND(D2186&lt;1990,D2186&gt;=1980),"80",AND(D2186&lt;2000,D2186&gt;=1990),"90",AND(D2186&lt;2010,D2186&gt;=2000),"00",AND(D2186&lt;=2019,D2186&gt;=2010),"10"),"1908-1970")</f>
        <v>1908-1970</v>
      </c>
      <c r="F2186" s="3" t="s">
        <v>28931</v>
      </c>
      <c r="G2186" t="s">
        <v>14563</v>
      </c>
      <c r="H2186" t="s">
        <v>14564</v>
      </c>
      <c r="I2186" t="s">
        <v>28931</v>
      </c>
      <c r="J2186" t="s">
        <v>14565</v>
      </c>
      <c r="K2186" t="s">
        <v>14566</v>
      </c>
      <c r="L2186" s="7" t="s">
        <v>14567</v>
      </c>
      <c r="M2186" t="s">
        <v>14568</v>
      </c>
      <c r="N2186">
        <v>34</v>
      </c>
      <c r="O2186">
        <v>26</v>
      </c>
      <c r="P2186">
        <v>8</v>
      </c>
      <c r="Q2186">
        <v>34</v>
      </c>
      <c r="R2186">
        <v>26</v>
      </c>
      <c r="S2186">
        <v>8</v>
      </c>
      <c r="T2186">
        <v>0</v>
      </c>
      <c r="U2186" t="s">
        <v>14569</v>
      </c>
      <c r="V2186">
        <f>Tabla1[[#This Row],[Aboard]]-Tabla1[[#This Row],[Fatalities]]</f>
        <v>0</v>
      </c>
      <c r="W2186" s="50">
        <f>IFERROR(Tabla1[[#This Row],[Fatalities]]/Tabla1[[#This Row],[Aboard]],0)</f>
        <v>1</v>
      </c>
      <c r="X2186" s="51" t="str" cm="1">
        <f t="array" ref="X2186">_xlfn.IFS(Tabla1[[#This Row],[Porcentaje de muertes]]&lt;0.35,"LEVE",AND(Tabla1[[#This Row],[Porcentaje de muertes]]&gt;0.35,Tabla1[[#This Row],[Porcentaje de muertes]]&lt;0.65),"MEDIO",Tabla1[[#This Row],[Porcentaje de muertes]]&gt;0.65,"GRAVE")</f>
        <v>GRAVE</v>
      </c>
    </row>
    <row r="2187" spans="2:24" x14ac:dyDescent="0.3">
      <c r="B2187" s="9">
        <v>2186</v>
      </c>
      <c r="C2187" s="49">
        <v>24108</v>
      </c>
      <c r="D2187" s="9">
        <f>YEAR(Tabla1[[#This Row],[Date]])</f>
        <v>1966</v>
      </c>
      <c r="E2187" s="9" t="str" cm="1">
        <f t="array" ref="E2187">IFERROR(_xlfn.IFS(AND(D2187&lt;1980,D2187&gt;=1970),"70",AND(D2187&lt;1990,D2187&gt;=1980),"80",AND(D2187&lt;2000,D2187&gt;=1990),"90",AND(D2187&lt;2010,D2187&gt;=2000),"00",AND(D2187&lt;=2019,D2187&gt;=2010),"10"),"1908-1970")</f>
        <v>1908-1970</v>
      </c>
      <c r="F2187" s="3">
        <v>0.22916666666666666</v>
      </c>
      <c r="G2187" t="s">
        <v>14570</v>
      </c>
      <c r="H2187" t="s">
        <v>6541</v>
      </c>
      <c r="I2187" t="s">
        <v>28931</v>
      </c>
      <c r="J2187" t="s">
        <v>14571</v>
      </c>
      <c r="K2187" t="s">
        <v>12110</v>
      </c>
      <c r="L2187" s="7" t="s">
        <v>14572</v>
      </c>
      <c r="M2187">
        <v>602108</v>
      </c>
      <c r="N2187">
        <v>23</v>
      </c>
      <c r="O2187">
        <v>18</v>
      </c>
      <c r="P2187">
        <v>5</v>
      </c>
      <c r="Q2187">
        <v>23</v>
      </c>
      <c r="R2187">
        <v>18</v>
      </c>
      <c r="S2187">
        <v>5</v>
      </c>
      <c r="T2187">
        <v>0</v>
      </c>
      <c r="U2187" t="s">
        <v>14573</v>
      </c>
      <c r="V2187">
        <f>Tabla1[[#This Row],[Aboard]]-Tabla1[[#This Row],[Fatalities]]</f>
        <v>0</v>
      </c>
      <c r="W2187" s="50">
        <f>IFERROR(Tabla1[[#This Row],[Fatalities]]/Tabla1[[#This Row],[Aboard]],0)</f>
        <v>1</v>
      </c>
      <c r="X2187" s="51" t="str" cm="1">
        <f t="array" ref="X2187">_xlfn.IFS(Tabla1[[#This Row],[Porcentaje de muertes]]&lt;0.35,"LEVE",AND(Tabla1[[#This Row],[Porcentaje de muertes]]&gt;0.35,Tabla1[[#This Row],[Porcentaje de muertes]]&lt;0.65),"MEDIO",Tabla1[[#This Row],[Porcentaje de muertes]]&gt;0.65,"GRAVE")</f>
        <v>GRAVE</v>
      </c>
    </row>
    <row r="2188" spans="2:24" x14ac:dyDescent="0.3">
      <c r="B2188" s="9">
        <v>2187</v>
      </c>
      <c r="C2188" s="49">
        <v>24351</v>
      </c>
      <c r="D2188" s="9">
        <f>YEAR(Tabla1[[#This Row],[Date]])</f>
        <v>1966</v>
      </c>
      <c r="E2188" s="9" t="str" cm="1">
        <f t="array" ref="E2188">IFERROR(_xlfn.IFS(AND(D2188&lt;1980,D2188&gt;=1970),"70",AND(D2188&lt;1990,D2188&gt;=1980),"80",AND(D2188&lt;2000,D2188&gt;=1990),"90",AND(D2188&lt;2010,D2188&gt;=2000),"00",AND(D2188&lt;=2019,D2188&gt;=2010),"10"),"1908-1970")</f>
        <v>1908-1970</v>
      </c>
      <c r="F2188" s="3">
        <v>0.76527777777777783</v>
      </c>
      <c r="G2188" t="s">
        <v>14574</v>
      </c>
      <c r="H2188" t="s">
        <v>14575</v>
      </c>
      <c r="I2188" t="s">
        <v>28931</v>
      </c>
      <c r="J2188" t="s">
        <v>14576</v>
      </c>
      <c r="K2188" t="s">
        <v>14577</v>
      </c>
      <c r="L2188" s="7" t="s">
        <v>14578</v>
      </c>
      <c r="M2188" t="s">
        <v>28931</v>
      </c>
      <c r="N2188">
        <v>11</v>
      </c>
      <c r="O2188">
        <v>11</v>
      </c>
      <c r="P2188">
        <v>2</v>
      </c>
      <c r="Q2188">
        <v>11</v>
      </c>
      <c r="R2188">
        <v>11</v>
      </c>
      <c r="S2188">
        <v>2</v>
      </c>
      <c r="T2188">
        <v>0</v>
      </c>
      <c r="U2188" t="s">
        <v>28927</v>
      </c>
      <c r="V2188">
        <f>Tabla1[[#This Row],[Aboard]]-Tabla1[[#This Row],[Fatalities]]</f>
        <v>0</v>
      </c>
      <c r="W2188" s="50">
        <f>IFERROR(Tabla1[[#This Row],[Fatalities]]/Tabla1[[#This Row],[Aboard]],0)</f>
        <v>1</v>
      </c>
      <c r="X2188" s="51" t="str" cm="1">
        <f t="array" ref="X2188">_xlfn.IFS(Tabla1[[#This Row],[Porcentaje de muertes]]&lt;0.35,"LEVE",AND(Tabla1[[#This Row],[Porcentaje de muertes]]&gt;0.35,Tabla1[[#This Row],[Porcentaje de muertes]]&lt;0.65),"MEDIO",Tabla1[[#This Row],[Porcentaje de muertes]]&gt;0.65,"GRAVE")</f>
        <v>GRAVE</v>
      </c>
    </row>
    <row r="2189" spans="2:24" x14ac:dyDescent="0.3">
      <c r="B2189" s="9">
        <v>2188</v>
      </c>
      <c r="C2189" s="49">
        <v>24121</v>
      </c>
      <c r="D2189" s="9">
        <f>YEAR(Tabla1[[#This Row],[Date]])</f>
        <v>1966</v>
      </c>
      <c r="E2189" s="9" t="str" cm="1">
        <f t="array" ref="E2189">IFERROR(_xlfn.IFS(AND(D2189&lt;1980,D2189&gt;=1970),"70",AND(D2189&lt;1990,D2189&gt;=1980),"80",AND(D2189&lt;2000,D2189&gt;=1990),"90",AND(D2189&lt;2010,D2189&gt;=2000),"00",AND(D2189&lt;=2019,D2189&gt;=2010),"10"),"1908-1970")</f>
        <v>1908-1970</v>
      </c>
      <c r="F2189" s="3">
        <v>0.62986111111111109</v>
      </c>
      <c r="G2189" t="s">
        <v>14579</v>
      </c>
      <c r="H2189" t="s">
        <v>6541</v>
      </c>
      <c r="I2189" t="s">
        <v>28931</v>
      </c>
      <c r="J2189" t="s">
        <v>14580</v>
      </c>
      <c r="K2189" t="s">
        <v>14581</v>
      </c>
      <c r="L2189" s="7" t="s">
        <v>14582</v>
      </c>
      <c r="M2189" t="s">
        <v>14583</v>
      </c>
      <c r="N2189">
        <v>11</v>
      </c>
      <c r="O2189">
        <v>9</v>
      </c>
      <c r="P2189">
        <v>2</v>
      </c>
      <c r="Q2189">
        <v>11</v>
      </c>
      <c r="R2189">
        <v>9</v>
      </c>
      <c r="S2189">
        <v>2</v>
      </c>
      <c r="T2189">
        <v>0</v>
      </c>
      <c r="U2189" t="s">
        <v>14584</v>
      </c>
      <c r="V2189">
        <f>Tabla1[[#This Row],[Aboard]]-Tabla1[[#This Row],[Fatalities]]</f>
        <v>0</v>
      </c>
      <c r="W2189" s="50">
        <f>IFERROR(Tabla1[[#This Row],[Fatalities]]/Tabla1[[#This Row],[Aboard]],0)</f>
        <v>1</v>
      </c>
      <c r="X2189" s="51" t="str" cm="1">
        <f t="array" ref="X2189">_xlfn.IFS(Tabla1[[#This Row],[Porcentaje de muertes]]&lt;0.35,"LEVE",AND(Tabla1[[#This Row],[Porcentaje de muertes]]&gt;0.35,Tabla1[[#This Row],[Porcentaje de muertes]]&lt;0.65),"MEDIO",Tabla1[[#This Row],[Porcentaje de muertes]]&gt;0.65,"GRAVE")</f>
        <v>GRAVE</v>
      </c>
    </row>
    <row r="2190" spans="2:24" x14ac:dyDescent="0.3">
      <c r="B2190" s="9">
        <v>2189</v>
      </c>
      <c r="C2190" s="49">
        <v>24122</v>
      </c>
      <c r="D2190" s="9">
        <f>YEAR(Tabla1[[#This Row],[Date]])</f>
        <v>1966</v>
      </c>
      <c r="E2190" s="9" t="str" cm="1">
        <f t="array" ref="E2190">IFERROR(_xlfn.IFS(AND(D2190&lt;1980,D2190&gt;=1970),"70",AND(D2190&lt;1990,D2190&gt;=1980),"80",AND(D2190&lt;2000,D2190&gt;=1990),"90",AND(D2190&lt;2010,D2190&gt;=2000),"00",AND(D2190&lt;=2019,D2190&gt;=2010),"10"),"1908-1970")</f>
        <v>1908-1970</v>
      </c>
      <c r="F2190" s="3">
        <v>0.87152777777777779</v>
      </c>
      <c r="G2190" t="s">
        <v>12822</v>
      </c>
      <c r="H2190" t="s">
        <v>8976</v>
      </c>
      <c r="I2190">
        <v>4</v>
      </c>
      <c r="J2190" t="s">
        <v>14585</v>
      </c>
      <c r="K2190" t="s">
        <v>14586</v>
      </c>
      <c r="L2190" s="7" t="s">
        <v>14587</v>
      </c>
      <c r="M2190">
        <v>18325</v>
      </c>
      <c r="N2190">
        <v>64</v>
      </c>
      <c r="O2190">
        <v>60</v>
      </c>
      <c r="P2190">
        <v>4</v>
      </c>
      <c r="Q2190">
        <v>56</v>
      </c>
      <c r="R2190">
        <v>52</v>
      </c>
      <c r="S2190">
        <v>4</v>
      </c>
      <c r="T2190">
        <v>0</v>
      </c>
      <c r="U2190" t="s">
        <v>14588</v>
      </c>
      <c r="V2190">
        <f>Tabla1[[#This Row],[Aboard]]-Tabla1[[#This Row],[Fatalities]]</f>
        <v>8</v>
      </c>
      <c r="W2190" s="50">
        <f>IFERROR(Tabla1[[#This Row],[Fatalities]]/Tabla1[[#This Row],[Aboard]],0)</f>
        <v>0.875</v>
      </c>
      <c r="X2190" s="51" t="str" cm="1">
        <f t="array" ref="X2190">_xlfn.IFS(Tabla1[[#This Row],[Porcentaje de muertes]]&lt;0.35,"LEVE",AND(Tabla1[[#This Row],[Porcentaje de muertes]]&gt;0.35,Tabla1[[#This Row],[Porcentaje de muertes]]&lt;0.65),"MEDIO",Tabla1[[#This Row],[Porcentaje de muertes]]&gt;0.65,"GRAVE")</f>
        <v>GRAVE</v>
      </c>
    </row>
    <row r="2191" spans="2:24" x14ac:dyDescent="0.3">
      <c r="B2191" s="9">
        <v>2190</v>
      </c>
      <c r="C2191" s="49">
        <v>24129</v>
      </c>
      <c r="D2191" s="9">
        <f>YEAR(Tabla1[[#This Row],[Date]])</f>
        <v>1966</v>
      </c>
      <c r="E2191" s="9" t="str" cm="1">
        <f t="array" ref="E2191">IFERROR(_xlfn.IFS(AND(D2191&lt;1980,D2191&gt;=1970),"70",AND(D2191&lt;1990,D2191&gt;=1980),"80",AND(D2191&lt;2000,D2191&gt;=1990),"90",AND(D2191&lt;2010,D2191&gt;=2000),"00",AND(D2191&lt;=2019,D2191&gt;=2010),"10"),"1908-1970")</f>
        <v>1908-1970</v>
      </c>
      <c r="F2191" s="3" t="s">
        <v>28931</v>
      </c>
      <c r="G2191" t="s">
        <v>14589</v>
      </c>
      <c r="H2191" t="s">
        <v>14590</v>
      </c>
      <c r="I2191" t="s">
        <v>28931</v>
      </c>
      <c r="J2191" t="s">
        <v>14591</v>
      </c>
      <c r="K2191" t="s">
        <v>7057</v>
      </c>
      <c r="L2191" s="7" t="s">
        <v>14592</v>
      </c>
      <c r="M2191" t="s">
        <v>28931</v>
      </c>
      <c r="N2191">
        <v>35</v>
      </c>
      <c r="O2191">
        <v>28</v>
      </c>
      <c r="P2191">
        <v>7</v>
      </c>
      <c r="Q2191">
        <v>30</v>
      </c>
      <c r="R2191">
        <v>23</v>
      </c>
      <c r="S2191">
        <v>7</v>
      </c>
      <c r="T2191">
        <v>0</v>
      </c>
      <c r="U2191" t="s">
        <v>14593</v>
      </c>
      <c r="V2191">
        <f>Tabla1[[#This Row],[Aboard]]-Tabla1[[#This Row],[Fatalities]]</f>
        <v>5</v>
      </c>
      <c r="W2191" s="50">
        <f>IFERROR(Tabla1[[#This Row],[Fatalities]]/Tabla1[[#This Row],[Aboard]],0)</f>
        <v>0.8571428571428571</v>
      </c>
      <c r="X2191" s="51" t="str" cm="1">
        <f t="array" ref="X2191">_xlfn.IFS(Tabla1[[#This Row],[Porcentaje de muertes]]&lt;0.35,"LEVE",AND(Tabla1[[#This Row],[Porcentaje de muertes]]&gt;0.35,Tabla1[[#This Row],[Porcentaje de muertes]]&lt;0.65),"MEDIO",Tabla1[[#This Row],[Porcentaje de muertes]]&gt;0.65,"GRAVE")</f>
        <v>GRAVE</v>
      </c>
    </row>
    <row r="2192" spans="2:24" x14ac:dyDescent="0.3">
      <c r="B2192" s="9">
        <v>2191</v>
      </c>
      <c r="C2192" s="49">
        <v>24131</v>
      </c>
      <c r="D2192" s="9">
        <f>YEAR(Tabla1[[#This Row],[Date]])</f>
        <v>1966</v>
      </c>
      <c r="E2192" s="9" t="str" cm="1">
        <f t="array" ref="E2192">IFERROR(_xlfn.IFS(AND(D2192&lt;1980,D2192&gt;=1970),"70",AND(D2192&lt;1990,D2192&gt;=1980),"80",AND(D2192&lt;2000,D2192&gt;=1990),"90",AND(D2192&lt;2010,D2192&gt;=2000),"00",AND(D2192&lt;=2019,D2192&gt;=2010),"10"),"1908-1970")</f>
        <v>1908-1970</v>
      </c>
      <c r="F2192" s="3">
        <v>0.3347222222222222</v>
      </c>
      <c r="G2192" t="s">
        <v>14594</v>
      </c>
      <c r="H2192" t="s">
        <v>9312</v>
      </c>
      <c r="I2192">
        <v>101</v>
      </c>
      <c r="J2192" t="s">
        <v>14595</v>
      </c>
      <c r="K2192" t="s">
        <v>14596</v>
      </c>
      <c r="L2192" s="7" t="s">
        <v>14597</v>
      </c>
      <c r="M2192" t="s">
        <v>14598</v>
      </c>
      <c r="N2192">
        <v>117</v>
      </c>
      <c r="O2192">
        <v>106</v>
      </c>
      <c r="P2192">
        <v>11</v>
      </c>
      <c r="Q2192">
        <v>117</v>
      </c>
      <c r="R2192">
        <v>106</v>
      </c>
      <c r="S2192">
        <v>11</v>
      </c>
      <c r="T2192">
        <v>0</v>
      </c>
      <c r="U2192" t="s">
        <v>14599</v>
      </c>
      <c r="V2192">
        <f>Tabla1[[#This Row],[Aboard]]-Tabla1[[#This Row],[Fatalities]]</f>
        <v>0</v>
      </c>
      <c r="W2192" s="50">
        <f>IFERROR(Tabla1[[#This Row],[Fatalities]]/Tabla1[[#This Row],[Aboard]],0)</f>
        <v>1</v>
      </c>
      <c r="X2192" s="51" t="str" cm="1">
        <f t="array" ref="X2192">_xlfn.IFS(Tabla1[[#This Row],[Porcentaje de muertes]]&lt;0.35,"LEVE",AND(Tabla1[[#This Row],[Porcentaje de muertes]]&gt;0.35,Tabla1[[#This Row],[Porcentaje de muertes]]&lt;0.65),"MEDIO",Tabla1[[#This Row],[Porcentaje de muertes]]&gt;0.65,"GRAVE")</f>
        <v>GRAVE</v>
      </c>
    </row>
    <row r="2193" spans="2:24" x14ac:dyDescent="0.3">
      <c r="B2193" s="9">
        <v>2192</v>
      </c>
      <c r="C2193" s="49">
        <v>24132</v>
      </c>
      <c r="D2193" s="9">
        <f>YEAR(Tabla1[[#This Row],[Date]])</f>
        <v>1966</v>
      </c>
      <c r="E2193" s="9" t="str" cm="1">
        <f t="array" ref="E2193">IFERROR(_xlfn.IFS(AND(D2193&lt;1980,D2193&gt;=1970),"70",AND(D2193&lt;1990,D2193&gt;=1980),"80",AND(D2193&lt;2000,D2193&gt;=1990),"90",AND(D2193&lt;2010,D2193&gt;=2000),"00",AND(D2193&lt;=2019,D2193&gt;=2010),"10"),"1908-1970")</f>
        <v>1908-1970</v>
      </c>
      <c r="F2193" s="3">
        <v>0.42708333333333331</v>
      </c>
      <c r="G2193" t="s">
        <v>14600</v>
      </c>
      <c r="H2193" t="s">
        <v>7987</v>
      </c>
      <c r="I2193" t="s">
        <v>28931</v>
      </c>
      <c r="J2193" t="s">
        <v>28931</v>
      </c>
      <c r="K2193" t="s">
        <v>14601</v>
      </c>
      <c r="L2193" s="7" t="s">
        <v>14602</v>
      </c>
      <c r="M2193">
        <v>20151</v>
      </c>
      <c r="N2193">
        <v>46</v>
      </c>
      <c r="O2193">
        <v>42</v>
      </c>
      <c r="P2193">
        <v>4</v>
      </c>
      <c r="Q2193">
        <v>46</v>
      </c>
      <c r="R2193">
        <v>42</v>
      </c>
      <c r="S2193">
        <v>4</v>
      </c>
      <c r="T2193">
        <v>0</v>
      </c>
      <c r="U2193" t="s">
        <v>14603</v>
      </c>
      <c r="V2193">
        <f>Tabla1[[#This Row],[Aboard]]-Tabla1[[#This Row],[Fatalities]]</f>
        <v>0</v>
      </c>
      <c r="W2193" s="50">
        <f>IFERROR(Tabla1[[#This Row],[Fatalities]]/Tabla1[[#This Row],[Aboard]],0)</f>
        <v>1</v>
      </c>
      <c r="X2193" s="51" t="str" cm="1">
        <f t="array" ref="X2193">_xlfn.IFS(Tabla1[[#This Row],[Porcentaje de muertes]]&lt;0.35,"LEVE",AND(Tabla1[[#This Row],[Porcentaje de muertes]]&gt;0.35,Tabla1[[#This Row],[Porcentaje de muertes]]&lt;0.65),"MEDIO",Tabla1[[#This Row],[Porcentaje de muertes]]&gt;0.65,"GRAVE")</f>
        <v>GRAVE</v>
      </c>
    </row>
    <row r="2194" spans="2:24" x14ac:dyDescent="0.3">
      <c r="B2194" s="9">
        <v>2193</v>
      </c>
      <c r="C2194" s="49">
        <v>24135</v>
      </c>
      <c r="D2194" s="9">
        <f>YEAR(Tabla1[[#This Row],[Date]])</f>
        <v>1966</v>
      </c>
      <c r="E2194" s="9" t="str" cm="1">
        <f t="array" ref="E2194">IFERROR(_xlfn.IFS(AND(D2194&lt;1980,D2194&gt;=1970),"70",AND(D2194&lt;1990,D2194&gt;=1980),"80",AND(D2194&lt;2000,D2194&gt;=1990),"90",AND(D2194&lt;2010,D2194&gt;=2000),"00",AND(D2194&lt;=2019,D2194&gt;=2010),"10"),"1908-1970")</f>
        <v>1908-1970</v>
      </c>
      <c r="F2194" s="3">
        <v>0.74305555555555547</v>
      </c>
      <c r="G2194" t="s">
        <v>14604</v>
      </c>
      <c r="H2194" t="s">
        <v>7110</v>
      </c>
      <c r="I2194">
        <v>5</v>
      </c>
      <c r="J2194" t="s">
        <v>14605</v>
      </c>
      <c r="K2194" t="s">
        <v>14606</v>
      </c>
      <c r="L2194" s="7" t="s">
        <v>14607</v>
      </c>
      <c r="M2194">
        <v>464</v>
      </c>
      <c r="N2194">
        <v>46</v>
      </c>
      <c r="O2194">
        <v>42</v>
      </c>
      <c r="P2194">
        <v>4</v>
      </c>
      <c r="Q2194">
        <v>46</v>
      </c>
      <c r="R2194">
        <v>42</v>
      </c>
      <c r="S2194">
        <v>4</v>
      </c>
      <c r="T2194">
        <v>0</v>
      </c>
      <c r="U2194" t="s">
        <v>14608</v>
      </c>
      <c r="V2194">
        <f>Tabla1[[#This Row],[Aboard]]-Tabla1[[#This Row],[Fatalities]]</f>
        <v>0</v>
      </c>
      <c r="W2194" s="50">
        <f>IFERROR(Tabla1[[#This Row],[Fatalities]]/Tabla1[[#This Row],[Aboard]],0)</f>
        <v>1</v>
      </c>
      <c r="X2194" s="51" t="str" cm="1">
        <f t="array" ref="X2194">_xlfn.IFS(Tabla1[[#This Row],[Porcentaje de muertes]]&lt;0.35,"LEVE",AND(Tabla1[[#This Row],[Porcentaje de muertes]]&gt;0.35,Tabla1[[#This Row],[Porcentaje de muertes]]&lt;0.65),"MEDIO",Tabla1[[#This Row],[Porcentaje de muertes]]&gt;0.65,"GRAVE")</f>
        <v>GRAVE</v>
      </c>
    </row>
    <row r="2195" spans="2:24" x14ac:dyDescent="0.3">
      <c r="B2195" s="9">
        <v>2194</v>
      </c>
      <c r="C2195" s="49">
        <v>24199</v>
      </c>
      <c r="D2195" s="9">
        <f>YEAR(Tabla1[[#This Row],[Date]])</f>
        <v>1966</v>
      </c>
      <c r="E2195" s="9" t="str" cm="1">
        <f t="array" ref="E2195">IFERROR(_xlfn.IFS(AND(D2195&lt;1980,D2195&gt;=1970),"70",AND(D2195&lt;1990,D2195&gt;=1980),"80",AND(D2195&lt;2000,D2195&gt;=1990),"90",AND(D2195&lt;2010,D2195&gt;=2000),"00",AND(D2195&lt;=2019,D2195&gt;=2010),"10"),"1908-1970")</f>
        <v>1908-1970</v>
      </c>
      <c r="F2195" s="3">
        <v>0.79166666666666663</v>
      </c>
      <c r="G2195" t="s">
        <v>14609</v>
      </c>
      <c r="H2195" t="s">
        <v>12415</v>
      </c>
      <c r="I2195">
        <v>60</v>
      </c>
      <c r="J2195" t="s">
        <v>14610</v>
      </c>
      <c r="K2195" t="s">
        <v>14611</v>
      </c>
      <c r="L2195" s="7" t="s">
        <v>14612</v>
      </c>
      <c r="M2195" t="s">
        <v>14613</v>
      </c>
      <c r="N2195">
        <v>133</v>
      </c>
      <c r="O2195">
        <v>126</v>
      </c>
      <c r="P2195">
        <v>7</v>
      </c>
      <c r="Q2195">
        <v>133</v>
      </c>
      <c r="R2195">
        <v>126</v>
      </c>
      <c r="S2195">
        <v>7</v>
      </c>
      <c r="T2195">
        <v>0</v>
      </c>
      <c r="U2195" t="s">
        <v>14614</v>
      </c>
      <c r="V2195">
        <f>Tabla1[[#This Row],[Aboard]]-Tabla1[[#This Row],[Fatalities]]</f>
        <v>0</v>
      </c>
      <c r="W2195" s="50">
        <f>IFERROR(Tabla1[[#This Row],[Fatalities]]/Tabla1[[#This Row],[Aboard]],0)</f>
        <v>1</v>
      </c>
      <c r="X2195" s="51" t="str" cm="1">
        <f t="array" ref="X2195">_xlfn.IFS(Tabla1[[#This Row],[Porcentaje de muertes]]&lt;0.35,"LEVE",AND(Tabla1[[#This Row],[Porcentaje de muertes]]&gt;0.35,Tabla1[[#This Row],[Porcentaje de muertes]]&lt;0.65),"MEDIO",Tabla1[[#This Row],[Porcentaje de muertes]]&gt;0.65,"GRAVE")</f>
        <v>GRAVE</v>
      </c>
    </row>
    <row r="2196" spans="2:24" x14ac:dyDescent="0.3">
      <c r="B2196" s="9">
        <v>2195</v>
      </c>
      <c r="C2196" s="49">
        <v>24290</v>
      </c>
      <c r="D2196" s="9">
        <f>YEAR(Tabla1[[#This Row],[Date]])</f>
        <v>1966</v>
      </c>
      <c r="E2196" s="9" t="str" cm="1">
        <f t="array" ref="E2196">IFERROR(_xlfn.IFS(AND(D2196&lt;1980,D2196&gt;=1970),"70",AND(D2196&lt;1990,D2196&gt;=1980),"80",AND(D2196&lt;2000,D2196&gt;=1990),"90",AND(D2196&lt;2010,D2196&gt;=2000),"00",AND(D2196&lt;=2019,D2196&gt;=2010),"10"),"1908-1970")</f>
        <v>1908-1970</v>
      </c>
      <c r="F2196" s="3">
        <v>0.49652777777777773</v>
      </c>
      <c r="G2196" t="s">
        <v>14615</v>
      </c>
      <c r="H2196" t="s">
        <v>11150</v>
      </c>
      <c r="I2196" t="s">
        <v>28931</v>
      </c>
      <c r="J2196" t="s">
        <v>14616</v>
      </c>
      <c r="K2196" t="s">
        <v>14481</v>
      </c>
      <c r="L2196" s="7" t="s">
        <v>14617</v>
      </c>
      <c r="M2196">
        <v>10271</v>
      </c>
      <c r="N2196">
        <v>37</v>
      </c>
      <c r="O2196">
        <v>33</v>
      </c>
      <c r="P2196">
        <v>4</v>
      </c>
      <c r="Q2196">
        <v>37</v>
      </c>
      <c r="R2196">
        <v>33</v>
      </c>
      <c r="S2196">
        <v>4</v>
      </c>
      <c r="T2196">
        <v>0</v>
      </c>
      <c r="U2196" t="s">
        <v>14618</v>
      </c>
      <c r="V2196">
        <f>Tabla1[[#This Row],[Aboard]]-Tabla1[[#This Row],[Fatalities]]</f>
        <v>0</v>
      </c>
      <c r="W2196" s="50">
        <f>IFERROR(Tabla1[[#This Row],[Fatalities]]/Tabla1[[#This Row],[Aboard]],0)</f>
        <v>1</v>
      </c>
      <c r="X2196" s="51" t="str" cm="1">
        <f t="array" ref="X2196">_xlfn.IFS(Tabla1[[#This Row],[Porcentaje de muertes]]&lt;0.35,"LEVE",AND(Tabla1[[#This Row],[Porcentaje de muertes]]&gt;0.35,Tabla1[[#This Row],[Porcentaje de muertes]]&lt;0.65),"MEDIO",Tabla1[[#This Row],[Porcentaje de muertes]]&gt;0.65,"GRAVE")</f>
        <v>GRAVE</v>
      </c>
    </row>
    <row r="2197" spans="2:24" x14ac:dyDescent="0.3">
      <c r="B2197" s="9">
        <v>2196</v>
      </c>
      <c r="C2197" s="49">
        <v>24153</v>
      </c>
      <c r="D2197" s="9">
        <f>YEAR(Tabla1[[#This Row],[Date]])</f>
        <v>1966</v>
      </c>
      <c r="E2197" s="9" t="str" cm="1">
        <f t="array" ref="E2197">IFERROR(_xlfn.IFS(AND(D2197&lt;1980,D2197&gt;=1970),"70",AND(D2197&lt;1990,D2197&gt;=1980),"80",AND(D2197&lt;2000,D2197&gt;=1990),"90",AND(D2197&lt;2010,D2197&gt;=2000),"00",AND(D2197&lt;=2019,D2197&gt;=2010),"10"),"1908-1970")</f>
        <v>1908-1970</v>
      </c>
      <c r="F2197" s="3" t="s">
        <v>28931</v>
      </c>
      <c r="G2197" t="s">
        <v>14619</v>
      </c>
      <c r="H2197" t="s">
        <v>11150</v>
      </c>
      <c r="I2197" t="s">
        <v>28931</v>
      </c>
      <c r="J2197" t="s">
        <v>10991</v>
      </c>
      <c r="K2197" t="s">
        <v>14620</v>
      </c>
      <c r="L2197" s="7" t="s">
        <v>14621</v>
      </c>
      <c r="M2197">
        <v>130</v>
      </c>
      <c r="N2197">
        <v>80</v>
      </c>
      <c r="O2197">
        <v>73</v>
      </c>
      <c r="P2197">
        <v>7</v>
      </c>
      <c r="Q2197">
        <v>2</v>
      </c>
      <c r="R2197">
        <v>2</v>
      </c>
      <c r="S2197">
        <v>0</v>
      </c>
      <c r="T2197">
        <v>0</v>
      </c>
      <c r="U2197" t="s">
        <v>14622</v>
      </c>
      <c r="V2197">
        <f>Tabla1[[#This Row],[Aboard]]-Tabla1[[#This Row],[Fatalities]]</f>
        <v>78</v>
      </c>
      <c r="W2197" s="50">
        <f>IFERROR(Tabla1[[#This Row],[Fatalities]]/Tabla1[[#This Row],[Aboard]],0)</f>
        <v>2.5000000000000001E-2</v>
      </c>
      <c r="X2197" s="51" t="str" cm="1">
        <f t="array" ref="X2197">_xlfn.IFS(Tabla1[[#This Row],[Porcentaje de muertes]]&lt;0.35,"LEVE",AND(Tabla1[[#This Row],[Porcentaje de muertes]]&gt;0.35,Tabla1[[#This Row],[Porcentaje de muertes]]&lt;0.65),"MEDIO",Tabla1[[#This Row],[Porcentaje de muertes]]&gt;0.65,"GRAVE")</f>
        <v>LEVE</v>
      </c>
    </row>
    <row r="2198" spans="2:24" x14ac:dyDescent="0.3">
      <c r="B2198" s="9">
        <v>2197</v>
      </c>
      <c r="C2198" s="49">
        <v>24154</v>
      </c>
      <c r="D2198" s="9">
        <f>YEAR(Tabla1[[#This Row],[Date]])</f>
        <v>1966</v>
      </c>
      <c r="E2198" s="9" t="str" cm="1">
        <f t="array" ref="E2198">IFERROR(_xlfn.IFS(AND(D2198&lt;1980,D2198&gt;=1970),"70",AND(D2198&lt;1990,D2198&gt;=1980),"80",AND(D2198&lt;2000,D2198&gt;=1990),"90",AND(D2198&lt;2010,D2198&gt;=2000),"00",AND(D2198&lt;=2019,D2198&gt;=2010),"10"),"1908-1970")</f>
        <v>1908-1970</v>
      </c>
      <c r="F2198" s="3">
        <v>0.69097222222222221</v>
      </c>
      <c r="G2198" t="s">
        <v>14623</v>
      </c>
      <c r="H2198" t="s">
        <v>6541</v>
      </c>
      <c r="I2198">
        <v>302</v>
      </c>
      <c r="J2198" t="s">
        <v>14624</v>
      </c>
      <c r="K2198" t="s">
        <v>11431</v>
      </c>
      <c r="L2198" s="7" t="s">
        <v>14625</v>
      </c>
      <c r="M2198">
        <v>7343609</v>
      </c>
      <c r="N2198">
        <v>26</v>
      </c>
      <c r="O2198">
        <v>18</v>
      </c>
      <c r="P2198">
        <v>8</v>
      </c>
      <c r="Q2198">
        <v>26</v>
      </c>
      <c r="R2198">
        <v>18</v>
      </c>
      <c r="S2198">
        <v>8</v>
      </c>
      <c r="T2198">
        <v>0</v>
      </c>
      <c r="U2198" t="s">
        <v>14626</v>
      </c>
      <c r="V2198">
        <f>Tabla1[[#This Row],[Aboard]]-Tabla1[[#This Row],[Fatalities]]</f>
        <v>0</v>
      </c>
      <c r="W2198" s="50">
        <f>IFERROR(Tabla1[[#This Row],[Fatalities]]/Tabla1[[#This Row],[Aboard]],0)</f>
        <v>1</v>
      </c>
      <c r="X2198" s="51" t="str" cm="1">
        <f t="array" ref="X2198">_xlfn.IFS(Tabla1[[#This Row],[Porcentaje de muertes]]&lt;0.35,"LEVE",AND(Tabla1[[#This Row],[Porcentaje de muertes]]&gt;0.35,Tabla1[[#This Row],[Porcentaje de muertes]]&lt;0.65),"MEDIO",Tabla1[[#This Row],[Porcentaje de muertes]]&gt;0.65,"GRAVE")</f>
        <v>GRAVE</v>
      </c>
    </row>
    <row r="2199" spans="2:24" x14ac:dyDescent="0.3">
      <c r="B2199" s="9">
        <v>2198</v>
      </c>
      <c r="C2199" s="49">
        <v>24154</v>
      </c>
      <c r="D2199" s="9">
        <f>YEAR(Tabla1[[#This Row],[Date]])</f>
        <v>1966</v>
      </c>
      <c r="E2199" s="9" t="str" cm="1">
        <f t="array" ref="E2199">IFERROR(_xlfn.IFS(AND(D2199&lt;1980,D2199&gt;=1970),"70",AND(D2199&lt;1990,D2199&gt;=1980),"80",AND(D2199&lt;2000,D2199&gt;=1990),"90",AND(D2199&lt;2010,D2199&gt;=2000),"00",AND(D2199&lt;=2019,D2199&gt;=2010),"10"),"1908-1970")</f>
        <v>1908-1970</v>
      </c>
      <c r="F2199" s="3">
        <v>0.69097222222222221</v>
      </c>
      <c r="G2199" t="s">
        <v>14627</v>
      </c>
      <c r="H2199" t="s">
        <v>6541</v>
      </c>
      <c r="I2199">
        <v>302</v>
      </c>
      <c r="J2199" t="s">
        <v>14628</v>
      </c>
      <c r="K2199" t="s">
        <v>14629</v>
      </c>
      <c r="L2199" s="7" t="s">
        <v>14625</v>
      </c>
      <c r="M2199">
        <v>7343609</v>
      </c>
      <c r="N2199">
        <v>35</v>
      </c>
      <c r="O2199">
        <v>28</v>
      </c>
      <c r="P2199">
        <v>7</v>
      </c>
      <c r="Q2199">
        <v>35</v>
      </c>
      <c r="R2199">
        <v>28</v>
      </c>
      <c r="S2199">
        <v>7</v>
      </c>
      <c r="T2199">
        <v>0</v>
      </c>
      <c r="U2199" t="s">
        <v>14630</v>
      </c>
      <c r="V2199">
        <f>Tabla1[[#This Row],[Aboard]]-Tabla1[[#This Row],[Fatalities]]</f>
        <v>0</v>
      </c>
      <c r="W2199" s="50">
        <f>IFERROR(Tabla1[[#This Row],[Fatalities]]/Tabla1[[#This Row],[Aboard]],0)</f>
        <v>1</v>
      </c>
      <c r="X2199" s="51" t="str" cm="1">
        <f t="array" ref="X2199">_xlfn.IFS(Tabla1[[#This Row],[Porcentaje de muertes]]&lt;0.35,"LEVE",AND(Tabla1[[#This Row],[Porcentaje de muertes]]&gt;0.35,Tabla1[[#This Row],[Porcentaje de muertes]]&lt;0.65),"MEDIO",Tabla1[[#This Row],[Porcentaje de muertes]]&gt;0.65,"GRAVE")</f>
        <v>GRAVE</v>
      </c>
    </row>
    <row r="2200" spans="2:24" x14ac:dyDescent="0.3">
      <c r="B2200" s="9">
        <v>2199</v>
      </c>
      <c r="C2200" s="49">
        <v>24154</v>
      </c>
      <c r="D2200" s="9">
        <f>YEAR(Tabla1[[#This Row],[Date]])</f>
        <v>1966</v>
      </c>
      <c r="E2200" s="9" t="str" cm="1">
        <f t="array" ref="E2200">IFERROR(_xlfn.IFS(AND(D2200&lt;1980,D2200&gt;=1970),"70",AND(D2200&lt;1990,D2200&gt;=1980),"80",AND(D2200&lt;2000,D2200&gt;=1990),"90",AND(D2200&lt;2010,D2200&gt;=2000),"00",AND(D2200&lt;=2019,D2200&gt;=2010),"10"),"1908-1970")</f>
        <v>1908-1970</v>
      </c>
      <c r="F2200" s="3">
        <v>6.805555555555555E-2</v>
      </c>
      <c r="G2200" t="s">
        <v>10681</v>
      </c>
      <c r="H2200" t="s">
        <v>6541</v>
      </c>
      <c r="I2200" t="s">
        <v>28931</v>
      </c>
      <c r="J2200" t="s">
        <v>14631</v>
      </c>
      <c r="K2200" t="s">
        <v>14632</v>
      </c>
      <c r="L2200" s="7" t="s">
        <v>14631</v>
      </c>
      <c r="M2200" t="s">
        <v>14633</v>
      </c>
      <c r="N2200">
        <v>66</v>
      </c>
      <c r="O2200">
        <v>47</v>
      </c>
      <c r="P2200">
        <v>19</v>
      </c>
      <c r="Q2200">
        <v>21</v>
      </c>
      <c r="R2200">
        <v>8</v>
      </c>
      <c r="S2200">
        <v>13</v>
      </c>
      <c r="T2200">
        <v>0</v>
      </c>
      <c r="U2200" t="s">
        <v>14634</v>
      </c>
      <c r="V2200">
        <f>Tabla1[[#This Row],[Aboard]]-Tabla1[[#This Row],[Fatalities]]</f>
        <v>45</v>
      </c>
      <c r="W2200" s="50">
        <f>IFERROR(Tabla1[[#This Row],[Fatalities]]/Tabla1[[#This Row],[Aboard]],0)</f>
        <v>0.31818181818181818</v>
      </c>
      <c r="X2200" s="51" t="str" cm="1">
        <f t="array" ref="X2200">_xlfn.IFS(Tabla1[[#This Row],[Porcentaje de muertes]]&lt;0.35,"LEVE",AND(Tabla1[[#This Row],[Porcentaje de muertes]]&gt;0.35,Tabla1[[#This Row],[Porcentaje de muertes]]&lt;0.65),"MEDIO",Tabla1[[#This Row],[Porcentaje de muertes]]&gt;0.65,"GRAVE")</f>
        <v>LEVE</v>
      </c>
    </row>
    <row r="2201" spans="2:24" x14ac:dyDescent="0.3">
      <c r="B2201" s="9">
        <v>2200</v>
      </c>
      <c r="C2201" s="49">
        <v>24155</v>
      </c>
      <c r="D2201" s="9">
        <f>YEAR(Tabla1[[#This Row],[Date]])</f>
        <v>1966</v>
      </c>
      <c r="E2201" s="9" t="str" cm="1">
        <f t="array" ref="E2201">IFERROR(_xlfn.IFS(AND(D2201&lt;1980,D2201&gt;=1970),"70",AND(D2201&lt;1990,D2201&gt;=1980),"80",AND(D2201&lt;2000,D2201&gt;=1990),"90",AND(D2201&lt;2010,D2201&gt;=2000),"00",AND(D2201&lt;=2019,D2201&gt;=2010),"10"),"1908-1970")</f>
        <v>1908-1970</v>
      </c>
      <c r="F2201" s="3">
        <v>6.805555555555555E-2</v>
      </c>
      <c r="G2201" t="s">
        <v>10681</v>
      </c>
      <c r="H2201" t="s">
        <v>6541</v>
      </c>
      <c r="I2201" t="s">
        <v>14635</v>
      </c>
      <c r="J2201" t="s">
        <v>14636</v>
      </c>
      <c r="K2201" t="s">
        <v>14637</v>
      </c>
      <c r="L2201" s="7" t="s">
        <v>14631</v>
      </c>
      <c r="M2201" t="s">
        <v>14633</v>
      </c>
      <c r="N2201">
        <v>66</v>
      </c>
      <c r="O2201">
        <v>47</v>
      </c>
      <c r="P2201">
        <v>19</v>
      </c>
      <c r="Q2201">
        <v>21</v>
      </c>
      <c r="R2201">
        <v>8</v>
      </c>
      <c r="S2201">
        <v>13</v>
      </c>
      <c r="T2201">
        <v>0</v>
      </c>
      <c r="U2201" t="s">
        <v>14638</v>
      </c>
      <c r="V2201">
        <f>Tabla1[[#This Row],[Aboard]]-Tabla1[[#This Row],[Fatalities]]</f>
        <v>45</v>
      </c>
      <c r="W2201" s="50">
        <f>IFERROR(Tabla1[[#This Row],[Fatalities]]/Tabla1[[#This Row],[Aboard]],0)</f>
        <v>0.31818181818181818</v>
      </c>
      <c r="X2201" s="51" t="str" cm="1">
        <f t="array" ref="X2201">_xlfn.IFS(Tabla1[[#This Row],[Porcentaje de muertes]]&lt;0.35,"LEVE",AND(Tabla1[[#This Row],[Porcentaje de muertes]]&gt;0.35,Tabla1[[#This Row],[Porcentaje de muertes]]&lt;0.65),"MEDIO",Tabla1[[#This Row],[Porcentaje de muertes]]&gt;0.65,"GRAVE")</f>
        <v>LEVE</v>
      </c>
    </row>
    <row r="2202" spans="2:24" x14ac:dyDescent="0.3">
      <c r="B2202" s="9">
        <v>2201</v>
      </c>
      <c r="C2202" s="49">
        <v>24156</v>
      </c>
      <c r="D2202" s="9">
        <f>YEAR(Tabla1[[#This Row],[Date]])</f>
        <v>1966</v>
      </c>
      <c r="E2202" s="9" t="str" cm="1">
        <f t="array" ref="E2202">IFERROR(_xlfn.IFS(AND(D2202&lt;1980,D2202&gt;=1970),"70",AND(D2202&lt;1990,D2202&gt;=1980),"80",AND(D2202&lt;2000,D2202&gt;=1990),"90",AND(D2202&lt;2010,D2202&gt;=2000),"00",AND(D2202&lt;=2019,D2202&gt;=2010),"10"),"1908-1970")</f>
        <v>1908-1970</v>
      </c>
      <c r="F2202" s="3">
        <v>8.6111111111111124E-2</v>
      </c>
      <c r="G2202" t="s">
        <v>14639</v>
      </c>
      <c r="H2202" t="s">
        <v>14640</v>
      </c>
      <c r="I2202" t="s">
        <v>28931</v>
      </c>
      <c r="J2202" t="s">
        <v>14641</v>
      </c>
      <c r="K2202" t="s">
        <v>10428</v>
      </c>
      <c r="L2202" s="7" t="s">
        <v>14642</v>
      </c>
      <c r="M2202" t="s">
        <v>14643</v>
      </c>
      <c r="N2202">
        <v>4</v>
      </c>
      <c r="O2202">
        <v>1</v>
      </c>
      <c r="P2202">
        <v>3</v>
      </c>
      <c r="Q2202">
        <v>4</v>
      </c>
      <c r="R2202">
        <v>1</v>
      </c>
      <c r="S2202">
        <v>3</v>
      </c>
      <c r="T2202">
        <v>0</v>
      </c>
      <c r="U2202" t="s">
        <v>14644</v>
      </c>
      <c r="V2202">
        <f>Tabla1[[#This Row],[Aboard]]-Tabla1[[#This Row],[Fatalities]]</f>
        <v>0</v>
      </c>
      <c r="W2202" s="50">
        <f>IFERROR(Tabla1[[#This Row],[Fatalities]]/Tabla1[[#This Row],[Aboard]],0)</f>
        <v>1</v>
      </c>
      <c r="X2202" s="51" t="str" cm="1">
        <f t="array" ref="X2202">_xlfn.IFS(Tabla1[[#This Row],[Porcentaje de muertes]]&lt;0.35,"LEVE",AND(Tabla1[[#This Row],[Porcentaje de muertes]]&gt;0.35,Tabla1[[#This Row],[Porcentaje de muertes]]&lt;0.65),"MEDIO",Tabla1[[#This Row],[Porcentaje de muertes]]&gt;0.65,"GRAVE")</f>
        <v>GRAVE</v>
      </c>
    </row>
    <row r="2203" spans="2:24" x14ac:dyDescent="0.3">
      <c r="B2203" s="9">
        <v>2202</v>
      </c>
      <c r="C2203" s="49">
        <v>24200</v>
      </c>
      <c r="D2203" s="9">
        <f>YEAR(Tabla1[[#This Row],[Date]])</f>
        <v>1966</v>
      </c>
      <c r="E2203" s="9" t="str" cm="1">
        <f t="array" ref="E2203">IFERROR(_xlfn.IFS(AND(D2203&lt;1980,D2203&gt;=1970),"70",AND(D2203&lt;1990,D2203&gt;=1980),"80",AND(D2203&lt;2000,D2203&gt;=1990),"90",AND(D2203&lt;2010,D2203&gt;=2000),"00",AND(D2203&lt;=2019,D2203&gt;=2010),"10"),"1908-1970")</f>
        <v>1908-1970</v>
      </c>
      <c r="F2203" s="3">
        <v>0.84375</v>
      </c>
      <c r="G2203" t="s">
        <v>14645</v>
      </c>
      <c r="H2203" t="s">
        <v>7883</v>
      </c>
      <c r="I2203">
        <v>402</v>
      </c>
      <c r="J2203" t="s">
        <v>14646</v>
      </c>
      <c r="K2203" t="s">
        <v>13585</v>
      </c>
      <c r="L2203" s="7" t="s">
        <v>14647</v>
      </c>
      <c r="M2203" t="s">
        <v>14648</v>
      </c>
      <c r="N2203">
        <v>72</v>
      </c>
      <c r="O2203">
        <v>62</v>
      </c>
      <c r="P2203">
        <v>10</v>
      </c>
      <c r="Q2203">
        <v>64</v>
      </c>
      <c r="R2203">
        <v>54</v>
      </c>
      <c r="S2203">
        <v>10</v>
      </c>
      <c r="T2203">
        <v>0</v>
      </c>
      <c r="U2203" t="s">
        <v>14649</v>
      </c>
      <c r="V2203">
        <f>Tabla1[[#This Row],[Aboard]]-Tabla1[[#This Row],[Fatalities]]</f>
        <v>8</v>
      </c>
      <c r="W2203" s="50">
        <f>IFERROR(Tabla1[[#This Row],[Fatalities]]/Tabla1[[#This Row],[Aboard]],0)</f>
        <v>0.88888888888888884</v>
      </c>
      <c r="X2203" s="51" t="str" cm="1">
        <f t="array" ref="X2203">_xlfn.IFS(Tabla1[[#This Row],[Porcentaje de muertes]]&lt;0.35,"LEVE",AND(Tabla1[[#This Row],[Porcentaje de muertes]]&gt;0.35,Tabla1[[#This Row],[Porcentaje de muertes]]&lt;0.65),"MEDIO",Tabla1[[#This Row],[Porcentaje de muertes]]&gt;0.65,"GRAVE")</f>
        <v>GRAVE</v>
      </c>
    </row>
    <row r="2204" spans="2:24" x14ac:dyDescent="0.3">
      <c r="B2204" s="9">
        <v>2203</v>
      </c>
      <c r="C2204" s="49">
        <v>24230</v>
      </c>
      <c r="D2204" s="9">
        <f>YEAR(Tabla1[[#This Row],[Date]])</f>
        <v>1966</v>
      </c>
      <c r="E2204" s="9" t="str" cm="1">
        <f t="array" ref="E2204">IFERROR(_xlfn.IFS(AND(D2204&lt;1980,D2204&gt;=1970),"70",AND(D2204&lt;1990,D2204&gt;=1980),"80",AND(D2204&lt;2000,D2204&gt;=1990),"90",AND(D2204&lt;2010,D2204&gt;=2000),"00",AND(D2204&lt;=2019,D2204&gt;=2010),"10"),"1908-1970")</f>
        <v>1908-1970</v>
      </c>
      <c r="F2204" s="3">
        <v>0.59375</v>
      </c>
      <c r="G2204" t="s">
        <v>14650</v>
      </c>
      <c r="H2204" t="s">
        <v>7521</v>
      </c>
      <c r="I2204">
        <v>911</v>
      </c>
      <c r="J2204" t="s">
        <v>14651</v>
      </c>
      <c r="K2204" t="s">
        <v>14652</v>
      </c>
      <c r="L2204" s="7" t="s">
        <v>14653</v>
      </c>
      <c r="M2204" t="s">
        <v>14654</v>
      </c>
      <c r="N2204">
        <v>124</v>
      </c>
      <c r="O2204">
        <v>113</v>
      </c>
      <c r="P2204">
        <v>11</v>
      </c>
      <c r="Q2204">
        <v>124</v>
      </c>
      <c r="R2204">
        <v>113</v>
      </c>
      <c r="S2204">
        <v>11</v>
      </c>
      <c r="T2204">
        <v>0</v>
      </c>
      <c r="U2204" t="s">
        <v>14655</v>
      </c>
      <c r="V2204">
        <f>Tabla1[[#This Row],[Aboard]]-Tabla1[[#This Row],[Fatalities]]</f>
        <v>0</v>
      </c>
      <c r="W2204" s="50">
        <f>IFERROR(Tabla1[[#This Row],[Fatalities]]/Tabla1[[#This Row],[Aboard]],0)</f>
        <v>1</v>
      </c>
      <c r="X2204" s="51" t="str" cm="1">
        <f t="array" ref="X2204">_xlfn.IFS(Tabla1[[#This Row],[Porcentaje de muertes]]&lt;0.35,"LEVE",AND(Tabla1[[#This Row],[Porcentaje de muertes]]&gt;0.35,Tabla1[[#This Row],[Porcentaje de muertes]]&lt;0.65),"MEDIO",Tabla1[[#This Row],[Porcentaje de muertes]]&gt;0.65,"GRAVE")</f>
        <v>GRAVE</v>
      </c>
    </row>
    <row r="2205" spans="2:24" x14ac:dyDescent="0.3">
      <c r="B2205" s="9">
        <v>2204</v>
      </c>
      <c r="C2205" s="49">
        <v>24383</v>
      </c>
      <c r="D2205" s="9">
        <f>YEAR(Tabla1[[#This Row],[Date]])</f>
        <v>1966</v>
      </c>
      <c r="E2205" s="9" t="str" cm="1">
        <f t="array" ref="E2205">IFERROR(_xlfn.IFS(AND(D2205&lt;1980,D2205&gt;=1970),"70",AND(D2205&lt;1990,D2205&gt;=1980),"80",AND(D2205&lt;2000,D2205&gt;=1990),"90",AND(D2205&lt;2010,D2205&gt;=2000),"00",AND(D2205&lt;=2019,D2205&gt;=2010),"10"),"1908-1970")</f>
        <v>1908-1970</v>
      </c>
      <c r="F2205" s="3" t="s">
        <v>28931</v>
      </c>
      <c r="G2205" t="s">
        <v>12791</v>
      </c>
      <c r="H2205" t="s">
        <v>13590</v>
      </c>
      <c r="I2205" t="s">
        <v>28931</v>
      </c>
      <c r="J2205" t="s">
        <v>14656</v>
      </c>
      <c r="K2205" t="s">
        <v>11052</v>
      </c>
      <c r="L2205" s="7" t="s">
        <v>14657</v>
      </c>
      <c r="M2205" t="s">
        <v>14658</v>
      </c>
      <c r="N2205">
        <v>5</v>
      </c>
      <c r="O2205">
        <v>0</v>
      </c>
      <c r="P2205">
        <v>5</v>
      </c>
      <c r="Q2205">
        <v>5</v>
      </c>
      <c r="R2205">
        <v>0</v>
      </c>
      <c r="S2205">
        <v>5</v>
      </c>
      <c r="T2205">
        <v>0</v>
      </c>
      <c r="U2205" t="s">
        <v>14659</v>
      </c>
      <c r="V2205">
        <f>Tabla1[[#This Row],[Aboard]]-Tabla1[[#This Row],[Fatalities]]</f>
        <v>0</v>
      </c>
      <c r="W2205" s="50">
        <f>IFERROR(Tabla1[[#This Row],[Fatalities]]/Tabla1[[#This Row],[Aboard]],0)</f>
        <v>1</v>
      </c>
      <c r="X2205" s="51" t="str" cm="1">
        <f t="array" ref="X2205">_xlfn.IFS(Tabla1[[#This Row],[Porcentaje de muertes]]&lt;0.35,"LEVE",AND(Tabla1[[#This Row],[Porcentaje de muertes]]&gt;0.35,Tabla1[[#This Row],[Porcentaje de muertes]]&lt;0.65),"MEDIO",Tabla1[[#This Row],[Porcentaje de muertes]]&gt;0.65,"GRAVE")</f>
        <v>GRAVE</v>
      </c>
    </row>
    <row r="2206" spans="2:24" x14ac:dyDescent="0.3">
      <c r="B2206" s="9">
        <v>2205</v>
      </c>
      <c r="C2206" s="49">
        <v>24383</v>
      </c>
      <c r="D2206" s="9">
        <f>YEAR(Tabla1[[#This Row],[Date]])</f>
        <v>1966</v>
      </c>
      <c r="E2206" s="9" t="str" cm="1">
        <f t="array" ref="E2206">IFERROR(_xlfn.IFS(AND(D2206&lt;1980,D2206&gt;=1970),"70",AND(D2206&lt;1990,D2206&gt;=1980),"80",AND(D2206&lt;2000,D2206&gt;=1990),"90",AND(D2206&lt;2010,D2206&gt;=2000),"00",AND(D2206&lt;=2019,D2206&gt;=2010),"10"),"1908-1970")</f>
        <v>1908-1970</v>
      </c>
      <c r="F2206" s="3">
        <v>0.71805555555555556</v>
      </c>
      <c r="G2206" t="s">
        <v>14660</v>
      </c>
      <c r="H2206" t="s">
        <v>12072</v>
      </c>
      <c r="I2206" t="s">
        <v>28931</v>
      </c>
      <c r="J2206" t="s">
        <v>28931</v>
      </c>
      <c r="K2206" t="s">
        <v>14661</v>
      </c>
      <c r="L2206" s="7" t="s">
        <v>14662</v>
      </c>
      <c r="M2206" t="s">
        <v>14663</v>
      </c>
      <c r="N2206">
        <v>7</v>
      </c>
      <c r="O2206">
        <v>6</v>
      </c>
      <c r="P2206">
        <v>1</v>
      </c>
      <c r="Q2206">
        <v>6</v>
      </c>
      <c r="R2206">
        <v>6</v>
      </c>
      <c r="S2206">
        <v>0</v>
      </c>
      <c r="T2206">
        <v>0</v>
      </c>
      <c r="U2206" t="s">
        <v>14664</v>
      </c>
      <c r="V2206">
        <f>Tabla1[[#This Row],[Aboard]]-Tabla1[[#This Row],[Fatalities]]</f>
        <v>1</v>
      </c>
      <c r="W2206" s="50">
        <f>IFERROR(Tabla1[[#This Row],[Fatalities]]/Tabla1[[#This Row],[Aboard]],0)</f>
        <v>0.8571428571428571</v>
      </c>
      <c r="X2206" s="51" t="str" cm="1">
        <f t="array" ref="X2206">_xlfn.IFS(Tabla1[[#This Row],[Porcentaje de muertes]]&lt;0.35,"LEVE",AND(Tabla1[[#This Row],[Porcentaje de muertes]]&gt;0.35,Tabla1[[#This Row],[Porcentaje de muertes]]&lt;0.65),"MEDIO",Tabla1[[#This Row],[Porcentaje de muertes]]&gt;0.65,"GRAVE")</f>
        <v>GRAVE</v>
      </c>
    </row>
    <row r="2207" spans="2:24" x14ac:dyDescent="0.3">
      <c r="B2207" s="9">
        <v>2206</v>
      </c>
      <c r="C2207" s="49">
        <v>24184</v>
      </c>
      <c r="D2207" s="9">
        <f>YEAR(Tabla1[[#This Row],[Date]])</f>
        <v>1966</v>
      </c>
      <c r="E2207" s="9" t="str" cm="1">
        <f t="array" ref="E2207">IFERROR(_xlfn.IFS(AND(D2207&lt;1980,D2207&gt;=1970),"70",AND(D2207&lt;1990,D2207&gt;=1980),"80",AND(D2207&lt;2000,D2207&gt;=1990),"90",AND(D2207&lt;2010,D2207&gt;=2000),"00",AND(D2207&lt;=2019,D2207&gt;=2010),"10"),"1908-1970")</f>
        <v>1908-1970</v>
      </c>
      <c r="F2207" s="3">
        <v>0.77777777777777779</v>
      </c>
      <c r="G2207" t="s">
        <v>6648</v>
      </c>
      <c r="H2207" t="s">
        <v>13087</v>
      </c>
      <c r="I2207">
        <v>749</v>
      </c>
      <c r="J2207" t="s">
        <v>14665</v>
      </c>
      <c r="K2207" t="s">
        <v>14666</v>
      </c>
      <c r="L2207" s="7" t="s">
        <v>14667</v>
      </c>
      <c r="M2207">
        <v>57302009</v>
      </c>
      <c r="N2207">
        <v>30</v>
      </c>
      <c r="O2207">
        <v>25</v>
      </c>
      <c r="P2207">
        <v>5</v>
      </c>
      <c r="Q2207">
        <v>30</v>
      </c>
      <c r="R2207">
        <v>25</v>
      </c>
      <c r="S2207">
        <v>5</v>
      </c>
      <c r="T2207">
        <v>0</v>
      </c>
      <c r="U2207" t="s">
        <v>14668</v>
      </c>
      <c r="V2207">
        <f>Tabla1[[#This Row],[Aboard]]-Tabla1[[#This Row],[Fatalities]]</f>
        <v>0</v>
      </c>
      <c r="W2207" s="50">
        <f>IFERROR(Tabla1[[#This Row],[Fatalities]]/Tabla1[[#This Row],[Aboard]],0)</f>
        <v>1</v>
      </c>
      <c r="X2207" s="51" t="str" cm="1">
        <f t="array" ref="X2207">_xlfn.IFS(Tabla1[[#This Row],[Porcentaje de muertes]]&lt;0.35,"LEVE",AND(Tabla1[[#This Row],[Porcentaje de muertes]]&gt;0.35,Tabla1[[#This Row],[Porcentaje de muertes]]&lt;0.65),"MEDIO",Tabla1[[#This Row],[Porcentaje de muertes]]&gt;0.65,"GRAVE")</f>
        <v>GRAVE</v>
      </c>
    </row>
    <row r="2208" spans="2:24" x14ac:dyDescent="0.3">
      <c r="B2208" s="9">
        <v>2207</v>
      </c>
      <c r="C2208" s="49">
        <v>24186</v>
      </c>
      <c r="D2208" s="9">
        <f>YEAR(Tabla1[[#This Row],[Date]])</f>
        <v>1966</v>
      </c>
      <c r="E2208" s="9" t="str" cm="1">
        <f t="array" ref="E2208">IFERROR(_xlfn.IFS(AND(D2208&lt;1980,D2208&gt;=1970),"70",AND(D2208&lt;1990,D2208&gt;=1980),"80",AND(D2208&lt;2000,D2208&gt;=1990),"90",AND(D2208&lt;2010,D2208&gt;=2000),"00",AND(D2208&lt;=2019,D2208&gt;=2010),"10"),"1908-1970")</f>
        <v>1908-1970</v>
      </c>
      <c r="F2208" s="3" t="s">
        <v>28931</v>
      </c>
      <c r="G2208" t="s">
        <v>14669</v>
      </c>
      <c r="H2208" t="s">
        <v>14670</v>
      </c>
      <c r="I2208" t="s">
        <v>28931</v>
      </c>
      <c r="J2208" t="s">
        <v>14671</v>
      </c>
      <c r="K2208" t="s">
        <v>10927</v>
      </c>
      <c r="L2208" s="7" t="s">
        <v>14672</v>
      </c>
      <c r="M2208">
        <v>22473</v>
      </c>
      <c r="N2208">
        <v>2</v>
      </c>
      <c r="O2208">
        <v>0</v>
      </c>
      <c r="P2208">
        <v>2</v>
      </c>
      <c r="Q2208">
        <v>2</v>
      </c>
      <c r="R2208">
        <v>0</v>
      </c>
      <c r="S2208">
        <v>2</v>
      </c>
      <c r="T2208">
        <v>0</v>
      </c>
      <c r="U2208" t="s">
        <v>14673</v>
      </c>
      <c r="V2208">
        <f>Tabla1[[#This Row],[Aboard]]-Tabla1[[#This Row],[Fatalities]]</f>
        <v>0</v>
      </c>
      <c r="W2208" s="50">
        <f>IFERROR(Tabla1[[#This Row],[Fatalities]]/Tabla1[[#This Row],[Aboard]],0)</f>
        <v>1</v>
      </c>
      <c r="X2208" s="51" t="str" cm="1">
        <f t="array" ref="X2208">_xlfn.IFS(Tabla1[[#This Row],[Porcentaje de muertes]]&lt;0.35,"LEVE",AND(Tabla1[[#This Row],[Porcentaje de muertes]]&gt;0.35,Tabla1[[#This Row],[Porcentaje de muertes]]&lt;0.65),"MEDIO",Tabla1[[#This Row],[Porcentaje de muertes]]&gt;0.65,"GRAVE")</f>
        <v>GRAVE</v>
      </c>
    </row>
    <row r="2209" spans="2:24" x14ac:dyDescent="0.3">
      <c r="B2209" s="9">
        <v>2208</v>
      </c>
      <c r="C2209" s="49">
        <v>24219</v>
      </c>
      <c r="D2209" s="9">
        <f>YEAR(Tabla1[[#This Row],[Date]])</f>
        <v>1966</v>
      </c>
      <c r="E2209" s="9" t="str" cm="1">
        <f t="array" ref="E2209">IFERROR(_xlfn.IFS(AND(D2209&lt;1980,D2209&gt;=1970),"70",AND(D2209&lt;1990,D2209&gt;=1980),"80",AND(D2209&lt;2000,D2209&gt;=1990),"90",AND(D2209&lt;2010,D2209&gt;=2000),"00",AND(D2209&lt;=2019,D2209&gt;=2010),"10"),"1908-1970")</f>
        <v>1908-1970</v>
      </c>
      <c r="F2209" s="3">
        <v>0.85416666666666663</v>
      </c>
      <c r="G2209" t="s">
        <v>14674</v>
      </c>
      <c r="H2209" t="s">
        <v>14675</v>
      </c>
      <c r="I2209" t="s">
        <v>14676</v>
      </c>
      <c r="J2209" t="s">
        <v>14677</v>
      </c>
      <c r="K2209" t="s">
        <v>12904</v>
      </c>
      <c r="L2209" s="7" t="s">
        <v>14678</v>
      </c>
      <c r="M2209">
        <v>1136</v>
      </c>
      <c r="N2209">
        <v>98</v>
      </c>
      <c r="O2209">
        <v>93</v>
      </c>
      <c r="P2209">
        <v>5</v>
      </c>
      <c r="Q2209">
        <v>83</v>
      </c>
      <c r="R2209">
        <v>78</v>
      </c>
      <c r="S2209">
        <v>5</v>
      </c>
      <c r="T2209">
        <v>0</v>
      </c>
      <c r="U2209" t="s">
        <v>14679</v>
      </c>
      <c r="V2209">
        <f>Tabla1[[#This Row],[Aboard]]-Tabla1[[#This Row],[Fatalities]]</f>
        <v>15</v>
      </c>
      <c r="W2209" s="50">
        <f>IFERROR(Tabla1[[#This Row],[Fatalities]]/Tabla1[[#This Row],[Aboard]],0)</f>
        <v>0.84693877551020413</v>
      </c>
      <c r="X2209" s="51" t="str" cm="1">
        <f t="array" ref="X2209">_xlfn.IFS(Tabla1[[#This Row],[Porcentaje de muertes]]&lt;0.35,"LEVE",AND(Tabla1[[#This Row],[Porcentaje de muertes]]&gt;0.35,Tabla1[[#This Row],[Porcentaje de muertes]]&lt;0.65),"MEDIO",Tabla1[[#This Row],[Porcentaje de muertes]]&gt;0.65,"GRAVE")</f>
        <v>GRAVE</v>
      </c>
    </row>
    <row r="2210" spans="2:24" x14ac:dyDescent="0.3">
      <c r="B2210" s="9">
        <v>2209</v>
      </c>
      <c r="C2210" s="49">
        <v>24220</v>
      </c>
      <c r="D2210" s="9">
        <f>YEAR(Tabla1[[#This Row],[Date]])</f>
        <v>1966</v>
      </c>
      <c r="E2210" s="9" t="str" cm="1">
        <f t="array" ref="E2210">IFERROR(_xlfn.IFS(AND(D2210&lt;1980,D2210&gt;=1970),"70",AND(D2210&lt;1990,D2210&gt;=1980),"80",AND(D2210&lt;2000,D2210&gt;=1990),"90",AND(D2210&lt;2010,D2210&gt;=2000),"00",AND(D2210&lt;=2019,D2210&gt;=2010),"10"),"1908-1970")</f>
        <v>1908-1970</v>
      </c>
      <c r="F2210" s="3">
        <v>0.3354166666666667</v>
      </c>
      <c r="G2210" t="s">
        <v>14680</v>
      </c>
      <c r="H2210" t="s">
        <v>6541</v>
      </c>
      <c r="I2210">
        <v>2723</v>
      </c>
      <c r="J2210" t="s">
        <v>14681</v>
      </c>
      <c r="K2210" t="s">
        <v>12541</v>
      </c>
      <c r="L2210" s="7" t="s">
        <v>14682</v>
      </c>
      <c r="M2210">
        <v>146000310</v>
      </c>
      <c r="N2210">
        <v>33</v>
      </c>
      <c r="O2210">
        <v>28</v>
      </c>
      <c r="P2210">
        <v>5</v>
      </c>
      <c r="Q2210">
        <v>33</v>
      </c>
      <c r="R2210">
        <v>28</v>
      </c>
      <c r="S2210">
        <v>5</v>
      </c>
      <c r="T2210">
        <v>0</v>
      </c>
      <c r="U2210" t="s">
        <v>14683</v>
      </c>
      <c r="V2210">
        <f>Tabla1[[#This Row],[Aboard]]-Tabla1[[#This Row],[Fatalities]]</f>
        <v>0</v>
      </c>
      <c r="W2210" s="50">
        <f>IFERROR(Tabla1[[#This Row],[Fatalities]]/Tabla1[[#This Row],[Aboard]],0)</f>
        <v>1</v>
      </c>
      <c r="X2210" s="51" t="str" cm="1">
        <f t="array" ref="X2210">_xlfn.IFS(Tabla1[[#This Row],[Porcentaje de muertes]]&lt;0.35,"LEVE",AND(Tabla1[[#This Row],[Porcentaje de muertes]]&gt;0.35,Tabla1[[#This Row],[Porcentaje de muertes]]&lt;0.65),"MEDIO",Tabla1[[#This Row],[Porcentaje de muertes]]&gt;0.65,"GRAVE")</f>
        <v>GRAVE</v>
      </c>
    </row>
    <row r="2211" spans="2:24" x14ac:dyDescent="0.3">
      <c r="B2211" s="9">
        <v>2210</v>
      </c>
      <c r="C2211" s="49">
        <v>24224</v>
      </c>
      <c r="D2211" s="9">
        <f>YEAR(Tabla1[[#This Row],[Date]])</f>
        <v>1966</v>
      </c>
      <c r="E2211" s="9" t="str" cm="1">
        <f t="array" ref="E2211">IFERROR(_xlfn.IFS(AND(D2211&lt;1980,D2211&gt;=1970),"70",AND(D2211&lt;1990,D2211&gt;=1980),"80",AND(D2211&lt;2000,D2211&gt;=1990),"90",AND(D2211&lt;2010,D2211&gt;=2000),"00",AND(D2211&lt;=2019,D2211&gt;=2010),"10"),"1908-1970")</f>
        <v>1908-1970</v>
      </c>
      <c r="F2211" s="3">
        <v>0.33680555555555558</v>
      </c>
      <c r="G2211" t="s">
        <v>14684</v>
      </c>
      <c r="H2211" t="s">
        <v>9667</v>
      </c>
      <c r="I2211">
        <v>501</v>
      </c>
      <c r="J2211" t="s">
        <v>11634</v>
      </c>
      <c r="K2211" t="s">
        <v>10167</v>
      </c>
      <c r="L2211" s="7" t="s">
        <v>14685</v>
      </c>
      <c r="M2211">
        <v>2521</v>
      </c>
      <c r="N2211">
        <v>49</v>
      </c>
      <c r="O2211">
        <v>43</v>
      </c>
      <c r="P2211">
        <v>6</v>
      </c>
      <c r="Q2211">
        <v>49</v>
      </c>
      <c r="R2211">
        <v>43</v>
      </c>
      <c r="S2211">
        <v>6</v>
      </c>
      <c r="T2211">
        <v>0</v>
      </c>
      <c r="U2211" t="s">
        <v>14686</v>
      </c>
      <c r="V2211">
        <f>Tabla1[[#This Row],[Aboard]]-Tabla1[[#This Row],[Fatalities]]</f>
        <v>0</v>
      </c>
      <c r="W2211" s="50">
        <f>IFERROR(Tabla1[[#This Row],[Fatalities]]/Tabla1[[#This Row],[Aboard]],0)</f>
        <v>1</v>
      </c>
      <c r="X2211" s="51" t="str" cm="1">
        <f t="array" ref="X2211">_xlfn.IFS(Tabla1[[#This Row],[Porcentaje de muertes]]&lt;0.35,"LEVE",AND(Tabla1[[#This Row],[Porcentaje de muertes]]&gt;0.35,Tabla1[[#This Row],[Porcentaje de muertes]]&lt;0.65),"MEDIO",Tabla1[[#This Row],[Porcentaje de muertes]]&gt;0.65,"GRAVE")</f>
        <v>GRAVE</v>
      </c>
    </row>
    <row r="2212" spans="2:24" x14ac:dyDescent="0.3">
      <c r="B2212" s="9">
        <v>2211</v>
      </c>
      <c r="C2212" s="49">
        <v>24202</v>
      </c>
      <c r="D2212" s="9">
        <f>YEAR(Tabla1[[#This Row],[Date]])</f>
        <v>1966</v>
      </c>
      <c r="E2212" s="9" t="str" cm="1">
        <f t="array" ref="E2212">IFERROR(_xlfn.IFS(AND(D2212&lt;1980,D2212&gt;=1970),"70",AND(D2212&lt;1990,D2212&gt;=1980),"80",AND(D2212&lt;2000,D2212&gt;=1990),"90",AND(D2212&lt;2010,D2212&gt;=2000),"00",AND(D2212&lt;=2019,D2212&gt;=2010),"10"),"1908-1970")</f>
        <v>1908-1970</v>
      </c>
      <c r="F2212" s="3">
        <v>0.33333333333333331</v>
      </c>
      <c r="G2212" t="s">
        <v>14687</v>
      </c>
      <c r="H2212" t="s">
        <v>5017</v>
      </c>
      <c r="I2212" t="s">
        <v>28931</v>
      </c>
      <c r="J2212" t="s">
        <v>28931</v>
      </c>
      <c r="K2212" t="s">
        <v>14688</v>
      </c>
      <c r="L2212" s="7" t="s">
        <v>14689</v>
      </c>
      <c r="M2212" t="s">
        <v>28931</v>
      </c>
      <c r="N2212">
        <v>20</v>
      </c>
      <c r="O2212">
        <v>17</v>
      </c>
      <c r="P2212">
        <v>3</v>
      </c>
      <c r="Q2212">
        <v>20</v>
      </c>
      <c r="R2212">
        <v>17</v>
      </c>
      <c r="S2212">
        <v>3</v>
      </c>
      <c r="T2212">
        <v>0</v>
      </c>
      <c r="U2212" t="s">
        <v>14690</v>
      </c>
      <c r="V2212">
        <f>Tabla1[[#This Row],[Aboard]]-Tabla1[[#This Row],[Fatalities]]</f>
        <v>0</v>
      </c>
      <c r="W2212" s="50">
        <f>IFERROR(Tabla1[[#This Row],[Fatalities]]/Tabla1[[#This Row],[Aboard]],0)</f>
        <v>1</v>
      </c>
      <c r="X2212" s="51" t="str" cm="1">
        <f t="array" ref="X2212">_xlfn.IFS(Tabla1[[#This Row],[Porcentaje de muertes]]&lt;0.35,"LEVE",AND(Tabla1[[#This Row],[Porcentaje de muertes]]&gt;0.35,Tabla1[[#This Row],[Porcentaje de muertes]]&lt;0.65),"MEDIO",Tabla1[[#This Row],[Porcentaje de muertes]]&gt;0.65,"GRAVE")</f>
        <v>GRAVE</v>
      </c>
    </row>
    <row r="2213" spans="2:24" x14ac:dyDescent="0.3">
      <c r="B2213" s="9">
        <v>2212</v>
      </c>
      <c r="C2213" s="49">
        <v>24287</v>
      </c>
      <c r="D2213" s="9">
        <f>YEAR(Tabla1[[#This Row],[Date]])</f>
        <v>1966</v>
      </c>
      <c r="E2213" s="9" t="str" cm="1">
        <f t="array" ref="E2213">IFERROR(_xlfn.IFS(AND(D2213&lt;1980,D2213&gt;=1970),"70",AND(D2213&lt;1990,D2213&gt;=1980),"80",AND(D2213&lt;2000,D2213&gt;=1990),"90",AND(D2213&lt;2010,D2213&gt;=2000),"00",AND(D2213&lt;=2019,D2213&gt;=2010),"10"),"1908-1970")</f>
        <v>1908-1970</v>
      </c>
      <c r="F2213" s="3">
        <v>0.50277777777777777</v>
      </c>
      <c r="G2213" t="s">
        <v>14691</v>
      </c>
      <c r="H2213" t="s">
        <v>8992</v>
      </c>
      <c r="I2213">
        <v>785</v>
      </c>
      <c r="J2213" t="s">
        <v>14692</v>
      </c>
      <c r="K2213" t="s">
        <v>7057</v>
      </c>
      <c r="L2213" s="7" t="s">
        <v>14693</v>
      </c>
      <c r="M2213">
        <v>20573</v>
      </c>
      <c r="N2213">
        <v>26</v>
      </c>
      <c r="O2213">
        <v>24</v>
      </c>
      <c r="P2213">
        <v>2</v>
      </c>
      <c r="Q2213">
        <v>24</v>
      </c>
      <c r="R2213">
        <v>22</v>
      </c>
      <c r="S2213">
        <v>2</v>
      </c>
      <c r="T2213">
        <v>0</v>
      </c>
      <c r="U2213" t="s">
        <v>14694</v>
      </c>
      <c r="V2213">
        <f>Tabla1[[#This Row],[Aboard]]-Tabla1[[#This Row],[Fatalities]]</f>
        <v>2</v>
      </c>
      <c r="W2213" s="50">
        <f>IFERROR(Tabla1[[#This Row],[Fatalities]]/Tabla1[[#This Row],[Aboard]],0)</f>
        <v>0.92307692307692313</v>
      </c>
      <c r="X2213" s="51" t="str" cm="1">
        <f t="array" ref="X2213">_xlfn.IFS(Tabla1[[#This Row],[Porcentaje de muertes]]&lt;0.35,"LEVE",AND(Tabla1[[#This Row],[Porcentaje de muertes]]&gt;0.35,Tabla1[[#This Row],[Porcentaje de muertes]]&lt;0.65),"MEDIO",Tabla1[[#This Row],[Porcentaje de muertes]]&gt;0.65,"GRAVE")</f>
        <v>GRAVE</v>
      </c>
    </row>
    <row r="2214" spans="2:24" x14ac:dyDescent="0.3">
      <c r="B2214" s="9">
        <v>2213</v>
      </c>
      <c r="C2214" s="49">
        <v>24204</v>
      </c>
      <c r="D2214" s="9">
        <f>YEAR(Tabla1[[#This Row],[Date]])</f>
        <v>1966</v>
      </c>
      <c r="E2214" s="9" t="str" cm="1">
        <f t="array" ref="E2214">IFERROR(_xlfn.IFS(AND(D2214&lt;1980,D2214&gt;=1970),"70",AND(D2214&lt;1990,D2214&gt;=1980),"80",AND(D2214&lt;2000,D2214&gt;=1990),"90",AND(D2214&lt;2010,D2214&gt;=2000),"00",AND(D2214&lt;=2019,D2214&gt;=2010),"10"),"1908-1970")</f>
        <v>1908-1970</v>
      </c>
      <c r="F2214" s="3">
        <v>0.66597222222222219</v>
      </c>
      <c r="G2214" t="s">
        <v>14695</v>
      </c>
      <c r="H2214" t="s">
        <v>14696</v>
      </c>
      <c r="I2214" t="s">
        <v>28931</v>
      </c>
      <c r="J2214" t="s">
        <v>6190</v>
      </c>
      <c r="K2214" t="s">
        <v>14697</v>
      </c>
      <c r="L2214" s="7" t="s">
        <v>14698</v>
      </c>
      <c r="M2214" t="s">
        <v>14699</v>
      </c>
      <c r="N2214">
        <v>5</v>
      </c>
      <c r="O2214">
        <v>0</v>
      </c>
      <c r="P2214">
        <v>5</v>
      </c>
      <c r="Q2214">
        <v>2</v>
      </c>
      <c r="R2214">
        <v>0</v>
      </c>
      <c r="S2214">
        <v>2</v>
      </c>
      <c r="T2214">
        <v>0</v>
      </c>
      <c r="U2214" t="s">
        <v>14700</v>
      </c>
      <c r="V2214">
        <f>Tabla1[[#This Row],[Aboard]]-Tabla1[[#This Row],[Fatalities]]</f>
        <v>3</v>
      </c>
      <c r="W2214" s="50">
        <f>IFERROR(Tabla1[[#This Row],[Fatalities]]/Tabla1[[#This Row],[Aboard]],0)</f>
        <v>0.4</v>
      </c>
      <c r="X2214" s="51" t="str" cm="1">
        <f t="array" ref="X2214">_xlfn.IFS(Tabla1[[#This Row],[Porcentaje de muertes]]&lt;0.35,"LEVE",AND(Tabla1[[#This Row],[Porcentaje de muertes]]&gt;0.35,Tabla1[[#This Row],[Porcentaje de muertes]]&lt;0.65),"MEDIO",Tabla1[[#This Row],[Porcentaje de muertes]]&gt;0.65,"GRAVE")</f>
        <v>MEDIO</v>
      </c>
    </row>
    <row r="2215" spans="2:24" x14ac:dyDescent="0.3">
      <c r="B2215" s="9">
        <v>2214</v>
      </c>
      <c r="C2215" s="49">
        <v>24418</v>
      </c>
      <c r="D2215" s="9">
        <f>YEAR(Tabla1[[#This Row],[Date]])</f>
        <v>1966</v>
      </c>
      <c r="E2215" s="9" t="str" cm="1">
        <f t="array" ref="E2215">IFERROR(_xlfn.IFS(AND(D2215&lt;1980,D2215&gt;=1970),"70",AND(D2215&lt;1990,D2215&gt;=1980),"80",AND(D2215&lt;2000,D2215&gt;=1990),"90",AND(D2215&lt;2010,D2215&gt;=2000),"00",AND(D2215&lt;=2019,D2215&gt;=2010),"10"),"1908-1970")</f>
        <v>1908-1970</v>
      </c>
      <c r="F2215" s="3">
        <v>0.86805555555555547</v>
      </c>
      <c r="G2215" t="s">
        <v>14701</v>
      </c>
      <c r="H2215" t="s">
        <v>14702</v>
      </c>
      <c r="I2215" t="s">
        <v>28931</v>
      </c>
      <c r="J2215" t="s">
        <v>28931</v>
      </c>
      <c r="K2215" t="s">
        <v>14703</v>
      </c>
      <c r="L2215" s="7" t="s">
        <v>14704</v>
      </c>
      <c r="M2215">
        <v>4449</v>
      </c>
      <c r="N2215">
        <v>3</v>
      </c>
      <c r="O2215">
        <v>2</v>
      </c>
      <c r="P2215">
        <v>1</v>
      </c>
      <c r="Q2215">
        <v>3</v>
      </c>
      <c r="R2215">
        <v>2</v>
      </c>
      <c r="S2215">
        <v>1</v>
      </c>
      <c r="T2215">
        <v>0</v>
      </c>
      <c r="U2215" t="s">
        <v>14705</v>
      </c>
      <c r="V2215">
        <f>Tabla1[[#This Row],[Aboard]]-Tabla1[[#This Row],[Fatalities]]</f>
        <v>0</v>
      </c>
      <c r="W2215" s="50">
        <f>IFERROR(Tabla1[[#This Row],[Fatalities]]/Tabla1[[#This Row],[Aboard]],0)</f>
        <v>1</v>
      </c>
      <c r="X2215" s="51" t="str" cm="1">
        <f t="array" ref="X2215">_xlfn.IFS(Tabla1[[#This Row],[Porcentaje de muertes]]&lt;0.35,"LEVE",AND(Tabla1[[#This Row],[Porcentaje de muertes]]&gt;0.35,Tabla1[[#This Row],[Porcentaje de muertes]]&lt;0.65),"MEDIO",Tabla1[[#This Row],[Porcentaje de muertes]]&gt;0.65,"GRAVE")</f>
        <v>GRAVE</v>
      </c>
    </row>
    <row r="2216" spans="2:24" x14ac:dyDescent="0.3">
      <c r="B2216" s="9">
        <v>2215</v>
      </c>
      <c r="C2216" s="49">
        <v>24418</v>
      </c>
      <c r="D2216" s="9">
        <f>YEAR(Tabla1[[#This Row],[Date]])</f>
        <v>1966</v>
      </c>
      <c r="E2216" s="9" t="str" cm="1">
        <f t="array" ref="E2216">IFERROR(_xlfn.IFS(AND(D2216&lt;1980,D2216&gt;=1970),"70",AND(D2216&lt;1990,D2216&gt;=1980),"80",AND(D2216&lt;2000,D2216&gt;=1990),"90",AND(D2216&lt;2010,D2216&gt;=2000),"00",AND(D2216&lt;=2019,D2216&gt;=2010),"10"),"1908-1970")</f>
        <v>1908-1970</v>
      </c>
      <c r="F2216" s="3" t="s">
        <v>28931</v>
      </c>
      <c r="G2216" t="s">
        <v>14706</v>
      </c>
      <c r="H2216" t="s">
        <v>14707</v>
      </c>
      <c r="I2216" t="s">
        <v>28931</v>
      </c>
      <c r="J2216" t="s">
        <v>14708</v>
      </c>
      <c r="K2216" t="s">
        <v>8433</v>
      </c>
      <c r="L2216" s="7" t="s">
        <v>14709</v>
      </c>
      <c r="M2216">
        <v>33215</v>
      </c>
      <c r="N2216">
        <v>8</v>
      </c>
      <c r="O2216">
        <v>0</v>
      </c>
      <c r="P2216">
        <v>8</v>
      </c>
      <c r="Q2216">
        <v>8</v>
      </c>
      <c r="R2216">
        <v>0</v>
      </c>
      <c r="S2216">
        <v>8</v>
      </c>
      <c r="T2216">
        <v>0</v>
      </c>
      <c r="U2216" t="s">
        <v>14710</v>
      </c>
      <c r="V2216">
        <f>Tabla1[[#This Row],[Aboard]]-Tabla1[[#This Row],[Fatalities]]</f>
        <v>0</v>
      </c>
      <c r="W2216" s="50">
        <f>IFERROR(Tabla1[[#This Row],[Fatalities]]/Tabla1[[#This Row],[Aboard]],0)</f>
        <v>1</v>
      </c>
      <c r="X2216" s="51" t="str" cm="1">
        <f t="array" ref="X2216">_xlfn.IFS(Tabla1[[#This Row],[Porcentaje de muertes]]&lt;0.35,"LEVE",AND(Tabla1[[#This Row],[Porcentaje de muertes]]&gt;0.35,Tabla1[[#This Row],[Porcentaje de muertes]]&lt;0.65),"MEDIO",Tabla1[[#This Row],[Porcentaje de muertes]]&gt;0.65,"GRAVE")</f>
        <v>GRAVE</v>
      </c>
    </row>
    <row r="2217" spans="2:24" x14ac:dyDescent="0.3">
      <c r="B2217" s="9">
        <v>2216</v>
      </c>
      <c r="C2217" s="49">
        <v>24303</v>
      </c>
      <c r="D2217" s="9">
        <f>YEAR(Tabla1[[#This Row],[Date]])</f>
        <v>1966</v>
      </c>
      <c r="E2217" s="9" t="str" cm="1">
        <f t="array" ref="E2217">IFERROR(_xlfn.IFS(AND(D2217&lt;1980,D2217&gt;=1970),"70",AND(D2217&lt;1990,D2217&gt;=1980),"80",AND(D2217&lt;2000,D2217&gt;=1990),"90",AND(D2217&lt;2010,D2217&gt;=2000),"00",AND(D2217&lt;=2019,D2217&gt;=2010),"10"),"1908-1970")</f>
        <v>1908-1970</v>
      </c>
      <c r="F2217" s="3" t="s">
        <v>28931</v>
      </c>
      <c r="G2217" t="s">
        <v>14711</v>
      </c>
      <c r="H2217" t="s">
        <v>10785</v>
      </c>
      <c r="I2217" t="s">
        <v>28931</v>
      </c>
      <c r="J2217" t="s">
        <v>28931</v>
      </c>
      <c r="K2217" t="s">
        <v>14712</v>
      </c>
      <c r="L2217" s="7">
        <v>24142</v>
      </c>
      <c r="M2217">
        <v>3768</v>
      </c>
      <c r="N2217">
        <v>10</v>
      </c>
      <c r="O2217">
        <v>0</v>
      </c>
      <c r="P2217">
        <v>10</v>
      </c>
      <c r="Q2217">
        <v>10</v>
      </c>
      <c r="R2217">
        <v>0</v>
      </c>
      <c r="S2217">
        <v>10</v>
      </c>
      <c r="T2217">
        <v>0</v>
      </c>
      <c r="U2217" t="s">
        <v>10120</v>
      </c>
      <c r="V2217">
        <f>Tabla1[[#This Row],[Aboard]]-Tabla1[[#This Row],[Fatalities]]</f>
        <v>0</v>
      </c>
      <c r="W2217" s="50">
        <f>IFERROR(Tabla1[[#This Row],[Fatalities]]/Tabla1[[#This Row],[Aboard]],0)</f>
        <v>1</v>
      </c>
      <c r="X2217" s="51" t="str" cm="1">
        <f t="array" ref="X2217">_xlfn.IFS(Tabla1[[#This Row],[Porcentaje de muertes]]&lt;0.35,"LEVE",AND(Tabla1[[#This Row],[Porcentaje de muertes]]&gt;0.35,Tabla1[[#This Row],[Porcentaje de muertes]]&lt;0.65),"MEDIO",Tabla1[[#This Row],[Porcentaje de muertes]]&gt;0.65,"GRAVE")</f>
        <v>GRAVE</v>
      </c>
    </row>
    <row r="2218" spans="2:24" x14ac:dyDescent="0.3">
      <c r="B2218" s="9">
        <v>2217</v>
      </c>
      <c r="C2218" s="49">
        <v>24312</v>
      </c>
      <c r="D2218" s="9">
        <f>YEAR(Tabla1[[#This Row],[Date]])</f>
        <v>1966</v>
      </c>
      <c r="E2218" s="9" t="str" cm="1">
        <f t="array" ref="E2218">IFERROR(_xlfn.IFS(AND(D2218&lt;1980,D2218&gt;=1970),"70",AND(D2218&lt;1990,D2218&gt;=1980),"80",AND(D2218&lt;2000,D2218&gt;=1990),"90",AND(D2218&lt;2010,D2218&gt;=2000),"00",AND(D2218&lt;=2019,D2218&gt;=2010),"10"),"1908-1970")</f>
        <v>1908-1970</v>
      </c>
      <c r="F2218" s="3">
        <v>0.76874999999999993</v>
      </c>
      <c r="G2218" t="s">
        <v>14713</v>
      </c>
      <c r="H2218" t="s">
        <v>14714</v>
      </c>
      <c r="I2218" t="s">
        <v>8152</v>
      </c>
      <c r="J2218" t="s">
        <v>28931</v>
      </c>
      <c r="K2218" t="s">
        <v>14715</v>
      </c>
      <c r="L2218" s="7" t="s">
        <v>14716</v>
      </c>
      <c r="M2218" t="s">
        <v>28931</v>
      </c>
      <c r="N2218">
        <v>4</v>
      </c>
      <c r="O2218">
        <v>3</v>
      </c>
      <c r="P2218">
        <v>1</v>
      </c>
      <c r="Q2218">
        <v>4</v>
      </c>
      <c r="R2218">
        <v>3</v>
      </c>
      <c r="S2218">
        <v>1</v>
      </c>
      <c r="T2218">
        <v>0</v>
      </c>
      <c r="U2218" t="s">
        <v>14717</v>
      </c>
      <c r="V2218">
        <f>Tabla1[[#This Row],[Aboard]]-Tabla1[[#This Row],[Fatalities]]</f>
        <v>0</v>
      </c>
      <c r="W2218" s="50">
        <f>IFERROR(Tabla1[[#This Row],[Fatalities]]/Tabla1[[#This Row],[Aboard]],0)</f>
        <v>1</v>
      </c>
      <c r="X2218" s="51" t="str" cm="1">
        <f t="array" ref="X2218">_xlfn.IFS(Tabla1[[#This Row],[Porcentaje de muertes]]&lt;0.35,"LEVE",AND(Tabla1[[#This Row],[Porcentaje de muertes]]&gt;0.35,Tabla1[[#This Row],[Porcentaje de muertes]]&lt;0.65),"MEDIO",Tabla1[[#This Row],[Porcentaje de muertes]]&gt;0.65,"GRAVE")</f>
        <v>GRAVE</v>
      </c>
    </row>
    <row r="2219" spans="2:24" x14ac:dyDescent="0.3">
      <c r="B2219" s="9">
        <v>2218</v>
      </c>
      <c r="C2219" s="49">
        <v>24174</v>
      </c>
      <c r="D2219" s="9">
        <f>YEAR(Tabla1[[#This Row],[Date]])</f>
        <v>1966</v>
      </c>
      <c r="E2219" s="9" t="str" cm="1">
        <f t="array" ref="E2219">IFERROR(_xlfn.IFS(AND(D2219&lt;1980,D2219&gt;=1970),"70",AND(D2219&lt;1990,D2219&gt;=1980),"80",AND(D2219&lt;2000,D2219&gt;=1990),"90",AND(D2219&lt;2010,D2219&gt;=2000),"00",AND(D2219&lt;=2019,D2219&gt;=2010),"10"),"1908-1970")</f>
        <v>1908-1970</v>
      </c>
      <c r="F2219" s="3" t="s">
        <v>28931</v>
      </c>
      <c r="G2219" t="s">
        <v>14718</v>
      </c>
      <c r="H2219" t="s">
        <v>14048</v>
      </c>
      <c r="I2219" t="s">
        <v>28931</v>
      </c>
      <c r="J2219" t="s">
        <v>14719</v>
      </c>
      <c r="K2219" t="s">
        <v>8433</v>
      </c>
      <c r="L2219" s="7" t="s">
        <v>14720</v>
      </c>
      <c r="M2219">
        <v>33457</v>
      </c>
      <c r="N2219">
        <v>3</v>
      </c>
      <c r="O2219">
        <v>0</v>
      </c>
      <c r="P2219">
        <v>3</v>
      </c>
      <c r="Q2219">
        <v>3</v>
      </c>
      <c r="R2219">
        <v>0</v>
      </c>
      <c r="S2219">
        <v>3</v>
      </c>
      <c r="T2219">
        <v>0</v>
      </c>
      <c r="U2219" t="s">
        <v>14721</v>
      </c>
      <c r="V2219">
        <f>Tabla1[[#This Row],[Aboard]]-Tabla1[[#This Row],[Fatalities]]</f>
        <v>0</v>
      </c>
      <c r="W2219" s="50">
        <f>IFERROR(Tabla1[[#This Row],[Fatalities]]/Tabla1[[#This Row],[Aboard]],0)</f>
        <v>1</v>
      </c>
      <c r="X2219" s="51" t="str" cm="1">
        <f t="array" ref="X2219">_xlfn.IFS(Tabla1[[#This Row],[Porcentaje de muertes]]&lt;0.35,"LEVE",AND(Tabla1[[#This Row],[Porcentaje de muertes]]&gt;0.35,Tabla1[[#This Row],[Porcentaje de muertes]]&lt;0.65),"MEDIO",Tabla1[[#This Row],[Porcentaje de muertes]]&gt;0.65,"GRAVE")</f>
        <v>GRAVE</v>
      </c>
    </row>
    <row r="2220" spans="2:24" x14ac:dyDescent="0.3">
      <c r="B2220" s="9">
        <v>2219</v>
      </c>
      <c r="C2220" s="49">
        <v>24266</v>
      </c>
      <c r="D2220" s="9">
        <f>YEAR(Tabla1[[#This Row],[Date]])</f>
        <v>1966</v>
      </c>
      <c r="E2220" s="9" t="str" cm="1">
        <f t="array" ref="E2220">IFERROR(_xlfn.IFS(AND(D2220&lt;1980,D2220&gt;=1970),"70",AND(D2220&lt;1990,D2220&gt;=1980),"80",AND(D2220&lt;2000,D2220&gt;=1990),"90",AND(D2220&lt;2010,D2220&gt;=2000),"00",AND(D2220&lt;=2019,D2220&gt;=2010),"10"),"1908-1970")</f>
        <v>1908-1970</v>
      </c>
      <c r="F2220" s="3">
        <v>0.96666666666666667</v>
      </c>
      <c r="G2220" t="s">
        <v>14722</v>
      </c>
      <c r="H2220" t="s">
        <v>6080</v>
      </c>
      <c r="I2220">
        <v>250</v>
      </c>
      <c r="J2220" t="s">
        <v>14723</v>
      </c>
      <c r="K2220" t="s">
        <v>14724</v>
      </c>
      <c r="L2220" s="7" t="s">
        <v>14725</v>
      </c>
      <c r="M2220">
        <v>70</v>
      </c>
      <c r="N2220">
        <v>42</v>
      </c>
      <c r="O2220">
        <v>38</v>
      </c>
      <c r="P2220">
        <v>4</v>
      </c>
      <c r="Q2220">
        <v>42</v>
      </c>
      <c r="R2220">
        <v>38</v>
      </c>
      <c r="S2220">
        <v>4</v>
      </c>
      <c r="T2220">
        <v>0</v>
      </c>
      <c r="U2220" t="s">
        <v>14726</v>
      </c>
      <c r="V2220">
        <f>Tabla1[[#This Row],[Aboard]]-Tabla1[[#This Row],[Fatalities]]</f>
        <v>0</v>
      </c>
      <c r="W2220" s="50">
        <f>IFERROR(Tabla1[[#This Row],[Fatalities]]/Tabla1[[#This Row],[Aboard]],0)</f>
        <v>1</v>
      </c>
      <c r="X2220" s="51" t="str" cm="1">
        <f t="array" ref="X2220">_xlfn.IFS(Tabla1[[#This Row],[Porcentaje de muertes]]&lt;0.35,"LEVE",AND(Tabla1[[#This Row],[Porcentaje de muertes]]&gt;0.35,Tabla1[[#This Row],[Porcentaje de muertes]]&lt;0.65),"MEDIO",Tabla1[[#This Row],[Porcentaje de muertes]]&gt;0.65,"GRAVE")</f>
        <v>GRAVE</v>
      </c>
    </row>
    <row r="2221" spans="2:24" x14ac:dyDescent="0.3">
      <c r="B2221" s="9">
        <v>2220</v>
      </c>
      <c r="C2221" s="49">
        <v>24419</v>
      </c>
      <c r="D2221" s="9">
        <f>YEAR(Tabla1[[#This Row],[Date]])</f>
        <v>1966</v>
      </c>
      <c r="E2221" s="9" t="str" cm="1">
        <f t="array" ref="E2221">IFERROR(_xlfn.IFS(AND(D2221&lt;1980,D2221&gt;=1970),"70",AND(D2221&lt;1990,D2221&gt;=1980),"80",AND(D2221&lt;2000,D2221&gt;=1990),"90",AND(D2221&lt;2010,D2221&gt;=2000),"00",AND(D2221&lt;=2019,D2221&gt;=2010),"10"),"1908-1970")</f>
        <v>1908-1970</v>
      </c>
      <c r="F2221" s="3" t="s">
        <v>28931</v>
      </c>
      <c r="G2221" t="s">
        <v>14210</v>
      </c>
      <c r="H2221" t="s">
        <v>13884</v>
      </c>
      <c r="I2221" t="s">
        <v>28931</v>
      </c>
      <c r="J2221" t="s">
        <v>14727</v>
      </c>
      <c r="K2221" t="s">
        <v>12541</v>
      </c>
      <c r="L2221" s="7" t="s">
        <v>14728</v>
      </c>
      <c r="M2221">
        <v>18428005</v>
      </c>
      <c r="N2221">
        <v>24</v>
      </c>
      <c r="O2221">
        <v>20</v>
      </c>
      <c r="P2221">
        <v>4</v>
      </c>
      <c r="Q2221">
        <v>24</v>
      </c>
      <c r="R2221">
        <v>20</v>
      </c>
      <c r="S2221">
        <v>4</v>
      </c>
      <c r="T2221">
        <v>0</v>
      </c>
      <c r="U2221" t="s">
        <v>14729</v>
      </c>
      <c r="V2221">
        <f>Tabla1[[#This Row],[Aboard]]-Tabla1[[#This Row],[Fatalities]]</f>
        <v>0</v>
      </c>
      <c r="W2221" s="50">
        <f>IFERROR(Tabla1[[#This Row],[Fatalities]]/Tabla1[[#This Row],[Aboard]],0)</f>
        <v>1</v>
      </c>
      <c r="X2221" s="51" t="str" cm="1">
        <f t="array" ref="X2221">_xlfn.IFS(Tabla1[[#This Row],[Porcentaje de muertes]]&lt;0.35,"LEVE",AND(Tabla1[[#This Row],[Porcentaje de muertes]]&gt;0.35,Tabla1[[#This Row],[Porcentaje de muertes]]&lt;0.65),"MEDIO",Tabla1[[#This Row],[Porcentaje de muertes]]&gt;0.65,"GRAVE")</f>
        <v>GRAVE</v>
      </c>
    </row>
    <row r="2222" spans="2:24" x14ac:dyDescent="0.3">
      <c r="B2222" s="9">
        <v>2221</v>
      </c>
      <c r="C2222" s="49">
        <v>24336</v>
      </c>
      <c r="D2222" s="9">
        <f>YEAR(Tabla1[[#This Row],[Date]])</f>
        <v>1966</v>
      </c>
      <c r="E2222" s="9" t="str" cm="1">
        <f t="array" ref="E2222">IFERROR(_xlfn.IFS(AND(D2222&lt;1980,D2222&gt;=1970),"70",AND(D2222&lt;1990,D2222&gt;=1980),"80",AND(D2222&lt;2000,D2222&gt;=1990),"90",AND(D2222&lt;2010,D2222&gt;=2000),"00",AND(D2222&lt;=2019,D2222&gt;=2010),"10"),"1908-1970")</f>
        <v>1908-1970</v>
      </c>
      <c r="F2222" s="3">
        <v>0.77083333333333337</v>
      </c>
      <c r="G2222" t="s">
        <v>14730</v>
      </c>
      <c r="H2222" t="s">
        <v>14731</v>
      </c>
      <c r="I2222" t="s">
        <v>28931</v>
      </c>
      <c r="J2222" t="s">
        <v>14732</v>
      </c>
      <c r="K2222" t="s">
        <v>9851</v>
      </c>
      <c r="L2222" s="7" t="s">
        <v>14733</v>
      </c>
      <c r="M2222">
        <v>22534</v>
      </c>
      <c r="N2222">
        <v>16</v>
      </c>
      <c r="O2222">
        <v>12</v>
      </c>
      <c r="P2222">
        <v>4</v>
      </c>
      <c r="Q2222">
        <v>1</v>
      </c>
      <c r="R2222">
        <v>0</v>
      </c>
      <c r="S2222">
        <v>1</v>
      </c>
      <c r="T2222">
        <v>0</v>
      </c>
      <c r="U2222" t="s">
        <v>14734</v>
      </c>
      <c r="V2222">
        <f>Tabla1[[#This Row],[Aboard]]-Tabla1[[#This Row],[Fatalities]]</f>
        <v>15</v>
      </c>
      <c r="W2222" s="50">
        <f>IFERROR(Tabla1[[#This Row],[Fatalities]]/Tabla1[[#This Row],[Aboard]],0)</f>
        <v>6.25E-2</v>
      </c>
      <c r="X2222" s="51" t="str" cm="1">
        <f t="array" ref="X2222">_xlfn.IFS(Tabla1[[#This Row],[Porcentaje de muertes]]&lt;0.35,"LEVE",AND(Tabla1[[#This Row],[Porcentaje de muertes]]&gt;0.35,Tabla1[[#This Row],[Porcentaje de muertes]]&lt;0.65),"MEDIO",Tabla1[[#This Row],[Porcentaje de muertes]]&gt;0.65,"GRAVE")</f>
        <v>LEVE</v>
      </c>
    </row>
    <row r="2223" spans="2:24" x14ac:dyDescent="0.3">
      <c r="B2223" s="9">
        <v>2222</v>
      </c>
      <c r="C2223" s="49">
        <v>24336</v>
      </c>
      <c r="D2223" s="9">
        <f>YEAR(Tabla1[[#This Row],[Date]])</f>
        <v>1966</v>
      </c>
      <c r="E2223" s="9" t="str" cm="1">
        <f t="array" ref="E2223">IFERROR(_xlfn.IFS(AND(D2223&lt;1980,D2223&gt;=1970),"70",AND(D2223&lt;1990,D2223&gt;=1980),"80",AND(D2223&lt;2000,D2223&gt;=1990),"90",AND(D2223&lt;2010,D2223&gt;=2000),"00",AND(D2223&lt;=2019,D2223&gt;=2010),"10"),"1908-1970")</f>
        <v>1908-1970</v>
      </c>
      <c r="F2223" s="3" t="s">
        <v>28931</v>
      </c>
      <c r="G2223" t="s">
        <v>14252</v>
      </c>
      <c r="H2223" t="s">
        <v>8891</v>
      </c>
      <c r="I2223" t="s">
        <v>28931</v>
      </c>
      <c r="J2223" t="s">
        <v>28931</v>
      </c>
      <c r="K2223" t="s">
        <v>14735</v>
      </c>
      <c r="L2223" s="7">
        <v>150321</v>
      </c>
      <c r="M2223" t="s">
        <v>28931</v>
      </c>
      <c r="N2223">
        <v>1</v>
      </c>
      <c r="O2223">
        <v>0</v>
      </c>
      <c r="P2223">
        <v>1</v>
      </c>
      <c r="Q2223">
        <v>0</v>
      </c>
      <c r="R2223">
        <v>0</v>
      </c>
      <c r="S2223">
        <v>0</v>
      </c>
      <c r="T2223">
        <v>33</v>
      </c>
      <c r="U2223" t="s">
        <v>14736</v>
      </c>
      <c r="V2223">
        <f>Tabla1[[#This Row],[Aboard]]-Tabla1[[#This Row],[Fatalities]]</f>
        <v>1</v>
      </c>
      <c r="W2223" s="50">
        <f>IFERROR(Tabla1[[#This Row],[Fatalities]]/Tabla1[[#This Row],[Aboard]],0)</f>
        <v>0</v>
      </c>
      <c r="X2223" s="51" t="str" cm="1">
        <f t="array" ref="X2223">_xlfn.IFS(Tabla1[[#This Row],[Porcentaje de muertes]]&lt;0.35,"LEVE",AND(Tabla1[[#This Row],[Porcentaje de muertes]]&gt;0.35,Tabla1[[#This Row],[Porcentaje de muertes]]&lt;0.65),"MEDIO",Tabla1[[#This Row],[Porcentaje de muertes]]&gt;0.65,"GRAVE")</f>
        <v>LEVE</v>
      </c>
    </row>
    <row r="2224" spans="2:24" x14ac:dyDescent="0.3">
      <c r="B2224" s="9">
        <v>2223</v>
      </c>
      <c r="C2224" s="49">
        <v>24340</v>
      </c>
      <c r="D2224" s="9">
        <f>YEAR(Tabla1[[#This Row],[Date]])</f>
        <v>1966</v>
      </c>
      <c r="E2224" s="9" t="str" cm="1">
        <f t="array" ref="E2224">IFERROR(_xlfn.IFS(AND(D2224&lt;1980,D2224&gt;=1970),"70",AND(D2224&lt;1990,D2224&gt;=1980),"80",AND(D2224&lt;2000,D2224&gt;=1990),"90",AND(D2224&lt;2010,D2224&gt;=2000),"00",AND(D2224&lt;=2019,D2224&gt;=2010),"10"),"1908-1970")</f>
        <v>1908-1970</v>
      </c>
      <c r="F2224" s="3">
        <v>0.44097222222222227</v>
      </c>
      <c r="G2224" t="s">
        <v>14737</v>
      </c>
      <c r="H2224" t="s">
        <v>14738</v>
      </c>
      <c r="I2224" t="s">
        <v>28931</v>
      </c>
      <c r="J2224" t="s">
        <v>28931</v>
      </c>
      <c r="K2224" t="s">
        <v>7730</v>
      </c>
      <c r="L2224" s="7" t="s">
        <v>14739</v>
      </c>
      <c r="M2224">
        <v>1114</v>
      </c>
      <c r="N2224">
        <v>9</v>
      </c>
      <c r="O2224">
        <v>8</v>
      </c>
      <c r="P2224">
        <v>1</v>
      </c>
      <c r="Q2224">
        <v>9</v>
      </c>
      <c r="R2224">
        <v>8</v>
      </c>
      <c r="S2224">
        <v>1</v>
      </c>
      <c r="T2224">
        <v>0</v>
      </c>
      <c r="U2224" t="s">
        <v>14740</v>
      </c>
      <c r="V2224">
        <f>Tabla1[[#This Row],[Aboard]]-Tabla1[[#This Row],[Fatalities]]</f>
        <v>0</v>
      </c>
      <c r="W2224" s="50">
        <f>IFERROR(Tabla1[[#This Row],[Fatalities]]/Tabla1[[#This Row],[Aboard]],0)</f>
        <v>1</v>
      </c>
      <c r="X2224" s="51" t="str" cm="1">
        <f t="array" ref="X2224">_xlfn.IFS(Tabla1[[#This Row],[Porcentaje de muertes]]&lt;0.35,"LEVE",AND(Tabla1[[#This Row],[Porcentaje de muertes]]&gt;0.35,Tabla1[[#This Row],[Porcentaje de muertes]]&lt;0.65),"MEDIO",Tabla1[[#This Row],[Porcentaje de muertes]]&gt;0.65,"GRAVE")</f>
        <v>GRAVE</v>
      </c>
    </row>
    <row r="2225" spans="2:24" x14ac:dyDescent="0.3">
      <c r="B2225" s="9">
        <v>2224</v>
      </c>
      <c r="C2225" s="49">
        <v>24116</v>
      </c>
      <c r="D2225" s="9">
        <f>YEAR(Tabla1[[#This Row],[Date]])</f>
        <v>1966</v>
      </c>
      <c r="E2225" s="9" t="str" cm="1">
        <f t="array" ref="E2225">IFERROR(_xlfn.IFS(AND(D2225&lt;1980,D2225&gt;=1970),"70",AND(D2225&lt;1990,D2225&gt;=1980),"80",AND(D2225&lt;2000,D2225&gt;=1990),"90",AND(D2225&lt;2010,D2225&gt;=2000),"00",AND(D2225&lt;=2019,D2225&gt;=2010),"10"),"1908-1970")</f>
        <v>1908-1970</v>
      </c>
      <c r="F2225" s="3">
        <v>3.2638888888888891E-2</v>
      </c>
      <c r="G2225" t="s">
        <v>14741</v>
      </c>
      <c r="H2225" t="s">
        <v>14742</v>
      </c>
      <c r="I2225">
        <v>105</v>
      </c>
      <c r="J2225" t="s">
        <v>14743</v>
      </c>
      <c r="K2225" t="s">
        <v>14744</v>
      </c>
      <c r="L2225" s="7" t="s">
        <v>14745</v>
      </c>
      <c r="M2225">
        <v>12903</v>
      </c>
      <c r="N2225">
        <v>117</v>
      </c>
      <c r="O2225">
        <v>110</v>
      </c>
      <c r="P2225">
        <v>7</v>
      </c>
      <c r="Q2225">
        <v>98</v>
      </c>
      <c r="R2225">
        <v>92</v>
      </c>
      <c r="S2225">
        <v>6</v>
      </c>
      <c r="T2225">
        <v>0</v>
      </c>
      <c r="U2225" t="s">
        <v>14746</v>
      </c>
      <c r="V2225">
        <f>Tabla1[[#This Row],[Aboard]]-Tabla1[[#This Row],[Fatalities]]</f>
        <v>19</v>
      </c>
      <c r="W2225" s="50">
        <f>IFERROR(Tabla1[[#This Row],[Fatalities]]/Tabla1[[#This Row],[Aboard]],0)</f>
        <v>0.83760683760683763</v>
      </c>
      <c r="X2225" s="51" t="str" cm="1">
        <f t="array" ref="X2225">_xlfn.IFS(Tabla1[[#This Row],[Porcentaje de muertes]]&lt;0.35,"LEVE",AND(Tabla1[[#This Row],[Porcentaje de muertes]]&gt;0.35,Tabla1[[#This Row],[Porcentaje de muertes]]&lt;0.65),"MEDIO",Tabla1[[#This Row],[Porcentaje de muertes]]&gt;0.65,"GRAVE")</f>
        <v>GRAVE</v>
      </c>
    </row>
    <row r="2226" spans="2:24" x14ac:dyDescent="0.3">
      <c r="B2226" s="9">
        <v>2225</v>
      </c>
      <c r="C2226" s="49">
        <v>24206</v>
      </c>
      <c r="D2226" s="9">
        <f>YEAR(Tabla1[[#This Row],[Date]])</f>
        <v>1966</v>
      </c>
      <c r="E2226" s="9" t="str" cm="1">
        <f t="array" ref="E2226">IFERROR(_xlfn.IFS(AND(D2226&lt;1980,D2226&gt;=1970),"70",AND(D2226&lt;1990,D2226&gt;=1980),"80",AND(D2226&lt;2000,D2226&gt;=1990),"90",AND(D2226&lt;2010,D2226&gt;=2000),"00",AND(D2226&lt;=2019,D2226&gt;=2010),"10"),"1908-1970")</f>
        <v>1908-1970</v>
      </c>
      <c r="F2226" s="3" t="s">
        <v>28931</v>
      </c>
      <c r="G2226" t="s">
        <v>14747</v>
      </c>
      <c r="H2226" t="s">
        <v>11150</v>
      </c>
      <c r="I2226" t="s">
        <v>28931</v>
      </c>
      <c r="J2226" t="s">
        <v>6190</v>
      </c>
      <c r="K2226" t="s">
        <v>14748</v>
      </c>
      <c r="L2226" s="7" t="s">
        <v>14749</v>
      </c>
      <c r="M2226">
        <v>134</v>
      </c>
      <c r="N2226">
        <v>4</v>
      </c>
      <c r="O2226">
        <v>0</v>
      </c>
      <c r="P2226">
        <v>4</v>
      </c>
      <c r="Q2226">
        <v>4</v>
      </c>
      <c r="R2226">
        <v>0</v>
      </c>
      <c r="S2226">
        <v>4</v>
      </c>
      <c r="T2226">
        <v>0</v>
      </c>
      <c r="U2226" t="s">
        <v>14750</v>
      </c>
      <c r="V2226">
        <f>Tabla1[[#This Row],[Aboard]]-Tabla1[[#This Row],[Fatalities]]</f>
        <v>0</v>
      </c>
      <c r="W2226" s="50">
        <f>IFERROR(Tabla1[[#This Row],[Fatalities]]/Tabla1[[#This Row],[Aboard]],0)</f>
        <v>1</v>
      </c>
      <c r="X2226" s="51" t="str" cm="1">
        <f t="array" ref="X2226">_xlfn.IFS(Tabla1[[#This Row],[Porcentaje de muertes]]&lt;0.35,"LEVE",AND(Tabla1[[#This Row],[Porcentaje de muertes]]&gt;0.35,Tabla1[[#This Row],[Porcentaje de muertes]]&lt;0.65),"MEDIO",Tabla1[[#This Row],[Porcentaje de muertes]]&gt;0.65,"GRAVE")</f>
        <v>GRAVE</v>
      </c>
    </row>
    <row r="2227" spans="2:24" x14ac:dyDescent="0.3">
      <c r="B2227" s="9">
        <v>2226</v>
      </c>
      <c r="C2227" s="49">
        <v>24366</v>
      </c>
      <c r="D2227" s="9">
        <f>YEAR(Tabla1[[#This Row],[Date]])</f>
        <v>1966</v>
      </c>
      <c r="E2227" s="9" t="str" cm="1">
        <f t="array" ref="E2227">IFERROR(_xlfn.IFS(AND(D2227&lt;1980,D2227&gt;=1970),"70",AND(D2227&lt;1990,D2227&gt;=1980),"80",AND(D2227&lt;2000,D2227&gt;=1990),"90",AND(D2227&lt;2010,D2227&gt;=2000),"00",AND(D2227&lt;=2019,D2227&gt;=2010),"10"),"1908-1970")</f>
        <v>1908-1970</v>
      </c>
      <c r="F2227" s="3">
        <v>0.35069444444444442</v>
      </c>
      <c r="G2227" t="s">
        <v>14751</v>
      </c>
      <c r="H2227" t="s">
        <v>5570</v>
      </c>
      <c r="I2227" t="s">
        <v>28931</v>
      </c>
      <c r="J2227" t="s">
        <v>28931</v>
      </c>
      <c r="K2227" t="s">
        <v>7057</v>
      </c>
      <c r="L2227" s="7" t="s">
        <v>14752</v>
      </c>
      <c r="M2227">
        <v>19410</v>
      </c>
      <c r="N2227">
        <v>27</v>
      </c>
      <c r="O2227">
        <v>24</v>
      </c>
      <c r="P2227">
        <v>3</v>
      </c>
      <c r="Q2227">
        <v>1</v>
      </c>
      <c r="R2227">
        <v>1</v>
      </c>
      <c r="S2227">
        <v>0</v>
      </c>
      <c r="T2227">
        <v>0</v>
      </c>
      <c r="U2227" t="s">
        <v>14753</v>
      </c>
      <c r="V2227">
        <f>Tabla1[[#This Row],[Aboard]]-Tabla1[[#This Row],[Fatalities]]</f>
        <v>26</v>
      </c>
      <c r="W2227" s="50">
        <f>IFERROR(Tabla1[[#This Row],[Fatalities]]/Tabla1[[#This Row],[Aboard]],0)</f>
        <v>3.7037037037037035E-2</v>
      </c>
      <c r="X2227" s="51" t="str" cm="1">
        <f t="array" ref="X2227">_xlfn.IFS(Tabla1[[#This Row],[Porcentaje de muertes]]&lt;0.35,"LEVE",AND(Tabla1[[#This Row],[Porcentaje de muertes]]&gt;0.35,Tabla1[[#This Row],[Porcentaje de muertes]]&lt;0.65),"MEDIO",Tabla1[[#This Row],[Porcentaje de muertes]]&gt;0.65,"GRAVE")</f>
        <v>LEVE</v>
      </c>
    </row>
    <row r="2228" spans="2:24" x14ac:dyDescent="0.3">
      <c r="B2228" s="9">
        <v>2227</v>
      </c>
      <c r="C2228" s="49">
        <v>24372</v>
      </c>
      <c r="D2228" s="9">
        <f>YEAR(Tabla1[[#This Row],[Date]])</f>
        <v>1966</v>
      </c>
      <c r="E2228" s="9" t="str" cm="1">
        <f t="array" ref="E2228">IFERROR(_xlfn.IFS(AND(D2228&lt;1980,D2228&gt;=1970),"70",AND(D2228&lt;1990,D2228&gt;=1980),"80",AND(D2228&lt;2000,D2228&gt;=1990),"90",AND(D2228&lt;2010,D2228&gt;=2000),"00",AND(D2228&lt;=2019,D2228&gt;=2010),"10"),"1908-1970")</f>
        <v>1908-1970</v>
      </c>
      <c r="F2228" s="3">
        <v>0.13541666666666666</v>
      </c>
      <c r="G2228" t="s">
        <v>10364</v>
      </c>
      <c r="H2228" t="s">
        <v>7854</v>
      </c>
      <c r="I2228" t="s">
        <v>28931</v>
      </c>
      <c r="J2228" t="s">
        <v>9668</v>
      </c>
      <c r="K2228" t="s">
        <v>8822</v>
      </c>
      <c r="L2228" s="7" t="s">
        <v>14754</v>
      </c>
      <c r="M2228">
        <v>42929</v>
      </c>
      <c r="N2228">
        <v>2</v>
      </c>
      <c r="O2228">
        <v>0</v>
      </c>
      <c r="P2228">
        <v>2</v>
      </c>
      <c r="Q2228">
        <v>2</v>
      </c>
      <c r="R2228">
        <v>0</v>
      </c>
      <c r="S2228">
        <v>2</v>
      </c>
      <c r="T2228">
        <v>0</v>
      </c>
      <c r="U2228" t="s">
        <v>14755</v>
      </c>
      <c r="V2228">
        <f>Tabla1[[#This Row],[Aboard]]-Tabla1[[#This Row],[Fatalities]]</f>
        <v>0</v>
      </c>
      <c r="W2228" s="50">
        <f>IFERROR(Tabla1[[#This Row],[Fatalities]]/Tabla1[[#This Row],[Aboard]],0)</f>
        <v>1</v>
      </c>
      <c r="X2228" s="51" t="str" cm="1">
        <f t="array" ref="X2228">_xlfn.IFS(Tabla1[[#This Row],[Porcentaje de muertes]]&lt;0.35,"LEVE",AND(Tabla1[[#This Row],[Porcentaje de muertes]]&gt;0.35,Tabla1[[#This Row],[Porcentaje de muertes]]&lt;0.65),"MEDIO",Tabla1[[#This Row],[Porcentaje de muertes]]&gt;0.65,"GRAVE")</f>
        <v>GRAVE</v>
      </c>
    </row>
    <row r="2229" spans="2:24" x14ac:dyDescent="0.3">
      <c r="B2229" s="9">
        <v>2228</v>
      </c>
      <c r="C2229" s="49">
        <v>24372</v>
      </c>
      <c r="D2229" s="9">
        <f>YEAR(Tabla1[[#This Row],[Date]])</f>
        <v>1966</v>
      </c>
      <c r="E2229" s="9" t="str" cm="1">
        <f t="array" ref="E2229">IFERROR(_xlfn.IFS(AND(D2229&lt;1980,D2229&gt;=1970),"70",AND(D2229&lt;1990,D2229&gt;=1980),"80",AND(D2229&lt;2000,D2229&gt;=1990),"90",AND(D2229&lt;2010,D2229&gt;=2000),"00",AND(D2229&lt;=2019,D2229&gt;=2010),"10"),"1908-1970")</f>
        <v>1908-1970</v>
      </c>
      <c r="F2229" s="3">
        <v>0.54375000000000007</v>
      </c>
      <c r="G2229" t="s">
        <v>14756</v>
      </c>
      <c r="H2229" t="s">
        <v>10114</v>
      </c>
      <c r="I2229">
        <v>149</v>
      </c>
      <c r="J2229" t="s">
        <v>14757</v>
      </c>
      <c r="K2229" t="s">
        <v>14758</v>
      </c>
      <c r="L2229" s="7" t="s">
        <v>14759</v>
      </c>
      <c r="M2229">
        <v>416</v>
      </c>
      <c r="N2229">
        <v>24</v>
      </c>
      <c r="O2229">
        <v>20</v>
      </c>
      <c r="P2229">
        <v>4</v>
      </c>
      <c r="Q2229">
        <v>24</v>
      </c>
      <c r="R2229">
        <v>20</v>
      </c>
      <c r="S2229">
        <v>4</v>
      </c>
      <c r="T2229">
        <v>0</v>
      </c>
      <c r="U2229" t="s">
        <v>14760</v>
      </c>
      <c r="V2229">
        <f>Tabla1[[#This Row],[Aboard]]-Tabla1[[#This Row],[Fatalities]]</f>
        <v>0</v>
      </c>
      <c r="W2229" s="50">
        <f>IFERROR(Tabla1[[#This Row],[Fatalities]]/Tabla1[[#This Row],[Aboard]],0)</f>
        <v>1</v>
      </c>
      <c r="X2229" s="51" t="str" cm="1">
        <f t="array" ref="X2229">_xlfn.IFS(Tabla1[[#This Row],[Porcentaje de muertes]]&lt;0.35,"LEVE",AND(Tabla1[[#This Row],[Porcentaje de muertes]]&gt;0.35,Tabla1[[#This Row],[Porcentaje de muertes]]&lt;0.65),"MEDIO",Tabla1[[#This Row],[Porcentaje de muertes]]&gt;0.65,"GRAVE")</f>
        <v>GRAVE</v>
      </c>
    </row>
    <row r="2230" spans="2:24" x14ac:dyDescent="0.3">
      <c r="B2230" s="9">
        <v>2229</v>
      </c>
      <c r="C2230" s="49">
        <v>24117</v>
      </c>
      <c r="D2230" s="9">
        <f>YEAR(Tabla1[[#This Row],[Date]])</f>
        <v>1966</v>
      </c>
      <c r="E2230" s="9" t="str" cm="1">
        <f t="array" ref="E2230">IFERROR(_xlfn.IFS(AND(D2230&lt;1980,D2230&gt;=1970),"70",AND(D2230&lt;1990,D2230&gt;=1980),"80",AND(D2230&lt;2000,D2230&gt;=1990),"90",AND(D2230&lt;2010,D2230&gt;=2000),"00",AND(D2230&lt;=2019,D2230&gt;=2010),"10"),"1908-1970")</f>
        <v>1908-1970</v>
      </c>
      <c r="F2230" s="3">
        <v>0.79861111111111116</v>
      </c>
      <c r="G2230" t="s">
        <v>14761</v>
      </c>
      <c r="H2230" t="s">
        <v>13767</v>
      </c>
      <c r="I2230">
        <v>956</v>
      </c>
      <c r="J2230" t="s">
        <v>14762</v>
      </c>
      <c r="K2230" t="s">
        <v>14763</v>
      </c>
      <c r="L2230" s="7" t="s">
        <v>14764</v>
      </c>
      <c r="M2230" t="s">
        <v>14765</v>
      </c>
      <c r="N2230">
        <v>18</v>
      </c>
      <c r="O2230">
        <v>13</v>
      </c>
      <c r="P2230">
        <v>5</v>
      </c>
      <c r="Q2230">
        <v>18</v>
      </c>
      <c r="R2230">
        <v>13</v>
      </c>
      <c r="S2230">
        <v>5</v>
      </c>
      <c r="T2230">
        <v>0</v>
      </c>
      <c r="U2230" t="s">
        <v>14766</v>
      </c>
      <c r="V2230">
        <f>Tabla1[[#This Row],[Aboard]]-Tabla1[[#This Row],[Fatalities]]</f>
        <v>0</v>
      </c>
      <c r="W2230" s="50">
        <f>IFERROR(Tabla1[[#This Row],[Fatalities]]/Tabla1[[#This Row],[Aboard]],0)</f>
        <v>1</v>
      </c>
      <c r="X2230" s="51" t="str" cm="1">
        <f t="array" ref="X2230">_xlfn.IFS(Tabla1[[#This Row],[Porcentaje de muertes]]&lt;0.35,"LEVE",AND(Tabla1[[#This Row],[Porcentaje de muertes]]&gt;0.35,Tabla1[[#This Row],[Porcentaje de muertes]]&lt;0.65),"MEDIO",Tabla1[[#This Row],[Porcentaje de muertes]]&gt;0.65,"GRAVE")</f>
        <v>GRAVE</v>
      </c>
    </row>
    <row r="2231" spans="2:24" x14ac:dyDescent="0.3">
      <c r="B2231" s="9">
        <v>2230</v>
      </c>
      <c r="C2231" s="49">
        <v>24207</v>
      </c>
      <c r="D2231" s="9">
        <f>YEAR(Tabla1[[#This Row],[Date]])</f>
        <v>1966</v>
      </c>
      <c r="E2231" s="9" t="str" cm="1">
        <f t="array" ref="E2231">IFERROR(_xlfn.IFS(AND(D2231&lt;1980,D2231&gt;=1970),"70",AND(D2231&lt;1990,D2231&gt;=1980),"80",AND(D2231&lt;2000,D2231&gt;=1990),"90",AND(D2231&lt;2010,D2231&gt;=2000),"00",AND(D2231&lt;=2019,D2231&gt;=2010),"10"),"1908-1970")</f>
        <v>1908-1970</v>
      </c>
      <c r="F2231" s="3" t="s">
        <v>28931</v>
      </c>
      <c r="G2231" t="s">
        <v>14767</v>
      </c>
      <c r="H2231" t="s">
        <v>5017</v>
      </c>
      <c r="I2231" t="s">
        <v>28931</v>
      </c>
      <c r="J2231" t="s">
        <v>14768</v>
      </c>
      <c r="K2231" t="s">
        <v>14769</v>
      </c>
      <c r="L2231" s="7" t="s">
        <v>14770</v>
      </c>
      <c r="M2231">
        <v>209</v>
      </c>
      <c r="N2231">
        <v>32</v>
      </c>
      <c r="O2231">
        <v>28</v>
      </c>
      <c r="P2231">
        <v>4</v>
      </c>
      <c r="Q2231">
        <v>14</v>
      </c>
      <c r="R2231">
        <v>10</v>
      </c>
      <c r="S2231">
        <v>4</v>
      </c>
      <c r="T2231">
        <v>0</v>
      </c>
      <c r="U2231" t="s">
        <v>14771</v>
      </c>
      <c r="V2231">
        <f>Tabla1[[#This Row],[Aboard]]-Tabla1[[#This Row],[Fatalities]]</f>
        <v>18</v>
      </c>
      <c r="W2231" s="50">
        <f>IFERROR(Tabla1[[#This Row],[Fatalities]]/Tabla1[[#This Row],[Aboard]],0)</f>
        <v>0.4375</v>
      </c>
      <c r="X2231" s="51" t="str" cm="1">
        <f t="array" ref="X2231">_xlfn.IFS(Tabla1[[#This Row],[Porcentaje de muertes]]&lt;0.35,"LEVE",AND(Tabla1[[#This Row],[Porcentaje de muertes]]&gt;0.35,Tabla1[[#This Row],[Porcentaje de muertes]]&lt;0.65),"MEDIO",Tabla1[[#This Row],[Porcentaje de muertes]]&gt;0.65,"GRAVE")</f>
        <v>MEDIO</v>
      </c>
    </row>
    <row r="2232" spans="2:24" x14ac:dyDescent="0.3">
      <c r="B2232" s="9">
        <v>2231</v>
      </c>
      <c r="C2232" s="49">
        <v>24329</v>
      </c>
      <c r="D2232" s="9">
        <f>YEAR(Tabla1[[#This Row],[Date]])</f>
        <v>1966</v>
      </c>
      <c r="E2232" s="9" t="str" cm="1">
        <f t="array" ref="E2232">IFERROR(_xlfn.IFS(AND(D2232&lt;1980,D2232&gt;=1970),"70",AND(D2232&lt;1990,D2232&gt;=1980),"80",AND(D2232&lt;2000,D2232&gt;=1990),"90",AND(D2232&lt;2010,D2232&gt;=2000),"00",AND(D2232&lt;=2019,D2232&gt;=2010),"10"),"1908-1970")</f>
        <v>1908-1970</v>
      </c>
      <c r="F2232" s="3">
        <v>0.5625</v>
      </c>
      <c r="G2232" t="s">
        <v>14772</v>
      </c>
      <c r="H2232" t="s">
        <v>14773</v>
      </c>
      <c r="I2232" t="s">
        <v>28931</v>
      </c>
      <c r="J2232" t="s">
        <v>28931</v>
      </c>
      <c r="K2232" t="s">
        <v>14774</v>
      </c>
      <c r="L2232" s="7" t="s">
        <v>14775</v>
      </c>
      <c r="M2232">
        <v>2041</v>
      </c>
      <c r="N2232">
        <v>11</v>
      </c>
      <c r="O2232">
        <v>10</v>
      </c>
      <c r="P2232">
        <v>1</v>
      </c>
      <c r="Q2232">
        <v>11</v>
      </c>
      <c r="R2232">
        <v>10</v>
      </c>
      <c r="S2232">
        <v>1</v>
      </c>
      <c r="T2232">
        <v>0</v>
      </c>
      <c r="U2232" t="s">
        <v>14776</v>
      </c>
      <c r="V2232">
        <f>Tabla1[[#This Row],[Aboard]]-Tabla1[[#This Row],[Fatalities]]</f>
        <v>0</v>
      </c>
      <c r="W2232" s="50">
        <f>IFERROR(Tabla1[[#This Row],[Fatalities]]/Tabla1[[#This Row],[Aboard]],0)</f>
        <v>1</v>
      </c>
      <c r="X2232" s="51" t="str" cm="1">
        <f t="array" ref="X2232">_xlfn.IFS(Tabla1[[#This Row],[Porcentaje de muertes]]&lt;0.35,"LEVE",AND(Tabla1[[#This Row],[Porcentaje de muertes]]&gt;0.35,Tabla1[[#This Row],[Porcentaje de muertes]]&lt;0.65),"MEDIO",Tabla1[[#This Row],[Porcentaje de muertes]]&gt;0.65,"GRAVE")</f>
        <v>GRAVE</v>
      </c>
    </row>
    <row r="2233" spans="2:24" x14ac:dyDescent="0.3">
      <c r="B2233" s="9">
        <v>2232</v>
      </c>
      <c r="C2233" s="49">
        <v>24422</v>
      </c>
      <c r="D2233" s="9">
        <f>YEAR(Tabla1[[#This Row],[Date]])</f>
        <v>1966</v>
      </c>
      <c r="E2233" s="9" t="str" cm="1">
        <f t="array" ref="E2233">IFERROR(_xlfn.IFS(AND(D2233&lt;1980,D2233&gt;=1970),"70",AND(D2233&lt;1990,D2233&gt;=1980),"80",AND(D2233&lt;2000,D2233&gt;=1990),"90",AND(D2233&lt;2010,D2233&gt;=2000),"00",AND(D2233&lt;=2019,D2233&gt;=2010),"10"),"1908-1970")</f>
        <v>1908-1970</v>
      </c>
      <c r="F2233" s="3">
        <v>7.1527777777777787E-2</v>
      </c>
      <c r="G2233" t="s">
        <v>14777</v>
      </c>
      <c r="H2233" t="s">
        <v>7987</v>
      </c>
      <c r="I2233" t="s">
        <v>8152</v>
      </c>
      <c r="J2233" t="s">
        <v>12436</v>
      </c>
      <c r="K2233" t="s">
        <v>14778</v>
      </c>
      <c r="L2233" s="7" t="s">
        <v>14779</v>
      </c>
      <c r="M2233">
        <v>4413</v>
      </c>
      <c r="N2233">
        <v>19</v>
      </c>
      <c r="O2233">
        <v>15</v>
      </c>
      <c r="P2233">
        <v>4</v>
      </c>
      <c r="Q2233">
        <v>19</v>
      </c>
      <c r="R2233">
        <v>15</v>
      </c>
      <c r="S2233">
        <v>4</v>
      </c>
      <c r="T2233">
        <v>0</v>
      </c>
      <c r="U2233" t="s">
        <v>14780</v>
      </c>
      <c r="V2233">
        <f>Tabla1[[#This Row],[Aboard]]-Tabla1[[#This Row],[Fatalities]]</f>
        <v>0</v>
      </c>
      <c r="W2233" s="50">
        <f>IFERROR(Tabla1[[#This Row],[Fatalities]]/Tabla1[[#This Row],[Aboard]],0)</f>
        <v>1</v>
      </c>
      <c r="X2233" s="51" t="str" cm="1">
        <f t="array" ref="X2233">_xlfn.IFS(Tabla1[[#This Row],[Porcentaje de muertes]]&lt;0.35,"LEVE",AND(Tabla1[[#This Row],[Porcentaje de muertes]]&gt;0.35,Tabla1[[#This Row],[Porcentaje de muertes]]&lt;0.65),"MEDIO",Tabla1[[#This Row],[Porcentaje de muertes]]&gt;0.65,"GRAVE")</f>
        <v>GRAVE</v>
      </c>
    </row>
    <row r="2234" spans="2:24" x14ac:dyDescent="0.3">
      <c r="B2234" s="9">
        <v>2233</v>
      </c>
      <c r="C2234" s="49">
        <v>24424</v>
      </c>
      <c r="D2234" s="9">
        <f>YEAR(Tabla1[[#This Row],[Date]])</f>
        <v>1966</v>
      </c>
      <c r="E2234" s="9" t="str" cm="1">
        <f t="array" ref="E2234">IFERROR(_xlfn.IFS(AND(D2234&lt;1980,D2234&gt;=1970),"70",AND(D2234&lt;1990,D2234&gt;=1980),"80",AND(D2234&lt;2000,D2234&gt;=1990),"90",AND(D2234&lt;2010,D2234&gt;=2000),"00",AND(D2234&lt;=2019,D2234&gt;=2010),"10"),"1908-1970")</f>
        <v>1908-1970</v>
      </c>
      <c r="F2234" s="3">
        <v>0.85416666666666663</v>
      </c>
      <c r="G2234" t="s">
        <v>14781</v>
      </c>
      <c r="H2234" t="s">
        <v>12415</v>
      </c>
      <c r="I2234">
        <v>533</v>
      </c>
      <c r="J2234" t="s">
        <v>14782</v>
      </c>
      <c r="K2234" t="s">
        <v>14783</v>
      </c>
      <c r="L2234" s="7" t="s">
        <v>14784</v>
      </c>
      <c r="M2234">
        <v>2023</v>
      </c>
      <c r="N2234">
        <v>50</v>
      </c>
      <c r="O2234">
        <v>45</v>
      </c>
      <c r="P2234">
        <v>5</v>
      </c>
      <c r="Q2234">
        <v>50</v>
      </c>
      <c r="R2234">
        <v>45</v>
      </c>
      <c r="S2234">
        <v>5</v>
      </c>
      <c r="T2234">
        <v>0</v>
      </c>
      <c r="U2234" t="s">
        <v>14785</v>
      </c>
      <c r="V2234">
        <f>Tabla1[[#This Row],[Aboard]]-Tabla1[[#This Row],[Fatalities]]</f>
        <v>0</v>
      </c>
      <c r="W2234" s="50">
        <f>IFERROR(Tabla1[[#This Row],[Fatalities]]/Tabla1[[#This Row],[Aboard]],0)</f>
        <v>1</v>
      </c>
      <c r="X2234" s="51" t="str" cm="1">
        <f t="array" ref="X2234">_xlfn.IFS(Tabla1[[#This Row],[Porcentaje de muertes]]&lt;0.35,"LEVE",AND(Tabla1[[#This Row],[Porcentaje de muertes]]&gt;0.35,Tabla1[[#This Row],[Porcentaje de muertes]]&lt;0.65),"MEDIO",Tabla1[[#This Row],[Porcentaje de muertes]]&gt;0.65,"GRAVE")</f>
        <v>GRAVE</v>
      </c>
    </row>
    <row r="2235" spans="2:24" x14ac:dyDescent="0.3">
      <c r="B2235" s="9">
        <v>2234</v>
      </c>
      <c r="C2235" s="49">
        <v>24426</v>
      </c>
      <c r="D2235" s="9">
        <f>YEAR(Tabla1[[#This Row],[Date]])</f>
        <v>1966</v>
      </c>
      <c r="E2235" s="9" t="str" cm="1">
        <f t="array" ref="E2235">IFERROR(_xlfn.IFS(AND(D2235&lt;1980,D2235&gt;=1970),"70",AND(D2235&lt;1990,D2235&gt;=1980),"80",AND(D2235&lt;2000,D2235&gt;=1990),"90",AND(D2235&lt;2010,D2235&gt;=2000),"00",AND(D2235&lt;=2019,D2235&gt;=2010),"10"),"1908-1970")</f>
        <v>1908-1970</v>
      </c>
      <c r="F2235" s="3">
        <v>0.1125</v>
      </c>
      <c r="G2235" t="s">
        <v>14786</v>
      </c>
      <c r="H2235" t="s">
        <v>5755</v>
      </c>
      <c r="I2235" t="s">
        <v>28931</v>
      </c>
      <c r="J2235" t="s">
        <v>5793</v>
      </c>
      <c r="K2235" t="s">
        <v>14787</v>
      </c>
      <c r="L2235" s="7" t="s">
        <v>14788</v>
      </c>
      <c r="M2235" t="s">
        <v>14789</v>
      </c>
      <c r="N2235">
        <v>3</v>
      </c>
      <c r="O2235">
        <v>0</v>
      </c>
      <c r="P2235">
        <v>3</v>
      </c>
      <c r="Q2235">
        <v>3</v>
      </c>
      <c r="R2235">
        <v>0</v>
      </c>
      <c r="S2235">
        <v>3</v>
      </c>
      <c r="T2235">
        <v>0</v>
      </c>
      <c r="U2235" t="s">
        <v>14790</v>
      </c>
      <c r="V2235">
        <f>Tabla1[[#This Row],[Aboard]]-Tabla1[[#This Row],[Fatalities]]</f>
        <v>0</v>
      </c>
      <c r="W2235" s="50">
        <f>IFERROR(Tabla1[[#This Row],[Fatalities]]/Tabla1[[#This Row],[Aboard]],0)</f>
        <v>1</v>
      </c>
      <c r="X2235" s="51" t="str" cm="1">
        <f t="array" ref="X2235">_xlfn.IFS(Tabla1[[#This Row],[Porcentaje de muertes]]&lt;0.35,"LEVE",AND(Tabla1[[#This Row],[Porcentaje de muertes]]&gt;0.35,Tabla1[[#This Row],[Porcentaje de muertes]]&lt;0.65),"MEDIO",Tabla1[[#This Row],[Porcentaje de muertes]]&gt;0.65,"GRAVE")</f>
        <v>GRAVE</v>
      </c>
    </row>
    <row r="2236" spans="2:24" x14ac:dyDescent="0.3">
      <c r="B2236" s="9">
        <v>2235</v>
      </c>
      <c r="C2236" s="49">
        <v>24431</v>
      </c>
      <c r="D2236" s="9">
        <f>YEAR(Tabla1[[#This Row],[Date]])</f>
        <v>1966</v>
      </c>
      <c r="E2236" s="9" t="str" cm="1">
        <f t="array" ref="E2236">IFERROR(_xlfn.IFS(AND(D2236&lt;1980,D2236&gt;=1970),"70",AND(D2236&lt;1990,D2236&gt;=1980),"80",AND(D2236&lt;2000,D2236&gt;=1990),"90",AND(D2236&lt;2010,D2236&gt;=2000),"00",AND(D2236&lt;=2019,D2236&gt;=2010),"10"),"1908-1970")</f>
        <v>1908-1970</v>
      </c>
      <c r="F2236" s="3">
        <v>0.25416666666666665</v>
      </c>
      <c r="G2236" t="s">
        <v>14791</v>
      </c>
      <c r="H2236" t="s">
        <v>12787</v>
      </c>
      <c r="I2236">
        <v>101</v>
      </c>
      <c r="J2236" t="s">
        <v>14792</v>
      </c>
      <c r="K2236" t="s">
        <v>11479</v>
      </c>
      <c r="L2236" s="7" t="s">
        <v>14793</v>
      </c>
      <c r="M2236">
        <v>14170</v>
      </c>
      <c r="N2236">
        <v>3</v>
      </c>
      <c r="O2236">
        <v>0</v>
      </c>
      <c r="P2236">
        <v>3</v>
      </c>
      <c r="Q2236">
        <v>3</v>
      </c>
      <c r="R2236">
        <v>0</v>
      </c>
      <c r="S2236">
        <v>3</v>
      </c>
      <c r="T2236">
        <v>0</v>
      </c>
      <c r="U2236" t="s">
        <v>14794</v>
      </c>
      <c r="V2236">
        <f>Tabla1[[#This Row],[Aboard]]-Tabla1[[#This Row],[Fatalities]]</f>
        <v>0</v>
      </c>
      <c r="W2236" s="50">
        <f>IFERROR(Tabla1[[#This Row],[Fatalities]]/Tabla1[[#This Row],[Aboard]],0)</f>
        <v>1</v>
      </c>
      <c r="X2236" s="51" t="str" cm="1">
        <f t="array" ref="X2236">_xlfn.IFS(Tabla1[[#This Row],[Porcentaje de muertes]]&lt;0.35,"LEVE",AND(Tabla1[[#This Row],[Porcentaje de muertes]]&gt;0.35,Tabla1[[#This Row],[Porcentaje de muertes]]&lt;0.65),"MEDIO",Tabla1[[#This Row],[Porcentaje de muertes]]&gt;0.65,"GRAVE")</f>
        <v>GRAVE</v>
      </c>
    </row>
    <row r="2237" spans="2:24" x14ac:dyDescent="0.3">
      <c r="B2237" s="9">
        <v>2236</v>
      </c>
      <c r="C2237" s="49">
        <v>24433</v>
      </c>
      <c r="D2237" s="9">
        <f>YEAR(Tabla1[[#This Row],[Date]])</f>
        <v>1966</v>
      </c>
      <c r="E2237" s="9" t="str" cm="1">
        <f t="array" ref="E2237">IFERROR(_xlfn.IFS(AND(D2237&lt;1980,D2237&gt;=1970),"70",AND(D2237&lt;1990,D2237&gt;=1980),"80",AND(D2237&lt;2000,D2237&gt;=1990),"90",AND(D2237&lt;2010,D2237&gt;=2000),"00",AND(D2237&lt;=2019,D2237&gt;=2010),"10"),"1908-1970")</f>
        <v>1908-1970</v>
      </c>
      <c r="F2237" s="3">
        <v>0.51388888888888895</v>
      </c>
      <c r="G2237" t="s">
        <v>14795</v>
      </c>
      <c r="H2237" t="s">
        <v>14115</v>
      </c>
      <c r="I2237" t="s">
        <v>28931</v>
      </c>
      <c r="J2237" t="s">
        <v>14796</v>
      </c>
      <c r="K2237" t="s">
        <v>7057</v>
      </c>
      <c r="L2237" s="7" t="s">
        <v>14797</v>
      </c>
      <c r="M2237">
        <v>4284</v>
      </c>
      <c r="N2237">
        <v>30</v>
      </c>
      <c r="O2237">
        <v>27</v>
      </c>
      <c r="P2237">
        <v>3</v>
      </c>
      <c r="Q2237">
        <v>30</v>
      </c>
      <c r="R2237">
        <v>27</v>
      </c>
      <c r="S2237">
        <v>3</v>
      </c>
      <c r="T2237">
        <v>0</v>
      </c>
      <c r="U2237" t="s">
        <v>14798</v>
      </c>
      <c r="V2237">
        <f>Tabla1[[#This Row],[Aboard]]-Tabla1[[#This Row],[Fatalities]]</f>
        <v>0</v>
      </c>
      <c r="W2237" s="50">
        <f>IFERROR(Tabla1[[#This Row],[Fatalities]]/Tabla1[[#This Row],[Aboard]],0)</f>
        <v>1</v>
      </c>
      <c r="X2237" s="51" t="str" cm="1">
        <f t="array" ref="X2237">_xlfn.IFS(Tabla1[[#This Row],[Porcentaje de muertes]]&lt;0.35,"LEVE",AND(Tabla1[[#This Row],[Porcentaje de muertes]]&gt;0.35,Tabla1[[#This Row],[Porcentaje de muertes]]&lt;0.65),"MEDIO",Tabla1[[#This Row],[Porcentaje de muertes]]&gt;0.65,"GRAVE")</f>
        <v>GRAVE</v>
      </c>
    </row>
    <row r="2238" spans="2:24" x14ac:dyDescent="0.3">
      <c r="B2238" s="9">
        <v>2237</v>
      </c>
      <c r="C2238" s="49">
        <v>24435</v>
      </c>
      <c r="D2238" s="9">
        <f>YEAR(Tabla1[[#This Row],[Date]])</f>
        <v>1966</v>
      </c>
      <c r="E2238" s="9" t="str" cm="1">
        <f t="array" ref="E2238">IFERROR(_xlfn.IFS(AND(D2238&lt;1980,D2238&gt;=1970),"70",AND(D2238&lt;1990,D2238&gt;=1980),"80",AND(D2238&lt;2000,D2238&gt;=1990),"90",AND(D2238&lt;2010,D2238&gt;=2000),"00",AND(D2238&lt;=2019,D2238&gt;=2010),"10"),"1908-1970")</f>
        <v>1908-1970</v>
      </c>
      <c r="F2238" s="3">
        <v>0.6875</v>
      </c>
      <c r="G2238" t="s">
        <v>14799</v>
      </c>
      <c r="H2238" t="s">
        <v>14800</v>
      </c>
      <c r="I2238">
        <v>101</v>
      </c>
      <c r="J2238" t="s">
        <v>14801</v>
      </c>
      <c r="K2238" t="s">
        <v>13035</v>
      </c>
      <c r="L2238" s="7" t="s">
        <v>14802</v>
      </c>
      <c r="M2238" t="s">
        <v>14803</v>
      </c>
      <c r="N2238">
        <v>82</v>
      </c>
      <c r="O2238">
        <v>74</v>
      </c>
      <c r="P2238">
        <v>8</v>
      </c>
      <c r="Q2238">
        <v>82</v>
      </c>
      <c r="R2238">
        <v>74</v>
      </c>
      <c r="S2238">
        <v>8</v>
      </c>
      <c r="T2238">
        <v>0</v>
      </c>
      <c r="U2238" t="s">
        <v>14804</v>
      </c>
      <c r="V2238">
        <f>Tabla1[[#This Row],[Aboard]]-Tabla1[[#This Row],[Fatalities]]</f>
        <v>0</v>
      </c>
      <c r="W2238" s="50">
        <f>IFERROR(Tabla1[[#This Row],[Fatalities]]/Tabla1[[#This Row],[Aboard]],0)</f>
        <v>1</v>
      </c>
      <c r="X2238" s="51" t="str" cm="1">
        <f t="array" ref="X2238">_xlfn.IFS(Tabla1[[#This Row],[Porcentaje de muertes]]&lt;0.35,"LEVE",AND(Tabla1[[#This Row],[Porcentaje de muertes]]&gt;0.35,Tabla1[[#This Row],[Porcentaje de muertes]]&lt;0.65),"MEDIO",Tabla1[[#This Row],[Porcentaje de muertes]]&gt;0.65,"GRAVE")</f>
        <v>GRAVE</v>
      </c>
    </row>
    <row r="2239" spans="2:24" x14ac:dyDescent="0.3">
      <c r="B2239" s="9">
        <v>2238</v>
      </c>
      <c r="C2239" s="49">
        <v>24437</v>
      </c>
      <c r="D2239" s="9">
        <f>YEAR(Tabla1[[#This Row],[Date]])</f>
        <v>1966</v>
      </c>
      <c r="E2239" s="9" t="str" cm="1">
        <f t="array" ref="E2239">IFERROR(_xlfn.IFS(AND(D2239&lt;1980,D2239&gt;=1970),"70",AND(D2239&lt;1990,D2239&gt;=1980),"80",AND(D2239&lt;2000,D2239&gt;=1990),"90",AND(D2239&lt;2010,D2239&gt;=2000),"00",AND(D2239&lt;=2019,D2239&gt;=2010),"10"),"1908-1970")</f>
        <v>1908-1970</v>
      </c>
      <c r="F2239" s="3">
        <v>0.80555555555555547</v>
      </c>
      <c r="G2239" t="s">
        <v>14805</v>
      </c>
      <c r="H2239" t="s">
        <v>7987</v>
      </c>
      <c r="I2239" t="s">
        <v>28931</v>
      </c>
      <c r="J2239" t="s">
        <v>14806</v>
      </c>
      <c r="K2239" t="s">
        <v>10133</v>
      </c>
      <c r="L2239" s="7">
        <v>4476574</v>
      </c>
      <c r="M2239" t="s">
        <v>28931</v>
      </c>
      <c r="N2239">
        <v>31</v>
      </c>
      <c r="O2239">
        <v>25</v>
      </c>
      <c r="P2239">
        <v>6</v>
      </c>
      <c r="Q2239">
        <v>31</v>
      </c>
      <c r="R2239">
        <v>25</v>
      </c>
      <c r="S2239">
        <v>6</v>
      </c>
      <c r="T2239">
        <v>0</v>
      </c>
      <c r="U2239" t="s">
        <v>14807</v>
      </c>
      <c r="V2239">
        <f>Tabla1[[#This Row],[Aboard]]-Tabla1[[#This Row],[Fatalities]]</f>
        <v>0</v>
      </c>
      <c r="W2239" s="50">
        <f>IFERROR(Tabla1[[#This Row],[Fatalities]]/Tabla1[[#This Row],[Aboard]],0)</f>
        <v>1</v>
      </c>
      <c r="X2239" s="51" t="str" cm="1">
        <f t="array" ref="X2239">_xlfn.IFS(Tabla1[[#This Row],[Porcentaje de muertes]]&lt;0.35,"LEVE",AND(Tabla1[[#This Row],[Porcentaje de muertes]]&gt;0.35,Tabla1[[#This Row],[Porcentaje de muertes]]&lt;0.65),"MEDIO",Tabla1[[#This Row],[Porcentaje de muertes]]&gt;0.65,"GRAVE")</f>
        <v>GRAVE</v>
      </c>
    </row>
    <row r="2240" spans="2:24" x14ac:dyDescent="0.3">
      <c r="B2240" s="9">
        <v>2239</v>
      </c>
      <c r="C2240" s="49">
        <v>24437</v>
      </c>
      <c r="D2240" s="9">
        <f>YEAR(Tabla1[[#This Row],[Date]])</f>
        <v>1966</v>
      </c>
      <c r="E2240" s="9" t="str" cm="1">
        <f t="array" ref="E2240">IFERROR(_xlfn.IFS(AND(D2240&lt;1980,D2240&gt;=1970),"70",AND(D2240&lt;1990,D2240&gt;=1980),"80",AND(D2240&lt;2000,D2240&gt;=1990),"90",AND(D2240&lt;2010,D2240&gt;=2000),"00",AND(D2240&lt;=2019,D2240&gt;=2010),"10"),"1908-1970")</f>
        <v>1908-1970</v>
      </c>
      <c r="F2240" s="3">
        <v>0.6</v>
      </c>
      <c r="G2240" t="s">
        <v>14808</v>
      </c>
      <c r="H2240" t="s">
        <v>14575</v>
      </c>
      <c r="I2240" t="s">
        <v>28931</v>
      </c>
      <c r="J2240" t="s">
        <v>14809</v>
      </c>
      <c r="K2240" t="s">
        <v>9179</v>
      </c>
      <c r="L2240" s="7" t="s">
        <v>14810</v>
      </c>
      <c r="M2240" t="s">
        <v>28931</v>
      </c>
      <c r="N2240">
        <v>13</v>
      </c>
      <c r="O2240">
        <v>10</v>
      </c>
      <c r="P2240">
        <v>3</v>
      </c>
      <c r="Q2240">
        <v>12</v>
      </c>
      <c r="R2240">
        <v>9</v>
      </c>
      <c r="S2240">
        <v>3</v>
      </c>
      <c r="T2240">
        <v>0</v>
      </c>
      <c r="U2240" t="s">
        <v>14811</v>
      </c>
      <c r="V2240">
        <f>Tabla1[[#This Row],[Aboard]]-Tabla1[[#This Row],[Fatalities]]</f>
        <v>1</v>
      </c>
      <c r="W2240" s="50">
        <f>IFERROR(Tabla1[[#This Row],[Fatalities]]/Tabla1[[#This Row],[Aboard]],0)</f>
        <v>0.92307692307692313</v>
      </c>
      <c r="X2240" s="51" t="str" cm="1">
        <f t="array" ref="X2240">_xlfn.IFS(Tabla1[[#This Row],[Porcentaje de muertes]]&lt;0.35,"LEVE",AND(Tabla1[[#This Row],[Porcentaje de muertes]]&gt;0.35,Tabla1[[#This Row],[Porcentaje de muertes]]&lt;0.65),"MEDIO",Tabla1[[#This Row],[Porcentaje de muertes]]&gt;0.65,"GRAVE")</f>
        <v>GRAVE</v>
      </c>
    </row>
    <row r="2241" spans="2:24" x14ac:dyDescent="0.3">
      <c r="B2241" s="9">
        <v>2240</v>
      </c>
      <c r="C2241" s="49">
        <v>24150</v>
      </c>
      <c r="D2241" s="9">
        <f>YEAR(Tabla1[[#This Row],[Date]])</f>
        <v>1966</v>
      </c>
      <c r="E2241" s="9" t="str" cm="1">
        <f t="array" ref="E2241">IFERROR(_xlfn.IFS(AND(D2241&lt;1980,D2241&gt;=1970),"70",AND(D2241&lt;1990,D2241&gt;=1980),"80",AND(D2241&lt;2000,D2241&gt;=1990),"90",AND(D2241&lt;2010,D2241&gt;=2000),"00",AND(D2241&lt;=2019,D2241&gt;=2010),"10"),"1908-1970")</f>
        <v>1908-1970</v>
      </c>
      <c r="F2241" s="3" t="s">
        <v>28931</v>
      </c>
      <c r="G2241" t="s">
        <v>10681</v>
      </c>
      <c r="H2241" t="s">
        <v>6541</v>
      </c>
      <c r="I2241" t="s">
        <v>28931</v>
      </c>
      <c r="J2241" t="s">
        <v>14812</v>
      </c>
      <c r="K2241" t="s">
        <v>14813</v>
      </c>
      <c r="L2241" s="7" t="s">
        <v>14814</v>
      </c>
      <c r="M2241">
        <v>88411</v>
      </c>
      <c r="N2241">
        <v>21</v>
      </c>
      <c r="O2241">
        <v>13</v>
      </c>
      <c r="P2241">
        <v>8</v>
      </c>
      <c r="Q2241">
        <v>21</v>
      </c>
      <c r="R2241">
        <v>13</v>
      </c>
      <c r="S2241">
        <v>8</v>
      </c>
      <c r="T2241">
        <v>0</v>
      </c>
      <c r="U2241" t="s">
        <v>14815</v>
      </c>
      <c r="V2241">
        <f>Tabla1[[#This Row],[Aboard]]-Tabla1[[#This Row],[Fatalities]]</f>
        <v>0</v>
      </c>
      <c r="W2241" s="50">
        <f>IFERROR(Tabla1[[#This Row],[Fatalities]]/Tabla1[[#This Row],[Aboard]],0)</f>
        <v>1</v>
      </c>
      <c r="X2241" s="51" t="str" cm="1">
        <f t="array" ref="X2241">_xlfn.IFS(Tabla1[[#This Row],[Porcentaje de muertes]]&lt;0.35,"LEVE",AND(Tabla1[[#This Row],[Porcentaje de muertes]]&gt;0.35,Tabla1[[#This Row],[Porcentaje de muertes]]&lt;0.65),"MEDIO",Tabla1[[#This Row],[Porcentaje de muertes]]&gt;0.65,"GRAVE")</f>
        <v>GRAVE</v>
      </c>
    </row>
    <row r="2242" spans="2:24" x14ac:dyDescent="0.3">
      <c r="B2242" s="9">
        <v>2241</v>
      </c>
      <c r="C2242" s="49">
        <v>24459</v>
      </c>
      <c r="D2242" s="9">
        <f>YEAR(Tabla1[[#This Row],[Date]])</f>
        <v>1966</v>
      </c>
      <c r="E2242" s="9" t="str" cm="1">
        <f t="array" ref="E2242">IFERROR(_xlfn.IFS(AND(D2242&lt;1980,D2242&gt;=1970),"70",AND(D2242&lt;1990,D2242&gt;=1980),"80",AND(D2242&lt;2000,D2242&gt;=1990),"90",AND(D2242&lt;2010,D2242&gt;=2000),"00",AND(D2242&lt;=2019,D2242&gt;=2010),"10"),"1908-1970")</f>
        <v>1908-1970</v>
      </c>
      <c r="F2242" s="3">
        <v>0.12152777777777778</v>
      </c>
      <c r="G2242" t="s">
        <v>10364</v>
      </c>
      <c r="H2242" t="s">
        <v>14816</v>
      </c>
      <c r="I2242" t="s">
        <v>28931</v>
      </c>
      <c r="J2242" t="s">
        <v>14817</v>
      </c>
      <c r="K2242" t="s">
        <v>14818</v>
      </c>
      <c r="L2242" s="7" t="s">
        <v>14819</v>
      </c>
      <c r="M2242">
        <v>1002</v>
      </c>
      <c r="N2242">
        <v>59</v>
      </c>
      <c r="O2242">
        <v>52</v>
      </c>
      <c r="P2242">
        <v>7</v>
      </c>
      <c r="Q2242">
        <v>17</v>
      </c>
      <c r="R2242">
        <v>13</v>
      </c>
      <c r="S2242">
        <v>4</v>
      </c>
      <c r="T2242">
        <v>0</v>
      </c>
      <c r="U2242" t="s">
        <v>14820</v>
      </c>
      <c r="V2242">
        <f>Tabla1[[#This Row],[Aboard]]-Tabla1[[#This Row],[Fatalities]]</f>
        <v>42</v>
      </c>
      <c r="W2242" s="50">
        <f>IFERROR(Tabla1[[#This Row],[Fatalities]]/Tabla1[[#This Row],[Aboard]],0)</f>
        <v>0.28813559322033899</v>
      </c>
      <c r="X2242" s="51" t="str" cm="1">
        <f t="array" ref="X2242">_xlfn.IFS(Tabla1[[#This Row],[Porcentaje de muertes]]&lt;0.35,"LEVE",AND(Tabla1[[#This Row],[Porcentaje de muertes]]&gt;0.35,Tabla1[[#This Row],[Porcentaje de muertes]]&lt;0.65),"MEDIO",Tabla1[[#This Row],[Porcentaje de muertes]]&gt;0.65,"GRAVE")</f>
        <v>LEVE</v>
      </c>
    </row>
    <row r="2243" spans="2:24" x14ac:dyDescent="0.3">
      <c r="B2243" s="9">
        <v>2242</v>
      </c>
      <c r="C2243" s="49">
        <v>24465</v>
      </c>
      <c r="D2243" s="9">
        <f>YEAR(Tabla1[[#This Row],[Date]])</f>
        <v>1966</v>
      </c>
      <c r="E2243" s="9" t="str" cm="1">
        <f t="array" ref="E2243">IFERROR(_xlfn.IFS(AND(D2243&lt;1980,D2243&gt;=1970),"70",AND(D2243&lt;1990,D2243&gt;=1980),"80",AND(D2243&lt;2000,D2243&gt;=1990),"90",AND(D2243&lt;2010,D2243&gt;=2000),"00",AND(D2243&lt;=2019,D2243&gt;=2010),"10"),"1908-1970")</f>
        <v>1908-1970</v>
      </c>
      <c r="F2243" s="3">
        <v>0.41388888888888892</v>
      </c>
      <c r="G2243" t="s">
        <v>14821</v>
      </c>
      <c r="H2243" t="s">
        <v>8976</v>
      </c>
      <c r="I2243">
        <v>729</v>
      </c>
      <c r="J2243" t="s">
        <v>14822</v>
      </c>
      <c r="K2243" t="s">
        <v>14823</v>
      </c>
      <c r="L2243" s="7" t="s">
        <v>14824</v>
      </c>
      <c r="M2243">
        <v>19630</v>
      </c>
      <c r="N2243">
        <v>29</v>
      </c>
      <c r="O2243">
        <v>26</v>
      </c>
      <c r="P2243">
        <v>3</v>
      </c>
      <c r="Q2243">
        <v>29</v>
      </c>
      <c r="R2243">
        <v>26</v>
      </c>
      <c r="S2243">
        <v>3</v>
      </c>
      <c r="T2243">
        <v>0</v>
      </c>
      <c r="U2243" t="s">
        <v>14825</v>
      </c>
      <c r="V2243">
        <f>Tabla1[[#This Row],[Aboard]]-Tabla1[[#This Row],[Fatalities]]</f>
        <v>0</v>
      </c>
      <c r="W2243" s="50">
        <f>IFERROR(Tabla1[[#This Row],[Fatalities]]/Tabla1[[#This Row],[Aboard]],0)</f>
        <v>1</v>
      </c>
      <c r="X2243" s="51" t="str" cm="1">
        <f t="array" ref="X2243">_xlfn.IFS(Tabla1[[#This Row],[Porcentaje de muertes]]&lt;0.35,"LEVE",AND(Tabla1[[#This Row],[Porcentaje de muertes]]&gt;0.35,Tabla1[[#This Row],[Porcentaje de muertes]]&lt;0.65),"MEDIO",Tabla1[[#This Row],[Porcentaje de muertes]]&gt;0.65,"GRAVE")</f>
        <v>GRAVE</v>
      </c>
    </row>
    <row r="2244" spans="2:24" x14ac:dyDescent="0.3">
      <c r="B2244" s="9">
        <v>2243</v>
      </c>
      <c r="C2244" s="49">
        <v>24465</v>
      </c>
      <c r="D2244" s="9">
        <f>YEAR(Tabla1[[#This Row],[Date]])</f>
        <v>1966</v>
      </c>
      <c r="E2244" s="9" t="str" cm="1">
        <f t="array" ref="E2244">IFERROR(_xlfn.IFS(AND(D2244&lt;1980,D2244&gt;=1970),"70",AND(D2244&lt;1990,D2244&gt;=1980),"80",AND(D2244&lt;2000,D2244&gt;=1990),"90",AND(D2244&lt;2010,D2244&gt;=2000),"00",AND(D2244&lt;=2019,D2244&gt;=2010),"10"),"1908-1970")</f>
        <v>1908-1970</v>
      </c>
      <c r="F2244" s="3">
        <v>0.80208333333333337</v>
      </c>
      <c r="G2244" t="s">
        <v>14826</v>
      </c>
      <c r="H2244" t="s">
        <v>10878</v>
      </c>
      <c r="I2244" t="s">
        <v>28931</v>
      </c>
      <c r="J2244" t="s">
        <v>28931</v>
      </c>
      <c r="K2244" t="s">
        <v>14827</v>
      </c>
      <c r="L2244" s="7" t="s">
        <v>14828</v>
      </c>
      <c r="M2244">
        <v>31</v>
      </c>
      <c r="N2244">
        <v>4</v>
      </c>
      <c r="O2244">
        <v>0</v>
      </c>
      <c r="P2244">
        <v>4</v>
      </c>
      <c r="Q2244">
        <v>4</v>
      </c>
      <c r="R2244">
        <v>0</v>
      </c>
      <c r="S2244">
        <v>4</v>
      </c>
      <c r="T2244">
        <v>125</v>
      </c>
      <c r="U2244" t="s">
        <v>14829</v>
      </c>
      <c r="V2244">
        <f>Tabla1[[#This Row],[Aboard]]-Tabla1[[#This Row],[Fatalities]]</f>
        <v>0</v>
      </c>
      <c r="W2244" s="50">
        <f>IFERROR(Tabla1[[#This Row],[Fatalities]]/Tabla1[[#This Row],[Aboard]],0)</f>
        <v>1</v>
      </c>
      <c r="X2244" s="51" t="str" cm="1">
        <f t="array" ref="X2244">_xlfn.IFS(Tabla1[[#This Row],[Porcentaje de muertes]]&lt;0.35,"LEVE",AND(Tabla1[[#This Row],[Porcentaje de muertes]]&gt;0.35,Tabla1[[#This Row],[Porcentaje de muertes]]&lt;0.65),"MEDIO",Tabla1[[#This Row],[Porcentaje de muertes]]&gt;0.65,"GRAVE")</f>
        <v>GRAVE</v>
      </c>
    </row>
    <row r="2245" spans="2:24" x14ac:dyDescent="0.3">
      <c r="B2245" s="9">
        <v>2244</v>
      </c>
      <c r="C2245" s="49">
        <v>24625</v>
      </c>
      <c r="D2245" s="9">
        <f>YEAR(Tabla1[[#This Row],[Date]])</f>
        <v>1967</v>
      </c>
      <c r="E2245" s="9" t="str" cm="1">
        <f t="array" ref="E2245">IFERROR(_xlfn.IFS(AND(D2245&lt;1980,D2245&gt;=1970),"70",AND(D2245&lt;1990,D2245&gt;=1980),"80",AND(D2245&lt;2000,D2245&gt;=1990),"90",AND(D2245&lt;2010,D2245&gt;=2000),"00",AND(D2245&lt;=2019,D2245&gt;=2010),"10"),"1908-1970")</f>
        <v>1908-1970</v>
      </c>
      <c r="F2245" s="3" t="s">
        <v>28931</v>
      </c>
      <c r="G2245" t="s">
        <v>14830</v>
      </c>
      <c r="H2245" t="s">
        <v>14831</v>
      </c>
      <c r="I2245" t="s">
        <v>28931</v>
      </c>
      <c r="J2245" t="s">
        <v>14832</v>
      </c>
      <c r="K2245" t="s">
        <v>7057</v>
      </c>
      <c r="L2245" s="7" t="s">
        <v>14833</v>
      </c>
      <c r="M2245">
        <v>33559</v>
      </c>
      <c r="N2245">
        <v>19</v>
      </c>
      <c r="O2245" t="s">
        <v>5038</v>
      </c>
      <c r="P2245" t="s">
        <v>5038</v>
      </c>
      <c r="Q2245">
        <v>1</v>
      </c>
      <c r="R2245" t="s">
        <v>5038</v>
      </c>
      <c r="S2245" t="s">
        <v>5038</v>
      </c>
      <c r="T2245">
        <v>0</v>
      </c>
      <c r="U2245" t="s">
        <v>14834</v>
      </c>
      <c r="V2245">
        <f>Tabla1[[#This Row],[Aboard]]-Tabla1[[#This Row],[Fatalities]]</f>
        <v>18</v>
      </c>
      <c r="W2245" s="50">
        <f>IFERROR(Tabla1[[#This Row],[Fatalities]]/Tabla1[[#This Row],[Aboard]],0)</f>
        <v>5.2631578947368418E-2</v>
      </c>
      <c r="X2245" s="51" t="str" cm="1">
        <f t="array" ref="X2245">_xlfn.IFS(Tabla1[[#This Row],[Porcentaje de muertes]]&lt;0.35,"LEVE",AND(Tabla1[[#This Row],[Porcentaje de muertes]]&gt;0.35,Tabla1[[#This Row],[Porcentaje de muertes]]&lt;0.65),"MEDIO",Tabla1[[#This Row],[Porcentaje de muertes]]&gt;0.65,"GRAVE")</f>
        <v>LEVE</v>
      </c>
    </row>
    <row r="2246" spans="2:24" x14ac:dyDescent="0.3">
      <c r="B2246" s="9">
        <v>2245</v>
      </c>
      <c r="C2246" s="49">
        <v>24655</v>
      </c>
      <c r="D2246" s="9">
        <f>YEAR(Tabla1[[#This Row],[Date]])</f>
        <v>1967</v>
      </c>
      <c r="E2246" s="9" t="str" cm="1">
        <f t="array" ref="E2246">IFERROR(_xlfn.IFS(AND(D2246&lt;1980,D2246&gt;=1970),"70",AND(D2246&lt;1990,D2246&gt;=1980),"80",AND(D2246&lt;2000,D2246&gt;=1990),"90",AND(D2246&lt;2010,D2246&gt;=2000),"00",AND(D2246&lt;=2019,D2246&gt;=2010),"10"),"1908-1970")</f>
        <v>1908-1970</v>
      </c>
      <c r="F2246" s="3" t="s">
        <v>28931</v>
      </c>
      <c r="G2246" t="s">
        <v>14835</v>
      </c>
      <c r="H2246" t="s">
        <v>6563</v>
      </c>
      <c r="I2246" t="s">
        <v>28931</v>
      </c>
      <c r="J2246" t="s">
        <v>28931</v>
      </c>
      <c r="K2246" t="s">
        <v>14340</v>
      </c>
      <c r="L2246" s="7" t="s">
        <v>28931</v>
      </c>
      <c r="M2246" t="s">
        <v>28931</v>
      </c>
      <c r="N2246">
        <v>30</v>
      </c>
      <c r="O2246" t="s">
        <v>5038</v>
      </c>
      <c r="P2246" t="s">
        <v>5038</v>
      </c>
      <c r="Q2246">
        <v>30</v>
      </c>
      <c r="R2246" t="s">
        <v>5038</v>
      </c>
      <c r="S2246" t="s">
        <v>5038</v>
      </c>
      <c r="T2246">
        <v>0</v>
      </c>
      <c r="U2246" t="s">
        <v>14836</v>
      </c>
      <c r="V2246">
        <f>Tabla1[[#This Row],[Aboard]]-Tabla1[[#This Row],[Fatalities]]</f>
        <v>0</v>
      </c>
      <c r="W2246" s="50">
        <f>IFERROR(Tabla1[[#This Row],[Fatalities]]/Tabla1[[#This Row],[Aboard]],0)</f>
        <v>1</v>
      </c>
      <c r="X2246" s="51" t="str" cm="1">
        <f t="array" ref="X2246">_xlfn.IFS(Tabla1[[#This Row],[Porcentaje de muertes]]&lt;0.35,"LEVE",AND(Tabla1[[#This Row],[Porcentaje de muertes]]&gt;0.35,Tabla1[[#This Row],[Porcentaje de muertes]]&lt;0.65),"MEDIO",Tabla1[[#This Row],[Porcentaje de muertes]]&gt;0.65,"GRAVE")</f>
        <v>GRAVE</v>
      </c>
    </row>
    <row r="2247" spans="2:24" x14ac:dyDescent="0.3">
      <c r="B2247" s="9">
        <v>2246</v>
      </c>
      <c r="C2247" s="49">
        <v>24717</v>
      </c>
      <c r="D2247" s="9">
        <f>YEAR(Tabla1[[#This Row],[Date]])</f>
        <v>1967</v>
      </c>
      <c r="E2247" s="9" t="str" cm="1">
        <f t="array" ref="E2247">IFERROR(_xlfn.IFS(AND(D2247&lt;1980,D2247&gt;=1970),"70",AND(D2247&lt;1990,D2247&gt;=1980),"80",AND(D2247&lt;2000,D2247&gt;=1990),"90",AND(D2247&lt;2010,D2247&gt;=2000),"00",AND(D2247&lt;=2019,D2247&gt;=2010),"10"),"1908-1970")</f>
        <v>1908-1970</v>
      </c>
      <c r="F2247" s="3">
        <v>0.21875</v>
      </c>
      <c r="G2247" t="s">
        <v>14837</v>
      </c>
      <c r="H2247" t="s">
        <v>6524</v>
      </c>
      <c r="I2247" t="s">
        <v>28931</v>
      </c>
      <c r="J2247" t="s">
        <v>14838</v>
      </c>
      <c r="K2247" t="s">
        <v>13992</v>
      </c>
      <c r="L2247" s="7" t="s">
        <v>14839</v>
      </c>
      <c r="M2247">
        <v>401504</v>
      </c>
      <c r="N2247">
        <v>10</v>
      </c>
      <c r="O2247">
        <v>6</v>
      </c>
      <c r="P2247">
        <v>4</v>
      </c>
      <c r="Q2247">
        <v>10</v>
      </c>
      <c r="R2247">
        <v>6</v>
      </c>
      <c r="S2247">
        <v>4</v>
      </c>
      <c r="T2247">
        <v>0</v>
      </c>
      <c r="U2247" t="s">
        <v>14840</v>
      </c>
      <c r="V2247">
        <f>Tabla1[[#This Row],[Aboard]]-Tabla1[[#This Row],[Fatalities]]</f>
        <v>0</v>
      </c>
      <c r="W2247" s="50">
        <f>IFERROR(Tabla1[[#This Row],[Fatalities]]/Tabla1[[#This Row],[Aboard]],0)</f>
        <v>1</v>
      </c>
      <c r="X2247" s="51" t="str" cm="1">
        <f t="array" ref="X2247">_xlfn.IFS(Tabla1[[#This Row],[Porcentaje de muertes]]&lt;0.35,"LEVE",AND(Tabla1[[#This Row],[Porcentaje de muertes]]&gt;0.35,Tabla1[[#This Row],[Porcentaje de muertes]]&lt;0.65),"MEDIO",Tabla1[[#This Row],[Porcentaje de muertes]]&gt;0.65,"GRAVE")</f>
        <v>GRAVE</v>
      </c>
    </row>
    <row r="2248" spans="2:24" x14ac:dyDescent="0.3">
      <c r="B2248" s="9">
        <v>2247</v>
      </c>
      <c r="C2248" s="49">
        <v>24519</v>
      </c>
      <c r="D2248" s="9">
        <f>YEAR(Tabla1[[#This Row],[Date]])</f>
        <v>1967</v>
      </c>
      <c r="E2248" s="9" t="str" cm="1">
        <f t="array" ref="E2248">IFERROR(_xlfn.IFS(AND(D2248&lt;1980,D2248&gt;=1970),"70",AND(D2248&lt;1990,D2248&gt;=1980),"80",AND(D2248&lt;2000,D2248&gt;=1990),"90",AND(D2248&lt;2010,D2248&gt;=2000),"00",AND(D2248&lt;=2019,D2248&gt;=2010),"10"),"1908-1970")</f>
        <v>1908-1970</v>
      </c>
      <c r="F2248" s="3">
        <v>0.55625000000000002</v>
      </c>
      <c r="G2248" t="s">
        <v>14841</v>
      </c>
      <c r="H2248" t="s">
        <v>10225</v>
      </c>
      <c r="I2248">
        <v>708</v>
      </c>
      <c r="J2248" t="s">
        <v>14842</v>
      </c>
      <c r="K2248" t="s">
        <v>13248</v>
      </c>
      <c r="L2248" s="7" t="s">
        <v>14843</v>
      </c>
      <c r="M2248">
        <v>2021</v>
      </c>
      <c r="N2248">
        <v>63</v>
      </c>
      <c r="O2248">
        <v>55</v>
      </c>
      <c r="P2248">
        <v>8</v>
      </c>
      <c r="Q2248">
        <v>22</v>
      </c>
      <c r="R2248">
        <v>22</v>
      </c>
      <c r="S2248">
        <v>0</v>
      </c>
      <c r="T2248">
        <v>0</v>
      </c>
      <c r="U2248" t="s">
        <v>14844</v>
      </c>
      <c r="V2248">
        <f>Tabla1[[#This Row],[Aboard]]-Tabla1[[#This Row],[Fatalities]]</f>
        <v>41</v>
      </c>
      <c r="W2248" s="50">
        <f>IFERROR(Tabla1[[#This Row],[Fatalities]]/Tabla1[[#This Row],[Aboard]],0)</f>
        <v>0.34920634920634919</v>
      </c>
      <c r="X2248" s="51" t="str" cm="1">
        <f t="array" ref="X2248">_xlfn.IFS(Tabla1[[#This Row],[Porcentaje de muertes]]&lt;0.35,"LEVE",AND(Tabla1[[#This Row],[Porcentaje de muertes]]&gt;0.35,Tabla1[[#This Row],[Porcentaje de muertes]]&lt;0.65),"MEDIO",Tabla1[[#This Row],[Porcentaje de muertes]]&gt;0.65,"GRAVE")</f>
        <v>LEVE</v>
      </c>
    </row>
    <row r="2249" spans="2:24" x14ac:dyDescent="0.3">
      <c r="B2249" s="9">
        <v>2248</v>
      </c>
      <c r="C2249" s="49">
        <v>24523</v>
      </c>
      <c r="D2249" s="9">
        <f>YEAR(Tabla1[[#This Row],[Date]])</f>
        <v>1967</v>
      </c>
      <c r="E2249" s="9" t="str" cm="1">
        <f t="array" ref="E2249">IFERROR(_xlfn.IFS(AND(D2249&lt;1980,D2249&gt;=1970),"70",AND(D2249&lt;1990,D2249&gt;=1980),"80",AND(D2249&lt;2000,D2249&gt;=1990),"90",AND(D2249&lt;2010,D2249&gt;=2000),"00",AND(D2249&lt;=2019,D2249&gt;=2010),"10"),"1908-1970")</f>
        <v>1908-1970</v>
      </c>
      <c r="F2249" s="3">
        <v>0.36458333333333331</v>
      </c>
      <c r="G2249" t="s">
        <v>14845</v>
      </c>
      <c r="H2249" t="s">
        <v>12118</v>
      </c>
      <c r="I2249" t="s">
        <v>28931</v>
      </c>
      <c r="J2249" t="s">
        <v>14846</v>
      </c>
      <c r="K2249" t="s">
        <v>9230</v>
      </c>
      <c r="L2249" s="7" t="s">
        <v>14847</v>
      </c>
      <c r="M2249" t="s">
        <v>14848</v>
      </c>
      <c r="N2249">
        <v>55</v>
      </c>
      <c r="O2249">
        <v>50</v>
      </c>
      <c r="P2249">
        <v>5</v>
      </c>
      <c r="Q2249">
        <v>4</v>
      </c>
      <c r="R2249">
        <v>4</v>
      </c>
      <c r="S2249">
        <v>0</v>
      </c>
      <c r="T2249">
        <v>0</v>
      </c>
      <c r="U2249" t="s">
        <v>14849</v>
      </c>
      <c r="V2249">
        <f>Tabla1[[#This Row],[Aboard]]-Tabla1[[#This Row],[Fatalities]]</f>
        <v>51</v>
      </c>
      <c r="W2249" s="50">
        <f>IFERROR(Tabla1[[#This Row],[Fatalities]]/Tabla1[[#This Row],[Aboard]],0)</f>
        <v>7.2727272727272724E-2</v>
      </c>
      <c r="X2249" s="51" t="str" cm="1">
        <f t="array" ref="X2249">_xlfn.IFS(Tabla1[[#This Row],[Porcentaje de muertes]]&lt;0.35,"LEVE",AND(Tabla1[[#This Row],[Porcentaje de muertes]]&gt;0.35,Tabla1[[#This Row],[Porcentaje de muertes]]&lt;0.65),"MEDIO",Tabla1[[#This Row],[Porcentaje de muertes]]&gt;0.65,"GRAVE")</f>
        <v>LEVE</v>
      </c>
    </row>
    <row r="2250" spans="2:24" x14ac:dyDescent="0.3">
      <c r="B2250" s="9">
        <v>2249</v>
      </c>
      <c r="C2250" s="49">
        <v>24531</v>
      </c>
      <c r="D2250" s="9">
        <f>YEAR(Tabla1[[#This Row],[Date]])</f>
        <v>1967</v>
      </c>
      <c r="E2250" s="9" t="str" cm="1">
        <f t="array" ref="E2250">IFERROR(_xlfn.IFS(AND(D2250&lt;1980,D2250&gt;=1970),"70",AND(D2250&lt;1990,D2250&gt;=1980),"80",AND(D2250&lt;2000,D2250&gt;=1990),"90",AND(D2250&lt;2010,D2250&gt;=2000),"00",AND(D2250&lt;=2019,D2250&gt;=2010),"10"),"1908-1970")</f>
        <v>1908-1970</v>
      </c>
      <c r="F2250" s="3">
        <v>0.8041666666666667</v>
      </c>
      <c r="G2250" t="s">
        <v>14850</v>
      </c>
      <c r="H2250" t="s">
        <v>8992</v>
      </c>
      <c r="I2250">
        <v>345</v>
      </c>
      <c r="J2250" t="s">
        <v>14851</v>
      </c>
      <c r="K2250" t="s">
        <v>12968</v>
      </c>
      <c r="L2250" s="7" t="s">
        <v>14852</v>
      </c>
      <c r="M2250">
        <v>10147</v>
      </c>
      <c r="N2250">
        <v>20</v>
      </c>
      <c r="O2250">
        <v>16</v>
      </c>
      <c r="P2250">
        <v>4</v>
      </c>
      <c r="Q2250">
        <v>12</v>
      </c>
      <c r="R2250">
        <v>8</v>
      </c>
      <c r="S2250">
        <v>4</v>
      </c>
      <c r="T2250">
        <v>0</v>
      </c>
      <c r="U2250" t="s">
        <v>14853</v>
      </c>
      <c r="V2250">
        <f>Tabla1[[#This Row],[Aboard]]-Tabla1[[#This Row],[Fatalities]]</f>
        <v>8</v>
      </c>
      <c r="W2250" s="50">
        <f>IFERROR(Tabla1[[#This Row],[Fatalities]]/Tabla1[[#This Row],[Aboard]],0)</f>
        <v>0.6</v>
      </c>
      <c r="X2250" s="51" t="str" cm="1">
        <f t="array" ref="X2250">_xlfn.IFS(Tabla1[[#This Row],[Porcentaje de muertes]]&lt;0.35,"LEVE",AND(Tabla1[[#This Row],[Porcentaje de muertes]]&gt;0.35,Tabla1[[#This Row],[Porcentaje de muertes]]&lt;0.65),"MEDIO",Tabla1[[#This Row],[Porcentaje de muertes]]&gt;0.65,"GRAVE")</f>
        <v>MEDIO</v>
      </c>
    </row>
    <row r="2251" spans="2:24" x14ac:dyDescent="0.3">
      <c r="B2251" s="9">
        <v>2250</v>
      </c>
      <c r="C2251" s="49">
        <v>24595</v>
      </c>
      <c r="D2251" s="9">
        <f>YEAR(Tabla1[[#This Row],[Date]])</f>
        <v>1967</v>
      </c>
      <c r="E2251" s="9" t="str" cm="1">
        <f t="array" ref="E2251">IFERROR(_xlfn.IFS(AND(D2251&lt;1980,D2251&gt;=1970),"70",AND(D2251&lt;1990,D2251&gt;=1980),"80",AND(D2251&lt;2000,D2251&gt;=1990),"90",AND(D2251&lt;2010,D2251&gt;=2000),"00",AND(D2251&lt;=2019,D2251&gt;=2010),"10"),"1908-1970")</f>
        <v>1908-1970</v>
      </c>
      <c r="F2251" s="3">
        <v>0.83819444444444446</v>
      </c>
      <c r="G2251" t="s">
        <v>14854</v>
      </c>
      <c r="H2251" t="s">
        <v>14855</v>
      </c>
      <c r="I2251">
        <v>527</v>
      </c>
      <c r="J2251" t="s">
        <v>14856</v>
      </c>
      <c r="K2251" t="s">
        <v>14857</v>
      </c>
      <c r="L2251" s="7" t="s">
        <v>14858</v>
      </c>
      <c r="M2251">
        <v>23</v>
      </c>
      <c r="N2251">
        <v>38</v>
      </c>
      <c r="O2251">
        <v>35</v>
      </c>
      <c r="P2251">
        <v>3</v>
      </c>
      <c r="Q2251">
        <v>38</v>
      </c>
      <c r="R2251">
        <v>35</v>
      </c>
      <c r="S2251">
        <v>3</v>
      </c>
      <c r="T2251">
        <v>0</v>
      </c>
      <c r="U2251" t="s">
        <v>14859</v>
      </c>
      <c r="V2251">
        <f>Tabla1[[#This Row],[Aboard]]-Tabla1[[#This Row],[Fatalities]]</f>
        <v>0</v>
      </c>
      <c r="W2251" s="50">
        <f>IFERROR(Tabla1[[#This Row],[Fatalities]]/Tabla1[[#This Row],[Aboard]],0)</f>
        <v>1</v>
      </c>
      <c r="X2251" s="51" t="str" cm="1">
        <f t="array" ref="X2251">_xlfn.IFS(Tabla1[[#This Row],[Porcentaje de muertes]]&lt;0.35,"LEVE",AND(Tabla1[[#This Row],[Porcentaje de muertes]]&gt;0.35,Tabla1[[#This Row],[Porcentaje de muertes]]&lt;0.65),"MEDIO",Tabla1[[#This Row],[Porcentaje de muertes]]&gt;0.65,"GRAVE")</f>
        <v>GRAVE</v>
      </c>
    </row>
    <row r="2252" spans="2:24" x14ac:dyDescent="0.3">
      <c r="B2252" s="9">
        <v>2251</v>
      </c>
      <c r="C2252" s="49">
        <v>24595</v>
      </c>
      <c r="D2252" s="9">
        <f>YEAR(Tabla1[[#This Row],[Date]])</f>
        <v>1967</v>
      </c>
      <c r="E2252" s="9" t="str" cm="1">
        <f t="array" ref="E2252">IFERROR(_xlfn.IFS(AND(D2252&lt;1980,D2252&gt;=1970),"70",AND(D2252&lt;1990,D2252&gt;=1980),"80",AND(D2252&lt;2000,D2252&gt;=1990),"90",AND(D2252&lt;2010,D2252&gt;=2000),"00",AND(D2252&lt;=2019,D2252&gt;=2010),"10"),"1908-1970")</f>
        <v>1908-1970</v>
      </c>
      <c r="F2252" s="3">
        <v>0.12222222222222223</v>
      </c>
      <c r="G2252" t="s">
        <v>14860</v>
      </c>
      <c r="H2252" t="s">
        <v>8118</v>
      </c>
      <c r="I2252">
        <v>837</v>
      </c>
      <c r="J2252" t="s">
        <v>14861</v>
      </c>
      <c r="K2252" t="s">
        <v>13622</v>
      </c>
      <c r="L2252" s="7" t="s">
        <v>14862</v>
      </c>
      <c r="M2252" t="s">
        <v>14863</v>
      </c>
      <c r="N2252">
        <v>90</v>
      </c>
      <c r="O2252">
        <v>71</v>
      </c>
      <c r="P2252">
        <v>19</v>
      </c>
      <c r="Q2252">
        <v>51</v>
      </c>
      <c r="R2252">
        <v>50</v>
      </c>
      <c r="S2252">
        <v>1</v>
      </c>
      <c r="T2252">
        <v>5</v>
      </c>
      <c r="U2252" t="s">
        <v>14864</v>
      </c>
      <c r="V2252">
        <f>Tabla1[[#This Row],[Aboard]]-Tabla1[[#This Row],[Fatalities]]</f>
        <v>39</v>
      </c>
      <c r="W2252" s="50">
        <f>IFERROR(Tabla1[[#This Row],[Fatalities]]/Tabla1[[#This Row],[Aboard]],0)</f>
        <v>0.56666666666666665</v>
      </c>
      <c r="X2252" s="51" t="str" cm="1">
        <f t="array" ref="X2252">_xlfn.IFS(Tabla1[[#This Row],[Porcentaje de muertes]]&lt;0.35,"LEVE",AND(Tabla1[[#This Row],[Porcentaje de muertes]]&gt;0.35,Tabla1[[#This Row],[Porcentaje de muertes]]&lt;0.65),"MEDIO",Tabla1[[#This Row],[Porcentaje de muertes]]&gt;0.65,"GRAVE")</f>
        <v>MEDIO</v>
      </c>
    </row>
    <row r="2253" spans="2:24" x14ac:dyDescent="0.3">
      <c r="B2253" s="9">
        <v>2252</v>
      </c>
      <c r="C2253" s="49">
        <v>24687</v>
      </c>
      <c r="D2253" s="9">
        <f>YEAR(Tabla1[[#This Row],[Date]])</f>
        <v>1967</v>
      </c>
      <c r="E2253" s="9" t="str" cm="1">
        <f t="array" ref="E2253">IFERROR(_xlfn.IFS(AND(D2253&lt;1980,D2253&gt;=1970),"70",AND(D2253&lt;1990,D2253&gt;=1980),"80",AND(D2253&lt;2000,D2253&gt;=1990),"90",AND(D2253&lt;2010,D2253&gt;=2000),"00",AND(D2253&lt;=2019,D2253&gt;=2010),"10"),"1908-1970")</f>
        <v>1908-1970</v>
      </c>
      <c r="F2253" s="3" t="s">
        <v>28931</v>
      </c>
      <c r="G2253" t="s">
        <v>9559</v>
      </c>
      <c r="H2253" t="s">
        <v>14865</v>
      </c>
      <c r="I2253" t="s">
        <v>28931</v>
      </c>
      <c r="J2253" t="s">
        <v>14866</v>
      </c>
      <c r="K2253" t="s">
        <v>14867</v>
      </c>
      <c r="L2253" s="7" t="s">
        <v>14868</v>
      </c>
      <c r="M2253">
        <v>4</v>
      </c>
      <c r="N2253">
        <v>6</v>
      </c>
      <c r="O2253">
        <v>0</v>
      </c>
      <c r="P2253">
        <v>6</v>
      </c>
      <c r="Q2253">
        <v>4</v>
      </c>
      <c r="R2253">
        <v>0</v>
      </c>
      <c r="S2253">
        <v>4</v>
      </c>
      <c r="T2253">
        <v>7</v>
      </c>
      <c r="U2253" t="s">
        <v>14869</v>
      </c>
      <c r="V2253">
        <f>Tabla1[[#This Row],[Aboard]]-Tabla1[[#This Row],[Fatalities]]</f>
        <v>2</v>
      </c>
      <c r="W2253" s="50">
        <f>IFERROR(Tabla1[[#This Row],[Fatalities]]/Tabla1[[#This Row],[Aboard]],0)</f>
        <v>0.66666666666666663</v>
      </c>
      <c r="X2253" s="51" t="str" cm="1">
        <f t="array" ref="X2253">_xlfn.IFS(Tabla1[[#This Row],[Porcentaje de muertes]]&lt;0.35,"LEVE",AND(Tabla1[[#This Row],[Porcentaje de muertes]]&gt;0.35,Tabla1[[#This Row],[Porcentaje de muertes]]&lt;0.65),"MEDIO",Tabla1[[#This Row],[Porcentaje de muertes]]&gt;0.65,"GRAVE")</f>
        <v>GRAVE</v>
      </c>
    </row>
    <row r="2254" spans="2:24" x14ac:dyDescent="0.3">
      <c r="B2254" s="9">
        <v>2253</v>
      </c>
      <c r="C2254" s="49">
        <v>24718</v>
      </c>
      <c r="D2254" s="9">
        <f>YEAR(Tabla1[[#This Row],[Date]])</f>
        <v>1967</v>
      </c>
      <c r="E2254" s="9" t="str" cm="1">
        <f t="array" ref="E2254">IFERROR(_xlfn.IFS(AND(D2254&lt;1980,D2254&gt;=1970),"70",AND(D2254&lt;1990,D2254&gt;=1980),"80",AND(D2254&lt;2000,D2254&gt;=1990),"90",AND(D2254&lt;2010,D2254&gt;=2000),"00",AND(D2254&lt;=2019,D2254&gt;=2010),"10"),"1908-1970")</f>
        <v>1908-1970</v>
      </c>
      <c r="F2254" s="3">
        <v>0.49583333333333335</v>
      </c>
      <c r="G2254" t="s">
        <v>14870</v>
      </c>
      <c r="H2254" t="s">
        <v>14871</v>
      </c>
      <c r="I2254">
        <v>553</v>
      </c>
      <c r="J2254" t="s">
        <v>14872</v>
      </c>
      <c r="K2254" t="s">
        <v>14873</v>
      </c>
      <c r="L2254" s="7" t="s">
        <v>14874</v>
      </c>
      <c r="M2254" t="s">
        <v>14875</v>
      </c>
      <c r="N2254">
        <v>26</v>
      </c>
      <c r="O2254">
        <v>21</v>
      </c>
      <c r="P2254">
        <v>5</v>
      </c>
      <c r="Q2254">
        <v>26</v>
      </c>
      <c r="R2254">
        <v>21</v>
      </c>
      <c r="S2254">
        <v>5</v>
      </c>
      <c r="T2254">
        <v>0</v>
      </c>
      <c r="U2254" t="s">
        <v>14876</v>
      </c>
      <c r="V2254">
        <f>Tabla1[[#This Row],[Aboard]]-Tabla1[[#This Row],[Fatalities]]</f>
        <v>0</v>
      </c>
      <c r="W2254" s="50">
        <f>IFERROR(Tabla1[[#This Row],[Fatalities]]/Tabla1[[#This Row],[Aboard]],0)</f>
        <v>1</v>
      </c>
      <c r="X2254" s="51" t="str" cm="1">
        <f t="array" ref="X2254">_xlfn.IFS(Tabla1[[#This Row],[Porcentaje de muertes]]&lt;0.35,"LEVE",AND(Tabla1[[#This Row],[Porcentaje de muertes]]&gt;0.35,Tabla1[[#This Row],[Porcentaje de muertes]]&lt;0.65),"MEDIO",Tabla1[[#This Row],[Porcentaje de muertes]]&gt;0.65,"GRAVE")</f>
        <v>GRAVE</v>
      </c>
    </row>
    <row r="2255" spans="2:24" x14ac:dyDescent="0.3">
      <c r="B2255" s="9">
        <v>2254</v>
      </c>
      <c r="C2255" s="49">
        <v>24748</v>
      </c>
      <c r="D2255" s="9">
        <f>YEAR(Tabla1[[#This Row],[Date]])</f>
        <v>1967</v>
      </c>
      <c r="E2255" s="9" t="str" cm="1">
        <f t="array" ref="E2255">IFERROR(_xlfn.IFS(AND(D2255&lt;1980,D2255&gt;=1970),"70",AND(D2255&lt;1990,D2255&gt;=1980),"80",AND(D2255&lt;2000,D2255&gt;=1990),"90",AND(D2255&lt;2010,D2255&gt;=2000),"00",AND(D2255&lt;=2019,D2255&gt;=2010),"10"),"1908-1970")</f>
        <v>1908-1970</v>
      </c>
      <c r="F2255" s="3">
        <v>0.68055555555555547</v>
      </c>
      <c r="G2255" t="s">
        <v>14877</v>
      </c>
      <c r="H2255" t="s">
        <v>5027</v>
      </c>
      <c r="I2255" t="s">
        <v>28931</v>
      </c>
      <c r="J2255" t="s">
        <v>14878</v>
      </c>
      <c r="K2255" t="s">
        <v>14879</v>
      </c>
      <c r="L2255" s="7">
        <v>99844</v>
      </c>
      <c r="M2255">
        <v>33262</v>
      </c>
      <c r="N2255">
        <v>25</v>
      </c>
      <c r="O2255">
        <v>21</v>
      </c>
      <c r="P2255">
        <v>4</v>
      </c>
      <c r="Q2255">
        <v>25</v>
      </c>
      <c r="R2255">
        <v>21</v>
      </c>
      <c r="S2255">
        <v>4</v>
      </c>
      <c r="T2255">
        <v>0</v>
      </c>
      <c r="U2255" t="s">
        <v>14880</v>
      </c>
      <c r="V2255">
        <f>Tabla1[[#This Row],[Aboard]]-Tabla1[[#This Row],[Fatalities]]</f>
        <v>0</v>
      </c>
      <c r="W2255" s="50">
        <f>IFERROR(Tabla1[[#This Row],[Fatalities]]/Tabla1[[#This Row],[Aboard]],0)</f>
        <v>1</v>
      </c>
      <c r="X2255" s="51" t="str" cm="1">
        <f t="array" ref="X2255">_xlfn.IFS(Tabla1[[#This Row],[Porcentaje de muertes]]&lt;0.35,"LEVE",AND(Tabla1[[#This Row],[Porcentaje de muertes]]&gt;0.35,Tabla1[[#This Row],[Porcentaje de muertes]]&lt;0.65),"MEDIO",Tabla1[[#This Row],[Porcentaje de muertes]]&gt;0.65,"GRAVE")</f>
        <v>GRAVE</v>
      </c>
    </row>
    <row r="2256" spans="2:24" x14ac:dyDescent="0.3">
      <c r="B2256" s="9">
        <v>2255</v>
      </c>
      <c r="C2256" s="49">
        <v>24748</v>
      </c>
      <c r="D2256" s="9">
        <f>YEAR(Tabla1[[#This Row],[Date]])</f>
        <v>1967</v>
      </c>
      <c r="E2256" s="9" t="str" cm="1">
        <f t="array" ref="E2256">IFERROR(_xlfn.IFS(AND(D2256&lt;1980,D2256&gt;=1970),"70",AND(D2256&lt;1990,D2256&gt;=1980),"80",AND(D2256&lt;2000,D2256&gt;=1990),"90",AND(D2256&lt;2010,D2256&gt;=2000),"00",AND(D2256&lt;=2019,D2256&gt;=2010),"10"),"1908-1970")</f>
        <v>1908-1970</v>
      </c>
      <c r="F2256" s="3">
        <v>0.21041666666666667</v>
      </c>
      <c r="G2256" t="s">
        <v>14881</v>
      </c>
      <c r="H2256" t="s">
        <v>13767</v>
      </c>
      <c r="I2256">
        <v>720</v>
      </c>
      <c r="J2256" t="s">
        <v>14882</v>
      </c>
      <c r="K2256" t="s">
        <v>13450</v>
      </c>
      <c r="L2256" s="7" t="s">
        <v>14883</v>
      </c>
      <c r="M2256">
        <v>73</v>
      </c>
      <c r="N2256">
        <v>4</v>
      </c>
      <c r="O2256">
        <v>1</v>
      </c>
      <c r="P2256">
        <v>3</v>
      </c>
      <c r="Q2256">
        <v>4</v>
      </c>
      <c r="R2256">
        <v>1</v>
      </c>
      <c r="S2256">
        <v>3</v>
      </c>
      <c r="T2256">
        <v>0</v>
      </c>
      <c r="U2256" t="s">
        <v>14884</v>
      </c>
      <c r="V2256">
        <f>Tabla1[[#This Row],[Aboard]]-Tabla1[[#This Row],[Fatalities]]</f>
        <v>0</v>
      </c>
      <c r="W2256" s="50">
        <f>IFERROR(Tabla1[[#This Row],[Fatalities]]/Tabla1[[#This Row],[Aboard]],0)</f>
        <v>1</v>
      </c>
      <c r="X2256" s="51" t="str" cm="1">
        <f t="array" ref="X2256">_xlfn.IFS(Tabla1[[#This Row],[Porcentaje de muertes]]&lt;0.35,"LEVE",AND(Tabla1[[#This Row],[Porcentaje de muertes]]&gt;0.35,Tabla1[[#This Row],[Porcentaje de muertes]]&lt;0.65),"MEDIO",Tabla1[[#This Row],[Porcentaje de muertes]]&gt;0.65,"GRAVE")</f>
        <v>GRAVE</v>
      </c>
    </row>
    <row r="2257" spans="2:24" x14ac:dyDescent="0.3">
      <c r="B2257" s="9">
        <v>2256</v>
      </c>
      <c r="C2257" s="49">
        <v>24779</v>
      </c>
      <c r="D2257" s="9">
        <f>YEAR(Tabla1[[#This Row],[Date]])</f>
        <v>1967</v>
      </c>
      <c r="E2257" s="9" t="str" cm="1">
        <f t="array" ref="E2257">IFERROR(_xlfn.IFS(AND(D2257&lt;1980,D2257&gt;=1970),"70",AND(D2257&lt;1990,D2257&gt;=1980),"80",AND(D2257&lt;2000,D2257&gt;=1990),"90",AND(D2257&lt;2010,D2257&gt;=2000),"00",AND(D2257&lt;=2019,D2257&gt;=2010),"10"),"1908-1970")</f>
        <v>1908-1970</v>
      </c>
      <c r="F2257" s="3">
        <v>0.66666666666666663</v>
      </c>
      <c r="G2257" t="s">
        <v>14885</v>
      </c>
      <c r="H2257" t="s">
        <v>14886</v>
      </c>
      <c r="I2257" t="s">
        <v>28931</v>
      </c>
      <c r="J2257" t="s">
        <v>14887</v>
      </c>
      <c r="K2257" t="s">
        <v>14888</v>
      </c>
      <c r="L2257" s="7" t="s">
        <v>14889</v>
      </c>
      <c r="M2257">
        <v>30</v>
      </c>
      <c r="N2257">
        <v>5</v>
      </c>
      <c r="O2257">
        <v>3</v>
      </c>
      <c r="P2257">
        <v>2</v>
      </c>
      <c r="Q2257">
        <v>4</v>
      </c>
      <c r="R2257">
        <v>2</v>
      </c>
      <c r="S2257">
        <v>2</v>
      </c>
      <c r="T2257">
        <v>0</v>
      </c>
      <c r="U2257" t="s">
        <v>14890</v>
      </c>
      <c r="V2257">
        <f>Tabla1[[#This Row],[Aboard]]-Tabla1[[#This Row],[Fatalities]]</f>
        <v>1</v>
      </c>
      <c r="W2257" s="50">
        <f>IFERROR(Tabla1[[#This Row],[Fatalities]]/Tabla1[[#This Row],[Aboard]],0)</f>
        <v>0.8</v>
      </c>
      <c r="X2257" s="51" t="str" cm="1">
        <f t="array" ref="X2257">_xlfn.IFS(Tabla1[[#This Row],[Porcentaje de muertes]]&lt;0.35,"LEVE",AND(Tabla1[[#This Row],[Porcentaje de muertes]]&gt;0.35,Tabla1[[#This Row],[Porcentaje de muertes]]&lt;0.65),"MEDIO",Tabla1[[#This Row],[Porcentaje de muertes]]&gt;0.65,"GRAVE")</f>
        <v>GRAVE</v>
      </c>
    </row>
    <row r="2258" spans="2:24" x14ac:dyDescent="0.3">
      <c r="B2258" s="9">
        <v>2257</v>
      </c>
      <c r="C2258" s="49">
        <v>24809</v>
      </c>
      <c r="D2258" s="9">
        <f>YEAR(Tabla1[[#This Row],[Date]])</f>
        <v>1967</v>
      </c>
      <c r="E2258" s="9" t="str" cm="1">
        <f t="array" ref="E2258">IFERROR(_xlfn.IFS(AND(D2258&lt;1980,D2258&gt;=1970),"70",AND(D2258&lt;1990,D2258&gt;=1980),"80",AND(D2258&lt;2000,D2258&gt;=1990),"90",AND(D2258&lt;2010,D2258&gt;=2000),"00",AND(D2258&lt;=2019,D2258&gt;=2010),"10"),"1908-1970")</f>
        <v>1908-1970</v>
      </c>
      <c r="F2258" s="3">
        <v>0.60277777777777775</v>
      </c>
      <c r="G2258" t="s">
        <v>14891</v>
      </c>
      <c r="H2258" t="s">
        <v>6541</v>
      </c>
      <c r="I2258">
        <v>1799</v>
      </c>
      <c r="J2258" t="s">
        <v>14892</v>
      </c>
      <c r="K2258" t="s">
        <v>12110</v>
      </c>
      <c r="L2258" s="7" t="s">
        <v>14893</v>
      </c>
      <c r="M2258">
        <v>6341801</v>
      </c>
      <c r="N2258">
        <v>19</v>
      </c>
      <c r="O2258">
        <v>15</v>
      </c>
      <c r="P2258">
        <v>4</v>
      </c>
      <c r="Q2258">
        <v>15</v>
      </c>
      <c r="R2258">
        <v>11</v>
      </c>
      <c r="S2258">
        <v>4</v>
      </c>
      <c r="T2258">
        <v>0</v>
      </c>
      <c r="U2258" t="s">
        <v>14894</v>
      </c>
      <c r="V2258">
        <f>Tabla1[[#This Row],[Aboard]]-Tabla1[[#This Row],[Fatalities]]</f>
        <v>4</v>
      </c>
      <c r="W2258" s="50">
        <f>IFERROR(Tabla1[[#This Row],[Fatalities]]/Tabla1[[#This Row],[Aboard]],0)</f>
        <v>0.78947368421052633</v>
      </c>
      <c r="X2258" s="51" t="str" cm="1">
        <f t="array" ref="X2258">_xlfn.IFS(Tabla1[[#This Row],[Porcentaje de muertes]]&lt;0.35,"LEVE",AND(Tabla1[[#This Row],[Porcentaje de muertes]]&gt;0.35,Tabla1[[#This Row],[Porcentaje de muertes]]&lt;0.65),"MEDIO",Tabla1[[#This Row],[Porcentaje de muertes]]&gt;0.65,"GRAVE")</f>
        <v>GRAVE</v>
      </c>
    </row>
    <row r="2259" spans="2:24" x14ac:dyDescent="0.3">
      <c r="B2259" s="9">
        <v>2258</v>
      </c>
      <c r="C2259" s="49">
        <v>24544</v>
      </c>
      <c r="D2259" s="9">
        <f>YEAR(Tabla1[[#This Row],[Date]])</f>
        <v>1967</v>
      </c>
      <c r="E2259" s="9" t="str" cm="1">
        <f t="array" ref="E2259">IFERROR(_xlfn.IFS(AND(D2259&lt;1980,D2259&gt;=1970),"70",AND(D2259&lt;1990,D2259&gt;=1980),"80",AND(D2259&lt;2000,D2259&gt;=1990),"90",AND(D2259&lt;2010,D2259&gt;=2000),"00",AND(D2259&lt;=2019,D2259&gt;=2010),"10"),"1908-1970")</f>
        <v>1908-1970</v>
      </c>
      <c r="F2259" s="3">
        <v>0.71527777777777779</v>
      </c>
      <c r="G2259" t="s">
        <v>14895</v>
      </c>
      <c r="H2259" t="s">
        <v>7638</v>
      </c>
      <c r="I2259">
        <v>406</v>
      </c>
      <c r="J2259" t="s">
        <v>14896</v>
      </c>
      <c r="K2259" t="s">
        <v>14897</v>
      </c>
      <c r="L2259" s="7" t="s">
        <v>14898</v>
      </c>
      <c r="M2259">
        <v>317</v>
      </c>
      <c r="N2259">
        <v>25</v>
      </c>
      <c r="O2259">
        <v>20</v>
      </c>
      <c r="P2259">
        <v>5</v>
      </c>
      <c r="Q2259">
        <v>25</v>
      </c>
      <c r="R2259">
        <v>20</v>
      </c>
      <c r="S2259">
        <v>5</v>
      </c>
      <c r="T2259">
        <v>0</v>
      </c>
      <c r="U2259" t="s">
        <v>14899</v>
      </c>
      <c r="V2259">
        <f>Tabla1[[#This Row],[Aboard]]-Tabla1[[#This Row],[Fatalities]]</f>
        <v>0</v>
      </c>
      <c r="W2259" s="50">
        <f>IFERROR(Tabla1[[#This Row],[Fatalities]]/Tabla1[[#This Row],[Aboard]],0)</f>
        <v>1</v>
      </c>
      <c r="X2259" s="51" t="str" cm="1">
        <f t="array" ref="X2259">_xlfn.IFS(Tabla1[[#This Row],[Porcentaje de muertes]]&lt;0.35,"LEVE",AND(Tabla1[[#This Row],[Porcentaje de muertes]]&gt;0.35,Tabla1[[#This Row],[Porcentaje de muertes]]&lt;0.65),"MEDIO",Tabla1[[#This Row],[Porcentaje de muertes]]&gt;0.65,"GRAVE")</f>
        <v>GRAVE</v>
      </c>
    </row>
    <row r="2260" spans="2:24" x14ac:dyDescent="0.3">
      <c r="B2260" s="9">
        <v>2259</v>
      </c>
      <c r="C2260" s="49">
        <v>24561</v>
      </c>
      <c r="D2260" s="9">
        <f>YEAR(Tabla1[[#This Row],[Date]])</f>
        <v>1967</v>
      </c>
      <c r="E2260" s="9" t="str" cm="1">
        <f t="array" ref="E2260">IFERROR(_xlfn.IFS(AND(D2260&lt;1980,D2260&gt;=1970),"70",AND(D2260&lt;1990,D2260&gt;=1980),"80",AND(D2260&lt;2000,D2260&gt;=1990),"90",AND(D2260&lt;2010,D2260&gt;=2000),"00",AND(D2260&lt;=2019,D2260&gt;=2010),"10"),"1908-1970")</f>
        <v>1908-1970</v>
      </c>
      <c r="F2260" s="3">
        <v>3.4722222222222224E-2</v>
      </c>
      <c r="G2260" t="s">
        <v>14900</v>
      </c>
      <c r="H2260" t="s">
        <v>6658</v>
      </c>
      <c r="I2260">
        <v>9877</v>
      </c>
      <c r="J2260" t="s">
        <v>14901</v>
      </c>
      <c r="K2260" t="s">
        <v>14902</v>
      </c>
      <c r="L2260" s="7" t="s">
        <v>14903</v>
      </c>
      <c r="M2260" t="s">
        <v>14904</v>
      </c>
      <c r="N2260">
        <v>6</v>
      </c>
      <c r="O2260">
        <v>0</v>
      </c>
      <c r="P2260">
        <v>6</v>
      </c>
      <c r="Q2260">
        <v>6</v>
      </c>
      <c r="R2260">
        <v>0</v>
      </c>
      <c r="S2260">
        <v>6</v>
      </c>
      <c r="T2260">
        <v>13</v>
      </c>
      <c r="U2260" t="s">
        <v>14905</v>
      </c>
      <c r="V2260">
        <f>Tabla1[[#This Row],[Aboard]]-Tabla1[[#This Row],[Fatalities]]</f>
        <v>0</v>
      </c>
      <c r="W2260" s="50">
        <f>IFERROR(Tabla1[[#This Row],[Fatalities]]/Tabla1[[#This Row],[Aboard]],0)</f>
        <v>1</v>
      </c>
      <c r="X2260" s="51" t="str" cm="1">
        <f t="array" ref="X2260">_xlfn.IFS(Tabla1[[#This Row],[Porcentaje de muertes]]&lt;0.35,"LEVE",AND(Tabla1[[#This Row],[Porcentaje de muertes]]&gt;0.35,Tabla1[[#This Row],[Porcentaje de muertes]]&lt;0.65),"MEDIO",Tabla1[[#This Row],[Porcentaje de muertes]]&gt;0.65,"GRAVE")</f>
        <v>GRAVE</v>
      </c>
    </row>
    <row r="2261" spans="2:24" x14ac:dyDescent="0.3">
      <c r="B2261" s="9">
        <v>2260</v>
      </c>
      <c r="C2261" s="49">
        <v>24507</v>
      </c>
      <c r="D2261" s="9">
        <f>YEAR(Tabla1[[#This Row],[Date]])</f>
        <v>1967</v>
      </c>
      <c r="E2261" s="9" t="str" cm="1">
        <f t="array" ref="E2261">IFERROR(_xlfn.IFS(AND(D2261&lt;1980,D2261&gt;=1970),"70",AND(D2261&lt;1990,D2261&gt;=1980),"80",AND(D2261&lt;2000,D2261&gt;=1990),"90",AND(D2261&lt;2010,D2261&gt;=2000),"00",AND(D2261&lt;=2019,D2261&gt;=2010),"10"),"1908-1970")</f>
        <v>1908-1970</v>
      </c>
      <c r="F2261" s="3" t="s">
        <v>28931</v>
      </c>
      <c r="G2261" t="s">
        <v>14906</v>
      </c>
      <c r="H2261" t="s">
        <v>14907</v>
      </c>
      <c r="I2261" t="s">
        <v>28931</v>
      </c>
      <c r="J2261" t="s">
        <v>14908</v>
      </c>
      <c r="K2261" t="s">
        <v>7640</v>
      </c>
      <c r="L2261" s="7" t="s">
        <v>14909</v>
      </c>
      <c r="M2261">
        <v>2625</v>
      </c>
      <c r="N2261">
        <v>5</v>
      </c>
      <c r="O2261">
        <v>2</v>
      </c>
      <c r="P2261">
        <v>3</v>
      </c>
      <c r="Q2261">
        <v>5</v>
      </c>
      <c r="R2261">
        <v>2</v>
      </c>
      <c r="S2261">
        <v>3</v>
      </c>
      <c r="T2261">
        <v>0</v>
      </c>
      <c r="U2261" t="s">
        <v>14910</v>
      </c>
      <c r="V2261">
        <f>Tabla1[[#This Row],[Aboard]]-Tabla1[[#This Row],[Fatalities]]</f>
        <v>0</v>
      </c>
      <c r="W2261" s="50">
        <f>IFERROR(Tabla1[[#This Row],[Fatalities]]/Tabla1[[#This Row],[Aboard]],0)</f>
        <v>1</v>
      </c>
      <c r="X2261" s="51" t="str" cm="1">
        <f t="array" ref="X2261">_xlfn.IFS(Tabla1[[#This Row],[Porcentaje de muertes]]&lt;0.35,"LEVE",AND(Tabla1[[#This Row],[Porcentaje de muertes]]&gt;0.35,Tabla1[[#This Row],[Porcentaje de muertes]]&lt;0.65),"MEDIO",Tabla1[[#This Row],[Porcentaje de muertes]]&gt;0.65,"GRAVE")</f>
        <v>GRAVE</v>
      </c>
    </row>
    <row r="2262" spans="2:24" x14ac:dyDescent="0.3">
      <c r="B2262" s="9">
        <v>2261</v>
      </c>
      <c r="C2262" s="49">
        <v>24780</v>
      </c>
      <c r="D2262" s="9">
        <f>YEAR(Tabla1[[#This Row],[Date]])</f>
        <v>1967</v>
      </c>
      <c r="E2262" s="9" t="str" cm="1">
        <f t="array" ref="E2262">IFERROR(_xlfn.IFS(AND(D2262&lt;1980,D2262&gt;=1970),"70",AND(D2262&lt;1990,D2262&gt;=1980),"80",AND(D2262&lt;2000,D2262&gt;=1990),"90",AND(D2262&lt;2010,D2262&gt;=2000),"00",AND(D2262&lt;=2019,D2262&gt;=2010),"10"),"1908-1970")</f>
        <v>1908-1970</v>
      </c>
      <c r="F2262" s="3">
        <v>0.84305555555555556</v>
      </c>
      <c r="G2262" t="s">
        <v>14911</v>
      </c>
      <c r="H2262" t="s">
        <v>14912</v>
      </c>
      <c r="I2262" t="s">
        <v>28931</v>
      </c>
      <c r="J2262" t="s">
        <v>14913</v>
      </c>
      <c r="K2262" t="s">
        <v>8822</v>
      </c>
      <c r="L2262" s="7" t="s">
        <v>14914</v>
      </c>
      <c r="M2262">
        <v>3065</v>
      </c>
      <c r="N2262">
        <v>39</v>
      </c>
      <c r="O2262">
        <v>33</v>
      </c>
      <c r="P2262">
        <v>6</v>
      </c>
      <c r="Q2262">
        <v>35</v>
      </c>
      <c r="R2262">
        <v>29</v>
      </c>
      <c r="S2262">
        <v>6</v>
      </c>
      <c r="T2262">
        <v>0</v>
      </c>
      <c r="U2262" t="s">
        <v>14915</v>
      </c>
      <c r="V2262">
        <f>Tabla1[[#This Row],[Aboard]]-Tabla1[[#This Row],[Fatalities]]</f>
        <v>4</v>
      </c>
      <c r="W2262" s="50">
        <f>IFERROR(Tabla1[[#This Row],[Fatalities]]/Tabla1[[#This Row],[Aboard]],0)</f>
        <v>0.89743589743589747</v>
      </c>
      <c r="X2262" s="51" t="str" cm="1">
        <f t="array" ref="X2262">_xlfn.IFS(Tabla1[[#This Row],[Porcentaje de muertes]]&lt;0.35,"LEVE",AND(Tabla1[[#This Row],[Porcentaje de muertes]]&gt;0.35,Tabla1[[#This Row],[Porcentaje de muertes]]&lt;0.65),"MEDIO",Tabla1[[#This Row],[Porcentaje de muertes]]&gt;0.65,"GRAVE")</f>
        <v>GRAVE</v>
      </c>
    </row>
    <row r="2263" spans="2:24" x14ac:dyDescent="0.3">
      <c r="B2263" s="9">
        <v>2262</v>
      </c>
      <c r="C2263" s="49">
        <v>24579</v>
      </c>
      <c r="D2263" s="9">
        <f>YEAR(Tabla1[[#This Row],[Date]])</f>
        <v>1967</v>
      </c>
      <c r="E2263" s="9" t="str" cm="1">
        <f t="array" ref="E2263">IFERROR(_xlfn.IFS(AND(D2263&lt;1980,D2263&gt;=1970),"70",AND(D2263&lt;1990,D2263&gt;=1980),"80",AND(D2263&lt;2000,D2263&gt;=1990),"90",AND(D2263&lt;2010,D2263&gt;=2000),"00",AND(D2263&lt;=2019,D2263&gt;=2010),"10"),"1908-1970")</f>
        <v>1908-1970</v>
      </c>
      <c r="F2263" s="3">
        <v>0.73611111111111116</v>
      </c>
      <c r="G2263" t="s">
        <v>14916</v>
      </c>
      <c r="H2263" t="s">
        <v>14917</v>
      </c>
      <c r="I2263" t="s">
        <v>28931</v>
      </c>
      <c r="J2263" t="s">
        <v>14918</v>
      </c>
      <c r="K2263" t="s">
        <v>14919</v>
      </c>
      <c r="L2263" s="7" t="s">
        <v>14920</v>
      </c>
      <c r="M2263">
        <v>4118</v>
      </c>
      <c r="N2263">
        <v>23</v>
      </c>
      <c r="O2263">
        <v>14</v>
      </c>
      <c r="P2263">
        <v>9</v>
      </c>
      <c r="Q2263">
        <v>23</v>
      </c>
      <c r="R2263">
        <v>14</v>
      </c>
      <c r="S2263">
        <v>9</v>
      </c>
      <c r="T2263">
        <v>0</v>
      </c>
      <c r="U2263" t="s">
        <v>14921</v>
      </c>
      <c r="V2263">
        <f>Tabla1[[#This Row],[Aboard]]-Tabla1[[#This Row],[Fatalities]]</f>
        <v>0</v>
      </c>
      <c r="W2263" s="50">
        <f>IFERROR(Tabla1[[#This Row],[Fatalities]]/Tabla1[[#This Row],[Aboard]],0)</f>
        <v>1</v>
      </c>
      <c r="X2263" s="51" t="str" cm="1">
        <f t="array" ref="X2263">_xlfn.IFS(Tabla1[[#This Row],[Porcentaje de muertes]]&lt;0.35,"LEVE",AND(Tabla1[[#This Row],[Porcentaje de muertes]]&gt;0.35,Tabla1[[#This Row],[Porcentaje de muertes]]&lt;0.65),"MEDIO",Tabla1[[#This Row],[Porcentaje de muertes]]&gt;0.65,"GRAVE")</f>
        <v>GRAVE</v>
      </c>
    </row>
    <row r="2264" spans="2:24" x14ac:dyDescent="0.3">
      <c r="B2264" s="9">
        <v>2263</v>
      </c>
      <c r="C2264" s="49">
        <v>24582</v>
      </c>
      <c r="D2264" s="9">
        <f>YEAR(Tabla1[[#This Row],[Date]])</f>
        <v>1967</v>
      </c>
      <c r="E2264" s="9" t="str" cm="1">
        <f t="array" ref="E2264">IFERROR(_xlfn.IFS(AND(D2264&lt;1980,D2264&gt;=1970),"70",AND(D2264&lt;1990,D2264&gt;=1980),"80",AND(D2264&lt;2000,D2264&gt;=1990),"90",AND(D2264&lt;2010,D2264&gt;=2000),"00",AND(D2264&lt;=2019,D2264&gt;=2010),"10"),"1908-1970")</f>
        <v>1908-1970</v>
      </c>
      <c r="F2264" s="3">
        <v>5.0694444444444452E-2</v>
      </c>
      <c r="G2264" t="s">
        <v>14922</v>
      </c>
      <c r="H2264" t="s">
        <v>14923</v>
      </c>
      <c r="I2264" t="s">
        <v>28931</v>
      </c>
      <c r="J2264" t="s">
        <v>14924</v>
      </c>
      <c r="K2264" t="s">
        <v>12186</v>
      </c>
      <c r="L2264" s="7" t="s">
        <v>14925</v>
      </c>
      <c r="M2264">
        <v>13232</v>
      </c>
      <c r="N2264">
        <v>130</v>
      </c>
      <c r="O2264">
        <v>120</v>
      </c>
      <c r="P2264">
        <v>10</v>
      </c>
      <c r="Q2264">
        <v>126</v>
      </c>
      <c r="R2264">
        <v>117</v>
      </c>
      <c r="S2264">
        <v>9</v>
      </c>
      <c r="T2264">
        <v>0</v>
      </c>
      <c r="U2264" t="s">
        <v>14926</v>
      </c>
      <c r="V2264">
        <f>Tabla1[[#This Row],[Aboard]]-Tabla1[[#This Row],[Fatalities]]</f>
        <v>4</v>
      </c>
      <c r="W2264" s="50">
        <f>IFERROR(Tabla1[[#This Row],[Fatalities]]/Tabla1[[#This Row],[Aboard]],0)</f>
        <v>0.96923076923076923</v>
      </c>
      <c r="X2264" s="51" t="str" cm="1">
        <f t="array" ref="X2264">_xlfn.IFS(Tabla1[[#This Row],[Porcentaje de muertes]]&lt;0.35,"LEVE",AND(Tabla1[[#This Row],[Porcentaje de muertes]]&gt;0.35,Tabla1[[#This Row],[Porcentaje de muertes]]&lt;0.65),"MEDIO",Tabla1[[#This Row],[Porcentaje de muertes]]&gt;0.65,"GRAVE")</f>
        <v>GRAVE</v>
      </c>
    </row>
    <row r="2265" spans="2:24" x14ac:dyDescent="0.3">
      <c r="B2265" s="9">
        <v>2264</v>
      </c>
      <c r="C2265" s="49">
        <v>24588</v>
      </c>
      <c r="D2265" s="9">
        <f>YEAR(Tabla1[[#This Row],[Date]])</f>
        <v>1967</v>
      </c>
      <c r="E2265" s="9" t="str" cm="1">
        <f t="array" ref="E2265">IFERROR(_xlfn.IFS(AND(D2265&lt;1980,D2265&gt;=1970),"70",AND(D2265&lt;1990,D2265&gt;=1980),"80",AND(D2265&lt;2000,D2265&gt;=1990),"90",AND(D2265&lt;2010,D2265&gt;=2000),"00",AND(D2265&lt;=2019,D2265&gt;=2010),"10"),"1908-1970")</f>
        <v>1908-1970</v>
      </c>
      <c r="F2265" s="3" t="s">
        <v>28931</v>
      </c>
      <c r="G2265" t="s">
        <v>14927</v>
      </c>
      <c r="H2265" t="s">
        <v>8976</v>
      </c>
      <c r="I2265" t="s">
        <v>28931</v>
      </c>
      <c r="J2265" t="s">
        <v>14928</v>
      </c>
      <c r="K2265" t="s">
        <v>7057</v>
      </c>
      <c r="L2265" s="7" t="s">
        <v>14929</v>
      </c>
      <c r="M2265">
        <v>4631</v>
      </c>
      <c r="N2265">
        <v>18</v>
      </c>
      <c r="O2265">
        <v>16</v>
      </c>
      <c r="P2265">
        <v>2</v>
      </c>
      <c r="Q2265">
        <v>17</v>
      </c>
      <c r="R2265">
        <v>15</v>
      </c>
      <c r="S2265">
        <v>2</v>
      </c>
      <c r="T2265">
        <v>0</v>
      </c>
      <c r="U2265" t="s">
        <v>14930</v>
      </c>
      <c r="V2265">
        <f>Tabla1[[#This Row],[Aboard]]-Tabla1[[#This Row],[Fatalities]]</f>
        <v>1</v>
      </c>
      <c r="W2265" s="50">
        <f>IFERROR(Tabla1[[#This Row],[Fatalities]]/Tabla1[[#This Row],[Aboard]],0)</f>
        <v>0.94444444444444442</v>
      </c>
      <c r="X2265" s="51" t="str" cm="1">
        <f t="array" ref="X2265">_xlfn.IFS(Tabla1[[#This Row],[Porcentaje de muertes]]&lt;0.35,"LEVE",AND(Tabla1[[#This Row],[Porcentaje de muertes]]&gt;0.35,Tabla1[[#This Row],[Porcentaje de muertes]]&lt;0.65),"MEDIO",Tabla1[[#This Row],[Porcentaje de muertes]]&gt;0.65,"GRAVE")</f>
        <v>GRAVE</v>
      </c>
    </row>
    <row r="2266" spans="2:24" x14ac:dyDescent="0.3">
      <c r="B2266" s="9">
        <v>2265</v>
      </c>
      <c r="C2266" s="49">
        <v>24589</v>
      </c>
      <c r="D2266" s="9">
        <f>YEAR(Tabla1[[#This Row],[Date]])</f>
        <v>1967</v>
      </c>
      <c r="E2266" s="9" t="str" cm="1">
        <f t="array" ref="E2266">IFERROR(_xlfn.IFS(AND(D2266&lt;1980,D2266&gt;=1970),"70",AND(D2266&lt;1990,D2266&gt;=1980),"80",AND(D2266&lt;2000,D2266&gt;=1990),"90",AND(D2266&lt;2010,D2266&gt;=2000),"00",AND(D2266&lt;=2019,D2266&gt;=2010),"10"),"1908-1970")</f>
        <v>1908-1970</v>
      </c>
      <c r="F2266" s="3">
        <v>0.71527777777777779</v>
      </c>
      <c r="G2266" t="s">
        <v>14931</v>
      </c>
      <c r="H2266" t="s">
        <v>14932</v>
      </c>
      <c r="I2266" t="s">
        <v>28931</v>
      </c>
      <c r="J2266" t="s">
        <v>5018</v>
      </c>
      <c r="K2266" t="s">
        <v>14933</v>
      </c>
      <c r="L2266" s="7" t="s">
        <v>14934</v>
      </c>
      <c r="M2266">
        <v>10306</v>
      </c>
      <c r="N2266">
        <v>21</v>
      </c>
      <c r="O2266">
        <v>18</v>
      </c>
      <c r="P2266">
        <v>3</v>
      </c>
      <c r="Q2266">
        <v>19</v>
      </c>
      <c r="R2266">
        <v>16</v>
      </c>
      <c r="S2266">
        <v>3</v>
      </c>
      <c r="T2266">
        <v>0</v>
      </c>
      <c r="U2266" t="s">
        <v>14935</v>
      </c>
      <c r="V2266">
        <f>Tabla1[[#This Row],[Aboard]]-Tabla1[[#This Row],[Fatalities]]</f>
        <v>2</v>
      </c>
      <c r="W2266" s="50">
        <f>IFERROR(Tabla1[[#This Row],[Fatalities]]/Tabla1[[#This Row],[Aboard]],0)</f>
        <v>0.90476190476190477</v>
      </c>
      <c r="X2266" s="51" t="str" cm="1">
        <f t="array" ref="X2266">_xlfn.IFS(Tabla1[[#This Row],[Porcentaje de muertes]]&lt;0.35,"LEVE",AND(Tabla1[[#This Row],[Porcentaje de muertes]]&gt;0.35,Tabla1[[#This Row],[Porcentaje de muertes]]&lt;0.65),"MEDIO",Tabla1[[#This Row],[Porcentaje de muertes]]&gt;0.65,"GRAVE")</f>
        <v>GRAVE</v>
      </c>
    </row>
    <row r="2267" spans="2:24" x14ac:dyDescent="0.3">
      <c r="B2267" s="9">
        <v>2266</v>
      </c>
      <c r="C2267" s="49">
        <v>24477</v>
      </c>
      <c r="D2267" s="9">
        <f>YEAR(Tabla1[[#This Row],[Date]])</f>
        <v>1967</v>
      </c>
      <c r="E2267" s="9" t="str" cm="1">
        <f t="array" ref="E2267">IFERROR(_xlfn.IFS(AND(D2267&lt;1980,D2267&gt;=1970),"70",AND(D2267&lt;1990,D2267&gt;=1980),"80",AND(D2267&lt;2000,D2267&gt;=1990),"90",AND(D2267&lt;2010,D2267&gt;=2000),"00",AND(D2267&lt;=2019,D2267&gt;=2010),"10"),"1908-1970")</f>
        <v>1908-1970</v>
      </c>
      <c r="F2267" s="3">
        <v>0.68055555555555547</v>
      </c>
      <c r="G2267" t="s">
        <v>14936</v>
      </c>
      <c r="H2267" t="s">
        <v>14937</v>
      </c>
      <c r="I2267" t="s">
        <v>28931</v>
      </c>
      <c r="J2267" t="s">
        <v>28931</v>
      </c>
      <c r="K2267" t="s">
        <v>14938</v>
      </c>
      <c r="L2267" s="7" t="s">
        <v>14939</v>
      </c>
      <c r="M2267" t="s">
        <v>28931</v>
      </c>
      <c r="N2267">
        <v>14</v>
      </c>
      <c r="O2267">
        <v>11</v>
      </c>
      <c r="P2267">
        <v>3</v>
      </c>
      <c r="Q2267">
        <v>3</v>
      </c>
      <c r="R2267">
        <v>1</v>
      </c>
      <c r="S2267">
        <v>2</v>
      </c>
      <c r="T2267">
        <v>0</v>
      </c>
      <c r="U2267" t="s">
        <v>14940</v>
      </c>
      <c r="V2267">
        <f>Tabla1[[#This Row],[Aboard]]-Tabla1[[#This Row],[Fatalities]]</f>
        <v>11</v>
      </c>
      <c r="W2267" s="50">
        <f>IFERROR(Tabla1[[#This Row],[Fatalities]]/Tabla1[[#This Row],[Aboard]],0)</f>
        <v>0.21428571428571427</v>
      </c>
      <c r="X2267" s="51" t="str" cm="1">
        <f t="array" ref="X2267">_xlfn.IFS(Tabla1[[#This Row],[Porcentaje de muertes]]&lt;0.35,"LEVE",AND(Tabla1[[#This Row],[Porcentaje de muertes]]&gt;0.35,Tabla1[[#This Row],[Porcentaje de muertes]]&lt;0.65),"MEDIO",Tabla1[[#This Row],[Porcentaje de muertes]]&gt;0.65,"GRAVE")</f>
        <v>LEVE</v>
      </c>
    </row>
    <row r="2268" spans="2:24" x14ac:dyDescent="0.3">
      <c r="B2268" s="9">
        <v>2267</v>
      </c>
      <c r="C2268" s="49">
        <v>24607</v>
      </c>
      <c r="D2268" s="9">
        <f>YEAR(Tabla1[[#This Row],[Date]])</f>
        <v>1967</v>
      </c>
      <c r="E2268" s="9" t="str" cm="1">
        <f t="array" ref="E2268">IFERROR(_xlfn.IFS(AND(D2268&lt;1980,D2268&gt;=1970),"70",AND(D2268&lt;1990,D2268&gt;=1980),"80",AND(D2268&lt;2000,D2268&gt;=1990),"90",AND(D2268&lt;2010,D2268&gt;=2000),"00",AND(D2268&lt;=2019,D2268&gt;=2010),"10"),"1908-1970")</f>
        <v>1908-1970</v>
      </c>
      <c r="F2268" s="3" t="s">
        <v>28931</v>
      </c>
      <c r="G2268" t="s">
        <v>14941</v>
      </c>
      <c r="H2268" t="s">
        <v>14942</v>
      </c>
      <c r="I2268" t="s">
        <v>28931</v>
      </c>
      <c r="J2268" t="s">
        <v>28931</v>
      </c>
      <c r="K2268" t="s">
        <v>14943</v>
      </c>
      <c r="L2268" s="7" t="s">
        <v>14944</v>
      </c>
      <c r="M2268">
        <v>30200</v>
      </c>
      <c r="N2268">
        <v>4</v>
      </c>
      <c r="O2268">
        <v>2</v>
      </c>
      <c r="P2268">
        <v>2</v>
      </c>
      <c r="Q2268">
        <v>4</v>
      </c>
      <c r="R2268">
        <v>2</v>
      </c>
      <c r="S2268">
        <v>2</v>
      </c>
      <c r="T2268">
        <v>0</v>
      </c>
      <c r="U2268" t="s">
        <v>14945</v>
      </c>
      <c r="V2268">
        <f>Tabla1[[#This Row],[Aboard]]-Tabla1[[#This Row],[Fatalities]]</f>
        <v>0</v>
      </c>
      <c r="W2268" s="50">
        <f>IFERROR(Tabla1[[#This Row],[Fatalities]]/Tabla1[[#This Row],[Aboard]],0)</f>
        <v>1</v>
      </c>
      <c r="X2268" s="51" t="str" cm="1">
        <f t="array" ref="X2268">_xlfn.IFS(Tabla1[[#This Row],[Porcentaje de muertes]]&lt;0.35,"LEVE",AND(Tabla1[[#This Row],[Porcentaje de muertes]]&gt;0.35,Tabla1[[#This Row],[Porcentaje de muertes]]&lt;0.65),"MEDIO",Tabla1[[#This Row],[Porcentaje de muertes]]&gt;0.65,"GRAVE")</f>
        <v>GRAVE</v>
      </c>
    </row>
    <row r="2269" spans="2:24" x14ac:dyDescent="0.3">
      <c r="B2269" s="9">
        <v>2268</v>
      </c>
      <c r="C2269" s="49">
        <v>24611</v>
      </c>
      <c r="D2269" s="9">
        <f>YEAR(Tabla1[[#This Row],[Date]])</f>
        <v>1967</v>
      </c>
      <c r="E2269" s="9" t="str" cm="1">
        <f t="array" ref="E2269">IFERROR(_xlfn.IFS(AND(D2269&lt;1980,D2269&gt;=1970),"70",AND(D2269&lt;1990,D2269&gt;=1980),"80",AND(D2269&lt;2000,D2269&gt;=1990),"90",AND(D2269&lt;2010,D2269&gt;=2000),"00",AND(D2269&lt;=2019,D2269&gt;=2010),"10"),"1908-1970")</f>
        <v>1908-1970</v>
      </c>
      <c r="F2269" s="3">
        <v>0.77569444444444446</v>
      </c>
      <c r="G2269" t="s">
        <v>14946</v>
      </c>
      <c r="H2269" t="s">
        <v>14947</v>
      </c>
      <c r="I2269" t="s">
        <v>28931</v>
      </c>
      <c r="J2269" t="s">
        <v>14948</v>
      </c>
      <c r="K2269" t="s">
        <v>14949</v>
      </c>
      <c r="L2269" s="7" t="s">
        <v>14950</v>
      </c>
      <c r="M2269" t="s">
        <v>14951</v>
      </c>
      <c r="N2269">
        <v>3</v>
      </c>
      <c r="O2269">
        <v>0</v>
      </c>
      <c r="P2269">
        <v>3</v>
      </c>
      <c r="Q2269">
        <v>3</v>
      </c>
      <c r="R2269">
        <v>0</v>
      </c>
      <c r="S2269">
        <v>3</v>
      </c>
      <c r="T2269">
        <v>0</v>
      </c>
      <c r="U2269" t="s">
        <v>14952</v>
      </c>
      <c r="V2269">
        <f>Tabla1[[#This Row],[Aboard]]-Tabla1[[#This Row],[Fatalities]]</f>
        <v>0</v>
      </c>
      <c r="W2269" s="50">
        <f>IFERROR(Tabla1[[#This Row],[Fatalities]]/Tabla1[[#This Row],[Aboard]],0)</f>
        <v>1</v>
      </c>
      <c r="X2269" s="51" t="str" cm="1">
        <f t="array" ref="X2269">_xlfn.IFS(Tabla1[[#This Row],[Porcentaje de muertes]]&lt;0.35,"LEVE",AND(Tabla1[[#This Row],[Porcentaje de muertes]]&gt;0.35,Tabla1[[#This Row],[Porcentaje de muertes]]&lt;0.65),"MEDIO",Tabla1[[#This Row],[Porcentaje de muertes]]&gt;0.65,"GRAVE")</f>
        <v>GRAVE</v>
      </c>
    </row>
    <row r="2270" spans="2:24" x14ac:dyDescent="0.3">
      <c r="B2270" s="9">
        <v>2269</v>
      </c>
      <c r="C2270" s="49">
        <v>24537</v>
      </c>
      <c r="D2270" s="9">
        <f>YEAR(Tabla1[[#This Row],[Date]])</f>
        <v>1967</v>
      </c>
      <c r="E2270" s="9" t="str" cm="1">
        <f t="array" ref="E2270">IFERROR(_xlfn.IFS(AND(D2270&lt;1980,D2270&gt;=1970),"70",AND(D2270&lt;1990,D2270&gt;=1980),"80",AND(D2270&lt;2000,D2270&gt;=1990),"90",AND(D2270&lt;2010,D2270&gt;=2000),"00",AND(D2270&lt;=2019,D2270&gt;=2010),"10"),"1908-1970")</f>
        <v>1908-1970</v>
      </c>
      <c r="F2270" s="3">
        <v>0.96250000000000002</v>
      </c>
      <c r="G2270" t="s">
        <v>14953</v>
      </c>
      <c r="H2270" t="s">
        <v>14954</v>
      </c>
      <c r="I2270" t="s">
        <v>28931</v>
      </c>
      <c r="J2270" t="s">
        <v>14955</v>
      </c>
      <c r="K2270" t="s">
        <v>11635</v>
      </c>
      <c r="L2270" s="7" t="s">
        <v>14956</v>
      </c>
      <c r="M2270">
        <v>10279</v>
      </c>
      <c r="N2270">
        <v>88</v>
      </c>
      <c r="O2270">
        <v>83</v>
      </c>
      <c r="P2270">
        <v>5</v>
      </c>
      <c r="Q2270">
        <v>88</v>
      </c>
      <c r="R2270">
        <v>83</v>
      </c>
      <c r="S2270">
        <v>5</v>
      </c>
      <c r="T2270">
        <v>0</v>
      </c>
      <c r="U2270" t="s">
        <v>14957</v>
      </c>
      <c r="V2270">
        <f>Tabla1[[#This Row],[Aboard]]-Tabla1[[#This Row],[Fatalities]]</f>
        <v>0</v>
      </c>
      <c r="W2270" s="50">
        <f>IFERROR(Tabla1[[#This Row],[Fatalities]]/Tabla1[[#This Row],[Aboard]],0)</f>
        <v>1</v>
      </c>
      <c r="X2270" s="51" t="str" cm="1">
        <f t="array" ref="X2270">_xlfn.IFS(Tabla1[[#This Row],[Porcentaje de muertes]]&lt;0.35,"LEVE",AND(Tabla1[[#This Row],[Porcentaje de muertes]]&gt;0.35,Tabla1[[#This Row],[Porcentaje de muertes]]&lt;0.65),"MEDIO",Tabla1[[#This Row],[Porcentaje de muertes]]&gt;0.65,"GRAVE")</f>
        <v>GRAVE</v>
      </c>
    </row>
    <row r="2271" spans="2:24" x14ac:dyDescent="0.3">
      <c r="B2271" s="9">
        <v>2270</v>
      </c>
      <c r="C2271" s="49">
        <v>24568</v>
      </c>
      <c r="D2271" s="9">
        <f>YEAR(Tabla1[[#This Row],[Date]])</f>
        <v>1967</v>
      </c>
      <c r="E2271" s="9" t="str" cm="1">
        <f t="array" ref="E2271">IFERROR(_xlfn.IFS(AND(D2271&lt;1980,D2271&gt;=1970),"70",AND(D2271&lt;1990,D2271&gt;=1980),"80",AND(D2271&lt;2000,D2271&gt;=1990),"90",AND(D2271&lt;2010,D2271&gt;=2000),"00",AND(D2271&lt;=2019,D2271&gt;=2010),"10"),"1908-1970")</f>
        <v>1908-1970</v>
      </c>
      <c r="F2271" s="3">
        <v>0.42291666666666666</v>
      </c>
      <c r="G2271" t="s">
        <v>14958</v>
      </c>
      <c r="H2271" t="s">
        <v>14959</v>
      </c>
      <c r="I2271" t="s">
        <v>28931</v>
      </c>
      <c r="J2271" t="s">
        <v>14960</v>
      </c>
      <c r="K2271" t="s">
        <v>11622</v>
      </c>
      <c r="L2271" s="7" t="s">
        <v>14961</v>
      </c>
      <c r="M2271">
        <v>153</v>
      </c>
      <c r="N2271">
        <v>84</v>
      </c>
      <c r="O2271">
        <v>79</v>
      </c>
      <c r="P2271">
        <v>5</v>
      </c>
      <c r="Q2271">
        <v>72</v>
      </c>
      <c r="R2271">
        <v>69</v>
      </c>
      <c r="S2271">
        <v>3</v>
      </c>
      <c r="T2271">
        <v>0</v>
      </c>
      <c r="U2271" t="s">
        <v>14962</v>
      </c>
      <c r="V2271">
        <f>Tabla1[[#This Row],[Aboard]]-Tabla1[[#This Row],[Fatalities]]</f>
        <v>12</v>
      </c>
      <c r="W2271" s="50">
        <f>IFERROR(Tabla1[[#This Row],[Fatalities]]/Tabla1[[#This Row],[Aboard]],0)</f>
        <v>0.8571428571428571</v>
      </c>
      <c r="X2271" s="51" t="str" cm="1">
        <f t="array" ref="X2271">_xlfn.IFS(Tabla1[[#This Row],[Porcentaje de muertes]]&lt;0.35,"LEVE",AND(Tabla1[[#This Row],[Porcentaje de muertes]]&gt;0.35,Tabla1[[#This Row],[Porcentaje de muertes]]&lt;0.65),"MEDIO",Tabla1[[#This Row],[Porcentaje de muertes]]&gt;0.65,"GRAVE")</f>
        <v>GRAVE</v>
      </c>
    </row>
    <row r="2272" spans="2:24" x14ac:dyDescent="0.3">
      <c r="B2272" s="9">
        <v>2271</v>
      </c>
      <c r="C2272" s="49">
        <v>24782</v>
      </c>
      <c r="D2272" s="9">
        <f>YEAR(Tabla1[[#This Row],[Date]])</f>
        <v>1967</v>
      </c>
      <c r="E2272" s="9" t="str" cm="1">
        <f t="array" ref="E2272">IFERROR(_xlfn.IFS(AND(D2272&lt;1980,D2272&gt;=1970),"70",AND(D2272&lt;1990,D2272&gt;=1980),"80",AND(D2272&lt;2000,D2272&gt;=1990),"90",AND(D2272&lt;2010,D2272&gt;=2000),"00",AND(D2272&lt;=2019,D2272&gt;=2010),"10"),"1908-1970")</f>
        <v>1908-1970</v>
      </c>
      <c r="F2272" s="3" t="s">
        <v>28931</v>
      </c>
      <c r="G2272" t="s">
        <v>14963</v>
      </c>
      <c r="H2272" t="s">
        <v>14150</v>
      </c>
      <c r="I2272" t="s">
        <v>28931</v>
      </c>
      <c r="J2272" t="s">
        <v>14964</v>
      </c>
      <c r="K2272" t="s">
        <v>7057</v>
      </c>
      <c r="L2272" s="7" t="s">
        <v>14965</v>
      </c>
      <c r="M2272" t="s">
        <v>14966</v>
      </c>
      <c r="N2272">
        <v>18</v>
      </c>
      <c r="O2272">
        <v>15</v>
      </c>
      <c r="P2272">
        <v>3</v>
      </c>
      <c r="Q2272">
        <v>17</v>
      </c>
      <c r="R2272">
        <v>14</v>
      </c>
      <c r="S2272">
        <v>3</v>
      </c>
      <c r="T2272">
        <v>0</v>
      </c>
      <c r="U2272" t="s">
        <v>14967</v>
      </c>
      <c r="V2272">
        <f>Tabla1[[#This Row],[Aboard]]-Tabla1[[#This Row],[Fatalities]]</f>
        <v>1</v>
      </c>
      <c r="W2272" s="50">
        <f>IFERROR(Tabla1[[#This Row],[Fatalities]]/Tabla1[[#This Row],[Aboard]],0)</f>
        <v>0.94444444444444442</v>
      </c>
      <c r="X2272" s="51" t="str" cm="1">
        <f t="array" ref="X2272">_xlfn.IFS(Tabla1[[#This Row],[Porcentaje de muertes]]&lt;0.35,"LEVE",AND(Tabla1[[#This Row],[Porcentaje de muertes]]&gt;0.35,Tabla1[[#This Row],[Porcentaje de muertes]]&lt;0.65),"MEDIO",Tabla1[[#This Row],[Porcentaje de muertes]]&gt;0.65,"GRAVE")</f>
        <v>GRAVE</v>
      </c>
    </row>
    <row r="2273" spans="2:24" x14ac:dyDescent="0.3">
      <c r="B2273" s="9">
        <v>2272</v>
      </c>
      <c r="C2273" s="49">
        <v>24812</v>
      </c>
      <c r="D2273" s="9">
        <f>YEAR(Tabla1[[#This Row],[Date]])</f>
        <v>1967</v>
      </c>
      <c r="E2273" s="9" t="str" cm="1">
        <f t="array" ref="E2273">IFERROR(_xlfn.IFS(AND(D2273&lt;1980,D2273&gt;=1970),"70",AND(D2273&lt;1990,D2273&gt;=1980),"80",AND(D2273&lt;2000,D2273&gt;=1990),"90",AND(D2273&lt;2010,D2273&gt;=2000),"00",AND(D2273&lt;=2019,D2273&gt;=2010),"10"),"1908-1970")</f>
        <v>1908-1970</v>
      </c>
      <c r="F2273" s="3" t="s">
        <v>28931</v>
      </c>
      <c r="G2273" t="s">
        <v>14968</v>
      </c>
      <c r="H2273" t="s">
        <v>11253</v>
      </c>
      <c r="I2273" t="s">
        <v>28931</v>
      </c>
      <c r="J2273" t="s">
        <v>14969</v>
      </c>
      <c r="K2273" t="s">
        <v>14970</v>
      </c>
      <c r="L2273" s="7" t="s">
        <v>14971</v>
      </c>
      <c r="M2273">
        <v>3260</v>
      </c>
      <c r="N2273">
        <v>4</v>
      </c>
      <c r="O2273">
        <v>0</v>
      </c>
      <c r="P2273">
        <v>4</v>
      </c>
      <c r="Q2273">
        <v>3</v>
      </c>
      <c r="R2273">
        <v>0</v>
      </c>
      <c r="S2273">
        <v>3</v>
      </c>
      <c r="T2273">
        <v>2</v>
      </c>
      <c r="U2273" t="s">
        <v>14972</v>
      </c>
      <c r="V2273">
        <f>Tabla1[[#This Row],[Aboard]]-Tabla1[[#This Row],[Fatalities]]</f>
        <v>1</v>
      </c>
      <c r="W2273" s="50">
        <f>IFERROR(Tabla1[[#This Row],[Fatalities]]/Tabla1[[#This Row],[Aboard]],0)</f>
        <v>0.75</v>
      </c>
      <c r="X2273" s="51" t="str" cm="1">
        <f t="array" ref="X2273">_xlfn.IFS(Tabla1[[#This Row],[Porcentaje de muertes]]&lt;0.35,"LEVE",AND(Tabla1[[#This Row],[Porcentaje de muertes]]&gt;0.35,Tabla1[[#This Row],[Porcentaje de muertes]]&lt;0.65),"MEDIO",Tabla1[[#This Row],[Porcentaje de muertes]]&gt;0.65,"GRAVE")</f>
        <v>GRAVE</v>
      </c>
    </row>
    <row r="2274" spans="2:24" x14ac:dyDescent="0.3">
      <c r="B2274" s="9">
        <v>2273</v>
      </c>
      <c r="C2274" s="49">
        <v>24812</v>
      </c>
      <c r="D2274" s="9">
        <f>YEAR(Tabla1[[#This Row],[Date]])</f>
        <v>1967</v>
      </c>
      <c r="E2274" s="9" t="str" cm="1">
        <f t="array" ref="E2274">IFERROR(_xlfn.IFS(AND(D2274&lt;1980,D2274&gt;=1970),"70",AND(D2274&lt;1990,D2274&gt;=1980),"80",AND(D2274&lt;2000,D2274&gt;=1990),"90",AND(D2274&lt;2010,D2274&gt;=2000),"00",AND(D2274&lt;=2019,D2274&gt;=2010),"10"),"1908-1970")</f>
        <v>1908-1970</v>
      </c>
      <c r="F2274" s="3">
        <v>0.74861111111111101</v>
      </c>
      <c r="G2274" t="s">
        <v>14973</v>
      </c>
      <c r="H2274" t="s">
        <v>14974</v>
      </c>
      <c r="I2274" t="s">
        <v>28931</v>
      </c>
      <c r="J2274" t="s">
        <v>14975</v>
      </c>
      <c r="K2274" t="s">
        <v>14976</v>
      </c>
      <c r="L2274" s="7" t="s">
        <v>14977</v>
      </c>
      <c r="M2274">
        <v>13076</v>
      </c>
      <c r="N2274">
        <v>2</v>
      </c>
      <c r="O2274">
        <v>0</v>
      </c>
      <c r="P2274">
        <v>2</v>
      </c>
      <c r="Q2274">
        <v>2</v>
      </c>
      <c r="R2274">
        <v>0</v>
      </c>
      <c r="S2274">
        <v>2</v>
      </c>
      <c r="T2274">
        <v>0</v>
      </c>
      <c r="U2274" t="s">
        <v>14978</v>
      </c>
      <c r="V2274">
        <f>Tabla1[[#This Row],[Aboard]]-Tabla1[[#This Row],[Fatalities]]</f>
        <v>0</v>
      </c>
      <c r="W2274" s="50">
        <f>IFERROR(Tabla1[[#This Row],[Fatalities]]/Tabla1[[#This Row],[Aboard]],0)</f>
        <v>1</v>
      </c>
      <c r="X2274" s="51" t="str" cm="1">
        <f t="array" ref="X2274">_xlfn.IFS(Tabla1[[#This Row],[Porcentaje de muertes]]&lt;0.35,"LEVE",AND(Tabla1[[#This Row],[Porcentaje de muertes]]&gt;0.35,Tabla1[[#This Row],[Porcentaje de muertes]]&lt;0.65),"MEDIO",Tabla1[[#This Row],[Porcentaje de muertes]]&gt;0.65,"GRAVE")</f>
        <v>GRAVE</v>
      </c>
    </row>
    <row r="2275" spans="2:24" x14ac:dyDescent="0.3">
      <c r="B2275" s="9">
        <v>2274</v>
      </c>
      <c r="C2275" s="49">
        <v>24638</v>
      </c>
      <c r="D2275" s="9">
        <f>YEAR(Tabla1[[#This Row],[Date]])</f>
        <v>1967</v>
      </c>
      <c r="E2275" s="9" t="str" cm="1">
        <f t="array" ref="E2275">IFERROR(_xlfn.IFS(AND(D2275&lt;1980,D2275&gt;=1970),"70",AND(D2275&lt;1990,D2275&gt;=1980),"80",AND(D2275&lt;2000,D2275&gt;=1990),"90",AND(D2275&lt;2010,D2275&gt;=2000),"00",AND(D2275&lt;=2019,D2275&gt;=2010),"10"),"1908-1970")</f>
        <v>1908-1970</v>
      </c>
      <c r="F2275" s="3">
        <v>0.20833333333333334</v>
      </c>
      <c r="G2275" t="s">
        <v>14979</v>
      </c>
      <c r="H2275" t="s">
        <v>9398</v>
      </c>
      <c r="I2275" t="s">
        <v>28931</v>
      </c>
      <c r="J2275" t="s">
        <v>14980</v>
      </c>
      <c r="K2275" t="s">
        <v>7826</v>
      </c>
      <c r="L2275" s="7" t="s">
        <v>14981</v>
      </c>
      <c r="M2275" t="s">
        <v>28931</v>
      </c>
      <c r="N2275">
        <v>25</v>
      </c>
      <c r="O2275">
        <v>20</v>
      </c>
      <c r="P2275">
        <v>5</v>
      </c>
      <c r="Q2275">
        <v>20</v>
      </c>
      <c r="R2275">
        <v>16</v>
      </c>
      <c r="S2275">
        <v>4</v>
      </c>
      <c r="T2275">
        <v>0</v>
      </c>
      <c r="U2275" t="s">
        <v>14982</v>
      </c>
      <c r="V2275">
        <f>Tabla1[[#This Row],[Aboard]]-Tabla1[[#This Row],[Fatalities]]</f>
        <v>5</v>
      </c>
      <c r="W2275" s="50">
        <f>IFERROR(Tabla1[[#This Row],[Fatalities]]/Tabla1[[#This Row],[Aboard]],0)</f>
        <v>0.8</v>
      </c>
      <c r="X2275" s="51" t="str" cm="1">
        <f t="array" ref="X2275">_xlfn.IFS(Tabla1[[#This Row],[Porcentaje de muertes]]&lt;0.35,"LEVE",AND(Tabla1[[#This Row],[Porcentaje de muertes]]&gt;0.35,Tabla1[[#This Row],[Porcentaje de muertes]]&lt;0.65),"MEDIO",Tabla1[[#This Row],[Porcentaje de muertes]]&gt;0.65,"GRAVE")</f>
        <v>GRAVE</v>
      </c>
    </row>
    <row r="2276" spans="2:24" x14ac:dyDescent="0.3">
      <c r="B2276" s="9">
        <v>2275</v>
      </c>
      <c r="C2276" s="49">
        <v>24640</v>
      </c>
      <c r="D2276" s="9">
        <f>YEAR(Tabla1[[#This Row],[Date]])</f>
        <v>1967</v>
      </c>
      <c r="E2276" s="9" t="str" cm="1">
        <f t="array" ref="E2276">IFERROR(_xlfn.IFS(AND(D2276&lt;1980,D2276&gt;=1970),"70",AND(D2276&lt;1990,D2276&gt;=1980),"80",AND(D2276&lt;2000,D2276&gt;=1990),"90",AND(D2276&lt;2010,D2276&gt;=2000),"00",AND(D2276&lt;=2019,D2276&gt;=2010),"10"),"1908-1970")</f>
        <v>1908-1970</v>
      </c>
      <c r="F2276" s="3">
        <v>0.8125</v>
      </c>
      <c r="G2276" t="s">
        <v>14983</v>
      </c>
      <c r="H2276" t="s">
        <v>7987</v>
      </c>
      <c r="I2276" t="s">
        <v>28931</v>
      </c>
      <c r="J2276" t="s">
        <v>14984</v>
      </c>
      <c r="K2276" t="s">
        <v>14919</v>
      </c>
      <c r="L2276" s="7" t="s">
        <v>14985</v>
      </c>
      <c r="M2276">
        <v>3591</v>
      </c>
      <c r="N2276">
        <v>56</v>
      </c>
      <c r="O2276">
        <v>49</v>
      </c>
      <c r="P2276">
        <v>7</v>
      </c>
      <c r="Q2276">
        <v>35</v>
      </c>
      <c r="R2276">
        <v>35</v>
      </c>
      <c r="S2276">
        <v>0</v>
      </c>
      <c r="T2276">
        <v>0</v>
      </c>
      <c r="U2276" t="s">
        <v>14986</v>
      </c>
      <c r="V2276">
        <f>Tabla1[[#This Row],[Aboard]]-Tabla1[[#This Row],[Fatalities]]</f>
        <v>21</v>
      </c>
      <c r="W2276" s="50">
        <f>IFERROR(Tabla1[[#This Row],[Fatalities]]/Tabla1[[#This Row],[Aboard]],0)</f>
        <v>0.625</v>
      </c>
      <c r="X2276" s="51" t="str" cm="1">
        <f t="array" ref="X2276">_xlfn.IFS(Tabla1[[#This Row],[Porcentaje de muertes]]&lt;0.35,"LEVE",AND(Tabla1[[#This Row],[Porcentaje de muertes]]&gt;0.35,Tabla1[[#This Row],[Porcentaje de muertes]]&lt;0.65),"MEDIO",Tabla1[[#This Row],[Porcentaje de muertes]]&gt;0.65,"GRAVE")</f>
        <v>MEDIO</v>
      </c>
    </row>
    <row r="2277" spans="2:24" x14ac:dyDescent="0.3">
      <c r="B2277" s="9">
        <v>2276</v>
      </c>
      <c r="C2277" s="49">
        <v>24646</v>
      </c>
      <c r="D2277" s="9">
        <f>YEAR(Tabla1[[#This Row],[Date]])</f>
        <v>1967</v>
      </c>
      <c r="E2277" s="9" t="str" cm="1">
        <f t="array" ref="E2277">IFERROR(_xlfn.IFS(AND(D2277&lt;1980,D2277&gt;=1970),"70",AND(D2277&lt;1990,D2277&gt;=1980),"80",AND(D2277&lt;2000,D2277&gt;=1990),"90",AND(D2277&lt;2010,D2277&gt;=2000),"00",AND(D2277&lt;=2019,D2277&gt;=2010),"10"),"1908-1970")</f>
        <v>1908-1970</v>
      </c>
      <c r="F2277" s="3">
        <v>0.57430555555555551</v>
      </c>
      <c r="G2277" t="s">
        <v>14987</v>
      </c>
      <c r="H2277" t="s">
        <v>13900</v>
      </c>
      <c r="I2277">
        <v>40</v>
      </c>
      <c r="J2277" t="s">
        <v>14988</v>
      </c>
      <c r="K2277" t="s">
        <v>14989</v>
      </c>
      <c r="L2277" s="7" t="s">
        <v>14990</v>
      </c>
      <c r="M2277">
        <v>98</v>
      </c>
      <c r="N2277">
        <v>34</v>
      </c>
      <c r="O2277">
        <v>30</v>
      </c>
      <c r="P2277">
        <v>4</v>
      </c>
      <c r="Q2277">
        <v>34</v>
      </c>
      <c r="R2277">
        <v>30</v>
      </c>
      <c r="S2277">
        <v>4</v>
      </c>
      <c r="T2277">
        <v>0</v>
      </c>
      <c r="U2277" t="s">
        <v>14991</v>
      </c>
      <c r="V2277">
        <f>Tabla1[[#This Row],[Aboard]]-Tabla1[[#This Row],[Fatalities]]</f>
        <v>0</v>
      </c>
      <c r="W2277" s="50">
        <f>IFERROR(Tabla1[[#This Row],[Fatalities]]/Tabla1[[#This Row],[Aboard]],0)</f>
        <v>1</v>
      </c>
      <c r="X2277" s="51" t="str" cm="1">
        <f t="array" ref="X2277">_xlfn.IFS(Tabla1[[#This Row],[Porcentaje de muertes]]&lt;0.35,"LEVE",AND(Tabla1[[#This Row],[Porcentaje de muertes]]&gt;0.35,Tabla1[[#This Row],[Porcentaje de muertes]]&lt;0.65),"MEDIO",Tabla1[[#This Row],[Porcentaje de muertes]]&gt;0.65,"GRAVE")</f>
        <v>GRAVE</v>
      </c>
    </row>
    <row r="2278" spans="2:24" x14ac:dyDescent="0.3">
      <c r="B2278" s="9">
        <v>2277</v>
      </c>
      <c r="C2278" s="49">
        <v>24646</v>
      </c>
      <c r="D2278" s="9">
        <f>YEAR(Tabla1[[#This Row],[Date]])</f>
        <v>1967</v>
      </c>
      <c r="E2278" s="9" t="str" cm="1">
        <f t="array" ref="E2278">IFERROR(_xlfn.IFS(AND(D2278&lt;1980,D2278&gt;=1970),"70",AND(D2278&lt;1990,D2278&gt;=1980),"80",AND(D2278&lt;2000,D2278&gt;=1990),"90",AND(D2278&lt;2010,D2278&gt;=2000),"00",AND(D2278&lt;=2019,D2278&gt;=2010),"10"),"1908-1970")</f>
        <v>1908-1970</v>
      </c>
      <c r="F2278" s="3">
        <v>0.375</v>
      </c>
      <c r="G2278" t="s">
        <v>14992</v>
      </c>
      <c r="H2278" t="s">
        <v>12289</v>
      </c>
      <c r="I2278" t="s">
        <v>28931</v>
      </c>
      <c r="J2278" t="s">
        <v>28931</v>
      </c>
      <c r="K2278" t="s">
        <v>14993</v>
      </c>
      <c r="L2278" s="7" t="s">
        <v>14994</v>
      </c>
      <c r="M2278" t="s">
        <v>28931</v>
      </c>
      <c r="N2278">
        <v>35</v>
      </c>
      <c r="O2278" t="s">
        <v>5038</v>
      </c>
      <c r="P2278" t="s">
        <v>5038</v>
      </c>
      <c r="Q2278">
        <v>22</v>
      </c>
      <c r="R2278" t="s">
        <v>5038</v>
      </c>
      <c r="S2278" t="s">
        <v>5038</v>
      </c>
      <c r="T2278">
        <v>0</v>
      </c>
      <c r="U2278" t="s">
        <v>14995</v>
      </c>
      <c r="V2278">
        <f>Tabla1[[#This Row],[Aboard]]-Tabla1[[#This Row],[Fatalities]]</f>
        <v>13</v>
      </c>
      <c r="W2278" s="50">
        <f>IFERROR(Tabla1[[#This Row],[Fatalities]]/Tabla1[[#This Row],[Aboard]],0)</f>
        <v>0.62857142857142856</v>
      </c>
      <c r="X2278" s="51" t="str" cm="1">
        <f t="array" ref="X2278">_xlfn.IFS(Tabla1[[#This Row],[Porcentaje de muertes]]&lt;0.35,"LEVE",AND(Tabla1[[#This Row],[Porcentaje de muertes]]&gt;0.35,Tabla1[[#This Row],[Porcentaje de muertes]]&lt;0.65),"MEDIO",Tabla1[[#This Row],[Porcentaje de muertes]]&gt;0.65,"GRAVE")</f>
        <v>MEDIO</v>
      </c>
    </row>
    <row r="2279" spans="2:24" x14ac:dyDescent="0.3">
      <c r="B2279" s="9">
        <v>2278</v>
      </c>
      <c r="C2279" s="49">
        <v>24647</v>
      </c>
      <c r="D2279" s="9">
        <f>YEAR(Tabla1[[#This Row],[Date]])</f>
        <v>1967</v>
      </c>
      <c r="E2279" s="9" t="str" cm="1">
        <f t="array" ref="E2279">IFERROR(_xlfn.IFS(AND(D2279&lt;1980,D2279&gt;=1970),"70",AND(D2279&lt;1990,D2279&gt;=1980),"80",AND(D2279&lt;2000,D2279&gt;=1990),"90",AND(D2279&lt;2010,D2279&gt;=2000),"00",AND(D2279&lt;=2019,D2279&gt;=2010),"10"),"1908-1970")</f>
        <v>1908-1970</v>
      </c>
      <c r="F2279" s="3" t="s">
        <v>28931</v>
      </c>
      <c r="G2279" t="s">
        <v>14996</v>
      </c>
      <c r="H2279" t="s">
        <v>14150</v>
      </c>
      <c r="I2279" t="s">
        <v>28931</v>
      </c>
      <c r="J2279" t="s">
        <v>14997</v>
      </c>
      <c r="K2279" t="s">
        <v>7057</v>
      </c>
      <c r="L2279" s="7" t="s">
        <v>14998</v>
      </c>
      <c r="M2279" t="s">
        <v>28931</v>
      </c>
      <c r="N2279">
        <v>17</v>
      </c>
      <c r="O2279">
        <v>14</v>
      </c>
      <c r="P2279">
        <v>3</v>
      </c>
      <c r="Q2279">
        <v>16</v>
      </c>
      <c r="R2279">
        <v>13</v>
      </c>
      <c r="S2279">
        <v>3</v>
      </c>
      <c r="T2279">
        <v>0</v>
      </c>
      <c r="U2279" t="s">
        <v>7476</v>
      </c>
      <c r="V2279">
        <f>Tabla1[[#This Row],[Aboard]]-Tabla1[[#This Row],[Fatalities]]</f>
        <v>1</v>
      </c>
      <c r="W2279" s="50">
        <f>IFERROR(Tabla1[[#This Row],[Fatalities]]/Tabla1[[#This Row],[Aboard]],0)</f>
        <v>0.94117647058823528</v>
      </c>
      <c r="X2279" s="51" t="str" cm="1">
        <f t="array" ref="X2279">_xlfn.IFS(Tabla1[[#This Row],[Porcentaje de muertes]]&lt;0.35,"LEVE",AND(Tabla1[[#This Row],[Porcentaje de muertes]]&gt;0.35,Tabla1[[#This Row],[Porcentaje de muertes]]&lt;0.65),"MEDIO",Tabla1[[#This Row],[Porcentaje de muertes]]&gt;0.65,"GRAVE")</f>
        <v>GRAVE</v>
      </c>
    </row>
    <row r="2280" spans="2:24" x14ac:dyDescent="0.3">
      <c r="B2280" s="9">
        <v>2279</v>
      </c>
      <c r="C2280" s="49">
        <v>24653</v>
      </c>
      <c r="D2280" s="9">
        <f>YEAR(Tabla1[[#This Row],[Date]])</f>
        <v>1967</v>
      </c>
      <c r="E2280" s="9" t="str" cm="1">
        <f t="array" ref="E2280">IFERROR(_xlfn.IFS(AND(D2280&lt;1980,D2280&gt;=1970),"70",AND(D2280&lt;1990,D2280&gt;=1980),"80",AND(D2280&lt;2000,D2280&gt;=1990),"90",AND(D2280&lt;2010,D2280&gt;=2000),"00",AND(D2280&lt;=2019,D2280&gt;=2010),"10"),"1908-1970")</f>
        <v>1908-1970</v>
      </c>
      <c r="F2280" s="3">
        <v>0.67361111111111116</v>
      </c>
      <c r="G2280" t="s">
        <v>14999</v>
      </c>
      <c r="H2280" t="s">
        <v>15000</v>
      </c>
      <c r="I2280">
        <v>601</v>
      </c>
      <c r="J2280" t="s">
        <v>15001</v>
      </c>
      <c r="K2280" t="s">
        <v>15002</v>
      </c>
      <c r="L2280" s="7" t="s">
        <v>15003</v>
      </c>
      <c r="M2280" t="s">
        <v>15004</v>
      </c>
      <c r="N2280">
        <v>80</v>
      </c>
      <c r="O2280">
        <v>73</v>
      </c>
      <c r="P2280">
        <v>7</v>
      </c>
      <c r="Q2280">
        <v>24</v>
      </c>
      <c r="R2280">
        <v>24</v>
      </c>
      <c r="S2280">
        <v>0</v>
      </c>
      <c r="T2280">
        <v>0</v>
      </c>
      <c r="U2280" t="s">
        <v>15005</v>
      </c>
      <c r="V2280">
        <f>Tabla1[[#This Row],[Aboard]]-Tabla1[[#This Row],[Fatalities]]</f>
        <v>56</v>
      </c>
      <c r="W2280" s="50">
        <f>IFERROR(Tabla1[[#This Row],[Fatalities]]/Tabla1[[#This Row],[Aboard]],0)</f>
        <v>0.3</v>
      </c>
      <c r="X2280" s="51" t="str" cm="1">
        <f t="array" ref="X2280">_xlfn.IFS(Tabla1[[#This Row],[Porcentaje de muertes]]&lt;0.35,"LEVE",AND(Tabla1[[#This Row],[Porcentaje de muertes]]&gt;0.35,Tabla1[[#This Row],[Porcentaje de muertes]]&lt;0.65),"MEDIO",Tabla1[[#This Row],[Porcentaje de muertes]]&gt;0.65,"GRAVE")</f>
        <v>LEVE</v>
      </c>
    </row>
    <row r="2281" spans="2:24" x14ac:dyDescent="0.3">
      <c r="B2281" s="9">
        <v>2280</v>
      </c>
      <c r="C2281" s="49">
        <v>24630</v>
      </c>
      <c r="D2281" s="9">
        <f>YEAR(Tabla1[[#This Row],[Date]])</f>
        <v>1967</v>
      </c>
      <c r="E2281" s="9" t="str" cm="1">
        <f t="array" ref="E2281">IFERROR(_xlfn.IFS(AND(D2281&lt;1980,D2281&gt;=1970),"70",AND(D2281&lt;1990,D2281&gt;=1980),"80",AND(D2281&lt;2000,D2281&gt;=1990),"90",AND(D2281&lt;2010,D2281&gt;=2000),"00",AND(D2281&lt;=2019,D2281&gt;=2010),"10"),"1908-1970")</f>
        <v>1908-1970</v>
      </c>
      <c r="F2281" s="3">
        <v>0.77986111111111101</v>
      </c>
      <c r="G2281" t="s">
        <v>15006</v>
      </c>
      <c r="H2281" t="s">
        <v>8992</v>
      </c>
      <c r="I2281">
        <v>385</v>
      </c>
      <c r="J2281" t="s">
        <v>15007</v>
      </c>
      <c r="K2281" t="s">
        <v>12968</v>
      </c>
      <c r="L2281" s="7" t="s">
        <v>15008</v>
      </c>
      <c r="M2281">
        <v>10285</v>
      </c>
      <c r="N2281">
        <v>21</v>
      </c>
      <c r="O2281">
        <v>17</v>
      </c>
      <c r="P2281">
        <v>4</v>
      </c>
      <c r="Q2281">
        <v>21</v>
      </c>
      <c r="R2281">
        <v>17</v>
      </c>
      <c r="S2281">
        <v>4</v>
      </c>
      <c r="T2281">
        <v>0</v>
      </c>
      <c r="U2281" t="s">
        <v>15009</v>
      </c>
      <c r="V2281">
        <f>Tabla1[[#This Row],[Aboard]]-Tabla1[[#This Row],[Fatalities]]</f>
        <v>0</v>
      </c>
      <c r="W2281" s="50">
        <f>IFERROR(Tabla1[[#This Row],[Fatalities]]/Tabla1[[#This Row],[Aboard]],0)</f>
        <v>1</v>
      </c>
      <c r="X2281" s="51" t="str" cm="1">
        <f t="array" ref="X2281">_xlfn.IFS(Tabla1[[#This Row],[Porcentaje de muertes]]&lt;0.35,"LEVE",AND(Tabla1[[#This Row],[Porcentaje de muertes]]&gt;0.35,Tabla1[[#This Row],[Porcentaje de muertes]]&lt;0.65),"MEDIO",Tabla1[[#This Row],[Porcentaje de muertes]]&gt;0.65,"GRAVE")</f>
        <v>GRAVE</v>
      </c>
    </row>
    <row r="2282" spans="2:24" x14ac:dyDescent="0.3">
      <c r="B2282" s="9">
        <v>2281</v>
      </c>
      <c r="C2282" s="49">
        <v>24672</v>
      </c>
      <c r="D2282" s="9">
        <f>YEAR(Tabla1[[#This Row],[Date]])</f>
        <v>1967</v>
      </c>
      <c r="E2282" s="9" t="str" cm="1">
        <f t="array" ref="E2282">IFERROR(_xlfn.IFS(AND(D2282&lt;1980,D2282&gt;=1970),"70",AND(D2282&lt;1990,D2282&gt;=1980),"80",AND(D2282&lt;2000,D2282&gt;=1990),"90",AND(D2282&lt;2010,D2282&gt;=2000),"00",AND(D2282&lt;=2019,D2282&gt;=2010),"10"),"1908-1970")</f>
        <v>1908-1970</v>
      </c>
      <c r="F2282" s="3">
        <v>0.45902777777777781</v>
      </c>
      <c r="G2282" t="s">
        <v>15010</v>
      </c>
      <c r="H2282" t="s">
        <v>12933</v>
      </c>
      <c r="I2282">
        <v>22</v>
      </c>
      <c r="J2282" t="s">
        <v>15011</v>
      </c>
      <c r="K2282" t="s">
        <v>15012</v>
      </c>
      <c r="L2282" s="7" t="s">
        <v>15013</v>
      </c>
      <c r="M2282" t="s">
        <v>15014</v>
      </c>
      <c r="N2282">
        <v>82</v>
      </c>
      <c r="O2282">
        <v>77</v>
      </c>
      <c r="P2282">
        <v>5</v>
      </c>
      <c r="Q2282">
        <v>82</v>
      </c>
      <c r="R2282">
        <v>77</v>
      </c>
      <c r="S2282">
        <v>5</v>
      </c>
      <c r="T2282">
        <v>0</v>
      </c>
      <c r="U2282" t="s">
        <v>15015</v>
      </c>
      <c r="V2282">
        <f>Tabla1[[#This Row],[Aboard]]-Tabla1[[#This Row],[Fatalities]]</f>
        <v>0</v>
      </c>
      <c r="W2282" s="50">
        <f>IFERROR(Tabla1[[#This Row],[Fatalities]]/Tabla1[[#This Row],[Aboard]],0)</f>
        <v>1</v>
      </c>
      <c r="X2282" s="51" t="str" cm="1">
        <f t="array" ref="X2282">_xlfn.IFS(Tabla1[[#This Row],[Porcentaje de muertes]]&lt;0.35,"LEVE",AND(Tabla1[[#This Row],[Porcentaje de muertes]]&gt;0.35,Tabla1[[#This Row],[Porcentaje de muertes]]&lt;0.65),"MEDIO",Tabla1[[#This Row],[Porcentaje de muertes]]&gt;0.65,"GRAVE")</f>
        <v>GRAVE</v>
      </c>
    </row>
    <row r="2283" spans="2:24" x14ac:dyDescent="0.3">
      <c r="B2283" s="9">
        <v>2282</v>
      </c>
      <c r="C2283" s="49">
        <v>24672</v>
      </c>
      <c r="D2283" s="9">
        <f>YEAR(Tabla1[[#This Row],[Date]])</f>
        <v>1967</v>
      </c>
      <c r="E2283" s="9" t="str" cm="1">
        <f t="array" ref="E2283">IFERROR(_xlfn.IFS(AND(D2283&lt;1980,D2283&gt;=1970),"70",AND(D2283&lt;1990,D2283&gt;=1980),"80",AND(D2283&lt;2000,D2283&gt;=1990),"90",AND(D2283&lt;2010,D2283&gt;=2000),"00",AND(D2283&lt;=2019,D2283&gt;=2010),"10"),"1908-1970")</f>
        <v>1908-1970</v>
      </c>
      <c r="F2283" s="3">
        <v>0.50069444444444444</v>
      </c>
      <c r="G2283" t="s">
        <v>15016</v>
      </c>
      <c r="H2283" t="s">
        <v>13914</v>
      </c>
      <c r="I2283" t="s">
        <v>28931</v>
      </c>
      <c r="J2283" t="s">
        <v>15017</v>
      </c>
      <c r="K2283" t="s">
        <v>8779</v>
      </c>
      <c r="L2283" s="7" t="s">
        <v>15018</v>
      </c>
      <c r="M2283">
        <v>42991</v>
      </c>
      <c r="N2283">
        <v>42</v>
      </c>
      <c r="O2283">
        <v>39</v>
      </c>
      <c r="P2283">
        <v>3</v>
      </c>
      <c r="Q2283">
        <v>42</v>
      </c>
      <c r="R2283">
        <v>39</v>
      </c>
      <c r="S2283">
        <v>3</v>
      </c>
      <c r="T2283">
        <v>0</v>
      </c>
      <c r="U2283" t="s">
        <v>15019</v>
      </c>
      <c r="V2283">
        <f>Tabla1[[#This Row],[Aboard]]-Tabla1[[#This Row],[Fatalities]]</f>
        <v>0</v>
      </c>
      <c r="W2283" s="50">
        <f>IFERROR(Tabla1[[#This Row],[Fatalities]]/Tabla1[[#This Row],[Aboard]],0)</f>
        <v>1</v>
      </c>
      <c r="X2283" s="51" t="str" cm="1">
        <f t="array" ref="X2283">_xlfn.IFS(Tabla1[[#This Row],[Porcentaje de muertes]]&lt;0.35,"LEVE",AND(Tabla1[[#This Row],[Porcentaje de muertes]]&gt;0.35,Tabla1[[#This Row],[Porcentaje de muertes]]&lt;0.65),"MEDIO",Tabla1[[#This Row],[Porcentaje de muertes]]&gt;0.65,"GRAVE")</f>
        <v>GRAVE</v>
      </c>
    </row>
    <row r="2284" spans="2:24" x14ac:dyDescent="0.3">
      <c r="B2284" s="9">
        <v>2283</v>
      </c>
      <c r="C2284" s="49">
        <v>24678</v>
      </c>
      <c r="D2284" s="9">
        <f>YEAR(Tabla1[[#This Row],[Date]])</f>
        <v>1967</v>
      </c>
      <c r="E2284" s="9" t="str" cm="1">
        <f t="array" ref="E2284">IFERROR(_xlfn.IFS(AND(D2284&lt;1980,D2284&gt;=1970),"70",AND(D2284&lt;1990,D2284&gt;=1980),"80",AND(D2284&lt;2000,D2284&gt;=1990),"90",AND(D2284&lt;2010,D2284&gt;=2000),"00",AND(D2284&lt;=2019,D2284&gt;=2010),"10"),"1908-1970")</f>
        <v>1908-1970</v>
      </c>
      <c r="F2284" s="3">
        <v>0.4375</v>
      </c>
      <c r="G2284" t="s">
        <v>15020</v>
      </c>
      <c r="H2284" t="s">
        <v>15021</v>
      </c>
      <c r="I2284" t="s">
        <v>28931</v>
      </c>
      <c r="J2284" t="s">
        <v>15022</v>
      </c>
      <c r="K2284" t="s">
        <v>7057</v>
      </c>
      <c r="L2284" s="7" t="s">
        <v>15023</v>
      </c>
      <c r="M2284" t="s">
        <v>28931</v>
      </c>
      <c r="N2284">
        <v>16</v>
      </c>
      <c r="O2284">
        <v>13</v>
      </c>
      <c r="P2284">
        <v>3</v>
      </c>
      <c r="Q2284">
        <v>16</v>
      </c>
      <c r="R2284">
        <v>13</v>
      </c>
      <c r="S2284">
        <v>3</v>
      </c>
      <c r="T2284">
        <v>0</v>
      </c>
      <c r="U2284" t="s">
        <v>15024</v>
      </c>
      <c r="V2284">
        <f>Tabla1[[#This Row],[Aboard]]-Tabla1[[#This Row],[Fatalities]]</f>
        <v>0</v>
      </c>
      <c r="W2284" s="50">
        <f>IFERROR(Tabla1[[#This Row],[Fatalities]]/Tabla1[[#This Row],[Aboard]],0)</f>
        <v>1</v>
      </c>
      <c r="X2284" s="51" t="str" cm="1">
        <f t="array" ref="X2284">_xlfn.IFS(Tabla1[[#This Row],[Porcentaje de muertes]]&lt;0.35,"LEVE",AND(Tabla1[[#This Row],[Porcentaje de muertes]]&gt;0.35,Tabla1[[#This Row],[Porcentaje de muertes]]&lt;0.65),"MEDIO",Tabla1[[#This Row],[Porcentaje de muertes]]&gt;0.65,"GRAVE")</f>
        <v>GRAVE</v>
      </c>
    </row>
    <row r="2285" spans="2:24" x14ac:dyDescent="0.3">
      <c r="B2285" s="9">
        <v>2284</v>
      </c>
      <c r="C2285" s="49">
        <v>24678</v>
      </c>
      <c r="D2285" s="9">
        <f>YEAR(Tabla1[[#This Row],[Date]])</f>
        <v>1967</v>
      </c>
      <c r="E2285" s="9" t="str" cm="1">
        <f t="array" ref="E2285">IFERROR(_xlfn.IFS(AND(D2285&lt;1980,D2285&gt;=1970),"70",AND(D2285&lt;1990,D2285&gt;=1980),"80",AND(D2285&lt;2000,D2285&gt;=1990),"90",AND(D2285&lt;2010,D2285&gt;=2000),"00",AND(D2285&lt;=2019,D2285&gt;=2010),"10"),"1908-1970")</f>
        <v>1908-1970</v>
      </c>
      <c r="F2285" s="3" t="s">
        <v>28931</v>
      </c>
      <c r="G2285" t="s">
        <v>15020</v>
      </c>
      <c r="H2285" t="s">
        <v>15025</v>
      </c>
      <c r="I2285" t="s">
        <v>28931</v>
      </c>
      <c r="J2285" t="s">
        <v>15022</v>
      </c>
      <c r="K2285" t="s">
        <v>7057</v>
      </c>
      <c r="L2285" s="7" t="s">
        <v>15026</v>
      </c>
      <c r="M2285" t="s">
        <v>28931</v>
      </c>
      <c r="N2285">
        <v>18</v>
      </c>
      <c r="O2285">
        <v>15</v>
      </c>
      <c r="P2285">
        <v>3</v>
      </c>
      <c r="Q2285">
        <v>18</v>
      </c>
      <c r="R2285">
        <v>15</v>
      </c>
      <c r="S2285">
        <v>3</v>
      </c>
      <c r="T2285">
        <v>0</v>
      </c>
      <c r="U2285" t="s">
        <v>9721</v>
      </c>
      <c r="V2285">
        <f>Tabla1[[#This Row],[Aboard]]-Tabla1[[#This Row],[Fatalities]]</f>
        <v>0</v>
      </c>
      <c r="W2285" s="50">
        <f>IFERROR(Tabla1[[#This Row],[Fatalities]]/Tabla1[[#This Row],[Aboard]],0)</f>
        <v>1</v>
      </c>
      <c r="X2285" s="51" t="str" cm="1">
        <f t="array" ref="X2285">_xlfn.IFS(Tabla1[[#This Row],[Porcentaje de muertes]]&lt;0.35,"LEVE",AND(Tabla1[[#This Row],[Porcentaje de muertes]]&gt;0.35,Tabla1[[#This Row],[Porcentaje de muertes]]&lt;0.65),"MEDIO",Tabla1[[#This Row],[Porcentaje de muertes]]&gt;0.65,"GRAVE")</f>
        <v>GRAVE</v>
      </c>
    </row>
    <row r="2286" spans="2:24" x14ac:dyDescent="0.3">
      <c r="B2286" s="9">
        <v>2285</v>
      </c>
      <c r="C2286" s="49">
        <v>24601</v>
      </c>
      <c r="D2286" s="9">
        <f>YEAR(Tabla1[[#This Row],[Date]])</f>
        <v>1967</v>
      </c>
      <c r="E2286" s="9" t="str" cm="1">
        <f t="array" ref="E2286">IFERROR(_xlfn.IFS(AND(D2286&lt;1980,D2286&gt;=1970),"70",AND(D2286&lt;1990,D2286&gt;=1980),"80",AND(D2286&lt;2000,D2286&gt;=1990),"90",AND(D2286&lt;2010,D2286&gt;=2000),"00",AND(D2286&lt;=2019,D2286&gt;=2010),"10"),"1908-1970")</f>
        <v>1908-1970</v>
      </c>
      <c r="F2286" s="3">
        <v>0.1111111111111111</v>
      </c>
      <c r="G2286" t="s">
        <v>15027</v>
      </c>
      <c r="H2286" t="s">
        <v>5951</v>
      </c>
      <c r="I2286">
        <v>523</v>
      </c>
      <c r="J2286" t="s">
        <v>15028</v>
      </c>
      <c r="K2286" t="s">
        <v>12828</v>
      </c>
      <c r="L2286" s="7" t="s">
        <v>15029</v>
      </c>
      <c r="M2286">
        <v>187009705</v>
      </c>
      <c r="N2286">
        <v>69</v>
      </c>
      <c r="O2286">
        <v>61</v>
      </c>
      <c r="P2286">
        <v>8</v>
      </c>
      <c r="Q2286">
        <v>37</v>
      </c>
      <c r="R2286">
        <v>33</v>
      </c>
      <c r="S2286">
        <v>4</v>
      </c>
      <c r="T2286">
        <v>0</v>
      </c>
      <c r="U2286" t="s">
        <v>15030</v>
      </c>
      <c r="V2286">
        <f>Tabla1[[#This Row],[Aboard]]-Tabla1[[#This Row],[Fatalities]]</f>
        <v>32</v>
      </c>
      <c r="W2286" s="50">
        <f>IFERROR(Tabla1[[#This Row],[Fatalities]]/Tabla1[[#This Row],[Aboard]],0)</f>
        <v>0.53623188405797106</v>
      </c>
      <c r="X2286" s="51" t="str" cm="1">
        <f t="array" ref="X2286">_xlfn.IFS(Tabla1[[#This Row],[Porcentaje de muertes]]&lt;0.35,"LEVE",AND(Tabla1[[#This Row],[Porcentaje de muertes]]&gt;0.35,Tabla1[[#This Row],[Porcentaje de muertes]]&lt;0.65),"MEDIO",Tabla1[[#This Row],[Porcentaje de muertes]]&gt;0.65,"GRAVE")</f>
        <v>MEDIO</v>
      </c>
    </row>
    <row r="2287" spans="2:24" x14ac:dyDescent="0.3">
      <c r="B2287" s="9">
        <v>2286</v>
      </c>
      <c r="C2287" s="49">
        <v>24694</v>
      </c>
      <c r="D2287" s="9">
        <f>YEAR(Tabla1[[#This Row],[Date]])</f>
        <v>1967</v>
      </c>
      <c r="E2287" s="9" t="str" cm="1">
        <f t="array" ref="E2287">IFERROR(_xlfn.IFS(AND(D2287&lt;1980,D2287&gt;=1970),"70",AND(D2287&lt;1990,D2287&gt;=1980),"80",AND(D2287&lt;2000,D2287&gt;=1990),"90",AND(D2287&lt;2010,D2287&gt;=2000),"00",AND(D2287&lt;=2019,D2287&gt;=2010),"10"),"1908-1970")</f>
        <v>1908-1970</v>
      </c>
      <c r="F2287" s="3">
        <v>0.40277777777777773</v>
      </c>
      <c r="G2287" t="s">
        <v>15031</v>
      </c>
      <c r="H2287" t="s">
        <v>7987</v>
      </c>
      <c r="I2287" t="s">
        <v>28931</v>
      </c>
      <c r="J2287" t="s">
        <v>10937</v>
      </c>
      <c r="K2287" t="s">
        <v>15032</v>
      </c>
      <c r="L2287" s="7" t="s">
        <v>15033</v>
      </c>
      <c r="M2287">
        <v>3692</v>
      </c>
      <c r="N2287">
        <v>23</v>
      </c>
      <c r="O2287">
        <v>18</v>
      </c>
      <c r="P2287">
        <v>5</v>
      </c>
      <c r="Q2287">
        <v>23</v>
      </c>
      <c r="R2287">
        <v>18</v>
      </c>
      <c r="S2287">
        <v>5</v>
      </c>
      <c r="T2287">
        <v>0</v>
      </c>
      <c r="U2287" t="s">
        <v>15034</v>
      </c>
      <c r="V2287">
        <f>Tabla1[[#This Row],[Aboard]]-Tabla1[[#This Row],[Fatalities]]</f>
        <v>0</v>
      </c>
      <c r="W2287" s="50">
        <f>IFERROR(Tabla1[[#This Row],[Fatalities]]/Tabla1[[#This Row],[Aboard]],0)</f>
        <v>1</v>
      </c>
      <c r="X2287" s="51" t="str" cm="1">
        <f t="array" ref="X2287">_xlfn.IFS(Tabla1[[#This Row],[Porcentaje de muertes]]&lt;0.35,"LEVE",AND(Tabla1[[#This Row],[Porcentaje de muertes]]&gt;0.35,Tabla1[[#This Row],[Porcentaje de muertes]]&lt;0.65),"MEDIO",Tabla1[[#This Row],[Porcentaje de muertes]]&gt;0.65,"GRAVE")</f>
        <v>GRAVE</v>
      </c>
    </row>
    <row r="2288" spans="2:24" x14ac:dyDescent="0.3">
      <c r="B2288" s="9">
        <v>2287</v>
      </c>
      <c r="C2288" s="49">
        <v>24816</v>
      </c>
      <c r="D2288" s="9">
        <f>YEAR(Tabla1[[#This Row],[Date]])</f>
        <v>1967</v>
      </c>
      <c r="E2288" s="9" t="str" cm="1">
        <f t="array" ref="E2288">IFERROR(_xlfn.IFS(AND(D2288&lt;1980,D2288&gt;=1970),"70",AND(D2288&lt;1990,D2288&gt;=1980),"80",AND(D2288&lt;2000,D2288&gt;=1990),"90",AND(D2288&lt;2010,D2288&gt;=2000),"00",AND(D2288&lt;=2019,D2288&gt;=2010),"10"),"1908-1970")</f>
        <v>1908-1970</v>
      </c>
      <c r="F2288" s="3">
        <v>0.30902777777777779</v>
      </c>
      <c r="G2288" t="s">
        <v>15035</v>
      </c>
      <c r="H2288" t="s">
        <v>8721</v>
      </c>
      <c r="I2288">
        <v>284</v>
      </c>
      <c r="J2288" t="s">
        <v>15036</v>
      </c>
      <c r="K2288" t="s">
        <v>13415</v>
      </c>
      <c r="L2288" s="7" t="s">
        <v>15037</v>
      </c>
      <c r="M2288">
        <v>6449</v>
      </c>
      <c r="N2288">
        <v>66</v>
      </c>
      <c r="O2288">
        <v>59</v>
      </c>
      <c r="P2288">
        <v>7</v>
      </c>
      <c r="Q2288">
        <v>66</v>
      </c>
      <c r="R2288">
        <v>59</v>
      </c>
      <c r="S2288">
        <v>7</v>
      </c>
      <c r="T2288">
        <v>0</v>
      </c>
      <c r="U2288" t="s">
        <v>15038</v>
      </c>
      <c r="V2288">
        <f>Tabla1[[#This Row],[Aboard]]-Tabla1[[#This Row],[Fatalities]]</f>
        <v>0</v>
      </c>
      <c r="W2288" s="50">
        <f>IFERROR(Tabla1[[#This Row],[Fatalities]]/Tabla1[[#This Row],[Aboard]],0)</f>
        <v>1</v>
      </c>
      <c r="X2288" s="51" t="str" cm="1">
        <f t="array" ref="X2288">_xlfn.IFS(Tabla1[[#This Row],[Porcentaje de muertes]]&lt;0.35,"LEVE",AND(Tabla1[[#This Row],[Porcentaje de muertes]]&gt;0.35,Tabla1[[#This Row],[Porcentaje de muertes]]&lt;0.65),"MEDIO",Tabla1[[#This Row],[Porcentaje de muertes]]&gt;0.65,"GRAVE")</f>
        <v>GRAVE</v>
      </c>
    </row>
    <row r="2289" spans="2:24" x14ac:dyDescent="0.3">
      <c r="B2289" s="9">
        <v>2288</v>
      </c>
      <c r="C2289" s="49">
        <v>24769</v>
      </c>
      <c r="D2289" s="9">
        <f>YEAR(Tabla1[[#This Row],[Date]])</f>
        <v>1967</v>
      </c>
      <c r="E2289" s="9" t="str" cm="1">
        <f t="array" ref="E2289">IFERROR(_xlfn.IFS(AND(D2289&lt;1980,D2289&gt;=1970),"70",AND(D2289&lt;1990,D2289&gt;=1980),"80",AND(D2289&lt;2000,D2289&gt;=1990),"90",AND(D2289&lt;2010,D2289&gt;=2000),"00",AND(D2289&lt;=2019,D2289&gt;=2010),"10"),"1908-1970")</f>
        <v>1908-1970</v>
      </c>
      <c r="F2289" s="3" t="s">
        <v>28931</v>
      </c>
      <c r="G2289" t="s">
        <v>15039</v>
      </c>
      <c r="H2289" t="s">
        <v>15040</v>
      </c>
      <c r="I2289" t="s">
        <v>28931</v>
      </c>
      <c r="J2289" t="s">
        <v>15041</v>
      </c>
      <c r="K2289" t="s">
        <v>7057</v>
      </c>
      <c r="L2289" s="7" t="s">
        <v>15042</v>
      </c>
      <c r="M2289" t="s">
        <v>28931</v>
      </c>
      <c r="N2289">
        <v>16</v>
      </c>
      <c r="O2289">
        <v>13</v>
      </c>
      <c r="P2289">
        <v>3</v>
      </c>
      <c r="Q2289">
        <v>16</v>
      </c>
      <c r="R2289">
        <v>13</v>
      </c>
      <c r="S2289">
        <v>3</v>
      </c>
      <c r="T2289">
        <v>0</v>
      </c>
      <c r="U2289" t="s">
        <v>9721</v>
      </c>
      <c r="V2289">
        <f>Tabla1[[#This Row],[Aboard]]-Tabla1[[#This Row],[Fatalities]]</f>
        <v>0</v>
      </c>
      <c r="W2289" s="50">
        <f>IFERROR(Tabla1[[#This Row],[Fatalities]]/Tabla1[[#This Row],[Aboard]],0)</f>
        <v>1</v>
      </c>
      <c r="X2289" s="51" t="str" cm="1">
        <f t="array" ref="X2289">_xlfn.IFS(Tabla1[[#This Row],[Porcentaje de muertes]]&lt;0.35,"LEVE",AND(Tabla1[[#This Row],[Porcentaje de muertes]]&gt;0.35,Tabla1[[#This Row],[Porcentaje de muertes]]&lt;0.65),"MEDIO",Tabla1[[#This Row],[Porcentaje de muertes]]&gt;0.65,"GRAVE")</f>
        <v>GRAVE</v>
      </c>
    </row>
    <row r="2290" spans="2:24" x14ac:dyDescent="0.3">
      <c r="B2290" s="9">
        <v>2289</v>
      </c>
      <c r="C2290" s="49">
        <v>24542</v>
      </c>
      <c r="D2290" s="9">
        <f>YEAR(Tabla1[[#This Row],[Date]])</f>
        <v>1967</v>
      </c>
      <c r="E2290" s="9" t="str" cm="1">
        <f t="array" ref="E2290">IFERROR(_xlfn.IFS(AND(D2290&lt;1980,D2290&gt;=1970),"70",AND(D2290&lt;1990,D2290&gt;=1980),"80",AND(D2290&lt;2000,D2290&gt;=1990),"90",AND(D2290&lt;2010,D2290&gt;=2000),"00",AND(D2290&lt;=2019,D2290&gt;=2010),"10"),"1908-1970")</f>
        <v>1908-1970</v>
      </c>
      <c r="F2290" s="3">
        <v>0.47916666666666669</v>
      </c>
      <c r="G2290" t="s">
        <v>15043</v>
      </c>
      <c r="H2290" t="s">
        <v>15044</v>
      </c>
      <c r="I2290" t="s">
        <v>28931</v>
      </c>
      <c r="J2290" t="s">
        <v>15045</v>
      </c>
      <c r="K2290" t="s">
        <v>15046</v>
      </c>
      <c r="L2290" s="7" t="s">
        <v>15047</v>
      </c>
      <c r="M2290">
        <v>190</v>
      </c>
      <c r="N2290">
        <v>25</v>
      </c>
      <c r="O2290">
        <v>20</v>
      </c>
      <c r="P2290">
        <v>5</v>
      </c>
      <c r="Q2290">
        <v>21</v>
      </c>
      <c r="R2290">
        <v>16</v>
      </c>
      <c r="S2290">
        <v>5</v>
      </c>
      <c r="T2290">
        <v>0</v>
      </c>
      <c r="U2290" t="s">
        <v>15048</v>
      </c>
      <c r="V2290">
        <f>Tabla1[[#This Row],[Aboard]]-Tabla1[[#This Row],[Fatalities]]</f>
        <v>4</v>
      </c>
      <c r="W2290" s="50">
        <f>IFERROR(Tabla1[[#This Row],[Fatalities]]/Tabla1[[#This Row],[Aboard]],0)</f>
        <v>0.84</v>
      </c>
      <c r="X2290" s="51" t="str" cm="1">
        <f t="array" ref="X2290">_xlfn.IFS(Tabla1[[#This Row],[Porcentaje de muertes]]&lt;0.35,"LEVE",AND(Tabla1[[#This Row],[Porcentaje de muertes]]&gt;0.35,Tabla1[[#This Row],[Porcentaje de muertes]]&lt;0.65),"MEDIO",Tabla1[[#This Row],[Porcentaje de muertes]]&gt;0.65,"GRAVE")</f>
        <v>GRAVE</v>
      </c>
    </row>
    <row r="2291" spans="2:24" x14ac:dyDescent="0.3">
      <c r="B2291" s="9">
        <v>2290</v>
      </c>
      <c r="C2291" s="49">
        <v>24573</v>
      </c>
      <c r="D2291" s="9">
        <f>YEAR(Tabla1[[#This Row],[Date]])</f>
        <v>1967</v>
      </c>
      <c r="E2291" s="9" t="str" cm="1">
        <f t="array" ref="E2291">IFERROR(_xlfn.IFS(AND(D2291&lt;1980,D2291&gt;=1970),"70",AND(D2291&lt;1990,D2291&gt;=1980),"80",AND(D2291&lt;2000,D2291&gt;=1990),"90",AND(D2291&lt;2010,D2291&gt;=2000),"00",AND(D2291&lt;=2019,D2291&gt;=2010),"10"),"1908-1970")</f>
        <v>1908-1970</v>
      </c>
      <c r="F2291" s="3">
        <v>0.91805555555555562</v>
      </c>
      <c r="G2291" t="s">
        <v>15049</v>
      </c>
      <c r="H2291" t="s">
        <v>5570</v>
      </c>
      <c r="I2291">
        <v>62</v>
      </c>
      <c r="J2291" t="s">
        <v>15050</v>
      </c>
      <c r="K2291" t="s">
        <v>15051</v>
      </c>
      <c r="L2291" s="7" t="s">
        <v>15052</v>
      </c>
      <c r="M2291" t="s">
        <v>15053</v>
      </c>
      <c r="N2291">
        <v>37</v>
      </c>
      <c r="O2291">
        <v>30</v>
      </c>
      <c r="P2291">
        <v>7</v>
      </c>
      <c r="Q2291">
        <v>37</v>
      </c>
      <c r="R2291">
        <v>30</v>
      </c>
      <c r="S2291">
        <v>7</v>
      </c>
      <c r="T2291">
        <v>0</v>
      </c>
      <c r="U2291" t="s">
        <v>15054</v>
      </c>
      <c r="V2291">
        <f>Tabla1[[#This Row],[Aboard]]-Tabla1[[#This Row],[Fatalities]]</f>
        <v>0</v>
      </c>
      <c r="W2291" s="50">
        <f>IFERROR(Tabla1[[#This Row],[Fatalities]]/Tabla1[[#This Row],[Aboard]],0)</f>
        <v>1</v>
      </c>
      <c r="X2291" s="51" t="str" cm="1">
        <f t="array" ref="X2291">_xlfn.IFS(Tabla1[[#This Row],[Porcentaje de muertes]]&lt;0.35,"LEVE",AND(Tabla1[[#This Row],[Porcentaje de muertes]]&gt;0.35,Tabla1[[#This Row],[Porcentaje de muertes]]&lt;0.65),"MEDIO",Tabla1[[#This Row],[Porcentaje de muertes]]&gt;0.65,"GRAVE")</f>
        <v>GRAVE</v>
      </c>
    </row>
    <row r="2292" spans="2:24" x14ac:dyDescent="0.3">
      <c r="B2292" s="9">
        <v>2291</v>
      </c>
      <c r="C2292" s="49">
        <v>24603</v>
      </c>
      <c r="D2292" s="9">
        <f>YEAR(Tabla1[[#This Row],[Date]])</f>
        <v>1967</v>
      </c>
      <c r="E2292" s="9" t="str" cm="1">
        <f t="array" ref="E2292">IFERROR(_xlfn.IFS(AND(D2292&lt;1980,D2292&gt;=1970),"70",AND(D2292&lt;1990,D2292&gt;=1980),"80",AND(D2292&lt;2000,D2292&gt;=1990),"90",AND(D2292&lt;2010,D2292&gt;=2000),"00",AND(D2292&lt;=2019,D2292&gt;=2010),"10"),"1908-1970")</f>
        <v>1908-1970</v>
      </c>
      <c r="F2292" s="3">
        <v>0.44097222222222227</v>
      </c>
      <c r="G2292" t="s">
        <v>15055</v>
      </c>
      <c r="H2292" t="s">
        <v>9539</v>
      </c>
      <c r="I2292">
        <v>33</v>
      </c>
      <c r="J2292" t="s">
        <v>15056</v>
      </c>
      <c r="K2292" t="s">
        <v>15057</v>
      </c>
      <c r="L2292" s="7" t="s">
        <v>15058</v>
      </c>
      <c r="M2292" t="s">
        <v>15059</v>
      </c>
      <c r="N2292">
        <v>127</v>
      </c>
      <c r="O2292">
        <v>116</v>
      </c>
      <c r="P2292">
        <v>11</v>
      </c>
      <c r="Q2292">
        <v>1</v>
      </c>
      <c r="R2292">
        <v>1</v>
      </c>
      <c r="S2292">
        <v>0</v>
      </c>
      <c r="T2292">
        <v>0</v>
      </c>
      <c r="U2292" t="s">
        <v>15060</v>
      </c>
      <c r="V2292">
        <f>Tabla1[[#This Row],[Aboard]]-Tabla1[[#This Row],[Fatalities]]</f>
        <v>126</v>
      </c>
      <c r="W2292" s="50">
        <f>IFERROR(Tabla1[[#This Row],[Fatalities]]/Tabla1[[#This Row],[Aboard]],0)</f>
        <v>7.874015748031496E-3</v>
      </c>
      <c r="X2292" s="51" t="str" cm="1">
        <f t="array" ref="X2292">_xlfn.IFS(Tabla1[[#This Row],[Porcentaje de muertes]]&lt;0.35,"LEVE",AND(Tabla1[[#This Row],[Porcentaje de muertes]]&gt;0.35,Tabla1[[#This Row],[Porcentaje de muertes]]&lt;0.65),"MEDIO",Tabla1[[#This Row],[Porcentaje de muertes]]&gt;0.65,"GRAVE")</f>
        <v>LEVE</v>
      </c>
    </row>
    <row r="2293" spans="2:24" x14ac:dyDescent="0.3">
      <c r="B2293" s="9">
        <v>2292</v>
      </c>
      <c r="C2293" s="49">
        <v>24634</v>
      </c>
      <c r="D2293" s="9">
        <f>YEAR(Tabla1[[#This Row],[Date]])</f>
        <v>1967</v>
      </c>
      <c r="E2293" s="9" t="str" cm="1">
        <f t="array" ref="E2293">IFERROR(_xlfn.IFS(AND(D2293&lt;1980,D2293&gt;=1970),"70",AND(D2293&lt;1990,D2293&gt;=1980),"80",AND(D2293&lt;2000,D2293&gt;=1990),"90",AND(D2293&lt;2010,D2293&gt;=2000),"00",AND(D2293&lt;=2019,D2293&gt;=2010),"10"),"1908-1970")</f>
        <v>1908-1970</v>
      </c>
      <c r="F2293" s="3">
        <v>0.77847222222222223</v>
      </c>
      <c r="G2293" t="s">
        <v>6094</v>
      </c>
      <c r="H2293" t="s">
        <v>10166</v>
      </c>
      <c r="I2293">
        <v>159</v>
      </c>
      <c r="J2293" t="s">
        <v>15061</v>
      </c>
      <c r="K2293" t="s">
        <v>15062</v>
      </c>
      <c r="L2293" s="7" t="s">
        <v>15063</v>
      </c>
      <c r="M2293" t="s">
        <v>15064</v>
      </c>
      <c r="N2293">
        <v>36</v>
      </c>
      <c r="O2293">
        <v>29</v>
      </c>
      <c r="P2293">
        <v>7</v>
      </c>
      <c r="Q2293">
        <v>1</v>
      </c>
      <c r="R2293">
        <v>1</v>
      </c>
      <c r="S2293">
        <v>0</v>
      </c>
      <c r="T2293">
        <v>0</v>
      </c>
      <c r="U2293" t="s">
        <v>15065</v>
      </c>
      <c r="V2293">
        <f>Tabla1[[#This Row],[Aboard]]-Tabla1[[#This Row],[Fatalities]]</f>
        <v>35</v>
      </c>
      <c r="W2293" s="50">
        <f>IFERROR(Tabla1[[#This Row],[Fatalities]]/Tabla1[[#This Row],[Aboard]],0)</f>
        <v>2.7777777777777776E-2</v>
      </c>
      <c r="X2293" s="51" t="str" cm="1">
        <f t="array" ref="X2293">_xlfn.IFS(Tabla1[[#This Row],[Porcentaje de muertes]]&lt;0.35,"LEVE",AND(Tabla1[[#This Row],[Porcentaje de muertes]]&gt;0.35,Tabla1[[#This Row],[Porcentaje de muertes]]&lt;0.65),"MEDIO",Tabla1[[#This Row],[Porcentaje de muertes]]&gt;0.65,"GRAVE")</f>
        <v>LEVE</v>
      </c>
    </row>
    <row r="2294" spans="2:24" x14ac:dyDescent="0.3">
      <c r="B2294" s="9">
        <v>2293</v>
      </c>
      <c r="C2294" s="49">
        <v>24792</v>
      </c>
      <c r="D2294" s="9">
        <f>YEAR(Tabla1[[#This Row],[Date]])</f>
        <v>1967</v>
      </c>
      <c r="E2294" s="9" t="str" cm="1">
        <f t="array" ref="E2294">IFERROR(_xlfn.IFS(AND(D2294&lt;1980,D2294&gt;=1970),"70",AND(D2294&lt;1990,D2294&gt;=1980),"80",AND(D2294&lt;2000,D2294&gt;=1990),"90",AND(D2294&lt;2010,D2294&gt;=2000),"00",AND(D2294&lt;=2019,D2294&gt;=2010),"10"),"1908-1970")</f>
        <v>1908-1970</v>
      </c>
      <c r="F2294" s="3">
        <v>0.87708333333333333</v>
      </c>
      <c r="G2294" t="s">
        <v>15066</v>
      </c>
      <c r="H2294" t="s">
        <v>6541</v>
      </c>
      <c r="I2294">
        <v>2230</v>
      </c>
      <c r="J2294" t="s">
        <v>15067</v>
      </c>
      <c r="K2294" t="s">
        <v>13035</v>
      </c>
      <c r="L2294" s="7" t="s">
        <v>15068</v>
      </c>
      <c r="M2294">
        <v>184007002</v>
      </c>
      <c r="N2294">
        <v>107</v>
      </c>
      <c r="O2294">
        <v>99</v>
      </c>
      <c r="P2294">
        <v>8</v>
      </c>
      <c r="Q2294">
        <v>107</v>
      </c>
      <c r="R2294">
        <v>99</v>
      </c>
      <c r="S2294">
        <v>8</v>
      </c>
      <c r="T2294">
        <v>0</v>
      </c>
      <c r="U2294" t="s">
        <v>15069</v>
      </c>
      <c r="V2294">
        <f>Tabla1[[#This Row],[Aboard]]-Tabla1[[#This Row],[Fatalities]]</f>
        <v>0</v>
      </c>
      <c r="W2294" s="50">
        <f>IFERROR(Tabla1[[#This Row],[Fatalities]]/Tabla1[[#This Row],[Aboard]],0)</f>
        <v>1</v>
      </c>
      <c r="X2294" s="51" t="str" cm="1">
        <f t="array" ref="X2294">_xlfn.IFS(Tabla1[[#This Row],[Porcentaje de muertes]]&lt;0.35,"LEVE",AND(Tabla1[[#This Row],[Porcentaje de muertes]]&gt;0.35,Tabla1[[#This Row],[Porcentaje de muertes]]&lt;0.65),"MEDIO",Tabla1[[#This Row],[Porcentaje de muertes]]&gt;0.65,"GRAVE")</f>
        <v>GRAVE</v>
      </c>
    </row>
    <row r="2295" spans="2:24" x14ac:dyDescent="0.3">
      <c r="B2295" s="9">
        <v>2294</v>
      </c>
      <c r="C2295" s="49">
        <v>24796</v>
      </c>
      <c r="D2295" s="9">
        <f>YEAR(Tabla1[[#This Row],[Date]])</f>
        <v>1967</v>
      </c>
      <c r="E2295" s="9" t="str" cm="1">
        <f t="array" ref="E2295">IFERROR(_xlfn.IFS(AND(D2295&lt;1980,D2295&gt;=1970),"70",AND(D2295&lt;1990,D2295&gt;=1980),"80",AND(D2295&lt;2000,D2295&gt;=1990),"90",AND(D2295&lt;2010,D2295&gt;=2000),"00",AND(D2295&lt;=2019,D2295&gt;=2010),"10"),"1908-1970")</f>
        <v>1908-1970</v>
      </c>
      <c r="F2295" s="3">
        <v>0.87291666666666667</v>
      </c>
      <c r="G2295" t="s">
        <v>15070</v>
      </c>
      <c r="H2295" t="s">
        <v>10166</v>
      </c>
      <c r="I2295">
        <v>128</v>
      </c>
      <c r="J2295" t="s">
        <v>15071</v>
      </c>
      <c r="K2295" t="s">
        <v>15072</v>
      </c>
      <c r="L2295" s="7" t="s">
        <v>15073</v>
      </c>
      <c r="M2295" t="s">
        <v>15074</v>
      </c>
      <c r="N2295">
        <v>82</v>
      </c>
      <c r="O2295">
        <v>75</v>
      </c>
      <c r="P2295">
        <v>7</v>
      </c>
      <c r="Q2295">
        <v>70</v>
      </c>
      <c r="R2295">
        <v>65</v>
      </c>
      <c r="S2295">
        <v>5</v>
      </c>
      <c r="T2295">
        <v>0</v>
      </c>
      <c r="U2295" t="s">
        <v>15075</v>
      </c>
      <c r="V2295">
        <f>Tabla1[[#This Row],[Aboard]]-Tabla1[[#This Row],[Fatalities]]</f>
        <v>12</v>
      </c>
      <c r="W2295" s="50">
        <f>IFERROR(Tabla1[[#This Row],[Fatalities]]/Tabla1[[#This Row],[Aboard]],0)</f>
        <v>0.85365853658536583</v>
      </c>
      <c r="X2295" s="51" t="str" cm="1">
        <f t="array" ref="X2295">_xlfn.IFS(Tabla1[[#This Row],[Porcentaje de muertes]]&lt;0.35,"LEVE",AND(Tabla1[[#This Row],[Porcentaje de muertes]]&gt;0.35,Tabla1[[#This Row],[Porcentaje de muertes]]&lt;0.65),"MEDIO",Tabla1[[#This Row],[Porcentaje de muertes]]&gt;0.65,"GRAVE")</f>
        <v>GRAVE</v>
      </c>
    </row>
    <row r="2296" spans="2:24" x14ac:dyDescent="0.3">
      <c r="B2296" s="9">
        <v>2295</v>
      </c>
      <c r="C2296" s="49">
        <v>24806</v>
      </c>
      <c r="D2296" s="9">
        <f>YEAR(Tabla1[[#This Row],[Date]])</f>
        <v>1967</v>
      </c>
      <c r="E2296" s="9" t="str" cm="1">
        <f t="array" ref="E2296">IFERROR(_xlfn.IFS(AND(D2296&lt;1980,D2296&gt;=1970),"70",AND(D2296&lt;1990,D2296&gt;=1980),"80",AND(D2296&lt;2000,D2296&gt;=1990),"90",AND(D2296&lt;2010,D2296&gt;=2000),"00",AND(D2296&lt;=2019,D2296&gt;=2010),"10"),"1908-1970")</f>
        <v>1908-1970</v>
      </c>
      <c r="F2296" s="3">
        <v>0.60416666666666663</v>
      </c>
      <c r="G2296" t="s">
        <v>15076</v>
      </c>
      <c r="H2296" t="s">
        <v>7987</v>
      </c>
      <c r="I2296" t="s">
        <v>28931</v>
      </c>
      <c r="J2296" t="s">
        <v>15077</v>
      </c>
      <c r="K2296" t="s">
        <v>15078</v>
      </c>
      <c r="L2296" s="7" t="s">
        <v>15079</v>
      </c>
      <c r="M2296" t="s">
        <v>28931</v>
      </c>
      <c r="N2296">
        <v>26</v>
      </c>
      <c r="O2296">
        <v>22</v>
      </c>
      <c r="P2296">
        <v>4</v>
      </c>
      <c r="Q2296">
        <v>26</v>
      </c>
      <c r="R2296">
        <v>22</v>
      </c>
      <c r="S2296">
        <v>4</v>
      </c>
      <c r="T2296">
        <v>0</v>
      </c>
      <c r="U2296" t="s">
        <v>15080</v>
      </c>
      <c r="V2296">
        <f>Tabla1[[#This Row],[Aboard]]-Tabla1[[#This Row],[Fatalities]]</f>
        <v>0</v>
      </c>
      <c r="W2296" s="50">
        <f>IFERROR(Tabla1[[#This Row],[Fatalities]]/Tabla1[[#This Row],[Aboard]],0)</f>
        <v>1</v>
      </c>
      <c r="X2296" s="51" t="str" cm="1">
        <f t="array" ref="X2296">_xlfn.IFS(Tabla1[[#This Row],[Porcentaje de muertes]]&lt;0.35,"LEVE",AND(Tabla1[[#This Row],[Porcentaje de muertes]]&gt;0.35,Tabla1[[#This Row],[Porcentaje de muertes]]&lt;0.65),"MEDIO",Tabla1[[#This Row],[Porcentaje de muertes]]&gt;0.65,"GRAVE")</f>
        <v>GRAVE</v>
      </c>
    </row>
    <row r="2297" spans="2:24" x14ac:dyDescent="0.3">
      <c r="B2297" s="9">
        <v>2296</v>
      </c>
      <c r="C2297" s="49">
        <v>24665</v>
      </c>
      <c r="D2297" s="9">
        <f>YEAR(Tabla1[[#This Row],[Date]])</f>
        <v>1967</v>
      </c>
      <c r="E2297" s="9" t="str" cm="1">
        <f t="array" ref="E2297">IFERROR(_xlfn.IFS(AND(D2297&lt;1980,D2297&gt;=1970),"70",AND(D2297&lt;1990,D2297&gt;=1980),"80",AND(D2297&lt;2000,D2297&gt;=1990),"90",AND(D2297&lt;2010,D2297&gt;=2000),"00",AND(D2297&lt;=2019,D2297&gt;=2010),"10"),"1908-1970")</f>
        <v>1908-1970</v>
      </c>
      <c r="F2297" s="3" t="s">
        <v>28931</v>
      </c>
      <c r="G2297" t="s">
        <v>15081</v>
      </c>
      <c r="H2297" t="s">
        <v>15082</v>
      </c>
      <c r="I2297" t="s">
        <v>28931</v>
      </c>
      <c r="J2297" t="s">
        <v>28931</v>
      </c>
      <c r="K2297" t="s">
        <v>7057</v>
      </c>
      <c r="L2297" s="7" t="s">
        <v>15083</v>
      </c>
      <c r="M2297" t="s">
        <v>28931</v>
      </c>
      <c r="N2297">
        <v>12</v>
      </c>
      <c r="O2297">
        <v>2</v>
      </c>
      <c r="P2297">
        <v>10</v>
      </c>
      <c r="Q2297">
        <v>10</v>
      </c>
      <c r="R2297">
        <v>2</v>
      </c>
      <c r="S2297">
        <v>8</v>
      </c>
      <c r="T2297">
        <v>0</v>
      </c>
      <c r="U2297" t="s">
        <v>15084</v>
      </c>
      <c r="V2297">
        <f>Tabla1[[#This Row],[Aboard]]-Tabla1[[#This Row],[Fatalities]]</f>
        <v>2</v>
      </c>
      <c r="W2297" s="50">
        <f>IFERROR(Tabla1[[#This Row],[Fatalities]]/Tabla1[[#This Row],[Aboard]],0)</f>
        <v>0.83333333333333337</v>
      </c>
      <c r="X2297" s="51" t="str" cm="1">
        <f t="array" ref="X2297">_xlfn.IFS(Tabla1[[#This Row],[Porcentaje de muertes]]&lt;0.35,"LEVE",AND(Tabla1[[#This Row],[Porcentaje de muertes]]&gt;0.35,Tabla1[[#This Row],[Porcentaje de muertes]]&lt;0.65),"MEDIO",Tabla1[[#This Row],[Porcentaje de muertes]]&gt;0.65,"GRAVE")</f>
        <v>GRAVE</v>
      </c>
    </row>
    <row r="2298" spans="2:24" x14ac:dyDescent="0.3">
      <c r="B2298" s="9">
        <v>2297</v>
      </c>
      <c r="C2298" s="49">
        <v>24696</v>
      </c>
      <c r="D2298" s="9">
        <f>YEAR(Tabla1[[#This Row],[Date]])</f>
        <v>1967</v>
      </c>
      <c r="E2298" s="9" t="str" cm="1">
        <f t="array" ref="E2298">IFERROR(_xlfn.IFS(AND(D2298&lt;1980,D2298&gt;=1970),"70",AND(D2298&lt;1990,D2298&gt;=1980),"80",AND(D2298&lt;2000,D2298&gt;=1990),"90",AND(D2298&lt;2010,D2298&gt;=2000),"00",AND(D2298&lt;=2019,D2298&gt;=2010),"10"),"1908-1970")</f>
        <v>1908-1970</v>
      </c>
      <c r="F2298" s="3" t="s">
        <v>28931</v>
      </c>
      <c r="G2298" t="s">
        <v>15085</v>
      </c>
      <c r="H2298" t="s">
        <v>8477</v>
      </c>
      <c r="I2298" t="s">
        <v>28931</v>
      </c>
      <c r="J2298" t="s">
        <v>15086</v>
      </c>
      <c r="K2298" t="s">
        <v>15087</v>
      </c>
      <c r="L2298" s="7" t="s">
        <v>15088</v>
      </c>
      <c r="M2298">
        <v>10284</v>
      </c>
      <c r="N2298">
        <v>72</v>
      </c>
      <c r="O2298">
        <v>66</v>
      </c>
      <c r="P2298">
        <v>6</v>
      </c>
      <c r="Q2298">
        <v>72</v>
      </c>
      <c r="R2298">
        <v>66</v>
      </c>
      <c r="S2298">
        <v>6</v>
      </c>
      <c r="T2298">
        <v>0</v>
      </c>
      <c r="U2298" t="s">
        <v>15089</v>
      </c>
      <c r="V2298">
        <f>Tabla1[[#This Row],[Aboard]]-Tabla1[[#This Row],[Fatalities]]</f>
        <v>0</v>
      </c>
      <c r="W2298" s="50">
        <f>IFERROR(Tabla1[[#This Row],[Fatalities]]/Tabla1[[#This Row],[Aboard]],0)</f>
        <v>1</v>
      </c>
      <c r="X2298" s="51" t="str" cm="1">
        <f t="array" ref="X2298">_xlfn.IFS(Tabla1[[#This Row],[Porcentaje de muertes]]&lt;0.35,"LEVE",AND(Tabla1[[#This Row],[Porcentaje de muertes]]&gt;0.35,Tabla1[[#This Row],[Porcentaje de muertes]]&lt;0.65),"MEDIO",Tabla1[[#This Row],[Porcentaje de muertes]]&gt;0.65,"GRAVE")</f>
        <v>GRAVE</v>
      </c>
    </row>
    <row r="2299" spans="2:24" x14ac:dyDescent="0.3">
      <c r="B2299" s="9">
        <v>2298</v>
      </c>
      <c r="C2299" s="49">
        <v>24757</v>
      </c>
      <c r="D2299" s="9">
        <f>YEAR(Tabla1[[#This Row],[Date]])</f>
        <v>1967</v>
      </c>
      <c r="E2299" s="9" t="str" cm="1">
        <f t="array" ref="E2299">IFERROR(_xlfn.IFS(AND(D2299&lt;1980,D2299&gt;=1970),"70",AND(D2299&lt;1990,D2299&gt;=1980),"80",AND(D2299&lt;2000,D2299&gt;=1990),"90",AND(D2299&lt;2010,D2299&gt;=2000),"00",AND(D2299&lt;=2019,D2299&gt;=2010),"10"),"1908-1970")</f>
        <v>1908-1970</v>
      </c>
      <c r="F2299" s="3">
        <v>0.64236111111111105</v>
      </c>
      <c r="G2299" t="s">
        <v>15090</v>
      </c>
      <c r="H2299" t="s">
        <v>5032</v>
      </c>
      <c r="I2299" t="s">
        <v>8152</v>
      </c>
      <c r="J2299" t="s">
        <v>15091</v>
      </c>
      <c r="K2299" t="s">
        <v>15092</v>
      </c>
      <c r="L2299" s="7" t="s">
        <v>15093</v>
      </c>
      <c r="M2299" t="s">
        <v>15094</v>
      </c>
      <c r="N2299">
        <v>8</v>
      </c>
      <c r="O2299">
        <v>7</v>
      </c>
      <c r="P2299">
        <v>1</v>
      </c>
      <c r="Q2299">
        <v>7</v>
      </c>
      <c r="R2299">
        <v>6</v>
      </c>
      <c r="S2299">
        <v>1</v>
      </c>
      <c r="T2299">
        <v>0</v>
      </c>
      <c r="U2299" t="s">
        <v>15095</v>
      </c>
      <c r="V2299">
        <f>Tabla1[[#This Row],[Aboard]]-Tabla1[[#This Row],[Fatalities]]</f>
        <v>1</v>
      </c>
      <c r="W2299" s="50">
        <f>IFERROR(Tabla1[[#This Row],[Fatalities]]/Tabla1[[#This Row],[Aboard]],0)</f>
        <v>0.875</v>
      </c>
      <c r="X2299" s="51" t="str" cm="1">
        <f t="array" ref="X2299">_xlfn.IFS(Tabla1[[#This Row],[Porcentaje de muertes]]&lt;0.35,"LEVE",AND(Tabla1[[#This Row],[Porcentaje de muertes]]&gt;0.35,Tabla1[[#This Row],[Porcentaje de muertes]]&lt;0.65),"MEDIO",Tabla1[[#This Row],[Porcentaje de muertes]]&gt;0.65,"GRAVE")</f>
        <v>GRAVE</v>
      </c>
    </row>
    <row r="2300" spans="2:24" x14ac:dyDescent="0.3">
      <c r="B2300" s="9">
        <v>2299</v>
      </c>
      <c r="C2300" s="49">
        <v>24827</v>
      </c>
      <c r="D2300" s="9">
        <f>YEAR(Tabla1[[#This Row],[Date]])</f>
        <v>1967</v>
      </c>
      <c r="E2300" s="9" t="str" cm="1">
        <f t="array" ref="E2300">IFERROR(_xlfn.IFS(AND(D2300&lt;1980,D2300&gt;=1970),"70",AND(D2300&lt;1990,D2300&gt;=1980),"80",AND(D2300&lt;2000,D2300&gt;=1990),"90",AND(D2300&lt;2010,D2300&gt;=2000),"00",AND(D2300&lt;=2019,D2300&gt;=2010),"10"),"1908-1970")</f>
        <v>1908-1970</v>
      </c>
      <c r="F2300" s="3">
        <v>0.66666666666666663</v>
      </c>
      <c r="G2300" t="s">
        <v>9021</v>
      </c>
      <c r="H2300" t="s">
        <v>14097</v>
      </c>
      <c r="I2300" t="s">
        <v>28931</v>
      </c>
      <c r="J2300" t="s">
        <v>15096</v>
      </c>
      <c r="K2300" t="s">
        <v>8105</v>
      </c>
      <c r="L2300" s="7" t="s">
        <v>15097</v>
      </c>
      <c r="M2300">
        <v>19202</v>
      </c>
      <c r="N2300">
        <v>2</v>
      </c>
      <c r="O2300">
        <v>0</v>
      </c>
      <c r="P2300">
        <v>2</v>
      </c>
      <c r="Q2300">
        <v>2</v>
      </c>
      <c r="R2300">
        <v>0</v>
      </c>
      <c r="S2300">
        <v>2</v>
      </c>
      <c r="T2300">
        <v>0</v>
      </c>
      <c r="U2300" t="s">
        <v>15098</v>
      </c>
      <c r="V2300">
        <f>Tabla1[[#This Row],[Aboard]]-Tabla1[[#This Row],[Fatalities]]</f>
        <v>0</v>
      </c>
      <c r="W2300" s="50">
        <f>IFERROR(Tabla1[[#This Row],[Fatalities]]/Tabla1[[#This Row],[Aboard]],0)</f>
        <v>1</v>
      </c>
      <c r="X2300" s="51" t="str" cm="1">
        <f t="array" ref="X2300">_xlfn.IFS(Tabla1[[#This Row],[Porcentaje de muertes]]&lt;0.35,"LEVE",AND(Tabla1[[#This Row],[Porcentaje de muertes]]&gt;0.35,Tabla1[[#This Row],[Porcentaje de muertes]]&lt;0.65),"MEDIO",Tabla1[[#This Row],[Porcentaje de muertes]]&gt;0.65,"GRAVE")</f>
        <v>GRAVE</v>
      </c>
    </row>
    <row r="2301" spans="2:24" x14ac:dyDescent="0.3">
      <c r="B2301" s="9">
        <v>2300</v>
      </c>
      <c r="C2301" s="49">
        <v>24831</v>
      </c>
      <c r="D2301" s="9">
        <f>YEAR(Tabla1[[#This Row],[Date]])</f>
        <v>1967</v>
      </c>
      <c r="E2301" s="9" t="str" cm="1">
        <f t="array" ref="E2301">IFERROR(_xlfn.IFS(AND(D2301&lt;1980,D2301&gt;=1970),"70",AND(D2301&lt;1990,D2301&gt;=1980),"80",AND(D2301&lt;2000,D2301&gt;=1990),"90",AND(D2301&lt;2010,D2301&gt;=2000),"00",AND(D2301&lt;=2019,D2301&gt;=2010),"10"),"1908-1970")</f>
        <v>1908-1970</v>
      </c>
      <c r="F2301" s="3">
        <v>0.5756944444444444</v>
      </c>
      <c r="G2301" t="s">
        <v>15099</v>
      </c>
      <c r="H2301" t="s">
        <v>15100</v>
      </c>
      <c r="I2301">
        <v>2</v>
      </c>
      <c r="J2301" t="s">
        <v>15101</v>
      </c>
      <c r="K2301" t="s">
        <v>7057</v>
      </c>
      <c r="L2301" s="7" t="s">
        <v>15102</v>
      </c>
      <c r="M2301">
        <v>9189</v>
      </c>
      <c r="N2301">
        <v>31</v>
      </c>
      <c r="O2301">
        <v>28</v>
      </c>
      <c r="P2301">
        <v>3</v>
      </c>
      <c r="Q2301">
        <v>4</v>
      </c>
      <c r="R2301">
        <v>2</v>
      </c>
      <c r="S2301">
        <v>2</v>
      </c>
      <c r="T2301">
        <v>0</v>
      </c>
      <c r="U2301" t="s">
        <v>15103</v>
      </c>
      <c r="V2301">
        <f>Tabla1[[#This Row],[Aboard]]-Tabla1[[#This Row],[Fatalities]]</f>
        <v>27</v>
      </c>
      <c r="W2301" s="50">
        <f>IFERROR(Tabla1[[#This Row],[Fatalities]]/Tabla1[[#This Row],[Aboard]],0)</f>
        <v>0.12903225806451613</v>
      </c>
      <c r="X2301" s="51" t="str" cm="1">
        <f t="array" ref="X2301">_xlfn.IFS(Tabla1[[#This Row],[Porcentaje de muertes]]&lt;0.35,"LEVE",AND(Tabla1[[#This Row],[Porcentaje de muertes]]&gt;0.35,Tabla1[[#This Row],[Porcentaje de muertes]]&lt;0.65),"MEDIO",Tabla1[[#This Row],[Porcentaje de muertes]]&gt;0.65,"GRAVE")</f>
        <v>LEVE</v>
      </c>
    </row>
    <row r="2302" spans="2:24" x14ac:dyDescent="0.3">
      <c r="B2302" s="9">
        <v>2301</v>
      </c>
      <c r="C2302" s="49">
        <v>24836</v>
      </c>
      <c r="D2302" s="9">
        <f>YEAR(Tabla1[[#This Row],[Date]])</f>
        <v>1967</v>
      </c>
      <c r="E2302" s="9" t="str" cm="1">
        <f t="array" ref="E2302">IFERROR(_xlfn.IFS(AND(D2302&lt;1980,D2302&gt;=1970),"70",AND(D2302&lt;1990,D2302&gt;=1980),"80",AND(D2302&lt;2000,D2302&gt;=1990),"90",AND(D2302&lt;2010,D2302&gt;=2000),"00",AND(D2302&lt;=2019,D2302&gt;=2010),"10"),"1908-1970")</f>
        <v>1908-1970</v>
      </c>
      <c r="F2302" s="3">
        <v>0.3527777777777778</v>
      </c>
      <c r="G2302" t="s">
        <v>15104</v>
      </c>
      <c r="H2302" t="s">
        <v>6541</v>
      </c>
      <c r="I2302" t="s">
        <v>15105</v>
      </c>
      <c r="J2302" t="s">
        <v>15106</v>
      </c>
      <c r="K2302" t="s">
        <v>14666</v>
      </c>
      <c r="L2302" s="7" t="s">
        <v>15107</v>
      </c>
      <c r="M2302">
        <v>67302909</v>
      </c>
      <c r="N2302">
        <v>51</v>
      </c>
      <c r="O2302">
        <v>46</v>
      </c>
      <c r="P2302">
        <v>5</v>
      </c>
      <c r="Q2302">
        <v>44</v>
      </c>
      <c r="R2302">
        <v>41</v>
      </c>
      <c r="S2302">
        <v>3</v>
      </c>
      <c r="T2302">
        <v>0</v>
      </c>
      <c r="U2302" t="s">
        <v>15108</v>
      </c>
      <c r="V2302">
        <f>Tabla1[[#This Row],[Aboard]]-Tabla1[[#This Row],[Fatalities]]</f>
        <v>7</v>
      </c>
      <c r="W2302" s="50">
        <f>IFERROR(Tabla1[[#This Row],[Fatalities]]/Tabla1[[#This Row],[Aboard]],0)</f>
        <v>0.86274509803921573</v>
      </c>
      <c r="X2302" s="51" t="str" cm="1">
        <f t="array" ref="X2302">_xlfn.IFS(Tabla1[[#This Row],[Porcentaje de muertes]]&lt;0.35,"LEVE",AND(Tabla1[[#This Row],[Porcentaje de muertes]]&gt;0.35,Tabla1[[#This Row],[Porcentaje de muertes]]&lt;0.65),"MEDIO",Tabla1[[#This Row],[Porcentaje de muertes]]&gt;0.65,"GRAVE")</f>
        <v>GRAVE</v>
      </c>
    </row>
    <row r="2303" spans="2:24" x14ac:dyDescent="0.3">
      <c r="B2303" s="9">
        <v>2302</v>
      </c>
      <c r="C2303" s="49">
        <v>24990</v>
      </c>
      <c r="D2303" s="9">
        <f>YEAR(Tabla1[[#This Row],[Date]])</f>
        <v>1968</v>
      </c>
      <c r="E2303" s="9" t="str" cm="1">
        <f t="array" ref="E2303">IFERROR(_xlfn.IFS(AND(D2303&lt;1980,D2303&gt;=1970),"70",AND(D2303&lt;1990,D2303&gt;=1980),"80",AND(D2303&lt;2000,D2303&gt;=1990),"90",AND(D2303&lt;2010,D2303&gt;=2000),"00",AND(D2303&lt;=2019,D2303&gt;=2010),"10"),"1908-1970")</f>
        <v>1908-1970</v>
      </c>
      <c r="F2303" s="3">
        <v>0.76874999999999993</v>
      </c>
      <c r="G2303" t="s">
        <v>15109</v>
      </c>
      <c r="H2303" t="s">
        <v>6541</v>
      </c>
      <c r="I2303">
        <v>1668</v>
      </c>
      <c r="J2303" t="s">
        <v>15110</v>
      </c>
      <c r="K2303" t="s">
        <v>15111</v>
      </c>
      <c r="L2303" s="7" t="s">
        <v>15112</v>
      </c>
      <c r="M2303" t="s">
        <v>15113</v>
      </c>
      <c r="N2303">
        <v>46</v>
      </c>
      <c r="O2303">
        <v>39</v>
      </c>
      <c r="P2303">
        <v>6</v>
      </c>
      <c r="Q2303">
        <v>45</v>
      </c>
      <c r="R2303">
        <v>39</v>
      </c>
      <c r="S2303">
        <v>6</v>
      </c>
      <c r="T2303">
        <v>0</v>
      </c>
      <c r="U2303" t="s">
        <v>15114</v>
      </c>
      <c r="V2303">
        <f>Tabla1[[#This Row],[Aboard]]-Tabla1[[#This Row],[Fatalities]]</f>
        <v>1</v>
      </c>
      <c r="W2303" s="50">
        <f>IFERROR(Tabla1[[#This Row],[Fatalities]]/Tabla1[[#This Row],[Aboard]],0)</f>
        <v>0.97826086956521741</v>
      </c>
      <c r="X2303" s="51" t="str" cm="1">
        <f t="array" ref="X2303">_xlfn.IFS(Tabla1[[#This Row],[Porcentaje de muertes]]&lt;0.35,"LEVE",AND(Tabla1[[#This Row],[Porcentaje de muertes]]&gt;0.35,Tabla1[[#This Row],[Porcentaje de muertes]]&lt;0.65),"MEDIO",Tabla1[[#This Row],[Porcentaje de muertes]]&gt;0.65,"GRAVE")</f>
        <v>GRAVE</v>
      </c>
    </row>
    <row r="2304" spans="2:24" x14ac:dyDescent="0.3">
      <c r="B2304" s="9">
        <v>2303</v>
      </c>
      <c r="C2304" s="49">
        <v>25051</v>
      </c>
      <c r="D2304" s="9">
        <f>YEAR(Tabla1[[#This Row],[Date]])</f>
        <v>1968</v>
      </c>
      <c r="E2304" s="9" t="str" cm="1">
        <f t="array" ref="E2304">IFERROR(_xlfn.IFS(AND(D2304&lt;1980,D2304&gt;=1970),"70",AND(D2304&lt;1990,D2304&gt;=1980),"80",AND(D2304&lt;2000,D2304&gt;=1990),"90",AND(D2304&lt;2010,D2304&gt;=2000),"00",AND(D2304&lt;=2019,D2304&gt;=2010),"10"),"1908-1970")</f>
        <v>1908-1970</v>
      </c>
      <c r="F2304" s="3">
        <v>0.70833333333333337</v>
      </c>
      <c r="G2304" t="s">
        <v>15115</v>
      </c>
      <c r="H2304" t="s">
        <v>8891</v>
      </c>
      <c r="I2304" t="s">
        <v>28931</v>
      </c>
      <c r="J2304" t="s">
        <v>28931</v>
      </c>
      <c r="K2304" t="s">
        <v>15116</v>
      </c>
      <c r="L2304" s="7">
        <v>153710</v>
      </c>
      <c r="M2304" t="s">
        <v>28931</v>
      </c>
      <c r="N2304">
        <v>42</v>
      </c>
      <c r="O2304">
        <v>37</v>
      </c>
      <c r="P2304">
        <v>5</v>
      </c>
      <c r="Q2304">
        <v>42</v>
      </c>
      <c r="R2304">
        <v>37</v>
      </c>
      <c r="S2304">
        <v>5</v>
      </c>
      <c r="T2304">
        <v>0</v>
      </c>
      <c r="U2304" t="s">
        <v>15117</v>
      </c>
      <c r="V2304">
        <f>Tabla1[[#This Row],[Aboard]]-Tabla1[[#This Row],[Fatalities]]</f>
        <v>0</v>
      </c>
      <c r="W2304" s="50">
        <f>IFERROR(Tabla1[[#This Row],[Fatalities]]/Tabla1[[#This Row],[Aboard]],0)</f>
        <v>1</v>
      </c>
      <c r="X2304" s="51" t="str" cm="1">
        <f t="array" ref="X2304">_xlfn.IFS(Tabla1[[#This Row],[Porcentaje de muertes]]&lt;0.35,"LEVE",AND(Tabla1[[#This Row],[Porcentaje de muertes]]&gt;0.35,Tabla1[[#This Row],[Porcentaje de muertes]]&lt;0.65),"MEDIO",Tabla1[[#This Row],[Porcentaje de muertes]]&gt;0.65,"GRAVE")</f>
        <v>GRAVE</v>
      </c>
    </row>
    <row r="2305" spans="2:24" x14ac:dyDescent="0.3">
      <c r="B2305" s="9">
        <v>2304</v>
      </c>
      <c r="C2305" s="49">
        <v>25112</v>
      </c>
      <c r="D2305" s="9">
        <f>YEAR(Tabla1[[#This Row],[Date]])</f>
        <v>1968</v>
      </c>
      <c r="E2305" s="9" t="str" cm="1">
        <f t="array" ref="E2305">IFERROR(_xlfn.IFS(AND(D2305&lt;1980,D2305&gt;=1970),"70",AND(D2305&lt;1990,D2305&gt;=1980),"80",AND(D2305&lt;2000,D2305&gt;=1990),"90",AND(D2305&lt;2010,D2305&gt;=2000),"00",AND(D2305&lt;=2019,D2305&gt;=2010),"10"),"1908-1970")</f>
        <v>1908-1970</v>
      </c>
      <c r="F2305" s="3">
        <v>0.58333333333333337</v>
      </c>
      <c r="G2305" t="s">
        <v>15118</v>
      </c>
      <c r="H2305" t="s">
        <v>8891</v>
      </c>
      <c r="I2305" t="s">
        <v>28931</v>
      </c>
      <c r="J2305" t="s">
        <v>15119</v>
      </c>
      <c r="K2305" t="s">
        <v>15120</v>
      </c>
      <c r="L2305" s="7">
        <v>50850</v>
      </c>
      <c r="M2305">
        <v>10427</v>
      </c>
      <c r="N2305">
        <v>19</v>
      </c>
      <c r="O2305">
        <v>12</v>
      </c>
      <c r="P2305">
        <v>7</v>
      </c>
      <c r="Q2305">
        <v>19</v>
      </c>
      <c r="R2305">
        <v>12</v>
      </c>
      <c r="S2305">
        <v>7</v>
      </c>
      <c r="T2305">
        <v>0</v>
      </c>
      <c r="U2305" t="s">
        <v>15121</v>
      </c>
      <c r="V2305">
        <f>Tabla1[[#This Row],[Aboard]]-Tabla1[[#This Row],[Fatalities]]</f>
        <v>0</v>
      </c>
      <c r="W2305" s="50">
        <f>IFERROR(Tabla1[[#This Row],[Fatalities]]/Tabla1[[#This Row],[Aboard]],0)</f>
        <v>1</v>
      </c>
      <c r="X2305" s="51" t="str" cm="1">
        <f t="array" ref="X2305">_xlfn.IFS(Tabla1[[#This Row],[Porcentaje de muertes]]&lt;0.35,"LEVE",AND(Tabla1[[#This Row],[Porcentaje de muertes]]&gt;0.35,Tabla1[[#This Row],[Porcentaje de muertes]]&lt;0.65),"MEDIO",Tabla1[[#This Row],[Porcentaje de muertes]]&gt;0.65,"GRAVE")</f>
        <v>GRAVE</v>
      </c>
    </row>
    <row r="2306" spans="2:24" x14ac:dyDescent="0.3">
      <c r="B2306" s="9">
        <v>2305</v>
      </c>
      <c r="C2306" s="49">
        <v>24852</v>
      </c>
      <c r="D2306" s="9">
        <f>YEAR(Tabla1[[#This Row],[Date]])</f>
        <v>1968</v>
      </c>
      <c r="E2306" s="9" t="str" cm="1">
        <f t="array" ref="E2306">IFERROR(_xlfn.IFS(AND(D2306&lt;1980,D2306&gt;=1970),"70",AND(D2306&lt;1990,D2306&gt;=1980),"80",AND(D2306&lt;2000,D2306&gt;=1990),"90",AND(D2306&lt;2010,D2306&gt;=2000),"00",AND(D2306&lt;=2019,D2306&gt;=2010),"10"),"1908-1970")</f>
        <v>1908-1970</v>
      </c>
      <c r="F2306" s="3">
        <v>0.32916666666666666</v>
      </c>
      <c r="G2306" t="s">
        <v>15122</v>
      </c>
      <c r="H2306" t="s">
        <v>13087</v>
      </c>
      <c r="I2306" t="s">
        <v>28931</v>
      </c>
      <c r="J2306" t="s">
        <v>15123</v>
      </c>
      <c r="K2306" t="s">
        <v>7057</v>
      </c>
      <c r="L2306" s="7" t="s">
        <v>15124</v>
      </c>
      <c r="M2306" t="s">
        <v>28931</v>
      </c>
      <c r="N2306">
        <v>4</v>
      </c>
      <c r="O2306">
        <v>0</v>
      </c>
      <c r="P2306">
        <v>4</v>
      </c>
      <c r="Q2306">
        <v>4</v>
      </c>
      <c r="R2306">
        <v>0</v>
      </c>
      <c r="S2306">
        <v>4</v>
      </c>
      <c r="T2306">
        <v>0</v>
      </c>
      <c r="U2306" t="s">
        <v>15125</v>
      </c>
      <c r="V2306">
        <f>Tabla1[[#This Row],[Aboard]]-Tabla1[[#This Row],[Fatalities]]</f>
        <v>0</v>
      </c>
      <c r="W2306" s="50">
        <f>IFERROR(Tabla1[[#This Row],[Fatalities]]/Tabla1[[#This Row],[Aboard]],0)</f>
        <v>1</v>
      </c>
      <c r="X2306" s="51" t="str" cm="1">
        <f t="array" ref="X2306">_xlfn.IFS(Tabla1[[#This Row],[Porcentaje de muertes]]&lt;0.35,"LEVE",AND(Tabla1[[#This Row],[Porcentaje de muertes]]&gt;0.35,Tabla1[[#This Row],[Porcentaje de muertes]]&lt;0.65),"MEDIO",Tabla1[[#This Row],[Porcentaje de muertes]]&gt;0.65,"GRAVE")</f>
        <v>GRAVE</v>
      </c>
    </row>
    <row r="2307" spans="2:24" x14ac:dyDescent="0.3">
      <c r="B2307" s="9">
        <v>2306</v>
      </c>
      <c r="C2307" s="49">
        <v>24864</v>
      </c>
      <c r="D2307" s="9">
        <f>YEAR(Tabla1[[#This Row],[Date]])</f>
        <v>1968</v>
      </c>
      <c r="E2307" s="9" t="str" cm="1">
        <f t="array" ref="E2307">IFERROR(_xlfn.IFS(AND(D2307&lt;1980,D2307&gt;=1970),"70",AND(D2307&lt;1990,D2307&gt;=1980),"80",AND(D2307&lt;2000,D2307&gt;=1990),"90",AND(D2307&lt;2010,D2307&gt;=2000),"00",AND(D2307&lt;=2019,D2307&gt;=2010),"10"),"1908-1970")</f>
        <v>1908-1970</v>
      </c>
      <c r="F2307" s="3" t="s">
        <v>28931</v>
      </c>
      <c r="G2307" t="s">
        <v>15126</v>
      </c>
      <c r="H2307" t="s">
        <v>15127</v>
      </c>
      <c r="I2307" t="s">
        <v>28931</v>
      </c>
      <c r="J2307" t="s">
        <v>15128</v>
      </c>
      <c r="K2307" t="s">
        <v>10951</v>
      </c>
      <c r="L2307" s="7" t="s">
        <v>15129</v>
      </c>
      <c r="M2307">
        <v>14040</v>
      </c>
      <c r="N2307">
        <v>16</v>
      </c>
      <c r="O2307">
        <v>15</v>
      </c>
      <c r="P2307">
        <v>1</v>
      </c>
      <c r="Q2307">
        <v>15</v>
      </c>
      <c r="R2307">
        <v>14</v>
      </c>
      <c r="S2307">
        <v>1</v>
      </c>
      <c r="T2307">
        <v>0</v>
      </c>
      <c r="U2307" t="s">
        <v>15130</v>
      </c>
      <c r="V2307">
        <f>Tabla1[[#This Row],[Aboard]]-Tabla1[[#This Row],[Fatalities]]</f>
        <v>1</v>
      </c>
      <c r="W2307" s="50">
        <f>IFERROR(Tabla1[[#This Row],[Fatalities]]/Tabla1[[#This Row],[Aboard]],0)</f>
        <v>0.9375</v>
      </c>
      <c r="X2307" s="51" t="str" cm="1">
        <f t="array" ref="X2307">_xlfn.IFS(Tabla1[[#This Row],[Porcentaje de muertes]]&lt;0.35,"LEVE",AND(Tabla1[[#This Row],[Porcentaje de muertes]]&gt;0.35,Tabla1[[#This Row],[Porcentaje de muertes]]&lt;0.65),"MEDIO",Tabla1[[#This Row],[Porcentaje de muertes]]&gt;0.65,"GRAVE")</f>
        <v>GRAVE</v>
      </c>
    </row>
    <row r="2308" spans="2:24" x14ac:dyDescent="0.3">
      <c r="B2308" s="9">
        <v>2307</v>
      </c>
      <c r="C2308" s="49">
        <v>25021</v>
      </c>
      <c r="D2308" s="9">
        <f>YEAR(Tabla1[[#This Row],[Date]])</f>
        <v>1968</v>
      </c>
      <c r="E2308" s="9" t="str" cm="1">
        <f t="array" ref="E2308">IFERROR(_xlfn.IFS(AND(D2308&lt;1980,D2308&gt;=1970),"70",AND(D2308&lt;1990,D2308&gt;=1980),"80",AND(D2308&lt;2000,D2308&gt;=1990),"90",AND(D2308&lt;2010,D2308&gt;=2000),"00",AND(D2308&lt;=2019,D2308&gt;=2010),"10"),"1908-1970")</f>
        <v>1908-1970</v>
      </c>
      <c r="F2308" s="3">
        <v>0.24861111111111112</v>
      </c>
      <c r="G2308" t="s">
        <v>15131</v>
      </c>
      <c r="H2308" t="s">
        <v>7883</v>
      </c>
      <c r="I2308">
        <v>322</v>
      </c>
      <c r="J2308" t="s">
        <v>15132</v>
      </c>
      <c r="K2308" t="s">
        <v>15133</v>
      </c>
      <c r="L2308" s="7" t="s">
        <v>15134</v>
      </c>
      <c r="M2308" t="s">
        <v>15135</v>
      </c>
      <c r="N2308">
        <v>61</v>
      </c>
      <c r="O2308">
        <v>52</v>
      </c>
      <c r="P2308">
        <v>9</v>
      </c>
      <c r="Q2308">
        <v>1</v>
      </c>
      <c r="R2308">
        <v>0</v>
      </c>
      <c r="S2308">
        <v>1</v>
      </c>
      <c r="T2308">
        <v>1</v>
      </c>
      <c r="U2308" t="s">
        <v>15136</v>
      </c>
      <c r="V2308">
        <f>Tabla1[[#This Row],[Aboard]]-Tabla1[[#This Row],[Fatalities]]</f>
        <v>60</v>
      </c>
      <c r="W2308" s="50">
        <f>IFERROR(Tabla1[[#This Row],[Fatalities]]/Tabla1[[#This Row],[Aboard]],0)</f>
        <v>1.6393442622950821E-2</v>
      </c>
      <c r="X2308" s="51" t="str" cm="1">
        <f t="array" ref="X2308">_xlfn.IFS(Tabla1[[#This Row],[Porcentaje de muertes]]&lt;0.35,"LEVE",AND(Tabla1[[#This Row],[Porcentaje de muertes]]&gt;0.35,Tabla1[[#This Row],[Porcentaje de muertes]]&lt;0.65),"MEDIO",Tabla1[[#This Row],[Porcentaje de muertes]]&gt;0.65,"GRAVE")</f>
        <v>LEVE</v>
      </c>
    </row>
    <row r="2309" spans="2:24" x14ac:dyDescent="0.3">
      <c r="B2309" s="9">
        <v>2308</v>
      </c>
      <c r="C2309" s="49">
        <v>25021</v>
      </c>
      <c r="D2309" s="9">
        <f>YEAR(Tabla1[[#This Row],[Date]])</f>
        <v>1968</v>
      </c>
      <c r="E2309" s="9" t="str" cm="1">
        <f t="array" ref="E2309">IFERROR(_xlfn.IFS(AND(D2309&lt;1980,D2309&gt;=1970),"70",AND(D2309&lt;1990,D2309&gt;=1980),"80",AND(D2309&lt;2000,D2309&gt;=1990),"90",AND(D2309&lt;2010,D2309&gt;=2000),"00",AND(D2309&lt;=2019,D2309&gt;=2010),"10"),"1908-1970")</f>
        <v>1908-1970</v>
      </c>
      <c r="F2309" s="3">
        <v>0.625</v>
      </c>
      <c r="G2309" t="s">
        <v>15137</v>
      </c>
      <c r="H2309" t="s">
        <v>8036</v>
      </c>
      <c r="I2309">
        <v>202</v>
      </c>
      <c r="J2309" t="s">
        <v>15138</v>
      </c>
      <c r="K2309" t="s">
        <v>15139</v>
      </c>
      <c r="L2309" s="7" t="s">
        <v>15140</v>
      </c>
      <c r="M2309">
        <v>24003</v>
      </c>
      <c r="N2309">
        <v>102</v>
      </c>
      <c r="O2309">
        <v>98</v>
      </c>
      <c r="P2309">
        <v>4</v>
      </c>
      <c r="Q2309">
        <v>102</v>
      </c>
      <c r="R2309">
        <v>98</v>
      </c>
      <c r="S2309">
        <v>4</v>
      </c>
      <c r="T2309">
        <v>0</v>
      </c>
      <c r="U2309" t="s">
        <v>15141</v>
      </c>
      <c r="V2309">
        <f>Tabla1[[#This Row],[Aboard]]-Tabla1[[#This Row],[Fatalities]]</f>
        <v>0</v>
      </c>
      <c r="W2309" s="50">
        <f>IFERROR(Tabla1[[#This Row],[Fatalities]]/Tabla1[[#This Row],[Aboard]],0)</f>
        <v>1</v>
      </c>
      <c r="X2309" s="51" t="str" cm="1">
        <f t="array" ref="X2309">_xlfn.IFS(Tabla1[[#This Row],[Porcentaje de muertes]]&lt;0.35,"LEVE",AND(Tabla1[[#This Row],[Porcentaje de muertes]]&gt;0.35,Tabla1[[#This Row],[Porcentaje de muertes]]&lt;0.65),"MEDIO",Tabla1[[#This Row],[Porcentaje de muertes]]&gt;0.65,"GRAVE")</f>
        <v>GRAVE</v>
      </c>
    </row>
    <row r="2310" spans="2:24" x14ac:dyDescent="0.3">
      <c r="B2310" s="9">
        <v>2309</v>
      </c>
      <c r="C2310" s="49">
        <v>24884</v>
      </c>
      <c r="D2310" s="9">
        <f>YEAR(Tabla1[[#This Row],[Date]])</f>
        <v>1968</v>
      </c>
      <c r="E2310" s="9" t="str" cm="1">
        <f t="array" ref="E2310">IFERROR(_xlfn.IFS(AND(D2310&lt;1980,D2310&gt;=1970),"70",AND(D2310&lt;1990,D2310&gt;=1980),"80",AND(D2310&lt;2000,D2310&gt;=1990),"90",AND(D2310&lt;2010,D2310&gt;=2000),"00",AND(D2310&lt;=2019,D2310&gt;=2010),"10"),"1908-1970")</f>
        <v>1908-1970</v>
      </c>
      <c r="F2310" s="3">
        <v>0.88888888888888884</v>
      </c>
      <c r="G2310" t="s">
        <v>15142</v>
      </c>
      <c r="H2310" t="s">
        <v>9548</v>
      </c>
      <c r="I2310">
        <v>10</v>
      </c>
      <c r="J2310" t="s">
        <v>15143</v>
      </c>
      <c r="K2310" t="s">
        <v>15144</v>
      </c>
      <c r="L2310" s="7" t="s">
        <v>15145</v>
      </c>
      <c r="M2310" t="s">
        <v>15146</v>
      </c>
      <c r="N2310">
        <v>63</v>
      </c>
      <c r="O2310">
        <v>52</v>
      </c>
      <c r="P2310">
        <v>11</v>
      </c>
      <c r="Q2310">
        <v>21</v>
      </c>
      <c r="R2310">
        <v>18</v>
      </c>
      <c r="S2310">
        <v>3</v>
      </c>
      <c r="T2310">
        <v>1</v>
      </c>
      <c r="U2310" t="s">
        <v>15147</v>
      </c>
      <c r="V2310">
        <f>Tabla1[[#This Row],[Aboard]]-Tabla1[[#This Row],[Fatalities]]</f>
        <v>42</v>
      </c>
      <c r="W2310" s="50">
        <f>IFERROR(Tabla1[[#This Row],[Fatalities]]/Tabla1[[#This Row],[Aboard]],0)</f>
        <v>0.33333333333333331</v>
      </c>
      <c r="X2310" s="51" t="str" cm="1">
        <f t="array" ref="X2310">_xlfn.IFS(Tabla1[[#This Row],[Porcentaje de muertes]]&lt;0.35,"LEVE",AND(Tabla1[[#This Row],[Porcentaje de muertes]]&gt;0.35,Tabla1[[#This Row],[Porcentaje de muertes]]&lt;0.65),"MEDIO",Tabla1[[#This Row],[Porcentaje de muertes]]&gt;0.65,"GRAVE")</f>
        <v>LEVE</v>
      </c>
    </row>
    <row r="2311" spans="2:24" x14ac:dyDescent="0.3">
      <c r="B2311" s="9">
        <v>2310</v>
      </c>
      <c r="C2311" s="49">
        <v>24892</v>
      </c>
      <c r="D2311" s="9">
        <f>YEAR(Tabla1[[#This Row],[Date]])</f>
        <v>1968</v>
      </c>
      <c r="E2311" s="9" t="str" cm="1">
        <f t="array" ref="E2311">IFERROR(_xlfn.IFS(AND(D2311&lt;1980,D2311&gt;=1970),"70",AND(D2311&lt;1990,D2311&gt;=1980),"80",AND(D2311&lt;2000,D2311&gt;=1990),"90",AND(D2311&lt;2010,D2311&gt;=2000),"00",AND(D2311&lt;=2019,D2311&gt;=2010),"10"),"1908-1970")</f>
        <v>1908-1970</v>
      </c>
      <c r="F2311" s="3" t="s">
        <v>28931</v>
      </c>
      <c r="G2311" t="s">
        <v>15148</v>
      </c>
      <c r="H2311" t="s">
        <v>15149</v>
      </c>
      <c r="I2311" t="s">
        <v>28931</v>
      </c>
      <c r="J2311" t="s">
        <v>15150</v>
      </c>
      <c r="K2311" t="s">
        <v>7057</v>
      </c>
      <c r="L2311" s="7" t="s">
        <v>15151</v>
      </c>
      <c r="M2311">
        <v>26696</v>
      </c>
      <c r="N2311">
        <v>37</v>
      </c>
      <c r="O2311">
        <v>34</v>
      </c>
      <c r="P2311">
        <v>3</v>
      </c>
      <c r="Q2311">
        <v>37</v>
      </c>
      <c r="R2311">
        <v>34</v>
      </c>
      <c r="S2311">
        <v>3</v>
      </c>
      <c r="T2311">
        <v>0</v>
      </c>
      <c r="U2311" t="s">
        <v>15152</v>
      </c>
      <c r="V2311">
        <f>Tabla1[[#This Row],[Aboard]]-Tabla1[[#This Row],[Fatalities]]</f>
        <v>0</v>
      </c>
      <c r="W2311" s="50">
        <f>IFERROR(Tabla1[[#This Row],[Fatalities]]/Tabla1[[#This Row],[Aboard]],0)</f>
        <v>1</v>
      </c>
      <c r="X2311" s="51" t="str" cm="1">
        <f t="array" ref="X2311">_xlfn.IFS(Tabla1[[#This Row],[Porcentaje de muertes]]&lt;0.35,"LEVE",AND(Tabla1[[#This Row],[Porcentaje de muertes]]&gt;0.35,Tabla1[[#This Row],[Porcentaje de muertes]]&lt;0.65),"MEDIO",Tabla1[[#This Row],[Porcentaje de muertes]]&gt;0.65,"GRAVE")</f>
        <v>GRAVE</v>
      </c>
    </row>
    <row r="2312" spans="2:24" x14ac:dyDescent="0.3">
      <c r="B2312" s="9">
        <v>2311</v>
      </c>
      <c r="C2312" s="49">
        <v>24897</v>
      </c>
      <c r="D2312" s="9">
        <f>YEAR(Tabla1[[#This Row],[Date]])</f>
        <v>1968</v>
      </c>
      <c r="E2312" s="9" t="str" cm="1">
        <f t="array" ref="E2312">IFERROR(_xlfn.IFS(AND(D2312&lt;1980,D2312&gt;=1970),"70",AND(D2312&lt;1990,D2312&gt;=1980),"80",AND(D2312&lt;2000,D2312&gt;=1990),"90",AND(D2312&lt;2010,D2312&gt;=2000),"00",AND(D2312&lt;=2019,D2312&gt;=2010),"10"),"1908-1970")</f>
        <v>1908-1970</v>
      </c>
      <c r="F2312" s="3">
        <v>0.94652777777777775</v>
      </c>
      <c r="G2312" t="s">
        <v>15153</v>
      </c>
      <c r="H2312" t="s">
        <v>6541</v>
      </c>
      <c r="I2312">
        <v>15</v>
      </c>
      <c r="J2312" t="s">
        <v>15154</v>
      </c>
      <c r="K2312" t="s">
        <v>13704</v>
      </c>
      <c r="L2312" s="7" t="s">
        <v>15155</v>
      </c>
      <c r="M2312">
        <v>187010601</v>
      </c>
      <c r="N2312">
        <v>84</v>
      </c>
      <c r="O2312">
        <v>75</v>
      </c>
      <c r="P2312">
        <v>9</v>
      </c>
      <c r="Q2312">
        <v>83</v>
      </c>
      <c r="R2312">
        <v>74</v>
      </c>
      <c r="S2312">
        <v>9</v>
      </c>
      <c r="T2312">
        <v>0</v>
      </c>
      <c r="U2312" t="s">
        <v>15156</v>
      </c>
      <c r="V2312">
        <f>Tabla1[[#This Row],[Aboard]]-Tabla1[[#This Row],[Fatalities]]</f>
        <v>1</v>
      </c>
      <c r="W2312" s="50">
        <f>IFERROR(Tabla1[[#This Row],[Fatalities]]/Tabla1[[#This Row],[Aboard]],0)</f>
        <v>0.98809523809523814</v>
      </c>
      <c r="X2312" s="51" t="str" cm="1">
        <f t="array" ref="X2312">_xlfn.IFS(Tabla1[[#This Row],[Porcentaje de muertes]]&lt;0.35,"LEVE",AND(Tabla1[[#This Row],[Porcentaje de muertes]]&gt;0.35,Tabla1[[#This Row],[Porcentaje de muertes]]&lt;0.65),"MEDIO",Tabla1[[#This Row],[Porcentaje de muertes]]&gt;0.65,"GRAVE")</f>
        <v>GRAVE</v>
      </c>
    </row>
    <row r="2313" spans="2:24" x14ac:dyDescent="0.3">
      <c r="B2313" s="9">
        <v>2312</v>
      </c>
      <c r="C2313" s="49">
        <v>24961</v>
      </c>
      <c r="D2313" s="9">
        <f>YEAR(Tabla1[[#This Row],[Date]])</f>
        <v>1968</v>
      </c>
      <c r="E2313" s="9" t="str" cm="1">
        <f t="array" ref="E2313">IFERROR(_xlfn.IFS(AND(D2313&lt;1980,D2313&gt;=1970),"70",AND(D2313&lt;1990,D2313&gt;=1980),"80",AND(D2313&lt;2000,D2313&gt;=1990),"90",AND(D2313&lt;2010,D2313&gt;=2000),"00",AND(D2313&lt;=2019,D2313&gt;=2010),"10"),"1908-1970")</f>
        <v>1908-1970</v>
      </c>
      <c r="F2313" s="3">
        <v>0.33333333333333331</v>
      </c>
      <c r="G2313" t="s">
        <v>15157</v>
      </c>
      <c r="H2313" t="s">
        <v>7987</v>
      </c>
      <c r="I2313" t="s">
        <v>28931</v>
      </c>
      <c r="J2313" t="s">
        <v>15158</v>
      </c>
      <c r="K2313" t="s">
        <v>15159</v>
      </c>
      <c r="L2313" s="7" t="s">
        <v>15160</v>
      </c>
      <c r="M2313">
        <v>20039</v>
      </c>
      <c r="N2313">
        <v>49</v>
      </c>
      <c r="O2313">
        <v>45</v>
      </c>
      <c r="P2313">
        <v>4</v>
      </c>
      <c r="Q2313">
        <v>49</v>
      </c>
      <c r="R2313">
        <v>45</v>
      </c>
      <c r="S2313">
        <v>4</v>
      </c>
      <c r="T2313">
        <v>0</v>
      </c>
      <c r="U2313" t="s">
        <v>15161</v>
      </c>
      <c r="V2313">
        <f>Tabla1[[#This Row],[Aboard]]-Tabla1[[#This Row],[Fatalities]]</f>
        <v>0</v>
      </c>
      <c r="W2313" s="50">
        <f>IFERROR(Tabla1[[#This Row],[Fatalities]]/Tabla1[[#This Row],[Aboard]],0)</f>
        <v>1</v>
      </c>
      <c r="X2313" s="51" t="str" cm="1">
        <f t="array" ref="X2313">_xlfn.IFS(Tabla1[[#This Row],[Porcentaje de muertes]]&lt;0.35,"LEVE",AND(Tabla1[[#This Row],[Porcentaje de muertes]]&gt;0.35,Tabla1[[#This Row],[Porcentaje de muertes]]&lt;0.65),"MEDIO",Tabla1[[#This Row],[Porcentaje de muertes]]&gt;0.65,"GRAVE")</f>
        <v>GRAVE</v>
      </c>
    </row>
    <row r="2314" spans="2:24" x14ac:dyDescent="0.3">
      <c r="B2314" s="9">
        <v>2313</v>
      </c>
      <c r="C2314" s="49">
        <v>24992</v>
      </c>
      <c r="D2314" s="9">
        <f>YEAR(Tabla1[[#This Row],[Date]])</f>
        <v>1968</v>
      </c>
      <c r="E2314" s="9" t="str" cm="1">
        <f t="array" ref="E2314">IFERROR(_xlfn.IFS(AND(D2314&lt;1980,D2314&gt;=1970),"70",AND(D2314&lt;1990,D2314&gt;=1980),"80",AND(D2314&lt;2000,D2314&gt;=1990),"90",AND(D2314&lt;2010,D2314&gt;=2000),"00",AND(D2314&lt;=2019,D2314&gt;=2010),"10"),"1908-1970")</f>
        <v>1908-1970</v>
      </c>
      <c r="F2314" s="3">
        <v>0.85555555555555562</v>
      </c>
      <c r="G2314" t="s">
        <v>15162</v>
      </c>
      <c r="H2314" t="s">
        <v>6375</v>
      </c>
      <c r="I2314">
        <v>212</v>
      </c>
      <c r="J2314" t="s">
        <v>15163</v>
      </c>
      <c r="K2314" t="s">
        <v>15164</v>
      </c>
      <c r="L2314" s="7" t="s">
        <v>15165</v>
      </c>
      <c r="M2314">
        <v>19724</v>
      </c>
      <c r="N2314">
        <v>63</v>
      </c>
      <c r="O2314">
        <v>52</v>
      </c>
      <c r="P2314">
        <v>11</v>
      </c>
      <c r="Q2314">
        <v>63</v>
      </c>
      <c r="R2314">
        <v>52</v>
      </c>
      <c r="S2314">
        <v>11</v>
      </c>
      <c r="T2314">
        <v>0</v>
      </c>
      <c r="U2314" t="s">
        <v>15166</v>
      </c>
      <c r="V2314">
        <f>Tabla1[[#This Row],[Aboard]]-Tabla1[[#This Row],[Fatalities]]</f>
        <v>0</v>
      </c>
      <c r="W2314" s="50">
        <f>IFERROR(Tabla1[[#This Row],[Fatalities]]/Tabla1[[#This Row],[Aboard]],0)</f>
        <v>1</v>
      </c>
      <c r="X2314" s="51" t="str" cm="1">
        <f t="array" ref="X2314">_xlfn.IFS(Tabla1[[#This Row],[Porcentaje de muertes]]&lt;0.35,"LEVE",AND(Tabla1[[#This Row],[Porcentaje de muertes]]&gt;0.35,Tabla1[[#This Row],[Porcentaje de muertes]]&lt;0.65),"MEDIO",Tabla1[[#This Row],[Porcentaje de muertes]]&gt;0.65,"GRAVE")</f>
        <v>GRAVE</v>
      </c>
    </row>
    <row r="2315" spans="2:24" x14ac:dyDescent="0.3">
      <c r="B2315" s="9">
        <v>2314</v>
      </c>
      <c r="C2315" s="49">
        <v>25053</v>
      </c>
      <c r="D2315" s="9">
        <f>YEAR(Tabla1[[#This Row],[Date]])</f>
        <v>1968</v>
      </c>
      <c r="E2315" s="9" t="str" cm="1">
        <f t="array" ref="E2315">IFERROR(_xlfn.IFS(AND(D2315&lt;1980,D2315&gt;=1970),"70",AND(D2315&lt;1990,D2315&gt;=1980),"80",AND(D2315&lt;2000,D2315&gt;=1990),"90",AND(D2315&lt;2010,D2315&gt;=2000),"00",AND(D2315&lt;=2019,D2315&gt;=2010),"10"),"1908-1970")</f>
        <v>1908-1970</v>
      </c>
      <c r="F2315" s="3">
        <v>0.8041666666666667</v>
      </c>
      <c r="G2315" t="s">
        <v>15167</v>
      </c>
      <c r="H2315" t="s">
        <v>14559</v>
      </c>
      <c r="I2315">
        <v>507</v>
      </c>
      <c r="J2315" t="s">
        <v>15168</v>
      </c>
      <c r="K2315" t="s">
        <v>13450</v>
      </c>
      <c r="L2315" s="7" t="s">
        <v>15169</v>
      </c>
      <c r="M2315">
        <v>19</v>
      </c>
      <c r="N2315">
        <v>14</v>
      </c>
      <c r="O2315">
        <v>10</v>
      </c>
      <c r="P2315">
        <v>4</v>
      </c>
      <c r="Q2315">
        <v>14</v>
      </c>
      <c r="R2315">
        <v>10</v>
      </c>
      <c r="S2315">
        <v>4</v>
      </c>
      <c r="T2315">
        <v>0</v>
      </c>
      <c r="U2315" t="s">
        <v>15170</v>
      </c>
      <c r="V2315">
        <f>Tabla1[[#This Row],[Aboard]]-Tabla1[[#This Row],[Fatalities]]</f>
        <v>0</v>
      </c>
      <c r="W2315" s="50">
        <f>IFERROR(Tabla1[[#This Row],[Fatalities]]/Tabla1[[#This Row],[Aboard]],0)</f>
        <v>1</v>
      </c>
      <c r="X2315" s="51" t="str" cm="1">
        <f t="array" ref="X2315">_xlfn.IFS(Tabla1[[#This Row],[Porcentaje de muertes]]&lt;0.35,"LEVE",AND(Tabla1[[#This Row],[Porcentaje de muertes]]&gt;0.35,Tabla1[[#This Row],[Porcentaje de muertes]]&lt;0.65),"MEDIO",Tabla1[[#This Row],[Porcentaje de muertes]]&gt;0.65,"GRAVE")</f>
        <v>GRAVE</v>
      </c>
    </row>
    <row r="2316" spans="2:24" x14ac:dyDescent="0.3">
      <c r="B2316" s="9">
        <v>2315</v>
      </c>
      <c r="C2316" s="49">
        <v>25084</v>
      </c>
      <c r="D2316" s="9">
        <f>YEAR(Tabla1[[#This Row],[Date]])</f>
        <v>1968</v>
      </c>
      <c r="E2316" s="9" t="str" cm="1">
        <f t="array" ref="E2316">IFERROR(_xlfn.IFS(AND(D2316&lt;1980,D2316&gt;=1970),"70",AND(D2316&lt;1990,D2316&gt;=1980),"80",AND(D2316&lt;2000,D2316&gt;=1990),"90",AND(D2316&lt;2010,D2316&gt;=2000),"00",AND(D2316&lt;=2019,D2316&gt;=2010),"10"),"1908-1970")</f>
        <v>1908-1970</v>
      </c>
      <c r="F2316" s="3">
        <v>0.97013888888888899</v>
      </c>
      <c r="G2316" t="s">
        <v>15171</v>
      </c>
      <c r="H2316" t="s">
        <v>13495</v>
      </c>
      <c r="I2316" t="s">
        <v>28931</v>
      </c>
      <c r="J2316" t="s">
        <v>15172</v>
      </c>
      <c r="K2316" t="s">
        <v>15173</v>
      </c>
      <c r="L2316" s="7">
        <v>43748</v>
      </c>
      <c r="M2316" t="s">
        <v>15174</v>
      </c>
      <c r="N2316">
        <v>20</v>
      </c>
      <c r="O2316">
        <v>12</v>
      </c>
      <c r="P2316">
        <v>8</v>
      </c>
      <c r="Q2316">
        <v>19</v>
      </c>
      <c r="R2316">
        <v>12</v>
      </c>
      <c r="S2316">
        <v>7</v>
      </c>
      <c r="T2316">
        <v>0</v>
      </c>
      <c r="U2316" t="s">
        <v>15175</v>
      </c>
      <c r="V2316">
        <f>Tabla1[[#This Row],[Aboard]]-Tabla1[[#This Row],[Fatalities]]</f>
        <v>1</v>
      </c>
      <c r="W2316" s="50">
        <f>IFERROR(Tabla1[[#This Row],[Fatalities]]/Tabla1[[#This Row],[Aboard]],0)</f>
        <v>0.95</v>
      </c>
      <c r="X2316" s="51" t="str" cm="1">
        <f t="array" ref="X2316">_xlfn.IFS(Tabla1[[#This Row],[Porcentaje de muertes]]&lt;0.35,"LEVE",AND(Tabla1[[#This Row],[Porcentaje de muertes]]&gt;0.35,Tabla1[[#This Row],[Porcentaje de muertes]]&lt;0.65),"MEDIO",Tabla1[[#This Row],[Porcentaje de muertes]]&gt;0.65,"GRAVE")</f>
        <v>GRAVE</v>
      </c>
    </row>
    <row r="2317" spans="2:24" x14ac:dyDescent="0.3">
      <c r="B2317" s="9">
        <v>2316</v>
      </c>
      <c r="C2317" s="49">
        <v>24921</v>
      </c>
      <c r="D2317" s="9">
        <f>YEAR(Tabla1[[#This Row],[Date]])</f>
        <v>1968</v>
      </c>
      <c r="E2317" s="9" t="str" cm="1">
        <f t="array" ref="E2317">IFERROR(_xlfn.IFS(AND(D2317&lt;1980,D2317&gt;=1970),"70",AND(D2317&lt;1990,D2317&gt;=1980),"80",AND(D2317&lt;2000,D2317&gt;=1990),"90",AND(D2317&lt;2010,D2317&gt;=2000),"00",AND(D2317&lt;=2019,D2317&gt;=2010),"10"),"1908-1970")</f>
        <v>1908-1970</v>
      </c>
      <c r="F2317" s="3">
        <v>0.45763888888888887</v>
      </c>
      <c r="G2317" t="s">
        <v>15176</v>
      </c>
      <c r="H2317" t="s">
        <v>10615</v>
      </c>
      <c r="I2317">
        <v>712</v>
      </c>
      <c r="J2317" t="s">
        <v>15177</v>
      </c>
      <c r="K2317" t="s">
        <v>15178</v>
      </c>
      <c r="L2317" s="7" t="s">
        <v>15179</v>
      </c>
      <c r="M2317">
        <v>178</v>
      </c>
      <c r="N2317">
        <v>61</v>
      </c>
      <c r="O2317">
        <v>57</v>
      </c>
      <c r="P2317">
        <v>4</v>
      </c>
      <c r="Q2317">
        <v>61</v>
      </c>
      <c r="R2317">
        <v>57</v>
      </c>
      <c r="S2317">
        <v>4</v>
      </c>
      <c r="T2317">
        <v>0</v>
      </c>
      <c r="U2317" t="s">
        <v>15180</v>
      </c>
      <c r="V2317">
        <f>Tabla1[[#This Row],[Aboard]]-Tabla1[[#This Row],[Fatalities]]</f>
        <v>0</v>
      </c>
      <c r="W2317" s="50">
        <f>IFERROR(Tabla1[[#This Row],[Fatalities]]/Tabla1[[#This Row],[Aboard]],0)</f>
        <v>1</v>
      </c>
      <c r="X2317" s="51" t="str" cm="1">
        <f t="array" ref="X2317">_xlfn.IFS(Tabla1[[#This Row],[Porcentaje de muertes]]&lt;0.35,"LEVE",AND(Tabla1[[#This Row],[Porcentaje de muertes]]&gt;0.35,Tabla1[[#This Row],[Porcentaje de muertes]]&lt;0.65),"MEDIO",Tabla1[[#This Row],[Porcentaje de muertes]]&gt;0.65,"GRAVE")</f>
        <v>GRAVE</v>
      </c>
    </row>
    <row r="2318" spans="2:24" x14ac:dyDescent="0.3">
      <c r="B2318" s="9">
        <v>2317</v>
      </c>
      <c r="C2318" s="49">
        <v>24924</v>
      </c>
      <c r="D2318" s="9">
        <f>YEAR(Tabla1[[#This Row],[Date]])</f>
        <v>1968</v>
      </c>
      <c r="E2318" s="9" t="str" cm="1">
        <f t="array" ref="E2318">IFERROR(_xlfn.IFS(AND(D2318&lt;1980,D2318&gt;=1970),"70",AND(D2318&lt;1990,D2318&gt;=1980),"80",AND(D2318&lt;2000,D2318&gt;=1990),"90",AND(D2318&lt;2010,D2318&gt;=2000),"00",AND(D2318&lt;=2019,D2318&gt;=2010),"10"),"1908-1970")</f>
        <v>1908-1970</v>
      </c>
      <c r="F2318" s="3">
        <v>0.74791666666666667</v>
      </c>
      <c r="G2318" t="s">
        <v>6852</v>
      </c>
      <c r="H2318" t="s">
        <v>15181</v>
      </c>
      <c r="I2318" t="s">
        <v>28931</v>
      </c>
      <c r="J2318" t="s">
        <v>15182</v>
      </c>
      <c r="K2318" t="s">
        <v>15183</v>
      </c>
      <c r="L2318" s="7" t="s">
        <v>15184</v>
      </c>
      <c r="M2318" t="s">
        <v>15185</v>
      </c>
      <c r="N2318">
        <v>51</v>
      </c>
      <c r="O2318">
        <v>45</v>
      </c>
      <c r="P2318">
        <v>6</v>
      </c>
      <c r="Q2318">
        <v>2</v>
      </c>
      <c r="R2318">
        <v>1</v>
      </c>
      <c r="S2318">
        <v>1</v>
      </c>
      <c r="T2318">
        <v>0</v>
      </c>
      <c r="U2318" t="s">
        <v>15186</v>
      </c>
      <c r="V2318">
        <f>Tabla1[[#This Row],[Aboard]]-Tabla1[[#This Row],[Fatalities]]</f>
        <v>49</v>
      </c>
      <c r="W2318" s="50">
        <f>IFERROR(Tabla1[[#This Row],[Fatalities]]/Tabla1[[#This Row],[Aboard]],0)</f>
        <v>3.9215686274509803E-2</v>
      </c>
      <c r="X2318" s="51" t="str" cm="1">
        <f t="array" ref="X2318">_xlfn.IFS(Tabla1[[#This Row],[Porcentaje de muertes]]&lt;0.35,"LEVE",AND(Tabla1[[#This Row],[Porcentaje de muertes]]&gt;0.35,Tabla1[[#This Row],[Porcentaje de muertes]]&lt;0.65),"MEDIO",Tabla1[[#This Row],[Porcentaje de muertes]]&gt;0.65,"GRAVE")</f>
        <v>LEVE</v>
      </c>
    </row>
    <row r="2319" spans="2:24" x14ac:dyDescent="0.3">
      <c r="B2319" s="9">
        <v>2318</v>
      </c>
      <c r="C2319" s="49">
        <v>24924</v>
      </c>
      <c r="D2319" s="9">
        <f>YEAR(Tabla1[[#This Row],[Date]])</f>
        <v>1968</v>
      </c>
      <c r="E2319" s="9" t="str" cm="1">
        <f t="array" ref="E2319">IFERROR(_xlfn.IFS(AND(D2319&lt;1980,D2319&gt;=1970),"70",AND(D2319&lt;1990,D2319&gt;=1980),"80",AND(D2319&lt;2000,D2319&gt;=1990),"90",AND(D2319&lt;2010,D2319&gt;=2000),"00",AND(D2319&lt;=2019,D2319&gt;=2010),"10"),"1908-1970")</f>
        <v>1908-1970</v>
      </c>
      <c r="F2319" s="3">
        <v>0.4381944444444445</v>
      </c>
      <c r="G2319" t="s">
        <v>6590</v>
      </c>
      <c r="H2319" t="s">
        <v>15187</v>
      </c>
      <c r="I2319" t="s">
        <v>28931</v>
      </c>
      <c r="J2319" t="s">
        <v>28931</v>
      </c>
      <c r="K2319" t="s">
        <v>15188</v>
      </c>
      <c r="L2319" s="7" t="s">
        <v>28931</v>
      </c>
      <c r="M2319" t="s">
        <v>28931</v>
      </c>
      <c r="N2319">
        <v>2</v>
      </c>
      <c r="O2319">
        <v>0</v>
      </c>
      <c r="P2319">
        <v>2</v>
      </c>
      <c r="Q2319">
        <v>2</v>
      </c>
      <c r="R2319">
        <v>0</v>
      </c>
      <c r="S2319">
        <v>2</v>
      </c>
      <c r="T2319">
        <v>0</v>
      </c>
      <c r="U2319" t="s">
        <v>15189</v>
      </c>
      <c r="V2319">
        <f>Tabla1[[#This Row],[Aboard]]-Tabla1[[#This Row],[Fatalities]]</f>
        <v>0</v>
      </c>
      <c r="W2319" s="50">
        <f>IFERROR(Tabla1[[#This Row],[Fatalities]]/Tabla1[[#This Row],[Aboard]],0)</f>
        <v>1</v>
      </c>
      <c r="X2319" s="51" t="str" cm="1">
        <f t="array" ref="X2319">_xlfn.IFS(Tabla1[[#This Row],[Porcentaje de muertes]]&lt;0.35,"LEVE",AND(Tabla1[[#This Row],[Porcentaje de muertes]]&gt;0.35,Tabla1[[#This Row],[Porcentaje de muertes]]&lt;0.65),"MEDIO",Tabla1[[#This Row],[Porcentaje de muertes]]&gt;0.65,"GRAVE")</f>
        <v>GRAVE</v>
      </c>
    </row>
    <row r="2320" spans="2:24" x14ac:dyDescent="0.3">
      <c r="B2320" s="9">
        <v>2319</v>
      </c>
      <c r="C2320" s="49">
        <v>25054</v>
      </c>
      <c r="D2320" s="9">
        <f>YEAR(Tabla1[[#This Row],[Date]])</f>
        <v>1968</v>
      </c>
      <c r="E2320" s="9" t="str" cm="1">
        <f t="array" ref="E2320">IFERROR(_xlfn.IFS(AND(D2320&lt;1980,D2320&gt;=1970),"70",AND(D2320&lt;1990,D2320&gt;=1980),"80",AND(D2320&lt;2000,D2320&gt;=1990),"90",AND(D2320&lt;2010,D2320&gt;=2000),"00",AND(D2320&lt;=2019,D2320&gt;=2010),"10"),"1908-1970")</f>
        <v>1908-1970</v>
      </c>
      <c r="F2320" s="3">
        <v>0.64930555555555558</v>
      </c>
      <c r="G2320" t="s">
        <v>9407</v>
      </c>
      <c r="H2320" t="s">
        <v>7521</v>
      </c>
      <c r="I2320">
        <v>712</v>
      </c>
      <c r="J2320" t="s">
        <v>15190</v>
      </c>
      <c r="K2320" t="s">
        <v>15191</v>
      </c>
      <c r="L2320" s="7" t="s">
        <v>15192</v>
      </c>
      <c r="M2320">
        <v>18373</v>
      </c>
      <c r="N2320">
        <v>127</v>
      </c>
      <c r="O2320">
        <v>116</v>
      </c>
      <c r="P2320">
        <v>11</v>
      </c>
      <c r="Q2320">
        <v>5</v>
      </c>
      <c r="R2320">
        <v>4</v>
      </c>
      <c r="S2320">
        <v>1</v>
      </c>
      <c r="T2320">
        <v>0</v>
      </c>
      <c r="U2320" t="s">
        <v>15193</v>
      </c>
      <c r="V2320">
        <f>Tabla1[[#This Row],[Aboard]]-Tabla1[[#This Row],[Fatalities]]</f>
        <v>122</v>
      </c>
      <c r="W2320" s="50">
        <f>IFERROR(Tabla1[[#This Row],[Fatalities]]/Tabla1[[#This Row],[Aboard]],0)</f>
        <v>3.937007874015748E-2</v>
      </c>
      <c r="X2320" s="51" t="str" cm="1">
        <f t="array" ref="X2320">_xlfn.IFS(Tabla1[[#This Row],[Porcentaje de muertes]]&lt;0.35,"LEVE",AND(Tabla1[[#This Row],[Porcentaje de muertes]]&gt;0.35,Tabla1[[#This Row],[Porcentaje de muertes]]&lt;0.65),"MEDIO",Tabla1[[#This Row],[Porcentaje de muertes]]&gt;0.65,"GRAVE")</f>
        <v>LEVE</v>
      </c>
    </row>
    <row r="2321" spans="2:24" x14ac:dyDescent="0.3">
      <c r="B2321" s="9">
        <v>2320</v>
      </c>
      <c r="C2321" s="49">
        <v>25054</v>
      </c>
      <c r="D2321" s="9">
        <f>YEAR(Tabla1[[#This Row],[Date]])</f>
        <v>1968</v>
      </c>
      <c r="E2321" s="9" t="str" cm="1">
        <f t="array" ref="E2321">IFERROR(_xlfn.IFS(AND(D2321&lt;1980,D2321&gt;=1970),"70",AND(D2321&lt;1990,D2321&gt;=1980),"80",AND(D2321&lt;2000,D2321&gt;=1990),"90",AND(D2321&lt;2010,D2321&gt;=2000),"00",AND(D2321&lt;=2019,D2321&gt;=2010),"10"),"1908-1970")</f>
        <v>1908-1970</v>
      </c>
      <c r="F2321" s="3" t="s">
        <v>28931</v>
      </c>
      <c r="G2321" t="s">
        <v>15194</v>
      </c>
      <c r="H2321" t="s">
        <v>15195</v>
      </c>
      <c r="I2321" t="s">
        <v>28931</v>
      </c>
      <c r="J2321" t="s">
        <v>15196</v>
      </c>
      <c r="K2321" t="s">
        <v>7057</v>
      </c>
      <c r="L2321" s="7" t="s">
        <v>15197</v>
      </c>
      <c r="M2321">
        <v>6330</v>
      </c>
      <c r="N2321">
        <v>36</v>
      </c>
      <c r="O2321">
        <v>33</v>
      </c>
      <c r="P2321">
        <v>3</v>
      </c>
      <c r="Q2321">
        <v>36</v>
      </c>
      <c r="R2321">
        <v>33</v>
      </c>
      <c r="S2321">
        <v>3</v>
      </c>
      <c r="T2321">
        <v>0</v>
      </c>
      <c r="U2321" t="s">
        <v>15198</v>
      </c>
      <c r="V2321">
        <f>Tabla1[[#This Row],[Aboard]]-Tabla1[[#This Row],[Fatalities]]</f>
        <v>0</v>
      </c>
      <c r="W2321" s="50">
        <f>IFERROR(Tabla1[[#This Row],[Fatalities]]/Tabla1[[#This Row],[Aboard]],0)</f>
        <v>1</v>
      </c>
      <c r="X2321" s="51" t="str" cm="1">
        <f t="array" ref="X2321">_xlfn.IFS(Tabla1[[#This Row],[Porcentaje de muertes]]&lt;0.35,"LEVE",AND(Tabla1[[#This Row],[Porcentaje de muertes]]&gt;0.35,Tabla1[[#This Row],[Porcentaje de muertes]]&lt;0.65),"MEDIO",Tabla1[[#This Row],[Porcentaje de muertes]]&gt;0.65,"GRAVE")</f>
        <v>GRAVE</v>
      </c>
    </row>
    <row r="2322" spans="2:24" x14ac:dyDescent="0.3">
      <c r="B2322" s="9">
        <v>2321</v>
      </c>
      <c r="C2322" s="49">
        <v>25115</v>
      </c>
      <c r="D2322" s="9">
        <f>YEAR(Tabla1[[#This Row],[Date]])</f>
        <v>1968</v>
      </c>
      <c r="E2322" s="9" t="str" cm="1">
        <f t="array" ref="E2322">IFERROR(_xlfn.IFS(AND(D2322&lt;1980,D2322&gt;=1970),"70",AND(D2322&lt;1990,D2322&gt;=1980),"80",AND(D2322&lt;2000,D2322&gt;=1990),"90",AND(D2322&lt;2010,D2322&gt;=2000),"00",AND(D2322&lt;=2019,D2322&gt;=2010),"10"),"1908-1970")</f>
        <v>1908-1970</v>
      </c>
      <c r="F2322" s="3" t="s">
        <v>28931</v>
      </c>
      <c r="G2322" t="s">
        <v>15199</v>
      </c>
      <c r="H2322" t="s">
        <v>15200</v>
      </c>
      <c r="I2322" t="s">
        <v>28931</v>
      </c>
      <c r="J2322" t="s">
        <v>15201</v>
      </c>
      <c r="K2322" t="s">
        <v>7057</v>
      </c>
      <c r="L2322" s="7" t="s">
        <v>15202</v>
      </c>
      <c r="M2322">
        <v>7339</v>
      </c>
      <c r="N2322">
        <v>18</v>
      </c>
      <c r="O2322">
        <v>14</v>
      </c>
      <c r="P2322">
        <v>4</v>
      </c>
      <c r="Q2322">
        <v>18</v>
      </c>
      <c r="R2322">
        <v>14</v>
      </c>
      <c r="S2322">
        <v>4</v>
      </c>
      <c r="T2322">
        <v>0</v>
      </c>
      <c r="U2322" t="s">
        <v>15203</v>
      </c>
      <c r="V2322">
        <f>Tabla1[[#This Row],[Aboard]]-Tabla1[[#This Row],[Fatalities]]</f>
        <v>0</v>
      </c>
      <c r="W2322" s="50">
        <f>IFERROR(Tabla1[[#This Row],[Fatalities]]/Tabla1[[#This Row],[Aboard]],0)</f>
        <v>1</v>
      </c>
      <c r="X2322" s="51" t="str" cm="1">
        <f t="array" ref="X2322">_xlfn.IFS(Tabla1[[#This Row],[Porcentaje de muertes]]&lt;0.35,"LEVE",AND(Tabla1[[#This Row],[Porcentaje de muertes]]&gt;0.35,Tabla1[[#This Row],[Porcentaje de muertes]]&lt;0.65),"MEDIO",Tabla1[[#This Row],[Porcentaje de muertes]]&gt;0.65,"GRAVE")</f>
        <v>GRAVE</v>
      </c>
    </row>
    <row r="2323" spans="2:24" x14ac:dyDescent="0.3">
      <c r="B2323" s="9">
        <v>2322</v>
      </c>
      <c r="C2323" s="49">
        <v>24947</v>
      </c>
      <c r="D2323" s="9">
        <f>YEAR(Tabla1[[#This Row],[Date]])</f>
        <v>1968</v>
      </c>
      <c r="E2323" s="9" t="str" cm="1">
        <f t="array" ref="E2323">IFERROR(_xlfn.IFS(AND(D2323&lt;1980,D2323&gt;=1970),"70",AND(D2323&lt;1990,D2323&gt;=1980),"80",AND(D2323&lt;2000,D2323&gt;=1990),"90",AND(D2323&lt;2010,D2323&gt;=2000),"00",AND(D2323&lt;=2019,D2323&gt;=2010),"10"),"1908-1970")</f>
        <v>1908-1970</v>
      </c>
      <c r="F2323" s="3">
        <v>0.44791666666666669</v>
      </c>
      <c r="G2323" t="s">
        <v>15204</v>
      </c>
      <c r="H2323" t="s">
        <v>14384</v>
      </c>
      <c r="I2323" t="s">
        <v>28931</v>
      </c>
      <c r="J2323" t="s">
        <v>28931</v>
      </c>
      <c r="K2323" t="s">
        <v>15205</v>
      </c>
      <c r="L2323" s="7" t="s">
        <v>15206</v>
      </c>
      <c r="M2323" t="s">
        <v>28931</v>
      </c>
      <c r="N2323">
        <v>26</v>
      </c>
      <c r="O2323" t="s">
        <v>5038</v>
      </c>
      <c r="P2323" t="s">
        <v>5038</v>
      </c>
      <c r="Q2323">
        <v>26</v>
      </c>
      <c r="R2323" t="s">
        <v>5038</v>
      </c>
      <c r="S2323" t="s">
        <v>5038</v>
      </c>
      <c r="T2323">
        <v>0</v>
      </c>
      <c r="U2323" t="s">
        <v>15207</v>
      </c>
      <c r="V2323">
        <f>Tabla1[[#This Row],[Aboard]]-Tabla1[[#This Row],[Fatalities]]</f>
        <v>0</v>
      </c>
      <c r="W2323" s="50">
        <f>IFERROR(Tabla1[[#This Row],[Fatalities]]/Tabla1[[#This Row],[Aboard]],0)</f>
        <v>1</v>
      </c>
      <c r="X2323" s="51" t="str" cm="1">
        <f t="array" ref="X2323">_xlfn.IFS(Tabla1[[#This Row],[Porcentaje de muertes]]&lt;0.35,"LEVE",AND(Tabla1[[#This Row],[Porcentaje de muertes]]&gt;0.35,Tabla1[[#This Row],[Porcentaje de muertes]]&lt;0.65),"MEDIO",Tabla1[[#This Row],[Porcentaje de muertes]]&gt;0.65,"GRAVE")</f>
        <v>GRAVE</v>
      </c>
    </row>
    <row r="2324" spans="2:24" x14ac:dyDescent="0.3">
      <c r="B2324" s="9">
        <v>2323</v>
      </c>
      <c r="C2324" s="49">
        <v>24948</v>
      </c>
      <c r="D2324" s="9">
        <f>YEAR(Tabla1[[#This Row],[Date]])</f>
        <v>1968</v>
      </c>
      <c r="E2324" s="9" t="str" cm="1">
        <f t="array" ref="E2324">IFERROR(_xlfn.IFS(AND(D2324&lt;1980,D2324&gt;=1970),"70",AND(D2324&lt;1990,D2324&gt;=1980),"80",AND(D2324&lt;2000,D2324&gt;=1990),"90",AND(D2324&lt;2010,D2324&gt;=2000),"00",AND(D2324&lt;=2019,D2324&gt;=2010),"10"),"1908-1970")</f>
        <v>1908-1970</v>
      </c>
      <c r="F2324" s="3">
        <v>0.86805555555555547</v>
      </c>
      <c r="G2324" t="s">
        <v>15208</v>
      </c>
      <c r="H2324" t="s">
        <v>7638</v>
      </c>
      <c r="I2324" t="s">
        <v>15209</v>
      </c>
      <c r="J2324" t="s">
        <v>15210</v>
      </c>
      <c r="K2324" t="s">
        <v>15211</v>
      </c>
      <c r="L2324" s="7" t="s">
        <v>15212</v>
      </c>
      <c r="M2324">
        <v>19705</v>
      </c>
      <c r="N2324">
        <v>128</v>
      </c>
      <c r="O2324">
        <v>116</v>
      </c>
      <c r="P2324">
        <v>12</v>
      </c>
      <c r="Q2324">
        <v>123</v>
      </c>
      <c r="R2324">
        <v>111</v>
      </c>
      <c r="S2324">
        <v>12</v>
      </c>
      <c r="T2324">
        <v>0</v>
      </c>
      <c r="U2324" t="s">
        <v>15213</v>
      </c>
      <c r="V2324">
        <f>Tabla1[[#This Row],[Aboard]]-Tabla1[[#This Row],[Fatalities]]</f>
        <v>5</v>
      </c>
      <c r="W2324" s="50">
        <f>IFERROR(Tabla1[[#This Row],[Fatalities]]/Tabla1[[#This Row],[Aboard]],0)</f>
        <v>0.9609375</v>
      </c>
      <c r="X2324" s="51" t="str" cm="1">
        <f t="array" ref="X2324">_xlfn.IFS(Tabla1[[#This Row],[Porcentaje de muertes]]&lt;0.35,"LEVE",AND(Tabla1[[#This Row],[Porcentaje de muertes]]&gt;0.35,Tabla1[[#This Row],[Porcentaje de muertes]]&lt;0.65),"MEDIO",Tabla1[[#This Row],[Porcentaje de muertes]]&gt;0.65,"GRAVE")</f>
        <v>GRAVE</v>
      </c>
    </row>
    <row r="2325" spans="2:24" x14ac:dyDescent="0.3">
      <c r="B2325" s="9">
        <v>2324</v>
      </c>
      <c r="C2325" s="49">
        <v>24958</v>
      </c>
      <c r="D2325" s="9">
        <f>YEAR(Tabla1[[#This Row],[Date]])</f>
        <v>1968</v>
      </c>
      <c r="E2325" s="9" t="str" cm="1">
        <f t="array" ref="E2325">IFERROR(_xlfn.IFS(AND(D2325&lt;1980,D2325&gt;=1970),"70",AND(D2325&lt;1990,D2325&gt;=1980),"80",AND(D2325&lt;2000,D2325&gt;=1990),"90",AND(D2325&lt;2010,D2325&gt;=2000),"00",AND(D2325&lt;=2019,D2325&gt;=2010),"10"),"1908-1970")</f>
        <v>1908-1970</v>
      </c>
      <c r="F2325" s="3" t="s">
        <v>28931</v>
      </c>
      <c r="G2325" t="s">
        <v>15214</v>
      </c>
      <c r="H2325" t="s">
        <v>10785</v>
      </c>
      <c r="I2325" t="s">
        <v>28931</v>
      </c>
      <c r="J2325" t="s">
        <v>28931</v>
      </c>
      <c r="K2325" t="s">
        <v>15215</v>
      </c>
      <c r="L2325" s="7">
        <v>64145</v>
      </c>
      <c r="M2325" t="s">
        <v>28931</v>
      </c>
      <c r="N2325">
        <v>22</v>
      </c>
      <c r="O2325">
        <v>18</v>
      </c>
      <c r="P2325">
        <v>4</v>
      </c>
      <c r="Q2325">
        <v>22</v>
      </c>
      <c r="R2325">
        <v>18</v>
      </c>
      <c r="S2325">
        <v>4</v>
      </c>
      <c r="T2325">
        <v>0</v>
      </c>
      <c r="U2325" t="s">
        <v>15216</v>
      </c>
      <c r="V2325">
        <f>Tabla1[[#This Row],[Aboard]]-Tabla1[[#This Row],[Fatalities]]</f>
        <v>0</v>
      </c>
      <c r="W2325" s="50">
        <f>IFERROR(Tabla1[[#This Row],[Fatalities]]/Tabla1[[#This Row],[Aboard]],0)</f>
        <v>1</v>
      </c>
      <c r="X2325" s="51" t="str" cm="1">
        <f t="array" ref="X2325">_xlfn.IFS(Tabla1[[#This Row],[Porcentaje de muertes]]&lt;0.35,"LEVE",AND(Tabla1[[#This Row],[Porcentaje de muertes]]&gt;0.35,Tabla1[[#This Row],[Porcentaje de muertes]]&lt;0.65),"MEDIO",Tabla1[[#This Row],[Porcentaje de muertes]]&gt;0.65,"GRAVE")</f>
        <v>GRAVE</v>
      </c>
    </row>
    <row r="2326" spans="2:24" x14ac:dyDescent="0.3">
      <c r="B2326" s="9">
        <v>2325</v>
      </c>
      <c r="C2326" s="49">
        <v>24902</v>
      </c>
      <c r="D2326" s="9">
        <f>YEAR(Tabla1[[#This Row],[Date]])</f>
        <v>1968</v>
      </c>
      <c r="E2326" s="9" t="str" cm="1">
        <f t="array" ref="E2326">IFERROR(_xlfn.IFS(AND(D2326&lt;1980,D2326&gt;=1970),"70",AND(D2326&lt;1990,D2326&gt;=1980),"80",AND(D2326&lt;2000,D2326&gt;=1990),"90",AND(D2326&lt;2010,D2326&gt;=2000),"00",AND(D2326&lt;=2019,D2326&gt;=2010),"10"),"1908-1970")</f>
        <v>1908-1970</v>
      </c>
      <c r="F2326" s="3">
        <v>0.65833333333333333</v>
      </c>
      <c r="G2326" t="s">
        <v>15217</v>
      </c>
      <c r="H2326" t="s">
        <v>6080</v>
      </c>
      <c r="I2326">
        <v>352</v>
      </c>
      <c r="J2326" t="s">
        <v>15218</v>
      </c>
      <c r="K2326" t="s">
        <v>15219</v>
      </c>
      <c r="L2326" s="7" t="s">
        <v>15220</v>
      </c>
      <c r="M2326">
        <v>1099</v>
      </c>
      <c r="N2326">
        <v>85</v>
      </c>
      <c r="O2326">
        <v>80</v>
      </c>
      <c r="P2326">
        <v>5</v>
      </c>
      <c r="Q2326">
        <v>85</v>
      </c>
      <c r="R2326">
        <v>80</v>
      </c>
      <c r="S2326">
        <v>5</v>
      </c>
      <c r="T2326">
        <v>0</v>
      </c>
      <c r="U2326" t="s">
        <v>15221</v>
      </c>
      <c r="V2326">
        <f>Tabla1[[#This Row],[Aboard]]-Tabla1[[#This Row],[Fatalities]]</f>
        <v>0</v>
      </c>
      <c r="W2326" s="50">
        <f>IFERROR(Tabla1[[#This Row],[Fatalities]]/Tabla1[[#This Row],[Aboard]],0)</f>
        <v>1</v>
      </c>
      <c r="X2326" s="51" t="str" cm="1">
        <f t="array" ref="X2326">_xlfn.IFS(Tabla1[[#This Row],[Porcentaje de muertes]]&lt;0.35,"LEVE",AND(Tabla1[[#This Row],[Porcentaje de muertes]]&gt;0.35,Tabla1[[#This Row],[Porcentaje de muertes]]&lt;0.65),"MEDIO",Tabla1[[#This Row],[Porcentaje de muertes]]&gt;0.65,"GRAVE")</f>
        <v>GRAVE</v>
      </c>
    </row>
    <row r="2327" spans="2:24" x14ac:dyDescent="0.3">
      <c r="B2327" s="9">
        <v>2326</v>
      </c>
      <c r="C2327" s="49">
        <v>25177</v>
      </c>
      <c r="D2327" s="9">
        <f>YEAR(Tabla1[[#This Row],[Date]])</f>
        <v>1968</v>
      </c>
      <c r="E2327" s="9" t="str" cm="1">
        <f t="array" ref="E2327">IFERROR(_xlfn.IFS(AND(D2327&lt;1980,D2327&gt;=1970),"70",AND(D2327&lt;1990,D2327&gt;=1980),"80",AND(D2327&lt;2000,D2327&gt;=1990),"90",AND(D2327&lt;2010,D2327&gt;=2000),"00",AND(D2327&lt;=2019,D2327&gt;=2010),"10"),"1908-1970")</f>
        <v>1908-1970</v>
      </c>
      <c r="F2327" s="3">
        <v>0.30555555555555552</v>
      </c>
      <c r="G2327" t="s">
        <v>15222</v>
      </c>
      <c r="H2327" t="s">
        <v>7987</v>
      </c>
      <c r="I2327" t="s">
        <v>28931</v>
      </c>
      <c r="J2327" t="s">
        <v>15223</v>
      </c>
      <c r="K2327" t="s">
        <v>14712</v>
      </c>
      <c r="L2327" s="7" t="s">
        <v>15224</v>
      </c>
      <c r="M2327">
        <v>3600</v>
      </c>
      <c r="N2327">
        <v>155</v>
      </c>
      <c r="O2327">
        <v>149</v>
      </c>
      <c r="P2327">
        <v>6</v>
      </c>
      <c r="Q2327">
        <v>155</v>
      </c>
      <c r="R2327">
        <v>149</v>
      </c>
      <c r="S2327">
        <v>6</v>
      </c>
      <c r="T2327">
        <v>0</v>
      </c>
      <c r="U2327" t="s">
        <v>15225</v>
      </c>
      <c r="V2327">
        <f>Tabla1[[#This Row],[Aboard]]-Tabla1[[#This Row],[Fatalities]]</f>
        <v>0</v>
      </c>
      <c r="W2327" s="50">
        <f>IFERROR(Tabla1[[#This Row],[Fatalities]]/Tabla1[[#This Row],[Aboard]],0)</f>
        <v>1</v>
      </c>
      <c r="X2327" s="51" t="str" cm="1">
        <f t="array" ref="X2327">_xlfn.IFS(Tabla1[[#This Row],[Porcentaje de muertes]]&lt;0.35,"LEVE",AND(Tabla1[[#This Row],[Porcentaje de muertes]]&gt;0.35,Tabla1[[#This Row],[Porcentaje de muertes]]&lt;0.65),"MEDIO",Tabla1[[#This Row],[Porcentaje de muertes]]&gt;0.65,"GRAVE")</f>
        <v>GRAVE</v>
      </c>
    </row>
    <row r="2328" spans="2:24" x14ac:dyDescent="0.3">
      <c r="B2328" s="9">
        <v>2327</v>
      </c>
      <c r="C2328" s="49">
        <v>24980</v>
      </c>
      <c r="D2328" s="9">
        <f>YEAR(Tabla1[[#This Row],[Date]])</f>
        <v>1968</v>
      </c>
      <c r="E2328" s="9" t="str" cm="1">
        <f t="array" ref="E2328">IFERROR(_xlfn.IFS(AND(D2328&lt;1980,D2328&gt;=1970),"70",AND(D2328&lt;1990,D2328&gt;=1980),"80",AND(D2328&lt;2000,D2328&gt;=1990),"90",AND(D2328&lt;2010,D2328&gt;=2000),"00",AND(D2328&lt;=2019,D2328&gt;=2010),"10"),"1908-1970")</f>
        <v>1908-1970</v>
      </c>
      <c r="F2328" s="3">
        <v>0.70208333333333339</v>
      </c>
      <c r="G2328" t="s">
        <v>15226</v>
      </c>
      <c r="H2328" t="s">
        <v>15227</v>
      </c>
      <c r="I2328">
        <v>841</v>
      </c>
      <c r="J2328" t="s">
        <v>15228</v>
      </c>
      <c r="K2328" t="s">
        <v>15229</v>
      </c>
      <c r="L2328" s="7" t="s">
        <v>15230</v>
      </c>
      <c r="M2328" t="s">
        <v>28931</v>
      </c>
      <c r="N2328">
        <v>23</v>
      </c>
      <c r="O2328">
        <v>20</v>
      </c>
      <c r="P2328">
        <v>3</v>
      </c>
      <c r="Q2328">
        <v>23</v>
      </c>
      <c r="R2328">
        <v>20</v>
      </c>
      <c r="S2328">
        <v>3</v>
      </c>
      <c r="T2328">
        <v>0</v>
      </c>
      <c r="U2328" t="s">
        <v>15231</v>
      </c>
      <c r="V2328">
        <f>Tabla1[[#This Row],[Aboard]]-Tabla1[[#This Row],[Fatalities]]</f>
        <v>0</v>
      </c>
      <c r="W2328" s="50">
        <f>IFERROR(Tabla1[[#This Row],[Fatalities]]/Tabla1[[#This Row],[Aboard]],0)</f>
        <v>1</v>
      </c>
      <c r="X2328" s="51" t="str" cm="1">
        <f t="array" ref="X2328">_xlfn.IFS(Tabla1[[#This Row],[Porcentaje de muertes]]&lt;0.35,"LEVE",AND(Tabla1[[#This Row],[Porcentaje de muertes]]&gt;0.35,Tabla1[[#This Row],[Porcentaje de muertes]]&lt;0.65),"MEDIO",Tabla1[[#This Row],[Porcentaje de muertes]]&gt;0.65,"GRAVE")</f>
        <v>GRAVE</v>
      </c>
    </row>
    <row r="2329" spans="2:24" x14ac:dyDescent="0.3">
      <c r="B2329" s="9">
        <v>2328</v>
      </c>
      <c r="C2329" s="49">
        <v>24986</v>
      </c>
      <c r="D2329" s="9">
        <f>YEAR(Tabla1[[#This Row],[Date]])</f>
        <v>1968</v>
      </c>
      <c r="E2329" s="9" t="str" cm="1">
        <f t="array" ref="E2329">IFERROR(_xlfn.IFS(AND(D2329&lt;1980,D2329&gt;=1970),"70",AND(D2329&lt;1990,D2329&gt;=1980),"80",AND(D2329&lt;2000,D2329&gt;=1990),"90",AND(D2329&lt;2010,D2329&gt;=2000),"00",AND(D2329&lt;=2019,D2329&gt;=2010),"10"),"1908-1970")</f>
        <v>1908-1970</v>
      </c>
      <c r="F2329" s="3">
        <v>0.11388888888888889</v>
      </c>
      <c r="G2329" t="s">
        <v>9841</v>
      </c>
      <c r="H2329" t="s">
        <v>10225</v>
      </c>
      <c r="I2329" t="s">
        <v>28931</v>
      </c>
      <c r="J2329" t="s">
        <v>15232</v>
      </c>
      <c r="K2329" t="s">
        <v>15233</v>
      </c>
      <c r="L2329" s="7" t="s">
        <v>15234</v>
      </c>
      <c r="M2329" s="4">
        <v>37924</v>
      </c>
      <c r="N2329">
        <v>29</v>
      </c>
      <c r="O2329">
        <v>15</v>
      </c>
      <c r="P2329">
        <v>14</v>
      </c>
      <c r="Q2329">
        <v>29</v>
      </c>
      <c r="R2329">
        <v>15</v>
      </c>
      <c r="S2329">
        <v>14</v>
      </c>
      <c r="T2329">
        <v>1</v>
      </c>
      <c r="U2329" t="s">
        <v>15235</v>
      </c>
      <c r="V2329">
        <f>Tabla1[[#This Row],[Aboard]]-Tabla1[[#This Row],[Fatalities]]</f>
        <v>0</v>
      </c>
      <c r="W2329" s="50">
        <f>IFERROR(Tabla1[[#This Row],[Fatalities]]/Tabla1[[#This Row],[Aboard]],0)</f>
        <v>1</v>
      </c>
      <c r="X2329" s="51" t="str" cm="1">
        <f t="array" ref="X2329">_xlfn.IFS(Tabla1[[#This Row],[Porcentaje de muertes]]&lt;0.35,"LEVE",AND(Tabla1[[#This Row],[Porcentaje de muertes]]&gt;0.35,Tabla1[[#This Row],[Porcentaje de muertes]]&lt;0.65),"MEDIO",Tabla1[[#This Row],[Porcentaje de muertes]]&gt;0.65,"GRAVE")</f>
        <v>GRAVE</v>
      </c>
    </row>
    <row r="2330" spans="2:24" x14ac:dyDescent="0.3">
      <c r="B2330" s="9">
        <v>2329</v>
      </c>
      <c r="C2330" s="49">
        <v>25178</v>
      </c>
      <c r="D2330" s="9">
        <f>YEAR(Tabla1[[#This Row],[Date]])</f>
        <v>1968</v>
      </c>
      <c r="E2330" s="9" t="str" cm="1">
        <f t="array" ref="E2330">IFERROR(_xlfn.IFS(AND(D2330&lt;1980,D2330&gt;=1970),"70",AND(D2330&lt;1990,D2330&gt;=1980),"80",AND(D2330&lt;2000,D2330&gt;=1990),"90",AND(D2330&lt;2010,D2330&gt;=2000),"00",AND(D2330&lt;=2019,D2330&gt;=2010),"10"),"1908-1970")</f>
        <v>1908-1970</v>
      </c>
      <c r="F2330" s="3">
        <v>4.027777777777778E-2</v>
      </c>
      <c r="G2330" t="s">
        <v>9937</v>
      </c>
      <c r="H2330" t="s">
        <v>7121</v>
      </c>
      <c r="I2330" t="s">
        <v>28931</v>
      </c>
      <c r="J2330" t="s">
        <v>15236</v>
      </c>
      <c r="K2330" t="s">
        <v>15237</v>
      </c>
      <c r="L2330" s="7" t="s">
        <v>15238</v>
      </c>
      <c r="M2330" t="s">
        <v>15239</v>
      </c>
      <c r="N2330">
        <v>63</v>
      </c>
      <c r="O2330">
        <v>53</v>
      </c>
      <c r="P2330">
        <v>10</v>
      </c>
      <c r="Q2330">
        <v>6</v>
      </c>
      <c r="R2330">
        <v>5</v>
      </c>
      <c r="S2330">
        <v>1</v>
      </c>
      <c r="T2330">
        <v>0</v>
      </c>
      <c r="U2330" t="s">
        <v>15240</v>
      </c>
      <c r="V2330">
        <f>Tabla1[[#This Row],[Aboard]]-Tabla1[[#This Row],[Fatalities]]</f>
        <v>57</v>
      </c>
      <c r="W2330" s="50">
        <f>IFERROR(Tabla1[[#This Row],[Fatalities]]/Tabla1[[#This Row],[Aboard]],0)</f>
        <v>9.5238095238095233E-2</v>
      </c>
      <c r="X2330" s="51" t="str" cm="1">
        <f t="array" ref="X2330">_xlfn.IFS(Tabla1[[#This Row],[Porcentaje de muertes]]&lt;0.35,"LEVE",AND(Tabla1[[#This Row],[Porcentaje de muertes]]&gt;0.35,Tabla1[[#This Row],[Porcentaje de muertes]]&lt;0.65),"MEDIO",Tabla1[[#This Row],[Porcentaje de muertes]]&gt;0.65,"GRAVE")</f>
        <v>LEVE</v>
      </c>
    </row>
    <row r="2331" spans="2:24" x14ac:dyDescent="0.3">
      <c r="B2331" s="9">
        <v>2330</v>
      </c>
      <c r="C2331" s="49">
        <v>25007</v>
      </c>
      <c r="D2331" s="9">
        <f>YEAR(Tabla1[[#This Row],[Date]])</f>
        <v>1968</v>
      </c>
      <c r="E2331" s="9" t="str" cm="1">
        <f t="array" ref="E2331">IFERROR(_xlfn.IFS(AND(D2331&lt;1980,D2331&gt;=1970),"70",AND(D2331&lt;1990,D2331&gt;=1980),"80",AND(D2331&lt;2000,D2331&gt;=1990),"90",AND(D2331&lt;2010,D2331&gt;=2000),"00",AND(D2331&lt;=2019,D2331&gt;=2010),"10"),"1908-1970")</f>
        <v>1908-1970</v>
      </c>
      <c r="F2331" s="3">
        <v>0.70138888888888884</v>
      </c>
      <c r="G2331" t="s">
        <v>15241</v>
      </c>
      <c r="H2331" t="s">
        <v>15242</v>
      </c>
      <c r="I2331" t="s">
        <v>28931</v>
      </c>
      <c r="J2331" t="s">
        <v>28931</v>
      </c>
      <c r="K2331" t="s">
        <v>15243</v>
      </c>
      <c r="L2331" s="7" t="s">
        <v>15244</v>
      </c>
      <c r="M2331">
        <v>503</v>
      </c>
      <c r="N2331">
        <v>6</v>
      </c>
      <c r="O2331">
        <v>5</v>
      </c>
      <c r="P2331">
        <v>1</v>
      </c>
      <c r="Q2331">
        <v>6</v>
      </c>
      <c r="R2331">
        <v>5</v>
      </c>
      <c r="S2331">
        <v>1</v>
      </c>
      <c r="T2331">
        <v>0</v>
      </c>
      <c r="U2331" t="s">
        <v>15245</v>
      </c>
      <c r="V2331">
        <f>Tabla1[[#This Row],[Aboard]]-Tabla1[[#This Row],[Fatalities]]</f>
        <v>0</v>
      </c>
      <c r="W2331" s="50">
        <f>IFERROR(Tabla1[[#This Row],[Fatalities]]/Tabla1[[#This Row],[Aboard]],0)</f>
        <v>1</v>
      </c>
      <c r="X2331" s="51" t="str" cm="1">
        <f t="array" ref="X2331">_xlfn.IFS(Tabla1[[#This Row],[Porcentaje de muertes]]&lt;0.35,"LEVE",AND(Tabla1[[#This Row],[Porcentaje de muertes]]&gt;0.35,Tabla1[[#This Row],[Porcentaje de muertes]]&lt;0.65),"MEDIO",Tabla1[[#This Row],[Porcentaje de muertes]]&gt;0.65,"GRAVE")</f>
        <v>GRAVE</v>
      </c>
    </row>
    <row r="2332" spans="2:24" x14ac:dyDescent="0.3">
      <c r="B2332" s="9">
        <v>2331</v>
      </c>
      <c r="C2332" s="49">
        <v>25014</v>
      </c>
      <c r="D2332" s="9">
        <f>YEAR(Tabla1[[#This Row],[Date]])</f>
        <v>1968</v>
      </c>
      <c r="E2332" s="9" t="str" cm="1">
        <f t="array" ref="E2332">IFERROR(_xlfn.IFS(AND(D2332&lt;1980,D2332&gt;=1970),"70",AND(D2332&lt;1990,D2332&gt;=1980),"80",AND(D2332&lt;2000,D2332&gt;=1990),"90",AND(D2332&lt;2010,D2332&gt;=2000),"00",AND(D2332&lt;=2019,D2332&gt;=2010),"10"),"1908-1970")</f>
        <v>1908-1970</v>
      </c>
      <c r="F2332" s="3">
        <v>0.3125</v>
      </c>
      <c r="G2332" t="s">
        <v>15246</v>
      </c>
      <c r="H2332" t="s">
        <v>5017</v>
      </c>
      <c r="I2332" t="s">
        <v>28931</v>
      </c>
      <c r="J2332" t="s">
        <v>28931</v>
      </c>
      <c r="K2332" t="s">
        <v>15247</v>
      </c>
      <c r="L2332" s="7" t="s">
        <v>28931</v>
      </c>
      <c r="M2332" t="s">
        <v>28931</v>
      </c>
      <c r="N2332">
        <v>29</v>
      </c>
      <c r="O2332" t="s">
        <v>5038</v>
      </c>
      <c r="P2332" t="s">
        <v>5038</v>
      </c>
      <c r="Q2332">
        <v>29</v>
      </c>
      <c r="R2332" t="s">
        <v>5038</v>
      </c>
      <c r="S2332" t="s">
        <v>5038</v>
      </c>
      <c r="T2332">
        <v>0</v>
      </c>
      <c r="U2332" t="s">
        <v>15248</v>
      </c>
      <c r="V2332">
        <f>Tabla1[[#This Row],[Aboard]]-Tabla1[[#This Row],[Fatalities]]</f>
        <v>0</v>
      </c>
      <c r="W2332" s="50">
        <f>IFERROR(Tabla1[[#This Row],[Fatalities]]/Tabla1[[#This Row],[Aboard]],0)</f>
        <v>1</v>
      </c>
      <c r="X2332" s="51" t="str" cm="1">
        <f t="array" ref="X2332">_xlfn.IFS(Tabla1[[#This Row],[Porcentaje de muertes]]&lt;0.35,"LEVE",AND(Tabla1[[#This Row],[Porcentaje de muertes]]&gt;0.35,Tabla1[[#This Row],[Porcentaje de muertes]]&lt;0.65),"MEDIO",Tabla1[[#This Row],[Porcentaje de muertes]]&gt;0.65,"GRAVE")</f>
        <v>GRAVE</v>
      </c>
    </row>
    <row r="2333" spans="2:24" x14ac:dyDescent="0.3">
      <c r="B2333" s="9">
        <v>2332</v>
      </c>
      <c r="C2333" s="49">
        <v>25017</v>
      </c>
      <c r="D2333" s="9">
        <f>YEAR(Tabla1[[#This Row],[Date]])</f>
        <v>1968</v>
      </c>
      <c r="E2333" s="9" t="str" cm="1">
        <f t="array" ref="E2333">IFERROR(_xlfn.IFS(AND(D2333&lt;1980,D2333&gt;=1970),"70",AND(D2333&lt;1990,D2333&gt;=1980),"80",AND(D2333&lt;2000,D2333&gt;=1990),"90",AND(D2333&lt;2010,D2333&gt;=2000),"00",AND(D2333&lt;=2019,D2333&gt;=2010),"10"),"1908-1970")</f>
        <v>1908-1970</v>
      </c>
      <c r="F2333" s="3">
        <v>0.53194444444444444</v>
      </c>
      <c r="G2333" t="s">
        <v>15249</v>
      </c>
      <c r="H2333" t="s">
        <v>15250</v>
      </c>
      <c r="I2333" t="s">
        <v>28931</v>
      </c>
      <c r="J2333" t="s">
        <v>28931</v>
      </c>
      <c r="K2333" t="s">
        <v>9682</v>
      </c>
      <c r="L2333" s="7" t="s">
        <v>15251</v>
      </c>
      <c r="M2333">
        <v>20082</v>
      </c>
      <c r="N2333">
        <v>27</v>
      </c>
      <c r="O2333">
        <v>23</v>
      </c>
      <c r="P2333">
        <v>4</v>
      </c>
      <c r="Q2333">
        <v>1</v>
      </c>
      <c r="R2333">
        <v>1</v>
      </c>
      <c r="S2333">
        <v>0</v>
      </c>
      <c r="T2333">
        <v>0</v>
      </c>
      <c r="U2333" t="s">
        <v>15252</v>
      </c>
      <c r="V2333">
        <f>Tabla1[[#This Row],[Aboard]]-Tabla1[[#This Row],[Fatalities]]</f>
        <v>26</v>
      </c>
      <c r="W2333" s="50">
        <f>IFERROR(Tabla1[[#This Row],[Fatalities]]/Tabla1[[#This Row],[Aboard]],0)</f>
        <v>3.7037037037037035E-2</v>
      </c>
      <c r="X2333" s="51" t="str" cm="1">
        <f t="array" ref="X2333">_xlfn.IFS(Tabla1[[#This Row],[Porcentaje de muertes]]&lt;0.35,"LEVE",AND(Tabla1[[#This Row],[Porcentaje de muertes]]&gt;0.35,Tabla1[[#This Row],[Porcentaje de muertes]]&lt;0.65),"MEDIO",Tabla1[[#This Row],[Porcentaje de muertes]]&gt;0.65,"GRAVE")</f>
        <v>LEVE</v>
      </c>
    </row>
    <row r="2334" spans="2:24" x14ac:dyDescent="0.3">
      <c r="B2334" s="9">
        <v>2333</v>
      </c>
      <c r="C2334" s="49">
        <v>24904</v>
      </c>
      <c r="D2334" s="9">
        <f>YEAR(Tabla1[[#This Row],[Date]])</f>
        <v>1968</v>
      </c>
      <c r="E2334" s="9" t="str" cm="1">
        <f t="array" ref="E2334">IFERROR(_xlfn.IFS(AND(D2334&lt;1980,D2334&gt;=1970),"70",AND(D2334&lt;1990,D2334&gt;=1980),"80",AND(D2334&lt;2000,D2334&gt;=1990),"90",AND(D2334&lt;2010,D2334&gt;=2000),"00",AND(D2334&lt;=2019,D2334&gt;=2010),"10"),"1908-1970")</f>
        <v>1908-1970</v>
      </c>
      <c r="F2334" s="3" t="s">
        <v>28931</v>
      </c>
      <c r="G2334" t="s">
        <v>5174</v>
      </c>
      <c r="H2334" t="s">
        <v>15253</v>
      </c>
      <c r="I2334" t="s">
        <v>28931</v>
      </c>
      <c r="J2334" t="s">
        <v>15254</v>
      </c>
      <c r="K2334" t="s">
        <v>15255</v>
      </c>
      <c r="L2334" s="7" t="s">
        <v>15256</v>
      </c>
      <c r="M2334">
        <v>5211</v>
      </c>
      <c r="N2334">
        <v>8</v>
      </c>
      <c r="O2334">
        <v>0</v>
      </c>
      <c r="P2334">
        <v>8</v>
      </c>
      <c r="Q2334">
        <v>6</v>
      </c>
      <c r="R2334">
        <v>0</v>
      </c>
      <c r="S2334">
        <v>6</v>
      </c>
      <c r="T2334">
        <v>0</v>
      </c>
      <c r="U2334" t="s">
        <v>15257</v>
      </c>
      <c r="V2334">
        <f>Tabla1[[#This Row],[Aboard]]-Tabla1[[#This Row],[Fatalities]]</f>
        <v>2</v>
      </c>
      <c r="W2334" s="50">
        <f>IFERROR(Tabla1[[#This Row],[Fatalities]]/Tabla1[[#This Row],[Aboard]],0)</f>
        <v>0.75</v>
      </c>
      <c r="X2334" s="51" t="str" cm="1">
        <f t="array" ref="X2334">_xlfn.IFS(Tabla1[[#This Row],[Porcentaje de muertes]]&lt;0.35,"LEVE",AND(Tabla1[[#This Row],[Porcentaje de muertes]]&gt;0.35,Tabla1[[#This Row],[Porcentaje de muertes]]&lt;0.65),"MEDIO",Tabla1[[#This Row],[Porcentaje de muertes]]&gt;0.65,"GRAVE")</f>
        <v>GRAVE</v>
      </c>
    </row>
    <row r="2335" spans="2:24" x14ac:dyDescent="0.3">
      <c r="B2335" s="9">
        <v>2334</v>
      </c>
      <c r="C2335" s="49">
        <v>25057</v>
      </c>
      <c r="D2335" s="9">
        <f>YEAR(Tabla1[[#This Row],[Date]])</f>
        <v>1968</v>
      </c>
      <c r="E2335" s="9" t="str" cm="1">
        <f t="array" ref="E2335">IFERROR(_xlfn.IFS(AND(D2335&lt;1980,D2335&gt;=1970),"70",AND(D2335&lt;1990,D2335&gt;=1980),"80",AND(D2335&lt;2000,D2335&gt;=1990),"90",AND(D2335&lt;2010,D2335&gt;=2000),"00",AND(D2335&lt;=2019,D2335&gt;=2010),"10"),"1908-1970")</f>
        <v>1908-1970</v>
      </c>
      <c r="F2335" s="3" t="s">
        <v>28931</v>
      </c>
      <c r="G2335" t="s">
        <v>15258</v>
      </c>
      <c r="H2335" t="s">
        <v>14150</v>
      </c>
      <c r="I2335" t="s">
        <v>28931</v>
      </c>
      <c r="J2335" t="s">
        <v>28931</v>
      </c>
      <c r="K2335" t="s">
        <v>15259</v>
      </c>
      <c r="L2335" s="7" t="s">
        <v>15260</v>
      </c>
      <c r="M2335">
        <v>219</v>
      </c>
      <c r="N2335">
        <v>11</v>
      </c>
      <c r="O2335">
        <v>8</v>
      </c>
      <c r="P2335">
        <v>3</v>
      </c>
      <c r="Q2335">
        <v>11</v>
      </c>
      <c r="R2335">
        <v>8</v>
      </c>
      <c r="S2335">
        <v>3</v>
      </c>
      <c r="T2335">
        <v>0</v>
      </c>
      <c r="U2335" t="s">
        <v>15261</v>
      </c>
      <c r="V2335">
        <f>Tabla1[[#This Row],[Aboard]]-Tabla1[[#This Row],[Fatalities]]</f>
        <v>0</v>
      </c>
      <c r="W2335" s="50">
        <f>IFERROR(Tabla1[[#This Row],[Fatalities]]/Tabla1[[#This Row],[Aboard]],0)</f>
        <v>1</v>
      </c>
      <c r="X2335" s="51" t="str" cm="1">
        <f t="array" ref="X2335">_xlfn.IFS(Tabla1[[#This Row],[Porcentaje de muertes]]&lt;0.35,"LEVE",AND(Tabla1[[#This Row],[Porcentaje de muertes]]&gt;0.35,Tabla1[[#This Row],[Porcentaje de muertes]]&lt;0.65),"MEDIO",Tabla1[[#This Row],[Porcentaje de muertes]]&gt;0.65,"GRAVE")</f>
        <v>GRAVE</v>
      </c>
    </row>
    <row r="2336" spans="2:24" x14ac:dyDescent="0.3">
      <c r="B2336" s="9">
        <v>2335</v>
      </c>
      <c r="C2336" s="49">
        <v>25032</v>
      </c>
      <c r="D2336" s="9">
        <f>YEAR(Tabla1[[#This Row],[Date]])</f>
        <v>1968</v>
      </c>
      <c r="E2336" s="9" t="str" cm="1">
        <f t="array" ref="E2336">IFERROR(_xlfn.IFS(AND(D2336&lt;1980,D2336&gt;=1970),"70",AND(D2336&lt;1990,D2336&gt;=1980),"80",AND(D2336&lt;2000,D2336&gt;=1990),"90",AND(D2336&lt;2010,D2336&gt;=2000),"00",AND(D2336&lt;=2019,D2336&gt;=2010),"10"),"1908-1970")</f>
        <v>1908-1970</v>
      </c>
      <c r="F2336" s="3" t="s">
        <v>28931</v>
      </c>
      <c r="G2336" t="s">
        <v>15262</v>
      </c>
      <c r="H2336" t="s">
        <v>5957</v>
      </c>
      <c r="I2336" t="s">
        <v>28931</v>
      </c>
      <c r="J2336" t="s">
        <v>15263</v>
      </c>
      <c r="K2336" t="s">
        <v>15264</v>
      </c>
      <c r="L2336" s="7" t="s">
        <v>15265</v>
      </c>
      <c r="M2336" t="s">
        <v>15266</v>
      </c>
      <c r="N2336">
        <v>7</v>
      </c>
      <c r="O2336">
        <v>2</v>
      </c>
      <c r="P2336">
        <v>5</v>
      </c>
      <c r="Q2336">
        <v>7</v>
      </c>
      <c r="R2336">
        <v>2</v>
      </c>
      <c r="S2336">
        <v>5</v>
      </c>
      <c r="T2336">
        <v>0</v>
      </c>
      <c r="U2336" t="s">
        <v>15267</v>
      </c>
      <c r="V2336">
        <f>Tabla1[[#This Row],[Aboard]]-Tabla1[[#This Row],[Fatalities]]</f>
        <v>0</v>
      </c>
      <c r="W2336" s="50">
        <f>IFERROR(Tabla1[[#This Row],[Fatalities]]/Tabla1[[#This Row],[Aboard]],0)</f>
        <v>1</v>
      </c>
      <c r="X2336" s="51" t="str" cm="1">
        <f t="array" ref="X2336">_xlfn.IFS(Tabla1[[#This Row],[Porcentaje de muertes]]&lt;0.35,"LEVE",AND(Tabla1[[#This Row],[Porcentaje de muertes]]&gt;0.35,Tabla1[[#This Row],[Porcentaje de muertes]]&lt;0.65),"MEDIO",Tabla1[[#This Row],[Porcentaje de muertes]]&gt;0.65,"GRAVE")</f>
        <v>GRAVE</v>
      </c>
    </row>
    <row r="2337" spans="2:24" x14ac:dyDescent="0.3">
      <c r="B2337" s="9">
        <v>2336</v>
      </c>
      <c r="C2337" s="49">
        <v>25034</v>
      </c>
      <c r="D2337" s="9">
        <f>YEAR(Tabla1[[#This Row],[Date]])</f>
        <v>1968</v>
      </c>
      <c r="E2337" s="9" t="str" cm="1">
        <f t="array" ref="E2337">IFERROR(_xlfn.IFS(AND(D2337&lt;1980,D2337&gt;=1970),"70",AND(D2337&lt;1990,D2337&gt;=1980),"80",AND(D2337&lt;2000,D2337&gt;=1990),"90",AND(D2337&lt;2010,D2337&gt;=2000),"00",AND(D2337&lt;=2019,D2337&gt;=2010),"10"),"1908-1970")</f>
        <v>1908-1970</v>
      </c>
      <c r="F2337" s="3" t="s">
        <v>28931</v>
      </c>
      <c r="G2337" t="s">
        <v>15268</v>
      </c>
      <c r="H2337" t="s">
        <v>8118</v>
      </c>
      <c r="I2337" t="s">
        <v>28931</v>
      </c>
      <c r="J2337" t="s">
        <v>15269</v>
      </c>
      <c r="K2337" t="s">
        <v>15270</v>
      </c>
      <c r="L2337" s="7" t="s">
        <v>15271</v>
      </c>
      <c r="M2337">
        <v>33481</v>
      </c>
      <c r="N2337">
        <v>3</v>
      </c>
      <c r="O2337">
        <v>0</v>
      </c>
      <c r="P2337">
        <v>3</v>
      </c>
      <c r="Q2337">
        <v>3</v>
      </c>
      <c r="R2337">
        <v>0</v>
      </c>
      <c r="S2337">
        <v>3</v>
      </c>
      <c r="T2337">
        <v>0</v>
      </c>
      <c r="U2337" t="s">
        <v>10120</v>
      </c>
      <c r="V2337">
        <f>Tabla1[[#This Row],[Aboard]]-Tabla1[[#This Row],[Fatalities]]</f>
        <v>0</v>
      </c>
      <c r="W2337" s="50">
        <f>IFERROR(Tabla1[[#This Row],[Fatalities]]/Tabla1[[#This Row],[Aboard]],0)</f>
        <v>1</v>
      </c>
      <c r="X2337" s="51" t="str" cm="1">
        <f t="array" ref="X2337">_xlfn.IFS(Tabla1[[#This Row],[Porcentaje de muertes]]&lt;0.35,"LEVE",AND(Tabla1[[#This Row],[Porcentaje de muertes]]&gt;0.35,Tabla1[[#This Row],[Porcentaje de muertes]]&lt;0.65),"MEDIO",Tabla1[[#This Row],[Porcentaje de muertes]]&gt;0.65,"GRAVE")</f>
        <v>GRAVE</v>
      </c>
    </row>
    <row r="2338" spans="2:24" x14ac:dyDescent="0.3">
      <c r="B2338" s="9">
        <v>2337</v>
      </c>
      <c r="C2338" s="49">
        <v>25037</v>
      </c>
      <c r="D2338" s="9">
        <f>YEAR(Tabla1[[#This Row],[Date]])</f>
        <v>1968</v>
      </c>
      <c r="E2338" s="9" t="str" cm="1">
        <f t="array" ref="E2338">IFERROR(_xlfn.IFS(AND(D2338&lt;1980,D2338&gt;=1970),"70",AND(D2338&lt;1990,D2338&gt;=1980),"80",AND(D2338&lt;2000,D2338&gt;=1990),"90",AND(D2338&lt;2010,D2338&gt;=2000),"00",AND(D2338&lt;=2019,D2338&gt;=2010),"10"),"1908-1970")</f>
        <v>1908-1970</v>
      </c>
      <c r="F2338" s="3" t="s">
        <v>28931</v>
      </c>
      <c r="G2338" t="s">
        <v>15272</v>
      </c>
      <c r="H2338" t="s">
        <v>15273</v>
      </c>
      <c r="I2338" t="s">
        <v>28931</v>
      </c>
      <c r="J2338" t="s">
        <v>28931</v>
      </c>
      <c r="K2338" t="s">
        <v>8433</v>
      </c>
      <c r="L2338" s="7" t="s">
        <v>15274</v>
      </c>
      <c r="M2338">
        <v>33445</v>
      </c>
      <c r="N2338">
        <v>5</v>
      </c>
      <c r="O2338">
        <v>0</v>
      </c>
      <c r="P2338">
        <v>5</v>
      </c>
      <c r="Q2338">
        <v>5</v>
      </c>
      <c r="R2338">
        <v>0</v>
      </c>
      <c r="S2338">
        <v>5</v>
      </c>
      <c r="T2338">
        <v>0</v>
      </c>
      <c r="U2338" t="s">
        <v>15275</v>
      </c>
      <c r="V2338">
        <f>Tabla1[[#This Row],[Aboard]]-Tabla1[[#This Row],[Fatalities]]</f>
        <v>0</v>
      </c>
      <c r="W2338" s="50">
        <f>IFERROR(Tabla1[[#This Row],[Fatalities]]/Tabla1[[#This Row],[Aboard]],0)</f>
        <v>1</v>
      </c>
      <c r="X2338" s="51" t="str" cm="1">
        <f t="array" ref="X2338">_xlfn.IFS(Tabla1[[#This Row],[Porcentaje de muertes]]&lt;0.35,"LEVE",AND(Tabla1[[#This Row],[Porcentaje de muertes]]&gt;0.35,Tabla1[[#This Row],[Porcentaje de muertes]]&lt;0.65),"MEDIO",Tabla1[[#This Row],[Porcentaje de muertes]]&gt;0.65,"GRAVE")</f>
        <v>GRAVE</v>
      </c>
    </row>
    <row r="2339" spans="2:24" x14ac:dyDescent="0.3">
      <c r="B2339" s="9">
        <v>2338</v>
      </c>
      <c r="C2339" s="49">
        <v>24876</v>
      </c>
      <c r="D2339" s="9">
        <f>YEAR(Tabla1[[#This Row],[Date]])</f>
        <v>1968</v>
      </c>
      <c r="E2339" s="9" t="str" cm="1">
        <f t="array" ref="E2339">IFERROR(_xlfn.IFS(AND(D2339&lt;1980,D2339&gt;=1970),"70",AND(D2339&lt;1990,D2339&gt;=1980),"80",AND(D2339&lt;2000,D2339&gt;=1990),"90",AND(D2339&lt;2010,D2339&gt;=2000),"00",AND(D2339&lt;=2019,D2339&gt;=2010),"10"),"1908-1970")</f>
        <v>1908-1970</v>
      </c>
      <c r="F2339" s="3">
        <v>0.58750000000000002</v>
      </c>
      <c r="G2339" t="s">
        <v>14639</v>
      </c>
      <c r="H2339" t="s">
        <v>10299</v>
      </c>
      <c r="I2339" t="s">
        <v>28931</v>
      </c>
      <c r="J2339" t="s">
        <v>15276</v>
      </c>
      <c r="K2339" t="s">
        <v>15277</v>
      </c>
      <c r="L2339" s="7" t="s">
        <v>15278</v>
      </c>
      <c r="M2339">
        <v>45630</v>
      </c>
      <c r="N2339">
        <v>95</v>
      </c>
      <c r="O2339">
        <v>85</v>
      </c>
      <c r="P2339">
        <v>10</v>
      </c>
      <c r="Q2339">
        <v>13</v>
      </c>
      <c r="R2339">
        <v>13</v>
      </c>
      <c r="S2339">
        <v>0</v>
      </c>
      <c r="T2339">
        <v>0</v>
      </c>
      <c r="U2339" t="s">
        <v>15279</v>
      </c>
      <c r="V2339">
        <f>Tabla1[[#This Row],[Aboard]]-Tabla1[[#This Row],[Fatalities]]</f>
        <v>82</v>
      </c>
      <c r="W2339" s="50">
        <f>IFERROR(Tabla1[[#This Row],[Fatalities]]/Tabla1[[#This Row],[Aboard]],0)</f>
        <v>0.1368421052631579</v>
      </c>
      <c r="X2339" s="51" t="str" cm="1">
        <f t="array" ref="X2339">_xlfn.IFS(Tabla1[[#This Row],[Porcentaje de muertes]]&lt;0.35,"LEVE",AND(Tabla1[[#This Row],[Porcentaje de muertes]]&gt;0.35,Tabla1[[#This Row],[Porcentaje de muertes]]&lt;0.65),"MEDIO",Tabla1[[#This Row],[Porcentaje de muertes]]&gt;0.65,"GRAVE")</f>
        <v>LEVE</v>
      </c>
    </row>
    <row r="2340" spans="2:24" x14ac:dyDescent="0.3">
      <c r="B2340" s="9">
        <v>2339</v>
      </c>
      <c r="C2340" s="49">
        <v>24936</v>
      </c>
      <c r="D2340" s="9">
        <f>YEAR(Tabla1[[#This Row],[Date]])</f>
        <v>1968</v>
      </c>
      <c r="E2340" s="9" t="str" cm="1">
        <f t="array" ref="E2340">IFERROR(_xlfn.IFS(AND(D2340&lt;1980,D2340&gt;=1970),"70",AND(D2340&lt;1990,D2340&gt;=1980),"80",AND(D2340&lt;2000,D2340&gt;=1990),"90",AND(D2340&lt;2010,D2340&gt;=2000),"00",AND(D2340&lt;=2019,D2340&gt;=2010),"10"),"1908-1970")</f>
        <v>1908-1970</v>
      </c>
      <c r="F2340" s="3">
        <v>0.3666666666666667</v>
      </c>
      <c r="G2340" t="s">
        <v>15280</v>
      </c>
      <c r="H2340" t="s">
        <v>15281</v>
      </c>
      <c r="I2340" t="s">
        <v>28931</v>
      </c>
      <c r="J2340" t="s">
        <v>28931</v>
      </c>
      <c r="K2340" t="s">
        <v>15282</v>
      </c>
      <c r="L2340" s="7" t="s">
        <v>15283</v>
      </c>
      <c r="M2340" t="s">
        <v>15284</v>
      </c>
      <c r="N2340">
        <v>15</v>
      </c>
      <c r="O2340">
        <v>10</v>
      </c>
      <c r="P2340">
        <v>5</v>
      </c>
      <c r="Q2340">
        <v>3</v>
      </c>
      <c r="R2340">
        <v>2</v>
      </c>
      <c r="S2340">
        <v>1</v>
      </c>
      <c r="T2340">
        <v>0</v>
      </c>
      <c r="U2340" t="s">
        <v>15285</v>
      </c>
      <c r="V2340">
        <f>Tabla1[[#This Row],[Aboard]]-Tabla1[[#This Row],[Fatalities]]</f>
        <v>12</v>
      </c>
      <c r="W2340" s="50">
        <f>IFERROR(Tabla1[[#This Row],[Fatalities]]/Tabla1[[#This Row],[Aboard]],0)</f>
        <v>0.2</v>
      </c>
      <c r="X2340" s="51" t="str" cm="1">
        <f t="array" ref="X2340">_xlfn.IFS(Tabla1[[#This Row],[Porcentaje de muertes]]&lt;0.35,"LEVE",AND(Tabla1[[#This Row],[Porcentaje de muertes]]&gt;0.35,Tabla1[[#This Row],[Porcentaje de muertes]]&lt;0.65),"MEDIO",Tabla1[[#This Row],[Porcentaje de muertes]]&gt;0.65,"GRAVE")</f>
        <v>LEVE</v>
      </c>
    </row>
    <row r="2341" spans="2:24" x14ac:dyDescent="0.3">
      <c r="B2341" s="9">
        <v>2340</v>
      </c>
      <c r="C2341" s="49">
        <v>25089</v>
      </c>
      <c r="D2341" s="9">
        <f>YEAR(Tabla1[[#This Row],[Date]])</f>
        <v>1968</v>
      </c>
      <c r="E2341" s="9" t="str" cm="1">
        <f t="array" ref="E2341">IFERROR(_xlfn.IFS(AND(D2341&lt;1980,D2341&gt;=1970),"70",AND(D2341&lt;1990,D2341&gt;=1980),"80",AND(D2341&lt;2000,D2341&gt;=1990),"90",AND(D2341&lt;2010,D2341&gt;=2000),"00",AND(D2341&lt;=2019,D2341&gt;=2010),"10"),"1908-1970")</f>
        <v>1908-1970</v>
      </c>
      <c r="F2341" s="3">
        <v>0.54513888888888895</v>
      </c>
      <c r="G2341" t="s">
        <v>15286</v>
      </c>
      <c r="H2341" t="s">
        <v>14070</v>
      </c>
      <c r="I2341" t="s">
        <v>28931</v>
      </c>
      <c r="J2341" t="s">
        <v>14071</v>
      </c>
      <c r="K2341" t="s">
        <v>15287</v>
      </c>
      <c r="L2341" s="7" t="s">
        <v>15288</v>
      </c>
      <c r="M2341">
        <v>394</v>
      </c>
      <c r="N2341">
        <v>48</v>
      </c>
      <c r="O2341">
        <v>44</v>
      </c>
      <c r="P2341">
        <v>4</v>
      </c>
      <c r="Q2341">
        <v>48</v>
      </c>
      <c r="R2341">
        <v>44</v>
      </c>
      <c r="S2341">
        <v>4</v>
      </c>
      <c r="T2341">
        <v>0</v>
      </c>
      <c r="U2341" t="s">
        <v>15289</v>
      </c>
      <c r="V2341">
        <f>Tabla1[[#This Row],[Aboard]]-Tabla1[[#This Row],[Fatalities]]</f>
        <v>0</v>
      </c>
      <c r="W2341" s="50">
        <f>IFERROR(Tabla1[[#This Row],[Fatalities]]/Tabla1[[#This Row],[Aboard]],0)</f>
        <v>1</v>
      </c>
      <c r="X2341" s="51" t="str" cm="1">
        <f t="array" ref="X2341">_xlfn.IFS(Tabla1[[#This Row],[Porcentaje de muertes]]&lt;0.35,"LEVE",AND(Tabla1[[#This Row],[Porcentaje de muertes]]&gt;0.35,Tabla1[[#This Row],[Porcentaje de muertes]]&lt;0.65),"MEDIO",Tabla1[[#This Row],[Porcentaje de muertes]]&gt;0.65,"GRAVE")</f>
        <v>GRAVE</v>
      </c>
    </row>
    <row r="2342" spans="2:24" x14ac:dyDescent="0.3">
      <c r="B2342" s="9">
        <v>2341</v>
      </c>
      <c r="C2342" s="49">
        <v>25119</v>
      </c>
      <c r="D2342" s="9">
        <f>YEAR(Tabla1[[#This Row],[Date]])</f>
        <v>1968</v>
      </c>
      <c r="E2342" s="9" t="str" cm="1">
        <f t="array" ref="E2342">IFERROR(_xlfn.IFS(AND(D2342&lt;1980,D2342&gt;=1970),"70",AND(D2342&lt;1990,D2342&gt;=1980),"80",AND(D2342&lt;2000,D2342&gt;=1990),"90",AND(D2342&lt;2010,D2342&gt;=2000),"00",AND(D2342&lt;=2019,D2342&gt;=2010),"10"),"1908-1970")</f>
        <v>1908-1970</v>
      </c>
      <c r="F2342" s="3">
        <v>0.33124999999999999</v>
      </c>
      <c r="G2342" t="s">
        <v>12670</v>
      </c>
      <c r="H2342" t="s">
        <v>12787</v>
      </c>
      <c r="I2342">
        <v>230</v>
      </c>
      <c r="J2342" t="s">
        <v>15290</v>
      </c>
      <c r="K2342" t="s">
        <v>15291</v>
      </c>
      <c r="L2342" s="7" t="s">
        <v>15292</v>
      </c>
      <c r="M2342">
        <v>557</v>
      </c>
      <c r="N2342">
        <v>37</v>
      </c>
      <c r="O2342">
        <v>34</v>
      </c>
      <c r="P2342">
        <v>3</v>
      </c>
      <c r="Q2342">
        <v>35</v>
      </c>
      <c r="R2342">
        <v>32</v>
      </c>
      <c r="S2342">
        <v>3</v>
      </c>
      <c r="T2342">
        <v>0</v>
      </c>
      <c r="U2342" t="s">
        <v>15293</v>
      </c>
      <c r="V2342">
        <f>Tabla1[[#This Row],[Aboard]]-Tabla1[[#This Row],[Fatalities]]</f>
        <v>2</v>
      </c>
      <c r="W2342" s="50">
        <f>IFERROR(Tabla1[[#This Row],[Fatalities]]/Tabla1[[#This Row],[Aboard]],0)</f>
        <v>0.94594594594594594</v>
      </c>
      <c r="X2342" s="51" t="str" cm="1">
        <f t="array" ref="X2342">_xlfn.IFS(Tabla1[[#This Row],[Porcentaje de muertes]]&lt;0.35,"LEVE",AND(Tabla1[[#This Row],[Porcentaje de muertes]]&gt;0.35,Tabla1[[#This Row],[Porcentaje de muertes]]&lt;0.65),"MEDIO",Tabla1[[#This Row],[Porcentaje de muertes]]&gt;0.65,"GRAVE")</f>
        <v>GRAVE</v>
      </c>
    </row>
    <row r="2343" spans="2:24" x14ac:dyDescent="0.3">
      <c r="B2343" s="9">
        <v>2342</v>
      </c>
      <c r="C2343" s="49">
        <v>25064</v>
      </c>
      <c r="D2343" s="9">
        <f>YEAR(Tabla1[[#This Row],[Date]])</f>
        <v>1968</v>
      </c>
      <c r="E2343" s="9" t="str" cm="1">
        <f t="array" ref="E2343">IFERROR(_xlfn.IFS(AND(D2343&lt;1980,D2343&gt;=1970),"70",AND(D2343&lt;1990,D2343&gt;=1980),"80",AND(D2343&lt;2000,D2343&gt;=1990),"90",AND(D2343&lt;2010,D2343&gt;=2000),"00",AND(D2343&lt;=2019,D2343&gt;=2010),"10"),"1908-1970")</f>
        <v>1908-1970</v>
      </c>
      <c r="F2343" s="3">
        <v>0.39930555555555558</v>
      </c>
      <c r="G2343" t="s">
        <v>15294</v>
      </c>
      <c r="H2343" t="s">
        <v>15227</v>
      </c>
      <c r="I2343">
        <v>417</v>
      </c>
      <c r="J2343" t="s">
        <v>28931</v>
      </c>
      <c r="K2343" t="s">
        <v>15229</v>
      </c>
      <c r="L2343" s="7" t="s">
        <v>15295</v>
      </c>
      <c r="M2343" t="s">
        <v>28931</v>
      </c>
      <c r="N2343">
        <v>21</v>
      </c>
      <c r="O2343">
        <v>18</v>
      </c>
      <c r="P2343">
        <v>3</v>
      </c>
      <c r="Q2343">
        <v>21</v>
      </c>
      <c r="R2343">
        <v>18</v>
      </c>
      <c r="S2343">
        <v>3</v>
      </c>
      <c r="T2343">
        <v>0</v>
      </c>
      <c r="U2343" t="s">
        <v>15296</v>
      </c>
      <c r="V2343">
        <f>Tabla1[[#This Row],[Aboard]]-Tabla1[[#This Row],[Fatalities]]</f>
        <v>0</v>
      </c>
      <c r="W2343" s="50">
        <f>IFERROR(Tabla1[[#This Row],[Fatalities]]/Tabla1[[#This Row],[Aboard]],0)</f>
        <v>1</v>
      </c>
      <c r="X2343" s="51" t="str" cm="1">
        <f t="array" ref="X2343">_xlfn.IFS(Tabla1[[#This Row],[Porcentaje de muertes]]&lt;0.35,"LEVE",AND(Tabla1[[#This Row],[Porcentaje de muertes]]&gt;0.35,Tabla1[[#This Row],[Porcentaje de muertes]]&lt;0.65),"MEDIO",Tabla1[[#This Row],[Porcentaje de muertes]]&gt;0.65,"GRAVE")</f>
        <v>GRAVE</v>
      </c>
    </row>
    <row r="2344" spans="2:24" x14ac:dyDescent="0.3">
      <c r="B2344" s="9">
        <v>2343</v>
      </c>
      <c r="C2344" s="49">
        <v>25068</v>
      </c>
      <c r="D2344" s="9">
        <f>YEAR(Tabla1[[#This Row],[Date]])</f>
        <v>1968</v>
      </c>
      <c r="E2344" s="9" t="str" cm="1">
        <f t="array" ref="E2344">IFERROR(_xlfn.IFS(AND(D2344&lt;1980,D2344&gt;=1970),"70",AND(D2344&lt;1990,D2344&gt;=1980),"80",AND(D2344&lt;2000,D2344&gt;=1990),"90",AND(D2344&lt;2010,D2344&gt;=2000),"00",AND(D2344&lt;=2019,D2344&gt;=2010),"10"),"1908-1970")</f>
        <v>1908-1970</v>
      </c>
      <c r="F2344" s="3">
        <v>0.3888888888888889</v>
      </c>
      <c r="G2344" t="s">
        <v>15297</v>
      </c>
      <c r="H2344" t="s">
        <v>13087</v>
      </c>
      <c r="I2344" t="s">
        <v>28931</v>
      </c>
      <c r="J2344" t="s">
        <v>15298</v>
      </c>
      <c r="K2344" t="s">
        <v>15299</v>
      </c>
      <c r="L2344" s="7" t="s">
        <v>15300</v>
      </c>
      <c r="M2344">
        <v>67302806</v>
      </c>
      <c r="N2344">
        <v>40</v>
      </c>
      <c r="O2344">
        <v>33</v>
      </c>
      <c r="P2344">
        <v>7</v>
      </c>
      <c r="Q2344">
        <v>40</v>
      </c>
      <c r="R2344">
        <v>33</v>
      </c>
      <c r="S2344">
        <v>7</v>
      </c>
      <c r="T2344">
        <v>0</v>
      </c>
      <c r="U2344" t="s">
        <v>15301</v>
      </c>
      <c r="V2344">
        <f>Tabla1[[#This Row],[Aboard]]-Tabla1[[#This Row],[Fatalities]]</f>
        <v>0</v>
      </c>
      <c r="W2344" s="50">
        <f>IFERROR(Tabla1[[#This Row],[Fatalities]]/Tabla1[[#This Row],[Aboard]],0)</f>
        <v>1</v>
      </c>
      <c r="X2344" s="51" t="str" cm="1">
        <f t="array" ref="X2344">_xlfn.IFS(Tabla1[[#This Row],[Porcentaje de muertes]]&lt;0.35,"LEVE",AND(Tabla1[[#This Row],[Porcentaje de muertes]]&gt;0.35,Tabla1[[#This Row],[Porcentaje de muertes]]&lt;0.65),"MEDIO",Tabla1[[#This Row],[Porcentaje de muertes]]&gt;0.65,"GRAVE")</f>
        <v>GRAVE</v>
      </c>
    </row>
    <row r="2345" spans="2:24" x14ac:dyDescent="0.3">
      <c r="B2345" s="9">
        <v>2344</v>
      </c>
      <c r="C2345" s="49">
        <v>25070</v>
      </c>
      <c r="D2345" s="9">
        <f>YEAR(Tabla1[[#This Row],[Date]])</f>
        <v>1968</v>
      </c>
      <c r="E2345" s="9" t="str" cm="1">
        <f t="array" ref="E2345">IFERROR(_xlfn.IFS(AND(D2345&lt;1980,D2345&gt;=1970),"70",AND(D2345&lt;1990,D2345&gt;=1980),"80",AND(D2345&lt;2000,D2345&gt;=1990),"90",AND(D2345&lt;2010,D2345&gt;=2000),"00",AND(D2345&lt;=2019,D2345&gt;=2010),"10"),"1908-1970")</f>
        <v>1908-1970</v>
      </c>
      <c r="F2345" s="3">
        <v>6.25E-2</v>
      </c>
      <c r="G2345" t="s">
        <v>15302</v>
      </c>
      <c r="H2345" t="s">
        <v>9074</v>
      </c>
      <c r="I2345" t="s">
        <v>28931</v>
      </c>
      <c r="J2345" t="s">
        <v>15303</v>
      </c>
      <c r="K2345" t="s">
        <v>15304</v>
      </c>
      <c r="L2345" s="7" t="s">
        <v>15305</v>
      </c>
      <c r="M2345">
        <v>1580</v>
      </c>
      <c r="N2345">
        <v>7</v>
      </c>
      <c r="O2345">
        <v>4</v>
      </c>
      <c r="P2345">
        <v>3</v>
      </c>
      <c r="Q2345">
        <v>4</v>
      </c>
      <c r="R2345">
        <v>2</v>
      </c>
      <c r="S2345">
        <v>2</v>
      </c>
      <c r="T2345">
        <v>0</v>
      </c>
      <c r="U2345" t="s">
        <v>15306</v>
      </c>
      <c r="V2345">
        <f>Tabla1[[#This Row],[Aboard]]-Tabla1[[#This Row],[Fatalities]]</f>
        <v>3</v>
      </c>
      <c r="W2345" s="50">
        <f>IFERROR(Tabla1[[#This Row],[Fatalities]]/Tabla1[[#This Row],[Aboard]],0)</f>
        <v>0.5714285714285714</v>
      </c>
      <c r="X2345" s="51" t="str" cm="1">
        <f t="array" ref="X2345">_xlfn.IFS(Tabla1[[#This Row],[Porcentaje de muertes]]&lt;0.35,"LEVE",AND(Tabla1[[#This Row],[Porcentaje de muertes]]&gt;0.35,Tabla1[[#This Row],[Porcentaje de muertes]]&lt;0.65),"MEDIO",Tabla1[[#This Row],[Porcentaje de muertes]]&gt;0.65,"GRAVE")</f>
        <v>MEDIO</v>
      </c>
    </row>
    <row r="2346" spans="2:24" x14ac:dyDescent="0.3">
      <c r="B2346" s="9">
        <v>2345</v>
      </c>
      <c r="C2346" s="49">
        <v>25081</v>
      </c>
      <c r="D2346" s="9">
        <f>YEAR(Tabla1[[#This Row],[Date]])</f>
        <v>1968</v>
      </c>
      <c r="E2346" s="9" t="str" cm="1">
        <f t="array" ref="E2346">IFERROR(_xlfn.IFS(AND(D2346&lt;1980,D2346&gt;=1970),"70",AND(D2346&lt;1990,D2346&gt;=1980),"80",AND(D2346&lt;2000,D2346&gt;=1990),"90",AND(D2346&lt;2010,D2346&gt;=2000),"00",AND(D2346&lt;=2019,D2346&gt;=2010),"10"),"1908-1970")</f>
        <v>1908-1970</v>
      </c>
      <c r="F2346" s="3" t="s">
        <v>28931</v>
      </c>
      <c r="G2346" t="s">
        <v>15307</v>
      </c>
      <c r="H2346" t="s">
        <v>15308</v>
      </c>
      <c r="I2346" t="s">
        <v>28931</v>
      </c>
      <c r="J2346" t="s">
        <v>28931</v>
      </c>
      <c r="K2346" t="s">
        <v>12223</v>
      </c>
      <c r="L2346" s="7" t="s">
        <v>15309</v>
      </c>
      <c r="M2346">
        <v>199</v>
      </c>
      <c r="N2346">
        <v>6</v>
      </c>
      <c r="O2346">
        <v>5</v>
      </c>
      <c r="P2346">
        <v>1</v>
      </c>
      <c r="Q2346">
        <v>5</v>
      </c>
      <c r="R2346">
        <v>4</v>
      </c>
      <c r="S2346">
        <v>1</v>
      </c>
      <c r="T2346">
        <v>0</v>
      </c>
      <c r="U2346" t="s">
        <v>15310</v>
      </c>
      <c r="V2346">
        <f>Tabla1[[#This Row],[Aboard]]-Tabla1[[#This Row],[Fatalities]]</f>
        <v>1</v>
      </c>
      <c r="W2346" s="50">
        <f>IFERROR(Tabla1[[#This Row],[Fatalities]]/Tabla1[[#This Row],[Aboard]],0)</f>
        <v>0.83333333333333337</v>
      </c>
      <c r="X2346" s="51" t="str" cm="1">
        <f t="array" ref="X2346">_xlfn.IFS(Tabla1[[#This Row],[Porcentaje de muertes]]&lt;0.35,"LEVE",AND(Tabla1[[#This Row],[Porcentaje de muertes]]&gt;0.35,Tabla1[[#This Row],[Porcentaje de muertes]]&lt;0.65),"MEDIO",Tabla1[[#This Row],[Porcentaje de muertes]]&gt;0.65,"GRAVE")</f>
        <v>GRAVE</v>
      </c>
    </row>
    <row r="2347" spans="2:24" x14ac:dyDescent="0.3">
      <c r="B2347" s="9">
        <v>2346</v>
      </c>
      <c r="C2347" s="49">
        <v>24906</v>
      </c>
      <c r="D2347" s="9">
        <f>YEAR(Tabla1[[#This Row],[Date]])</f>
        <v>1968</v>
      </c>
      <c r="E2347" s="9" t="str" cm="1">
        <f t="array" ref="E2347">IFERROR(_xlfn.IFS(AND(D2347&lt;1980,D2347&gt;=1970),"70",AND(D2347&lt;1990,D2347&gt;=1980),"80",AND(D2347&lt;2000,D2347&gt;=1990),"90",AND(D2347&lt;2010,D2347&gt;=2000),"00",AND(D2347&lt;=2019,D2347&gt;=2010),"10"),"1908-1970")</f>
        <v>1908-1970</v>
      </c>
      <c r="F2347" s="3">
        <v>0.85416666666666663</v>
      </c>
      <c r="G2347" t="s">
        <v>15311</v>
      </c>
      <c r="H2347" t="s">
        <v>15312</v>
      </c>
      <c r="I2347" t="s">
        <v>28931</v>
      </c>
      <c r="J2347" t="s">
        <v>15313</v>
      </c>
      <c r="K2347" t="s">
        <v>12828</v>
      </c>
      <c r="L2347" s="7" t="s">
        <v>15314</v>
      </c>
      <c r="M2347">
        <v>187009101</v>
      </c>
      <c r="N2347">
        <v>89</v>
      </c>
      <c r="O2347">
        <v>82</v>
      </c>
      <c r="P2347">
        <v>7</v>
      </c>
      <c r="Q2347">
        <v>47</v>
      </c>
      <c r="R2347">
        <v>42</v>
      </c>
      <c r="S2347">
        <v>5</v>
      </c>
      <c r="T2347">
        <v>0</v>
      </c>
      <c r="U2347" t="s">
        <v>15315</v>
      </c>
      <c r="V2347">
        <f>Tabla1[[#This Row],[Aboard]]-Tabla1[[#This Row],[Fatalities]]</f>
        <v>42</v>
      </c>
      <c r="W2347" s="50">
        <f>IFERROR(Tabla1[[#This Row],[Fatalities]]/Tabla1[[#This Row],[Aboard]],0)</f>
        <v>0.5280898876404494</v>
      </c>
      <c r="X2347" s="51" t="str" cm="1">
        <f t="array" ref="X2347">_xlfn.IFS(Tabla1[[#This Row],[Porcentaje de muertes]]&lt;0.35,"LEVE",AND(Tabla1[[#This Row],[Porcentaje de muertes]]&gt;0.35,Tabla1[[#This Row],[Porcentaje de muertes]]&lt;0.65),"MEDIO",Tabla1[[#This Row],[Porcentaje de muertes]]&gt;0.65,"GRAVE")</f>
        <v>MEDIO</v>
      </c>
    </row>
    <row r="2348" spans="2:24" x14ac:dyDescent="0.3">
      <c r="B2348" s="9">
        <v>2347</v>
      </c>
      <c r="C2348" s="49">
        <v>25059</v>
      </c>
      <c r="D2348" s="9">
        <f>YEAR(Tabla1[[#This Row],[Date]])</f>
        <v>1968</v>
      </c>
      <c r="E2348" s="9" t="str" cm="1">
        <f t="array" ref="E2348">IFERROR(_xlfn.IFS(AND(D2348&lt;1980,D2348&gt;=1970),"70",AND(D2348&lt;1990,D2348&gt;=1980),"80",AND(D2348&lt;2000,D2348&gt;=1990),"90",AND(D2348&lt;2010,D2348&gt;=2000),"00",AND(D2348&lt;=2019,D2348&gt;=2010),"10"),"1908-1970")</f>
        <v>1908-1970</v>
      </c>
      <c r="F2348" s="3">
        <v>0.62152777777777779</v>
      </c>
      <c r="G2348" t="s">
        <v>14936</v>
      </c>
      <c r="H2348" t="s">
        <v>15316</v>
      </c>
      <c r="I2348" t="s">
        <v>28931</v>
      </c>
      <c r="J2348" t="s">
        <v>28931</v>
      </c>
      <c r="K2348" t="s">
        <v>15317</v>
      </c>
      <c r="L2348" s="7" t="s">
        <v>15318</v>
      </c>
      <c r="M2348" t="s">
        <v>28931</v>
      </c>
      <c r="N2348">
        <v>9</v>
      </c>
      <c r="O2348">
        <v>7</v>
      </c>
      <c r="P2348">
        <v>2</v>
      </c>
      <c r="Q2348">
        <v>2</v>
      </c>
      <c r="R2348">
        <v>1</v>
      </c>
      <c r="S2348">
        <v>1</v>
      </c>
      <c r="T2348">
        <v>0</v>
      </c>
      <c r="U2348" t="s">
        <v>15319</v>
      </c>
      <c r="V2348">
        <f>Tabla1[[#This Row],[Aboard]]-Tabla1[[#This Row],[Fatalities]]</f>
        <v>7</v>
      </c>
      <c r="W2348" s="50">
        <f>IFERROR(Tabla1[[#This Row],[Fatalities]]/Tabla1[[#This Row],[Aboard]],0)</f>
        <v>0.22222222222222221</v>
      </c>
      <c r="X2348" s="51" t="str" cm="1">
        <f t="array" ref="X2348">_xlfn.IFS(Tabla1[[#This Row],[Porcentaje de muertes]]&lt;0.35,"LEVE",AND(Tabla1[[#This Row],[Porcentaje de muertes]]&gt;0.35,Tabla1[[#This Row],[Porcentaje de muertes]]&lt;0.65),"MEDIO",Tabla1[[#This Row],[Porcentaje de muertes]]&gt;0.65,"GRAVE")</f>
        <v>LEVE</v>
      </c>
    </row>
    <row r="2349" spans="2:24" x14ac:dyDescent="0.3">
      <c r="B2349" s="9">
        <v>2348</v>
      </c>
      <c r="C2349" s="49">
        <v>25151</v>
      </c>
      <c r="D2349" s="9">
        <f>YEAR(Tabla1[[#This Row],[Date]])</f>
        <v>1968</v>
      </c>
      <c r="E2349" s="9" t="str" cm="1">
        <f t="array" ref="E2349">IFERROR(_xlfn.IFS(AND(D2349&lt;1980,D2349&gt;=1970),"70",AND(D2349&lt;1990,D2349&gt;=1980),"80",AND(D2349&lt;2000,D2349&gt;=1990),"90",AND(D2349&lt;2010,D2349&gt;=2000),"00",AND(D2349&lt;=2019,D2349&gt;=2010),"10"),"1908-1970")</f>
        <v>1908-1970</v>
      </c>
      <c r="F2349" s="3">
        <v>0.44027777777777777</v>
      </c>
      <c r="G2349" t="s">
        <v>15320</v>
      </c>
      <c r="H2349" t="s">
        <v>6375</v>
      </c>
      <c r="I2349">
        <v>1611</v>
      </c>
      <c r="J2349" t="s">
        <v>15321</v>
      </c>
      <c r="K2349" t="s">
        <v>15322</v>
      </c>
      <c r="L2349" s="7" t="s">
        <v>15323</v>
      </c>
      <c r="M2349">
        <v>244</v>
      </c>
      <c r="N2349">
        <v>95</v>
      </c>
      <c r="O2349">
        <v>89</v>
      </c>
      <c r="P2349">
        <v>6</v>
      </c>
      <c r="Q2349">
        <v>95</v>
      </c>
      <c r="R2349">
        <v>89</v>
      </c>
      <c r="S2349">
        <v>6</v>
      </c>
      <c r="T2349">
        <v>0</v>
      </c>
      <c r="U2349" t="s">
        <v>15324</v>
      </c>
      <c r="V2349">
        <f>Tabla1[[#This Row],[Aboard]]-Tabla1[[#This Row],[Fatalities]]</f>
        <v>0</v>
      </c>
      <c r="W2349" s="50">
        <f>IFERROR(Tabla1[[#This Row],[Fatalities]]/Tabla1[[#This Row],[Aboard]],0)</f>
        <v>1</v>
      </c>
      <c r="X2349" s="51" t="str" cm="1">
        <f t="array" ref="X2349">_xlfn.IFS(Tabla1[[#This Row],[Porcentaje de muertes]]&lt;0.35,"LEVE",AND(Tabla1[[#This Row],[Porcentaje de muertes]]&gt;0.35,Tabla1[[#This Row],[Porcentaje de muertes]]&lt;0.65),"MEDIO",Tabla1[[#This Row],[Porcentaje de muertes]]&gt;0.65,"GRAVE")</f>
        <v>GRAVE</v>
      </c>
    </row>
    <row r="2350" spans="2:24" x14ac:dyDescent="0.3">
      <c r="B2350" s="9">
        <v>2349</v>
      </c>
      <c r="C2350" s="49">
        <v>25109</v>
      </c>
      <c r="D2350" s="9">
        <f>YEAR(Tabla1[[#This Row],[Date]])</f>
        <v>1968</v>
      </c>
      <c r="E2350" s="9" t="str" cm="1">
        <f t="array" ref="E2350">IFERROR(_xlfn.IFS(AND(D2350&lt;1980,D2350&gt;=1970),"70",AND(D2350&lt;1990,D2350&gt;=1980),"80",AND(D2350&lt;2000,D2350&gt;=1990),"90",AND(D2350&lt;2010,D2350&gt;=2000),"00",AND(D2350&lt;=2019,D2350&gt;=2010),"10"),"1908-1970")</f>
        <v>1908-1970</v>
      </c>
      <c r="F2350" s="3" t="s">
        <v>28931</v>
      </c>
      <c r="G2350" t="s">
        <v>15325</v>
      </c>
      <c r="H2350" t="s">
        <v>15326</v>
      </c>
      <c r="I2350" t="s">
        <v>28931</v>
      </c>
      <c r="J2350" t="s">
        <v>15327</v>
      </c>
      <c r="K2350" t="s">
        <v>9106</v>
      </c>
      <c r="L2350" s="7" t="s">
        <v>15328</v>
      </c>
      <c r="M2350">
        <v>10445</v>
      </c>
      <c r="N2350">
        <v>57</v>
      </c>
      <c r="O2350">
        <v>55</v>
      </c>
      <c r="P2350">
        <v>2</v>
      </c>
      <c r="Q2350">
        <v>57</v>
      </c>
      <c r="R2350">
        <v>55</v>
      </c>
      <c r="S2350">
        <v>2</v>
      </c>
      <c r="T2350">
        <v>1</v>
      </c>
      <c r="U2350" t="s">
        <v>15329</v>
      </c>
      <c r="V2350">
        <f>Tabla1[[#This Row],[Aboard]]-Tabla1[[#This Row],[Fatalities]]</f>
        <v>0</v>
      </c>
      <c r="W2350" s="50">
        <f>IFERROR(Tabla1[[#This Row],[Fatalities]]/Tabla1[[#This Row],[Aboard]],0)</f>
        <v>1</v>
      </c>
      <c r="X2350" s="51" t="str" cm="1">
        <f t="array" ref="X2350">_xlfn.IFS(Tabla1[[#This Row],[Porcentaje de muertes]]&lt;0.35,"LEVE",AND(Tabla1[[#This Row],[Porcentaje de muertes]]&gt;0.35,Tabla1[[#This Row],[Porcentaje de muertes]]&lt;0.65),"MEDIO",Tabla1[[#This Row],[Porcentaje de muertes]]&gt;0.65,"GRAVE")</f>
        <v>GRAVE</v>
      </c>
    </row>
    <row r="2351" spans="2:24" x14ac:dyDescent="0.3">
      <c r="B2351" s="9">
        <v>2350</v>
      </c>
      <c r="C2351" s="49">
        <v>25060</v>
      </c>
      <c r="D2351" s="9">
        <f>YEAR(Tabla1[[#This Row],[Date]])</f>
        <v>1968</v>
      </c>
      <c r="E2351" s="9" t="str" cm="1">
        <f t="array" ref="E2351">IFERROR(_xlfn.IFS(AND(D2351&lt;1980,D2351&gt;=1970),"70",AND(D2351&lt;1990,D2351&gt;=1980),"80",AND(D2351&lt;2000,D2351&gt;=1990),"90",AND(D2351&lt;2010,D2351&gt;=2000),"00",AND(D2351&lt;=2019,D2351&gt;=2010),"10"),"1908-1970")</f>
        <v>1908-1970</v>
      </c>
      <c r="F2351" s="3">
        <v>0.35902777777777778</v>
      </c>
      <c r="G2351" t="s">
        <v>15330</v>
      </c>
      <c r="H2351" t="s">
        <v>15331</v>
      </c>
      <c r="I2351" t="s">
        <v>28931</v>
      </c>
      <c r="J2351" t="s">
        <v>15332</v>
      </c>
      <c r="K2351" t="s">
        <v>15333</v>
      </c>
      <c r="L2351" s="7" t="s">
        <v>15334</v>
      </c>
      <c r="M2351">
        <v>14</v>
      </c>
      <c r="N2351">
        <v>10</v>
      </c>
      <c r="O2351">
        <v>9</v>
      </c>
      <c r="P2351">
        <v>1</v>
      </c>
      <c r="Q2351">
        <v>10</v>
      </c>
      <c r="R2351">
        <v>9</v>
      </c>
      <c r="S2351">
        <v>1</v>
      </c>
      <c r="T2351">
        <v>0</v>
      </c>
      <c r="U2351" t="s">
        <v>15335</v>
      </c>
      <c r="V2351">
        <f>Tabla1[[#This Row],[Aboard]]-Tabla1[[#This Row],[Fatalities]]</f>
        <v>0</v>
      </c>
      <c r="W2351" s="50">
        <f>IFERROR(Tabla1[[#This Row],[Fatalities]]/Tabla1[[#This Row],[Aboard]],0)</f>
        <v>1</v>
      </c>
      <c r="X2351" s="51" t="str" cm="1">
        <f t="array" ref="X2351">_xlfn.IFS(Tabla1[[#This Row],[Porcentaje de muertes]]&lt;0.35,"LEVE",AND(Tabla1[[#This Row],[Porcentaje de muertes]]&gt;0.35,Tabla1[[#This Row],[Porcentaje de muertes]]&lt;0.65),"MEDIO",Tabla1[[#This Row],[Porcentaje de muertes]]&gt;0.65,"GRAVE")</f>
        <v>GRAVE</v>
      </c>
    </row>
    <row r="2352" spans="2:24" x14ac:dyDescent="0.3">
      <c r="B2352" s="9">
        <v>2351</v>
      </c>
      <c r="C2352" s="49">
        <v>25152</v>
      </c>
      <c r="D2352" s="9">
        <f>YEAR(Tabla1[[#This Row],[Date]])</f>
        <v>1968</v>
      </c>
      <c r="E2352" s="9" t="str" cm="1">
        <f t="array" ref="E2352">IFERROR(_xlfn.IFS(AND(D2352&lt;1980,D2352&gt;=1970),"70",AND(D2352&lt;1990,D2352&gt;=1980),"80",AND(D2352&lt;2000,D2352&gt;=1990),"90",AND(D2352&lt;2010,D2352&gt;=2000),"00",AND(D2352&lt;=2019,D2352&gt;=2010),"10"),"1908-1970")</f>
        <v>1908-1970</v>
      </c>
      <c r="F2352" s="3">
        <v>0.68055555555555547</v>
      </c>
      <c r="G2352" t="s">
        <v>8607</v>
      </c>
      <c r="H2352" t="s">
        <v>5951</v>
      </c>
      <c r="I2352" t="s">
        <v>28931</v>
      </c>
      <c r="J2352" t="s">
        <v>15336</v>
      </c>
      <c r="K2352" t="s">
        <v>15337</v>
      </c>
      <c r="L2352" s="7" t="s">
        <v>15338</v>
      </c>
      <c r="M2352">
        <v>805120</v>
      </c>
      <c r="N2352">
        <v>40</v>
      </c>
      <c r="O2352">
        <v>36</v>
      </c>
      <c r="P2352">
        <v>4</v>
      </c>
      <c r="Q2352">
        <v>11</v>
      </c>
      <c r="R2352">
        <v>8</v>
      </c>
      <c r="S2352">
        <v>3</v>
      </c>
      <c r="T2352">
        <v>0</v>
      </c>
      <c r="U2352" t="s">
        <v>15339</v>
      </c>
      <c r="V2352">
        <f>Tabla1[[#This Row],[Aboard]]-Tabla1[[#This Row],[Fatalities]]</f>
        <v>29</v>
      </c>
      <c r="W2352" s="50">
        <f>IFERROR(Tabla1[[#This Row],[Fatalities]]/Tabla1[[#This Row],[Aboard]],0)</f>
        <v>0.27500000000000002</v>
      </c>
      <c r="X2352" s="51" t="str" cm="1">
        <f t="array" ref="X2352">_xlfn.IFS(Tabla1[[#This Row],[Porcentaje de muertes]]&lt;0.35,"LEVE",AND(Tabla1[[#This Row],[Porcentaje de muertes]]&gt;0.35,Tabla1[[#This Row],[Porcentaje de muertes]]&lt;0.65),"MEDIO",Tabla1[[#This Row],[Porcentaje de muertes]]&gt;0.65,"GRAVE")</f>
        <v>LEVE</v>
      </c>
    </row>
    <row r="2353" spans="2:24" x14ac:dyDescent="0.3">
      <c r="B2353" s="9">
        <v>2352</v>
      </c>
      <c r="C2353" s="49">
        <v>25131</v>
      </c>
      <c r="D2353" s="9">
        <f>YEAR(Tabla1[[#This Row],[Date]])</f>
        <v>1968</v>
      </c>
      <c r="E2353" s="9" t="str" cm="1">
        <f t="array" ref="E2353">IFERROR(_xlfn.IFS(AND(D2353&lt;1980,D2353&gt;=1970),"70",AND(D2353&lt;1990,D2353&gt;=1980),"80",AND(D2353&lt;2000,D2353&gt;=1990),"90",AND(D2353&lt;2010,D2353&gt;=2000),"00",AND(D2353&lt;=2019,D2353&gt;=2010),"10"),"1908-1970")</f>
        <v>1908-1970</v>
      </c>
      <c r="F2353" s="3" t="s">
        <v>28931</v>
      </c>
      <c r="G2353" t="s">
        <v>15340</v>
      </c>
      <c r="H2353" t="s">
        <v>9425</v>
      </c>
      <c r="I2353" t="s">
        <v>28931</v>
      </c>
      <c r="J2353" t="s">
        <v>28931</v>
      </c>
      <c r="K2353" t="s">
        <v>15341</v>
      </c>
      <c r="L2353" s="7" t="s">
        <v>15342</v>
      </c>
      <c r="M2353">
        <v>13764</v>
      </c>
      <c r="N2353">
        <v>19</v>
      </c>
      <c r="O2353">
        <v>16</v>
      </c>
      <c r="P2353">
        <v>3</v>
      </c>
      <c r="Q2353">
        <v>19</v>
      </c>
      <c r="R2353">
        <v>16</v>
      </c>
      <c r="S2353">
        <v>3</v>
      </c>
      <c r="T2353">
        <v>0</v>
      </c>
      <c r="U2353" t="s">
        <v>15343</v>
      </c>
      <c r="V2353">
        <f>Tabla1[[#This Row],[Aboard]]-Tabla1[[#This Row],[Fatalities]]</f>
        <v>0</v>
      </c>
      <c r="W2353" s="50">
        <f>IFERROR(Tabla1[[#This Row],[Fatalities]]/Tabla1[[#This Row],[Aboard]],0)</f>
        <v>1</v>
      </c>
      <c r="X2353" s="51" t="str" cm="1">
        <f t="array" ref="X2353">_xlfn.IFS(Tabla1[[#This Row],[Porcentaje de muertes]]&lt;0.35,"LEVE",AND(Tabla1[[#This Row],[Porcentaje de muertes]]&gt;0.35,Tabla1[[#This Row],[Porcentaje de muertes]]&lt;0.65),"MEDIO",Tabla1[[#This Row],[Porcentaje de muertes]]&gt;0.65,"GRAVE")</f>
        <v>GRAVE</v>
      </c>
    </row>
    <row r="2354" spans="2:24" x14ac:dyDescent="0.3">
      <c r="B2354" s="9">
        <v>2353</v>
      </c>
      <c r="C2354" s="49">
        <v>25132</v>
      </c>
      <c r="D2354" s="9">
        <f>YEAR(Tabla1[[#This Row],[Date]])</f>
        <v>1968</v>
      </c>
      <c r="E2354" s="9" t="str" cm="1">
        <f t="array" ref="E2354">IFERROR(_xlfn.IFS(AND(D2354&lt;1980,D2354&gt;=1970),"70",AND(D2354&lt;1990,D2354&gt;=1980),"80",AND(D2354&lt;2000,D2354&gt;=1990),"90",AND(D2354&lt;2010,D2354&gt;=2000),"00",AND(D2354&lt;=2019,D2354&gt;=2010),"10"),"1908-1970")</f>
        <v>1908-1970</v>
      </c>
      <c r="F2354" s="3">
        <v>0.25</v>
      </c>
      <c r="G2354" t="s">
        <v>15344</v>
      </c>
      <c r="H2354" t="s">
        <v>7987</v>
      </c>
      <c r="I2354" t="s">
        <v>28931</v>
      </c>
      <c r="J2354" t="s">
        <v>15345</v>
      </c>
      <c r="K2354" t="s">
        <v>10133</v>
      </c>
      <c r="L2354" s="7">
        <v>450934</v>
      </c>
      <c r="M2354" t="s">
        <v>15346</v>
      </c>
      <c r="N2354">
        <v>23</v>
      </c>
      <c r="O2354">
        <v>12</v>
      </c>
      <c r="P2354">
        <v>11</v>
      </c>
      <c r="Q2354">
        <v>23</v>
      </c>
      <c r="R2354">
        <v>12</v>
      </c>
      <c r="S2354">
        <v>11</v>
      </c>
      <c r="T2354">
        <v>0</v>
      </c>
      <c r="U2354" t="s">
        <v>15347</v>
      </c>
      <c r="V2354">
        <f>Tabla1[[#This Row],[Aboard]]-Tabla1[[#This Row],[Fatalities]]</f>
        <v>0</v>
      </c>
      <c r="W2354" s="50">
        <f>IFERROR(Tabla1[[#This Row],[Fatalities]]/Tabla1[[#This Row],[Aboard]],0)</f>
        <v>1</v>
      </c>
      <c r="X2354" s="51" t="str" cm="1">
        <f t="array" ref="X2354">_xlfn.IFS(Tabla1[[#This Row],[Porcentaje de muertes]]&lt;0.35,"LEVE",AND(Tabla1[[#This Row],[Porcentaje de muertes]]&gt;0.35,Tabla1[[#This Row],[Porcentaje de muertes]]&lt;0.65),"MEDIO",Tabla1[[#This Row],[Porcentaje de muertes]]&gt;0.65,"GRAVE")</f>
        <v>GRAVE</v>
      </c>
    </row>
    <row r="2355" spans="2:24" x14ac:dyDescent="0.3">
      <c r="B2355" s="9">
        <v>2354</v>
      </c>
      <c r="C2355" s="49">
        <v>25136</v>
      </c>
      <c r="D2355" s="9">
        <f>YEAR(Tabla1[[#This Row],[Date]])</f>
        <v>1968</v>
      </c>
      <c r="E2355" s="9" t="str" cm="1">
        <f t="array" ref="E2355">IFERROR(_xlfn.IFS(AND(D2355&lt;1980,D2355&gt;=1970),"70",AND(D2355&lt;1990,D2355&gt;=1980),"80",AND(D2355&lt;2000,D2355&gt;=1990),"90",AND(D2355&lt;2010,D2355&gt;=2000),"00",AND(D2355&lt;=2019,D2355&gt;=2010),"10"),"1908-1970")</f>
        <v>1908-1970</v>
      </c>
      <c r="F2355" s="3">
        <v>0.72013888888888899</v>
      </c>
      <c r="G2355" t="s">
        <v>15348</v>
      </c>
      <c r="H2355" t="s">
        <v>11397</v>
      </c>
      <c r="I2355">
        <v>946</v>
      </c>
      <c r="J2355" t="s">
        <v>15349</v>
      </c>
      <c r="K2355" t="s">
        <v>15350</v>
      </c>
      <c r="L2355" s="7" t="s">
        <v>15351</v>
      </c>
      <c r="M2355">
        <v>517</v>
      </c>
      <c r="N2355">
        <v>42</v>
      </c>
      <c r="O2355">
        <v>39</v>
      </c>
      <c r="P2355">
        <v>3</v>
      </c>
      <c r="Q2355">
        <v>32</v>
      </c>
      <c r="R2355">
        <v>30</v>
      </c>
      <c r="S2355">
        <v>2</v>
      </c>
      <c r="T2355">
        <v>0</v>
      </c>
      <c r="U2355" t="s">
        <v>15352</v>
      </c>
      <c r="V2355">
        <f>Tabla1[[#This Row],[Aboard]]-Tabla1[[#This Row],[Fatalities]]</f>
        <v>10</v>
      </c>
      <c r="W2355" s="50">
        <f>IFERROR(Tabla1[[#This Row],[Fatalities]]/Tabla1[[#This Row],[Aboard]],0)</f>
        <v>0.76190476190476186</v>
      </c>
      <c r="X2355" s="51" t="str" cm="1">
        <f t="array" ref="X2355">_xlfn.IFS(Tabla1[[#This Row],[Porcentaje de muertes]]&lt;0.35,"LEVE",AND(Tabla1[[#This Row],[Porcentaje de muertes]]&gt;0.35,Tabla1[[#This Row],[Porcentaje de muertes]]&lt;0.65),"MEDIO",Tabla1[[#This Row],[Porcentaje de muertes]]&gt;0.65,"GRAVE")</f>
        <v>GRAVE</v>
      </c>
    </row>
    <row r="2356" spans="2:24" x14ac:dyDescent="0.3">
      <c r="B2356" s="9">
        <v>2355</v>
      </c>
      <c r="C2356" s="49">
        <v>25164</v>
      </c>
      <c r="D2356" s="9">
        <f>YEAR(Tabla1[[#This Row],[Date]])</f>
        <v>1968</v>
      </c>
      <c r="E2356" s="9" t="str" cm="1">
        <f t="array" ref="E2356">IFERROR(_xlfn.IFS(AND(D2356&lt;1980,D2356&gt;=1970),"70",AND(D2356&lt;1990,D2356&gt;=1980),"80",AND(D2356&lt;2000,D2356&gt;=1990),"90",AND(D2356&lt;2010,D2356&gt;=2000),"00",AND(D2356&lt;=2019,D2356&gt;=2010),"10"),"1908-1970")</f>
        <v>1908-1970</v>
      </c>
      <c r="F2356" s="3">
        <v>5.8333333333333327E-2</v>
      </c>
      <c r="G2356" t="s">
        <v>6968</v>
      </c>
      <c r="H2356" t="s">
        <v>10695</v>
      </c>
      <c r="I2356">
        <v>2</v>
      </c>
      <c r="J2356" t="s">
        <v>15353</v>
      </c>
      <c r="K2356" t="s">
        <v>15354</v>
      </c>
      <c r="L2356" s="7" t="s">
        <v>15355</v>
      </c>
      <c r="M2356" t="s">
        <v>15356</v>
      </c>
      <c r="N2356">
        <v>107</v>
      </c>
      <c r="O2356">
        <v>96</v>
      </c>
      <c r="P2356">
        <v>11</v>
      </c>
      <c r="Q2356">
        <v>0</v>
      </c>
      <c r="R2356">
        <v>0</v>
      </c>
      <c r="S2356">
        <v>0</v>
      </c>
      <c r="T2356">
        <v>0</v>
      </c>
      <c r="U2356" t="s">
        <v>15357</v>
      </c>
      <c r="V2356">
        <f>Tabla1[[#This Row],[Aboard]]-Tabla1[[#This Row],[Fatalities]]</f>
        <v>107</v>
      </c>
      <c r="W2356" s="50">
        <f>IFERROR(Tabla1[[#This Row],[Fatalities]]/Tabla1[[#This Row],[Aboard]],0)</f>
        <v>0</v>
      </c>
      <c r="X2356" s="51" t="str" cm="1">
        <f t="array" ref="X2356">_xlfn.IFS(Tabla1[[#This Row],[Porcentaje de muertes]]&lt;0.35,"LEVE",AND(Tabla1[[#This Row],[Porcentaje de muertes]]&gt;0.35,Tabla1[[#This Row],[Porcentaje de muertes]]&lt;0.65),"MEDIO",Tabla1[[#This Row],[Porcentaje de muertes]]&gt;0.65,"GRAVE")</f>
        <v>LEVE</v>
      </c>
    </row>
    <row r="2357" spans="2:24" x14ac:dyDescent="0.3">
      <c r="B2357" s="9">
        <v>2356</v>
      </c>
      <c r="C2357" s="49">
        <v>25165</v>
      </c>
      <c r="D2357" s="9">
        <f>YEAR(Tabla1[[#This Row],[Date]])</f>
        <v>1968</v>
      </c>
      <c r="E2357" s="9" t="str" cm="1">
        <f t="array" ref="E2357">IFERROR(_xlfn.IFS(AND(D2357&lt;1980,D2357&gt;=1970),"70",AND(D2357&lt;1990,D2357&gt;=1980),"80",AND(D2357&lt;2000,D2357&gt;=1990),"90",AND(D2357&lt;2010,D2357&gt;=2000),"00",AND(D2357&lt;=2019,D2357&gt;=2010),"10"),"1908-1970")</f>
        <v>1908-1970</v>
      </c>
      <c r="F2357" s="3">
        <v>0.83263888888888893</v>
      </c>
      <c r="G2357" t="s">
        <v>15358</v>
      </c>
      <c r="H2357" t="s">
        <v>15359</v>
      </c>
      <c r="I2357">
        <v>544</v>
      </c>
      <c r="J2357" t="s">
        <v>15360</v>
      </c>
      <c r="K2357" t="s">
        <v>15361</v>
      </c>
      <c r="L2357" s="7" t="s">
        <v>15362</v>
      </c>
      <c r="M2357">
        <v>148</v>
      </c>
      <c r="N2357">
        <v>9</v>
      </c>
      <c r="O2357">
        <v>7</v>
      </c>
      <c r="P2357">
        <v>2</v>
      </c>
      <c r="Q2357">
        <v>9</v>
      </c>
      <c r="R2357">
        <v>7</v>
      </c>
      <c r="S2357">
        <v>2</v>
      </c>
      <c r="T2357">
        <v>0</v>
      </c>
      <c r="U2357" t="s">
        <v>15363</v>
      </c>
      <c r="V2357">
        <f>Tabla1[[#This Row],[Aboard]]-Tabla1[[#This Row],[Fatalities]]</f>
        <v>0</v>
      </c>
      <c r="W2357" s="50">
        <f>IFERROR(Tabla1[[#This Row],[Fatalities]]/Tabla1[[#This Row],[Aboard]],0)</f>
        <v>1</v>
      </c>
      <c r="X2357" s="51" t="str" cm="1">
        <f t="array" ref="X2357">_xlfn.IFS(Tabla1[[#This Row],[Porcentaje de muertes]]&lt;0.35,"LEVE",AND(Tabla1[[#This Row],[Porcentaje de muertes]]&gt;0.35,Tabla1[[#This Row],[Porcentaje de muertes]]&lt;0.65),"MEDIO",Tabla1[[#This Row],[Porcentaje de muertes]]&gt;0.65,"GRAVE")</f>
        <v>GRAVE</v>
      </c>
    </row>
    <row r="2358" spans="2:24" x14ac:dyDescent="0.3">
      <c r="B2358" s="9">
        <v>2357</v>
      </c>
      <c r="C2358" s="49">
        <v>25167</v>
      </c>
      <c r="D2358" s="9">
        <f>YEAR(Tabla1[[#This Row],[Date]])</f>
        <v>1968</v>
      </c>
      <c r="E2358" s="9" t="str" cm="1">
        <f t="array" ref="E2358">IFERROR(_xlfn.IFS(AND(D2358&lt;1980,D2358&gt;=1970),"70",AND(D2358&lt;1990,D2358&gt;=1980),"80",AND(D2358&lt;2000,D2358&gt;=1990),"90",AND(D2358&lt;2010,D2358&gt;=2000),"00",AND(D2358&lt;=2019,D2358&gt;=2010),"10"),"1908-1970")</f>
        <v>1908-1970</v>
      </c>
      <c r="F2358" s="3">
        <v>0.6479166666666667</v>
      </c>
      <c r="G2358" t="s">
        <v>15364</v>
      </c>
      <c r="H2358" t="s">
        <v>13917</v>
      </c>
      <c r="I2358" t="s">
        <v>28931</v>
      </c>
      <c r="J2358" t="s">
        <v>15365</v>
      </c>
      <c r="K2358" t="s">
        <v>9550</v>
      </c>
      <c r="L2358" s="7" t="s">
        <v>15366</v>
      </c>
      <c r="M2358">
        <v>22265</v>
      </c>
      <c r="N2358">
        <v>28</v>
      </c>
      <c r="O2358">
        <v>25</v>
      </c>
      <c r="P2358">
        <v>3</v>
      </c>
      <c r="Q2358">
        <v>26</v>
      </c>
      <c r="R2358">
        <v>23</v>
      </c>
      <c r="S2358">
        <v>3</v>
      </c>
      <c r="T2358">
        <v>0</v>
      </c>
      <c r="U2358" t="s">
        <v>15367</v>
      </c>
      <c r="V2358">
        <f>Tabla1[[#This Row],[Aboard]]-Tabla1[[#This Row],[Fatalities]]</f>
        <v>2</v>
      </c>
      <c r="W2358" s="50">
        <f>IFERROR(Tabla1[[#This Row],[Fatalities]]/Tabla1[[#This Row],[Aboard]],0)</f>
        <v>0.9285714285714286</v>
      </c>
      <c r="X2358" s="51" t="str" cm="1">
        <f t="array" ref="X2358">_xlfn.IFS(Tabla1[[#This Row],[Porcentaje de muertes]]&lt;0.35,"LEVE",AND(Tabla1[[#This Row],[Porcentaje de muertes]]&gt;0.35,Tabla1[[#This Row],[Porcentaje de muertes]]&lt;0.65),"MEDIO",Tabla1[[#This Row],[Porcentaje de muertes]]&gt;0.65,"GRAVE")</f>
        <v>GRAVE</v>
      </c>
    </row>
    <row r="2359" spans="2:24" x14ac:dyDescent="0.3">
      <c r="B2359" s="9">
        <v>2358</v>
      </c>
      <c r="C2359" s="49">
        <v>24880</v>
      </c>
      <c r="D2359" s="9">
        <f>YEAR(Tabla1[[#This Row],[Date]])</f>
        <v>1968</v>
      </c>
      <c r="E2359" s="9" t="str" cm="1">
        <f t="array" ref="E2359">IFERROR(_xlfn.IFS(AND(D2359&lt;1980,D2359&gt;=1970),"70",AND(D2359&lt;1990,D2359&gt;=1980),"80",AND(D2359&lt;2000,D2359&gt;=1990),"90",AND(D2359&lt;2010,D2359&gt;=2000),"00",AND(D2359&lt;=2019,D2359&gt;=2010),"10"),"1908-1970")</f>
        <v>1908-1970</v>
      </c>
      <c r="F2359" s="3">
        <v>0.39999999999999997</v>
      </c>
      <c r="G2359" t="s">
        <v>15368</v>
      </c>
      <c r="H2359" t="s">
        <v>15369</v>
      </c>
      <c r="I2359">
        <v>55</v>
      </c>
      <c r="J2359" t="s">
        <v>15370</v>
      </c>
      <c r="K2359" t="s">
        <v>15371</v>
      </c>
      <c r="L2359" s="7" t="s">
        <v>15372</v>
      </c>
      <c r="M2359">
        <v>49</v>
      </c>
      <c r="N2359">
        <v>39</v>
      </c>
      <c r="O2359">
        <v>36</v>
      </c>
      <c r="P2359">
        <v>3</v>
      </c>
      <c r="Q2359">
        <v>39</v>
      </c>
      <c r="R2359">
        <v>36</v>
      </c>
      <c r="S2359">
        <v>3</v>
      </c>
      <c r="T2359">
        <v>0</v>
      </c>
      <c r="U2359" t="s">
        <v>15373</v>
      </c>
      <c r="V2359">
        <f>Tabla1[[#This Row],[Aboard]]-Tabla1[[#This Row],[Fatalities]]</f>
        <v>0</v>
      </c>
      <c r="W2359" s="50">
        <f>IFERROR(Tabla1[[#This Row],[Fatalities]]/Tabla1[[#This Row],[Aboard]],0)</f>
        <v>1</v>
      </c>
      <c r="X2359" s="51" t="str" cm="1">
        <f t="array" ref="X2359">_xlfn.IFS(Tabla1[[#This Row],[Porcentaje de muertes]]&lt;0.35,"LEVE",AND(Tabla1[[#This Row],[Porcentaje de muertes]]&gt;0.35,Tabla1[[#This Row],[Porcentaje de muertes]]&lt;0.65),"MEDIO",Tabla1[[#This Row],[Porcentaje de muertes]]&gt;0.65,"GRAVE")</f>
        <v>GRAVE</v>
      </c>
    </row>
    <row r="2360" spans="2:24" x14ac:dyDescent="0.3">
      <c r="B2360" s="9">
        <v>2359</v>
      </c>
      <c r="C2360" s="49">
        <v>25184</v>
      </c>
      <c r="D2360" s="9">
        <f>YEAR(Tabla1[[#This Row],[Date]])</f>
        <v>1968</v>
      </c>
      <c r="E2360" s="9" t="str" cm="1">
        <f t="array" ref="E2360">IFERROR(_xlfn.IFS(AND(D2360&lt;1980,D2360&gt;=1970),"70",AND(D2360&lt;1990,D2360&gt;=1980),"80",AND(D2360&lt;2000,D2360&gt;=1990),"90",AND(D2360&lt;2010,D2360&gt;=2000),"00",AND(D2360&lt;=2019,D2360&gt;=2010),"10"),"1908-1970")</f>
        <v>1908-1970</v>
      </c>
      <c r="F2360" s="3">
        <v>0.91805555555555562</v>
      </c>
      <c r="G2360" t="s">
        <v>9073</v>
      </c>
      <c r="H2360" t="s">
        <v>7121</v>
      </c>
      <c r="I2360">
        <v>217</v>
      </c>
      <c r="J2360" t="s">
        <v>11799</v>
      </c>
      <c r="K2360" t="s">
        <v>14394</v>
      </c>
      <c r="L2360" s="7" t="s">
        <v>15374</v>
      </c>
      <c r="M2360" t="s">
        <v>15375</v>
      </c>
      <c r="N2360">
        <v>51</v>
      </c>
      <c r="O2360">
        <v>42</v>
      </c>
      <c r="P2360">
        <v>9</v>
      </c>
      <c r="Q2360">
        <v>51</v>
      </c>
      <c r="R2360">
        <v>42</v>
      </c>
      <c r="S2360">
        <v>9</v>
      </c>
      <c r="T2360">
        <v>0</v>
      </c>
      <c r="U2360" t="s">
        <v>15376</v>
      </c>
      <c r="V2360">
        <f>Tabla1[[#This Row],[Aboard]]-Tabla1[[#This Row],[Fatalities]]</f>
        <v>0</v>
      </c>
      <c r="W2360" s="50">
        <f>IFERROR(Tabla1[[#This Row],[Fatalities]]/Tabla1[[#This Row],[Aboard]],0)</f>
        <v>1</v>
      </c>
      <c r="X2360" s="51" t="str" cm="1">
        <f t="array" ref="X2360">_xlfn.IFS(Tabla1[[#This Row],[Porcentaje de muertes]]&lt;0.35,"LEVE",AND(Tabla1[[#This Row],[Porcentaje de muertes]]&gt;0.35,Tabla1[[#This Row],[Porcentaje de muertes]]&lt;0.65),"MEDIO",Tabla1[[#This Row],[Porcentaje de muertes]]&gt;0.65,"GRAVE")</f>
        <v>GRAVE</v>
      </c>
    </row>
    <row r="2361" spans="2:24" x14ac:dyDescent="0.3">
      <c r="B2361" s="9">
        <v>2360</v>
      </c>
      <c r="C2361" s="49">
        <v>25196</v>
      </c>
      <c r="D2361" s="9">
        <f>YEAR(Tabla1[[#This Row],[Date]])</f>
        <v>1968</v>
      </c>
      <c r="E2361" s="9" t="str" cm="1">
        <f t="array" ref="E2361">IFERROR(_xlfn.IFS(AND(D2361&lt;1980,D2361&gt;=1970),"70",AND(D2361&lt;1990,D2361&gt;=1980),"80",AND(D2361&lt;2000,D2361&gt;=1990),"90",AND(D2361&lt;2010,D2361&gt;=2000),"00",AND(D2361&lt;=2019,D2361&gt;=2010),"10"),"1908-1970")</f>
        <v>1908-1970</v>
      </c>
      <c r="F2361" s="3">
        <v>0.84166666666666667</v>
      </c>
      <c r="G2361" t="s">
        <v>15377</v>
      </c>
      <c r="H2361" t="s">
        <v>12818</v>
      </c>
      <c r="I2361">
        <v>736</v>
      </c>
      <c r="J2361" t="s">
        <v>15378</v>
      </c>
      <c r="K2361" t="s">
        <v>14857</v>
      </c>
      <c r="L2361" s="7" t="s">
        <v>15379</v>
      </c>
      <c r="M2361">
        <v>410</v>
      </c>
      <c r="N2361">
        <v>47</v>
      </c>
      <c r="O2361">
        <v>41</v>
      </c>
      <c r="P2361">
        <v>6</v>
      </c>
      <c r="Q2361">
        <v>20</v>
      </c>
      <c r="R2361">
        <v>17</v>
      </c>
      <c r="S2361">
        <v>3</v>
      </c>
      <c r="T2361">
        <v>0</v>
      </c>
      <c r="U2361" t="s">
        <v>15380</v>
      </c>
      <c r="V2361">
        <f>Tabla1[[#This Row],[Aboard]]-Tabla1[[#This Row],[Fatalities]]</f>
        <v>27</v>
      </c>
      <c r="W2361" s="50">
        <f>IFERROR(Tabla1[[#This Row],[Fatalities]]/Tabla1[[#This Row],[Aboard]],0)</f>
        <v>0.42553191489361702</v>
      </c>
      <c r="X2361" s="51" t="str" cm="1">
        <f t="array" ref="X2361">_xlfn.IFS(Tabla1[[#This Row],[Porcentaje de muertes]]&lt;0.35,"LEVE",AND(Tabla1[[#This Row],[Porcentaje de muertes]]&gt;0.35,Tabla1[[#This Row],[Porcentaje de muertes]]&lt;0.65),"MEDIO",Tabla1[[#This Row],[Porcentaje de muertes]]&gt;0.65,"GRAVE")</f>
        <v>MEDIO</v>
      </c>
    </row>
    <row r="2362" spans="2:24" x14ac:dyDescent="0.3">
      <c r="B2362" s="9">
        <v>2361</v>
      </c>
      <c r="C2362" s="49">
        <v>25196</v>
      </c>
      <c r="D2362" s="9">
        <f>YEAR(Tabla1[[#This Row],[Date]])</f>
        <v>1968</v>
      </c>
      <c r="E2362" s="9" t="str" cm="1">
        <f t="array" ref="E2362">IFERROR(_xlfn.IFS(AND(D2362&lt;1980,D2362&gt;=1970),"70",AND(D2362&lt;1990,D2362&gt;=1980),"80",AND(D2362&lt;2000,D2362&gt;=1990),"90",AND(D2362&lt;2010,D2362&gt;=2000),"00",AND(D2362&lt;=2019,D2362&gt;=2010),"10"),"1908-1970")</f>
        <v>1908-1970</v>
      </c>
      <c r="F2362" s="3">
        <v>0.1875</v>
      </c>
      <c r="G2362" t="s">
        <v>15381</v>
      </c>
      <c r="H2362" t="s">
        <v>15382</v>
      </c>
      <c r="I2362" t="s">
        <v>28931</v>
      </c>
      <c r="J2362" t="s">
        <v>15383</v>
      </c>
      <c r="K2362" t="s">
        <v>15384</v>
      </c>
      <c r="L2362" s="7" t="s">
        <v>15385</v>
      </c>
      <c r="M2362">
        <v>4229</v>
      </c>
      <c r="N2362">
        <v>4</v>
      </c>
      <c r="O2362">
        <v>0</v>
      </c>
      <c r="P2362">
        <v>4</v>
      </c>
      <c r="Q2362">
        <v>2</v>
      </c>
      <c r="R2362">
        <v>0</v>
      </c>
      <c r="S2362">
        <v>2</v>
      </c>
      <c r="T2362">
        <v>0</v>
      </c>
      <c r="U2362" t="s">
        <v>15386</v>
      </c>
      <c r="V2362">
        <f>Tabla1[[#This Row],[Aboard]]-Tabla1[[#This Row],[Fatalities]]</f>
        <v>2</v>
      </c>
      <c r="W2362" s="50">
        <f>IFERROR(Tabla1[[#This Row],[Fatalities]]/Tabla1[[#This Row],[Aboard]],0)</f>
        <v>0.5</v>
      </c>
      <c r="X2362" s="51" t="str" cm="1">
        <f t="array" ref="X2362">_xlfn.IFS(Tabla1[[#This Row],[Porcentaje de muertes]]&lt;0.35,"LEVE",AND(Tabla1[[#This Row],[Porcentaje de muertes]]&gt;0.35,Tabla1[[#This Row],[Porcentaje de muertes]]&lt;0.65),"MEDIO",Tabla1[[#This Row],[Porcentaje de muertes]]&gt;0.65,"GRAVE")</f>
        <v>MEDIO</v>
      </c>
    </row>
    <row r="2363" spans="2:24" x14ac:dyDescent="0.3">
      <c r="B2363" s="9">
        <v>2362</v>
      </c>
      <c r="C2363" s="49">
        <v>25198</v>
      </c>
      <c r="D2363" s="9">
        <f>YEAR(Tabla1[[#This Row],[Date]])</f>
        <v>1968</v>
      </c>
      <c r="E2363" s="9" t="str" cm="1">
        <f t="array" ref="E2363">IFERROR(_xlfn.IFS(AND(D2363&lt;1980,D2363&gt;=1970),"70",AND(D2363&lt;1990,D2363&gt;=1980),"80",AND(D2363&lt;2000,D2363&gt;=1990),"90",AND(D2363&lt;2010,D2363&gt;=2000),"00",AND(D2363&lt;=2019,D2363&gt;=2010),"10"),"1908-1970")</f>
        <v>1908-1970</v>
      </c>
      <c r="F2363" s="3">
        <v>0.26041666666666669</v>
      </c>
      <c r="G2363" t="s">
        <v>15387</v>
      </c>
      <c r="H2363" t="s">
        <v>7121</v>
      </c>
      <c r="I2363" t="s">
        <v>28931</v>
      </c>
      <c r="J2363" t="s">
        <v>15388</v>
      </c>
      <c r="K2363" t="s">
        <v>15389</v>
      </c>
      <c r="L2363" s="7" t="s">
        <v>15390</v>
      </c>
      <c r="M2363" t="s">
        <v>28931</v>
      </c>
      <c r="N2363">
        <v>3</v>
      </c>
      <c r="O2363">
        <v>0</v>
      </c>
      <c r="P2363">
        <v>3</v>
      </c>
      <c r="Q2363">
        <v>3</v>
      </c>
      <c r="R2363">
        <v>0</v>
      </c>
      <c r="S2363">
        <v>3</v>
      </c>
      <c r="T2363">
        <v>0</v>
      </c>
      <c r="U2363" t="s">
        <v>15391</v>
      </c>
      <c r="V2363">
        <f>Tabla1[[#This Row],[Aboard]]-Tabla1[[#This Row],[Fatalities]]</f>
        <v>0</v>
      </c>
      <c r="W2363" s="50">
        <f>IFERROR(Tabla1[[#This Row],[Fatalities]]/Tabla1[[#This Row],[Aboard]],0)</f>
        <v>1</v>
      </c>
      <c r="X2363" s="51" t="str" cm="1">
        <f t="array" ref="X2363">_xlfn.IFS(Tabla1[[#This Row],[Porcentaje de muertes]]&lt;0.35,"LEVE",AND(Tabla1[[#This Row],[Porcentaje de muertes]]&gt;0.35,Tabla1[[#This Row],[Porcentaje de muertes]]&lt;0.65),"MEDIO",Tabla1[[#This Row],[Porcentaje de muertes]]&gt;0.65,"GRAVE")</f>
        <v>GRAVE</v>
      </c>
    </row>
    <row r="2364" spans="2:24" x14ac:dyDescent="0.3">
      <c r="B2364" s="9">
        <v>2363</v>
      </c>
      <c r="C2364" s="49">
        <v>25198</v>
      </c>
      <c r="D2364" s="9">
        <f>YEAR(Tabla1[[#This Row],[Date]])</f>
        <v>1968</v>
      </c>
      <c r="E2364" s="9" t="str" cm="1">
        <f t="array" ref="E2364">IFERROR(_xlfn.IFS(AND(D2364&lt;1980,D2364&gt;=1970),"70",AND(D2364&lt;1990,D2364&gt;=1980),"80",AND(D2364&lt;2000,D2364&gt;=1990),"90",AND(D2364&lt;2010,D2364&gt;=2000),"00",AND(D2364&lt;=2019,D2364&gt;=2010),"10"),"1908-1970")</f>
        <v>1908-1970</v>
      </c>
      <c r="F2364" s="3">
        <v>0.97222222222222221</v>
      </c>
      <c r="G2364" t="s">
        <v>15392</v>
      </c>
      <c r="H2364" t="s">
        <v>15393</v>
      </c>
      <c r="I2364" t="s">
        <v>28931</v>
      </c>
      <c r="J2364" t="s">
        <v>15394</v>
      </c>
      <c r="K2364" t="s">
        <v>7057</v>
      </c>
      <c r="L2364" s="7" t="s">
        <v>28931</v>
      </c>
      <c r="M2364" t="s">
        <v>28931</v>
      </c>
      <c r="N2364">
        <v>12</v>
      </c>
      <c r="O2364">
        <v>10</v>
      </c>
      <c r="P2364">
        <v>2</v>
      </c>
      <c r="Q2364">
        <v>12</v>
      </c>
      <c r="R2364">
        <v>10</v>
      </c>
      <c r="S2364">
        <v>2</v>
      </c>
      <c r="T2364">
        <v>0</v>
      </c>
      <c r="U2364" t="s">
        <v>15395</v>
      </c>
      <c r="V2364">
        <f>Tabla1[[#This Row],[Aboard]]-Tabla1[[#This Row],[Fatalities]]</f>
        <v>0</v>
      </c>
      <c r="W2364" s="50">
        <f>IFERROR(Tabla1[[#This Row],[Fatalities]]/Tabla1[[#This Row],[Aboard]],0)</f>
        <v>1</v>
      </c>
      <c r="X2364" s="51" t="str" cm="1">
        <f t="array" ref="X2364">_xlfn.IFS(Tabla1[[#This Row],[Porcentaje de muertes]]&lt;0.35,"LEVE",AND(Tabla1[[#This Row],[Porcentaje de muertes]]&gt;0.35,Tabla1[[#This Row],[Porcentaje de muertes]]&lt;0.65),"MEDIO",Tabla1[[#This Row],[Porcentaje de muertes]]&gt;0.65,"GRAVE")</f>
        <v>GRAVE</v>
      </c>
    </row>
    <row r="2365" spans="2:24" x14ac:dyDescent="0.3">
      <c r="B2365" s="9">
        <v>2364</v>
      </c>
      <c r="C2365" s="49">
        <v>25199</v>
      </c>
      <c r="D2365" s="9">
        <f>YEAR(Tabla1[[#This Row],[Date]])</f>
        <v>1968</v>
      </c>
      <c r="E2365" s="9" t="str" cm="1">
        <f t="array" ref="E2365">IFERROR(_xlfn.IFS(AND(D2365&lt;1980,D2365&gt;=1970),"70",AND(D2365&lt;1990,D2365&gt;=1980),"80",AND(D2365&lt;2000,D2365&gt;=1990),"90",AND(D2365&lt;2010,D2365&gt;=2000),"00",AND(D2365&lt;=2019,D2365&gt;=2010),"10"),"1908-1970")</f>
        <v>1908-1970</v>
      </c>
      <c r="F2365" s="3">
        <v>0.84861111111111109</v>
      </c>
      <c r="G2365" t="s">
        <v>5103</v>
      </c>
      <c r="H2365" t="s">
        <v>15396</v>
      </c>
      <c r="I2365">
        <v>458</v>
      </c>
      <c r="J2365" t="s">
        <v>15397</v>
      </c>
      <c r="K2365" t="s">
        <v>14857</v>
      </c>
      <c r="L2365" s="7" t="s">
        <v>15398</v>
      </c>
      <c r="M2365">
        <v>369</v>
      </c>
      <c r="N2365">
        <v>45</v>
      </c>
      <c r="O2365">
        <v>41</v>
      </c>
      <c r="P2365">
        <v>4</v>
      </c>
      <c r="Q2365">
        <v>27</v>
      </c>
      <c r="R2365">
        <v>24</v>
      </c>
      <c r="S2365">
        <v>3</v>
      </c>
      <c r="T2365">
        <v>1</v>
      </c>
      <c r="U2365" t="s">
        <v>15399</v>
      </c>
      <c r="V2365">
        <f>Tabla1[[#This Row],[Aboard]]-Tabla1[[#This Row],[Fatalities]]</f>
        <v>18</v>
      </c>
      <c r="W2365" s="50">
        <f>IFERROR(Tabla1[[#This Row],[Fatalities]]/Tabla1[[#This Row],[Aboard]],0)</f>
        <v>0.6</v>
      </c>
      <c r="X2365" s="51" t="str" cm="1">
        <f t="array" ref="X2365">_xlfn.IFS(Tabla1[[#This Row],[Porcentaje de muertes]]&lt;0.35,"LEVE",AND(Tabla1[[#This Row],[Porcentaje de muertes]]&gt;0.35,Tabla1[[#This Row],[Porcentaje de muertes]]&lt;0.65),"MEDIO",Tabla1[[#This Row],[Porcentaje de muertes]]&gt;0.65,"GRAVE")</f>
        <v>MEDIO</v>
      </c>
    </row>
    <row r="2366" spans="2:24" x14ac:dyDescent="0.3">
      <c r="B2366" s="9">
        <v>2365</v>
      </c>
      <c r="C2366" s="49">
        <v>25203</v>
      </c>
      <c r="D2366" s="9">
        <f>YEAR(Tabla1[[#This Row],[Date]])</f>
        <v>1968</v>
      </c>
      <c r="E2366" s="9" t="str" cm="1">
        <f t="array" ref="E2366">IFERROR(_xlfn.IFS(AND(D2366&lt;1980,D2366&gt;=1970),"70",AND(D2366&lt;1990,D2366&gt;=1980),"80",AND(D2366&lt;2000,D2366&gt;=1990),"90",AND(D2366&lt;2010,D2366&gt;=2000),"00",AND(D2366&lt;=2019,D2366&gt;=2010),"10"),"1908-1970")</f>
        <v>1908-1970</v>
      </c>
      <c r="F2366" s="3" t="s">
        <v>28931</v>
      </c>
      <c r="G2366" t="s">
        <v>15400</v>
      </c>
      <c r="H2366" t="s">
        <v>15401</v>
      </c>
      <c r="I2366" t="s">
        <v>28931</v>
      </c>
      <c r="J2366" t="s">
        <v>15402</v>
      </c>
      <c r="K2366" t="s">
        <v>7057</v>
      </c>
      <c r="L2366" s="7" t="s">
        <v>15403</v>
      </c>
      <c r="M2366">
        <v>20554</v>
      </c>
      <c r="N2366">
        <v>26</v>
      </c>
      <c r="O2366">
        <v>22</v>
      </c>
      <c r="P2366">
        <v>4</v>
      </c>
      <c r="Q2366">
        <v>26</v>
      </c>
      <c r="R2366">
        <v>22</v>
      </c>
      <c r="S2366">
        <v>4</v>
      </c>
      <c r="T2366">
        <v>0</v>
      </c>
      <c r="U2366" t="s">
        <v>15404</v>
      </c>
      <c r="V2366">
        <f>Tabla1[[#This Row],[Aboard]]-Tabla1[[#This Row],[Fatalities]]</f>
        <v>0</v>
      </c>
      <c r="W2366" s="50">
        <f>IFERROR(Tabla1[[#This Row],[Fatalities]]/Tabla1[[#This Row],[Aboard]],0)</f>
        <v>1</v>
      </c>
      <c r="X2366" s="51" t="str" cm="1">
        <f t="array" ref="X2366">_xlfn.IFS(Tabla1[[#This Row],[Porcentaje de muertes]]&lt;0.35,"LEVE",AND(Tabla1[[#This Row],[Porcentaje de muertes]]&gt;0.35,Tabla1[[#This Row],[Porcentaje de muertes]]&lt;0.65),"MEDIO",Tabla1[[#This Row],[Porcentaje de muertes]]&gt;0.65,"GRAVE")</f>
        <v>GRAVE</v>
      </c>
    </row>
    <row r="2367" spans="2:24" x14ac:dyDescent="0.3">
      <c r="B2367" s="9">
        <v>2366</v>
      </c>
      <c r="C2367" s="49">
        <v>25203</v>
      </c>
      <c r="D2367" s="9">
        <f>YEAR(Tabla1[[#This Row],[Date]])</f>
        <v>1968</v>
      </c>
      <c r="E2367" s="9" t="str" cm="1">
        <f t="array" ref="E2367">IFERROR(_xlfn.IFS(AND(D2367&lt;1980,D2367&gt;=1970),"70",AND(D2367&lt;1990,D2367&gt;=1980),"80",AND(D2367&lt;2000,D2367&gt;=1990),"90",AND(D2367&lt;2010,D2367&gt;=2000),"00",AND(D2367&lt;=2019,D2367&gt;=2010),"10"),"1908-1970")</f>
        <v>1908-1970</v>
      </c>
      <c r="F2367" s="3">
        <v>0.35416666666666669</v>
      </c>
      <c r="G2367" t="s">
        <v>15405</v>
      </c>
      <c r="H2367" t="s">
        <v>15406</v>
      </c>
      <c r="I2367">
        <v>1750</v>
      </c>
      <c r="J2367" t="s">
        <v>15407</v>
      </c>
      <c r="K2367" t="s">
        <v>13394</v>
      </c>
      <c r="L2367" s="7" t="s">
        <v>15408</v>
      </c>
      <c r="M2367">
        <v>45</v>
      </c>
      <c r="N2367">
        <v>26</v>
      </c>
      <c r="O2367">
        <v>21</v>
      </c>
      <c r="P2367">
        <v>5</v>
      </c>
      <c r="Q2367">
        <v>26</v>
      </c>
      <c r="R2367">
        <v>21</v>
      </c>
      <c r="S2367">
        <v>5</v>
      </c>
      <c r="T2367">
        <v>0</v>
      </c>
      <c r="U2367" t="s">
        <v>15409</v>
      </c>
      <c r="V2367">
        <f>Tabla1[[#This Row],[Aboard]]-Tabla1[[#This Row],[Fatalities]]</f>
        <v>0</v>
      </c>
      <c r="W2367" s="50">
        <f>IFERROR(Tabla1[[#This Row],[Fatalities]]/Tabla1[[#This Row],[Aboard]],0)</f>
        <v>1</v>
      </c>
      <c r="X2367" s="51" t="str" cm="1">
        <f t="array" ref="X2367">_xlfn.IFS(Tabla1[[#This Row],[Porcentaje de muertes]]&lt;0.35,"LEVE",AND(Tabla1[[#This Row],[Porcentaje de muertes]]&gt;0.35,Tabla1[[#This Row],[Porcentaje de muertes]]&lt;0.65),"MEDIO",Tabla1[[#This Row],[Porcentaje de muertes]]&gt;0.65,"GRAVE")</f>
        <v>GRAVE</v>
      </c>
    </row>
    <row r="2368" spans="2:24" x14ac:dyDescent="0.3">
      <c r="B2368" s="9">
        <v>2367</v>
      </c>
      <c r="C2368" s="49">
        <v>25235</v>
      </c>
      <c r="D2368" s="9">
        <f>YEAR(Tabla1[[#This Row],[Date]])</f>
        <v>1969</v>
      </c>
      <c r="E2368" s="9" t="str" cm="1">
        <f t="array" ref="E2368">IFERROR(_xlfn.IFS(AND(D2368&lt;1980,D2368&gt;=1970),"70",AND(D2368&lt;1990,D2368&gt;=1980),"80",AND(D2368&lt;2000,D2368&gt;=1990),"90",AND(D2368&lt;2010,D2368&gt;=2000),"00",AND(D2368&lt;=2019,D2368&gt;=2010),"10"),"1908-1970")</f>
        <v>1908-1970</v>
      </c>
      <c r="F2368" s="3">
        <v>0.52986111111111112</v>
      </c>
      <c r="G2368" t="s">
        <v>15410</v>
      </c>
      <c r="H2368" t="s">
        <v>15411</v>
      </c>
      <c r="I2368" t="s">
        <v>28931</v>
      </c>
      <c r="J2368" t="s">
        <v>28931</v>
      </c>
      <c r="K2368" t="s">
        <v>15412</v>
      </c>
      <c r="L2368" s="7" t="s">
        <v>15413</v>
      </c>
      <c r="M2368" t="s">
        <v>28931</v>
      </c>
      <c r="N2368">
        <v>2</v>
      </c>
      <c r="O2368">
        <v>1</v>
      </c>
      <c r="P2368">
        <v>1</v>
      </c>
      <c r="Q2368">
        <v>2</v>
      </c>
      <c r="R2368">
        <v>1</v>
      </c>
      <c r="S2368">
        <v>1</v>
      </c>
      <c r="T2368">
        <v>0</v>
      </c>
      <c r="U2368" t="s">
        <v>15414</v>
      </c>
      <c r="V2368">
        <f>Tabla1[[#This Row],[Aboard]]-Tabla1[[#This Row],[Fatalities]]</f>
        <v>0</v>
      </c>
      <c r="W2368" s="50">
        <f>IFERROR(Tabla1[[#This Row],[Fatalities]]/Tabla1[[#This Row],[Aboard]],0)</f>
        <v>1</v>
      </c>
      <c r="X2368" s="51" t="str" cm="1">
        <f t="array" ref="X2368">_xlfn.IFS(Tabla1[[#This Row],[Porcentaje de muertes]]&lt;0.35,"LEVE",AND(Tabla1[[#This Row],[Porcentaje de muertes]]&gt;0.35,Tabla1[[#This Row],[Porcentaje de muertes]]&lt;0.65),"MEDIO",Tabla1[[#This Row],[Porcentaje de muertes]]&gt;0.65,"GRAVE")</f>
        <v>GRAVE</v>
      </c>
    </row>
    <row r="2369" spans="2:24" x14ac:dyDescent="0.3">
      <c r="B2369" s="9">
        <v>2368</v>
      </c>
      <c r="C2369" s="49">
        <v>25235</v>
      </c>
      <c r="D2369" s="9">
        <f>YEAR(Tabla1[[#This Row],[Date]])</f>
        <v>1969</v>
      </c>
      <c r="E2369" s="9" t="str" cm="1">
        <f t="array" ref="E2369">IFERROR(_xlfn.IFS(AND(D2369&lt;1980,D2369&gt;=1970),"70",AND(D2369&lt;1990,D2369&gt;=1980),"80",AND(D2369&lt;2000,D2369&gt;=1990),"90",AND(D2369&lt;2010,D2369&gt;=2000),"00",AND(D2369&lt;=2019,D2369&gt;=2010),"10"),"1908-1970")</f>
        <v>1908-1970</v>
      </c>
      <c r="F2369" s="3">
        <v>0.84166666666666667</v>
      </c>
      <c r="G2369" t="s">
        <v>15415</v>
      </c>
      <c r="H2369" t="s">
        <v>15040</v>
      </c>
      <c r="I2369">
        <v>227</v>
      </c>
      <c r="J2369" t="s">
        <v>15416</v>
      </c>
      <c r="K2369" t="s">
        <v>9324</v>
      </c>
      <c r="L2369" s="7" t="s">
        <v>15417</v>
      </c>
      <c r="M2369">
        <v>12541</v>
      </c>
      <c r="N2369">
        <v>24</v>
      </c>
      <c r="O2369">
        <v>19</v>
      </c>
      <c r="P2369">
        <v>5</v>
      </c>
      <c r="Q2369">
        <v>24</v>
      </c>
      <c r="R2369">
        <v>19</v>
      </c>
      <c r="S2369">
        <v>5</v>
      </c>
      <c r="T2369">
        <v>0</v>
      </c>
      <c r="U2369" t="s">
        <v>15418</v>
      </c>
      <c r="V2369">
        <f>Tabla1[[#This Row],[Aboard]]-Tabla1[[#This Row],[Fatalities]]</f>
        <v>0</v>
      </c>
      <c r="W2369" s="50">
        <f>IFERROR(Tabla1[[#This Row],[Fatalities]]/Tabla1[[#This Row],[Aboard]],0)</f>
        <v>1</v>
      </c>
      <c r="X2369" s="51" t="str" cm="1">
        <f t="array" ref="X2369">_xlfn.IFS(Tabla1[[#This Row],[Porcentaje de muertes]]&lt;0.35,"LEVE",AND(Tabla1[[#This Row],[Porcentaje de muertes]]&gt;0.35,Tabla1[[#This Row],[Porcentaje de muertes]]&lt;0.65),"MEDIO",Tabla1[[#This Row],[Porcentaje de muertes]]&gt;0.65,"GRAVE")</f>
        <v>GRAVE</v>
      </c>
    </row>
    <row r="2370" spans="2:24" x14ac:dyDescent="0.3">
      <c r="B2370" s="9">
        <v>2369</v>
      </c>
      <c r="C2370" s="49">
        <v>25324</v>
      </c>
      <c r="D2370" s="9">
        <f>YEAR(Tabla1[[#This Row],[Date]])</f>
        <v>1969</v>
      </c>
      <c r="E2370" s="9" t="str" cm="1">
        <f t="array" ref="E2370">IFERROR(_xlfn.IFS(AND(D2370&lt;1980,D2370&gt;=1970),"70",AND(D2370&lt;1990,D2370&gt;=1980),"80",AND(D2370&lt;2000,D2370&gt;=1990),"90",AND(D2370&lt;2010,D2370&gt;=2000),"00",AND(D2370&lt;=2019,D2370&gt;=2010),"10"),"1908-1970")</f>
        <v>1908-1970</v>
      </c>
      <c r="F2370" s="3">
        <v>6.5277777777777782E-2</v>
      </c>
      <c r="G2370" t="s">
        <v>15419</v>
      </c>
      <c r="H2370" t="s">
        <v>11177</v>
      </c>
      <c r="I2370">
        <v>701</v>
      </c>
      <c r="J2370" t="s">
        <v>15420</v>
      </c>
      <c r="K2370" t="s">
        <v>15421</v>
      </c>
      <c r="L2370" s="7" t="s">
        <v>15422</v>
      </c>
      <c r="M2370" t="s">
        <v>15423</v>
      </c>
      <c r="N2370">
        <v>62</v>
      </c>
      <c r="O2370">
        <v>54</v>
      </c>
      <c r="P2370">
        <v>8</v>
      </c>
      <c r="Q2370">
        <v>48</v>
      </c>
      <c r="R2370">
        <v>43</v>
      </c>
      <c r="S2370">
        <v>5</v>
      </c>
      <c r="T2370">
        <v>2</v>
      </c>
      <c r="U2370" t="s">
        <v>15424</v>
      </c>
      <c r="V2370">
        <f>Tabla1[[#This Row],[Aboard]]-Tabla1[[#This Row],[Fatalities]]</f>
        <v>14</v>
      </c>
      <c r="W2370" s="50">
        <f>IFERROR(Tabla1[[#This Row],[Fatalities]]/Tabla1[[#This Row],[Aboard]],0)</f>
        <v>0.77419354838709675</v>
      </c>
      <c r="X2370" s="51" t="str" cm="1">
        <f t="array" ref="X2370">_xlfn.IFS(Tabla1[[#This Row],[Porcentaje de muertes]]&lt;0.35,"LEVE",AND(Tabla1[[#This Row],[Porcentaje de muertes]]&gt;0.35,Tabla1[[#This Row],[Porcentaje de muertes]]&lt;0.65),"MEDIO",Tabla1[[#This Row],[Porcentaje de muertes]]&gt;0.65,"GRAVE")</f>
        <v>GRAVE</v>
      </c>
    </row>
    <row r="2371" spans="2:24" x14ac:dyDescent="0.3">
      <c r="B2371" s="9">
        <v>2370</v>
      </c>
      <c r="C2371" s="49">
        <v>25355</v>
      </c>
      <c r="D2371" s="9">
        <f>YEAR(Tabla1[[#This Row],[Date]])</f>
        <v>1969</v>
      </c>
      <c r="E2371" s="9" t="str" cm="1">
        <f t="array" ref="E2371">IFERROR(_xlfn.IFS(AND(D2371&lt;1980,D2371&gt;=1970),"70",AND(D2371&lt;1990,D2371&gt;=1980),"80",AND(D2371&lt;2000,D2371&gt;=1990),"90",AND(D2371&lt;2010,D2371&gt;=2000),"00",AND(D2371&lt;=2019,D2371&gt;=2010),"10"),"1908-1970")</f>
        <v>1908-1970</v>
      </c>
      <c r="F2371" s="3">
        <v>0.85763888888888884</v>
      </c>
      <c r="G2371" t="s">
        <v>15425</v>
      </c>
      <c r="H2371" t="s">
        <v>12818</v>
      </c>
      <c r="I2371">
        <v>737</v>
      </c>
      <c r="J2371" t="s">
        <v>15426</v>
      </c>
      <c r="K2371" t="s">
        <v>14857</v>
      </c>
      <c r="L2371" s="7" t="s">
        <v>15427</v>
      </c>
      <c r="M2371">
        <v>386</v>
      </c>
      <c r="N2371">
        <v>28</v>
      </c>
      <c r="O2371">
        <v>25</v>
      </c>
      <c r="P2371">
        <v>3</v>
      </c>
      <c r="Q2371">
        <v>11</v>
      </c>
      <c r="R2371">
        <v>9</v>
      </c>
      <c r="S2371">
        <v>2</v>
      </c>
      <c r="T2371">
        <v>0</v>
      </c>
      <c r="U2371" t="s">
        <v>15428</v>
      </c>
      <c r="V2371">
        <f>Tabla1[[#This Row],[Aboard]]-Tabla1[[#This Row],[Fatalities]]</f>
        <v>17</v>
      </c>
      <c r="W2371" s="50">
        <f>IFERROR(Tabla1[[#This Row],[Fatalities]]/Tabla1[[#This Row],[Aboard]],0)</f>
        <v>0.39285714285714285</v>
      </c>
      <c r="X2371" s="51" t="str" cm="1">
        <f t="array" ref="X2371">_xlfn.IFS(Tabla1[[#This Row],[Porcentaje de muertes]]&lt;0.35,"LEVE",AND(Tabla1[[#This Row],[Porcentaje de muertes]]&gt;0.35,Tabla1[[#This Row],[Porcentaje de muertes]]&lt;0.65),"MEDIO",Tabla1[[#This Row],[Porcentaje de muertes]]&gt;0.65,"GRAVE")</f>
        <v>MEDIO</v>
      </c>
    </row>
    <row r="2372" spans="2:24" x14ac:dyDescent="0.3">
      <c r="B2372" s="9">
        <v>2371</v>
      </c>
      <c r="C2372" s="49">
        <v>25216</v>
      </c>
      <c r="D2372" s="9">
        <f>YEAR(Tabla1[[#This Row],[Date]])</f>
        <v>1969</v>
      </c>
      <c r="E2372" s="9" t="str" cm="1">
        <f t="array" ref="E2372">IFERROR(_xlfn.IFS(AND(D2372&lt;1980,D2372&gt;=1970),"70",AND(D2372&lt;1990,D2372&gt;=1980),"80",AND(D2372&lt;2000,D2372&gt;=1990),"90",AND(D2372&lt;2010,D2372&gt;=2000),"00",AND(D2372&lt;=2019,D2372&gt;=2010),"10"),"1908-1970")</f>
        <v>1908-1970</v>
      </c>
      <c r="F2372" s="3">
        <v>0.80625000000000002</v>
      </c>
      <c r="G2372" t="s">
        <v>15429</v>
      </c>
      <c r="H2372" t="s">
        <v>9523</v>
      </c>
      <c r="I2372">
        <v>933</v>
      </c>
      <c r="J2372" t="s">
        <v>15430</v>
      </c>
      <c r="K2372" t="s">
        <v>15354</v>
      </c>
      <c r="L2372" s="7" t="s">
        <v>15431</v>
      </c>
      <c r="M2372" t="s">
        <v>15432</v>
      </c>
      <c r="N2372">
        <v>45</v>
      </c>
      <c r="O2372">
        <v>36</v>
      </c>
      <c r="P2372">
        <v>9</v>
      </c>
      <c r="Q2372">
        <v>15</v>
      </c>
      <c r="R2372">
        <v>12</v>
      </c>
      <c r="S2372">
        <v>3</v>
      </c>
      <c r="T2372">
        <v>0</v>
      </c>
      <c r="U2372" t="s">
        <v>15433</v>
      </c>
      <c r="V2372">
        <f>Tabla1[[#This Row],[Aboard]]-Tabla1[[#This Row],[Fatalities]]</f>
        <v>30</v>
      </c>
      <c r="W2372" s="50">
        <f>IFERROR(Tabla1[[#This Row],[Fatalities]]/Tabla1[[#This Row],[Aboard]],0)</f>
        <v>0.33333333333333331</v>
      </c>
      <c r="X2372" s="51" t="str" cm="1">
        <f t="array" ref="X2372">_xlfn.IFS(Tabla1[[#This Row],[Porcentaje de muertes]]&lt;0.35,"LEVE",AND(Tabla1[[#This Row],[Porcentaje de muertes]]&gt;0.35,Tabla1[[#This Row],[Porcentaje de muertes]]&lt;0.65),"MEDIO",Tabla1[[#This Row],[Porcentaje de muertes]]&gt;0.65,"GRAVE")</f>
        <v>LEVE</v>
      </c>
    </row>
    <row r="2373" spans="2:24" x14ac:dyDescent="0.3">
      <c r="B2373" s="9">
        <v>2372</v>
      </c>
      <c r="C2373" s="49">
        <v>25219</v>
      </c>
      <c r="D2373" s="9">
        <f>YEAR(Tabla1[[#This Row],[Date]])</f>
        <v>1969</v>
      </c>
      <c r="E2373" s="9" t="str" cm="1">
        <f t="array" ref="E2373">IFERROR(_xlfn.IFS(AND(D2373&lt;1980,D2373&gt;=1970),"70",AND(D2373&lt;1990,D2373&gt;=1980),"80",AND(D2373&lt;2000,D2373&gt;=1990),"90",AND(D2373&lt;2010,D2373&gt;=2000),"00",AND(D2373&lt;=2019,D2373&gt;=2010),"10"),"1908-1970")</f>
        <v>1908-1970</v>
      </c>
      <c r="F2373" s="3">
        <v>0.57291666666666663</v>
      </c>
      <c r="G2373" t="s">
        <v>15434</v>
      </c>
      <c r="H2373" t="s">
        <v>13917</v>
      </c>
      <c r="I2373" t="s">
        <v>28931</v>
      </c>
      <c r="J2373" t="s">
        <v>15435</v>
      </c>
      <c r="K2373" t="s">
        <v>7959</v>
      </c>
      <c r="L2373" s="7">
        <v>949</v>
      </c>
      <c r="M2373">
        <v>20415</v>
      </c>
      <c r="N2373">
        <v>12</v>
      </c>
      <c r="O2373">
        <v>9</v>
      </c>
      <c r="P2373">
        <v>3</v>
      </c>
      <c r="Q2373">
        <v>12</v>
      </c>
      <c r="R2373">
        <v>9</v>
      </c>
      <c r="S2373">
        <v>3</v>
      </c>
      <c r="T2373">
        <v>0</v>
      </c>
      <c r="U2373" t="s">
        <v>15436</v>
      </c>
      <c r="V2373">
        <f>Tabla1[[#This Row],[Aboard]]-Tabla1[[#This Row],[Fatalities]]</f>
        <v>0</v>
      </c>
      <c r="W2373" s="50">
        <f>IFERROR(Tabla1[[#This Row],[Fatalities]]/Tabla1[[#This Row],[Aboard]],0)</f>
        <v>1</v>
      </c>
      <c r="X2373" s="51" t="str" cm="1">
        <f t="array" ref="X2373">_xlfn.IFS(Tabla1[[#This Row],[Porcentaje de muertes]]&lt;0.35,"LEVE",AND(Tabla1[[#This Row],[Porcentaje de muertes]]&gt;0.35,Tabla1[[#This Row],[Porcentaje de muertes]]&lt;0.65),"MEDIO",Tabla1[[#This Row],[Porcentaje de muertes]]&gt;0.65,"GRAVE")</f>
        <v>GRAVE</v>
      </c>
    </row>
    <row r="2374" spans="2:24" x14ac:dyDescent="0.3">
      <c r="B2374" s="9">
        <v>2373</v>
      </c>
      <c r="C2374" s="49">
        <v>25221</v>
      </c>
      <c r="D2374" s="9">
        <f>YEAR(Tabla1[[#This Row],[Date]])</f>
        <v>1969</v>
      </c>
      <c r="E2374" s="9" t="str" cm="1">
        <f t="array" ref="E2374">IFERROR(_xlfn.IFS(AND(D2374&lt;1980,D2374&gt;=1970),"70",AND(D2374&lt;1990,D2374&gt;=1980),"80",AND(D2374&lt;2000,D2374&gt;=1990),"90",AND(D2374&lt;2010,D2374&gt;=2000),"00",AND(D2374&lt;=2019,D2374&gt;=2010),"10"),"1908-1970")</f>
        <v>1908-1970</v>
      </c>
      <c r="F2374" s="3">
        <v>0.76458333333333339</v>
      </c>
      <c r="G2374" t="s">
        <v>15429</v>
      </c>
      <c r="H2374" t="s">
        <v>6369</v>
      </c>
      <c r="I2374">
        <v>266</v>
      </c>
      <c r="J2374" t="s">
        <v>15437</v>
      </c>
      <c r="K2374" t="s">
        <v>15438</v>
      </c>
      <c r="L2374" s="7" t="s">
        <v>15439</v>
      </c>
      <c r="M2374" t="s">
        <v>15440</v>
      </c>
      <c r="N2374">
        <v>38</v>
      </c>
      <c r="O2374">
        <v>32</v>
      </c>
      <c r="P2374">
        <v>6</v>
      </c>
      <c r="Q2374">
        <v>38</v>
      </c>
      <c r="R2374">
        <v>32</v>
      </c>
      <c r="S2374">
        <v>6</v>
      </c>
      <c r="T2374">
        <v>0</v>
      </c>
      <c r="U2374" t="s">
        <v>15441</v>
      </c>
      <c r="V2374">
        <f>Tabla1[[#This Row],[Aboard]]-Tabla1[[#This Row],[Fatalities]]</f>
        <v>0</v>
      </c>
      <c r="W2374" s="50">
        <f>IFERROR(Tabla1[[#This Row],[Fatalities]]/Tabla1[[#This Row],[Aboard]],0)</f>
        <v>1</v>
      </c>
      <c r="X2374" s="51" t="str" cm="1">
        <f t="array" ref="X2374">_xlfn.IFS(Tabla1[[#This Row],[Porcentaje de muertes]]&lt;0.35,"LEVE",AND(Tabla1[[#This Row],[Porcentaje de muertes]]&gt;0.35,Tabla1[[#This Row],[Porcentaje de muertes]]&lt;0.65),"MEDIO",Tabla1[[#This Row],[Porcentaje de muertes]]&gt;0.65,"GRAVE")</f>
        <v>GRAVE</v>
      </c>
    </row>
    <row r="2375" spans="2:24" x14ac:dyDescent="0.3">
      <c r="B2375" s="9">
        <v>2374</v>
      </c>
      <c r="C2375" s="49">
        <v>25252</v>
      </c>
      <c r="D2375" s="9">
        <f>YEAR(Tabla1[[#This Row],[Date]])</f>
        <v>1969</v>
      </c>
      <c r="E2375" s="9" t="str" cm="1">
        <f t="array" ref="E2375">IFERROR(_xlfn.IFS(AND(D2375&lt;1980,D2375&gt;=1970),"70",AND(D2375&lt;1990,D2375&gt;=1980),"80",AND(D2375&lt;2000,D2375&gt;=1990),"90",AND(D2375&lt;2010,D2375&gt;=2000),"00",AND(D2375&lt;=2019,D2375&gt;=2010),"10"),"1908-1970")</f>
        <v>1908-1970</v>
      </c>
      <c r="F2375" s="3">
        <v>0.21527777777777779</v>
      </c>
      <c r="G2375" t="s">
        <v>15442</v>
      </c>
      <c r="H2375" t="s">
        <v>15443</v>
      </c>
      <c r="I2375">
        <v>708</v>
      </c>
      <c r="J2375" t="s">
        <v>15444</v>
      </c>
      <c r="K2375" t="s">
        <v>7057</v>
      </c>
      <c r="L2375" s="7" t="s">
        <v>15445</v>
      </c>
      <c r="M2375">
        <v>6320</v>
      </c>
      <c r="N2375">
        <v>35</v>
      </c>
      <c r="O2375">
        <v>32</v>
      </c>
      <c r="P2375">
        <v>3</v>
      </c>
      <c r="Q2375">
        <v>35</v>
      </c>
      <c r="R2375">
        <v>32</v>
      </c>
      <c r="S2375">
        <v>3</v>
      </c>
      <c r="T2375">
        <v>0</v>
      </c>
      <c r="U2375" t="s">
        <v>15446</v>
      </c>
      <c r="V2375">
        <f>Tabla1[[#This Row],[Aboard]]-Tabla1[[#This Row],[Fatalities]]</f>
        <v>0</v>
      </c>
      <c r="W2375" s="50">
        <f>IFERROR(Tabla1[[#This Row],[Fatalities]]/Tabla1[[#This Row],[Aboard]],0)</f>
        <v>1</v>
      </c>
      <c r="X2375" s="51" t="str" cm="1">
        <f t="array" ref="X2375">_xlfn.IFS(Tabla1[[#This Row],[Porcentaje de muertes]]&lt;0.35,"LEVE",AND(Tabla1[[#This Row],[Porcentaje de muertes]]&gt;0.35,Tabla1[[#This Row],[Porcentaje de muertes]]&lt;0.65),"MEDIO",Tabla1[[#This Row],[Porcentaje de muertes]]&gt;0.65,"GRAVE")</f>
        <v>GRAVE</v>
      </c>
    </row>
    <row r="2376" spans="2:24" x14ac:dyDescent="0.3">
      <c r="B2376" s="9">
        <v>2375</v>
      </c>
      <c r="C2376" s="49">
        <v>25258</v>
      </c>
      <c r="D2376" s="9">
        <f>YEAR(Tabla1[[#This Row],[Date]])</f>
        <v>1969</v>
      </c>
      <c r="E2376" s="9" t="str" cm="1">
        <f t="array" ref="E2376">IFERROR(_xlfn.IFS(AND(D2376&lt;1980,D2376&gt;=1970),"70",AND(D2376&lt;1990,D2376&gt;=1980),"80",AND(D2376&lt;2000,D2376&gt;=1990),"90",AND(D2376&lt;2010,D2376&gt;=2000),"00",AND(D2376&lt;=2019,D2376&gt;=2010),"10"),"1908-1970")</f>
        <v>1908-1970</v>
      </c>
      <c r="F2376" s="3" t="s">
        <v>28931</v>
      </c>
      <c r="G2376" t="s">
        <v>15447</v>
      </c>
      <c r="H2376" t="s">
        <v>8896</v>
      </c>
      <c r="I2376" t="s">
        <v>28931</v>
      </c>
      <c r="J2376" t="s">
        <v>15448</v>
      </c>
      <c r="K2376" t="s">
        <v>15449</v>
      </c>
      <c r="L2376" s="7" t="s">
        <v>15450</v>
      </c>
      <c r="M2376">
        <v>157</v>
      </c>
      <c r="N2376">
        <v>36</v>
      </c>
      <c r="O2376">
        <v>32</v>
      </c>
      <c r="P2376">
        <v>4</v>
      </c>
      <c r="Q2376">
        <v>36</v>
      </c>
      <c r="R2376">
        <v>32</v>
      </c>
      <c r="S2376">
        <v>4</v>
      </c>
      <c r="T2376">
        <v>0</v>
      </c>
      <c r="U2376" t="s">
        <v>15451</v>
      </c>
      <c r="V2376">
        <f>Tabla1[[#This Row],[Aboard]]-Tabla1[[#This Row],[Fatalities]]</f>
        <v>0</v>
      </c>
      <c r="W2376" s="50">
        <f>IFERROR(Tabla1[[#This Row],[Fatalities]]/Tabla1[[#This Row],[Aboard]],0)</f>
        <v>1</v>
      </c>
      <c r="X2376" s="51" t="str" cm="1">
        <f t="array" ref="X2376">_xlfn.IFS(Tabla1[[#This Row],[Porcentaje de muertes]]&lt;0.35,"LEVE",AND(Tabla1[[#This Row],[Porcentaje de muertes]]&gt;0.35,Tabla1[[#This Row],[Porcentaje de muertes]]&lt;0.65),"MEDIO",Tabla1[[#This Row],[Porcentaje de muertes]]&gt;0.65,"GRAVE")</f>
        <v>GRAVE</v>
      </c>
    </row>
    <row r="2377" spans="2:24" x14ac:dyDescent="0.3">
      <c r="B2377" s="9">
        <v>2376</v>
      </c>
      <c r="C2377" s="49">
        <v>25326</v>
      </c>
      <c r="D2377" s="9">
        <f>YEAR(Tabla1[[#This Row],[Date]])</f>
        <v>1969</v>
      </c>
      <c r="E2377" s="9" t="str" cm="1">
        <f t="array" ref="E2377">IFERROR(_xlfn.IFS(AND(D2377&lt;1980,D2377&gt;=1970),"70",AND(D2377&lt;1990,D2377&gt;=1980),"80",AND(D2377&lt;2000,D2377&gt;=1990),"90",AND(D2377&lt;2010,D2377&gt;=2000),"00",AND(D2377&lt;=2019,D2377&gt;=2010),"10"),"1908-1970")</f>
        <v>1908-1970</v>
      </c>
      <c r="F2377" s="3">
        <v>0.73472222222222217</v>
      </c>
      <c r="G2377" t="s">
        <v>7687</v>
      </c>
      <c r="H2377" t="s">
        <v>15452</v>
      </c>
      <c r="I2377" t="s">
        <v>28931</v>
      </c>
      <c r="J2377" t="s">
        <v>15453</v>
      </c>
      <c r="K2377" t="s">
        <v>12197</v>
      </c>
      <c r="L2377" s="7" t="s">
        <v>15454</v>
      </c>
      <c r="M2377">
        <v>14125</v>
      </c>
      <c r="N2377">
        <v>19</v>
      </c>
      <c r="O2377">
        <v>17</v>
      </c>
      <c r="P2377">
        <v>2</v>
      </c>
      <c r="Q2377">
        <v>19</v>
      </c>
      <c r="R2377">
        <v>17</v>
      </c>
      <c r="S2377">
        <v>2</v>
      </c>
      <c r="T2377">
        <v>0</v>
      </c>
      <c r="U2377" t="s">
        <v>15455</v>
      </c>
      <c r="V2377">
        <f>Tabla1[[#This Row],[Aboard]]-Tabla1[[#This Row],[Fatalities]]</f>
        <v>0</v>
      </c>
      <c r="W2377" s="50">
        <f>IFERROR(Tabla1[[#This Row],[Fatalities]]/Tabla1[[#This Row],[Aboard]],0)</f>
        <v>1</v>
      </c>
      <c r="X2377" s="51" t="str" cm="1">
        <f t="array" ref="X2377">_xlfn.IFS(Tabla1[[#This Row],[Porcentaje de muertes]]&lt;0.35,"LEVE",AND(Tabla1[[#This Row],[Porcentaje de muertes]]&gt;0.35,Tabla1[[#This Row],[Porcentaje de muertes]]&lt;0.65),"MEDIO",Tabla1[[#This Row],[Porcentaje de muertes]]&gt;0.65,"GRAVE")</f>
        <v>GRAVE</v>
      </c>
    </row>
    <row r="2378" spans="2:24" x14ac:dyDescent="0.3">
      <c r="B2378" s="9">
        <v>2377</v>
      </c>
      <c r="C2378" s="49">
        <v>25418</v>
      </c>
      <c r="D2378" s="9">
        <f>YEAR(Tabla1[[#This Row],[Date]])</f>
        <v>1969</v>
      </c>
      <c r="E2378" s="9" t="str" cm="1">
        <f t="array" ref="E2378">IFERROR(_xlfn.IFS(AND(D2378&lt;1980,D2378&gt;=1970),"70",AND(D2378&lt;1990,D2378&gt;=1980),"80",AND(D2378&lt;2000,D2378&gt;=1990),"90",AND(D2378&lt;2010,D2378&gt;=2000),"00",AND(D2378&lt;=2019,D2378&gt;=2010),"10"),"1908-1970")</f>
        <v>1908-1970</v>
      </c>
      <c r="F2378" s="3" t="s">
        <v>28931</v>
      </c>
      <c r="G2378" t="s">
        <v>5497</v>
      </c>
      <c r="H2378" t="s">
        <v>15456</v>
      </c>
      <c r="I2378" t="s">
        <v>28931</v>
      </c>
      <c r="J2378" t="s">
        <v>15457</v>
      </c>
      <c r="K2378" t="s">
        <v>8822</v>
      </c>
      <c r="L2378" s="7" t="s">
        <v>15458</v>
      </c>
      <c r="M2378">
        <v>10356</v>
      </c>
      <c r="N2378">
        <v>3</v>
      </c>
      <c r="O2378">
        <v>0</v>
      </c>
      <c r="P2378">
        <v>3</v>
      </c>
      <c r="Q2378">
        <v>3</v>
      </c>
      <c r="R2378">
        <v>0</v>
      </c>
      <c r="S2378">
        <v>3</v>
      </c>
      <c r="T2378">
        <v>0</v>
      </c>
      <c r="U2378" t="s">
        <v>15459</v>
      </c>
      <c r="V2378">
        <f>Tabla1[[#This Row],[Aboard]]-Tabla1[[#This Row],[Fatalities]]</f>
        <v>0</v>
      </c>
      <c r="W2378" s="50">
        <f>IFERROR(Tabla1[[#This Row],[Fatalities]]/Tabla1[[#This Row],[Aboard]],0)</f>
        <v>1</v>
      </c>
      <c r="X2378" s="51" t="str" cm="1">
        <f t="array" ref="X2378">_xlfn.IFS(Tabla1[[#This Row],[Porcentaje de muertes]]&lt;0.35,"LEVE",AND(Tabla1[[#This Row],[Porcentaje de muertes]]&gt;0.35,Tabla1[[#This Row],[Porcentaje de muertes]]&lt;0.65),"MEDIO",Tabla1[[#This Row],[Porcentaje de muertes]]&gt;0.65,"GRAVE")</f>
        <v>GRAVE</v>
      </c>
    </row>
    <row r="2379" spans="2:24" x14ac:dyDescent="0.3">
      <c r="B2379" s="9">
        <v>2378</v>
      </c>
      <c r="C2379" s="49">
        <v>25275</v>
      </c>
      <c r="D2379" s="9">
        <f>YEAR(Tabla1[[#This Row],[Date]])</f>
        <v>1969</v>
      </c>
      <c r="E2379" s="9" t="str" cm="1">
        <f t="array" ref="E2379">IFERROR(_xlfn.IFS(AND(D2379&lt;1980,D2379&gt;=1970),"70",AND(D2379&lt;1990,D2379&gt;=1980),"80",AND(D2379&lt;2000,D2379&gt;=1990),"90",AND(D2379&lt;2010,D2379&gt;=2000),"00",AND(D2379&lt;=2019,D2379&gt;=2010),"10"),"1908-1970")</f>
        <v>1908-1970</v>
      </c>
      <c r="F2379" s="3">
        <v>0.66111111111111109</v>
      </c>
      <c r="G2379" t="s">
        <v>15460</v>
      </c>
      <c r="H2379" t="s">
        <v>15369</v>
      </c>
      <c r="I2379" t="s">
        <v>28931</v>
      </c>
      <c r="J2379" t="s">
        <v>15461</v>
      </c>
      <c r="K2379" t="s">
        <v>15462</v>
      </c>
      <c r="L2379" s="7" t="s">
        <v>15463</v>
      </c>
      <c r="M2379">
        <v>3</v>
      </c>
      <c r="N2379">
        <v>5</v>
      </c>
      <c r="O2379">
        <v>4</v>
      </c>
      <c r="P2379">
        <v>1</v>
      </c>
      <c r="Q2379">
        <v>1</v>
      </c>
      <c r="R2379">
        <v>1</v>
      </c>
      <c r="S2379">
        <v>0</v>
      </c>
      <c r="T2379">
        <v>0</v>
      </c>
      <c r="U2379" t="s">
        <v>15464</v>
      </c>
      <c r="V2379">
        <f>Tabla1[[#This Row],[Aboard]]-Tabla1[[#This Row],[Fatalities]]</f>
        <v>4</v>
      </c>
      <c r="W2379" s="50">
        <f>IFERROR(Tabla1[[#This Row],[Fatalities]]/Tabla1[[#This Row],[Aboard]],0)</f>
        <v>0.2</v>
      </c>
      <c r="X2379" s="51" t="str" cm="1">
        <f t="array" ref="X2379">_xlfn.IFS(Tabla1[[#This Row],[Porcentaje de muertes]]&lt;0.35,"LEVE",AND(Tabla1[[#This Row],[Porcentaje de muertes]]&gt;0.35,Tabla1[[#This Row],[Porcentaje de muertes]]&lt;0.65),"MEDIO",Tabla1[[#This Row],[Porcentaje de muertes]]&gt;0.65,"GRAVE")</f>
        <v>LEVE</v>
      </c>
    </row>
    <row r="2380" spans="2:24" x14ac:dyDescent="0.3">
      <c r="B2380" s="9">
        <v>2379</v>
      </c>
      <c r="C2380" s="49">
        <v>25278</v>
      </c>
      <c r="D2380" s="9">
        <f>YEAR(Tabla1[[#This Row],[Date]])</f>
        <v>1969</v>
      </c>
      <c r="E2380" s="9" t="str" cm="1">
        <f t="array" ref="E2380">IFERROR(_xlfn.IFS(AND(D2380&lt;1980,D2380&gt;=1970),"70",AND(D2380&lt;1990,D2380&gt;=1980),"80",AND(D2380&lt;2000,D2380&gt;=1990),"90",AND(D2380&lt;2010,D2380&gt;=2000),"00",AND(D2380&lt;=2019,D2380&gt;=2010),"10"),"1908-1970")</f>
        <v>1908-1970</v>
      </c>
      <c r="F2380" s="3">
        <v>0.58333333333333337</v>
      </c>
      <c r="G2380" t="s">
        <v>15465</v>
      </c>
      <c r="H2380" t="s">
        <v>15466</v>
      </c>
      <c r="I2380">
        <v>742</v>
      </c>
      <c r="J2380" t="s">
        <v>15467</v>
      </c>
      <c r="K2380" t="s">
        <v>15468</v>
      </c>
      <c r="L2380" s="7" t="s">
        <v>15469</v>
      </c>
      <c r="M2380" t="s">
        <v>15470</v>
      </c>
      <c r="N2380">
        <v>84</v>
      </c>
      <c r="O2380">
        <v>74</v>
      </c>
      <c r="P2380">
        <v>10</v>
      </c>
      <c r="Q2380">
        <v>84</v>
      </c>
      <c r="R2380">
        <v>74</v>
      </c>
      <c r="S2380">
        <v>10</v>
      </c>
      <c r="T2380">
        <v>71</v>
      </c>
      <c r="U2380" t="s">
        <v>15471</v>
      </c>
      <c r="V2380">
        <f>Tabla1[[#This Row],[Aboard]]-Tabla1[[#This Row],[Fatalities]]</f>
        <v>0</v>
      </c>
      <c r="W2380" s="50">
        <f>IFERROR(Tabla1[[#This Row],[Fatalities]]/Tabla1[[#This Row],[Aboard]],0)</f>
        <v>1</v>
      </c>
      <c r="X2380" s="51" t="str" cm="1">
        <f t="array" ref="X2380">_xlfn.IFS(Tabla1[[#This Row],[Porcentaje de muertes]]&lt;0.35,"LEVE",AND(Tabla1[[#This Row],[Porcentaje de muertes]]&gt;0.35,Tabla1[[#This Row],[Porcentaje de muertes]]&lt;0.65),"MEDIO",Tabla1[[#This Row],[Porcentaje de muertes]]&gt;0.65,"GRAVE")</f>
        <v>GRAVE</v>
      </c>
    </row>
    <row r="2381" spans="2:24" x14ac:dyDescent="0.3">
      <c r="B2381" s="9">
        <v>2380</v>
      </c>
      <c r="C2381" s="49">
        <v>25282</v>
      </c>
      <c r="D2381" s="9">
        <f>YEAR(Tabla1[[#This Row],[Date]])</f>
        <v>1969</v>
      </c>
      <c r="E2381" s="9" t="str" cm="1">
        <f t="array" ref="E2381">IFERROR(_xlfn.IFS(AND(D2381&lt;1980,D2381&gt;=1970),"70",AND(D2381&lt;1990,D2381&gt;=1980),"80",AND(D2381&lt;2000,D2381&gt;=1990),"90",AND(D2381&lt;2010,D2381&gt;=2000),"00",AND(D2381&lt;=2019,D2381&gt;=2010),"10"),"1908-1970")</f>
        <v>1908-1970</v>
      </c>
      <c r="F2381" s="3">
        <v>8.3333333333333329E-2</v>
      </c>
      <c r="G2381" t="s">
        <v>13990</v>
      </c>
      <c r="H2381" t="s">
        <v>13087</v>
      </c>
      <c r="I2381" t="s">
        <v>28931</v>
      </c>
      <c r="J2381" t="s">
        <v>15472</v>
      </c>
      <c r="K2381" t="s">
        <v>13704</v>
      </c>
      <c r="L2381" s="7" t="s">
        <v>15473</v>
      </c>
      <c r="M2381">
        <v>188011301</v>
      </c>
      <c r="N2381">
        <v>105</v>
      </c>
      <c r="O2381">
        <v>98</v>
      </c>
      <c r="P2381">
        <v>7</v>
      </c>
      <c r="Q2381">
        <v>100</v>
      </c>
      <c r="R2381">
        <v>93</v>
      </c>
      <c r="S2381">
        <v>7</v>
      </c>
      <c r="T2381">
        <v>0</v>
      </c>
      <c r="U2381" t="s">
        <v>15474</v>
      </c>
      <c r="V2381">
        <f>Tabla1[[#This Row],[Aboard]]-Tabla1[[#This Row],[Fatalities]]</f>
        <v>5</v>
      </c>
      <c r="W2381" s="50">
        <f>IFERROR(Tabla1[[#This Row],[Fatalities]]/Tabla1[[#This Row],[Aboard]],0)</f>
        <v>0.95238095238095233</v>
      </c>
      <c r="X2381" s="51" t="str" cm="1">
        <f t="array" ref="X2381">_xlfn.IFS(Tabla1[[#This Row],[Porcentaje de muertes]]&lt;0.35,"LEVE",AND(Tabla1[[#This Row],[Porcentaje de muertes]]&gt;0.35,Tabla1[[#This Row],[Porcentaje de muertes]]&lt;0.65),"MEDIO",Tabla1[[#This Row],[Porcentaje de muertes]]&gt;0.65,"GRAVE")</f>
        <v>GRAVE</v>
      </c>
    </row>
    <row r="2382" spans="2:24" x14ac:dyDescent="0.3">
      <c r="B2382" s="9">
        <v>2381</v>
      </c>
      <c r="C2382" s="49">
        <v>25282</v>
      </c>
      <c r="D2382" s="9">
        <f>YEAR(Tabla1[[#This Row],[Date]])</f>
        <v>1969</v>
      </c>
      <c r="E2382" s="9" t="str" cm="1">
        <f t="array" ref="E2382">IFERROR(_xlfn.IFS(AND(D2382&lt;1980,D2382&gt;=1970),"70",AND(D2382&lt;1990,D2382&gt;=1980),"80",AND(D2382&lt;2000,D2382&gt;=1990),"90",AND(D2382&lt;2010,D2382&gt;=2000),"00",AND(D2382&lt;=2019,D2382&gt;=2010),"10"),"1908-1970")</f>
        <v>1908-1970</v>
      </c>
      <c r="F2382" s="3">
        <v>0.28819444444444448</v>
      </c>
      <c r="G2382" t="s">
        <v>14900</v>
      </c>
      <c r="H2382" t="s">
        <v>15475</v>
      </c>
      <c r="I2382" t="s">
        <v>28931</v>
      </c>
      <c r="J2382" t="s">
        <v>15476</v>
      </c>
      <c r="K2382" t="s">
        <v>7057</v>
      </c>
      <c r="L2382" s="7" t="s">
        <v>15477</v>
      </c>
      <c r="M2382">
        <v>1946</v>
      </c>
      <c r="N2382">
        <v>27</v>
      </c>
      <c r="O2382">
        <v>24</v>
      </c>
      <c r="P2382">
        <v>3</v>
      </c>
      <c r="Q2382">
        <v>16</v>
      </c>
      <c r="R2382">
        <v>13</v>
      </c>
      <c r="S2382">
        <v>3</v>
      </c>
      <c r="T2382">
        <v>0</v>
      </c>
      <c r="U2382" t="s">
        <v>15478</v>
      </c>
      <c r="V2382">
        <f>Tabla1[[#This Row],[Aboard]]-Tabla1[[#This Row],[Fatalities]]</f>
        <v>11</v>
      </c>
      <c r="W2382" s="50">
        <f>IFERROR(Tabla1[[#This Row],[Fatalities]]/Tabla1[[#This Row],[Aboard]],0)</f>
        <v>0.59259259259259256</v>
      </c>
      <c r="X2382" s="51" t="str" cm="1">
        <f t="array" ref="X2382">_xlfn.IFS(Tabla1[[#This Row],[Porcentaje de muertes]]&lt;0.35,"LEVE",AND(Tabla1[[#This Row],[Porcentaje de muertes]]&gt;0.35,Tabla1[[#This Row],[Porcentaje de muertes]]&lt;0.65),"MEDIO",Tabla1[[#This Row],[Porcentaje de muertes]]&gt;0.65,"GRAVE")</f>
        <v>MEDIO</v>
      </c>
    </row>
    <row r="2383" spans="2:24" x14ac:dyDescent="0.3">
      <c r="B2383" s="9">
        <v>2382</v>
      </c>
      <c r="C2383" s="49">
        <v>25238</v>
      </c>
      <c r="D2383" s="9">
        <f>YEAR(Tabla1[[#This Row],[Date]])</f>
        <v>1969</v>
      </c>
      <c r="E2383" s="9" t="str" cm="1">
        <f t="array" ref="E2383">IFERROR(_xlfn.IFS(AND(D2383&lt;1980,D2383&gt;=1970),"70",AND(D2383&lt;1990,D2383&gt;=1980),"80",AND(D2383&lt;2000,D2383&gt;=1990),"90",AND(D2383&lt;2010,D2383&gt;=2000),"00",AND(D2383&lt;=2019,D2383&gt;=2010),"10"),"1908-1970")</f>
        <v>1908-1970</v>
      </c>
      <c r="F2383" s="3">
        <v>0.67222222222222217</v>
      </c>
      <c r="G2383" t="s">
        <v>15479</v>
      </c>
      <c r="H2383" t="s">
        <v>7237</v>
      </c>
      <c r="I2383">
        <v>165</v>
      </c>
      <c r="J2383" t="s">
        <v>15480</v>
      </c>
      <c r="K2383" t="s">
        <v>15299</v>
      </c>
      <c r="L2383" s="7" t="s">
        <v>15481</v>
      </c>
      <c r="M2383">
        <v>67302406</v>
      </c>
      <c r="N2383">
        <v>53</v>
      </c>
      <c r="O2383">
        <v>48</v>
      </c>
      <c r="P2383">
        <v>5</v>
      </c>
      <c r="Q2383">
        <v>53</v>
      </c>
      <c r="R2383">
        <v>48</v>
      </c>
      <c r="S2383">
        <v>5</v>
      </c>
      <c r="T2383">
        <v>0</v>
      </c>
      <c r="U2383" t="s">
        <v>15482</v>
      </c>
      <c r="V2383">
        <f>Tabla1[[#This Row],[Aboard]]-Tabla1[[#This Row],[Fatalities]]</f>
        <v>0</v>
      </c>
      <c r="W2383" s="50">
        <f>IFERROR(Tabla1[[#This Row],[Fatalities]]/Tabla1[[#This Row],[Aboard]],0)</f>
        <v>1</v>
      </c>
      <c r="X2383" s="51" t="str" cm="1">
        <f t="array" ref="X2383">_xlfn.IFS(Tabla1[[#This Row],[Porcentaje de muertes]]&lt;0.35,"LEVE",AND(Tabla1[[#This Row],[Porcentaje de muertes]]&gt;0.35,Tabla1[[#This Row],[Porcentaje de muertes]]&lt;0.65),"MEDIO",Tabla1[[#This Row],[Porcentaje de muertes]]&gt;0.65,"GRAVE")</f>
        <v>GRAVE</v>
      </c>
    </row>
    <row r="2384" spans="2:24" x14ac:dyDescent="0.3">
      <c r="B2384" s="9">
        <v>2383</v>
      </c>
      <c r="C2384" s="49">
        <v>25238</v>
      </c>
      <c r="D2384" s="9">
        <f>YEAR(Tabla1[[#This Row],[Date]])</f>
        <v>1969</v>
      </c>
      <c r="E2384" s="9" t="str" cm="1">
        <f t="array" ref="E2384">IFERROR(_xlfn.IFS(AND(D2384&lt;1980,D2384&gt;=1970),"70",AND(D2384&lt;1990,D2384&gt;=1980),"80",AND(D2384&lt;2000,D2384&gt;=1990),"90",AND(D2384&lt;2010,D2384&gt;=2000),"00",AND(D2384&lt;=2019,D2384&gt;=2010),"10"),"1908-1970")</f>
        <v>1908-1970</v>
      </c>
      <c r="F2384" s="3">
        <v>0.52777777777777779</v>
      </c>
      <c r="G2384" t="s">
        <v>15115</v>
      </c>
      <c r="H2384" t="s">
        <v>5017</v>
      </c>
      <c r="I2384" t="s">
        <v>28931</v>
      </c>
      <c r="J2384" t="s">
        <v>28931</v>
      </c>
      <c r="K2384" t="s">
        <v>15483</v>
      </c>
      <c r="L2384" s="7" t="s">
        <v>15484</v>
      </c>
      <c r="M2384" t="s">
        <v>28931</v>
      </c>
      <c r="N2384">
        <v>78</v>
      </c>
      <c r="O2384">
        <v>73</v>
      </c>
      <c r="P2384">
        <v>5</v>
      </c>
      <c r="Q2384">
        <v>24</v>
      </c>
      <c r="R2384">
        <v>23</v>
      </c>
      <c r="S2384">
        <v>1</v>
      </c>
      <c r="T2384">
        <v>0</v>
      </c>
      <c r="U2384" t="s">
        <v>15485</v>
      </c>
      <c r="V2384">
        <f>Tabla1[[#This Row],[Aboard]]-Tabla1[[#This Row],[Fatalities]]</f>
        <v>54</v>
      </c>
      <c r="W2384" s="50">
        <f>IFERROR(Tabla1[[#This Row],[Fatalities]]/Tabla1[[#This Row],[Aboard]],0)</f>
        <v>0.30769230769230771</v>
      </c>
      <c r="X2384" s="51" t="str" cm="1">
        <f t="array" ref="X2384">_xlfn.IFS(Tabla1[[#This Row],[Porcentaje de muertes]]&lt;0.35,"LEVE",AND(Tabla1[[#This Row],[Porcentaje de muertes]]&gt;0.35,Tabla1[[#This Row],[Porcentaje de muertes]]&lt;0.65),"MEDIO",Tabla1[[#This Row],[Porcentaje de muertes]]&gt;0.65,"GRAVE")</f>
        <v>LEVE</v>
      </c>
    </row>
    <row r="2385" spans="2:24" x14ac:dyDescent="0.3">
      <c r="B2385" s="9">
        <v>2384</v>
      </c>
      <c r="C2385" s="49">
        <v>25238</v>
      </c>
      <c r="D2385" s="9">
        <f>YEAR(Tabla1[[#This Row],[Date]])</f>
        <v>1969</v>
      </c>
      <c r="E2385" s="9" t="str" cm="1">
        <f t="array" ref="E2385">IFERROR(_xlfn.IFS(AND(D2385&lt;1980,D2385&gt;=1970),"70",AND(D2385&lt;1990,D2385&gt;=1980),"80",AND(D2385&lt;2000,D2385&gt;=1990),"90",AND(D2385&lt;2010,D2385&gt;=2000),"00",AND(D2385&lt;=2019,D2385&gt;=2010),"10"),"1908-1970")</f>
        <v>1908-1970</v>
      </c>
      <c r="F2385" s="3">
        <v>0.53472222222222221</v>
      </c>
      <c r="G2385" t="s">
        <v>15486</v>
      </c>
      <c r="H2385" t="s">
        <v>15487</v>
      </c>
      <c r="I2385" t="s">
        <v>28931</v>
      </c>
      <c r="J2385" t="s">
        <v>28931</v>
      </c>
      <c r="K2385" t="s">
        <v>10927</v>
      </c>
      <c r="L2385" s="7" t="s">
        <v>15488</v>
      </c>
      <c r="M2385">
        <v>22445</v>
      </c>
      <c r="N2385">
        <v>2</v>
      </c>
      <c r="O2385">
        <v>0</v>
      </c>
      <c r="P2385">
        <v>2</v>
      </c>
      <c r="Q2385">
        <v>2</v>
      </c>
      <c r="R2385">
        <v>0</v>
      </c>
      <c r="S2385">
        <v>2</v>
      </c>
      <c r="T2385">
        <v>0</v>
      </c>
      <c r="U2385" t="s">
        <v>15489</v>
      </c>
      <c r="V2385">
        <f>Tabla1[[#This Row],[Aboard]]-Tabla1[[#This Row],[Fatalities]]</f>
        <v>0</v>
      </c>
      <c r="W2385" s="50">
        <f>IFERROR(Tabla1[[#This Row],[Fatalities]]/Tabla1[[#This Row],[Aboard]],0)</f>
        <v>1</v>
      </c>
      <c r="X2385" s="51" t="str" cm="1">
        <f t="array" ref="X2385">_xlfn.IFS(Tabla1[[#This Row],[Porcentaje de muertes]]&lt;0.35,"LEVE",AND(Tabla1[[#This Row],[Porcentaje de muertes]]&gt;0.35,Tabla1[[#This Row],[Porcentaje de muertes]]&lt;0.65),"MEDIO",Tabla1[[#This Row],[Porcentaje de muertes]]&gt;0.65,"GRAVE")</f>
        <v>GRAVE</v>
      </c>
    </row>
    <row r="2386" spans="2:24" x14ac:dyDescent="0.3">
      <c r="B2386" s="9">
        <v>2385</v>
      </c>
      <c r="C2386" s="49">
        <v>25388</v>
      </c>
      <c r="D2386" s="9">
        <f>YEAR(Tabla1[[#This Row],[Date]])</f>
        <v>1969</v>
      </c>
      <c r="E2386" s="9" t="str" cm="1">
        <f t="array" ref="E2386">IFERROR(_xlfn.IFS(AND(D2386&lt;1980,D2386&gt;=1970),"70",AND(D2386&lt;1990,D2386&gt;=1980),"80",AND(D2386&lt;2000,D2386&gt;=1990),"90",AND(D2386&lt;2010,D2386&gt;=2000),"00",AND(D2386&lt;=2019,D2386&gt;=2010),"10"),"1908-1970")</f>
        <v>1908-1970</v>
      </c>
      <c r="F2386" s="3" t="s">
        <v>28931</v>
      </c>
      <c r="G2386" t="s">
        <v>15490</v>
      </c>
      <c r="H2386" t="s">
        <v>14947</v>
      </c>
      <c r="I2386" t="s">
        <v>28931</v>
      </c>
      <c r="J2386" t="s">
        <v>15491</v>
      </c>
      <c r="K2386" t="s">
        <v>13676</v>
      </c>
      <c r="L2386" s="7" t="s">
        <v>15492</v>
      </c>
      <c r="M2386">
        <v>271</v>
      </c>
      <c r="N2386">
        <v>21</v>
      </c>
      <c r="O2386">
        <v>17</v>
      </c>
      <c r="P2386">
        <v>4</v>
      </c>
      <c r="Q2386">
        <v>1</v>
      </c>
      <c r="R2386">
        <v>1</v>
      </c>
      <c r="S2386">
        <v>0</v>
      </c>
      <c r="T2386">
        <v>0</v>
      </c>
      <c r="U2386" t="s">
        <v>15493</v>
      </c>
      <c r="V2386">
        <f>Tabla1[[#This Row],[Aboard]]-Tabla1[[#This Row],[Fatalities]]</f>
        <v>20</v>
      </c>
      <c r="W2386" s="50">
        <f>IFERROR(Tabla1[[#This Row],[Fatalities]]/Tabla1[[#This Row],[Aboard]],0)</f>
        <v>4.7619047619047616E-2</v>
      </c>
      <c r="X2386" s="51" t="str" cm="1">
        <f t="array" ref="X2386">_xlfn.IFS(Tabla1[[#This Row],[Porcentaje de muertes]]&lt;0.35,"LEVE",AND(Tabla1[[#This Row],[Porcentaje de muertes]]&gt;0.35,Tabla1[[#This Row],[Porcentaje de muertes]]&lt;0.65),"MEDIO",Tabla1[[#This Row],[Porcentaje de muertes]]&gt;0.65,"GRAVE")</f>
        <v>LEVE</v>
      </c>
    </row>
    <row r="2387" spans="2:24" x14ac:dyDescent="0.3">
      <c r="B2387" s="9">
        <v>2386</v>
      </c>
      <c r="C2387" s="49">
        <v>25308</v>
      </c>
      <c r="D2387" s="9">
        <f>YEAR(Tabla1[[#This Row],[Date]])</f>
        <v>1969</v>
      </c>
      <c r="E2387" s="9" t="str" cm="1">
        <f t="array" ref="E2387">IFERROR(_xlfn.IFS(AND(D2387&lt;1980,D2387&gt;=1970),"70",AND(D2387&lt;1990,D2387&gt;=1980),"80",AND(D2387&lt;2000,D2387&gt;=1990),"90",AND(D2387&lt;2010,D2387&gt;=2000),"00",AND(D2387&lt;=2019,D2387&gt;=2010),"10"),"1908-1970")</f>
        <v>1908-1970</v>
      </c>
      <c r="F2387" s="3">
        <v>0.57638888888888895</v>
      </c>
      <c r="G2387" t="s">
        <v>15494</v>
      </c>
      <c r="H2387" t="s">
        <v>5027</v>
      </c>
      <c r="I2387" t="s">
        <v>28931</v>
      </c>
      <c r="J2387" t="s">
        <v>15495</v>
      </c>
      <c r="K2387" t="s">
        <v>15496</v>
      </c>
      <c r="L2387" s="7">
        <v>135749</v>
      </c>
      <c r="M2387">
        <v>4318</v>
      </c>
      <c r="N2387">
        <v>31</v>
      </c>
      <c r="O2387">
        <v>25</v>
      </c>
      <c r="P2387">
        <v>6</v>
      </c>
      <c r="Q2387">
        <v>31</v>
      </c>
      <c r="R2387">
        <v>25</v>
      </c>
      <c r="S2387">
        <v>6</v>
      </c>
      <c r="T2387">
        <v>0</v>
      </c>
      <c r="U2387" t="s">
        <v>15497</v>
      </c>
      <c r="V2387">
        <f>Tabla1[[#This Row],[Aboard]]-Tabla1[[#This Row],[Fatalities]]</f>
        <v>0</v>
      </c>
      <c r="W2387" s="50">
        <f>IFERROR(Tabla1[[#This Row],[Fatalities]]/Tabla1[[#This Row],[Aboard]],0)</f>
        <v>1</v>
      </c>
      <c r="X2387" s="51" t="str" cm="1">
        <f t="array" ref="X2387">_xlfn.IFS(Tabla1[[#This Row],[Porcentaje de muertes]]&lt;0.35,"LEVE",AND(Tabla1[[#This Row],[Porcentaje de muertes]]&gt;0.35,Tabla1[[#This Row],[Porcentaje de muertes]]&lt;0.65),"MEDIO",Tabla1[[#This Row],[Porcentaje de muertes]]&gt;0.65,"GRAVE")</f>
        <v>GRAVE</v>
      </c>
    </row>
    <row r="2388" spans="2:24" x14ac:dyDescent="0.3">
      <c r="B2388" s="9">
        <v>2387</v>
      </c>
      <c r="C2388" s="49">
        <v>25309</v>
      </c>
      <c r="D2388" s="9">
        <f>YEAR(Tabla1[[#This Row],[Date]])</f>
        <v>1969</v>
      </c>
      <c r="E2388" s="9" t="str" cm="1">
        <f t="array" ref="E2388">IFERROR(_xlfn.IFS(AND(D2388&lt;1980,D2388&gt;=1970),"70",AND(D2388&lt;1990,D2388&gt;=1980),"80",AND(D2388&lt;2000,D2388&gt;=1990),"90",AND(D2388&lt;2010,D2388&gt;=2000),"00",AND(D2388&lt;=2019,D2388&gt;=2010),"10"),"1908-1970")</f>
        <v>1908-1970</v>
      </c>
      <c r="F2388" s="3">
        <v>0.34722222222222227</v>
      </c>
      <c r="G2388" t="s">
        <v>15498</v>
      </c>
      <c r="H2388" t="s">
        <v>15499</v>
      </c>
      <c r="I2388" t="s">
        <v>28931</v>
      </c>
      <c r="J2388" t="s">
        <v>15500</v>
      </c>
      <c r="K2388" t="s">
        <v>8697</v>
      </c>
      <c r="L2388" s="7" t="s">
        <v>15501</v>
      </c>
      <c r="M2388">
        <v>26710</v>
      </c>
      <c r="N2388">
        <v>45</v>
      </c>
      <c r="O2388">
        <v>42</v>
      </c>
      <c r="P2388">
        <v>3</v>
      </c>
      <c r="Q2388">
        <v>45</v>
      </c>
      <c r="R2388">
        <v>42</v>
      </c>
      <c r="S2388">
        <v>3</v>
      </c>
      <c r="T2388">
        <v>0</v>
      </c>
      <c r="U2388" t="s">
        <v>15502</v>
      </c>
      <c r="V2388">
        <f>Tabla1[[#This Row],[Aboard]]-Tabla1[[#This Row],[Fatalities]]</f>
        <v>0</v>
      </c>
      <c r="W2388" s="50">
        <f>IFERROR(Tabla1[[#This Row],[Fatalities]]/Tabla1[[#This Row],[Aboard]],0)</f>
        <v>1</v>
      </c>
      <c r="X2388" s="51" t="str" cm="1">
        <f t="array" ref="X2388">_xlfn.IFS(Tabla1[[#This Row],[Porcentaje de muertes]]&lt;0.35,"LEVE",AND(Tabla1[[#This Row],[Porcentaje de muertes]]&gt;0.35,Tabla1[[#This Row],[Porcentaje de muertes]]&lt;0.65),"MEDIO",Tabla1[[#This Row],[Porcentaje de muertes]]&gt;0.65,"GRAVE")</f>
        <v>GRAVE</v>
      </c>
    </row>
    <row r="2389" spans="2:24" x14ac:dyDescent="0.3">
      <c r="B2389" s="9">
        <v>2388</v>
      </c>
      <c r="C2389" s="49">
        <v>25314</v>
      </c>
      <c r="D2389" s="9">
        <f>YEAR(Tabla1[[#This Row],[Date]])</f>
        <v>1969</v>
      </c>
      <c r="E2389" s="9" t="str" cm="1">
        <f t="array" ref="E2389">IFERROR(_xlfn.IFS(AND(D2389&lt;1980,D2389&gt;=1970),"70",AND(D2389&lt;1990,D2389&gt;=1980),"80",AND(D2389&lt;2000,D2389&gt;=1990),"90",AND(D2389&lt;2010,D2389&gt;=2000),"00",AND(D2389&lt;=2019,D2389&gt;=2010),"10"),"1908-1970")</f>
        <v>1908-1970</v>
      </c>
      <c r="F2389" s="3">
        <v>0.62430555555555556</v>
      </c>
      <c r="G2389" t="s">
        <v>15503</v>
      </c>
      <c r="H2389" t="s">
        <v>11150</v>
      </c>
      <c r="I2389" t="s">
        <v>28931</v>
      </c>
      <c r="J2389" t="s">
        <v>15504</v>
      </c>
      <c r="K2389" t="s">
        <v>12968</v>
      </c>
      <c r="L2389" s="7" t="s">
        <v>15505</v>
      </c>
      <c r="M2389">
        <v>10214</v>
      </c>
      <c r="N2389">
        <v>44</v>
      </c>
      <c r="O2389">
        <v>40</v>
      </c>
      <c r="P2389">
        <v>4</v>
      </c>
      <c r="Q2389">
        <v>44</v>
      </c>
      <c r="R2389">
        <v>40</v>
      </c>
      <c r="S2389">
        <v>4</v>
      </c>
      <c r="T2389">
        <v>0</v>
      </c>
      <c r="U2389" t="s">
        <v>15506</v>
      </c>
      <c r="V2389">
        <f>Tabla1[[#This Row],[Aboard]]-Tabla1[[#This Row],[Fatalities]]</f>
        <v>0</v>
      </c>
      <c r="W2389" s="50">
        <f>IFERROR(Tabla1[[#This Row],[Fatalities]]/Tabla1[[#This Row],[Aboard]],0)</f>
        <v>1</v>
      </c>
      <c r="X2389" s="51" t="str" cm="1">
        <f t="array" ref="X2389">_xlfn.IFS(Tabla1[[#This Row],[Porcentaje de muertes]]&lt;0.35,"LEVE",AND(Tabla1[[#This Row],[Porcentaje de muertes]]&gt;0.35,Tabla1[[#This Row],[Porcentaje de muertes]]&lt;0.65),"MEDIO",Tabla1[[#This Row],[Porcentaje de muertes]]&gt;0.65,"GRAVE")</f>
        <v>GRAVE</v>
      </c>
    </row>
    <row r="2390" spans="2:24" x14ac:dyDescent="0.3">
      <c r="B2390" s="9">
        <v>2389</v>
      </c>
      <c r="C2390" s="49">
        <v>25317</v>
      </c>
      <c r="D2390" s="9">
        <f>YEAR(Tabla1[[#This Row],[Date]])</f>
        <v>1969</v>
      </c>
      <c r="E2390" s="9" t="str" cm="1">
        <f t="array" ref="E2390">IFERROR(_xlfn.IFS(AND(D2390&lt;1980,D2390&gt;=1970),"70",AND(D2390&lt;1990,D2390&gt;=1980),"80",AND(D2390&lt;2000,D2390&gt;=1990),"90",AND(D2390&lt;2010,D2390&gt;=2000),"00",AND(D2390&lt;=2019,D2390&gt;=2010),"10"),"1908-1970")</f>
        <v>1908-1970</v>
      </c>
      <c r="F2390" s="3" t="s">
        <v>28931</v>
      </c>
      <c r="G2390" t="s">
        <v>15507</v>
      </c>
      <c r="H2390" t="s">
        <v>15508</v>
      </c>
      <c r="I2390" t="s">
        <v>28931</v>
      </c>
      <c r="J2390" t="s">
        <v>28931</v>
      </c>
      <c r="K2390" t="s">
        <v>7057</v>
      </c>
      <c r="L2390" s="7" t="s">
        <v>15509</v>
      </c>
      <c r="M2390">
        <v>9407</v>
      </c>
      <c r="N2390">
        <v>33</v>
      </c>
      <c r="O2390">
        <v>30</v>
      </c>
      <c r="P2390">
        <v>3</v>
      </c>
      <c r="Q2390">
        <v>1</v>
      </c>
      <c r="R2390">
        <v>1</v>
      </c>
      <c r="S2390">
        <v>0</v>
      </c>
      <c r="T2390">
        <v>0</v>
      </c>
      <c r="U2390" t="s">
        <v>15510</v>
      </c>
      <c r="V2390">
        <f>Tabla1[[#This Row],[Aboard]]-Tabla1[[#This Row],[Fatalities]]</f>
        <v>32</v>
      </c>
      <c r="W2390" s="50">
        <f>IFERROR(Tabla1[[#This Row],[Fatalities]]/Tabla1[[#This Row],[Aboard]],0)</f>
        <v>3.0303030303030304E-2</v>
      </c>
      <c r="X2390" s="51" t="str" cm="1">
        <f t="array" ref="X2390">_xlfn.IFS(Tabla1[[#This Row],[Porcentaje de muertes]]&lt;0.35,"LEVE",AND(Tabla1[[#This Row],[Porcentaje de muertes]]&gt;0.35,Tabla1[[#This Row],[Porcentaje de muertes]]&lt;0.65),"MEDIO",Tabla1[[#This Row],[Porcentaje de muertes]]&gt;0.65,"GRAVE")</f>
        <v>LEVE</v>
      </c>
    </row>
    <row r="2391" spans="2:24" x14ac:dyDescent="0.3">
      <c r="B2391" s="9">
        <v>2390</v>
      </c>
      <c r="C2391" s="49">
        <v>25359</v>
      </c>
      <c r="D2391" s="9">
        <f>YEAR(Tabla1[[#This Row],[Date]])</f>
        <v>1969</v>
      </c>
      <c r="E2391" s="9" t="str" cm="1">
        <f t="array" ref="E2391">IFERROR(_xlfn.IFS(AND(D2391&lt;1980,D2391&gt;=1970),"70",AND(D2391&lt;1990,D2391&gt;=1980),"80",AND(D2391&lt;2000,D2391&gt;=1990),"90",AND(D2391&lt;2010,D2391&gt;=2000),"00",AND(D2391&lt;=2019,D2391&gt;=2010),"10"),"1908-1970")</f>
        <v>1908-1970</v>
      </c>
      <c r="F2391" s="3">
        <v>0.55555555555555558</v>
      </c>
      <c r="G2391" t="s">
        <v>15511</v>
      </c>
      <c r="H2391" t="s">
        <v>5017</v>
      </c>
      <c r="I2391" t="s">
        <v>28931</v>
      </c>
      <c r="J2391" t="s">
        <v>28931</v>
      </c>
      <c r="K2391" t="s">
        <v>15512</v>
      </c>
      <c r="L2391" s="7" t="s">
        <v>15513</v>
      </c>
      <c r="M2391" t="s">
        <v>28931</v>
      </c>
      <c r="N2391">
        <v>74</v>
      </c>
      <c r="O2391">
        <v>69</v>
      </c>
      <c r="P2391">
        <v>5</v>
      </c>
      <c r="Q2391">
        <v>30</v>
      </c>
      <c r="R2391">
        <v>29</v>
      </c>
      <c r="S2391">
        <v>1</v>
      </c>
      <c r="T2391">
        <v>0</v>
      </c>
      <c r="U2391" t="s">
        <v>15514</v>
      </c>
      <c r="V2391">
        <f>Tabla1[[#This Row],[Aboard]]-Tabla1[[#This Row],[Fatalities]]</f>
        <v>44</v>
      </c>
      <c r="W2391" s="50">
        <f>IFERROR(Tabla1[[#This Row],[Fatalities]]/Tabla1[[#This Row],[Aboard]],0)</f>
        <v>0.40540540540540543</v>
      </c>
      <c r="X2391" s="51" t="str" cm="1">
        <f t="array" ref="X2391">_xlfn.IFS(Tabla1[[#This Row],[Porcentaje de muertes]]&lt;0.35,"LEVE",AND(Tabla1[[#This Row],[Porcentaje de muertes]]&gt;0.35,Tabla1[[#This Row],[Porcentaje de muertes]]&lt;0.65),"MEDIO",Tabla1[[#This Row],[Porcentaje de muertes]]&gt;0.65,"GRAVE")</f>
        <v>MEDIO</v>
      </c>
    </row>
    <row r="2392" spans="2:24" x14ac:dyDescent="0.3">
      <c r="B2392" s="9">
        <v>2391</v>
      </c>
      <c r="C2392" s="49">
        <v>25389</v>
      </c>
      <c r="D2392" s="9">
        <f>YEAR(Tabla1[[#This Row],[Date]])</f>
        <v>1969</v>
      </c>
      <c r="E2392" s="9" t="str" cm="1">
        <f t="array" ref="E2392">IFERROR(_xlfn.IFS(AND(D2392&lt;1980,D2392&gt;=1970),"70",AND(D2392&lt;1990,D2392&gt;=1980),"80",AND(D2392&lt;2000,D2392&gt;=1990),"90",AND(D2392&lt;2010,D2392&gt;=2000),"00",AND(D2392&lt;=2019,D2392&gt;=2010),"10"),"1908-1970")</f>
        <v>1908-1970</v>
      </c>
      <c r="F2392" s="3">
        <v>0.53125</v>
      </c>
      <c r="G2392" t="s">
        <v>15515</v>
      </c>
      <c r="H2392" t="s">
        <v>15516</v>
      </c>
      <c r="I2392" t="s">
        <v>28931</v>
      </c>
      <c r="J2392" t="s">
        <v>15517</v>
      </c>
      <c r="K2392" t="s">
        <v>10927</v>
      </c>
      <c r="L2392" s="7" t="s">
        <v>15518</v>
      </c>
      <c r="M2392">
        <v>22456</v>
      </c>
      <c r="N2392">
        <v>2</v>
      </c>
      <c r="O2392">
        <v>0</v>
      </c>
      <c r="P2392">
        <v>2</v>
      </c>
      <c r="Q2392">
        <v>2</v>
      </c>
      <c r="R2392">
        <v>0</v>
      </c>
      <c r="S2392">
        <v>2</v>
      </c>
      <c r="T2392">
        <v>0</v>
      </c>
      <c r="U2392" t="s">
        <v>15519</v>
      </c>
      <c r="V2392">
        <f>Tabla1[[#This Row],[Aboard]]-Tabla1[[#This Row],[Fatalities]]</f>
        <v>0</v>
      </c>
      <c r="W2392" s="50">
        <f>IFERROR(Tabla1[[#This Row],[Fatalities]]/Tabla1[[#This Row],[Aboard]],0)</f>
        <v>1</v>
      </c>
      <c r="X2392" s="51" t="str" cm="1">
        <f t="array" ref="X2392">_xlfn.IFS(Tabla1[[#This Row],[Porcentaje de muertes]]&lt;0.35,"LEVE",AND(Tabla1[[#This Row],[Porcentaje de muertes]]&gt;0.35,Tabla1[[#This Row],[Porcentaje de muertes]]&lt;0.65),"MEDIO",Tabla1[[#This Row],[Porcentaje de muertes]]&gt;0.65,"GRAVE")</f>
        <v>GRAVE</v>
      </c>
    </row>
    <row r="2393" spans="2:24" x14ac:dyDescent="0.3">
      <c r="B2393" s="9">
        <v>2392</v>
      </c>
      <c r="C2393" s="49">
        <v>25346</v>
      </c>
      <c r="D2393" s="9">
        <f>YEAR(Tabla1[[#This Row],[Date]])</f>
        <v>1969</v>
      </c>
      <c r="E2393" s="9" t="str" cm="1">
        <f t="array" ref="E2393">IFERROR(_xlfn.IFS(AND(D2393&lt;1980,D2393&gt;=1970),"70",AND(D2393&lt;1990,D2393&gt;=1980),"80",AND(D2393&lt;2000,D2393&gt;=1990),"90",AND(D2393&lt;2010,D2393&gt;=2000),"00",AND(D2393&lt;=2019,D2393&gt;=2010),"10"),"1908-1970")</f>
        <v>1908-1970</v>
      </c>
      <c r="F2393" s="3" t="s">
        <v>28931</v>
      </c>
      <c r="G2393" t="s">
        <v>15520</v>
      </c>
      <c r="H2393" t="s">
        <v>11602</v>
      </c>
      <c r="I2393" t="s">
        <v>28931</v>
      </c>
      <c r="J2393" t="s">
        <v>28931</v>
      </c>
      <c r="K2393" t="s">
        <v>7826</v>
      </c>
      <c r="L2393" s="7" t="s">
        <v>15521</v>
      </c>
      <c r="M2393">
        <v>9629</v>
      </c>
      <c r="N2393">
        <v>6</v>
      </c>
      <c r="O2393">
        <v>4</v>
      </c>
      <c r="P2393">
        <v>2</v>
      </c>
      <c r="Q2393">
        <v>6</v>
      </c>
      <c r="R2393">
        <v>4</v>
      </c>
      <c r="S2393">
        <v>2</v>
      </c>
      <c r="T2393">
        <v>0</v>
      </c>
      <c r="U2393" t="s">
        <v>15522</v>
      </c>
      <c r="V2393">
        <f>Tabla1[[#This Row],[Aboard]]-Tabla1[[#This Row],[Fatalities]]</f>
        <v>0</v>
      </c>
      <c r="W2393" s="50">
        <f>IFERROR(Tabla1[[#This Row],[Fatalities]]/Tabla1[[#This Row],[Aboard]],0)</f>
        <v>1</v>
      </c>
      <c r="X2393" s="51" t="str" cm="1">
        <f t="array" ref="X2393">_xlfn.IFS(Tabla1[[#This Row],[Porcentaje de muertes]]&lt;0.35,"LEVE",AND(Tabla1[[#This Row],[Porcentaje de muertes]]&gt;0.35,Tabla1[[#This Row],[Porcentaje de muertes]]&lt;0.65),"MEDIO",Tabla1[[#This Row],[Porcentaje de muertes]]&gt;0.65,"GRAVE")</f>
        <v>GRAVE</v>
      </c>
    </row>
    <row r="2394" spans="2:24" x14ac:dyDescent="0.3">
      <c r="B2394" s="9">
        <v>2393</v>
      </c>
      <c r="C2394" s="49">
        <v>25348</v>
      </c>
      <c r="D2394" s="9">
        <f>YEAR(Tabla1[[#This Row],[Date]])</f>
        <v>1969</v>
      </c>
      <c r="E2394" s="9" t="str" cm="1">
        <f t="array" ref="E2394">IFERROR(_xlfn.IFS(AND(D2394&lt;1980,D2394&gt;=1970),"70",AND(D2394&lt;1990,D2394&gt;=1980),"80",AND(D2394&lt;2000,D2394&gt;=1990),"90",AND(D2394&lt;2010,D2394&gt;=2000),"00",AND(D2394&lt;=2019,D2394&gt;=2010),"10"),"1908-1970")</f>
        <v>1908-1970</v>
      </c>
      <c r="F2394" s="3">
        <v>0.41111111111111115</v>
      </c>
      <c r="G2394" t="s">
        <v>15523</v>
      </c>
      <c r="H2394" t="s">
        <v>15524</v>
      </c>
      <c r="I2394" t="s">
        <v>28931</v>
      </c>
      <c r="J2394" t="s">
        <v>15525</v>
      </c>
      <c r="K2394" t="s">
        <v>15526</v>
      </c>
      <c r="L2394" s="7" t="s">
        <v>15527</v>
      </c>
      <c r="M2394">
        <v>10363</v>
      </c>
      <c r="N2394">
        <v>36</v>
      </c>
      <c r="O2394">
        <v>31</v>
      </c>
      <c r="P2394">
        <v>5</v>
      </c>
      <c r="Q2394">
        <v>1</v>
      </c>
      <c r="R2394">
        <v>1</v>
      </c>
      <c r="S2394">
        <v>0</v>
      </c>
      <c r="T2394">
        <v>0</v>
      </c>
      <c r="U2394" t="s">
        <v>15528</v>
      </c>
      <c r="V2394">
        <f>Tabla1[[#This Row],[Aboard]]-Tabla1[[#This Row],[Fatalities]]</f>
        <v>35</v>
      </c>
      <c r="W2394" s="50">
        <f>IFERROR(Tabla1[[#This Row],[Fatalities]]/Tabla1[[#This Row],[Aboard]],0)</f>
        <v>2.7777777777777776E-2</v>
      </c>
      <c r="X2394" s="51" t="str" cm="1">
        <f t="array" ref="X2394">_xlfn.IFS(Tabla1[[#This Row],[Porcentaje de muertes]]&lt;0.35,"LEVE",AND(Tabla1[[#This Row],[Porcentaje de muertes]]&gt;0.35,Tabla1[[#This Row],[Porcentaje de muertes]]&lt;0.65),"MEDIO",Tabla1[[#This Row],[Porcentaje de muertes]]&gt;0.65,"GRAVE")</f>
        <v>LEVE</v>
      </c>
    </row>
    <row r="2395" spans="2:24" x14ac:dyDescent="0.3">
      <c r="B2395" s="9">
        <v>2394</v>
      </c>
      <c r="C2395" s="49">
        <v>25299</v>
      </c>
      <c r="D2395" s="9">
        <f>YEAR(Tabla1[[#This Row],[Date]])</f>
        <v>1969</v>
      </c>
      <c r="E2395" s="9" t="str" cm="1">
        <f t="array" ref="E2395">IFERROR(_xlfn.IFS(AND(D2395&lt;1980,D2395&gt;=1970),"70",AND(D2395&lt;1990,D2395&gt;=1980),"80",AND(D2395&lt;2000,D2395&gt;=1990),"90",AND(D2395&lt;2010,D2395&gt;=2000),"00",AND(D2395&lt;=2019,D2395&gt;=2010),"10"),"1908-1970")</f>
        <v>1908-1970</v>
      </c>
      <c r="F2395" s="3">
        <v>0.36249999999999999</v>
      </c>
      <c r="G2395" t="s">
        <v>15529</v>
      </c>
      <c r="H2395" t="s">
        <v>15530</v>
      </c>
      <c r="I2395">
        <v>704</v>
      </c>
      <c r="J2395" t="s">
        <v>15531</v>
      </c>
      <c r="K2395" t="s">
        <v>15532</v>
      </c>
      <c r="L2395" s="7" t="s">
        <v>15533</v>
      </c>
      <c r="M2395" t="s">
        <v>15534</v>
      </c>
      <c r="N2395">
        <v>79</v>
      </c>
      <c r="O2395">
        <v>72</v>
      </c>
      <c r="P2395">
        <v>7</v>
      </c>
      <c r="Q2395">
        <v>79</v>
      </c>
      <c r="R2395">
        <v>72</v>
      </c>
      <c r="S2395">
        <v>7</v>
      </c>
      <c r="T2395">
        <v>0</v>
      </c>
      <c r="U2395" t="s">
        <v>15535</v>
      </c>
      <c r="V2395">
        <f>Tabla1[[#This Row],[Aboard]]-Tabla1[[#This Row],[Fatalities]]</f>
        <v>0</v>
      </c>
      <c r="W2395" s="50">
        <f>IFERROR(Tabla1[[#This Row],[Fatalities]]/Tabla1[[#This Row],[Aboard]],0)</f>
        <v>1</v>
      </c>
      <c r="X2395" s="51" t="str" cm="1">
        <f t="array" ref="X2395">_xlfn.IFS(Tabla1[[#This Row],[Porcentaje de muertes]]&lt;0.35,"LEVE",AND(Tabla1[[#This Row],[Porcentaje de muertes]]&gt;0.35,Tabla1[[#This Row],[Porcentaje de muertes]]&lt;0.65),"MEDIO",Tabla1[[#This Row],[Porcentaje de muertes]]&gt;0.65,"GRAVE")</f>
        <v>GRAVE</v>
      </c>
    </row>
    <row r="2396" spans="2:24" x14ac:dyDescent="0.3">
      <c r="B2396" s="9">
        <v>2395</v>
      </c>
      <c r="C2396" s="49">
        <v>25329</v>
      </c>
      <c r="D2396" s="9">
        <f>YEAR(Tabla1[[#This Row],[Date]])</f>
        <v>1969</v>
      </c>
      <c r="E2396" s="9" t="str" cm="1">
        <f t="array" ref="E2396">IFERROR(_xlfn.IFS(AND(D2396&lt;1980,D2396&gt;=1970),"70",AND(D2396&lt;1990,D2396&gt;=1980),"80",AND(D2396&lt;2000,D2396&gt;=1990),"90",AND(D2396&lt;2010,D2396&gt;=2000),"00",AND(D2396&lt;=2019,D2396&gt;=2010),"10"),"1908-1970")</f>
        <v>1908-1970</v>
      </c>
      <c r="F2396" s="3" t="s">
        <v>28931</v>
      </c>
      <c r="G2396" t="s">
        <v>15536</v>
      </c>
      <c r="H2396" t="s">
        <v>7987</v>
      </c>
      <c r="I2396" t="s">
        <v>28931</v>
      </c>
      <c r="J2396" t="s">
        <v>15537</v>
      </c>
      <c r="K2396" t="s">
        <v>12696</v>
      </c>
      <c r="L2396" s="7" t="s">
        <v>15538</v>
      </c>
      <c r="M2396">
        <v>18477</v>
      </c>
      <c r="N2396">
        <v>19</v>
      </c>
      <c r="O2396">
        <v>0</v>
      </c>
      <c r="P2396">
        <v>19</v>
      </c>
      <c r="Q2396">
        <v>19</v>
      </c>
      <c r="R2396">
        <v>0</v>
      </c>
      <c r="S2396">
        <v>19</v>
      </c>
      <c r="T2396">
        <v>0</v>
      </c>
      <c r="U2396" t="s">
        <v>15539</v>
      </c>
      <c r="V2396">
        <f>Tabla1[[#This Row],[Aboard]]-Tabla1[[#This Row],[Fatalities]]</f>
        <v>0</v>
      </c>
      <c r="W2396" s="50">
        <f>IFERROR(Tabla1[[#This Row],[Fatalities]]/Tabla1[[#This Row],[Aboard]],0)</f>
        <v>1</v>
      </c>
      <c r="X2396" s="51" t="str" cm="1">
        <f t="array" ref="X2396">_xlfn.IFS(Tabla1[[#This Row],[Porcentaje de muertes]]&lt;0.35,"LEVE",AND(Tabla1[[#This Row],[Porcentaje de muertes]]&gt;0.35,Tabla1[[#This Row],[Porcentaje de muertes]]&lt;0.65),"MEDIO",Tabla1[[#This Row],[Porcentaje de muertes]]&gt;0.65,"GRAVE")</f>
        <v>GRAVE</v>
      </c>
    </row>
    <row r="2397" spans="2:24" x14ac:dyDescent="0.3">
      <c r="B2397" s="9">
        <v>2396</v>
      </c>
      <c r="C2397" s="49">
        <v>25377</v>
      </c>
      <c r="D2397" s="9">
        <f>YEAR(Tabla1[[#This Row],[Date]])</f>
        <v>1969</v>
      </c>
      <c r="E2397" s="9" t="str" cm="1">
        <f t="array" ref="E2397">IFERROR(_xlfn.IFS(AND(D2397&lt;1980,D2397&gt;=1970),"70",AND(D2397&lt;1990,D2397&gt;=1980),"80",AND(D2397&lt;2000,D2397&gt;=1990),"90",AND(D2397&lt;2010,D2397&gt;=2000),"00",AND(D2397&lt;=2019,D2397&gt;=2010),"10"),"1908-1970")</f>
        <v>1908-1970</v>
      </c>
      <c r="F2397" s="3">
        <v>0.61944444444444446</v>
      </c>
      <c r="G2397" t="s">
        <v>15540</v>
      </c>
      <c r="H2397" t="s">
        <v>6541</v>
      </c>
      <c r="I2397">
        <v>831</v>
      </c>
      <c r="J2397" t="s">
        <v>15541</v>
      </c>
      <c r="K2397" t="s">
        <v>15542</v>
      </c>
      <c r="L2397" s="7" t="s">
        <v>15543</v>
      </c>
      <c r="M2397" t="s">
        <v>15544</v>
      </c>
      <c r="N2397">
        <v>120</v>
      </c>
      <c r="O2397">
        <v>110</v>
      </c>
      <c r="P2397">
        <v>10</v>
      </c>
      <c r="Q2397">
        <v>120</v>
      </c>
      <c r="R2397">
        <v>110</v>
      </c>
      <c r="S2397">
        <v>10</v>
      </c>
      <c r="T2397">
        <v>0</v>
      </c>
      <c r="U2397" t="s">
        <v>15545</v>
      </c>
      <c r="V2397">
        <f>Tabla1[[#This Row],[Aboard]]-Tabla1[[#This Row],[Fatalities]]</f>
        <v>0</v>
      </c>
      <c r="W2397" s="50">
        <f>IFERROR(Tabla1[[#This Row],[Fatalities]]/Tabla1[[#This Row],[Aboard]],0)</f>
        <v>1</v>
      </c>
      <c r="X2397" s="51" t="str" cm="1">
        <f t="array" ref="X2397">_xlfn.IFS(Tabla1[[#This Row],[Porcentaje de muertes]]&lt;0.35,"LEVE",AND(Tabla1[[#This Row],[Porcentaje de muertes]]&gt;0.35,Tabla1[[#This Row],[Porcentaje de muertes]]&lt;0.65),"MEDIO",Tabla1[[#This Row],[Porcentaje de muertes]]&gt;0.65,"GRAVE")</f>
        <v>GRAVE</v>
      </c>
    </row>
    <row r="2398" spans="2:24" x14ac:dyDescent="0.3">
      <c r="B2398" s="9">
        <v>2397</v>
      </c>
      <c r="C2398" s="49">
        <v>25382</v>
      </c>
      <c r="D2398" s="9">
        <f>YEAR(Tabla1[[#This Row],[Date]])</f>
        <v>1969</v>
      </c>
      <c r="E2398" s="9" t="str" cm="1">
        <f t="array" ref="E2398">IFERROR(_xlfn.IFS(AND(D2398&lt;1980,D2398&gt;=1970),"70",AND(D2398&lt;1990,D2398&gt;=1980),"80",AND(D2398&lt;2000,D2398&gt;=1990),"90",AND(D2398&lt;2010,D2398&gt;=2000),"00",AND(D2398&lt;=2019,D2398&gt;=2010),"10"),"1908-1970")</f>
        <v>1908-1970</v>
      </c>
      <c r="F2398" s="3">
        <v>0.82638888888888884</v>
      </c>
      <c r="G2398" t="s">
        <v>15546</v>
      </c>
      <c r="H2398" t="s">
        <v>6541</v>
      </c>
      <c r="I2398" t="s">
        <v>15547</v>
      </c>
      <c r="J2398" t="s">
        <v>15548</v>
      </c>
      <c r="K2398" t="s">
        <v>12541</v>
      </c>
      <c r="L2398" s="7" t="s">
        <v>15549</v>
      </c>
      <c r="M2398">
        <v>7343306</v>
      </c>
      <c r="N2398">
        <v>40</v>
      </c>
      <c r="O2398">
        <v>35</v>
      </c>
      <c r="P2398">
        <v>5</v>
      </c>
      <c r="Q2398">
        <v>40</v>
      </c>
      <c r="R2398">
        <v>35</v>
      </c>
      <c r="S2398">
        <v>5</v>
      </c>
      <c r="T2398">
        <v>0</v>
      </c>
      <c r="U2398" t="s">
        <v>15550</v>
      </c>
      <c r="V2398">
        <f>Tabla1[[#This Row],[Aboard]]-Tabla1[[#This Row],[Fatalities]]</f>
        <v>0</v>
      </c>
      <c r="W2398" s="50">
        <f>IFERROR(Tabla1[[#This Row],[Fatalities]]/Tabla1[[#This Row],[Aboard]],0)</f>
        <v>1</v>
      </c>
      <c r="X2398" s="51" t="str" cm="1">
        <f t="array" ref="X2398">_xlfn.IFS(Tabla1[[#This Row],[Porcentaje de muertes]]&lt;0.35,"LEVE",AND(Tabla1[[#This Row],[Porcentaje de muertes]]&gt;0.35,Tabla1[[#This Row],[Porcentaje de muertes]]&lt;0.65),"MEDIO",Tabla1[[#This Row],[Porcentaje de muertes]]&gt;0.65,"GRAVE")</f>
        <v>GRAVE</v>
      </c>
    </row>
    <row r="2399" spans="2:24" x14ac:dyDescent="0.3">
      <c r="B2399" s="9">
        <v>2398</v>
      </c>
      <c r="C2399" s="49">
        <v>25361</v>
      </c>
      <c r="D2399" s="9">
        <f>YEAR(Tabla1[[#This Row],[Date]])</f>
        <v>1969</v>
      </c>
      <c r="E2399" s="9" t="str" cm="1">
        <f t="array" ref="E2399">IFERROR(_xlfn.IFS(AND(D2399&lt;1980,D2399&gt;=1970),"70",AND(D2399&lt;1990,D2399&gt;=1980),"80",AND(D2399&lt;2000,D2399&gt;=1990),"90",AND(D2399&lt;2010,D2399&gt;=2000),"00",AND(D2399&lt;=2019,D2399&gt;=2010),"10"),"1908-1970")</f>
        <v>1908-1970</v>
      </c>
      <c r="F2399" s="3">
        <v>0.84861111111111109</v>
      </c>
      <c r="G2399" t="s">
        <v>15551</v>
      </c>
      <c r="H2399" t="s">
        <v>15552</v>
      </c>
      <c r="I2399">
        <v>168</v>
      </c>
      <c r="J2399" t="s">
        <v>15553</v>
      </c>
      <c r="K2399" t="s">
        <v>15554</v>
      </c>
      <c r="L2399" s="7" t="s">
        <v>15555</v>
      </c>
      <c r="M2399" t="s">
        <v>15556</v>
      </c>
      <c r="N2399">
        <v>14</v>
      </c>
      <c r="O2399">
        <v>12</v>
      </c>
      <c r="P2399">
        <v>2</v>
      </c>
      <c r="Q2399">
        <v>14</v>
      </c>
      <c r="R2399">
        <v>12</v>
      </c>
      <c r="S2399">
        <v>2</v>
      </c>
      <c r="T2399">
        <v>0</v>
      </c>
      <c r="U2399" t="s">
        <v>15557</v>
      </c>
      <c r="V2399">
        <f>Tabla1[[#This Row],[Aboard]]-Tabla1[[#This Row],[Fatalities]]</f>
        <v>0</v>
      </c>
      <c r="W2399" s="50">
        <f>IFERROR(Tabla1[[#This Row],[Fatalities]]/Tabla1[[#This Row],[Aboard]],0)</f>
        <v>1</v>
      </c>
      <c r="X2399" s="51" t="str" cm="1">
        <f t="array" ref="X2399">_xlfn.IFS(Tabla1[[#This Row],[Porcentaje de muertes]]&lt;0.35,"LEVE",AND(Tabla1[[#This Row],[Porcentaje de muertes]]&gt;0.35,Tabla1[[#This Row],[Porcentaje de muertes]]&lt;0.65),"MEDIO",Tabla1[[#This Row],[Porcentaje de muertes]]&gt;0.65,"GRAVE")</f>
        <v>GRAVE</v>
      </c>
    </row>
    <row r="2400" spans="2:24" x14ac:dyDescent="0.3">
      <c r="B2400" s="9">
        <v>2399</v>
      </c>
      <c r="C2400" s="49">
        <v>25544</v>
      </c>
      <c r="D2400" s="9">
        <f>YEAR(Tabla1[[#This Row],[Date]])</f>
        <v>1969</v>
      </c>
      <c r="E2400" s="9" t="str" cm="1">
        <f t="array" ref="E2400">IFERROR(_xlfn.IFS(AND(D2400&lt;1980,D2400&gt;=1970),"70",AND(D2400&lt;1990,D2400&gt;=1980),"80",AND(D2400&lt;2000,D2400&gt;=1990),"90",AND(D2400&lt;2010,D2400&gt;=2000),"00",AND(D2400&lt;=2019,D2400&gt;=2010),"10"),"1908-1970")</f>
        <v>1908-1970</v>
      </c>
      <c r="F2400" s="3" t="s">
        <v>28931</v>
      </c>
      <c r="G2400" t="s">
        <v>15558</v>
      </c>
      <c r="H2400" t="s">
        <v>13123</v>
      </c>
      <c r="I2400" t="s">
        <v>28931</v>
      </c>
      <c r="J2400" t="s">
        <v>15559</v>
      </c>
      <c r="K2400" t="s">
        <v>7057</v>
      </c>
      <c r="L2400" s="7" t="s">
        <v>15560</v>
      </c>
      <c r="M2400">
        <v>42956</v>
      </c>
      <c r="N2400">
        <v>35</v>
      </c>
      <c r="O2400">
        <v>31</v>
      </c>
      <c r="P2400">
        <v>4</v>
      </c>
      <c r="Q2400">
        <v>35</v>
      </c>
      <c r="R2400">
        <v>31</v>
      </c>
      <c r="S2400">
        <v>4</v>
      </c>
      <c r="T2400">
        <v>0</v>
      </c>
      <c r="U2400" t="s">
        <v>15561</v>
      </c>
      <c r="V2400">
        <f>Tabla1[[#This Row],[Aboard]]-Tabla1[[#This Row],[Fatalities]]</f>
        <v>0</v>
      </c>
      <c r="W2400" s="50">
        <f>IFERROR(Tabla1[[#This Row],[Fatalities]]/Tabla1[[#This Row],[Aboard]],0)</f>
        <v>1</v>
      </c>
      <c r="X2400" s="51" t="str" cm="1">
        <f t="array" ref="X2400">_xlfn.IFS(Tabla1[[#This Row],[Porcentaje de muertes]]&lt;0.35,"LEVE",AND(Tabla1[[#This Row],[Porcentaje de muertes]]&gt;0.35,Tabla1[[#This Row],[Porcentaje de muertes]]&lt;0.65),"MEDIO",Tabla1[[#This Row],[Porcentaje de muertes]]&gt;0.65,"GRAVE")</f>
        <v>GRAVE</v>
      </c>
    </row>
    <row r="2401" spans="2:24" x14ac:dyDescent="0.3">
      <c r="B2401" s="9">
        <v>2400</v>
      </c>
      <c r="C2401" s="49">
        <v>25399</v>
      </c>
      <c r="D2401" s="9">
        <f>YEAR(Tabla1[[#This Row],[Date]])</f>
        <v>1969</v>
      </c>
      <c r="E2401" s="9" t="str" cm="1">
        <f t="array" ref="E2401">IFERROR(_xlfn.IFS(AND(D2401&lt;1980,D2401&gt;=1970),"70",AND(D2401&lt;1990,D2401&gt;=1980),"80",AND(D2401&lt;2000,D2401&gt;=1990),"90",AND(D2401&lt;2010,D2401&gt;=2000),"00",AND(D2401&lt;=2019,D2401&gt;=2010),"10"),"1908-1970")</f>
        <v>1908-1970</v>
      </c>
      <c r="F2401" s="3">
        <v>0.28958333333333336</v>
      </c>
      <c r="G2401" t="s">
        <v>8557</v>
      </c>
      <c r="H2401" t="s">
        <v>13985</v>
      </c>
      <c r="I2401">
        <v>901</v>
      </c>
      <c r="J2401" t="s">
        <v>15562</v>
      </c>
      <c r="K2401" t="s">
        <v>15361</v>
      </c>
      <c r="L2401" s="7" t="s">
        <v>15563</v>
      </c>
      <c r="M2401">
        <v>175</v>
      </c>
      <c r="N2401">
        <v>14</v>
      </c>
      <c r="O2401">
        <v>11</v>
      </c>
      <c r="P2401">
        <v>3</v>
      </c>
      <c r="Q2401">
        <v>3</v>
      </c>
      <c r="R2401">
        <v>1</v>
      </c>
      <c r="S2401">
        <v>2</v>
      </c>
      <c r="T2401">
        <v>0</v>
      </c>
      <c r="U2401" t="s">
        <v>15564</v>
      </c>
      <c r="V2401">
        <f>Tabla1[[#This Row],[Aboard]]-Tabla1[[#This Row],[Fatalities]]</f>
        <v>11</v>
      </c>
      <c r="W2401" s="50">
        <f>IFERROR(Tabla1[[#This Row],[Fatalities]]/Tabla1[[#This Row],[Aboard]],0)</f>
        <v>0.21428571428571427</v>
      </c>
      <c r="X2401" s="51" t="str" cm="1">
        <f t="array" ref="X2401">_xlfn.IFS(Tabla1[[#This Row],[Porcentaje de muertes]]&lt;0.35,"LEVE",AND(Tabla1[[#This Row],[Porcentaje de muertes]]&gt;0.35,Tabla1[[#This Row],[Porcentaje de muertes]]&lt;0.65),"MEDIO",Tabla1[[#This Row],[Porcentaje de muertes]]&gt;0.65,"GRAVE")</f>
        <v>LEVE</v>
      </c>
    </row>
    <row r="2402" spans="2:24" x14ac:dyDescent="0.3">
      <c r="B2402" s="9">
        <v>2401</v>
      </c>
      <c r="C2402" s="49">
        <v>25409</v>
      </c>
      <c r="D2402" s="9">
        <f>YEAR(Tabla1[[#This Row],[Date]])</f>
        <v>1969</v>
      </c>
      <c r="E2402" s="9" t="str" cm="1">
        <f t="array" ref="E2402">IFERROR(_xlfn.IFS(AND(D2402&lt;1980,D2402&gt;=1970),"70",AND(D2402&lt;1990,D2402&gt;=1980),"80",AND(D2402&lt;2000,D2402&gt;=1990),"90",AND(D2402&lt;2010,D2402&gt;=2000),"00",AND(D2402&lt;=2019,D2402&gt;=2010),"10"),"1908-1970")</f>
        <v>1908-1970</v>
      </c>
      <c r="F2402" s="3">
        <v>0.73958333333333337</v>
      </c>
      <c r="G2402" t="s">
        <v>15565</v>
      </c>
      <c r="H2402" t="s">
        <v>15566</v>
      </c>
      <c r="I2402" t="s">
        <v>28931</v>
      </c>
      <c r="J2402" t="s">
        <v>15567</v>
      </c>
      <c r="K2402" t="s">
        <v>15568</v>
      </c>
      <c r="L2402" s="7" t="s">
        <v>15569</v>
      </c>
      <c r="M2402">
        <v>826</v>
      </c>
      <c r="N2402">
        <v>13</v>
      </c>
      <c r="O2402">
        <v>11</v>
      </c>
      <c r="P2402">
        <v>2</v>
      </c>
      <c r="Q2402">
        <v>1</v>
      </c>
      <c r="R2402">
        <v>1</v>
      </c>
      <c r="S2402">
        <v>0</v>
      </c>
      <c r="T2402">
        <v>0</v>
      </c>
      <c r="U2402" t="s">
        <v>15570</v>
      </c>
      <c r="V2402">
        <f>Tabla1[[#This Row],[Aboard]]-Tabla1[[#This Row],[Fatalities]]</f>
        <v>12</v>
      </c>
      <c r="W2402" s="50">
        <f>IFERROR(Tabla1[[#This Row],[Fatalities]]/Tabla1[[#This Row],[Aboard]],0)</f>
        <v>7.6923076923076927E-2</v>
      </c>
      <c r="X2402" s="51" t="str" cm="1">
        <f t="array" ref="X2402">_xlfn.IFS(Tabla1[[#This Row],[Porcentaje de muertes]]&lt;0.35,"LEVE",AND(Tabla1[[#This Row],[Porcentaje de muertes]]&gt;0.35,Tabla1[[#This Row],[Porcentaje de muertes]]&lt;0.65),"MEDIO",Tabla1[[#This Row],[Porcentaje de muertes]]&gt;0.65,"GRAVE")</f>
        <v>LEVE</v>
      </c>
    </row>
    <row r="2403" spans="2:24" x14ac:dyDescent="0.3">
      <c r="B2403" s="9">
        <v>2402</v>
      </c>
      <c r="C2403" s="49">
        <v>25410</v>
      </c>
      <c r="D2403" s="9">
        <f>YEAR(Tabla1[[#This Row],[Date]])</f>
        <v>1969</v>
      </c>
      <c r="E2403" s="9" t="str" cm="1">
        <f t="array" ref="E2403">IFERROR(_xlfn.IFS(AND(D2403&lt;1980,D2403&gt;=1970),"70",AND(D2403&lt;1990,D2403&gt;=1980),"80",AND(D2403&lt;2000,D2403&gt;=1990),"90",AND(D2403&lt;2010,D2403&gt;=2000),"00",AND(D2403&lt;=2019,D2403&gt;=2010),"10"),"1908-1970")</f>
        <v>1908-1970</v>
      </c>
      <c r="F2403" s="3">
        <v>6.25E-2</v>
      </c>
      <c r="G2403" t="s">
        <v>15571</v>
      </c>
      <c r="H2403" t="s">
        <v>14912</v>
      </c>
      <c r="I2403" t="s">
        <v>28931</v>
      </c>
      <c r="J2403" t="s">
        <v>15572</v>
      </c>
      <c r="K2403" t="s">
        <v>15573</v>
      </c>
      <c r="L2403" s="7" t="s">
        <v>15574</v>
      </c>
      <c r="M2403" t="s">
        <v>15575</v>
      </c>
      <c r="N2403">
        <v>37</v>
      </c>
      <c r="O2403">
        <v>30</v>
      </c>
      <c r="P2403">
        <v>7</v>
      </c>
      <c r="Q2403">
        <v>33</v>
      </c>
      <c r="R2403">
        <v>30</v>
      </c>
      <c r="S2403">
        <v>3</v>
      </c>
      <c r="T2403">
        <v>0</v>
      </c>
      <c r="U2403" t="s">
        <v>15576</v>
      </c>
      <c r="V2403">
        <f>Tabla1[[#This Row],[Aboard]]-Tabla1[[#This Row],[Fatalities]]</f>
        <v>4</v>
      </c>
      <c r="W2403" s="50">
        <f>IFERROR(Tabla1[[#This Row],[Fatalities]]/Tabla1[[#This Row],[Aboard]],0)</f>
        <v>0.89189189189189189</v>
      </c>
      <c r="X2403" s="51" t="str" cm="1">
        <f t="array" ref="X2403">_xlfn.IFS(Tabla1[[#This Row],[Porcentaje de muertes]]&lt;0.35,"LEVE",AND(Tabla1[[#This Row],[Porcentaje de muertes]]&gt;0.35,Tabla1[[#This Row],[Porcentaje de muertes]]&lt;0.65),"MEDIO",Tabla1[[#This Row],[Porcentaje de muertes]]&gt;0.65,"GRAVE")</f>
        <v>GRAVE</v>
      </c>
    </row>
    <row r="2404" spans="2:24" x14ac:dyDescent="0.3">
      <c r="B2404" s="9">
        <v>2403</v>
      </c>
      <c r="C2404" s="49">
        <v>25410</v>
      </c>
      <c r="D2404" s="9">
        <f>YEAR(Tabla1[[#This Row],[Date]])</f>
        <v>1969</v>
      </c>
      <c r="E2404" s="9" t="str" cm="1">
        <f t="array" ref="E2404">IFERROR(_xlfn.IFS(AND(D2404&lt;1980,D2404&gt;=1970),"70",AND(D2404&lt;1990,D2404&gt;=1980),"80",AND(D2404&lt;2000,D2404&gt;=1990),"90",AND(D2404&lt;2010,D2404&gt;=2000),"00",AND(D2404&lt;=2019,D2404&gt;=2010),"10"),"1908-1970")</f>
        <v>1908-1970</v>
      </c>
      <c r="F2404" s="3">
        <v>0.5229166666666667</v>
      </c>
      <c r="G2404" t="s">
        <v>5026</v>
      </c>
      <c r="H2404" t="s">
        <v>10166</v>
      </c>
      <c r="I2404" t="s">
        <v>28931</v>
      </c>
      <c r="J2404" t="s">
        <v>6190</v>
      </c>
      <c r="K2404" t="s">
        <v>15577</v>
      </c>
      <c r="L2404" s="7" t="s">
        <v>15578</v>
      </c>
      <c r="M2404" t="s">
        <v>15579</v>
      </c>
      <c r="N2404">
        <v>5</v>
      </c>
      <c r="O2404">
        <v>0</v>
      </c>
      <c r="P2404">
        <v>5</v>
      </c>
      <c r="Q2404">
        <v>5</v>
      </c>
      <c r="R2404">
        <v>0</v>
      </c>
      <c r="S2404">
        <v>5</v>
      </c>
      <c r="T2404">
        <v>0</v>
      </c>
      <c r="U2404" t="s">
        <v>15580</v>
      </c>
      <c r="V2404">
        <f>Tabla1[[#This Row],[Aboard]]-Tabla1[[#This Row],[Fatalities]]</f>
        <v>0</v>
      </c>
      <c r="W2404" s="50">
        <f>IFERROR(Tabla1[[#This Row],[Fatalities]]/Tabla1[[#This Row],[Aboard]],0)</f>
        <v>1</v>
      </c>
      <c r="X2404" s="51" t="str" cm="1">
        <f t="array" ref="X2404">_xlfn.IFS(Tabla1[[#This Row],[Porcentaje de muertes]]&lt;0.35,"LEVE",AND(Tabla1[[#This Row],[Porcentaje de muertes]]&gt;0.35,Tabla1[[#This Row],[Porcentaje de muertes]]&lt;0.65),"MEDIO",Tabla1[[#This Row],[Porcentaje de muertes]]&gt;0.65,"GRAVE")</f>
        <v>GRAVE</v>
      </c>
    </row>
    <row r="2405" spans="2:24" x14ac:dyDescent="0.3">
      <c r="B2405" s="9">
        <v>2404</v>
      </c>
      <c r="C2405" s="49">
        <v>25270</v>
      </c>
      <c r="D2405" s="9">
        <f>YEAR(Tabla1[[#This Row],[Date]])</f>
        <v>1969</v>
      </c>
      <c r="E2405" s="9" t="str" cm="1">
        <f t="array" ref="E2405">IFERROR(_xlfn.IFS(AND(D2405&lt;1980,D2405&gt;=1970),"70",AND(D2405&lt;1990,D2405&gt;=1980),"80",AND(D2405&lt;2000,D2405&gt;=1990),"90",AND(D2405&lt;2010,D2405&gt;=2000),"00",AND(D2405&lt;=2019,D2405&gt;=2010),"10"),"1908-1970")</f>
        <v>1908-1970</v>
      </c>
      <c r="F2405" s="3">
        <v>0.66666666666666663</v>
      </c>
      <c r="G2405" t="s">
        <v>15581</v>
      </c>
      <c r="H2405" t="s">
        <v>6541</v>
      </c>
      <c r="I2405" t="s">
        <v>15582</v>
      </c>
      <c r="J2405" t="s">
        <v>15583</v>
      </c>
      <c r="K2405" t="s">
        <v>15111</v>
      </c>
      <c r="L2405" s="7" t="s">
        <v>15584</v>
      </c>
      <c r="M2405" t="s">
        <v>15585</v>
      </c>
      <c r="N2405">
        <v>55</v>
      </c>
      <c r="O2405">
        <v>51</v>
      </c>
      <c r="P2405">
        <v>4</v>
      </c>
      <c r="Q2405">
        <v>55</v>
      </c>
      <c r="R2405">
        <v>51</v>
      </c>
      <c r="S2405">
        <v>4</v>
      </c>
      <c r="T2405">
        <v>0</v>
      </c>
      <c r="U2405" t="s">
        <v>15586</v>
      </c>
      <c r="V2405">
        <f>Tabla1[[#This Row],[Aboard]]-Tabla1[[#This Row],[Fatalities]]</f>
        <v>0</v>
      </c>
      <c r="W2405" s="50">
        <f>IFERROR(Tabla1[[#This Row],[Fatalities]]/Tabla1[[#This Row],[Aboard]],0)</f>
        <v>1</v>
      </c>
      <c r="X2405" s="51" t="str" cm="1">
        <f t="array" ref="X2405">_xlfn.IFS(Tabla1[[#This Row],[Porcentaje de muertes]]&lt;0.35,"LEVE",AND(Tabla1[[#This Row],[Porcentaje de muertes]]&gt;0.35,Tabla1[[#This Row],[Porcentaje de muertes]]&lt;0.65),"MEDIO",Tabla1[[#This Row],[Porcentaje de muertes]]&gt;0.65,"GRAVE")</f>
        <v>GRAVE</v>
      </c>
    </row>
    <row r="2406" spans="2:24" x14ac:dyDescent="0.3">
      <c r="B2406" s="9">
        <v>2405</v>
      </c>
      <c r="C2406" s="49">
        <v>25270</v>
      </c>
      <c r="D2406" s="9">
        <f>YEAR(Tabla1[[#This Row],[Date]])</f>
        <v>1969</v>
      </c>
      <c r="E2406" s="9" t="str" cm="1">
        <f t="array" ref="E2406">IFERROR(_xlfn.IFS(AND(D2406&lt;1980,D2406&gt;=1970),"70",AND(D2406&lt;1990,D2406&gt;=1980),"80",AND(D2406&lt;2000,D2406&gt;=1990),"90",AND(D2406&lt;2010,D2406&gt;=2000),"00",AND(D2406&lt;=2019,D2406&gt;=2010),"10"),"1908-1970")</f>
        <v>1908-1970</v>
      </c>
      <c r="F2406" s="3" t="s">
        <v>28931</v>
      </c>
      <c r="G2406" t="s">
        <v>15587</v>
      </c>
      <c r="H2406" t="s">
        <v>15588</v>
      </c>
      <c r="I2406" t="s">
        <v>28931</v>
      </c>
      <c r="J2406" t="s">
        <v>28931</v>
      </c>
      <c r="K2406" t="s">
        <v>12466</v>
      </c>
      <c r="L2406" s="7" t="s">
        <v>15589</v>
      </c>
      <c r="M2406">
        <v>4828</v>
      </c>
      <c r="N2406">
        <v>4</v>
      </c>
      <c r="O2406">
        <v>0</v>
      </c>
      <c r="P2406">
        <v>4</v>
      </c>
      <c r="Q2406">
        <v>4</v>
      </c>
      <c r="R2406">
        <v>0</v>
      </c>
      <c r="S2406">
        <v>4</v>
      </c>
      <c r="T2406">
        <v>0</v>
      </c>
      <c r="U2406" t="s">
        <v>9781</v>
      </c>
      <c r="V2406">
        <f>Tabla1[[#This Row],[Aboard]]-Tabla1[[#This Row],[Fatalities]]</f>
        <v>0</v>
      </c>
      <c r="W2406" s="50">
        <f>IFERROR(Tabla1[[#This Row],[Fatalities]]/Tabla1[[#This Row],[Aboard]],0)</f>
        <v>1</v>
      </c>
      <c r="X2406" s="51" t="str" cm="1">
        <f t="array" ref="X2406">_xlfn.IFS(Tabla1[[#This Row],[Porcentaje de muertes]]&lt;0.35,"LEVE",AND(Tabla1[[#This Row],[Porcentaje de muertes]]&gt;0.35,Tabla1[[#This Row],[Porcentaje de muertes]]&lt;0.65),"MEDIO",Tabla1[[#This Row],[Porcentaje de muertes]]&gt;0.65,"GRAVE")</f>
        <v>GRAVE</v>
      </c>
    </row>
    <row r="2407" spans="2:24" x14ac:dyDescent="0.3">
      <c r="B2407" s="9">
        <v>2406</v>
      </c>
      <c r="C2407" s="49">
        <v>25434</v>
      </c>
      <c r="D2407" s="9">
        <f>YEAR(Tabla1[[#This Row],[Date]])</f>
        <v>1969</v>
      </c>
      <c r="E2407" s="9" t="str" cm="1">
        <f t="array" ref="E2407">IFERROR(_xlfn.IFS(AND(D2407&lt;1980,D2407&gt;=1970),"70",AND(D2407&lt;1990,D2407&gt;=1980),"80",AND(D2407&lt;2000,D2407&gt;=1990),"90",AND(D2407&lt;2010,D2407&gt;=2000),"00",AND(D2407&lt;=2019,D2407&gt;=2010),"10"),"1908-1970")</f>
        <v>1908-1970</v>
      </c>
      <c r="F2407" s="3">
        <v>0.70833333333333337</v>
      </c>
      <c r="G2407" t="s">
        <v>15590</v>
      </c>
      <c r="H2407" t="s">
        <v>13917</v>
      </c>
      <c r="I2407" t="s">
        <v>28931</v>
      </c>
      <c r="J2407" t="s">
        <v>15591</v>
      </c>
      <c r="K2407" t="s">
        <v>15592</v>
      </c>
      <c r="L2407" s="7" t="s">
        <v>15593</v>
      </c>
      <c r="M2407">
        <v>596</v>
      </c>
      <c r="N2407">
        <v>13</v>
      </c>
      <c r="O2407">
        <v>12</v>
      </c>
      <c r="P2407">
        <v>1</v>
      </c>
      <c r="Q2407">
        <v>13</v>
      </c>
      <c r="R2407">
        <v>12</v>
      </c>
      <c r="S2407">
        <v>1</v>
      </c>
      <c r="T2407">
        <v>0</v>
      </c>
      <c r="U2407" t="s">
        <v>15594</v>
      </c>
      <c r="V2407">
        <f>Tabla1[[#This Row],[Aboard]]-Tabla1[[#This Row],[Fatalities]]</f>
        <v>0</v>
      </c>
      <c r="W2407" s="50">
        <f>IFERROR(Tabla1[[#This Row],[Fatalities]]/Tabla1[[#This Row],[Aboard]],0)</f>
        <v>1</v>
      </c>
      <c r="X2407" s="51" t="str" cm="1">
        <f t="array" ref="X2407">_xlfn.IFS(Tabla1[[#This Row],[Porcentaje de muertes]]&lt;0.35,"LEVE",AND(Tabla1[[#This Row],[Porcentaje de muertes]]&gt;0.35,Tabla1[[#This Row],[Porcentaje de muertes]]&lt;0.65),"MEDIO",Tabla1[[#This Row],[Porcentaje de muertes]]&gt;0.65,"GRAVE")</f>
        <v>GRAVE</v>
      </c>
    </row>
    <row r="2408" spans="2:24" x14ac:dyDescent="0.3">
      <c r="B2408" s="9">
        <v>2407</v>
      </c>
      <c r="C2408" s="49">
        <v>25440</v>
      </c>
      <c r="D2408" s="9">
        <f>YEAR(Tabla1[[#This Row],[Date]])</f>
        <v>1969</v>
      </c>
      <c r="E2408" s="9" t="str" cm="1">
        <f t="array" ref="E2408">IFERROR(_xlfn.IFS(AND(D2408&lt;1980,D2408&gt;=1970),"70",AND(D2408&lt;1990,D2408&gt;=1980),"80",AND(D2408&lt;2000,D2408&gt;=1990),"90",AND(D2408&lt;2010,D2408&gt;=2000),"00",AND(D2408&lt;=2019,D2408&gt;=2010),"10"),"1908-1970")</f>
        <v>1908-1970</v>
      </c>
      <c r="F2408" s="3" t="s">
        <v>28931</v>
      </c>
      <c r="G2408" t="s">
        <v>15595</v>
      </c>
      <c r="H2408" t="s">
        <v>14463</v>
      </c>
      <c r="I2408" t="s">
        <v>28931</v>
      </c>
      <c r="J2408" t="s">
        <v>28931</v>
      </c>
      <c r="K2408" t="s">
        <v>8465</v>
      </c>
      <c r="L2408" s="7" t="s">
        <v>15596</v>
      </c>
      <c r="M2408" t="s">
        <v>15597</v>
      </c>
      <c r="N2408">
        <v>1</v>
      </c>
      <c r="O2408">
        <v>0</v>
      </c>
      <c r="P2408">
        <v>4</v>
      </c>
      <c r="Q2408">
        <v>1</v>
      </c>
      <c r="R2408">
        <v>0</v>
      </c>
      <c r="S2408">
        <v>1</v>
      </c>
      <c r="T2408">
        <v>0</v>
      </c>
      <c r="U2408" t="s">
        <v>11114</v>
      </c>
      <c r="V2408">
        <f>Tabla1[[#This Row],[Aboard]]-Tabla1[[#This Row],[Fatalities]]</f>
        <v>0</v>
      </c>
      <c r="W2408" s="50">
        <f>IFERROR(Tabla1[[#This Row],[Fatalities]]/Tabla1[[#This Row],[Aboard]],0)</f>
        <v>1</v>
      </c>
      <c r="X2408" s="51" t="str" cm="1">
        <f t="array" ref="X2408">_xlfn.IFS(Tabla1[[#This Row],[Porcentaje de muertes]]&lt;0.35,"LEVE",AND(Tabla1[[#This Row],[Porcentaje de muertes]]&gt;0.35,Tabla1[[#This Row],[Porcentaje de muertes]]&lt;0.65),"MEDIO",Tabla1[[#This Row],[Porcentaje de muertes]]&gt;0.65,"GRAVE")</f>
        <v>GRAVE</v>
      </c>
    </row>
    <row r="2409" spans="2:24" x14ac:dyDescent="0.3">
      <c r="B2409" s="9">
        <v>2408</v>
      </c>
      <c r="C2409" s="49">
        <v>25441</v>
      </c>
      <c r="D2409" s="9">
        <f>YEAR(Tabla1[[#This Row],[Date]])</f>
        <v>1969</v>
      </c>
      <c r="E2409" s="9" t="str" cm="1">
        <f t="array" ref="E2409">IFERROR(_xlfn.IFS(AND(D2409&lt;1980,D2409&gt;=1970),"70",AND(D2409&lt;1990,D2409&gt;=1980),"80",AND(D2409&lt;2000,D2409&gt;=1990),"90",AND(D2409&lt;2010,D2409&gt;=2000),"00",AND(D2409&lt;=2019,D2409&gt;=2010),"10"),"1908-1970")</f>
        <v>1908-1970</v>
      </c>
      <c r="F2409" s="3">
        <v>0.85486111111111107</v>
      </c>
      <c r="G2409" t="s">
        <v>10681</v>
      </c>
      <c r="H2409" t="s">
        <v>6541</v>
      </c>
      <c r="I2409">
        <v>1770</v>
      </c>
      <c r="J2409" t="s">
        <v>15598</v>
      </c>
      <c r="K2409" t="s">
        <v>12828</v>
      </c>
      <c r="L2409" s="7" t="s">
        <v>15599</v>
      </c>
      <c r="M2409">
        <v>189001705</v>
      </c>
      <c r="N2409">
        <v>102</v>
      </c>
      <c r="O2409">
        <v>94</v>
      </c>
      <c r="P2409">
        <v>8</v>
      </c>
      <c r="Q2409">
        <v>16</v>
      </c>
      <c r="R2409">
        <v>16</v>
      </c>
      <c r="S2409">
        <v>0</v>
      </c>
      <c r="T2409">
        <v>0</v>
      </c>
      <c r="U2409" t="s">
        <v>15600</v>
      </c>
      <c r="V2409">
        <f>Tabla1[[#This Row],[Aboard]]-Tabla1[[#This Row],[Fatalities]]</f>
        <v>86</v>
      </c>
      <c r="W2409" s="50">
        <f>IFERROR(Tabla1[[#This Row],[Fatalities]]/Tabla1[[#This Row],[Aboard]],0)</f>
        <v>0.15686274509803921</v>
      </c>
      <c r="X2409" s="51" t="str" cm="1">
        <f t="array" ref="X2409">_xlfn.IFS(Tabla1[[#This Row],[Porcentaje de muertes]]&lt;0.35,"LEVE",AND(Tabla1[[#This Row],[Porcentaje de muertes]]&gt;0.35,Tabla1[[#This Row],[Porcentaje de muertes]]&lt;0.65),"MEDIO",Tabla1[[#This Row],[Porcentaje de muertes]]&gt;0.65,"GRAVE")</f>
        <v>LEVE</v>
      </c>
    </row>
    <row r="2410" spans="2:24" x14ac:dyDescent="0.3">
      <c r="B2410" s="9">
        <v>2409</v>
      </c>
      <c r="C2410" s="49">
        <v>25441</v>
      </c>
      <c r="D2410" s="9">
        <f>YEAR(Tabla1[[#This Row],[Date]])</f>
        <v>1969</v>
      </c>
      <c r="E2410" s="9" t="str" cm="1">
        <f t="array" ref="E2410">IFERROR(_xlfn.IFS(AND(D2410&lt;1980,D2410&gt;=1970),"70",AND(D2410&lt;1990,D2410&gt;=1980),"80",AND(D2410&lt;2000,D2410&gt;=1990),"90",AND(D2410&lt;2010,D2410&gt;=2000),"00",AND(D2410&lt;=2019,D2410&gt;=2010),"10"),"1908-1970")</f>
        <v>1908-1970</v>
      </c>
      <c r="F2410" s="3">
        <v>0.40625</v>
      </c>
      <c r="G2410" t="s">
        <v>15601</v>
      </c>
      <c r="H2410" t="s">
        <v>6541</v>
      </c>
      <c r="I2410">
        <v>545</v>
      </c>
      <c r="J2410" t="s">
        <v>15602</v>
      </c>
      <c r="K2410" t="s">
        <v>14581</v>
      </c>
      <c r="L2410" s="7" t="s">
        <v>15603</v>
      </c>
      <c r="M2410" t="s">
        <v>15604</v>
      </c>
      <c r="N2410">
        <v>14</v>
      </c>
      <c r="O2410">
        <v>11</v>
      </c>
      <c r="P2410">
        <v>3</v>
      </c>
      <c r="Q2410">
        <v>14</v>
      </c>
      <c r="R2410">
        <v>11</v>
      </c>
      <c r="S2410">
        <v>3</v>
      </c>
      <c r="T2410">
        <v>0</v>
      </c>
      <c r="U2410" t="s">
        <v>15605</v>
      </c>
      <c r="V2410">
        <f>Tabla1[[#This Row],[Aboard]]-Tabla1[[#This Row],[Fatalities]]</f>
        <v>0</v>
      </c>
      <c r="W2410" s="50">
        <f>IFERROR(Tabla1[[#This Row],[Fatalities]]/Tabla1[[#This Row],[Aboard]],0)</f>
        <v>1</v>
      </c>
      <c r="X2410" s="51" t="str" cm="1">
        <f t="array" ref="X2410">_xlfn.IFS(Tabla1[[#This Row],[Porcentaje de muertes]]&lt;0.35,"LEVE",AND(Tabla1[[#This Row],[Porcentaje de muertes]]&gt;0.35,Tabla1[[#This Row],[Porcentaje de muertes]]&lt;0.65),"MEDIO",Tabla1[[#This Row],[Porcentaje de muertes]]&gt;0.65,"GRAVE")</f>
        <v>GRAVE</v>
      </c>
    </row>
    <row r="2411" spans="2:24" x14ac:dyDescent="0.3">
      <c r="B2411" s="9">
        <v>2410</v>
      </c>
      <c r="C2411" s="49">
        <v>25446</v>
      </c>
      <c r="D2411" s="9">
        <f>YEAR(Tabla1[[#This Row],[Date]])</f>
        <v>1969</v>
      </c>
      <c r="E2411" s="9" t="str" cm="1">
        <f t="array" ref="E2411">IFERROR(_xlfn.IFS(AND(D2411&lt;1980,D2411&gt;=1970),"70",AND(D2411&lt;1990,D2411&gt;=1980),"80",AND(D2411&lt;2000,D2411&gt;=1990),"90",AND(D2411&lt;2010,D2411&gt;=2000),"00",AND(D2411&lt;=2019,D2411&gt;=2010),"10"),"1908-1970")</f>
        <v>1908-1970</v>
      </c>
      <c r="F2411" s="3">
        <v>0.83680555555555547</v>
      </c>
      <c r="G2411" t="s">
        <v>15606</v>
      </c>
      <c r="H2411" t="s">
        <v>15607</v>
      </c>
      <c r="I2411" t="s">
        <v>8152</v>
      </c>
      <c r="J2411" t="s">
        <v>15608</v>
      </c>
      <c r="K2411" t="s">
        <v>15609</v>
      </c>
      <c r="L2411" s="7" t="s">
        <v>15610</v>
      </c>
      <c r="M2411">
        <v>55299</v>
      </c>
      <c r="N2411">
        <v>3</v>
      </c>
      <c r="O2411">
        <v>2</v>
      </c>
      <c r="P2411">
        <v>1</v>
      </c>
      <c r="Q2411">
        <v>3</v>
      </c>
      <c r="R2411">
        <v>2</v>
      </c>
      <c r="S2411">
        <v>1</v>
      </c>
      <c r="T2411">
        <v>0</v>
      </c>
      <c r="U2411" t="s">
        <v>15611</v>
      </c>
      <c r="V2411">
        <f>Tabla1[[#This Row],[Aboard]]-Tabla1[[#This Row],[Fatalities]]</f>
        <v>0</v>
      </c>
      <c r="W2411" s="50">
        <f>IFERROR(Tabla1[[#This Row],[Fatalities]]/Tabla1[[#This Row],[Aboard]],0)</f>
        <v>1</v>
      </c>
      <c r="X2411" s="51" t="str" cm="1">
        <f t="array" ref="X2411">_xlfn.IFS(Tabla1[[#This Row],[Porcentaje de muertes]]&lt;0.35,"LEVE",AND(Tabla1[[#This Row],[Porcentaje de muertes]]&gt;0.35,Tabla1[[#This Row],[Porcentaje de muertes]]&lt;0.65),"MEDIO",Tabla1[[#This Row],[Porcentaje de muertes]]&gt;0.65,"GRAVE")</f>
        <v>GRAVE</v>
      </c>
    </row>
    <row r="2412" spans="2:24" x14ac:dyDescent="0.3">
      <c r="B2412" s="9">
        <v>2411</v>
      </c>
      <c r="C2412" s="49">
        <v>25212</v>
      </c>
      <c r="D2412" s="9">
        <f>YEAR(Tabla1[[#This Row],[Date]])</f>
        <v>1969</v>
      </c>
      <c r="E2412" s="9" t="str" cm="1">
        <f t="array" ref="E2412">IFERROR(_xlfn.IFS(AND(D2412&lt;1980,D2412&gt;=1970),"70",AND(D2412&lt;1990,D2412&gt;=1980),"80",AND(D2412&lt;2000,D2412&gt;=1990),"90",AND(D2412&lt;2010,D2412&gt;=2000),"00",AND(D2412&lt;=2019,D2412&gt;=2010),"10"),"1908-1970")</f>
        <v>1908-1970</v>
      </c>
      <c r="F2412" s="3">
        <v>0.54513888888888895</v>
      </c>
      <c r="G2412" t="s">
        <v>15612</v>
      </c>
      <c r="H2412" t="s">
        <v>6541</v>
      </c>
      <c r="I2412">
        <v>55</v>
      </c>
      <c r="J2412" t="s">
        <v>15613</v>
      </c>
      <c r="K2412" t="s">
        <v>12110</v>
      </c>
      <c r="L2412" s="7" t="s">
        <v>15614</v>
      </c>
      <c r="M2412">
        <v>146000205</v>
      </c>
      <c r="N2412">
        <v>27</v>
      </c>
      <c r="O2412">
        <v>22</v>
      </c>
      <c r="P2412">
        <v>5</v>
      </c>
      <c r="Q2412">
        <v>22</v>
      </c>
      <c r="R2412">
        <v>17</v>
      </c>
      <c r="S2412">
        <v>5</v>
      </c>
      <c r="T2412">
        <v>0</v>
      </c>
      <c r="U2412" t="s">
        <v>15615</v>
      </c>
      <c r="V2412">
        <f>Tabla1[[#This Row],[Aboard]]-Tabla1[[#This Row],[Fatalities]]</f>
        <v>5</v>
      </c>
      <c r="W2412" s="50">
        <f>IFERROR(Tabla1[[#This Row],[Fatalities]]/Tabla1[[#This Row],[Aboard]],0)</f>
        <v>0.81481481481481477</v>
      </c>
      <c r="X2412" s="51" t="str" cm="1">
        <f t="array" ref="X2412">_xlfn.IFS(Tabla1[[#This Row],[Porcentaje de muertes]]&lt;0.35,"LEVE",AND(Tabla1[[#This Row],[Porcentaje de muertes]]&gt;0.35,Tabla1[[#This Row],[Porcentaje de muertes]]&lt;0.65),"MEDIO",Tabla1[[#This Row],[Porcentaje de muertes]]&gt;0.65,"GRAVE")</f>
        <v>GRAVE</v>
      </c>
    </row>
    <row r="2413" spans="2:24" x14ac:dyDescent="0.3">
      <c r="B2413" s="9">
        <v>2412</v>
      </c>
      <c r="C2413" s="49">
        <v>25243</v>
      </c>
      <c r="D2413" s="9">
        <f>YEAR(Tabla1[[#This Row],[Date]])</f>
        <v>1969</v>
      </c>
      <c r="E2413" s="9" t="str" cm="1">
        <f t="array" ref="E2413">IFERROR(_xlfn.IFS(AND(D2413&lt;1980,D2413&gt;=1970),"70",AND(D2413&lt;1990,D2413&gt;=1980),"80",AND(D2413&lt;2000,D2413&gt;=1990),"90",AND(D2413&lt;2010,D2413&gt;=2000),"00",AND(D2413&lt;=2019,D2413&gt;=2010),"10"),"1908-1970")</f>
        <v>1908-1970</v>
      </c>
      <c r="F2413" s="3">
        <v>0.46875</v>
      </c>
      <c r="G2413" t="s">
        <v>11338</v>
      </c>
      <c r="H2413" t="s">
        <v>15616</v>
      </c>
      <c r="I2413" t="s">
        <v>28931</v>
      </c>
      <c r="J2413" t="s">
        <v>15617</v>
      </c>
      <c r="K2413" t="s">
        <v>7826</v>
      </c>
      <c r="L2413" s="7">
        <v>248</v>
      </c>
      <c r="M2413">
        <v>32580</v>
      </c>
      <c r="N2413">
        <v>35</v>
      </c>
      <c r="O2413">
        <v>31</v>
      </c>
      <c r="P2413">
        <v>4</v>
      </c>
      <c r="Q2413">
        <v>35</v>
      </c>
      <c r="R2413">
        <v>31</v>
      </c>
      <c r="S2413">
        <v>4</v>
      </c>
      <c r="T2413">
        <v>0</v>
      </c>
      <c r="U2413" t="s">
        <v>15618</v>
      </c>
      <c r="V2413">
        <f>Tabla1[[#This Row],[Aboard]]-Tabla1[[#This Row],[Fatalities]]</f>
        <v>0</v>
      </c>
      <c r="W2413" s="50">
        <f>IFERROR(Tabla1[[#This Row],[Fatalities]]/Tabla1[[#This Row],[Aboard]],0)</f>
        <v>1</v>
      </c>
      <c r="X2413" s="51" t="str" cm="1">
        <f t="array" ref="X2413">_xlfn.IFS(Tabla1[[#This Row],[Porcentaje de muertes]]&lt;0.35,"LEVE",AND(Tabla1[[#This Row],[Porcentaje de muertes]]&gt;0.35,Tabla1[[#This Row],[Porcentaje de muertes]]&lt;0.65),"MEDIO",Tabla1[[#This Row],[Porcentaje de muertes]]&gt;0.65,"GRAVE")</f>
        <v>GRAVE</v>
      </c>
    </row>
    <row r="2414" spans="2:24" x14ac:dyDescent="0.3">
      <c r="B2414" s="9">
        <v>2413</v>
      </c>
      <c r="C2414" s="49">
        <v>25363</v>
      </c>
      <c r="D2414" s="9">
        <f>YEAR(Tabla1[[#This Row],[Date]])</f>
        <v>1969</v>
      </c>
      <c r="E2414" s="9" t="str" cm="1">
        <f t="array" ref="E2414">IFERROR(_xlfn.IFS(AND(D2414&lt;1980,D2414&gt;=1970),"70",AND(D2414&lt;1990,D2414&gt;=1980),"80",AND(D2414&lt;2000,D2414&gt;=1990),"90",AND(D2414&lt;2010,D2414&gt;=2000),"00",AND(D2414&lt;=2019,D2414&gt;=2010),"10"),"1908-1970")</f>
        <v>1908-1970</v>
      </c>
      <c r="F2414" s="3" t="s">
        <v>28931</v>
      </c>
      <c r="G2414" t="s">
        <v>12314</v>
      </c>
      <c r="H2414" t="s">
        <v>15619</v>
      </c>
      <c r="I2414" t="s">
        <v>28931</v>
      </c>
      <c r="J2414" t="s">
        <v>28931</v>
      </c>
      <c r="K2414" t="s">
        <v>7057</v>
      </c>
      <c r="L2414" s="7" t="s">
        <v>28931</v>
      </c>
      <c r="M2414" t="s">
        <v>28931</v>
      </c>
      <c r="N2414">
        <v>16</v>
      </c>
      <c r="O2414" t="s">
        <v>5038</v>
      </c>
      <c r="P2414" t="s">
        <v>5038</v>
      </c>
      <c r="Q2414">
        <v>1</v>
      </c>
      <c r="R2414" t="s">
        <v>5038</v>
      </c>
      <c r="S2414" t="s">
        <v>5038</v>
      </c>
      <c r="T2414" t="s">
        <v>5038</v>
      </c>
      <c r="U2414" t="s">
        <v>15620</v>
      </c>
      <c r="V2414">
        <f>Tabla1[[#This Row],[Aboard]]-Tabla1[[#This Row],[Fatalities]]</f>
        <v>15</v>
      </c>
      <c r="W2414" s="50">
        <f>IFERROR(Tabla1[[#This Row],[Fatalities]]/Tabla1[[#This Row],[Aboard]],0)</f>
        <v>6.25E-2</v>
      </c>
      <c r="X2414" s="51" t="str" cm="1">
        <f t="array" ref="X2414">_xlfn.IFS(Tabla1[[#This Row],[Porcentaje de muertes]]&lt;0.35,"LEVE",AND(Tabla1[[#This Row],[Porcentaje de muertes]]&gt;0.35,Tabla1[[#This Row],[Porcentaje de muertes]]&lt;0.65),"MEDIO",Tabla1[[#This Row],[Porcentaje de muertes]]&gt;0.65,"GRAVE")</f>
        <v>LEVE</v>
      </c>
    </row>
    <row r="2415" spans="2:24" x14ac:dyDescent="0.3">
      <c r="B2415" s="9">
        <v>2414</v>
      </c>
      <c r="C2415" s="49">
        <v>25424</v>
      </c>
      <c r="D2415" s="9">
        <f>YEAR(Tabla1[[#This Row],[Date]])</f>
        <v>1969</v>
      </c>
      <c r="E2415" s="9" t="str" cm="1">
        <f t="array" ref="E2415">IFERROR(_xlfn.IFS(AND(D2415&lt;1980,D2415&gt;=1970),"70",AND(D2415&lt;1990,D2415&gt;=1980),"80",AND(D2415&lt;2000,D2415&gt;=1990),"90",AND(D2415&lt;2010,D2415&gt;=2000),"00",AND(D2415&lt;=2019,D2415&gt;=2010),"10"),"1908-1970")</f>
        <v>1908-1970</v>
      </c>
      <c r="F2415" s="3">
        <v>0.58333333333333337</v>
      </c>
      <c r="G2415" t="s">
        <v>15621</v>
      </c>
      <c r="H2415" t="s">
        <v>15622</v>
      </c>
      <c r="I2415">
        <v>742</v>
      </c>
      <c r="J2415" t="s">
        <v>15623</v>
      </c>
      <c r="K2415" t="s">
        <v>7057</v>
      </c>
      <c r="L2415" s="7" t="s">
        <v>15624</v>
      </c>
      <c r="M2415" t="s">
        <v>28931</v>
      </c>
      <c r="N2415">
        <v>32</v>
      </c>
      <c r="O2415">
        <v>29</v>
      </c>
      <c r="P2415">
        <v>3</v>
      </c>
      <c r="Q2415">
        <v>32</v>
      </c>
      <c r="R2415">
        <v>29</v>
      </c>
      <c r="S2415">
        <v>3</v>
      </c>
      <c r="T2415">
        <v>0</v>
      </c>
      <c r="U2415" t="s">
        <v>15625</v>
      </c>
      <c r="V2415">
        <f>Tabla1[[#This Row],[Aboard]]-Tabla1[[#This Row],[Fatalities]]</f>
        <v>0</v>
      </c>
      <c r="W2415" s="50">
        <f>IFERROR(Tabla1[[#This Row],[Fatalities]]/Tabla1[[#This Row],[Aboard]],0)</f>
        <v>1</v>
      </c>
      <c r="X2415" s="51" t="str" cm="1">
        <f t="array" ref="X2415">_xlfn.IFS(Tabla1[[#This Row],[Porcentaje de muertes]]&lt;0.35,"LEVE",AND(Tabla1[[#This Row],[Porcentaje de muertes]]&gt;0.35,Tabla1[[#This Row],[Porcentaje de muertes]]&lt;0.65),"MEDIO",Tabla1[[#This Row],[Porcentaje de muertes]]&gt;0.65,"GRAVE")</f>
        <v>GRAVE</v>
      </c>
    </row>
    <row r="2416" spans="2:24" x14ac:dyDescent="0.3">
      <c r="B2416" s="9">
        <v>2415</v>
      </c>
      <c r="C2416" s="49">
        <v>25455</v>
      </c>
      <c r="D2416" s="9">
        <f>YEAR(Tabla1[[#This Row],[Date]])</f>
        <v>1969</v>
      </c>
      <c r="E2416" s="9" t="str" cm="1">
        <f t="array" ref="E2416">IFERROR(_xlfn.IFS(AND(D2416&lt;1980,D2416&gt;=1970),"70",AND(D2416&lt;1990,D2416&gt;=1980),"80",AND(D2416&lt;2000,D2416&gt;=1990),"90",AND(D2416&lt;2010,D2416&gt;=2000),"00",AND(D2416&lt;=2019,D2416&gt;=2010),"10"),"1908-1970")</f>
        <v>1908-1970</v>
      </c>
      <c r="F2416" s="3">
        <v>0.60347222222222219</v>
      </c>
      <c r="G2416" t="s">
        <v>15626</v>
      </c>
      <c r="H2416" t="s">
        <v>15627</v>
      </c>
      <c r="I2416">
        <v>853</v>
      </c>
      <c r="J2416" t="s">
        <v>15628</v>
      </c>
      <c r="K2416" t="s">
        <v>15629</v>
      </c>
      <c r="L2416" s="7" t="s">
        <v>15630</v>
      </c>
      <c r="M2416" t="s">
        <v>15631</v>
      </c>
      <c r="N2416">
        <v>83</v>
      </c>
      <c r="O2416">
        <v>79</v>
      </c>
      <c r="P2416">
        <v>4</v>
      </c>
      <c r="Q2416">
        <v>83</v>
      </c>
      <c r="R2416">
        <v>79</v>
      </c>
      <c r="S2416">
        <v>4</v>
      </c>
      <c r="T2416">
        <v>0</v>
      </c>
      <c r="U2416" t="s">
        <v>15632</v>
      </c>
      <c r="V2416">
        <f>Tabla1[[#This Row],[Aboard]]-Tabla1[[#This Row],[Fatalities]]</f>
        <v>0</v>
      </c>
      <c r="W2416" s="50">
        <f>IFERROR(Tabla1[[#This Row],[Fatalities]]/Tabla1[[#This Row],[Aboard]],0)</f>
        <v>1</v>
      </c>
      <c r="X2416" s="51" t="str" cm="1">
        <f t="array" ref="X2416">_xlfn.IFS(Tabla1[[#This Row],[Porcentaje de muertes]]&lt;0.35,"LEVE",AND(Tabla1[[#This Row],[Porcentaje de muertes]]&gt;0.35,Tabla1[[#This Row],[Porcentaje de muertes]]&lt;0.65),"MEDIO",Tabla1[[#This Row],[Porcentaje de muertes]]&gt;0.65,"GRAVE")</f>
        <v>GRAVE</v>
      </c>
    </row>
    <row r="2417" spans="2:24" x14ac:dyDescent="0.3">
      <c r="B2417" s="9">
        <v>2416</v>
      </c>
      <c r="C2417" s="49">
        <v>25546</v>
      </c>
      <c r="D2417" s="9">
        <f>YEAR(Tabla1[[#This Row],[Date]])</f>
        <v>1969</v>
      </c>
      <c r="E2417" s="9" t="str" cm="1">
        <f t="array" ref="E2417">IFERROR(_xlfn.IFS(AND(D2417&lt;1980,D2417&gt;=1970),"70",AND(D2417&lt;1990,D2417&gt;=1980),"80",AND(D2417&lt;2000,D2417&gt;=1990),"90",AND(D2417&lt;2010,D2417&gt;=2000),"00",AND(D2417&lt;=2019,D2417&gt;=2010),"10"),"1908-1970")</f>
        <v>1908-1970</v>
      </c>
      <c r="F2417" s="3" t="s">
        <v>28931</v>
      </c>
      <c r="G2417" t="s">
        <v>15633</v>
      </c>
      <c r="H2417" t="s">
        <v>8992</v>
      </c>
      <c r="I2417">
        <v>158</v>
      </c>
      <c r="J2417" t="s">
        <v>15634</v>
      </c>
      <c r="K2417" t="s">
        <v>15635</v>
      </c>
      <c r="L2417" s="7" t="s">
        <v>15636</v>
      </c>
      <c r="M2417">
        <v>92</v>
      </c>
      <c r="N2417">
        <v>47</v>
      </c>
      <c r="O2417">
        <v>42</v>
      </c>
      <c r="P2417">
        <v>5</v>
      </c>
      <c r="Q2417">
        <v>45</v>
      </c>
      <c r="R2417">
        <v>41</v>
      </c>
      <c r="S2417">
        <v>4</v>
      </c>
      <c r="T2417">
        <v>0</v>
      </c>
      <c r="U2417" t="s">
        <v>15637</v>
      </c>
      <c r="V2417">
        <f>Tabla1[[#This Row],[Aboard]]-Tabla1[[#This Row],[Fatalities]]</f>
        <v>2</v>
      </c>
      <c r="W2417" s="50">
        <f>IFERROR(Tabla1[[#This Row],[Fatalities]]/Tabla1[[#This Row],[Aboard]],0)</f>
        <v>0.95744680851063835</v>
      </c>
      <c r="X2417" s="51" t="str" cm="1">
        <f t="array" ref="X2417">_xlfn.IFS(Tabla1[[#This Row],[Porcentaje de muertes]]&lt;0.35,"LEVE",AND(Tabla1[[#This Row],[Porcentaje de muertes]]&gt;0.35,Tabla1[[#This Row],[Porcentaje de muertes]]&lt;0.65),"MEDIO",Tabla1[[#This Row],[Porcentaje de muertes]]&gt;0.65,"GRAVE")</f>
        <v>GRAVE</v>
      </c>
    </row>
    <row r="2418" spans="2:24" x14ac:dyDescent="0.3">
      <c r="B2418" s="9">
        <v>2417</v>
      </c>
      <c r="C2418" s="49">
        <v>25460</v>
      </c>
      <c r="D2418" s="9">
        <f>YEAR(Tabla1[[#This Row],[Date]])</f>
        <v>1969</v>
      </c>
      <c r="E2418" s="9" t="str" cm="1">
        <f t="array" ref="E2418">IFERROR(_xlfn.IFS(AND(D2418&lt;1980,D2418&gt;=1970),"70",AND(D2418&lt;1990,D2418&gt;=1980),"80",AND(D2418&lt;2000,D2418&gt;=1990),"90",AND(D2418&lt;2010,D2418&gt;=2000),"00",AND(D2418&lt;=2019,D2418&gt;=2010),"10"),"1908-1970")</f>
        <v>1908-1970</v>
      </c>
      <c r="F2418" s="3">
        <v>0.85625000000000007</v>
      </c>
      <c r="G2418" t="s">
        <v>15638</v>
      </c>
      <c r="H2418" t="s">
        <v>7581</v>
      </c>
      <c r="I2418" t="s">
        <v>28931</v>
      </c>
      <c r="J2418" t="s">
        <v>15639</v>
      </c>
      <c r="K2418" t="s">
        <v>7057</v>
      </c>
      <c r="L2418" s="7" t="s">
        <v>15640</v>
      </c>
      <c r="M2418" t="s">
        <v>15641</v>
      </c>
      <c r="N2418">
        <v>21</v>
      </c>
      <c r="O2418">
        <v>15</v>
      </c>
      <c r="P2418">
        <v>6</v>
      </c>
      <c r="Q2418">
        <v>20</v>
      </c>
      <c r="R2418">
        <v>15</v>
      </c>
      <c r="S2418">
        <v>5</v>
      </c>
      <c r="T2418">
        <v>0</v>
      </c>
      <c r="U2418" t="s">
        <v>15642</v>
      </c>
      <c r="V2418">
        <f>Tabla1[[#This Row],[Aboard]]-Tabla1[[#This Row],[Fatalities]]</f>
        <v>1</v>
      </c>
      <c r="W2418" s="50">
        <f>IFERROR(Tabla1[[#This Row],[Fatalities]]/Tabla1[[#This Row],[Aboard]],0)</f>
        <v>0.95238095238095233</v>
      </c>
      <c r="X2418" s="51" t="str" cm="1">
        <f t="array" ref="X2418">_xlfn.IFS(Tabla1[[#This Row],[Porcentaje de muertes]]&lt;0.35,"LEVE",AND(Tabla1[[#This Row],[Porcentaje de muertes]]&gt;0.35,Tabla1[[#This Row],[Porcentaje de muertes]]&lt;0.65),"MEDIO",Tabla1[[#This Row],[Porcentaje de muertes]]&gt;0.65,"GRAVE")</f>
        <v>GRAVE</v>
      </c>
    </row>
    <row r="2419" spans="2:24" x14ac:dyDescent="0.3">
      <c r="B2419" s="9">
        <v>2418</v>
      </c>
      <c r="C2419" s="49">
        <v>25463</v>
      </c>
      <c r="D2419" s="9">
        <f>YEAR(Tabla1[[#This Row],[Date]])</f>
        <v>1969</v>
      </c>
      <c r="E2419" s="9" t="str" cm="1">
        <f t="array" ref="E2419">IFERROR(_xlfn.IFS(AND(D2419&lt;1980,D2419&gt;=1970),"70",AND(D2419&lt;1990,D2419&gt;=1980),"80",AND(D2419&lt;2000,D2419&gt;=1990),"90",AND(D2419&lt;2010,D2419&gt;=2000),"00",AND(D2419&lt;=2019,D2419&gt;=2010),"10"),"1908-1970")</f>
        <v>1908-1970</v>
      </c>
      <c r="F2419" s="3">
        <v>0.71458333333333324</v>
      </c>
      <c r="G2419" t="s">
        <v>15643</v>
      </c>
      <c r="H2419" t="s">
        <v>11615</v>
      </c>
      <c r="I2419">
        <v>627</v>
      </c>
      <c r="J2419" t="s">
        <v>15644</v>
      </c>
      <c r="K2419" t="s">
        <v>15645</v>
      </c>
      <c r="L2419" s="7" t="s">
        <v>15646</v>
      </c>
      <c r="M2419">
        <v>440</v>
      </c>
      <c r="N2419">
        <v>15</v>
      </c>
      <c r="O2419">
        <v>11</v>
      </c>
      <c r="P2419">
        <v>4</v>
      </c>
      <c r="Q2419">
        <v>4</v>
      </c>
      <c r="R2419">
        <v>2</v>
      </c>
      <c r="S2419">
        <v>2</v>
      </c>
      <c r="T2419">
        <v>0</v>
      </c>
      <c r="U2419" t="s">
        <v>15647</v>
      </c>
      <c r="V2419">
        <f>Tabla1[[#This Row],[Aboard]]-Tabla1[[#This Row],[Fatalities]]</f>
        <v>11</v>
      </c>
      <c r="W2419" s="50">
        <f>IFERROR(Tabla1[[#This Row],[Fatalities]]/Tabla1[[#This Row],[Aboard]],0)</f>
        <v>0.26666666666666666</v>
      </c>
      <c r="X2419" s="51" t="str" cm="1">
        <f t="array" ref="X2419">_xlfn.IFS(Tabla1[[#This Row],[Porcentaje de muertes]]&lt;0.35,"LEVE",AND(Tabla1[[#This Row],[Porcentaje de muertes]]&gt;0.35,Tabla1[[#This Row],[Porcentaje de muertes]]&lt;0.65),"MEDIO",Tabla1[[#This Row],[Porcentaje de muertes]]&gt;0.65,"GRAVE")</f>
        <v>LEVE</v>
      </c>
    </row>
    <row r="2420" spans="2:24" x14ac:dyDescent="0.3">
      <c r="B2420" s="9">
        <v>2419</v>
      </c>
      <c r="C2420" s="49">
        <v>25466</v>
      </c>
      <c r="D2420" s="9">
        <f>YEAR(Tabla1[[#This Row],[Date]])</f>
        <v>1969</v>
      </c>
      <c r="E2420" s="9" t="str" cm="1">
        <f t="array" ref="E2420">IFERROR(_xlfn.IFS(AND(D2420&lt;1980,D2420&gt;=1970),"70",AND(D2420&lt;1990,D2420&gt;=1980),"80",AND(D2420&lt;2000,D2420&gt;=1990),"90",AND(D2420&lt;2010,D2420&gt;=2000),"00",AND(D2420&lt;=2019,D2420&gt;=2010),"10"),"1908-1970")</f>
        <v>1908-1970</v>
      </c>
      <c r="F2420" s="3">
        <v>0.66666666666666663</v>
      </c>
      <c r="G2420" t="s">
        <v>15648</v>
      </c>
      <c r="H2420" t="s">
        <v>11339</v>
      </c>
      <c r="I2420" t="s">
        <v>28931</v>
      </c>
      <c r="J2420" t="s">
        <v>15649</v>
      </c>
      <c r="K2420" t="s">
        <v>15650</v>
      </c>
      <c r="L2420" s="7" t="s">
        <v>15651</v>
      </c>
      <c r="M2420">
        <v>10860</v>
      </c>
      <c r="N2420">
        <v>76</v>
      </c>
      <c r="O2420">
        <v>71</v>
      </c>
      <c r="P2420">
        <v>5</v>
      </c>
      <c r="Q2420">
        <v>74</v>
      </c>
      <c r="R2420">
        <v>69</v>
      </c>
      <c r="S2420">
        <v>5</v>
      </c>
      <c r="T2420">
        <v>2</v>
      </c>
      <c r="U2420" t="s">
        <v>15652</v>
      </c>
      <c r="V2420">
        <f>Tabla1[[#This Row],[Aboard]]-Tabla1[[#This Row],[Fatalities]]</f>
        <v>2</v>
      </c>
      <c r="W2420" s="50">
        <f>IFERROR(Tabla1[[#This Row],[Fatalities]]/Tabla1[[#This Row],[Aboard]],0)</f>
        <v>0.97368421052631582</v>
      </c>
      <c r="X2420" s="51" t="str" cm="1">
        <f t="array" ref="X2420">_xlfn.IFS(Tabla1[[#This Row],[Porcentaje de muertes]]&lt;0.35,"LEVE",AND(Tabla1[[#This Row],[Porcentaje de muertes]]&gt;0.35,Tabla1[[#This Row],[Porcentaje de muertes]]&lt;0.65),"MEDIO",Tabla1[[#This Row],[Porcentaje de muertes]]&gt;0.65,"GRAVE")</f>
        <v>GRAVE</v>
      </c>
    </row>
    <row r="2421" spans="2:24" x14ac:dyDescent="0.3">
      <c r="B2421" s="9">
        <v>2420</v>
      </c>
      <c r="C2421" s="49">
        <v>25467</v>
      </c>
      <c r="D2421" s="9">
        <f>YEAR(Tabla1[[#This Row],[Date]])</f>
        <v>1969</v>
      </c>
      <c r="E2421" s="9" t="str" cm="1">
        <f t="array" ref="E2421">IFERROR(_xlfn.IFS(AND(D2421&lt;1980,D2421&gt;=1970),"70",AND(D2421&lt;1990,D2421&gt;=1980),"80",AND(D2421&lt;2000,D2421&gt;=1990),"90",AND(D2421&lt;2010,D2421&gt;=2000),"00",AND(D2421&lt;=2019,D2421&gt;=2010),"10"),"1908-1970")</f>
        <v>1908-1970</v>
      </c>
      <c r="F2421" s="3">
        <v>0.72222222222222221</v>
      </c>
      <c r="G2421" t="s">
        <v>7345</v>
      </c>
      <c r="H2421" t="s">
        <v>5740</v>
      </c>
      <c r="I2421" t="s">
        <v>28931</v>
      </c>
      <c r="J2421" t="s">
        <v>15653</v>
      </c>
      <c r="K2421" t="s">
        <v>15532</v>
      </c>
      <c r="L2421" s="7" t="s">
        <v>15654</v>
      </c>
      <c r="M2421" t="s">
        <v>15655</v>
      </c>
      <c r="N2421">
        <v>118</v>
      </c>
      <c r="O2421">
        <v>111</v>
      </c>
      <c r="P2421">
        <v>7</v>
      </c>
      <c r="Q2421">
        <v>27</v>
      </c>
      <c r="R2421">
        <v>22</v>
      </c>
      <c r="S2421">
        <v>5</v>
      </c>
      <c r="T2421">
        <v>0</v>
      </c>
      <c r="U2421" t="s">
        <v>15656</v>
      </c>
      <c r="V2421">
        <f>Tabla1[[#This Row],[Aboard]]-Tabla1[[#This Row],[Fatalities]]</f>
        <v>91</v>
      </c>
      <c r="W2421" s="50">
        <f>IFERROR(Tabla1[[#This Row],[Fatalities]]/Tabla1[[#This Row],[Aboard]],0)</f>
        <v>0.2288135593220339</v>
      </c>
      <c r="X2421" s="51" t="str" cm="1">
        <f t="array" ref="X2421">_xlfn.IFS(Tabla1[[#This Row],[Porcentaje de muertes]]&lt;0.35,"LEVE",AND(Tabla1[[#This Row],[Porcentaje de muertes]]&gt;0.35,Tabla1[[#This Row],[Porcentaje de muertes]]&lt;0.65),"MEDIO",Tabla1[[#This Row],[Porcentaje de muertes]]&gt;0.65,"GRAVE")</f>
        <v>LEVE</v>
      </c>
    </row>
    <row r="2422" spans="2:24" x14ac:dyDescent="0.3">
      <c r="B2422" s="9">
        <v>2421</v>
      </c>
      <c r="C2422" s="49">
        <v>25472</v>
      </c>
      <c r="D2422" s="9">
        <f>YEAR(Tabla1[[#This Row],[Date]])</f>
        <v>1969</v>
      </c>
      <c r="E2422" s="9" t="str" cm="1">
        <f t="array" ref="E2422">IFERROR(_xlfn.IFS(AND(D2422&lt;1980,D2422&gt;=1970),"70",AND(D2422&lt;1990,D2422&gt;=1980),"80",AND(D2422&lt;2000,D2422&gt;=1990),"90",AND(D2422&lt;2010,D2422&gt;=2000),"00",AND(D2422&lt;=2019,D2422&gt;=2010),"10"),"1908-1970")</f>
        <v>1908-1970</v>
      </c>
      <c r="F2422" s="3">
        <v>0.63194444444444442</v>
      </c>
      <c r="G2422" t="s">
        <v>12244</v>
      </c>
      <c r="H2422" t="s">
        <v>6750</v>
      </c>
      <c r="I2422" t="s">
        <v>28931</v>
      </c>
      <c r="J2422" t="s">
        <v>15657</v>
      </c>
      <c r="K2422" t="s">
        <v>10428</v>
      </c>
      <c r="L2422" s="7" t="s">
        <v>15658</v>
      </c>
      <c r="M2422" t="s">
        <v>15659</v>
      </c>
      <c r="N2422">
        <v>74</v>
      </c>
      <c r="O2422">
        <v>69</v>
      </c>
      <c r="P2422">
        <v>5</v>
      </c>
      <c r="Q2422">
        <v>74</v>
      </c>
      <c r="R2422">
        <v>69</v>
      </c>
      <c r="S2422">
        <v>5</v>
      </c>
      <c r="T2422">
        <v>0</v>
      </c>
      <c r="U2422" t="s">
        <v>15660</v>
      </c>
      <c r="V2422">
        <f>Tabla1[[#This Row],[Aboard]]-Tabla1[[#This Row],[Fatalities]]</f>
        <v>0</v>
      </c>
      <c r="W2422" s="50">
        <f>IFERROR(Tabla1[[#This Row],[Fatalities]]/Tabla1[[#This Row],[Aboard]],0)</f>
        <v>1</v>
      </c>
      <c r="X2422" s="51" t="str" cm="1">
        <f t="array" ref="X2422">_xlfn.IFS(Tabla1[[#This Row],[Porcentaje de muertes]]&lt;0.35,"LEVE",AND(Tabla1[[#This Row],[Porcentaje de muertes]]&gt;0.35,Tabla1[[#This Row],[Porcentaje de muertes]]&lt;0.65),"MEDIO",Tabla1[[#This Row],[Porcentaje de muertes]]&gt;0.65,"GRAVE")</f>
        <v>GRAVE</v>
      </c>
    </row>
    <row r="2423" spans="2:24" x14ac:dyDescent="0.3">
      <c r="B2423" s="9">
        <v>2422</v>
      </c>
      <c r="C2423" s="49">
        <v>25472</v>
      </c>
      <c r="D2423" s="9">
        <f>YEAR(Tabla1[[#This Row],[Date]])</f>
        <v>1969</v>
      </c>
      <c r="E2423" s="9" t="str" cm="1">
        <f t="array" ref="E2423">IFERROR(_xlfn.IFS(AND(D2423&lt;1980,D2423&gt;=1970),"70",AND(D2423&lt;1990,D2423&gt;=1980),"80",AND(D2423&lt;2000,D2423&gt;=1990),"90",AND(D2423&lt;2010,D2423&gt;=2000),"00",AND(D2423&lt;=2019,D2423&gt;=2010),"10"),"1908-1970")</f>
        <v>1908-1970</v>
      </c>
      <c r="F2423" s="3">
        <v>0.77777777777777779</v>
      </c>
      <c r="G2423" t="s">
        <v>15661</v>
      </c>
      <c r="H2423" t="s">
        <v>15662</v>
      </c>
      <c r="I2423" t="s">
        <v>28931</v>
      </c>
      <c r="J2423" t="s">
        <v>15663</v>
      </c>
      <c r="K2423" t="s">
        <v>15664</v>
      </c>
      <c r="L2423" s="7" t="s">
        <v>15665</v>
      </c>
      <c r="M2423">
        <v>16707</v>
      </c>
      <c r="N2423">
        <v>5</v>
      </c>
      <c r="O2423">
        <v>0</v>
      </c>
      <c r="P2423">
        <v>5</v>
      </c>
      <c r="Q2423">
        <v>5</v>
      </c>
      <c r="R2423">
        <v>0</v>
      </c>
      <c r="S2423">
        <v>5</v>
      </c>
      <c r="T2423">
        <v>0</v>
      </c>
      <c r="U2423" t="s">
        <v>15666</v>
      </c>
      <c r="V2423">
        <f>Tabla1[[#This Row],[Aboard]]-Tabla1[[#This Row],[Fatalities]]</f>
        <v>0</v>
      </c>
      <c r="W2423" s="50">
        <f>IFERROR(Tabla1[[#This Row],[Fatalities]]/Tabla1[[#This Row],[Aboard]],0)</f>
        <v>1</v>
      </c>
      <c r="X2423" s="51" t="str" cm="1">
        <f t="array" ref="X2423">_xlfn.IFS(Tabla1[[#This Row],[Porcentaje de muertes]]&lt;0.35,"LEVE",AND(Tabla1[[#This Row],[Porcentaje de muertes]]&gt;0.35,Tabla1[[#This Row],[Porcentaje de muertes]]&lt;0.65),"MEDIO",Tabla1[[#This Row],[Porcentaje de muertes]]&gt;0.65,"GRAVE")</f>
        <v>GRAVE</v>
      </c>
    </row>
    <row r="2424" spans="2:24" x14ac:dyDescent="0.3">
      <c r="B2424" s="9">
        <v>2423</v>
      </c>
      <c r="C2424" s="49">
        <v>25244</v>
      </c>
      <c r="D2424" s="9">
        <f>YEAR(Tabla1[[#This Row],[Date]])</f>
        <v>1969</v>
      </c>
      <c r="E2424" s="9" t="str" cm="1">
        <f t="array" ref="E2424">IFERROR(_xlfn.IFS(AND(D2424&lt;1980,D2424&gt;=1970),"70",AND(D2424&lt;1990,D2424&gt;=1980),"80",AND(D2424&lt;2000,D2424&gt;=1990),"90",AND(D2424&lt;2010,D2424&gt;=2000),"00",AND(D2424&lt;=2019,D2424&gt;=2010),"10"),"1908-1970")</f>
        <v>1908-1970</v>
      </c>
      <c r="F2424" s="3">
        <v>0.2986111111111111</v>
      </c>
      <c r="G2424" t="s">
        <v>7537</v>
      </c>
      <c r="H2424" t="s">
        <v>5027</v>
      </c>
      <c r="I2424" t="s">
        <v>28931</v>
      </c>
      <c r="J2424" t="s">
        <v>15667</v>
      </c>
      <c r="K2424" t="s">
        <v>15668</v>
      </c>
      <c r="L2424" s="7">
        <v>152796</v>
      </c>
      <c r="M2424">
        <v>13</v>
      </c>
      <c r="N2424">
        <v>26</v>
      </c>
      <c r="O2424">
        <v>21</v>
      </c>
      <c r="P2424">
        <v>5</v>
      </c>
      <c r="Q2424">
        <v>26</v>
      </c>
      <c r="R2424">
        <v>21</v>
      </c>
      <c r="S2424">
        <v>5</v>
      </c>
      <c r="T2424">
        <v>0</v>
      </c>
      <c r="U2424" t="s">
        <v>15669</v>
      </c>
      <c r="V2424">
        <f>Tabla1[[#This Row],[Aboard]]-Tabla1[[#This Row],[Fatalities]]</f>
        <v>0</v>
      </c>
      <c r="W2424" s="50">
        <f>IFERROR(Tabla1[[#This Row],[Fatalities]]/Tabla1[[#This Row],[Aboard]],0)</f>
        <v>1</v>
      </c>
      <c r="X2424" s="51" t="str" cm="1">
        <f t="array" ref="X2424">_xlfn.IFS(Tabla1[[#This Row],[Porcentaje de muertes]]&lt;0.35,"LEVE",AND(Tabla1[[#This Row],[Porcentaje de muertes]]&gt;0.35,Tabla1[[#This Row],[Porcentaje de muertes]]&lt;0.65),"MEDIO",Tabla1[[#This Row],[Porcentaje de muertes]]&gt;0.65,"GRAVE")</f>
        <v>GRAVE</v>
      </c>
    </row>
    <row r="2425" spans="2:24" x14ac:dyDescent="0.3">
      <c r="B2425" s="9">
        <v>2424</v>
      </c>
      <c r="C2425" s="49">
        <v>25489</v>
      </c>
      <c r="D2425" s="9">
        <f>YEAR(Tabla1[[#This Row],[Date]])</f>
        <v>1969</v>
      </c>
      <c r="E2425" s="9" t="str" cm="1">
        <f t="array" ref="E2425">IFERROR(_xlfn.IFS(AND(D2425&lt;1980,D2425&gt;=1970),"70",AND(D2425&lt;1990,D2425&gt;=1980),"80",AND(D2425&lt;2000,D2425&gt;=1990),"90",AND(D2425&lt;2010,D2425&gt;=2000),"00",AND(D2425&lt;=2019,D2425&gt;=2010),"10"),"1908-1970")</f>
        <v>1908-1970</v>
      </c>
      <c r="F2425" s="3">
        <v>0.7270833333333333</v>
      </c>
      <c r="G2425" t="s">
        <v>15670</v>
      </c>
      <c r="H2425" t="s">
        <v>6541</v>
      </c>
      <c r="I2425">
        <v>227</v>
      </c>
      <c r="J2425" t="s">
        <v>15671</v>
      </c>
      <c r="K2425" t="s">
        <v>15111</v>
      </c>
      <c r="L2425" s="7" t="s">
        <v>15672</v>
      </c>
      <c r="M2425">
        <v>79901404</v>
      </c>
      <c r="N2425">
        <v>56</v>
      </c>
      <c r="O2425">
        <v>52</v>
      </c>
      <c r="P2425">
        <v>4</v>
      </c>
      <c r="Q2425">
        <v>24</v>
      </c>
      <c r="R2425">
        <v>22</v>
      </c>
      <c r="S2425">
        <v>2</v>
      </c>
      <c r="T2425">
        <v>0</v>
      </c>
      <c r="U2425" t="s">
        <v>15673</v>
      </c>
      <c r="V2425">
        <f>Tabla1[[#This Row],[Aboard]]-Tabla1[[#This Row],[Fatalities]]</f>
        <v>32</v>
      </c>
      <c r="W2425" s="50">
        <f>IFERROR(Tabla1[[#This Row],[Fatalities]]/Tabla1[[#This Row],[Aboard]],0)</f>
        <v>0.42857142857142855</v>
      </c>
      <c r="X2425" s="51" t="str" cm="1">
        <f t="array" ref="X2425">_xlfn.IFS(Tabla1[[#This Row],[Porcentaje de muertes]]&lt;0.35,"LEVE",AND(Tabla1[[#This Row],[Porcentaje de muertes]]&gt;0.35,Tabla1[[#This Row],[Porcentaje de muertes]]&lt;0.65),"MEDIO",Tabla1[[#This Row],[Porcentaje de muertes]]&gt;0.65,"GRAVE")</f>
        <v>MEDIO</v>
      </c>
    </row>
    <row r="2426" spans="2:24" x14ac:dyDescent="0.3">
      <c r="B2426" s="9">
        <v>2425</v>
      </c>
      <c r="C2426" s="49">
        <v>25457</v>
      </c>
      <c r="D2426" s="9">
        <f>YEAR(Tabla1[[#This Row],[Date]])</f>
        <v>1969</v>
      </c>
      <c r="E2426" s="9" t="str" cm="1">
        <f t="array" ref="E2426">IFERROR(_xlfn.IFS(AND(D2426&lt;1980,D2426&gt;=1970),"70",AND(D2426&lt;1990,D2426&gt;=1980),"80",AND(D2426&lt;2000,D2426&gt;=1990),"90",AND(D2426&lt;2010,D2426&gt;=2000),"00",AND(D2426&lt;=2019,D2426&gt;=2010),"10"),"1908-1970")</f>
        <v>1908-1970</v>
      </c>
      <c r="F2426" s="3" t="s">
        <v>28931</v>
      </c>
      <c r="G2426" t="s">
        <v>15674</v>
      </c>
      <c r="H2426" t="s">
        <v>15675</v>
      </c>
      <c r="I2426" t="s">
        <v>28931</v>
      </c>
      <c r="J2426" t="s">
        <v>15676</v>
      </c>
      <c r="K2426" t="s">
        <v>8465</v>
      </c>
      <c r="L2426" s="7" t="s">
        <v>15677</v>
      </c>
      <c r="M2426" t="s">
        <v>15678</v>
      </c>
      <c r="N2426">
        <v>4</v>
      </c>
      <c r="O2426">
        <v>2</v>
      </c>
      <c r="P2426">
        <v>2</v>
      </c>
      <c r="Q2426">
        <v>2</v>
      </c>
      <c r="R2426">
        <v>2</v>
      </c>
      <c r="S2426">
        <v>0</v>
      </c>
      <c r="T2426">
        <v>0</v>
      </c>
      <c r="U2426" t="s">
        <v>15679</v>
      </c>
      <c r="V2426">
        <f>Tabla1[[#This Row],[Aboard]]-Tabla1[[#This Row],[Fatalities]]</f>
        <v>2</v>
      </c>
      <c r="W2426" s="50">
        <f>IFERROR(Tabla1[[#This Row],[Fatalities]]/Tabla1[[#This Row],[Aboard]],0)</f>
        <v>0.5</v>
      </c>
      <c r="X2426" s="51" t="str" cm="1">
        <f t="array" ref="X2426">_xlfn.IFS(Tabla1[[#This Row],[Porcentaje de muertes]]&lt;0.35,"LEVE",AND(Tabla1[[#This Row],[Porcentaje de muertes]]&gt;0.35,Tabla1[[#This Row],[Porcentaje de muertes]]&lt;0.65),"MEDIO",Tabla1[[#This Row],[Porcentaje de muertes]]&gt;0.65,"GRAVE")</f>
        <v>MEDIO</v>
      </c>
    </row>
    <row r="2427" spans="2:24" x14ac:dyDescent="0.3">
      <c r="B2427" s="9">
        <v>2426</v>
      </c>
      <c r="C2427" s="49">
        <v>25520</v>
      </c>
      <c r="D2427" s="9">
        <f>YEAR(Tabla1[[#This Row],[Date]])</f>
        <v>1969</v>
      </c>
      <c r="E2427" s="9" t="str" cm="1">
        <f t="array" ref="E2427">IFERROR(_xlfn.IFS(AND(D2427&lt;1980,D2427&gt;=1970),"70",AND(D2427&lt;1990,D2427&gt;=1980),"80",AND(D2427&lt;2000,D2427&gt;=1990),"90",AND(D2427&lt;2010,D2427&gt;=2000),"00",AND(D2427&lt;=2019,D2427&gt;=2010),"10"),"1908-1970")</f>
        <v>1908-1970</v>
      </c>
      <c r="F2427" s="3">
        <v>0.10625</v>
      </c>
      <c r="G2427" t="s">
        <v>15680</v>
      </c>
      <c r="H2427" t="s">
        <v>6541</v>
      </c>
      <c r="I2427">
        <v>5009</v>
      </c>
      <c r="J2427" t="s">
        <v>15681</v>
      </c>
      <c r="K2427" t="s">
        <v>15682</v>
      </c>
      <c r="L2427" s="7" t="s">
        <v>15683</v>
      </c>
      <c r="M2427">
        <v>402406</v>
      </c>
      <c r="N2427">
        <v>12</v>
      </c>
      <c r="O2427">
        <v>9</v>
      </c>
      <c r="P2427">
        <v>3</v>
      </c>
      <c r="Q2427">
        <v>12</v>
      </c>
      <c r="R2427">
        <v>9</v>
      </c>
      <c r="S2427">
        <v>3</v>
      </c>
      <c r="T2427">
        <v>0</v>
      </c>
      <c r="U2427" t="s">
        <v>15684</v>
      </c>
      <c r="V2427">
        <f>Tabla1[[#This Row],[Aboard]]-Tabla1[[#This Row],[Fatalities]]</f>
        <v>0</v>
      </c>
      <c r="W2427" s="50">
        <f>IFERROR(Tabla1[[#This Row],[Fatalities]]/Tabla1[[#This Row],[Aboard]],0)</f>
        <v>1</v>
      </c>
      <c r="X2427" s="51" t="str" cm="1">
        <f t="array" ref="X2427">_xlfn.IFS(Tabla1[[#This Row],[Porcentaje de muertes]]&lt;0.35,"LEVE",AND(Tabla1[[#This Row],[Porcentaje de muertes]]&gt;0.35,Tabla1[[#This Row],[Porcentaje de muertes]]&lt;0.65),"MEDIO",Tabla1[[#This Row],[Porcentaje de muertes]]&gt;0.65,"GRAVE")</f>
        <v>GRAVE</v>
      </c>
    </row>
    <row r="2428" spans="2:24" x14ac:dyDescent="0.3">
      <c r="B2428" s="9">
        <v>2427</v>
      </c>
      <c r="C2428" s="49">
        <v>25526</v>
      </c>
      <c r="D2428" s="9">
        <f>YEAR(Tabla1[[#This Row],[Date]])</f>
        <v>1969</v>
      </c>
      <c r="E2428" s="9" t="str" cm="1">
        <f t="array" ref="E2428">IFERROR(_xlfn.IFS(AND(D2428&lt;1980,D2428&gt;=1970),"70",AND(D2428&lt;1990,D2428&gt;=1980),"80",AND(D2428&lt;2000,D2428&gt;=1990),"90",AND(D2428&lt;2010,D2428&gt;=2000),"00",AND(D2428&lt;=2019,D2428&gt;=2010),"10"),"1908-1970")</f>
        <v>1908-1970</v>
      </c>
      <c r="F2428" s="3">
        <v>0.84722222222222221</v>
      </c>
      <c r="G2428" t="s">
        <v>15685</v>
      </c>
      <c r="H2428" t="s">
        <v>13900</v>
      </c>
      <c r="I2428">
        <v>411</v>
      </c>
      <c r="J2428" t="s">
        <v>15686</v>
      </c>
      <c r="K2428" t="s">
        <v>15291</v>
      </c>
      <c r="L2428" s="7" t="s">
        <v>15687</v>
      </c>
      <c r="M2428">
        <v>531</v>
      </c>
      <c r="N2428">
        <v>14</v>
      </c>
      <c r="O2428">
        <v>11</v>
      </c>
      <c r="P2428">
        <v>3</v>
      </c>
      <c r="Q2428">
        <v>14</v>
      </c>
      <c r="R2428">
        <v>11</v>
      </c>
      <c r="S2428">
        <v>3</v>
      </c>
      <c r="T2428">
        <v>0</v>
      </c>
      <c r="U2428" t="s">
        <v>15688</v>
      </c>
      <c r="V2428">
        <f>Tabla1[[#This Row],[Aboard]]-Tabla1[[#This Row],[Fatalities]]</f>
        <v>0</v>
      </c>
      <c r="W2428" s="50">
        <f>IFERROR(Tabla1[[#This Row],[Fatalities]]/Tabla1[[#This Row],[Aboard]],0)</f>
        <v>1</v>
      </c>
      <c r="X2428" s="51" t="str" cm="1">
        <f t="array" ref="X2428">_xlfn.IFS(Tabla1[[#This Row],[Porcentaje de muertes]]&lt;0.35,"LEVE",AND(Tabla1[[#This Row],[Porcentaje de muertes]]&gt;0.35,Tabla1[[#This Row],[Porcentaje de muertes]]&lt;0.65),"MEDIO",Tabla1[[#This Row],[Porcentaje de muertes]]&gt;0.65,"GRAVE")</f>
        <v>GRAVE</v>
      </c>
    </row>
    <row r="2429" spans="2:24" x14ac:dyDescent="0.3">
      <c r="B2429" s="9">
        <v>2428</v>
      </c>
      <c r="C2429" s="49">
        <v>25527</v>
      </c>
      <c r="D2429" s="9">
        <f>YEAR(Tabla1[[#This Row],[Date]])</f>
        <v>1969</v>
      </c>
      <c r="E2429" s="9" t="str" cm="1">
        <f t="array" ref="E2429">IFERROR(_xlfn.IFS(AND(D2429&lt;1980,D2429&gt;=1970),"70",AND(D2429&lt;1990,D2429&gt;=1980),"80",AND(D2429&lt;2000,D2429&gt;=1990),"90",AND(D2429&lt;2010,D2429&gt;=2000),"00",AND(D2429&lt;=2019,D2429&gt;=2010),"10"),"1908-1970")</f>
        <v>1908-1970</v>
      </c>
      <c r="F2429" s="3">
        <v>0.35416666666666669</v>
      </c>
      <c r="G2429" t="s">
        <v>15689</v>
      </c>
      <c r="H2429" t="s">
        <v>15690</v>
      </c>
      <c r="I2429">
        <v>825</v>
      </c>
      <c r="J2429" t="s">
        <v>15691</v>
      </c>
      <c r="K2429" t="s">
        <v>15692</v>
      </c>
      <c r="L2429" s="7" t="s">
        <v>15693</v>
      </c>
      <c r="M2429">
        <v>804</v>
      </c>
      <c r="N2429">
        <v>87</v>
      </c>
      <c r="O2429">
        <v>76</v>
      </c>
      <c r="P2429">
        <v>11</v>
      </c>
      <c r="Q2429">
        <v>87</v>
      </c>
      <c r="R2429">
        <v>76</v>
      </c>
      <c r="S2429">
        <v>11</v>
      </c>
      <c r="T2429">
        <v>0</v>
      </c>
      <c r="U2429" t="s">
        <v>15694</v>
      </c>
      <c r="V2429">
        <f>Tabla1[[#This Row],[Aboard]]-Tabla1[[#This Row],[Fatalities]]</f>
        <v>0</v>
      </c>
      <c r="W2429" s="50">
        <f>IFERROR(Tabla1[[#This Row],[Fatalities]]/Tabla1[[#This Row],[Aboard]],0)</f>
        <v>1</v>
      </c>
      <c r="X2429" s="51" t="str" cm="1">
        <f t="array" ref="X2429">_xlfn.IFS(Tabla1[[#This Row],[Porcentaje de muertes]]&lt;0.35,"LEVE",AND(Tabla1[[#This Row],[Porcentaje de muertes]]&gt;0.35,Tabla1[[#This Row],[Porcentaje de muertes]]&lt;0.65),"MEDIO",Tabla1[[#This Row],[Porcentaje de muertes]]&gt;0.65,"GRAVE")</f>
        <v>GRAVE</v>
      </c>
    </row>
    <row r="2430" spans="2:24" x14ac:dyDescent="0.3">
      <c r="B2430" s="9">
        <v>2429</v>
      </c>
      <c r="C2430" s="49">
        <v>25274</v>
      </c>
      <c r="D2430" s="9">
        <f>YEAR(Tabla1[[#This Row],[Date]])</f>
        <v>1969</v>
      </c>
      <c r="E2430" s="9" t="str" cm="1">
        <f t="array" ref="E2430">IFERROR(_xlfn.IFS(AND(D2430&lt;1980,D2430&gt;=1970),"70",AND(D2430&lt;1990,D2430&gt;=1980),"80",AND(D2430&lt;2000,D2430&gt;=1990),"90",AND(D2430&lt;2010,D2430&gt;=2000),"00",AND(D2430&lt;=2019,D2430&gt;=2010),"10"),"1908-1970")</f>
        <v>1908-1970</v>
      </c>
      <c r="F2430" s="3">
        <v>0.75347222222222221</v>
      </c>
      <c r="G2430" t="s">
        <v>10863</v>
      </c>
      <c r="H2430" t="s">
        <v>6375</v>
      </c>
      <c r="I2430">
        <v>212</v>
      </c>
      <c r="J2430" t="s">
        <v>15695</v>
      </c>
      <c r="K2430" t="s">
        <v>15696</v>
      </c>
      <c r="L2430" s="7" t="s">
        <v>15697</v>
      </c>
      <c r="M2430" t="s">
        <v>15698</v>
      </c>
      <c r="N2430">
        <v>62</v>
      </c>
      <c r="O2430">
        <v>41</v>
      </c>
      <c r="P2430">
        <v>21</v>
      </c>
      <c r="Q2430">
        <v>62</v>
      </c>
      <c r="R2430">
        <v>41</v>
      </c>
      <c r="S2430">
        <v>21</v>
      </c>
      <c r="T2430">
        <v>0</v>
      </c>
      <c r="U2430" t="s">
        <v>15699</v>
      </c>
      <c r="V2430">
        <f>Tabla1[[#This Row],[Aboard]]-Tabla1[[#This Row],[Fatalities]]</f>
        <v>0</v>
      </c>
      <c r="W2430" s="50">
        <f>IFERROR(Tabla1[[#This Row],[Fatalities]]/Tabla1[[#This Row],[Aboard]],0)</f>
        <v>1</v>
      </c>
      <c r="X2430" s="51" t="str" cm="1">
        <f t="array" ref="X2430">_xlfn.IFS(Tabla1[[#This Row],[Porcentaje de muertes]]&lt;0.35,"LEVE",AND(Tabla1[[#This Row],[Porcentaje de muertes]]&gt;0.35,Tabla1[[#This Row],[Porcentaje de muertes]]&lt;0.65),"MEDIO",Tabla1[[#This Row],[Porcentaje de muertes]]&gt;0.65,"GRAVE")</f>
        <v>GRAVE</v>
      </c>
    </row>
    <row r="2431" spans="2:24" x14ac:dyDescent="0.3">
      <c r="B2431" s="9">
        <v>2430</v>
      </c>
      <c r="C2431" s="49">
        <v>25335</v>
      </c>
      <c r="D2431" s="9">
        <f>YEAR(Tabla1[[#This Row],[Date]])</f>
        <v>1969</v>
      </c>
      <c r="E2431" s="9" t="str" cm="1">
        <f t="array" ref="E2431">IFERROR(_xlfn.IFS(AND(D2431&lt;1980,D2431&gt;=1970),"70",AND(D2431&lt;1990,D2431&gt;=1980),"80",AND(D2431&lt;2000,D2431&gt;=1990),"90",AND(D2431&lt;2010,D2431&gt;=2000),"00",AND(D2431&lt;=2019,D2431&gt;=2010),"10"),"1908-1970")</f>
        <v>1908-1970</v>
      </c>
      <c r="F2431" s="3">
        <v>0.625</v>
      </c>
      <c r="G2431" t="s">
        <v>15700</v>
      </c>
      <c r="H2431" t="s">
        <v>5032</v>
      </c>
      <c r="I2431" t="s">
        <v>28931</v>
      </c>
      <c r="J2431" t="s">
        <v>28931</v>
      </c>
      <c r="K2431" t="s">
        <v>15701</v>
      </c>
      <c r="L2431" s="7" t="s">
        <v>15702</v>
      </c>
      <c r="M2431" t="s">
        <v>15703</v>
      </c>
      <c r="N2431">
        <v>9</v>
      </c>
      <c r="O2431">
        <v>9</v>
      </c>
      <c r="P2431">
        <v>2</v>
      </c>
      <c r="Q2431">
        <v>9</v>
      </c>
      <c r="R2431">
        <v>9</v>
      </c>
      <c r="S2431">
        <v>2</v>
      </c>
      <c r="T2431">
        <v>0</v>
      </c>
      <c r="U2431" t="s">
        <v>15704</v>
      </c>
      <c r="V2431">
        <f>Tabla1[[#This Row],[Aboard]]-Tabla1[[#This Row],[Fatalities]]</f>
        <v>0</v>
      </c>
      <c r="W2431" s="50">
        <f>IFERROR(Tabla1[[#This Row],[Fatalities]]/Tabla1[[#This Row],[Aboard]],0)</f>
        <v>1</v>
      </c>
      <c r="X2431" s="51" t="str" cm="1">
        <f t="array" ref="X2431">_xlfn.IFS(Tabla1[[#This Row],[Porcentaje de muertes]]&lt;0.35,"LEVE",AND(Tabla1[[#This Row],[Porcentaje de muertes]]&gt;0.35,Tabla1[[#This Row],[Porcentaje de muertes]]&lt;0.65),"MEDIO",Tabla1[[#This Row],[Porcentaje de muertes]]&gt;0.65,"GRAVE")</f>
        <v>GRAVE</v>
      </c>
    </row>
    <row r="2432" spans="2:24" x14ac:dyDescent="0.3">
      <c r="B2432" s="9">
        <v>2431</v>
      </c>
      <c r="C2432" s="49">
        <v>25366</v>
      </c>
      <c r="D2432" s="9">
        <f>YEAR(Tabla1[[#This Row],[Date]])</f>
        <v>1969</v>
      </c>
      <c r="E2432" s="9" t="str" cm="1">
        <f t="array" ref="E2432">IFERROR(_xlfn.IFS(AND(D2432&lt;1980,D2432&gt;=1970),"70",AND(D2432&lt;1990,D2432&gt;=1980),"80",AND(D2432&lt;2000,D2432&gt;=1990),"90",AND(D2432&lt;2010,D2432&gt;=2000),"00",AND(D2432&lt;=2019,D2432&gt;=2010),"10"),"1908-1970")</f>
        <v>1908-1970</v>
      </c>
      <c r="F2432" s="3">
        <v>0.29652777777777778</v>
      </c>
      <c r="G2432" t="s">
        <v>15705</v>
      </c>
      <c r="H2432" t="s">
        <v>6541</v>
      </c>
      <c r="I2432">
        <v>5135</v>
      </c>
      <c r="J2432" t="s">
        <v>15706</v>
      </c>
      <c r="K2432" t="s">
        <v>15707</v>
      </c>
      <c r="L2432" s="7" t="s">
        <v>15708</v>
      </c>
      <c r="M2432">
        <v>402807</v>
      </c>
      <c r="N2432">
        <v>8</v>
      </c>
      <c r="O2432">
        <v>2</v>
      </c>
      <c r="P2432">
        <v>6</v>
      </c>
      <c r="Q2432">
        <v>8</v>
      </c>
      <c r="R2432">
        <v>2</v>
      </c>
      <c r="S2432">
        <v>6</v>
      </c>
      <c r="T2432">
        <v>0</v>
      </c>
      <c r="U2432" t="s">
        <v>15709</v>
      </c>
      <c r="V2432">
        <f>Tabla1[[#This Row],[Aboard]]-Tabla1[[#This Row],[Fatalities]]</f>
        <v>0</v>
      </c>
      <c r="W2432" s="50">
        <f>IFERROR(Tabla1[[#This Row],[Fatalities]]/Tabla1[[#This Row],[Aboard]],0)</f>
        <v>1</v>
      </c>
      <c r="X2432" s="51" t="str" cm="1">
        <f t="array" ref="X2432">_xlfn.IFS(Tabla1[[#This Row],[Porcentaje de muertes]]&lt;0.35,"LEVE",AND(Tabla1[[#This Row],[Porcentaje de muertes]]&gt;0.35,Tabla1[[#This Row],[Porcentaje de muertes]]&lt;0.65),"MEDIO",Tabla1[[#This Row],[Porcentaje de muertes]]&gt;0.65,"GRAVE")</f>
        <v>GRAVE</v>
      </c>
    </row>
    <row r="2433" spans="2:24" x14ac:dyDescent="0.3">
      <c r="B2433" s="9">
        <v>2432</v>
      </c>
      <c r="C2433" s="49">
        <v>25427</v>
      </c>
      <c r="D2433" s="9">
        <f>YEAR(Tabla1[[#This Row],[Date]])</f>
        <v>1969</v>
      </c>
      <c r="E2433" s="9" t="str" cm="1">
        <f t="array" ref="E2433">IFERROR(_xlfn.IFS(AND(D2433&lt;1980,D2433&gt;=1970),"70",AND(D2433&lt;1990,D2433&gt;=1980),"80",AND(D2433&lt;2000,D2433&gt;=1990),"90",AND(D2433&lt;2010,D2433&gt;=2000),"00",AND(D2433&lt;=2019,D2433&gt;=2010),"10"),"1908-1970")</f>
        <v>1908-1970</v>
      </c>
      <c r="F2433" s="3">
        <v>0.8652777777777777</v>
      </c>
      <c r="G2433" t="s">
        <v>15710</v>
      </c>
      <c r="H2433" t="s">
        <v>12792</v>
      </c>
      <c r="I2433" t="s">
        <v>28931</v>
      </c>
      <c r="J2433" t="s">
        <v>15711</v>
      </c>
      <c r="K2433" t="s">
        <v>10428</v>
      </c>
      <c r="L2433" s="7" t="s">
        <v>15712</v>
      </c>
      <c r="M2433" t="s">
        <v>15713</v>
      </c>
      <c r="N2433">
        <v>90</v>
      </c>
      <c r="O2433">
        <v>85</v>
      </c>
      <c r="P2433">
        <v>5</v>
      </c>
      <c r="Q2433">
        <v>90</v>
      </c>
      <c r="R2433">
        <v>85</v>
      </c>
      <c r="S2433">
        <v>5</v>
      </c>
      <c r="T2433">
        <v>0</v>
      </c>
      <c r="U2433" t="s">
        <v>15714</v>
      </c>
      <c r="V2433">
        <f>Tabla1[[#This Row],[Aboard]]-Tabla1[[#This Row],[Fatalities]]</f>
        <v>0</v>
      </c>
      <c r="W2433" s="50">
        <f>IFERROR(Tabla1[[#This Row],[Fatalities]]/Tabla1[[#This Row],[Aboard]],0)</f>
        <v>1</v>
      </c>
      <c r="X2433" s="51" t="str" cm="1">
        <f t="array" ref="X2433">_xlfn.IFS(Tabla1[[#This Row],[Porcentaje de muertes]]&lt;0.35,"LEVE",AND(Tabla1[[#This Row],[Porcentaje de muertes]]&gt;0.35,Tabla1[[#This Row],[Porcentaje de muertes]]&lt;0.65),"MEDIO",Tabla1[[#This Row],[Porcentaje de muertes]]&gt;0.65,"GRAVE")</f>
        <v>GRAVE</v>
      </c>
    </row>
    <row r="2434" spans="2:24" x14ac:dyDescent="0.3">
      <c r="B2434" s="9">
        <v>2433</v>
      </c>
      <c r="C2434" s="49">
        <v>25488</v>
      </c>
      <c r="D2434" s="9">
        <f>YEAR(Tabla1[[#This Row],[Date]])</f>
        <v>1969</v>
      </c>
      <c r="E2434" s="9" t="str" cm="1">
        <f t="array" ref="E2434">IFERROR(_xlfn.IFS(AND(D2434&lt;1980,D2434&gt;=1970),"70",AND(D2434&lt;1990,D2434&gt;=1980),"80",AND(D2434&lt;2000,D2434&gt;=1990),"90",AND(D2434&lt;2010,D2434&gt;=2000),"00",AND(D2434&lt;=2019,D2434&gt;=2010),"10"),"1908-1970")</f>
        <v>1908-1970</v>
      </c>
      <c r="F2434" s="3">
        <v>0.7729166666666667</v>
      </c>
      <c r="G2434" t="s">
        <v>15715</v>
      </c>
      <c r="H2434" t="s">
        <v>6541</v>
      </c>
      <c r="I2434">
        <v>2953</v>
      </c>
      <c r="J2434" t="s">
        <v>15716</v>
      </c>
      <c r="K2434" t="s">
        <v>15717</v>
      </c>
      <c r="L2434" s="7" t="s">
        <v>15718</v>
      </c>
      <c r="M2434">
        <v>703101</v>
      </c>
      <c r="N2434">
        <v>17</v>
      </c>
      <c r="O2434">
        <v>12</v>
      </c>
      <c r="P2434">
        <v>5</v>
      </c>
      <c r="Q2434">
        <v>17</v>
      </c>
      <c r="R2434">
        <v>12</v>
      </c>
      <c r="S2434">
        <v>5</v>
      </c>
      <c r="T2434">
        <v>0</v>
      </c>
      <c r="U2434" t="s">
        <v>15719</v>
      </c>
      <c r="V2434">
        <f>Tabla1[[#This Row],[Aboard]]-Tabla1[[#This Row],[Fatalities]]</f>
        <v>0</v>
      </c>
      <c r="W2434" s="50">
        <f>IFERROR(Tabla1[[#This Row],[Fatalities]]/Tabla1[[#This Row],[Aboard]],0)</f>
        <v>1</v>
      </c>
      <c r="X2434" s="51" t="str" cm="1">
        <f t="array" ref="X2434">_xlfn.IFS(Tabla1[[#This Row],[Porcentaje de muertes]]&lt;0.35,"LEVE",AND(Tabla1[[#This Row],[Porcentaje de muertes]]&gt;0.35,Tabla1[[#This Row],[Porcentaje de muertes]]&lt;0.65),"MEDIO",Tabla1[[#This Row],[Porcentaje de muertes]]&gt;0.65,"GRAVE")</f>
        <v>GRAVE</v>
      </c>
    </row>
    <row r="2435" spans="2:24" x14ac:dyDescent="0.3">
      <c r="B2435" s="9">
        <v>2434</v>
      </c>
      <c r="C2435" s="49">
        <v>25559</v>
      </c>
      <c r="D2435" s="9">
        <f>YEAR(Tabla1[[#This Row],[Date]])</f>
        <v>1969</v>
      </c>
      <c r="E2435" s="9" t="str" cm="1">
        <f t="array" ref="E2435">IFERROR(_xlfn.IFS(AND(D2435&lt;1980,D2435&gt;=1970),"70",AND(D2435&lt;1990,D2435&gt;=1980),"80",AND(D2435&lt;2000,D2435&gt;=1990),"90",AND(D2435&lt;2010,D2435&gt;=2000),"00",AND(D2435&lt;=2019,D2435&gt;=2010),"10"),"1908-1970")</f>
        <v>1908-1970</v>
      </c>
      <c r="F2435" s="3" t="s">
        <v>28931</v>
      </c>
      <c r="G2435" t="s">
        <v>15720</v>
      </c>
      <c r="H2435" t="s">
        <v>11339</v>
      </c>
      <c r="I2435" t="s">
        <v>28931</v>
      </c>
      <c r="J2435" t="s">
        <v>15721</v>
      </c>
      <c r="K2435" t="s">
        <v>10428</v>
      </c>
      <c r="L2435" s="7" t="s">
        <v>15722</v>
      </c>
      <c r="M2435">
        <v>44694</v>
      </c>
      <c r="N2435">
        <v>77</v>
      </c>
      <c r="O2435">
        <v>70</v>
      </c>
      <c r="P2435">
        <v>7</v>
      </c>
      <c r="Q2435">
        <v>10</v>
      </c>
      <c r="R2435">
        <v>10</v>
      </c>
      <c r="S2435">
        <v>0</v>
      </c>
      <c r="T2435">
        <v>24</v>
      </c>
      <c r="U2435" t="s">
        <v>15723</v>
      </c>
      <c r="V2435">
        <f>Tabla1[[#This Row],[Aboard]]-Tabla1[[#This Row],[Fatalities]]</f>
        <v>67</v>
      </c>
      <c r="W2435" s="50">
        <f>IFERROR(Tabla1[[#This Row],[Fatalities]]/Tabla1[[#This Row],[Aboard]],0)</f>
        <v>0.12987012987012986</v>
      </c>
      <c r="X2435" s="51" t="str" cm="1">
        <f t="array" ref="X2435">_xlfn.IFS(Tabla1[[#This Row],[Porcentaje de muertes]]&lt;0.35,"LEVE",AND(Tabla1[[#This Row],[Porcentaje de muertes]]&gt;0.35,Tabla1[[#This Row],[Porcentaje de muertes]]&lt;0.65),"MEDIO",Tabla1[[#This Row],[Porcentaje de muertes]]&gt;0.65,"GRAVE")</f>
        <v>LEVE</v>
      </c>
    </row>
    <row r="2436" spans="2:24" x14ac:dyDescent="0.3">
      <c r="B2436" s="9">
        <v>2435</v>
      </c>
      <c r="C2436" s="49">
        <v>25560</v>
      </c>
      <c r="D2436" s="9">
        <f>YEAR(Tabla1[[#This Row],[Date]])</f>
        <v>1969</v>
      </c>
      <c r="E2436" s="9" t="str" cm="1">
        <f t="array" ref="E2436">IFERROR(_xlfn.IFS(AND(D2436&lt;1980,D2436&gt;=1970),"70",AND(D2436&lt;1990,D2436&gt;=1980),"80",AND(D2436&lt;2000,D2436&gt;=1990),"90",AND(D2436&lt;2010,D2436&gt;=2000),"00",AND(D2436&lt;=2019,D2436&gt;=2010),"10"),"1908-1970")</f>
        <v>1908-1970</v>
      </c>
      <c r="F2436" s="3" t="s">
        <v>28931</v>
      </c>
      <c r="G2436" t="s">
        <v>15020</v>
      </c>
      <c r="H2436" t="s">
        <v>15724</v>
      </c>
      <c r="I2436" t="s">
        <v>28931</v>
      </c>
      <c r="J2436" t="s">
        <v>15022</v>
      </c>
      <c r="K2436" t="s">
        <v>14181</v>
      </c>
      <c r="L2436" s="7" t="s">
        <v>15725</v>
      </c>
      <c r="M2436">
        <v>13529</v>
      </c>
      <c r="N2436">
        <v>6</v>
      </c>
      <c r="O2436">
        <v>4</v>
      </c>
      <c r="P2436">
        <v>2</v>
      </c>
      <c r="Q2436">
        <v>6</v>
      </c>
      <c r="R2436">
        <v>4</v>
      </c>
      <c r="S2436">
        <v>2</v>
      </c>
      <c r="T2436">
        <v>0</v>
      </c>
      <c r="U2436" t="s">
        <v>15726</v>
      </c>
      <c r="V2436">
        <f>Tabla1[[#This Row],[Aboard]]-Tabla1[[#This Row],[Fatalities]]</f>
        <v>0</v>
      </c>
      <c r="W2436" s="50">
        <f>IFERROR(Tabla1[[#This Row],[Fatalities]]/Tabla1[[#This Row],[Aboard]],0)</f>
        <v>1</v>
      </c>
      <c r="X2436" s="51" t="str" cm="1">
        <f t="array" ref="X2436">_xlfn.IFS(Tabla1[[#This Row],[Porcentaje de muertes]]&lt;0.35,"LEVE",AND(Tabla1[[#This Row],[Porcentaje de muertes]]&gt;0.35,Tabla1[[#This Row],[Porcentaje de muertes]]&lt;0.65),"MEDIO",Tabla1[[#This Row],[Porcentaje de muertes]]&gt;0.65,"GRAVE")</f>
        <v>GRAVE</v>
      </c>
    </row>
    <row r="2437" spans="2:24" x14ac:dyDescent="0.3">
      <c r="B2437" s="9">
        <v>2436</v>
      </c>
      <c r="C2437" s="49">
        <v>25689</v>
      </c>
      <c r="D2437" s="9">
        <f>YEAR(Tabla1[[#This Row],[Date]])</f>
        <v>1970</v>
      </c>
      <c r="E2437" s="9" t="str" cm="1">
        <f t="array" ref="E2437">IFERROR(_xlfn.IFS(AND(D2437&lt;1980,D2437&gt;=1970),"70",AND(D2437&lt;1990,D2437&gt;=1980),"80",AND(D2437&lt;2000,D2437&gt;=1990),"90",AND(D2437&lt;2010,D2437&gt;=2000),"00",AND(D2437&lt;=2019,D2437&gt;=2010),"10"),"1908-1970")</f>
        <v>70</v>
      </c>
      <c r="F2437" s="3">
        <v>0.93402777777777779</v>
      </c>
      <c r="G2437" t="s">
        <v>15727</v>
      </c>
      <c r="H2437" t="s">
        <v>14549</v>
      </c>
      <c r="I2437" t="s">
        <v>28931</v>
      </c>
      <c r="J2437" t="s">
        <v>15728</v>
      </c>
      <c r="K2437" t="s">
        <v>15233</v>
      </c>
      <c r="L2437" s="7" t="s">
        <v>15729</v>
      </c>
      <c r="M2437" s="4">
        <v>11992</v>
      </c>
      <c r="N2437">
        <v>10</v>
      </c>
      <c r="O2437">
        <v>7</v>
      </c>
      <c r="P2437">
        <v>3</v>
      </c>
      <c r="Q2437">
        <v>5</v>
      </c>
      <c r="R2437">
        <v>5</v>
      </c>
      <c r="S2437">
        <v>0</v>
      </c>
      <c r="T2437">
        <v>0</v>
      </c>
      <c r="U2437" t="s">
        <v>15730</v>
      </c>
      <c r="V2437">
        <f>Tabla1[[#This Row],[Aboard]]-Tabla1[[#This Row],[Fatalities]]</f>
        <v>5</v>
      </c>
      <c r="W2437" s="50">
        <f>IFERROR(Tabla1[[#This Row],[Fatalities]]/Tabla1[[#This Row],[Aboard]],0)</f>
        <v>0.5</v>
      </c>
      <c r="X2437" s="51" t="str" cm="1">
        <f t="array" ref="X2437">_xlfn.IFS(Tabla1[[#This Row],[Porcentaje de muertes]]&lt;0.35,"LEVE",AND(Tabla1[[#This Row],[Porcentaje de muertes]]&gt;0.35,Tabla1[[#This Row],[Porcentaje de muertes]]&lt;0.65),"MEDIO",Tabla1[[#This Row],[Porcentaje de muertes]]&gt;0.65,"GRAVE")</f>
        <v>MEDIO</v>
      </c>
    </row>
    <row r="2438" spans="2:24" x14ac:dyDescent="0.3">
      <c r="B2438" s="9">
        <v>2437</v>
      </c>
      <c r="C2438" s="49">
        <v>25903</v>
      </c>
      <c r="D2438" s="9">
        <f>YEAR(Tabla1[[#This Row],[Date]])</f>
        <v>1970</v>
      </c>
      <c r="E2438" s="9" t="str" cm="1">
        <f t="array" ref="E2438">IFERROR(_xlfn.IFS(AND(D2438&lt;1980,D2438&gt;=1970),"70",AND(D2438&lt;1990,D2438&gt;=1980),"80",AND(D2438&lt;2000,D2438&gt;=1990),"90",AND(D2438&lt;2010,D2438&gt;=2000),"00",AND(D2438&lt;=2019,D2438&gt;=2010),"10"),"1908-1970")</f>
        <v>70</v>
      </c>
      <c r="F2438" s="3">
        <v>0.5</v>
      </c>
      <c r="G2438" t="s">
        <v>15731</v>
      </c>
      <c r="H2438" t="s">
        <v>15732</v>
      </c>
      <c r="I2438" t="s">
        <v>28931</v>
      </c>
      <c r="J2438" t="s">
        <v>11222</v>
      </c>
      <c r="K2438" t="s">
        <v>7826</v>
      </c>
      <c r="L2438" s="7" t="s">
        <v>28931</v>
      </c>
      <c r="M2438" t="s">
        <v>28931</v>
      </c>
      <c r="N2438">
        <v>27</v>
      </c>
      <c r="O2438">
        <v>22</v>
      </c>
      <c r="P2438">
        <v>5</v>
      </c>
      <c r="Q2438">
        <v>23</v>
      </c>
      <c r="R2438">
        <v>19</v>
      </c>
      <c r="S2438">
        <v>4</v>
      </c>
      <c r="T2438">
        <v>0</v>
      </c>
      <c r="U2438" t="s">
        <v>15733</v>
      </c>
      <c r="V2438">
        <f>Tabla1[[#This Row],[Aboard]]-Tabla1[[#This Row],[Fatalities]]</f>
        <v>4</v>
      </c>
      <c r="W2438" s="50">
        <f>IFERROR(Tabla1[[#This Row],[Fatalities]]/Tabla1[[#This Row],[Aboard]],0)</f>
        <v>0.85185185185185186</v>
      </c>
      <c r="X2438" s="51" t="str" cm="1">
        <f t="array" ref="X2438">_xlfn.IFS(Tabla1[[#This Row],[Porcentaje de muertes]]&lt;0.35,"LEVE",AND(Tabla1[[#This Row],[Porcentaje de muertes]]&gt;0.35,Tabla1[[#This Row],[Porcentaje de muertes]]&lt;0.65),"MEDIO",Tabla1[[#This Row],[Porcentaje de muertes]]&gt;0.65,"GRAVE")</f>
        <v>GRAVE</v>
      </c>
    </row>
    <row r="2439" spans="2:24" x14ac:dyDescent="0.3">
      <c r="B2439" s="9">
        <v>2438</v>
      </c>
      <c r="C2439" s="49">
        <v>25581</v>
      </c>
      <c r="D2439" s="9">
        <f>YEAR(Tabla1[[#This Row],[Date]])</f>
        <v>1970</v>
      </c>
      <c r="E2439" s="9" t="str" cm="1">
        <f t="array" ref="E2439">IFERROR(_xlfn.IFS(AND(D2439&lt;1980,D2439&gt;=1970),"70",AND(D2439&lt;1990,D2439&gt;=1980),"80",AND(D2439&lt;2000,D2439&gt;=1990),"90",AND(D2439&lt;2010,D2439&gt;=2000),"00",AND(D2439&lt;=2019,D2439&gt;=2010),"10"),"1908-1970")</f>
        <v>70</v>
      </c>
      <c r="F2439" s="3">
        <v>0.25</v>
      </c>
      <c r="G2439" t="s">
        <v>15734</v>
      </c>
      <c r="H2439" t="s">
        <v>15735</v>
      </c>
      <c r="I2439" t="s">
        <v>15736</v>
      </c>
      <c r="J2439" t="s">
        <v>15737</v>
      </c>
      <c r="K2439" t="s">
        <v>7057</v>
      </c>
      <c r="L2439" s="7" t="s">
        <v>15738</v>
      </c>
      <c r="M2439">
        <v>16964</v>
      </c>
      <c r="N2439">
        <v>32</v>
      </c>
      <c r="O2439">
        <v>29</v>
      </c>
      <c r="P2439">
        <v>3</v>
      </c>
      <c r="Q2439">
        <v>32</v>
      </c>
      <c r="R2439">
        <v>29</v>
      </c>
      <c r="S2439">
        <v>3</v>
      </c>
      <c r="T2439">
        <v>0</v>
      </c>
      <c r="U2439" t="s">
        <v>15739</v>
      </c>
      <c r="V2439">
        <f>Tabla1[[#This Row],[Aboard]]-Tabla1[[#This Row],[Fatalities]]</f>
        <v>0</v>
      </c>
      <c r="W2439" s="50">
        <f>IFERROR(Tabla1[[#This Row],[Fatalities]]/Tabla1[[#This Row],[Aboard]],0)</f>
        <v>1</v>
      </c>
      <c r="X2439" s="51" t="str" cm="1">
        <f t="array" ref="X2439">_xlfn.IFS(Tabla1[[#This Row],[Porcentaje de muertes]]&lt;0.35,"LEVE",AND(Tabla1[[#This Row],[Porcentaje de muertes]]&gt;0.35,Tabla1[[#This Row],[Porcentaje de muertes]]&lt;0.65),"MEDIO",Tabla1[[#This Row],[Porcentaje de muertes]]&gt;0.65,"GRAVE")</f>
        <v>GRAVE</v>
      </c>
    </row>
    <row r="2440" spans="2:24" x14ac:dyDescent="0.3">
      <c r="B2440" s="9">
        <v>2439</v>
      </c>
      <c r="C2440" s="49">
        <v>25582</v>
      </c>
      <c r="D2440" s="9">
        <f>YEAR(Tabla1[[#This Row],[Date]])</f>
        <v>1970</v>
      </c>
      <c r="E2440" s="9" t="str" cm="1">
        <f t="array" ref="E2440">IFERROR(_xlfn.IFS(AND(D2440&lt;1980,D2440&gt;=1970),"70",AND(D2440&lt;1990,D2440&gt;=1980),"80",AND(D2440&lt;2000,D2440&gt;=1990),"90",AND(D2440&lt;2010,D2440&gt;=2000),"00",AND(D2440&lt;=2019,D2440&gt;=2010),"10"),"1908-1970")</f>
        <v>70</v>
      </c>
      <c r="F2440" s="3" t="s">
        <v>28931</v>
      </c>
      <c r="G2440" t="s">
        <v>15740</v>
      </c>
      <c r="H2440" t="s">
        <v>8477</v>
      </c>
      <c r="I2440" t="s">
        <v>28931</v>
      </c>
      <c r="J2440" t="s">
        <v>15741</v>
      </c>
      <c r="K2440" t="s">
        <v>8822</v>
      </c>
      <c r="L2440" s="7" t="s">
        <v>15742</v>
      </c>
      <c r="M2440">
        <v>10591</v>
      </c>
      <c r="N2440">
        <v>28</v>
      </c>
      <c r="O2440">
        <v>24</v>
      </c>
      <c r="P2440">
        <v>4</v>
      </c>
      <c r="Q2440">
        <v>28</v>
      </c>
      <c r="R2440">
        <v>24</v>
      </c>
      <c r="S2440">
        <v>4</v>
      </c>
      <c r="T2440">
        <v>0</v>
      </c>
      <c r="U2440" t="s">
        <v>15743</v>
      </c>
      <c r="V2440">
        <f>Tabla1[[#This Row],[Aboard]]-Tabla1[[#This Row],[Fatalities]]</f>
        <v>0</v>
      </c>
      <c r="W2440" s="50">
        <f>IFERROR(Tabla1[[#This Row],[Fatalities]]/Tabla1[[#This Row],[Aboard]],0)</f>
        <v>1</v>
      </c>
      <c r="X2440" s="51" t="str" cm="1">
        <f t="array" ref="X2440">_xlfn.IFS(Tabla1[[#This Row],[Porcentaje de muertes]]&lt;0.35,"LEVE",AND(Tabla1[[#This Row],[Porcentaje de muertes]]&gt;0.35,Tabla1[[#This Row],[Porcentaje de muertes]]&lt;0.65),"MEDIO",Tabla1[[#This Row],[Porcentaje de muertes]]&gt;0.65,"GRAVE")</f>
        <v>GRAVE</v>
      </c>
    </row>
    <row r="2441" spans="2:24" x14ac:dyDescent="0.3">
      <c r="B2441" s="9">
        <v>2440</v>
      </c>
      <c r="C2441" s="49">
        <v>25593</v>
      </c>
      <c r="D2441" s="9">
        <f>YEAR(Tabla1[[#This Row],[Date]])</f>
        <v>1970</v>
      </c>
      <c r="E2441" s="9" t="str" cm="1">
        <f t="array" ref="E2441">IFERROR(_xlfn.IFS(AND(D2441&lt;1980,D2441&gt;=1970),"70",AND(D2441&lt;1990,D2441&gt;=1980),"80",AND(D2441&lt;2000,D2441&gt;=1990),"90",AND(D2441&lt;2010,D2441&gt;=2000),"00",AND(D2441&lt;=2019,D2441&gt;=2010),"10"),"1908-1970")</f>
        <v>70</v>
      </c>
      <c r="F2441" s="3">
        <v>0.80069444444444438</v>
      </c>
      <c r="G2441" t="s">
        <v>15744</v>
      </c>
      <c r="H2441" t="s">
        <v>13123</v>
      </c>
      <c r="I2441" t="s">
        <v>28931</v>
      </c>
      <c r="J2441" t="s">
        <v>15745</v>
      </c>
      <c r="K2441" t="s">
        <v>14481</v>
      </c>
      <c r="L2441" s="7" t="s">
        <v>15746</v>
      </c>
      <c r="M2441">
        <v>1965</v>
      </c>
      <c r="N2441">
        <v>23</v>
      </c>
      <c r="O2441">
        <v>18</v>
      </c>
      <c r="P2441">
        <v>5</v>
      </c>
      <c r="Q2441">
        <v>1</v>
      </c>
      <c r="R2441">
        <v>0</v>
      </c>
      <c r="S2441">
        <v>1</v>
      </c>
      <c r="T2441">
        <v>0</v>
      </c>
      <c r="U2441" t="s">
        <v>15747</v>
      </c>
      <c r="V2441">
        <f>Tabla1[[#This Row],[Aboard]]-Tabla1[[#This Row],[Fatalities]]</f>
        <v>22</v>
      </c>
      <c r="W2441" s="50">
        <f>IFERROR(Tabla1[[#This Row],[Fatalities]]/Tabla1[[#This Row],[Aboard]],0)</f>
        <v>4.3478260869565216E-2</v>
      </c>
      <c r="X2441" s="51" t="str" cm="1">
        <f t="array" ref="X2441">_xlfn.IFS(Tabla1[[#This Row],[Porcentaje de muertes]]&lt;0.35,"LEVE",AND(Tabla1[[#This Row],[Porcentaje de muertes]]&gt;0.35,Tabla1[[#This Row],[Porcentaje de muertes]]&lt;0.65),"MEDIO",Tabla1[[#This Row],[Porcentaje de muertes]]&gt;0.65,"GRAVE")</f>
        <v>LEVE</v>
      </c>
    </row>
    <row r="2442" spans="2:24" x14ac:dyDescent="0.3">
      <c r="B2442" s="9">
        <v>2441</v>
      </c>
      <c r="C2442" s="49">
        <v>25593</v>
      </c>
      <c r="D2442" s="9">
        <f>YEAR(Tabla1[[#This Row],[Date]])</f>
        <v>1970</v>
      </c>
      <c r="E2442" s="9" t="str" cm="1">
        <f t="array" ref="E2442">IFERROR(_xlfn.IFS(AND(D2442&lt;1980,D2442&gt;=1970),"70",AND(D2442&lt;1990,D2442&gt;=1980),"80",AND(D2442&lt;2000,D2442&gt;=1990),"90",AND(D2442&lt;2010,D2442&gt;=2000),"00",AND(D2442&lt;=2019,D2442&gt;=2010),"10"),"1908-1970")</f>
        <v>70</v>
      </c>
      <c r="F2442" s="3" t="s">
        <v>28931</v>
      </c>
      <c r="G2442" t="s">
        <v>15748</v>
      </c>
      <c r="H2442" t="s">
        <v>15749</v>
      </c>
      <c r="I2442" t="s">
        <v>28931</v>
      </c>
      <c r="J2442" t="s">
        <v>15750</v>
      </c>
      <c r="K2442" t="s">
        <v>12427</v>
      </c>
      <c r="L2442" s="7" t="s">
        <v>15751</v>
      </c>
      <c r="M2442">
        <v>71</v>
      </c>
      <c r="N2442">
        <v>19</v>
      </c>
      <c r="O2442">
        <v>15</v>
      </c>
      <c r="P2442">
        <v>4</v>
      </c>
      <c r="Q2442">
        <v>18</v>
      </c>
      <c r="R2442">
        <v>14</v>
      </c>
      <c r="S2442">
        <v>4</v>
      </c>
      <c r="T2442">
        <v>0</v>
      </c>
      <c r="U2442" t="s">
        <v>15752</v>
      </c>
      <c r="V2442">
        <f>Tabla1[[#This Row],[Aboard]]-Tabla1[[#This Row],[Fatalities]]</f>
        <v>1</v>
      </c>
      <c r="W2442" s="50">
        <f>IFERROR(Tabla1[[#This Row],[Fatalities]]/Tabla1[[#This Row],[Aboard]],0)</f>
        <v>0.94736842105263153</v>
      </c>
      <c r="X2442" s="51" t="str" cm="1">
        <f t="array" ref="X2442">_xlfn.IFS(Tabla1[[#This Row],[Porcentaje de muertes]]&lt;0.35,"LEVE",AND(Tabla1[[#This Row],[Porcentaje de muertes]]&gt;0.35,Tabla1[[#This Row],[Porcentaje de muertes]]&lt;0.65),"MEDIO",Tabla1[[#This Row],[Porcentaje de muertes]]&gt;0.65,"GRAVE")</f>
        <v>GRAVE</v>
      </c>
    </row>
    <row r="2443" spans="2:24" x14ac:dyDescent="0.3">
      <c r="B2443" s="9">
        <v>2442</v>
      </c>
      <c r="C2443" s="49">
        <v>25596</v>
      </c>
      <c r="D2443" s="9">
        <f>YEAR(Tabla1[[#This Row],[Date]])</f>
        <v>1970</v>
      </c>
      <c r="E2443" s="9" t="str" cm="1">
        <f t="array" ref="E2443">IFERROR(_xlfn.IFS(AND(D2443&lt;1980,D2443&gt;=1970),"70",AND(D2443&lt;1990,D2443&gt;=1980),"80",AND(D2443&lt;2000,D2443&gt;=1990),"90",AND(D2443&lt;2010,D2443&gt;=2000),"00",AND(D2443&lt;=2019,D2443&gt;=2010),"10"),"1908-1970")</f>
        <v>70</v>
      </c>
      <c r="F2443" s="3">
        <v>0.87013888888888891</v>
      </c>
      <c r="G2443" t="s">
        <v>15753</v>
      </c>
      <c r="H2443" t="s">
        <v>6541</v>
      </c>
      <c r="I2443" t="s">
        <v>28931</v>
      </c>
      <c r="J2443" t="s">
        <v>15754</v>
      </c>
      <c r="K2443" t="s">
        <v>14340</v>
      </c>
      <c r="L2443" s="7" t="s">
        <v>15755</v>
      </c>
      <c r="M2443">
        <v>59900202</v>
      </c>
      <c r="N2443">
        <v>34</v>
      </c>
      <c r="O2443">
        <v>28</v>
      </c>
      <c r="P2443">
        <v>6</v>
      </c>
      <c r="Q2443">
        <v>34</v>
      </c>
      <c r="R2443">
        <v>28</v>
      </c>
      <c r="S2443">
        <v>6</v>
      </c>
      <c r="T2443">
        <v>0</v>
      </c>
      <c r="U2443" t="s">
        <v>15756</v>
      </c>
      <c r="V2443">
        <f>Tabla1[[#This Row],[Aboard]]-Tabla1[[#This Row],[Fatalities]]</f>
        <v>0</v>
      </c>
      <c r="W2443" s="50">
        <f>IFERROR(Tabla1[[#This Row],[Fatalities]]/Tabla1[[#This Row],[Aboard]],0)</f>
        <v>1</v>
      </c>
      <c r="X2443" s="51" t="str" cm="1">
        <f t="array" ref="X2443">_xlfn.IFS(Tabla1[[#This Row],[Porcentaje de muertes]]&lt;0.35,"LEVE",AND(Tabla1[[#This Row],[Porcentaje de muertes]]&gt;0.35,Tabla1[[#This Row],[Porcentaje de muertes]]&lt;0.65),"MEDIO",Tabla1[[#This Row],[Porcentaje de muertes]]&gt;0.65,"GRAVE")</f>
        <v>GRAVE</v>
      </c>
    </row>
    <row r="2444" spans="2:24" x14ac:dyDescent="0.3">
      <c r="B2444" s="9">
        <v>2443</v>
      </c>
      <c r="C2444" s="49">
        <v>25596</v>
      </c>
      <c r="D2444" s="9">
        <f>YEAR(Tabla1[[#This Row],[Date]])</f>
        <v>1970</v>
      </c>
      <c r="E2444" s="9" t="str" cm="1">
        <f t="array" ref="E2444">IFERROR(_xlfn.IFS(AND(D2444&lt;1980,D2444&gt;=1970),"70",AND(D2444&lt;1990,D2444&gt;=1980),"80",AND(D2444&lt;2000,D2444&gt;=1990),"90",AND(D2444&lt;2010,D2444&gt;=2000),"00",AND(D2444&lt;=2019,D2444&gt;=2010),"10"),"1908-1970")</f>
        <v>70</v>
      </c>
      <c r="F2444" s="3">
        <v>0.32569444444444445</v>
      </c>
      <c r="G2444" t="s">
        <v>5099</v>
      </c>
      <c r="H2444" t="s">
        <v>15757</v>
      </c>
      <c r="I2444" t="s">
        <v>28931</v>
      </c>
      <c r="J2444" t="s">
        <v>15758</v>
      </c>
      <c r="K2444" t="s">
        <v>15759</v>
      </c>
      <c r="L2444" s="7" t="s">
        <v>15760</v>
      </c>
      <c r="M2444">
        <v>4444</v>
      </c>
      <c r="N2444">
        <v>9</v>
      </c>
      <c r="O2444">
        <v>7</v>
      </c>
      <c r="P2444">
        <v>2</v>
      </c>
      <c r="Q2444">
        <v>9</v>
      </c>
      <c r="R2444">
        <v>7</v>
      </c>
      <c r="S2444">
        <v>2</v>
      </c>
      <c r="T2444">
        <v>0</v>
      </c>
      <c r="U2444" t="s">
        <v>15761</v>
      </c>
      <c r="V2444">
        <f>Tabla1[[#This Row],[Aboard]]-Tabla1[[#This Row],[Fatalities]]</f>
        <v>0</v>
      </c>
      <c r="W2444" s="50">
        <f>IFERROR(Tabla1[[#This Row],[Fatalities]]/Tabla1[[#This Row],[Aboard]],0)</f>
        <v>1</v>
      </c>
      <c r="X2444" s="51" t="str" cm="1">
        <f t="array" ref="X2444">_xlfn.IFS(Tabla1[[#This Row],[Porcentaje de muertes]]&lt;0.35,"LEVE",AND(Tabla1[[#This Row],[Porcentaje de muertes]]&gt;0.35,Tabla1[[#This Row],[Porcentaje de muertes]]&lt;0.65),"MEDIO",Tabla1[[#This Row],[Porcentaje de muertes]]&gt;0.65,"GRAVE")</f>
        <v>GRAVE</v>
      </c>
    </row>
    <row r="2445" spans="2:24" x14ac:dyDescent="0.3">
      <c r="B2445" s="9">
        <v>2444</v>
      </c>
      <c r="C2445" s="49">
        <v>25597</v>
      </c>
      <c r="D2445" s="9">
        <f>YEAR(Tabla1[[#This Row],[Date]])</f>
        <v>1970</v>
      </c>
      <c r="E2445" s="9" t="str" cm="1">
        <f t="array" ref="E2445">IFERROR(_xlfn.IFS(AND(D2445&lt;1980,D2445&gt;=1970),"70",AND(D2445&lt;1990,D2445&gt;=1980),"80",AND(D2445&lt;2000,D2445&gt;=1990),"90",AND(D2445&lt;2010,D2445&gt;=2000),"00",AND(D2445&lt;=2019,D2445&gt;=2010),"10"),"1908-1970")</f>
        <v>70</v>
      </c>
      <c r="F2445" s="3">
        <v>0.81041666666666667</v>
      </c>
      <c r="G2445" t="s">
        <v>15762</v>
      </c>
      <c r="H2445" t="s">
        <v>6541</v>
      </c>
      <c r="I2445">
        <v>145</v>
      </c>
      <c r="J2445" t="s">
        <v>15763</v>
      </c>
      <c r="K2445" t="s">
        <v>14520</v>
      </c>
      <c r="L2445" s="7" t="s">
        <v>15764</v>
      </c>
      <c r="M2445">
        <v>5351706</v>
      </c>
      <c r="N2445">
        <v>11</v>
      </c>
      <c r="O2445">
        <v>32</v>
      </c>
      <c r="P2445">
        <v>6</v>
      </c>
      <c r="Q2445">
        <v>11</v>
      </c>
      <c r="R2445">
        <v>8</v>
      </c>
      <c r="S2445">
        <v>3</v>
      </c>
      <c r="T2445">
        <v>0</v>
      </c>
      <c r="U2445" t="s">
        <v>15765</v>
      </c>
      <c r="V2445">
        <f>Tabla1[[#This Row],[Aboard]]-Tabla1[[#This Row],[Fatalities]]</f>
        <v>0</v>
      </c>
      <c r="W2445" s="50">
        <f>IFERROR(Tabla1[[#This Row],[Fatalities]]/Tabla1[[#This Row],[Aboard]],0)</f>
        <v>1</v>
      </c>
      <c r="X2445" s="51" t="str" cm="1">
        <f t="array" ref="X2445">_xlfn.IFS(Tabla1[[#This Row],[Porcentaje de muertes]]&lt;0.35,"LEVE",AND(Tabla1[[#This Row],[Porcentaje de muertes]]&gt;0.35,Tabla1[[#This Row],[Porcentaje de muertes]]&lt;0.65),"MEDIO",Tabla1[[#This Row],[Porcentaje de muertes]]&gt;0.65,"GRAVE")</f>
        <v>GRAVE</v>
      </c>
    </row>
    <row r="2446" spans="2:24" x14ac:dyDescent="0.3">
      <c r="B2446" s="9">
        <v>2445</v>
      </c>
      <c r="C2446" s="49">
        <v>25660</v>
      </c>
      <c r="D2446" s="9">
        <f>YEAR(Tabla1[[#This Row],[Date]])</f>
        <v>1970</v>
      </c>
      <c r="E2446" s="9" t="str" cm="1">
        <f t="array" ref="E2446">IFERROR(_xlfn.IFS(AND(D2446&lt;1980,D2446&gt;=1970),"70",AND(D2446&lt;1990,D2446&gt;=1980),"80",AND(D2446&lt;2000,D2446&gt;=1990),"90",AND(D2446&lt;2010,D2446&gt;=2000),"00",AND(D2446&lt;=2019,D2446&gt;=2010),"10"),"1908-1970")</f>
        <v>70</v>
      </c>
      <c r="F2446" s="3">
        <v>0.57291666666666663</v>
      </c>
      <c r="G2446" t="s">
        <v>15766</v>
      </c>
      <c r="H2446" t="s">
        <v>13884</v>
      </c>
      <c r="I2446" t="s">
        <v>28931</v>
      </c>
      <c r="J2446" t="s">
        <v>15767</v>
      </c>
      <c r="K2446" t="s">
        <v>15299</v>
      </c>
      <c r="L2446" s="7" t="s">
        <v>15768</v>
      </c>
      <c r="M2446">
        <v>77303310</v>
      </c>
      <c r="N2446">
        <v>22</v>
      </c>
      <c r="O2446">
        <v>18</v>
      </c>
      <c r="P2446">
        <v>4</v>
      </c>
      <c r="Q2446">
        <v>21</v>
      </c>
      <c r="R2446">
        <v>17</v>
      </c>
      <c r="S2446">
        <v>4</v>
      </c>
      <c r="T2446">
        <v>0</v>
      </c>
      <c r="U2446" t="s">
        <v>15769</v>
      </c>
      <c r="V2446">
        <f>Tabla1[[#This Row],[Aboard]]-Tabla1[[#This Row],[Fatalities]]</f>
        <v>1</v>
      </c>
      <c r="W2446" s="50">
        <f>IFERROR(Tabla1[[#This Row],[Fatalities]]/Tabla1[[#This Row],[Aboard]],0)</f>
        <v>0.95454545454545459</v>
      </c>
      <c r="X2446" s="51" t="str" cm="1">
        <f t="array" ref="X2446">_xlfn.IFS(Tabla1[[#This Row],[Porcentaje de muertes]]&lt;0.35,"LEVE",AND(Tabla1[[#This Row],[Porcentaje de muertes]]&gt;0.35,Tabla1[[#This Row],[Porcentaje de muertes]]&lt;0.65),"MEDIO",Tabla1[[#This Row],[Porcentaje de muertes]]&gt;0.65,"GRAVE")</f>
        <v>GRAVE</v>
      </c>
    </row>
    <row r="2447" spans="2:24" x14ac:dyDescent="0.3">
      <c r="B2447" s="9">
        <v>2446</v>
      </c>
      <c r="C2447" s="49">
        <v>25660</v>
      </c>
      <c r="D2447" s="9">
        <f>YEAR(Tabla1[[#This Row],[Date]])</f>
        <v>1970</v>
      </c>
      <c r="E2447" s="9" t="str" cm="1">
        <f t="array" ref="E2447">IFERROR(_xlfn.IFS(AND(D2447&lt;1980,D2447&gt;=1970),"70",AND(D2447&lt;1990,D2447&gt;=1980),"80",AND(D2447&lt;2000,D2447&gt;=1990),"90",AND(D2447&lt;2010,D2447&gt;=2000),"00",AND(D2447&lt;=2019,D2447&gt;=2010),"10"),"1908-1970")</f>
        <v>70</v>
      </c>
      <c r="F2447" s="3">
        <v>0.87152777777777779</v>
      </c>
      <c r="G2447" t="s">
        <v>15770</v>
      </c>
      <c r="H2447" t="s">
        <v>10275</v>
      </c>
      <c r="I2447" t="s">
        <v>28931</v>
      </c>
      <c r="J2447" t="s">
        <v>15771</v>
      </c>
      <c r="K2447" t="s">
        <v>15772</v>
      </c>
      <c r="L2447" s="7" t="s">
        <v>15773</v>
      </c>
      <c r="M2447">
        <v>1539</v>
      </c>
      <c r="N2447">
        <v>37</v>
      </c>
      <c r="O2447">
        <v>33</v>
      </c>
      <c r="P2447">
        <v>4</v>
      </c>
      <c r="Q2447">
        <v>37</v>
      </c>
      <c r="R2447">
        <v>33</v>
      </c>
      <c r="S2447">
        <v>4</v>
      </c>
      <c r="T2447">
        <v>0</v>
      </c>
      <c r="U2447" t="s">
        <v>15774</v>
      </c>
      <c r="V2447">
        <f>Tabla1[[#This Row],[Aboard]]-Tabla1[[#This Row],[Fatalities]]</f>
        <v>0</v>
      </c>
      <c r="W2447" s="50">
        <f>IFERROR(Tabla1[[#This Row],[Fatalities]]/Tabla1[[#This Row],[Aboard]],0)</f>
        <v>1</v>
      </c>
      <c r="X2447" s="51" t="str" cm="1">
        <f t="array" ref="X2447">_xlfn.IFS(Tabla1[[#This Row],[Porcentaje de muertes]]&lt;0.35,"LEVE",AND(Tabla1[[#This Row],[Porcentaje de muertes]]&gt;0.35,Tabla1[[#This Row],[Porcentaje de muertes]]&lt;0.65),"MEDIO",Tabla1[[#This Row],[Porcentaje de muertes]]&gt;0.65,"GRAVE")</f>
        <v>GRAVE</v>
      </c>
    </row>
    <row r="2448" spans="2:24" x14ac:dyDescent="0.3">
      <c r="B2448" s="9">
        <v>2447</v>
      </c>
      <c r="C2448" s="49">
        <v>25721</v>
      </c>
      <c r="D2448" s="9">
        <f>YEAR(Tabla1[[#This Row],[Date]])</f>
        <v>1970</v>
      </c>
      <c r="E2448" s="9" t="str" cm="1">
        <f t="array" ref="E2448">IFERROR(_xlfn.IFS(AND(D2448&lt;1980,D2448&gt;=1970),"70",AND(D2448&lt;1990,D2448&gt;=1980),"80",AND(D2448&lt;2000,D2448&gt;=1990),"90",AND(D2448&lt;2010,D2448&gt;=2000),"00",AND(D2448&lt;=2019,D2448&gt;=2010),"10"),"1908-1970")</f>
        <v>70</v>
      </c>
      <c r="F2448" s="3">
        <v>0.65416666666666667</v>
      </c>
      <c r="G2448" t="s">
        <v>15775</v>
      </c>
      <c r="H2448" t="s">
        <v>6541</v>
      </c>
      <c r="I2448">
        <v>45</v>
      </c>
      <c r="J2448" t="s">
        <v>15776</v>
      </c>
      <c r="K2448" t="s">
        <v>13812</v>
      </c>
      <c r="L2448" s="7" t="s">
        <v>15777</v>
      </c>
      <c r="M2448">
        <v>182004303</v>
      </c>
      <c r="N2448">
        <v>106</v>
      </c>
      <c r="O2448">
        <v>98</v>
      </c>
      <c r="P2448">
        <v>8</v>
      </c>
      <c r="Q2448">
        <v>92</v>
      </c>
      <c r="R2448">
        <v>85</v>
      </c>
      <c r="S2448">
        <v>7</v>
      </c>
      <c r="T2448">
        <v>0</v>
      </c>
      <c r="U2448" t="s">
        <v>15778</v>
      </c>
      <c r="V2448">
        <f>Tabla1[[#This Row],[Aboard]]-Tabla1[[#This Row],[Fatalities]]</f>
        <v>14</v>
      </c>
      <c r="W2448" s="50">
        <f>IFERROR(Tabla1[[#This Row],[Fatalities]]/Tabla1[[#This Row],[Aboard]],0)</f>
        <v>0.86792452830188682</v>
      </c>
      <c r="X2448" s="51" t="str" cm="1">
        <f t="array" ref="X2448">_xlfn.IFS(Tabla1[[#This Row],[Porcentaje de muertes]]&lt;0.35,"LEVE",AND(Tabla1[[#This Row],[Porcentaje de muertes]]&gt;0.35,Tabla1[[#This Row],[Porcentaje de muertes]]&lt;0.65),"MEDIO",Tabla1[[#This Row],[Porcentaje de muertes]]&gt;0.65,"GRAVE")</f>
        <v>GRAVE</v>
      </c>
    </row>
    <row r="2449" spans="2:24" x14ac:dyDescent="0.3">
      <c r="B2449" s="9">
        <v>2448</v>
      </c>
      <c r="C2449" s="49">
        <v>25843</v>
      </c>
      <c r="D2449" s="9">
        <f>YEAR(Tabla1[[#This Row],[Date]])</f>
        <v>1970</v>
      </c>
      <c r="E2449" s="9" t="str" cm="1">
        <f t="array" ref="E2449">IFERROR(_xlfn.IFS(AND(D2449&lt;1980,D2449&gt;=1970),"70",AND(D2449&lt;1990,D2449&gt;=1980),"80",AND(D2449&lt;2000,D2449&gt;=1990),"90",AND(D2449&lt;2010,D2449&gt;=2000),"00",AND(D2449&lt;=2019,D2449&gt;=2010),"10"),"1908-1970")</f>
        <v>70</v>
      </c>
      <c r="F2449" s="3">
        <v>0.77569444444444446</v>
      </c>
      <c r="G2449" t="s">
        <v>15779</v>
      </c>
      <c r="H2449" t="s">
        <v>15780</v>
      </c>
      <c r="I2449">
        <v>203</v>
      </c>
      <c r="J2449" t="s">
        <v>15781</v>
      </c>
      <c r="K2449" t="s">
        <v>14888</v>
      </c>
      <c r="L2449" s="7" t="s">
        <v>15782</v>
      </c>
      <c r="M2449">
        <v>41</v>
      </c>
      <c r="N2449">
        <v>5</v>
      </c>
      <c r="O2449">
        <v>3</v>
      </c>
      <c r="P2449">
        <v>2</v>
      </c>
      <c r="Q2449">
        <v>5</v>
      </c>
      <c r="R2449">
        <v>3</v>
      </c>
      <c r="S2449">
        <v>2</v>
      </c>
      <c r="T2449">
        <v>0</v>
      </c>
      <c r="U2449" t="s">
        <v>15783</v>
      </c>
      <c r="V2449">
        <f>Tabla1[[#This Row],[Aboard]]-Tabla1[[#This Row],[Fatalities]]</f>
        <v>0</v>
      </c>
      <c r="W2449" s="50">
        <f>IFERROR(Tabla1[[#This Row],[Fatalities]]/Tabla1[[#This Row],[Aboard]],0)</f>
        <v>1</v>
      </c>
      <c r="X2449" s="51" t="str" cm="1">
        <f t="array" ref="X2449">_xlfn.IFS(Tabla1[[#This Row],[Porcentaje de muertes]]&lt;0.35,"LEVE",AND(Tabla1[[#This Row],[Porcentaje de muertes]]&gt;0.35,Tabla1[[#This Row],[Porcentaje de muertes]]&lt;0.65),"MEDIO",Tabla1[[#This Row],[Porcentaje de muertes]]&gt;0.65,"GRAVE")</f>
        <v>GRAVE</v>
      </c>
    </row>
    <row r="2450" spans="2:24" x14ac:dyDescent="0.3">
      <c r="B2450" s="9">
        <v>2449</v>
      </c>
      <c r="C2450" s="49">
        <v>25904</v>
      </c>
      <c r="D2450" s="9">
        <f>YEAR(Tabla1[[#This Row],[Date]])</f>
        <v>1970</v>
      </c>
      <c r="E2450" s="9" t="str" cm="1">
        <f t="array" ref="E2450">IFERROR(_xlfn.IFS(AND(D2450&lt;1980,D2450&gt;=1970),"70",AND(D2450&lt;1990,D2450&gt;=1980),"80",AND(D2450&lt;2000,D2450&gt;=1990),"90",AND(D2450&lt;2010,D2450&gt;=2000),"00",AND(D2450&lt;=2019,D2450&gt;=2010),"10"),"1908-1970")</f>
        <v>70</v>
      </c>
      <c r="F2450" s="3">
        <v>0.31805555555555554</v>
      </c>
      <c r="G2450" t="s">
        <v>15784</v>
      </c>
      <c r="H2450" t="s">
        <v>15785</v>
      </c>
      <c r="I2450" t="s">
        <v>28931</v>
      </c>
      <c r="J2450" t="s">
        <v>15786</v>
      </c>
      <c r="K2450" t="s">
        <v>9682</v>
      </c>
      <c r="L2450" s="7" t="s">
        <v>15787</v>
      </c>
      <c r="M2450">
        <v>4544</v>
      </c>
      <c r="N2450">
        <v>12</v>
      </c>
      <c r="O2450">
        <v>8</v>
      </c>
      <c r="P2450">
        <v>4</v>
      </c>
      <c r="Q2450">
        <v>12</v>
      </c>
      <c r="R2450">
        <v>8</v>
      </c>
      <c r="S2450">
        <v>4</v>
      </c>
      <c r="T2450">
        <v>2</v>
      </c>
      <c r="U2450" t="s">
        <v>15788</v>
      </c>
      <c r="V2450">
        <f>Tabla1[[#This Row],[Aboard]]-Tabla1[[#This Row],[Fatalities]]</f>
        <v>0</v>
      </c>
      <c r="W2450" s="50">
        <f>IFERROR(Tabla1[[#This Row],[Fatalities]]/Tabla1[[#This Row],[Aboard]],0)</f>
        <v>1</v>
      </c>
      <c r="X2450" s="51" t="str" cm="1">
        <f t="array" ref="X2450">_xlfn.IFS(Tabla1[[#This Row],[Porcentaje de muertes]]&lt;0.35,"LEVE",AND(Tabla1[[#This Row],[Porcentaje de muertes]]&gt;0.35,Tabla1[[#This Row],[Porcentaje de muertes]]&lt;0.65),"MEDIO",Tabla1[[#This Row],[Porcentaje de muertes]]&gt;0.65,"GRAVE")</f>
        <v>GRAVE</v>
      </c>
    </row>
    <row r="2451" spans="2:24" x14ac:dyDescent="0.3">
      <c r="B2451" s="9">
        <v>2450</v>
      </c>
      <c r="C2451" s="49">
        <v>25614</v>
      </c>
      <c r="D2451" s="9">
        <f>YEAR(Tabla1[[#This Row],[Date]])</f>
        <v>1970</v>
      </c>
      <c r="E2451" s="9" t="str" cm="1">
        <f t="array" ref="E2451">IFERROR(_xlfn.IFS(AND(D2451&lt;1980,D2451&gt;=1970),"70",AND(D2451&lt;1990,D2451&gt;=1980),"80",AND(D2451&lt;2000,D2451&gt;=1990),"90",AND(D2451&lt;2010,D2451&gt;=2000),"00",AND(D2451&lt;=2019,D2451&gt;=2010),"10"),"1908-1970")</f>
        <v>70</v>
      </c>
      <c r="F2451" s="3">
        <v>0.77083333333333337</v>
      </c>
      <c r="G2451" t="s">
        <v>15789</v>
      </c>
      <c r="H2451" t="s">
        <v>15790</v>
      </c>
      <c r="I2451" t="s">
        <v>28931</v>
      </c>
      <c r="J2451" t="s">
        <v>15791</v>
      </c>
      <c r="K2451" t="s">
        <v>15468</v>
      </c>
      <c r="L2451" s="7" t="s">
        <v>15792</v>
      </c>
      <c r="M2451" t="s">
        <v>15793</v>
      </c>
      <c r="N2451">
        <v>102</v>
      </c>
      <c r="O2451">
        <v>97</v>
      </c>
      <c r="P2451">
        <v>5</v>
      </c>
      <c r="Q2451">
        <v>102</v>
      </c>
      <c r="R2451">
        <v>97</v>
      </c>
      <c r="S2451">
        <v>5</v>
      </c>
      <c r="T2451">
        <v>0</v>
      </c>
      <c r="U2451" t="s">
        <v>15794</v>
      </c>
      <c r="V2451">
        <f>Tabla1[[#This Row],[Aboard]]-Tabla1[[#This Row],[Fatalities]]</f>
        <v>0</v>
      </c>
      <c r="W2451" s="50">
        <f>IFERROR(Tabla1[[#This Row],[Fatalities]]/Tabla1[[#This Row],[Aboard]],0)</f>
        <v>1</v>
      </c>
      <c r="X2451" s="51" t="str" cm="1">
        <f t="array" ref="X2451">_xlfn.IFS(Tabla1[[#This Row],[Porcentaje de muertes]]&lt;0.35,"LEVE",AND(Tabla1[[#This Row],[Porcentaje de muertes]]&gt;0.35,Tabla1[[#This Row],[Porcentaje de muertes]]&lt;0.65),"MEDIO",Tabla1[[#This Row],[Porcentaje de muertes]]&gt;0.65,"GRAVE")</f>
        <v>GRAVE</v>
      </c>
    </row>
    <row r="2452" spans="2:24" x14ac:dyDescent="0.3">
      <c r="B2452" s="9">
        <v>2451</v>
      </c>
      <c r="C2452" s="49">
        <v>25618</v>
      </c>
      <c r="D2452" s="9">
        <f>YEAR(Tabla1[[#This Row],[Date]])</f>
        <v>1970</v>
      </c>
      <c r="E2452" s="9" t="str" cm="1">
        <f t="array" ref="E2452">IFERROR(_xlfn.IFS(AND(D2452&lt;1980,D2452&gt;=1970),"70",AND(D2452&lt;1990,D2452&gt;=1980),"80",AND(D2452&lt;2000,D2452&gt;=1990),"90",AND(D2452&lt;2010,D2452&gt;=2000),"00",AND(D2452&lt;=2019,D2452&gt;=2010),"10"),"1908-1970")</f>
        <v>70</v>
      </c>
      <c r="F2452" s="3" t="s">
        <v>28931</v>
      </c>
      <c r="G2452" t="s">
        <v>15795</v>
      </c>
      <c r="H2452" t="s">
        <v>15796</v>
      </c>
      <c r="I2452" t="s">
        <v>28931</v>
      </c>
      <c r="J2452" t="s">
        <v>28931</v>
      </c>
      <c r="K2452" t="s">
        <v>7057</v>
      </c>
      <c r="L2452" s="7" t="s">
        <v>15797</v>
      </c>
      <c r="M2452">
        <v>9780</v>
      </c>
      <c r="N2452">
        <v>17</v>
      </c>
      <c r="O2452">
        <v>14</v>
      </c>
      <c r="P2452">
        <v>3</v>
      </c>
      <c r="Q2452">
        <v>17</v>
      </c>
      <c r="R2452">
        <v>14</v>
      </c>
      <c r="S2452">
        <v>3</v>
      </c>
      <c r="T2452">
        <v>0</v>
      </c>
      <c r="U2452" t="s">
        <v>5274</v>
      </c>
      <c r="V2452">
        <f>Tabla1[[#This Row],[Aboard]]-Tabla1[[#This Row],[Fatalities]]</f>
        <v>0</v>
      </c>
      <c r="W2452" s="50">
        <f>IFERROR(Tabla1[[#This Row],[Fatalities]]/Tabla1[[#This Row],[Aboard]],0)</f>
        <v>1</v>
      </c>
      <c r="X2452" s="51" t="str" cm="1">
        <f t="array" ref="X2452">_xlfn.IFS(Tabla1[[#This Row],[Porcentaje de muertes]]&lt;0.35,"LEVE",AND(Tabla1[[#This Row],[Porcentaje de muertes]]&gt;0.35,Tabla1[[#This Row],[Porcentaje de muertes]]&lt;0.65),"MEDIO",Tabla1[[#This Row],[Porcentaje de muertes]]&gt;0.65,"GRAVE")</f>
        <v>GRAVE</v>
      </c>
    </row>
    <row r="2453" spans="2:24" x14ac:dyDescent="0.3">
      <c r="B2453" s="9">
        <v>2452</v>
      </c>
      <c r="C2453" s="49">
        <v>25620</v>
      </c>
      <c r="D2453" s="9">
        <f>YEAR(Tabla1[[#This Row],[Date]])</f>
        <v>1970</v>
      </c>
      <c r="E2453" s="9" t="str" cm="1">
        <f t="array" ref="E2453">IFERROR(_xlfn.IFS(AND(D2453&lt;1980,D2453&gt;=1970),"70",AND(D2453&lt;1990,D2453&gt;=1980),"80",AND(D2453&lt;2000,D2453&gt;=1990),"90",AND(D2453&lt;2010,D2453&gt;=2000),"00",AND(D2453&lt;=2019,D2453&gt;=2010),"10"),"1908-1970")</f>
        <v>70</v>
      </c>
      <c r="F2453" s="3">
        <v>0.56527777777777777</v>
      </c>
      <c r="G2453" t="s">
        <v>10567</v>
      </c>
      <c r="H2453" t="s">
        <v>6471</v>
      </c>
      <c r="I2453">
        <v>330</v>
      </c>
      <c r="J2453" t="s">
        <v>15798</v>
      </c>
      <c r="K2453" t="s">
        <v>15799</v>
      </c>
      <c r="L2453" s="7" t="s">
        <v>15800</v>
      </c>
      <c r="M2453">
        <v>301015</v>
      </c>
      <c r="N2453">
        <v>47</v>
      </c>
      <c r="O2453">
        <v>38</v>
      </c>
      <c r="P2453">
        <v>9</v>
      </c>
      <c r="Q2453">
        <v>47</v>
      </c>
      <c r="R2453">
        <v>38</v>
      </c>
      <c r="S2453">
        <v>9</v>
      </c>
      <c r="T2453">
        <v>0</v>
      </c>
      <c r="U2453" t="s">
        <v>15801</v>
      </c>
      <c r="V2453">
        <f>Tabla1[[#This Row],[Aboard]]-Tabla1[[#This Row],[Fatalities]]</f>
        <v>0</v>
      </c>
      <c r="W2453" s="50">
        <f>IFERROR(Tabla1[[#This Row],[Fatalities]]/Tabla1[[#This Row],[Aboard]],0)</f>
        <v>1</v>
      </c>
      <c r="X2453" s="51" t="str" cm="1">
        <f t="array" ref="X2453">_xlfn.IFS(Tabla1[[#This Row],[Porcentaje de muertes]]&lt;0.35,"LEVE",AND(Tabla1[[#This Row],[Porcentaje de muertes]]&gt;0.35,Tabla1[[#This Row],[Porcentaje de muertes]]&lt;0.65),"MEDIO",Tabla1[[#This Row],[Porcentaje de muertes]]&gt;0.65,"GRAVE")</f>
        <v>GRAVE</v>
      </c>
    </row>
    <row r="2454" spans="2:24" x14ac:dyDescent="0.3">
      <c r="B2454" s="9">
        <v>2453</v>
      </c>
      <c r="C2454" s="49">
        <v>25722</v>
      </c>
      <c r="D2454" s="9">
        <f>YEAR(Tabla1[[#This Row],[Date]])</f>
        <v>1970</v>
      </c>
      <c r="E2454" s="9" t="str" cm="1">
        <f t="array" ref="E2454">IFERROR(_xlfn.IFS(AND(D2454&lt;1980,D2454&gt;=1970),"70",AND(D2454&lt;1990,D2454&gt;=1980),"80",AND(D2454&lt;2000,D2454&gt;=1990),"90",AND(D2454&lt;2010,D2454&gt;=2000),"00",AND(D2454&lt;=2019,D2454&gt;=2010),"10"),"1908-1970")</f>
        <v>70</v>
      </c>
      <c r="F2454" s="3" t="s">
        <v>28931</v>
      </c>
      <c r="G2454" t="s">
        <v>15802</v>
      </c>
      <c r="H2454" t="s">
        <v>15803</v>
      </c>
      <c r="I2454" t="s">
        <v>28931</v>
      </c>
      <c r="J2454" t="s">
        <v>15804</v>
      </c>
      <c r="K2454" t="s">
        <v>15805</v>
      </c>
      <c r="L2454" s="7" t="s">
        <v>15806</v>
      </c>
      <c r="M2454">
        <v>205</v>
      </c>
      <c r="N2454">
        <v>11</v>
      </c>
      <c r="O2454">
        <v>9</v>
      </c>
      <c r="P2454">
        <v>2</v>
      </c>
      <c r="Q2454">
        <v>11</v>
      </c>
      <c r="R2454">
        <v>9</v>
      </c>
      <c r="S2454">
        <v>2</v>
      </c>
      <c r="T2454">
        <v>0</v>
      </c>
      <c r="U2454" t="s">
        <v>15807</v>
      </c>
      <c r="V2454">
        <f>Tabla1[[#This Row],[Aboard]]-Tabla1[[#This Row],[Fatalities]]</f>
        <v>0</v>
      </c>
      <c r="W2454" s="50">
        <f>IFERROR(Tabla1[[#This Row],[Fatalities]]/Tabla1[[#This Row],[Aboard]],0)</f>
        <v>1</v>
      </c>
      <c r="X2454" s="51" t="str" cm="1">
        <f t="array" ref="X2454">_xlfn.IFS(Tabla1[[#This Row],[Porcentaje de muertes]]&lt;0.35,"LEVE",AND(Tabla1[[#This Row],[Porcentaje de muertes]]&gt;0.35,Tabla1[[#This Row],[Porcentaje de muertes]]&lt;0.65),"MEDIO",Tabla1[[#This Row],[Porcentaje de muertes]]&gt;0.65,"GRAVE")</f>
        <v>GRAVE</v>
      </c>
    </row>
    <row r="2455" spans="2:24" x14ac:dyDescent="0.3">
      <c r="B2455" s="9">
        <v>2454</v>
      </c>
      <c r="C2455" s="49">
        <v>25641</v>
      </c>
      <c r="D2455" s="9">
        <f>YEAR(Tabla1[[#This Row],[Date]])</f>
        <v>1970</v>
      </c>
      <c r="E2455" s="9" t="str" cm="1">
        <f t="array" ref="E2455">IFERROR(_xlfn.IFS(AND(D2455&lt;1980,D2455&gt;=1970),"70",AND(D2455&lt;1990,D2455&gt;=1980),"80",AND(D2455&lt;2000,D2455&gt;=1990),"90",AND(D2455&lt;2010,D2455&gt;=2000),"00",AND(D2455&lt;=2019,D2455&gt;=2010),"10"),"1908-1970")</f>
        <v>70</v>
      </c>
      <c r="F2455" s="3">
        <v>0.72916666666666663</v>
      </c>
      <c r="G2455" t="s">
        <v>15808</v>
      </c>
      <c r="H2455" t="s">
        <v>15809</v>
      </c>
      <c r="I2455" t="s">
        <v>28931</v>
      </c>
      <c r="J2455" t="s">
        <v>15810</v>
      </c>
      <c r="K2455" t="s">
        <v>15291</v>
      </c>
      <c r="L2455" s="7" t="s">
        <v>15811</v>
      </c>
      <c r="M2455">
        <v>556</v>
      </c>
      <c r="N2455">
        <v>40</v>
      </c>
      <c r="O2455">
        <v>35</v>
      </c>
      <c r="P2455">
        <v>5</v>
      </c>
      <c r="Q2455">
        <v>38</v>
      </c>
      <c r="R2455">
        <v>34</v>
      </c>
      <c r="S2455">
        <v>4</v>
      </c>
      <c r="T2455">
        <v>0</v>
      </c>
      <c r="U2455" t="s">
        <v>15812</v>
      </c>
      <c r="V2455">
        <f>Tabla1[[#This Row],[Aboard]]-Tabla1[[#This Row],[Fatalities]]</f>
        <v>2</v>
      </c>
      <c r="W2455" s="50">
        <f>IFERROR(Tabla1[[#This Row],[Fatalities]]/Tabla1[[#This Row],[Aboard]],0)</f>
        <v>0.95</v>
      </c>
      <c r="X2455" s="51" t="str" cm="1">
        <f t="array" ref="X2455">_xlfn.IFS(Tabla1[[#This Row],[Porcentaje de muertes]]&lt;0.35,"LEVE",AND(Tabla1[[#This Row],[Porcentaje de muertes]]&gt;0.35,Tabla1[[#This Row],[Porcentaje de muertes]]&lt;0.65),"MEDIO",Tabla1[[#This Row],[Porcentaje de muertes]]&gt;0.65,"GRAVE")</f>
        <v>GRAVE</v>
      </c>
    </row>
    <row r="2456" spans="2:24" x14ac:dyDescent="0.3">
      <c r="B2456" s="9">
        <v>2455</v>
      </c>
      <c r="C2456" s="49">
        <v>25643</v>
      </c>
      <c r="D2456" s="9">
        <f>YEAR(Tabla1[[#This Row],[Date]])</f>
        <v>1970</v>
      </c>
      <c r="E2456" s="9" t="str" cm="1">
        <f t="array" ref="E2456">IFERROR(_xlfn.IFS(AND(D2456&lt;1980,D2456&gt;=1970),"70",AND(D2456&lt;1990,D2456&gt;=1980),"80",AND(D2456&lt;2000,D2456&gt;=1990),"90",AND(D2456&lt;2010,D2456&gt;=2000),"00",AND(D2456&lt;=2019,D2456&gt;=2010),"10"),"1908-1970")</f>
        <v>70</v>
      </c>
      <c r="F2456" s="3">
        <v>0.47916666666666669</v>
      </c>
      <c r="G2456" t="s">
        <v>14252</v>
      </c>
      <c r="H2456" t="s">
        <v>5027</v>
      </c>
      <c r="I2456" t="s">
        <v>28931</v>
      </c>
      <c r="J2456" t="s">
        <v>15813</v>
      </c>
      <c r="K2456" t="s">
        <v>15814</v>
      </c>
      <c r="L2456" s="7">
        <v>145927</v>
      </c>
      <c r="M2456">
        <v>5508</v>
      </c>
      <c r="N2456">
        <v>31</v>
      </c>
      <c r="O2456">
        <v>0</v>
      </c>
      <c r="P2456">
        <v>31</v>
      </c>
      <c r="Q2456">
        <v>23</v>
      </c>
      <c r="R2456">
        <v>0</v>
      </c>
      <c r="S2456">
        <v>23</v>
      </c>
      <c r="T2456">
        <v>0</v>
      </c>
      <c r="U2456" t="s">
        <v>15815</v>
      </c>
      <c r="V2456">
        <f>Tabla1[[#This Row],[Aboard]]-Tabla1[[#This Row],[Fatalities]]</f>
        <v>8</v>
      </c>
      <c r="W2456" s="50">
        <f>IFERROR(Tabla1[[#This Row],[Fatalities]]/Tabla1[[#This Row],[Aboard]],0)</f>
        <v>0.74193548387096775</v>
      </c>
      <c r="X2456" s="51" t="str" cm="1">
        <f t="array" ref="X2456">_xlfn.IFS(Tabla1[[#This Row],[Porcentaje de muertes]]&lt;0.35,"LEVE",AND(Tabla1[[#This Row],[Porcentaje de muertes]]&gt;0.35,Tabla1[[#This Row],[Porcentaje de muertes]]&lt;0.65),"MEDIO",Tabla1[[#This Row],[Porcentaje de muertes]]&gt;0.65,"GRAVE")</f>
        <v>GRAVE</v>
      </c>
    </row>
    <row r="2457" spans="2:24" x14ac:dyDescent="0.3">
      <c r="B2457" s="9">
        <v>2456</v>
      </c>
      <c r="C2457" s="49">
        <v>25653</v>
      </c>
      <c r="D2457" s="9">
        <f>YEAR(Tabla1[[#This Row],[Date]])</f>
        <v>1970</v>
      </c>
      <c r="E2457" s="9" t="str" cm="1">
        <f t="array" ref="E2457">IFERROR(_xlfn.IFS(AND(D2457&lt;1980,D2457&gt;=1970),"70",AND(D2457&lt;1990,D2457&gt;=1980),"80",AND(D2457&lt;2000,D2457&gt;=1990),"90",AND(D2457&lt;2010,D2457&gt;=2000),"00",AND(D2457&lt;=2019,D2457&gt;=2010),"10"),"1908-1970")</f>
        <v>70</v>
      </c>
      <c r="F2457" s="3">
        <v>0.82847222222222217</v>
      </c>
      <c r="G2457" t="s">
        <v>15816</v>
      </c>
      <c r="H2457" t="s">
        <v>15817</v>
      </c>
      <c r="I2457" t="s">
        <v>28931</v>
      </c>
      <c r="J2457" t="s">
        <v>15818</v>
      </c>
      <c r="K2457" t="s">
        <v>15819</v>
      </c>
      <c r="L2457" s="7" t="s">
        <v>15820</v>
      </c>
      <c r="M2457" t="s">
        <v>28931</v>
      </c>
      <c r="N2457">
        <v>6</v>
      </c>
      <c r="O2457">
        <v>5</v>
      </c>
      <c r="P2457">
        <v>1</v>
      </c>
      <c r="Q2457">
        <v>6</v>
      </c>
      <c r="R2457">
        <v>5</v>
      </c>
      <c r="S2457">
        <v>1</v>
      </c>
      <c r="T2457">
        <v>0</v>
      </c>
      <c r="U2457" t="s">
        <v>15821</v>
      </c>
      <c r="V2457">
        <f>Tabla1[[#This Row],[Aboard]]-Tabla1[[#This Row],[Fatalities]]</f>
        <v>0</v>
      </c>
      <c r="W2457" s="50">
        <f>IFERROR(Tabla1[[#This Row],[Fatalities]]/Tabla1[[#This Row],[Aboard]],0)</f>
        <v>1</v>
      </c>
      <c r="X2457" s="51" t="str" cm="1">
        <f t="array" ref="X2457">_xlfn.IFS(Tabla1[[#This Row],[Porcentaje de muertes]]&lt;0.35,"LEVE",AND(Tabla1[[#This Row],[Porcentaje de muertes]]&gt;0.35,Tabla1[[#This Row],[Porcentaje de muertes]]&lt;0.65),"MEDIO",Tabla1[[#This Row],[Porcentaje de muertes]]&gt;0.65,"GRAVE")</f>
        <v>GRAVE</v>
      </c>
    </row>
    <row r="2458" spans="2:24" x14ac:dyDescent="0.3">
      <c r="B2458" s="9">
        <v>2457</v>
      </c>
      <c r="C2458" s="49">
        <v>25572</v>
      </c>
      <c r="D2458" s="9">
        <f>YEAR(Tabla1[[#This Row],[Date]])</f>
        <v>1970</v>
      </c>
      <c r="E2458" s="9" t="str" cm="1">
        <f t="array" ref="E2458">IFERROR(_xlfn.IFS(AND(D2458&lt;1980,D2458&gt;=1970),"70",AND(D2458&lt;1990,D2458&gt;=1980),"80",AND(D2458&lt;2000,D2458&gt;=1990),"90",AND(D2458&lt;2010,D2458&gt;=2000),"00",AND(D2458&lt;=2019,D2458&gt;=2010),"10"),"1908-1970")</f>
        <v>70</v>
      </c>
      <c r="F2458" s="3">
        <v>0.17152777777777775</v>
      </c>
      <c r="G2458" t="s">
        <v>15822</v>
      </c>
      <c r="H2458" t="s">
        <v>6541</v>
      </c>
      <c r="I2458">
        <v>1661</v>
      </c>
      <c r="J2458" t="s">
        <v>15823</v>
      </c>
      <c r="K2458" t="s">
        <v>15299</v>
      </c>
      <c r="L2458" s="7" t="s">
        <v>15824</v>
      </c>
      <c r="M2458">
        <v>79901204</v>
      </c>
      <c r="N2458">
        <v>45</v>
      </c>
      <c r="O2458">
        <v>40</v>
      </c>
      <c r="P2458">
        <v>5</v>
      </c>
      <c r="Q2458">
        <v>45</v>
      </c>
      <c r="R2458">
        <v>40</v>
      </c>
      <c r="S2458">
        <v>5</v>
      </c>
      <c r="T2458">
        <v>0</v>
      </c>
      <c r="U2458" t="s">
        <v>15825</v>
      </c>
      <c r="V2458">
        <f>Tabla1[[#This Row],[Aboard]]-Tabla1[[#This Row],[Fatalities]]</f>
        <v>0</v>
      </c>
      <c r="W2458" s="50">
        <f>IFERROR(Tabla1[[#This Row],[Fatalities]]/Tabla1[[#This Row],[Aboard]],0)</f>
        <v>1</v>
      </c>
      <c r="X2458" s="51" t="str" cm="1">
        <f t="array" ref="X2458">_xlfn.IFS(Tabla1[[#This Row],[Porcentaje de muertes]]&lt;0.35,"LEVE",AND(Tabla1[[#This Row],[Porcentaje de muertes]]&gt;0.35,Tabla1[[#This Row],[Porcentaje de muertes]]&lt;0.65),"MEDIO",Tabla1[[#This Row],[Porcentaje de muertes]]&gt;0.65,"GRAVE")</f>
        <v>GRAVE</v>
      </c>
    </row>
    <row r="2459" spans="2:24" x14ac:dyDescent="0.3">
      <c r="B2459" s="9">
        <v>2458</v>
      </c>
      <c r="C2459" s="49">
        <v>25572</v>
      </c>
      <c r="D2459" s="9">
        <f>YEAR(Tabla1[[#This Row],[Date]])</f>
        <v>1970</v>
      </c>
      <c r="E2459" s="9" t="str" cm="1">
        <f t="array" ref="E2459">IFERROR(_xlfn.IFS(AND(D2459&lt;1980,D2459&gt;=1970),"70",AND(D2459&lt;1990,D2459&gt;=1980),"80",AND(D2459&lt;2000,D2459&gt;=1990),"90",AND(D2459&lt;2010,D2459&gt;=2000),"00",AND(D2459&lt;=2019,D2459&gt;=2010),"10"),"1908-1970")</f>
        <v>70</v>
      </c>
      <c r="F2459" s="3">
        <v>0.40625</v>
      </c>
      <c r="G2459" t="s">
        <v>8303</v>
      </c>
      <c r="H2459" t="s">
        <v>15826</v>
      </c>
      <c r="I2459" t="s">
        <v>28931</v>
      </c>
      <c r="J2459" t="s">
        <v>5715</v>
      </c>
      <c r="K2459" t="s">
        <v>15827</v>
      </c>
      <c r="L2459" s="7" t="s">
        <v>15828</v>
      </c>
      <c r="M2459" t="s">
        <v>15829</v>
      </c>
      <c r="N2459">
        <v>82</v>
      </c>
      <c r="O2459">
        <v>76</v>
      </c>
      <c r="P2459">
        <v>6</v>
      </c>
      <c r="Q2459">
        <v>61</v>
      </c>
      <c r="R2459">
        <v>56</v>
      </c>
      <c r="S2459">
        <v>5</v>
      </c>
      <c r="T2459">
        <v>0</v>
      </c>
      <c r="U2459" t="s">
        <v>15830</v>
      </c>
      <c r="V2459">
        <f>Tabla1[[#This Row],[Aboard]]-Tabla1[[#This Row],[Fatalities]]</f>
        <v>21</v>
      </c>
      <c r="W2459" s="50">
        <f>IFERROR(Tabla1[[#This Row],[Fatalities]]/Tabla1[[#This Row],[Aboard]],0)</f>
        <v>0.74390243902439024</v>
      </c>
      <c r="X2459" s="51" t="str" cm="1">
        <f t="array" ref="X2459">_xlfn.IFS(Tabla1[[#This Row],[Porcentaje de muertes]]&lt;0.35,"LEVE",AND(Tabla1[[#This Row],[Porcentaje de muertes]]&gt;0.35,Tabla1[[#This Row],[Porcentaje de muertes]]&lt;0.65),"MEDIO",Tabla1[[#This Row],[Porcentaje de muertes]]&gt;0.65,"GRAVE")</f>
        <v>GRAVE</v>
      </c>
    </row>
    <row r="2460" spans="2:24" x14ac:dyDescent="0.3">
      <c r="B2460" s="9">
        <v>2459</v>
      </c>
      <c r="C2460" s="49">
        <v>25662</v>
      </c>
      <c r="D2460" s="9">
        <f>YEAR(Tabla1[[#This Row],[Date]])</f>
        <v>1970</v>
      </c>
      <c r="E2460" s="9" t="str" cm="1">
        <f t="array" ref="E2460">IFERROR(_xlfn.IFS(AND(D2460&lt;1980,D2460&gt;=1970),"70",AND(D2460&lt;1990,D2460&gt;=1980),"80",AND(D2460&lt;2000,D2460&gt;=1990),"90",AND(D2460&lt;2010,D2460&gt;=2000),"00",AND(D2460&lt;=2019,D2460&gt;=2010),"10"),"1908-1970")</f>
        <v>70</v>
      </c>
      <c r="F2460" s="3">
        <v>0.86597222222222225</v>
      </c>
      <c r="G2460" t="s">
        <v>15831</v>
      </c>
      <c r="H2460" t="s">
        <v>6541</v>
      </c>
      <c r="I2460">
        <v>2903</v>
      </c>
      <c r="J2460" t="s">
        <v>15832</v>
      </c>
      <c r="K2460" t="s">
        <v>12110</v>
      </c>
      <c r="L2460" s="7" t="s">
        <v>15833</v>
      </c>
      <c r="M2460">
        <v>602111</v>
      </c>
      <c r="N2460">
        <v>35</v>
      </c>
      <c r="O2460">
        <v>30</v>
      </c>
      <c r="P2460">
        <v>5</v>
      </c>
      <c r="Q2460">
        <v>7</v>
      </c>
      <c r="R2460">
        <v>6</v>
      </c>
      <c r="S2460">
        <v>1</v>
      </c>
      <c r="T2460">
        <v>0</v>
      </c>
      <c r="U2460" t="s">
        <v>15834</v>
      </c>
      <c r="V2460">
        <f>Tabla1[[#This Row],[Aboard]]-Tabla1[[#This Row],[Fatalities]]</f>
        <v>28</v>
      </c>
      <c r="W2460" s="50">
        <f>IFERROR(Tabla1[[#This Row],[Fatalities]]/Tabla1[[#This Row],[Aboard]],0)</f>
        <v>0.2</v>
      </c>
      <c r="X2460" s="51" t="str" cm="1">
        <f t="array" ref="X2460">_xlfn.IFS(Tabla1[[#This Row],[Porcentaje de muertes]]&lt;0.35,"LEVE",AND(Tabla1[[#This Row],[Porcentaje de muertes]]&gt;0.35,Tabla1[[#This Row],[Porcentaje de muertes]]&lt;0.65),"MEDIO",Tabla1[[#This Row],[Porcentaje de muertes]]&gt;0.65,"GRAVE")</f>
        <v>LEVE</v>
      </c>
    </row>
    <row r="2461" spans="2:24" x14ac:dyDescent="0.3">
      <c r="B2461" s="9">
        <v>2460</v>
      </c>
      <c r="C2461" s="49">
        <v>25679</v>
      </c>
      <c r="D2461" s="9">
        <f>YEAR(Tabla1[[#This Row],[Date]])</f>
        <v>1970</v>
      </c>
      <c r="E2461" s="9" t="str" cm="1">
        <f t="array" ref="E2461">IFERROR(_xlfn.IFS(AND(D2461&lt;1980,D2461&gt;=1970),"70",AND(D2461&lt;1990,D2461&gt;=1980),"80",AND(D2461&lt;2000,D2461&gt;=1990),"90",AND(D2461&lt;2010,D2461&gt;=2000),"00",AND(D2461&lt;=2019,D2461&gt;=2010),"10"),"1908-1970")</f>
        <v>70</v>
      </c>
      <c r="F2461" s="3">
        <v>0.47916666666666669</v>
      </c>
      <c r="G2461" t="s">
        <v>12372</v>
      </c>
      <c r="H2461" t="s">
        <v>8992</v>
      </c>
      <c r="I2461">
        <v>215</v>
      </c>
      <c r="J2461" t="s">
        <v>15835</v>
      </c>
      <c r="K2461" t="s">
        <v>15836</v>
      </c>
      <c r="L2461" s="7" t="s">
        <v>15837</v>
      </c>
      <c r="M2461">
        <v>1643</v>
      </c>
      <c r="N2461">
        <v>36</v>
      </c>
      <c r="O2461">
        <v>32</v>
      </c>
      <c r="P2461">
        <v>4</v>
      </c>
      <c r="Q2461">
        <v>36</v>
      </c>
      <c r="R2461">
        <v>32</v>
      </c>
      <c r="S2461">
        <v>4</v>
      </c>
      <c r="T2461">
        <v>0</v>
      </c>
      <c r="U2461" t="s">
        <v>15838</v>
      </c>
      <c r="V2461">
        <f>Tabla1[[#This Row],[Aboard]]-Tabla1[[#This Row],[Fatalities]]</f>
        <v>0</v>
      </c>
      <c r="W2461" s="50">
        <f>IFERROR(Tabla1[[#This Row],[Fatalities]]/Tabla1[[#This Row],[Aboard]],0)</f>
        <v>1</v>
      </c>
      <c r="X2461" s="51" t="str" cm="1">
        <f t="array" ref="X2461">_xlfn.IFS(Tabla1[[#This Row],[Porcentaje de muertes]]&lt;0.35,"LEVE",AND(Tabla1[[#This Row],[Porcentaje de muertes]]&gt;0.35,Tabla1[[#This Row],[Porcentaje de muertes]]&lt;0.65),"MEDIO",Tabla1[[#This Row],[Porcentaje de muertes]]&gt;0.65,"GRAVE")</f>
        <v>GRAVE</v>
      </c>
    </row>
    <row r="2462" spans="2:24" x14ac:dyDescent="0.3">
      <c r="B2462" s="9">
        <v>2461</v>
      </c>
      <c r="C2462" s="49">
        <v>25683</v>
      </c>
      <c r="D2462" s="9">
        <f>YEAR(Tabla1[[#This Row],[Date]])</f>
        <v>1970</v>
      </c>
      <c r="E2462" s="9" t="str" cm="1">
        <f t="array" ref="E2462">IFERROR(_xlfn.IFS(AND(D2462&lt;1980,D2462&gt;=1970),"70",AND(D2462&lt;1990,D2462&gt;=1980),"80",AND(D2462&lt;2000,D2462&gt;=1990),"90",AND(D2462&lt;2010,D2462&gt;=2000),"00",AND(D2462&lt;=2019,D2462&gt;=2010),"10"),"1908-1970")</f>
        <v>70</v>
      </c>
      <c r="F2462" s="3">
        <v>0.43263888888888885</v>
      </c>
      <c r="G2462" t="s">
        <v>15839</v>
      </c>
      <c r="H2462" t="s">
        <v>15840</v>
      </c>
      <c r="I2462" t="s">
        <v>28931</v>
      </c>
      <c r="J2462" t="s">
        <v>15841</v>
      </c>
      <c r="K2462" t="s">
        <v>13011</v>
      </c>
      <c r="L2462" s="7" t="s">
        <v>15842</v>
      </c>
      <c r="M2462">
        <v>10948</v>
      </c>
      <c r="N2462">
        <v>19</v>
      </c>
      <c r="O2462">
        <v>12</v>
      </c>
      <c r="P2462">
        <v>7</v>
      </c>
      <c r="Q2462">
        <v>17</v>
      </c>
      <c r="R2462">
        <v>10</v>
      </c>
      <c r="S2462">
        <v>7</v>
      </c>
      <c r="T2462">
        <v>0</v>
      </c>
      <c r="U2462" t="s">
        <v>15843</v>
      </c>
      <c r="V2462">
        <f>Tabla1[[#This Row],[Aboard]]-Tabla1[[#This Row],[Fatalities]]</f>
        <v>2</v>
      </c>
      <c r="W2462" s="50">
        <f>IFERROR(Tabla1[[#This Row],[Fatalities]]/Tabla1[[#This Row],[Aboard]],0)</f>
        <v>0.89473684210526316</v>
      </c>
      <c r="X2462" s="51" t="str" cm="1">
        <f t="array" ref="X2462">_xlfn.IFS(Tabla1[[#This Row],[Porcentaje de muertes]]&lt;0.35,"LEVE",AND(Tabla1[[#This Row],[Porcentaje de muertes]]&gt;0.35,Tabla1[[#This Row],[Porcentaje de muertes]]&lt;0.65),"MEDIO",Tabla1[[#This Row],[Porcentaje de muertes]]&gt;0.65,"GRAVE")</f>
        <v>GRAVE</v>
      </c>
    </row>
    <row r="2463" spans="2:24" x14ac:dyDescent="0.3">
      <c r="B2463" s="9">
        <v>2462</v>
      </c>
      <c r="C2463" s="49">
        <v>25686</v>
      </c>
      <c r="D2463" s="9">
        <f>YEAR(Tabla1[[#This Row],[Date]])</f>
        <v>1970</v>
      </c>
      <c r="E2463" s="9" t="str" cm="1">
        <f t="array" ref="E2463">IFERROR(_xlfn.IFS(AND(D2463&lt;1980,D2463&gt;=1970),"70",AND(D2463&lt;1990,D2463&gt;=1980),"80",AND(D2463&lt;2000,D2463&gt;=1990),"90",AND(D2463&lt;2010,D2463&gt;=2000),"00",AND(D2463&lt;=2019,D2463&gt;=2010),"10"),"1908-1970")</f>
        <v>70</v>
      </c>
      <c r="F2463" s="3">
        <v>0.3833333333333333</v>
      </c>
      <c r="G2463" t="s">
        <v>15844</v>
      </c>
      <c r="H2463" t="s">
        <v>10470</v>
      </c>
      <c r="I2463" t="s">
        <v>28931</v>
      </c>
      <c r="J2463" t="s">
        <v>15845</v>
      </c>
      <c r="K2463" t="s">
        <v>14888</v>
      </c>
      <c r="L2463" s="7" t="s">
        <v>15846</v>
      </c>
      <c r="M2463">
        <v>6</v>
      </c>
      <c r="N2463">
        <v>11</v>
      </c>
      <c r="O2463">
        <v>9</v>
      </c>
      <c r="P2463">
        <v>2</v>
      </c>
      <c r="Q2463">
        <v>8</v>
      </c>
      <c r="R2463">
        <v>6</v>
      </c>
      <c r="S2463">
        <v>2</v>
      </c>
      <c r="T2463">
        <v>0</v>
      </c>
      <c r="U2463" t="s">
        <v>15847</v>
      </c>
      <c r="V2463">
        <f>Tabla1[[#This Row],[Aboard]]-Tabla1[[#This Row],[Fatalities]]</f>
        <v>3</v>
      </c>
      <c r="W2463" s="50">
        <f>IFERROR(Tabla1[[#This Row],[Fatalities]]/Tabla1[[#This Row],[Aboard]],0)</f>
        <v>0.72727272727272729</v>
      </c>
      <c r="X2463" s="51" t="str" cm="1">
        <f t="array" ref="X2463">_xlfn.IFS(Tabla1[[#This Row],[Porcentaje de muertes]]&lt;0.35,"LEVE",AND(Tabla1[[#This Row],[Porcentaje de muertes]]&gt;0.35,Tabla1[[#This Row],[Porcentaje de muertes]]&lt;0.65),"MEDIO",Tabla1[[#This Row],[Porcentaje de muertes]]&gt;0.65,"GRAVE")</f>
        <v>GRAVE</v>
      </c>
    </row>
    <row r="2464" spans="2:24" x14ac:dyDescent="0.3">
      <c r="B2464" s="9">
        <v>2463</v>
      </c>
      <c r="C2464" s="49">
        <v>25604</v>
      </c>
      <c r="D2464" s="9">
        <f>YEAR(Tabla1[[#This Row],[Date]])</f>
        <v>1970</v>
      </c>
      <c r="E2464" s="9" t="str" cm="1">
        <f t="array" ref="E2464">IFERROR(_xlfn.IFS(AND(D2464&lt;1980,D2464&gt;=1970),"70",AND(D2464&lt;1990,D2464&gt;=1980),"80",AND(D2464&lt;2000,D2464&gt;=1990),"90",AND(D2464&lt;2010,D2464&gt;=2000),"00",AND(D2464&lt;=2019,D2464&gt;=2010),"10"),"1908-1970")</f>
        <v>70</v>
      </c>
      <c r="F2464" s="3">
        <v>0.65902777777777777</v>
      </c>
      <c r="G2464" t="s">
        <v>15848</v>
      </c>
      <c r="H2464" t="s">
        <v>15849</v>
      </c>
      <c r="I2464">
        <v>980</v>
      </c>
      <c r="J2464" t="s">
        <v>15850</v>
      </c>
      <c r="K2464" t="s">
        <v>15851</v>
      </c>
      <c r="L2464" s="7" t="s">
        <v>15852</v>
      </c>
      <c r="M2464" t="s">
        <v>15853</v>
      </c>
      <c r="N2464">
        <v>63</v>
      </c>
      <c r="O2464">
        <v>57</v>
      </c>
      <c r="P2464">
        <v>6</v>
      </c>
      <c r="Q2464">
        <v>23</v>
      </c>
      <c r="R2464">
        <v>22</v>
      </c>
      <c r="S2464">
        <v>1</v>
      </c>
      <c r="T2464">
        <v>0</v>
      </c>
      <c r="U2464" t="s">
        <v>15854</v>
      </c>
      <c r="V2464">
        <f>Tabla1[[#This Row],[Aboard]]-Tabla1[[#This Row],[Fatalities]]</f>
        <v>40</v>
      </c>
      <c r="W2464" s="50">
        <f>IFERROR(Tabla1[[#This Row],[Fatalities]]/Tabla1[[#This Row],[Aboard]],0)</f>
        <v>0.36507936507936506</v>
      </c>
      <c r="X2464" s="51" t="str" cm="1">
        <f t="array" ref="X2464">_xlfn.IFS(Tabla1[[#This Row],[Porcentaje de muertes]]&lt;0.35,"LEVE",AND(Tabla1[[#This Row],[Porcentaje de muertes]]&gt;0.35,Tabla1[[#This Row],[Porcentaje de muertes]]&lt;0.65),"MEDIO",Tabla1[[#This Row],[Porcentaje de muertes]]&gt;0.65,"GRAVE")</f>
        <v>MEDIO</v>
      </c>
    </row>
    <row r="2465" spans="2:24" x14ac:dyDescent="0.3">
      <c r="B2465" s="9">
        <v>2464</v>
      </c>
      <c r="C2465" s="49">
        <v>25663</v>
      </c>
      <c r="D2465" s="9">
        <f>YEAR(Tabla1[[#This Row],[Date]])</f>
        <v>1970</v>
      </c>
      <c r="E2465" s="9" t="str" cm="1">
        <f t="array" ref="E2465">IFERROR(_xlfn.IFS(AND(D2465&lt;1980,D2465&gt;=1970),"70",AND(D2465&lt;1990,D2465&gt;=1980),"80",AND(D2465&lt;2000,D2465&gt;=1990),"90",AND(D2465&lt;2010,D2465&gt;=2000),"00",AND(D2465&lt;=2019,D2465&gt;=2010),"10"),"1908-1970")</f>
        <v>70</v>
      </c>
      <c r="F2465" s="3">
        <v>0.33611111111111108</v>
      </c>
      <c r="G2465" t="s">
        <v>15855</v>
      </c>
      <c r="H2465" t="s">
        <v>7987</v>
      </c>
      <c r="I2465" t="s">
        <v>28931</v>
      </c>
      <c r="J2465" t="s">
        <v>15856</v>
      </c>
      <c r="K2465" t="s">
        <v>11169</v>
      </c>
      <c r="L2465" s="7" t="s">
        <v>15857</v>
      </c>
      <c r="M2465">
        <v>5221</v>
      </c>
      <c r="N2465">
        <v>14</v>
      </c>
      <c r="O2465">
        <v>0</v>
      </c>
      <c r="P2465">
        <v>14</v>
      </c>
      <c r="Q2465">
        <v>13</v>
      </c>
      <c r="R2465">
        <v>0</v>
      </c>
      <c r="S2465">
        <v>13</v>
      </c>
      <c r="T2465">
        <v>0</v>
      </c>
      <c r="U2465" t="s">
        <v>15858</v>
      </c>
      <c r="V2465">
        <f>Tabla1[[#This Row],[Aboard]]-Tabla1[[#This Row],[Fatalities]]</f>
        <v>1</v>
      </c>
      <c r="W2465" s="50">
        <f>IFERROR(Tabla1[[#This Row],[Fatalities]]/Tabla1[[#This Row],[Aboard]],0)</f>
        <v>0.9285714285714286</v>
      </c>
      <c r="X2465" s="51" t="str" cm="1">
        <f t="array" ref="X2465">_xlfn.IFS(Tabla1[[#This Row],[Porcentaje de muertes]]&lt;0.35,"LEVE",AND(Tabla1[[#This Row],[Porcentaje de muertes]]&gt;0.35,Tabla1[[#This Row],[Porcentaje de muertes]]&lt;0.65),"MEDIO",Tabla1[[#This Row],[Porcentaje de muertes]]&gt;0.65,"GRAVE")</f>
        <v>GRAVE</v>
      </c>
    </row>
    <row r="2466" spans="2:24" x14ac:dyDescent="0.3">
      <c r="B2466" s="9">
        <v>2465</v>
      </c>
      <c r="C2466" s="49">
        <v>25724</v>
      </c>
      <c r="D2466" s="9">
        <f>YEAR(Tabla1[[#This Row],[Date]])</f>
        <v>1970</v>
      </c>
      <c r="E2466" s="9" t="str" cm="1">
        <f t="array" ref="E2466">IFERROR(_xlfn.IFS(AND(D2466&lt;1980,D2466&gt;=1970),"70",AND(D2466&lt;1990,D2466&gt;=1980),"80",AND(D2466&lt;2000,D2466&gt;=1990),"90",AND(D2466&lt;2010,D2466&gt;=2000),"00",AND(D2466&lt;=2019,D2466&gt;=2010),"10"),"1908-1970")</f>
        <v>70</v>
      </c>
      <c r="F2466" s="3" t="s">
        <v>28931</v>
      </c>
      <c r="G2466" t="s">
        <v>15859</v>
      </c>
      <c r="H2466" t="s">
        <v>15860</v>
      </c>
      <c r="I2466" t="s">
        <v>28931</v>
      </c>
      <c r="J2466" t="s">
        <v>28931</v>
      </c>
      <c r="K2466" t="s">
        <v>12836</v>
      </c>
      <c r="L2466" s="7" t="s">
        <v>15861</v>
      </c>
      <c r="M2466">
        <v>379</v>
      </c>
      <c r="N2466">
        <v>30</v>
      </c>
      <c r="O2466">
        <v>26</v>
      </c>
      <c r="P2466">
        <v>4</v>
      </c>
      <c r="Q2466">
        <v>5</v>
      </c>
      <c r="R2466">
        <v>5</v>
      </c>
      <c r="S2466">
        <v>0</v>
      </c>
      <c r="T2466">
        <v>0</v>
      </c>
      <c r="U2466" t="s">
        <v>15862</v>
      </c>
      <c r="V2466">
        <f>Tabla1[[#This Row],[Aboard]]-Tabla1[[#This Row],[Fatalities]]</f>
        <v>25</v>
      </c>
      <c r="W2466" s="50">
        <f>IFERROR(Tabla1[[#This Row],[Fatalities]]/Tabla1[[#This Row],[Aboard]],0)</f>
        <v>0.16666666666666666</v>
      </c>
      <c r="X2466" s="51" t="str" cm="1">
        <f t="array" ref="X2466">_xlfn.IFS(Tabla1[[#This Row],[Porcentaje de muertes]]&lt;0.35,"LEVE",AND(Tabla1[[#This Row],[Porcentaje de muertes]]&gt;0.35,Tabla1[[#This Row],[Porcentaje de muertes]]&lt;0.65),"MEDIO",Tabla1[[#This Row],[Porcentaje de muertes]]&gt;0.65,"GRAVE")</f>
        <v>LEVE</v>
      </c>
    </row>
    <row r="2467" spans="2:24" x14ac:dyDescent="0.3">
      <c r="B2467" s="9">
        <v>2466</v>
      </c>
      <c r="C2467" s="49">
        <v>25816</v>
      </c>
      <c r="D2467" s="9">
        <f>YEAR(Tabla1[[#This Row],[Date]])</f>
        <v>1970</v>
      </c>
      <c r="E2467" s="9" t="str" cm="1">
        <f t="array" ref="E2467">IFERROR(_xlfn.IFS(AND(D2467&lt;1980,D2467&gt;=1970),"70",AND(D2467&lt;1990,D2467&gt;=1980),"80",AND(D2467&lt;2000,D2467&gt;=1990),"90",AND(D2467&lt;2010,D2467&gt;=2000),"00",AND(D2467&lt;=2019,D2467&gt;=2010),"10"),"1908-1970")</f>
        <v>70</v>
      </c>
      <c r="F2467" s="3" t="s">
        <v>28931</v>
      </c>
      <c r="G2467" t="s">
        <v>15863</v>
      </c>
      <c r="H2467" t="s">
        <v>8992</v>
      </c>
      <c r="I2467" t="s">
        <v>28931</v>
      </c>
      <c r="J2467" t="s">
        <v>15864</v>
      </c>
      <c r="K2467" t="s">
        <v>12968</v>
      </c>
      <c r="L2467" s="7" t="s">
        <v>15865</v>
      </c>
      <c r="M2467">
        <v>10311</v>
      </c>
      <c r="N2467">
        <v>33</v>
      </c>
      <c r="O2467">
        <v>29</v>
      </c>
      <c r="P2467">
        <v>4</v>
      </c>
      <c r="Q2467">
        <v>1</v>
      </c>
      <c r="R2467">
        <v>0</v>
      </c>
      <c r="S2467">
        <v>1</v>
      </c>
      <c r="T2467">
        <v>0</v>
      </c>
      <c r="U2467" t="s">
        <v>15866</v>
      </c>
      <c r="V2467">
        <f>Tabla1[[#This Row],[Aboard]]-Tabla1[[#This Row],[Fatalities]]</f>
        <v>32</v>
      </c>
      <c r="W2467" s="50">
        <f>IFERROR(Tabla1[[#This Row],[Fatalities]]/Tabla1[[#This Row],[Aboard]],0)</f>
        <v>3.0303030303030304E-2</v>
      </c>
      <c r="X2467" s="51" t="str" cm="1">
        <f t="array" ref="X2467">_xlfn.IFS(Tabla1[[#This Row],[Porcentaje de muertes]]&lt;0.35,"LEVE",AND(Tabla1[[#This Row],[Porcentaje de muertes]]&gt;0.35,Tabla1[[#This Row],[Porcentaje de muertes]]&lt;0.65),"MEDIO",Tabla1[[#This Row],[Porcentaje de muertes]]&gt;0.65,"GRAVE")</f>
        <v>LEVE</v>
      </c>
    </row>
    <row r="2468" spans="2:24" x14ac:dyDescent="0.3">
      <c r="B2468" s="9">
        <v>2467</v>
      </c>
      <c r="C2468" s="49">
        <v>25816</v>
      </c>
      <c r="D2468" s="9">
        <f>YEAR(Tabla1[[#This Row],[Date]])</f>
        <v>1970</v>
      </c>
      <c r="E2468" s="9" t="str" cm="1">
        <f t="array" ref="E2468">IFERROR(_xlfn.IFS(AND(D2468&lt;1980,D2468&gt;=1970),"70",AND(D2468&lt;1990,D2468&gt;=1980),"80",AND(D2468&lt;2000,D2468&gt;=1990),"90",AND(D2468&lt;2010,D2468&gt;=2000),"00",AND(D2468&lt;=2019,D2468&gt;=2010),"10"),"1908-1970")</f>
        <v>70</v>
      </c>
      <c r="F2468" s="3">
        <v>0.89444444444444438</v>
      </c>
      <c r="G2468" t="s">
        <v>15867</v>
      </c>
      <c r="H2468" t="s">
        <v>15868</v>
      </c>
      <c r="I2468" t="s">
        <v>28931</v>
      </c>
      <c r="J2468" t="s">
        <v>15869</v>
      </c>
      <c r="K2468" t="s">
        <v>15870</v>
      </c>
      <c r="L2468" s="7" t="s">
        <v>15871</v>
      </c>
      <c r="M2468" t="s">
        <v>15872</v>
      </c>
      <c r="N2468">
        <v>6</v>
      </c>
      <c r="O2468">
        <v>4</v>
      </c>
      <c r="P2468">
        <v>2</v>
      </c>
      <c r="Q2468">
        <v>6</v>
      </c>
      <c r="R2468">
        <v>4</v>
      </c>
      <c r="S2468">
        <v>2</v>
      </c>
      <c r="T2468">
        <v>0</v>
      </c>
      <c r="U2468" t="s">
        <v>15873</v>
      </c>
      <c r="V2468">
        <f>Tabla1[[#This Row],[Aboard]]-Tabla1[[#This Row],[Fatalities]]</f>
        <v>0</v>
      </c>
      <c r="W2468" s="50">
        <f>IFERROR(Tabla1[[#This Row],[Fatalities]]/Tabla1[[#This Row],[Aboard]],0)</f>
        <v>1</v>
      </c>
      <c r="X2468" s="51" t="str" cm="1">
        <f t="array" ref="X2468">_xlfn.IFS(Tabla1[[#This Row],[Porcentaje de muertes]]&lt;0.35,"LEVE",AND(Tabla1[[#This Row],[Porcentaje de muertes]]&gt;0.35,Tabla1[[#This Row],[Porcentaje de muertes]]&lt;0.65),"MEDIO",Tabla1[[#This Row],[Porcentaje de muertes]]&gt;0.65,"GRAVE")</f>
        <v>GRAVE</v>
      </c>
    </row>
    <row r="2469" spans="2:24" x14ac:dyDescent="0.3">
      <c r="B2469" s="9">
        <v>2468</v>
      </c>
      <c r="C2469" s="49">
        <v>25703</v>
      </c>
      <c r="D2469" s="9">
        <f>YEAR(Tabla1[[#This Row],[Date]])</f>
        <v>1970</v>
      </c>
      <c r="E2469" s="9" t="str" cm="1">
        <f t="array" ref="E2469">IFERROR(_xlfn.IFS(AND(D2469&lt;1980,D2469&gt;=1970),"70",AND(D2469&lt;1990,D2469&gt;=1980),"80",AND(D2469&lt;2000,D2469&gt;=1990),"90",AND(D2469&lt;2010,D2469&gt;=2000),"00",AND(D2469&lt;=2019,D2469&gt;=2010),"10"),"1908-1970")</f>
        <v>70</v>
      </c>
      <c r="F2469" s="3">
        <v>0.49236111111111108</v>
      </c>
      <c r="G2469" t="s">
        <v>15874</v>
      </c>
      <c r="H2469" t="s">
        <v>6541</v>
      </c>
      <c r="I2469" t="s">
        <v>28931</v>
      </c>
      <c r="J2469" t="s">
        <v>6190</v>
      </c>
      <c r="K2469" t="s">
        <v>12803</v>
      </c>
      <c r="L2469" s="7" t="s">
        <v>15875</v>
      </c>
      <c r="M2469" t="s">
        <v>15876</v>
      </c>
      <c r="N2469">
        <v>11</v>
      </c>
      <c r="O2469">
        <v>0</v>
      </c>
      <c r="P2469">
        <v>11</v>
      </c>
      <c r="Q2469">
        <v>11</v>
      </c>
      <c r="R2469">
        <v>0</v>
      </c>
      <c r="S2469">
        <v>11</v>
      </c>
      <c r="T2469">
        <v>0</v>
      </c>
      <c r="U2469" t="s">
        <v>15877</v>
      </c>
      <c r="V2469">
        <f>Tabla1[[#This Row],[Aboard]]-Tabla1[[#This Row],[Fatalities]]</f>
        <v>0</v>
      </c>
      <c r="W2469" s="50">
        <f>IFERROR(Tabla1[[#This Row],[Fatalities]]/Tabla1[[#This Row],[Aboard]],0)</f>
        <v>1</v>
      </c>
      <c r="X2469" s="51" t="str" cm="1">
        <f t="array" ref="X2469">_xlfn.IFS(Tabla1[[#This Row],[Porcentaje de muertes]]&lt;0.35,"LEVE",AND(Tabla1[[#This Row],[Porcentaje de muertes]]&gt;0.35,Tabla1[[#This Row],[Porcentaje de muertes]]&lt;0.65),"MEDIO",Tabla1[[#This Row],[Porcentaje de muertes]]&gt;0.65,"GRAVE")</f>
        <v>GRAVE</v>
      </c>
    </row>
    <row r="2470" spans="2:24" x14ac:dyDescent="0.3">
      <c r="B2470" s="9">
        <v>2469</v>
      </c>
      <c r="C2470" s="49">
        <v>25714</v>
      </c>
      <c r="D2470" s="9">
        <f>YEAR(Tabla1[[#This Row],[Date]])</f>
        <v>1970</v>
      </c>
      <c r="E2470" s="9" t="str" cm="1">
        <f t="array" ref="E2470">IFERROR(_xlfn.IFS(AND(D2470&lt;1980,D2470&gt;=1970),"70",AND(D2470&lt;1990,D2470&gt;=1980),"80",AND(D2470&lt;2000,D2470&gt;=1990),"90",AND(D2470&lt;2010,D2470&gt;=2000),"00",AND(D2470&lt;=2019,D2470&gt;=2010),"10"),"1908-1970")</f>
        <v>70</v>
      </c>
      <c r="F2470" s="3" t="s">
        <v>28931</v>
      </c>
      <c r="G2470" t="s">
        <v>12751</v>
      </c>
      <c r="H2470" t="s">
        <v>15878</v>
      </c>
      <c r="I2470" t="s">
        <v>28931</v>
      </c>
      <c r="J2470" t="s">
        <v>28931</v>
      </c>
      <c r="K2470" t="s">
        <v>10951</v>
      </c>
      <c r="L2470" s="7" t="s">
        <v>15879</v>
      </c>
      <c r="M2470">
        <v>14009</v>
      </c>
      <c r="N2470">
        <v>6</v>
      </c>
      <c r="O2470">
        <v>4</v>
      </c>
      <c r="P2470">
        <v>2</v>
      </c>
      <c r="Q2470">
        <v>6</v>
      </c>
      <c r="R2470">
        <v>4</v>
      </c>
      <c r="S2470">
        <v>2</v>
      </c>
      <c r="T2470">
        <v>0</v>
      </c>
      <c r="U2470" t="s">
        <v>15880</v>
      </c>
      <c r="V2470">
        <f>Tabla1[[#This Row],[Aboard]]-Tabla1[[#This Row],[Fatalities]]</f>
        <v>0</v>
      </c>
      <c r="W2470" s="50">
        <f>IFERROR(Tabla1[[#This Row],[Fatalities]]/Tabla1[[#This Row],[Aboard]],0)</f>
        <v>1</v>
      </c>
      <c r="X2470" s="51" t="str" cm="1">
        <f t="array" ref="X2470">_xlfn.IFS(Tabla1[[#This Row],[Porcentaje de muertes]]&lt;0.35,"LEVE",AND(Tabla1[[#This Row],[Porcentaje de muertes]]&gt;0.35,Tabla1[[#This Row],[Porcentaje de muertes]]&lt;0.65),"MEDIO",Tabla1[[#This Row],[Porcentaje de muertes]]&gt;0.65,"GRAVE")</f>
        <v>GRAVE</v>
      </c>
    </row>
    <row r="2471" spans="2:24" x14ac:dyDescent="0.3">
      <c r="B2471" s="9">
        <v>2470</v>
      </c>
      <c r="C2471" s="49">
        <v>25718</v>
      </c>
      <c r="D2471" s="9">
        <f>YEAR(Tabla1[[#This Row],[Date]])</f>
        <v>1970</v>
      </c>
      <c r="E2471" s="9" t="str" cm="1">
        <f t="array" ref="E2471">IFERROR(_xlfn.IFS(AND(D2471&lt;1980,D2471&gt;=1970),"70",AND(D2471&lt;1990,D2471&gt;=1980),"80",AND(D2471&lt;2000,D2471&gt;=1990),"90",AND(D2471&lt;2010,D2471&gt;=2000),"00",AND(D2471&lt;=2019,D2471&gt;=2010),"10"),"1908-1970")</f>
        <v>70</v>
      </c>
      <c r="F2471" s="3">
        <v>0.39583333333333331</v>
      </c>
      <c r="G2471" t="s">
        <v>15881</v>
      </c>
      <c r="H2471" t="s">
        <v>15882</v>
      </c>
      <c r="I2471">
        <v>701</v>
      </c>
      <c r="J2471" t="s">
        <v>15883</v>
      </c>
      <c r="K2471" t="s">
        <v>11479</v>
      </c>
      <c r="L2471" s="7" t="s">
        <v>15884</v>
      </c>
      <c r="M2471">
        <v>14116</v>
      </c>
      <c r="N2471">
        <v>33</v>
      </c>
      <c r="O2471">
        <v>29</v>
      </c>
      <c r="P2471">
        <v>4</v>
      </c>
      <c r="Q2471">
        <v>1</v>
      </c>
      <c r="R2471">
        <v>1</v>
      </c>
      <c r="S2471">
        <v>0</v>
      </c>
      <c r="T2471">
        <v>5</v>
      </c>
      <c r="U2471" t="s">
        <v>15885</v>
      </c>
      <c r="V2471">
        <f>Tabla1[[#This Row],[Aboard]]-Tabla1[[#This Row],[Fatalities]]</f>
        <v>32</v>
      </c>
      <c r="W2471" s="50">
        <f>IFERROR(Tabla1[[#This Row],[Fatalities]]/Tabla1[[#This Row],[Aboard]],0)</f>
        <v>3.0303030303030304E-2</v>
      </c>
      <c r="X2471" s="51" t="str" cm="1">
        <f t="array" ref="X2471">_xlfn.IFS(Tabla1[[#This Row],[Porcentaje de muertes]]&lt;0.35,"LEVE",AND(Tabla1[[#This Row],[Porcentaje de muertes]]&gt;0.35,Tabla1[[#This Row],[Porcentaje de muertes]]&lt;0.65),"MEDIO",Tabla1[[#This Row],[Porcentaje de muertes]]&gt;0.65,"GRAVE")</f>
        <v>LEVE</v>
      </c>
    </row>
    <row r="2472" spans="2:24" x14ac:dyDescent="0.3">
      <c r="B2472" s="9">
        <v>2471</v>
      </c>
      <c r="C2472" s="49">
        <v>25574</v>
      </c>
      <c r="D2472" s="9">
        <f>YEAR(Tabla1[[#This Row],[Date]])</f>
        <v>1970</v>
      </c>
      <c r="E2472" s="9" t="str" cm="1">
        <f t="array" ref="E2472">IFERROR(_xlfn.IFS(AND(D2472&lt;1980,D2472&gt;=1970),"70",AND(D2472&lt;1990,D2472&gt;=1980),"80",AND(D2472&lt;2000,D2472&gt;=1990),"90",AND(D2472&lt;2010,D2472&gt;=2000),"00",AND(D2472&lt;=2019,D2472&gt;=2010),"10"),"1908-1970")</f>
        <v>70</v>
      </c>
      <c r="F2472" s="3">
        <v>0.21666666666666667</v>
      </c>
      <c r="G2472" t="s">
        <v>15886</v>
      </c>
      <c r="H2472" t="s">
        <v>5951</v>
      </c>
      <c r="I2472" t="s">
        <v>28931</v>
      </c>
      <c r="J2472" t="s">
        <v>15887</v>
      </c>
      <c r="K2472" t="s">
        <v>12500</v>
      </c>
      <c r="L2472" s="7" t="s">
        <v>15888</v>
      </c>
      <c r="M2472">
        <v>96601803</v>
      </c>
      <c r="N2472">
        <v>13</v>
      </c>
      <c r="O2472">
        <v>10</v>
      </c>
      <c r="P2472">
        <v>3</v>
      </c>
      <c r="Q2472">
        <v>13</v>
      </c>
      <c r="R2472">
        <v>10</v>
      </c>
      <c r="S2472">
        <v>3</v>
      </c>
      <c r="T2472">
        <v>0</v>
      </c>
      <c r="U2472" t="s">
        <v>15889</v>
      </c>
      <c r="V2472">
        <f>Tabla1[[#This Row],[Aboard]]-Tabla1[[#This Row],[Fatalities]]</f>
        <v>0</v>
      </c>
      <c r="W2472" s="50">
        <f>IFERROR(Tabla1[[#This Row],[Fatalities]]/Tabla1[[#This Row],[Aboard]],0)</f>
        <v>1</v>
      </c>
      <c r="X2472" s="51" t="str" cm="1">
        <f t="array" ref="X2472">_xlfn.IFS(Tabla1[[#This Row],[Porcentaje de muertes]]&lt;0.35,"LEVE",AND(Tabla1[[#This Row],[Porcentaje de muertes]]&gt;0.35,Tabla1[[#This Row],[Porcentaje de muertes]]&lt;0.65),"MEDIO",Tabla1[[#This Row],[Porcentaje de muertes]]&gt;0.65,"GRAVE")</f>
        <v>GRAVE</v>
      </c>
    </row>
    <row r="2473" spans="2:24" x14ac:dyDescent="0.3">
      <c r="B2473" s="9">
        <v>2472</v>
      </c>
      <c r="C2473" s="49">
        <v>25605</v>
      </c>
      <c r="D2473" s="9">
        <f>YEAR(Tabla1[[#This Row],[Date]])</f>
        <v>1970</v>
      </c>
      <c r="E2473" s="9" t="str" cm="1">
        <f t="array" ref="E2473">IFERROR(_xlfn.IFS(AND(D2473&lt;1980,D2473&gt;=1970),"70",AND(D2473&lt;1990,D2473&gt;=1980),"80",AND(D2473&lt;2000,D2473&gt;=1990),"90",AND(D2473&lt;2010,D2473&gt;=2000),"00",AND(D2473&lt;=2019,D2473&gt;=2010),"10"),"1908-1970")</f>
        <v>70</v>
      </c>
      <c r="F2473" s="3" t="s">
        <v>28931</v>
      </c>
      <c r="G2473" t="s">
        <v>15890</v>
      </c>
      <c r="H2473" t="s">
        <v>8992</v>
      </c>
      <c r="I2473" t="s">
        <v>28931</v>
      </c>
      <c r="J2473" t="s">
        <v>15891</v>
      </c>
      <c r="K2473" t="s">
        <v>12968</v>
      </c>
      <c r="L2473" s="7" t="s">
        <v>15892</v>
      </c>
      <c r="M2473">
        <v>10246</v>
      </c>
      <c r="N2473">
        <v>44</v>
      </c>
      <c r="O2473">
        <v>40</v>
      </c>
      <c r="P2473">
        <v>4</v>
      </c>
      <c r="Q2473">
        <v>1</v>
      </c>
      <c r="R2473">
        <v>1</v>
      </c>
      <c r="S2473">
        <v>0</v>
      </c>
      <c r="T2473">
        <v>0</v>
      </c>
      <c r="U2473" t="s">
        <v>15893</v>
      </c>
      <c r="V2473">
        <f>Tabla1[[#This Row],[Aboard]]-Tabla1[[#This Row],[Fatalities]]</f>
        <v>43</v>
      </c>
      <c r="W2473" s="50">
        <f>IFERROR(Tabla1[[#This Row],[Fatalities]]/Tabla1[[#This Row],[Aboard]],0)</f>
        <v>2.2727272727272728E-2</v>
      </c>
      <c r="X2473" s="51" t="str" cm="1">
        <f t="array" ref="X2473">_xlfn.IFS(Tabla1[[#This Row],[Porcentaje de muertes]]&lt;0.35,"LEVE",AND(Tabla1[[#This Row],[Porcentaje de muertes]]&gt;0.35,Tabla1[[#This Row],[Porcentaje de muertes]]&lt;0.65),"MEDIO",Tabla1[[#This Row],[Porcentaje de muertes]]&gt;0.65,"GRAVE")</f>
        <v>LEVE</v>
      </c>
    </row>
    <row r="2474" spans="2:24" x14ac:dyDescent="0.3">
      <c r="B2474" s="9">
        <v>2473</v>
      </c>
      <c r="C2474" s="49">
        <v>25847</v>
      </c>
      <c r="D2474" s="9">
        <f>YEAR(Tabla1[[#This Row],[Date]])</f>
        <v>1970</v>
      </c>
      <c r="E2474" s="9" t="str" cm="1">
        <f t="array" ref="E2474">IFERROR(_xlfn.IFS(AND(D2474&lt;1980,D2474&gt;=1970),"70",AND(D2474&lt;1990,D2474&gt;=1980),"80",AND(D2474&lt;2000,D2474&gt;=1990),"90",AND(D2474&lt;2010,D2474&gt;=2000),"00",AND(D2474&lt;=2019,D2474&gt;=2010),"10"),"1908-1970")</f>
        <v>70</v>
      </c>
      <c r="F2474" s="3" t="s">
        <v>28931</v>
      </c>
      <c r="G2474" t="s">
        <v>15894</v>
      </c>
      <c r="H2474" t="s">
        <v>15895</v>
      </c>
      <c r="I2474" t="s">
        <v>28931</v>
      </c>
      <c r="J2474" t="s">
        <v>15896</v>
      </c>
      <c r="K2474" t="s">
        <v>15897</v>
      </c>
      <c r="L2474" s="7" t="s">
        <v>15898</v>
      </c>
      <c r="M2474">
        <v>10411</v>
      </c>
      <c r="N2474">
        <v>8</v>
      </c>
      <c r="O2474">
        <v>5</v>
      </c>
      <c r="P2474">
        <v>3</v>
      </c>
      <c r="Q2474">
        <v>5</v>
      </c>
      <c r="R2474">
        <v>3</v>
      </c>
      <c r="S2474">
        <v>2</v>
      </c>
      <c r="T2474">
        <v>0</v>
      </c>
      <c r="U2474" t="s">
        <v>15899</v>
      </c>
      <c r="V2474">
        <f>Tabla1[[#This Row],[Aboard]]-Tabla1[[#This Row],[Fatalities]]</f>
        <v>3</v>
      </c>
      <c r="W2474" s="50">
        <f>IFERROR(Tabla1[[#This Row],[Fatalities]]/Tabla1[[#This Row],[Aboard]],0)</f>
        <v>0.625</v>
      </c>
      <c r="X2474" s="51" t="str" cm="1">
        <f t="array" ref="X2474">_xlfn.IFS(Tabla1[[#This Row],[Porcentaje de muertes]]&lt;0.35,"LEVE",AND(Tabla1[[#This Row],[Porcentaje de muertes]]&gt;0.35,Tabla1[[#This Row],[Porcentaje de muertes]]&lt;0.65),"MEDIO",Tabla1[[#This Row],[Porcentaje de muertes]]&gt;0.65,"GRAVE")</f>
        <v>MEDIO</v>
      </c>
    </row>
    <row r="2475" spans="2:24" x14ac:dyDescent="0.3">
      <c r="B2475" s="9">
        <v>2474</v>
      </c>
      <c r="C2475" s="49">
        <v>25634</v>
      </c>
      <c r="D2475" s="9">
        <f>YEAR(Tabla1[[#This Row],[Date]])</f>
        <v>1970</v>
      </c>
      <c r="E2475" s="9" t="str" cm="1">
        <f t="array" ref="E2475">IFERROR(_xlfn.IFS(AND(D2475&lt;1980,D2475&gt;=1970),"70",AND(D2475&lt;1990,D2475&gt;=1980),"80",AND(D2475&lt;2000,D2475&gt;=1990),"90",AND(D2475&lt;2010,D2475&gt;=2000),"00",AND(D2475&lt;=2019,D2475&gt;=2010),"10"),"1908-1970")</f>
        <v>70</v>
      </c>
      <c r="F2475" s="3">
        <v>0.58333333333333337</v>
      </c>
      <c r="G2475" t="s">
        <v>15900</v>
      </c>
      <c r="H2475" t="s">
        <v>15901</v>
      </c>
      <c r="I2475" t="s">
        <v>28931</v>
      </c>
      <c r="J2475" t="s">
        <v>15902</v>
      </c>
      <c r="K2475" t="s">
        <v>7057</v>
      </c>
      <c r="L2475" s="7" t="s">
        <v>15903</v>
      </c>
      <c r="M2475">
        <v>6156</v>
      </c>
      <c r="N2475">
        <v>27</v>
      </c>
      <c r="O2475">
        <v>25</v>
      </c>
      <c r="P2475">
        <v>2</v>
      </c>
      <c r="Q2475">
        <v>5</v>
      </c>
      <c r="R2475">
        <v>4</v>
      </c>
      <c r="S2475">
        <v>1</v>
      </c>
      <c r="T2475">
        <v>0</v>
      </c>
      <c r="U2475" t="s">
        <v>15904</v>
      </c>
      <c r="V2475">
        <f>Tabla1[[#This Row],[Aboard]]-Tabla1[[#This Row],[Fatalities]]</f>
        <v>22</v>
      </c>
      <c r="W2475" s="50">
        <f>IFERROR(Tabla1[[#This Row],[Fatalities]]/Tabla1[[#This Row],[Aboard]],0)</f>
        <v>0.18518518518518517</v>
      </c>
      <c r="X2475" s="51" t="str" cm="1">
        <f t="array" ref="X2475">_xlfn.IFS(Tabla1[[#This Row],[Porcentaje de muertes]]&lt;0.35,"LEVE",AND(Tabla1[[#This Row],[Porcentaje de muertes]]&gt;0.35,Tabla1[[#This Row],[Porcentaje de muertes]]&lt;0.65),"MEDIO",Tabla1[[#This Row],[Porcentaje de muertes]]&gt;0.65,"GRAVE")</f>
        <v>LEVE</v>
      </c>
    </row>
    <row r="2476" spans="2:24" x14ac:dyDescent="0.3">
      <c r="B2476" s="9">
        <v>2475</v>
      </c>
      <c r="C2476" s="49">
        <v>25634</v>
      </c>
      <c r="D2476" s="9">
        <f>YEAR(Tabla1[[#This Row],[Date]])</f>
        <v>1970</v>
      </c>
      <c r="E2476" s="9" t="str" cm="1">
        <f t="array" ref="E2476">IFERROR(_xlfn.IFS(AND(D2476&lt;1980,D2476&gt;=1970),"70",AND(D2476&lt;1990,D2476&gt;=1980),"80",AND(D2476&lt;2000,D2476&gt;=1990),"90",AND(D2476&lt;2010,D2476&gt;=2000),"00",AND(D2476&lt;=2019,D2476&gt;=2010),"10"),"1908-1970")</f>
        <v>70</v>
      </c>
      <c r="F2476" s="3">
        <v>0.79513888888888884</v>
      </c>
      <c r="G2476" t="s">
        <v>15905</v>
      </c>
      <c r="H2476" t="s">
        <v>15906</v>
      </c>
      <c r="I2476">
        <v>1903</v>
      </c>
      <c r="J2476" t="s">
        <v>15907</v>
      </c>
      <c r="K2476" t="s">
        <v>13387</v>
      </c>
      <c r="L2476" s="7" t="s">
        <v>15908</v>
      </c>
      <c r="M2476">
        <v>6415</v>
      </c>
      <c r="N2476">
        <v>112</v>
      </c>
      <c r="O2476">
        <v>105</v>
      </c>
      <c r="P2476">
        <v>7</v>
      </c>
      <c r="Q2476">
        <v>112</v>
      </c>
      <c r="R2476">
        <v>105</v>
      </c>
      <c r="S2476">
        <v>7</v>
      </c>
      <c r="T2476">
        <v>0</v>
      </c>
      <c r="U2476" t="s">
        <v>15909</v>
      </c>
      <c r="V2476">
        <f>Tabla1[[#This Row],[Aboard]]-Tabla1[[#This Row],[Fatalities]]</f>
        <v>0</v>
      </c>
      <c r="W2476" s="50">
        <f>IFERROR(Tabla1[[#This Row],[Fatalities]]/Tabla1[[#This Row],[Aboard]],0)</f>
        <v>1</v>
      </c>
      <c r="X2476" s="51" t="str" cm="1">
        <f t="array" ref="X2476">_xlfn.IFS(Tabla1[[#This Row],[Porcentaje de muertes]]&lt;0.35,"LEVE",AND(Tabla1[[#This Row],[Porcentaje de muertes]]&gt;0.35,Tabla1[[#This Row],[Porcentaje de muertes]]&lt;0.65),"MEDIO",Tabla1[[#This Row],[Porcentaje de muertes]]&gt;0.65,"GRAVE")</f>
        <v>GRAVE</v>
      </c>
    </row>
    <row r="2477" spans="2:24" x14ac:dyDescent="0.3">
      <c r="B2477" s="9">
        <v>2476</v>
      </c>
      <c r="C2477" s="49">
        <v>25695</v>
      </c>
      <c r="D2477" s="9">
        <f>YEAR(Tabla1[[#This Row],[Date]])</f>
        <v>1970</v>
      </c>
      <c r="E2477" s="9" t="str" cm="1">
        <f t="array" ref="E2477">IFERROR(_xlfn.IFS(AND(D2477&lt;1980,D2477&gt;=1970),"70",AND(D2477&lt;1990,D2477&gt;=1980),"80",AND(D2477&lt;2000,D2477&gt;=1990),"90",AND(D2477&lt;2010,D2477&gt;=2000),"00",AND(D2477&lt;=2019,D2477&gt;=2010),"10"),"1908-1970")</f>
        <v>70</v>
      </c>
      <c r="F2477" s="3">
        <v>0.33958333333333335</v>
      </c>
      <c r="G2477" t="s">
        <v>15910</v>
      </c>
      <c r="H2477" t="s">
        <v>14947</v>
      </c>
      <c r="I2477">
        <v>621</v>
      </c>
      <c r="J2477" t="s">
        <v>15911</v>
      </c>
      <c r="K2477" t="s">
        <v>15912</v>
      </c>
      <c r="L2477" s="7" t="s">
        <v>15913</v>
      </c>
      <c r="M2477" t="s">
        <v>15914</v>
      </c>
      <c r="N2477">
        <v>109</v>
      </c>
      <c r="O2477">
        <v>100</v>
      </c>
      <c r="P2477">
        <v>9</v>
      </c>
      <c r="Q2477">
        <v>109</v>
      </c>
      <c r="R2477">
        <v>100</v>
      </c>
      <c r="S2477">
        <v>9</v>
      </c>
      <c r="T2477">
        <v>0</v>
      </c>
      <c r="U2477" t="s">
        <v>15915</v>
      </c>
      <c r="V2477">
        <f>Tabla1[[#This Row],[Aboard]]-Tabla1[[#This Row],[Fatalities]]</f>
        <v>0</v>
      </c>
      <c r="W2477" s="50">
        <f>IFERROR(Tabla1[[#This Row],[Fatalities]]/Tabla1[[#This Row],[Aboard]],0)</f>
        <v>1</v>
      </c>
      <c r="X2477" s="51" t="str" cm="1">
        <f t="array" ref="X2477">_xlfn.IFS(Tabla1[[#This Row],[Porcentaje de muertes]]&lt;0.35,"LEVE",AND(Tabla1[[#This Row],[Porcentaje de muertes]]&gt;0.35,Tabla1[[#This Row],[Porcentaje de muertes]]&lt;0.65),"MEDIO",Tabla1[[#This Row],[Porcentaje de muertes]]&gt;0.65,"GRAVE")</f>
        <v>GRAVE</v>
      </c>
    </row>
    <row r="2478" spans="2:24" x14ac:dyDescent="0.3">
      <c r="B2478" s="9">
        <v>2477</v>
      </c>
      <c r="C2478" s="49">
        <v>25767</v>
      </c>
      <c r="D2478" s="9">
        <f>YEAR(Tabla1[[#This Row],[Date]])</f>
        <v>1970</v>
      </c>
      <c r="E2478" s="9" t="str" cm="1">
        <f t="array" ref="E2478">IFERROR(_xlfn.IFS(AND(D2478&lt;1980,D2478&gt;=1970),"70",AND(D2478&lt;1990,D2478&gt;=1980),"80",AND(D2478&lt;2000,D2478&gt;=1990),"90",AND(D2478&lt;2010,D2478&gt;=2000),"00",AND(D2478&lt;=2019,D2478&gt;=2010),"10"),"1908-1970")</f>
        <v>70</v>
      </c>
      <c r="F2478" s="3">
        <v>0.72222222222222221</v>
      </c>
      <c r="G2478" t="s">
        <v>5231</v>
      </c>
      <c r="H2478" t="s">
        <v>9999</v>
      </c>
      <c r="I2478" t="s">
        <v>28931</v>
      </c>
      <c r="J2478" t="s">
        <v>15916</v>
      </c>
      <c r="K2478" t="s">
        <v>15917</v>
      </c>
      <c r="L2478" s="7" t="s">
        <v>15918</v>
      </c>
      <c r="M2478">
        <v>9340207</v>
      </c>
      <c r="N2478">
        <v>23</v>
      </c>
      <c r="O2478">
        <v>15</v>
      </c>
      <c r="P2478">
        <v>8</v>
      </c>
      <c r="Q2478">
        <v>23</v>
      </c>
      <c r="R2478">
        <v>15</v>
      </c>
      <c r="S2478">
        <v>8</v>
      </c>
      <c r="T2478">
        <v>0</v>
      </c>
      <c r="U2478" t="s">
        <v>15919</v>
      </c>
      <c r="V2478">
        <f>Tabla1[[#This Row],[Aboard]]-Tabla1[[#This Row],[Fatalities]]</f>
        <v>0</v>
      </c>
      <c r="W2478" s="50">
        <f>IFERROR(Tabla1[[#This Row],[Fatalities]]/Tabla1[[#This Row],[Aboard]],0)</f>
        <v>1</v>
      </c>
      <c r="X2478" s="51" t="str" cm="1">
        <f t="array" ref="X2478">_xlfn.IFS(Tabla1[[#This Row],[Porcentaje de muertes]]&lt;0.35,"LEVE",AND(Tabla1[[#This Row],[Porcentaje de muertes]]&gt;0.35,Tabla1[[#This Row],[Porcentaje de muertes]]&lt;0.65),"MEDIO",Tabla1[[#This Row],[Porcentaje de muertes]]&gt;0.65,"GRAVE")</f>
        <v>GRAVE</v>
      </c>
    </row>
    <row r="2479" spans="2:24" x14ac:dyDescent="0.3">
      <c r="B2479" s="9">
        <v>2478</v>
      </c>
      <c r="C2479" s="49">
        <v>25776</v>
      </c>
      <c r="D2479" s="9">
        <f>YEAR(Tabla1[[#This Row],[Date]])</f>
        <v>1970</v>
      </c>
      <c r="E2479" s="9" t="str" cm="1">
        <f t="array" ref="E2479">IFERROR(_xlfn.IFS(AND(D2479&lt;1980,D2479&gt;=1970),"70",AND(D2479&lt;1990,D2479&gt;=1980),"80",AND(D2479&lt;2000,D2479&gt;=1990),"90",AND(D2479&lt;2010,D2479&gt;=2000),"00",AND(D2479&lt;=2019,D2479&gt;=2010),"10"),"1908-1970")</f>
        <v>70</v>
      </c>
      <c r="F2479" s="3">
        <v>0.4826388888888889</v>
      </c>
      <c r="G2479" t="s">
        <v>7285</v>
      </c>
      <c r="H2479" t="s">
        <v>10878</v>
      </c>
      <c r="I2479">
        <v>45</v>
      </c>
      <c r="J2479" t="s">
        <v>15920</v>
      </c>
      <c r="K2479" t="s">
        <v>15921</v>
      </c>
      <c r="L2479" s="7" t="s">
        <v>15922</v>
      </c>
      <c r="M2479" t="s">
        <v>15923</v>
      </c>
      <c r="N2479">
        <v>4</v>
      </c>
      <c r="O2479">
        <v>0</v>
      </c>
      <c r="P2479">
        <v>4</v>
      </c>
      <c r="Q2479">
        <v>4</v>
      </c>
      <c r="R2479">
        <v>0</v>
      </c>
      <c r="S2479">
        <v>4</v>
      </c>
      <c r="T2479">
        <v>0</v>
      </c>
      <c r="U2479" t="s">
        <v>15924</v>
      </c>
      <c r="V2479">
        <f>Tabla1[[#This Row],[Aboard]]-Tabla1[[#This Row],[Fatalities]]</f>
        <v>0</v>
      </c>
      <c r="W2479" s="50">
        <f>IFERROR(Tabla1[[#This Row],[Fatalities]]/Tabla1[[#This Row],[Aboard]],0)</f>
        <v>1</v>
      </c>
      <c r="X2479" s="51" t="str" cm="1">
        <f t="array" ref="X2479">_xlfn.IFS(Tabla1[[#This Row],[Porcentaje de muertes]]&lt;0.35,"LEVE",AND(Tabla1[[#This Row],[Porcentaje de muertes]]&gt;0.35,Tabla1[[#This Row],[Porcentaje de muertes]]&lt;0.65),"MEDIO",Tabla1[[#This Row],[Porcentaje de muertes]]&gt;0.65,"GRAVE")</f>
        <v>GRAVE</v>
      </c>
    </row>
    <row r="2480" spans="2:24" x14ac:dyDescent="0.3">
      <c r="B2480" s="9">
        <v>2479</v>
      </c>
      <c r="C2480" s="49">
        <v>25635</v>
      </c>
      <c r="D2480" s="9">
        <f>YEAR(Tabla1[[#This Row],[Date]])</f>
        <v>1970</v>
      </c>
      <c r="E2480" s="9" t="str" cm="1">
        <f t="array" ref="E2480">IFERROR(_xlfn.IFS(AND(D2480&lt;1980,D2480&gt;=1970),"70",AND(D2480&lt;1990,D2480&gt;=1980),"80",AND(D2480&lt;2000,D2480&gt;=1990),"90",AND(D2480&lt;2010,D2480&gt;=2000),"00",AND(D2480&lt;=2019,D2480&gt;=2010),"10"),"1908-1970")</f>
        <v>70</v>
      </c>
      <c r="F2480" s="3" t="s">
        <v>28931</v>
      </c>
      <c r="G2480" t="s">
        <v>7720</v>
      </c>
      <c r="H2480" t="s">
        <v>15925</v>
      </c>
      <c r="I2480" t="s">
        <v>28931</v>
      </c>
      <c r="J2480" t="s">
        <v>15926</v>
      </c>
      <c r="K2480" t="s">
        <v>13780</v>
      </c>
      <c r="L2480" s="7">
        <v>152159</v>
      </c>
      <c r="M2480" t="s">
        <v>15927</v>
      </c>
      <c r="N2480">
        <v>10</v>
      </c>
      <c r="O2480">
        <v>0</v>
      </c>
      <c r="P2480">
        <v>10</v>
      </c>
      <c r="Q2480">
        <v>10</v>
      </c>
      <c r="R2480">
        <v>0</v>
      </c>
      <c r="S2480">
        <v>10</v>
      </c>
      <c r="T2480">
        <v>0</v>
      </c>
      <c r="U2480" t="s">
        <v>15928</v>
      </c>
      <c r="V2480">
        <f>Tabla1[[#This Row],[Aboard]]-Tabla1[[#This Row],[Fatalities]]</f>
        <v>0</v>
      </c>
      <c r="W2480" s="50">
        <f>IFERROR(Tabla1[[#This Row],[Fatalities]]/Tabla1[[#This Row],[Aboard]],0)</f>
        <v>1</v>
      </c>
      <c r="X2480" s="51" t="str" cm="1">
        <f t="array" ref="X2480">_xlfn.IFS(Tabla1[[#This Row],[Porcentaje de muertes]]&lt;0.35,"LEVE",AND(Tabla1[[#This Row],[Porcentaje de muertes]]&gt;0.35,Tabla1[[#This Row],[Porcentaje de muertes]]&lt;0.65),"MEDIO",Tabla1[[#This Row],[Porcentaje de muertes]]&gt;0.65,"GRAVE")</f>
        <v>GRAVE</v>
      </c>
    </row>
    <row r="2481" spans="2:24" x14ac:dyDescent="0.3">
      <c r="B2481" s="9">
        <v>2480</v>
      </c>
      <c r="C2481" s="49">
        <v>25727</v>
      </c>
      <c r="D2481" s="9">
        <f>YEAR(Tabla1[[#This Row],[Date]])</f>
        <v>1970</v>
      </c>
      <c r="E2481" s="9" t="str" cm="1">
        <f t="array" ref="E2481">IFERROR(_xlfn.IFS(AND(D2481&lt;1980,D2481&gt;=1970),"70",AND(D2481&lt;1990,D2481&gt;=1980),"80",AND(D2481&lt;2000,D2481&gt;=1990),"90",AND(D2481&lt;2010,D2481&gt;=2000),"00",AND(D2481&lt;=2019,D2481&gt;=2010),"10"),"1908-1970")</f>
        <v>70</v>
      </c>
      <c r="F2481" s="3">
        <v>9.5138888888888884E-2</v>
      </c>
      <c r="G2481" t="s">
        <v>15929</v>
      </c>
      <c r="H2481" t="s">
        <v>11736</v>
      </c>
      <c r="I2481" t="s">
        <v>28931</v>
      </c>
      <c r="J2481" t="s">
        <v>15930</v>
      </c>
      <c r="K2481" t="s">
        <v>14481</v>
      </c>
      <c r="L2481" s="7" t="s">
        <v>15931</v>
      </c>
      <c r="M2481">
        <v>10163</v>
      </c>
      <c r="N2481">
        <v>30</v>
      </c>
      <c r="O2481">
        <v>26</v>
      </c>
      <c r="P2481">
        <v>4</v>
      </c>
      <c r="Q2481">
        <v>30</v>
      </c>
      <c r="R2481">
        <v>26</v>
      </c>
      <c r="S2481">
        <v>4</v>
      </c>
      <c r="T2481">
        <v>0</v>
      </c>
      <c r="U2481" t="s">
        <v>15932</v>
      </c>
      <c r="V2481">
        <f>Tabla1[[#This Row],[Aboard]]-Tabla1[[#This Row],[Fatalities]]</f>
        <v>0</v>
      </c>
      <c r="W2481" s="50">
        <f>IFERROR(Tabla1[[#This Row],[Fatalities]]/Tabla1[[#This Row],[Aboard]],0)</f>
        <v>1</v>
      </c>
      <c r="X2481" s="51" t="str" cm="1">
        <f t="array" ref="X2481">_xlfn.IFS(Tabla1[[#This Row],[Porcentaje de muertes]]&lt;0.35,"LEVE",AND(Tabla1[[#This Row],[Porcentaje de muertes]]&gt;0.35,Tabla1[[#This Row],[Porcentaje de muertes]]&lt;0.65),"MEDIO",Tabla1[[#This Row],[Porcentaje de muertes]]&gt;0.65,"GRAVE")</f>
        <v>GRAVE</v>
      </c>
    </row>
    <row r="2482" spans="2:24" x14ac:dyDescent="0.3">
      <c r="B2482" s="9">
        <v>2481</v>
      </c>
      <c r="C2482" s="49">
        <v>25819</v>
      </c>
      <c r="D2482" s="9">
        <f>YEAR(Tabla1[[#This Row],[Date]])</f>
        <v>1970</v>
      </c>
      <c r="E2482" s="9" t="str" cm="1">
        <f t="array" ref="E2482">IFERROR(_xlfn.IFS(AND(D2482&lt;1980,D2482&gt;=1970),"70",AND(D2482&lt;1990,D2482&gt;=1980),"80",AND(D2482&lt;2000,D2482&gt;=1990),"90",AND(D2482&lt;2010,D2482&gt;=2000),"00",AND(D2482&lt;=2019,D2482&gt;=2010),"10"),"1908-1970")</f>
        <v>70</v>
      </c>
      <c r="F2482" s="3">
        <v>0.625</v>
      </c>
      <c r="G2482" t="s">
        <v>9767</v>
      </c>
      <c r="H2482" t="s">
        <v>15933</v>
      </c>
      <c r="I2482">
        <v>502</v>
      </c>
      <c r="J2482" t="s">
        <v>9769</v>
      </c>
      <c r="K2482" t="s">
        <v>12770</v>
      </c>
      <c r="L2482" s="7" t="s">
        <v>15934</v>
      </c>
      <c r="M2482">
        <v>1106</v>
      </c>
      <c r="N2482">
        <v>100</v>
      </c>
      <c r="O2482">
        <v>91</v>
      </c>
      <c r="P2482">
        <v>9</v>
      </c>
      <c r="Q2482">
        <v>99</v>
      </c>
      <c r="R2482">
        <v>91</v>
      </c>
      <c r="S2482">
        <v>8</v>
      </c>
      <c r="T2482">
        <v>2</v>
      </c>
      <c r="U2482" t="s">
        <v>15935</v>
      </c>
      <c r="V2482">
        <f>Tabla1[[#This Row],[Aboard]]-Tabla1[[#This Row],[Fatalities]]</f>
        <v>1</v>
      </c>
      <c r="W2482" s="50">
        <f>IFERROR(Tabla1[[#This Row],[Fatalities]]/Tabla1[[#This Row],[Aboard]],0)</f>
        <v>0.99</v>
      </c>
      <c r="X2482" s="51" t="str" cm="1">
        <f t="array" ref="X2482">_xlfn.IFS(Tabla1[[#This Row],[Porcentaje de muertes]]&lt;0.35,"LEVE",AND(Tabla1[[#This Row],[Porcentaje de muertes]]&gt;0.35,Tabla1[[#This Row],[Porcentaje de muertes]]&lt;0.65),"MEDIO",Tabla1[[#This Row],[Porcentaje de muertes]]&gt;0.65,"GRAVE")</f>
        <v>GRAVE</v>
      </c>
    </row>
    <row r="2483" spans="2:24" x14ac:dyDescent="0.3">
      <c r="B2483" s="9">
        <v>2482</v>
      </c>
      <c r="C2483" s="49">
        <v>25910</v>
      </c>
      <c r="D2483" s="9">
        <f>YEAR(Tabla1[[#This Row],[Date]])</f>
        <v>1970</v>
      </c>
      <c r="E2483" s="9" t="str" cm="1">
        <f t="array" ref="E2483">IFERROR(_xlfn.IFS(AND(D2483&lt;1980,D2483&gt;=1970),"70",AND(D2483&lt;1990,D2483&gt;=1980),"80",AND(D2483&lt;2000,D2483&gt;=1990),"90",AND(D2483&lt;2010,D2483&gt;=2000),"00",AND(D2483&lt;=2019,D2483&gt;=2010),"10"),"1908-1970")</f>
        <v>70</v>
      </c>
      <c r="F2483" s="3">
        <v>0.15555555555555556</v>
      </c>
      <c r="G2483" t="s">
        <v>9664</v>
      </c>
      <c r="H2483" t="s">
        <v>15040</v>
      </c>
      <c r="I2483" t="s">
        <v>28931</v>
      </c>
      <c r="J2483" t="s">
        <v>15936</v>
      </c>
      <c r="K2483" t="s">
        <v>15937</v>
      </c>
      <c r="L2483" s="7" t="s">
        <v>15938</v>
      </c>
      <c r="M2483">
        <v>2110</v>
      </c>
      <c r="N2483">
        <v>31</v>
      </c>
      <c r="O2483">
        <v>26</v>
      </c>
      <c r="P2483">
        <v>5</v>
      </c>
      <c r="Q2483">
        <v>14</v>
      </c>
      <c r="R2483">
        <v>12</v>
      </c>
      <c r="S2483">
        <v>2</v>
      </c>
      <c r="T2483">
        <v>0</v>
      </c>
      <c r="U2483" t="s">
        <v>15939</v>
      </c>
      <c r="V2483">
        <f>Tabla1[[#This Row],[Aboard]]-Tabla1[[#This Row],[Fatalities]]</f>
        <v>17</v>
      </c>
      <c r="W2483" s="50">
        <f>IFERROR(Tabla1[[#This Row],[Fatalities]]/Tabla1[[#This Row],[Aboard]],0)</f>
        <v>0.45161290322580644</v>
      </c>
      <c r="X2483" s="51" t="str" cm="1">
        <f t="array" ref="X2483">_xlfn.IFS(Tabla1[[#This Row],[Porcentaje de muertes]]&lt;0.35,"LEVE",AND(Tabla1[[#This Row],[Porcentaje de muertes]]&gt;0.35,Tabla1[[#This Row],[Porcentaje de muertes]]&lt;0.65),"MEDIO",Tabla1[[#This Row],[Porcentaje de muertes]]&gt;0.65,"GRAVE")</f>
        <v>MEDIO</v>
      </c>
    </row>
    <row r="2484" spans="2:24" x14ac:dyDescent="0.3">
      <c r="B2484" s="9">
        <v>2483</v>
      </c>
      <c r="C2484" s="49">
        <v>25806</v>
      </c>
      <c r="D2484" s="9">
        <f>YEAR(Tabla1[[#This Row],[Date]])</f>
        <v>1970</v>
      </c>
      <c r="E2484" s="9" t="str" cm="1">
        <f t="array" ref="E2484">IFERROR(_xlfn.IFS(AND(D2484&lt;1980,D2484&gt;=1970),"70",AND(D2484&lt;1990,D2484&gt;=1980),"80",AND(D2484&lt;2000,D2484&gt;=1990),"90",AND(D2484&lt;2010,D2484&gt;=2000),"00",AND(D2484&lt;=2019,D2484&gt;=2010),"10"),"1908-1970")</f>
        <v>70</v>
      </c>
      <c r="F2484" s="3" t="s">
        <v>28931</v>
      </c>
      <c r="G2484" t="s">
        <v>15940</v>
      </c>
      <c r="H2484" t="s">
        <v>5017</v>
      </c>
      <c r="I2484" t="s">
        <v>28931</v>
      </c>
      <c r="J2484" t="s">
        <v>28931</v>
      </c>
      <c r="K2484" t="s">
        <v>15941</v>
      </c>
      <c r="L2484" s="7" t="s">
        <v>15942</v>
      </c>
      <c r="M2484" t="s">
        <v>28931</v>
      </c>
      <c r="N2484">
        <v>32</v>
      </c>
      <c r="O2484" t="s">
        <v>5038</v>
      </c>
      <c r="P2484" t="s">
        <v>5038</v>
      </c>
      <c r="Q2484">
        <v>30</v>
      </c>
      <c r="R2484" t="s">
        <v>5038</v>
      </c>
      <c r="S2484" t="s">
        <v>5038</v>
      </c>
      <c r="T2484">
        <v>0</v>
      </c>
      <c r="U2484" t="s">
        <v>15943</v>
      </c>
      <c r="V2484">
        <f>Tabla1[[#This Row],[Aboard]]-Tabla1[[#This Row],[Fatalities]]</f>
        <v>2</v>
      </c>
      <c r="W2484" s="50">
        <f>IFERROR(Tabla1[[#This Row],[Fatalities]]/Tabla1[[#This Row],[Aboard]],0)</f>
        <v>0.9375</v>
      </c>
      <c r="X2484" s="51" t="str" cm="1">
        <f t="array" ref="X2484">_xlfn.IFS(Tabla1[[#This Row],[Porcentaje de muertes]]&lt;0.35,"LEVE",AND(Tabla1[[#This Row],[Porcentaje de muertes]]&gt;0.35,Tabla1[[#This Row],[Porcentaje de muertes]]&lt;0.65),"MEDIO",Tabla1[[#This Row],[Porcentaje de muertes]]&gt;0.65,"GRAVE")</f>
        <v>GRAVE</v>
      </c>
    </row>
    <row r="2485" spans="2:24" x14ac:dyDescent="0.3">
      <c r="B2485" s="9">
        <v>2484</v>
      </c>
      <c r="C2485" s="49">
        <v>25809</v>
      </c>
      <c r="D2485" s="9">
        <f>YEAR(Tabla1[[#This Row],[Date]])</f>
        <v>1970</v>
      </c>
      <c r="E2485" s="9" t="str" cm="1">
        <f t="array" ref="E2485">IFERROR(_xlfn.IFS(AND(D2485&lt;1980,D2485&gt;=1970),"70",AND(D2485&lt;1990,D2485&gt;=1980),"80",AND(D2485&lt;2000,D2485&gt;=1990),"90",AND(D2485&lt;2010,D2485&gt;=2000),"00",AND(D2485&lt;=2019,D2485&gt;=2010),"10"),"1908-1970")</f>
        <v>70</v>
      </c>
      <c r="F2485" s="3">
        <v>0.61458333333333337</v>
      </c>
      <c r="G2485" t="s">
        <v>12641</v>
      </c>
      <c r="H2485" t="s">
        <v>11150</v>
      </c>
      <c r="I2485" t="s">
        <v>28931</v>
      </c>
      <c r="J2485" t="s">
        <v>15944</v>
      </c>
      <c r="K2485" t="s">
        <v>14933</v>
      </c>
      <c r="L2485" s="7" t="s">
        <v>15945</v>
      </c>
      <c r="M2485">
        <v>10336</v>
      </c>
      <c r="N2485">
        <v>39</v>
      </c>
      <c r="O2485">
        <v>34</v>
      </c>
      <c r="P2485">
        <v>5</v>
      </c>
      <c r="Q2485">
        <v>39</v>
      </c>
      <c r="R2485">
        <v>34</v>
      </c>
      <c r="S2485">
        <v>5</v>
      </c>
      <c r="T2485">
        <v>0</v>
      </c>
      <c r="U2485" t="s">
        <v>15946</v>
      </c>
      <c r="V2485">
        <f>Tabla1[[#This Row],[Aboard]]-Tabla1[[#This Row],[Fatalities]]</f>
        <v>0</v>
      </c>
      <c r="W2485" s="50">
        <f>IFERROR(Tabla1[[#This Row],[Fatalities]]/Tabla1[[#This Row],[Aboard]],0)</f>
        <v>1</v>
      </c>
      <c r="X2485" s="51" t="str" cm="1">
        <f t="array" ref="X2485">_xlfn.IFS(Tabla1[[#This Row],[Porcentaje de muertes]]&lt;0.35,"LEVE",AND(Tabla1[[#This Row],[Porcentaje de muertes]]&gt;0.35,Tabla1[[#This Row],[Porcentaje de muertes]]&lt;0.65),"MEDIO",Tabla1[[#This Row],[Porcentaje de muertes]]&gt;0.65,"GRAVE")</f>
        <v>GRAVE</v>
      </c>
    </row>
    <row r="2486" spans="2:24" x14ac:dyDescent="0.3">
      <c r="B2486" s="9">
        <v>2485</v>
      </c>
      <c r="C2486" s="49">
        <v>25810</v>
      </c>
      <c r="D2486" s="9">
        <f>YEAR(Tabla1[[#This Row],[Date]])</f>
        <v>1970</v>
      </c>
      <c r="E2486" s="9" t="str" cm="1">
        <f t="array" ref="E2486">IFERROR(_xlfn.IFS(AND(D2486&lt;1980,D2486&gt;=1970),"70",AND(D2486&lt;1990,D2486&gt;=1980),"80",AND(D2486&lt;2000,D2486&gt;=1990),"90",AND(D2486&lt;2010,D2486&gt;=2000),"00",AND(D2486&lt;=2019,D2486&gt;=2010),"10"),"1908-1970")</f>
        <v>70</v>
      </c>
      <c r="F2486" s="3" t="s">
        <v>28931</v>
      </c>
      <c r="G2486" t="s">
        <v>15947</v>
      </c>
      <c r="H2486" t="s">
        <v>15948</v>
      </c>
      <c r="I2486" t="s">
        <v>28931</v>
      </c>
      <c r="J2486" t="s">
        <v>5494</v>
      </c>
      <c r="K2486" t="s">
        <v>15949</v>
      </c>
      <c r="L2486" s="7" t="s">
        <v>15950</v>
      </c>
      <c r="M2486">
        <v>111</v>
      </c>
      <c r="N2486">
        <v>10</v>
      </c>
      <c r="O2486">
        <v>9</v>
      </c>
      <c r="P2486">
        <v>1</v>
      </c>
      <c r="Q2486">
        <v>3</v>
      </c>
      <c r="R2486">
        <v>2</v>
      </c>
      <c r="S2486">
        <v>1</v>
      </c>
      <c r="T2486">
        <v>0</v>
      </c>
      <c r="U2486" t="s">
        <v>15951</v>
      </c>
      <c r="V2486">
        <f>Tabla1[[#This Row],[Aboard]]-Tabla1[[#This Row],[Fatalities]]</f>
        <v>7</v>
      </c>
      <c r="W2486" s="50">
        <f>IFERROR(Tabla1[[#This Row],[Fatalities]]/Tabla1[[#This Row],[Aboard]],0)</f>
        <v>0.3</v>
      </c>
      <c r="X2486" s="51" t="str" cm="1">
        <f t="array" ref="X2486">_xlfn.IFS(Tabla1[[#This Row],[Porcentaje de muertes]]&lt;0.35,"LEVE",AND(Tabla1[[#This Row],[Porcentaje de muertes]]&gt;0.35,Tabla1[[#This Row],[Porcentaje de muertes]]&lt;0.65),"MEDIO",Tabla1[[#This Row],[Porcentaje de muertes]]&gt;0.65,"GRAVE")</f>
        <v>LEVE</v>
      </c>
    </row>
    <row r="2487" spans="2:24" x14ac:dyDescent="0.3">
      <c r="B2487" s="9">
        <v>2486</v>
      </c>
      <c r="C2487" s="49">
        <v>25608</v>
      </c>
      <c r="D2487" s="9">
        <f>YEAR(Tabla1[[#This Row],[Date]])</f>
        <v>1970</v>
      </c>
      <c r="E2487" s="9" t="str" cm="1">
        <f t="array" ref="E2487">IFERROR(_xlfn.IFS(AND(D2487&lt;1980,D2487&gt;=1970),"70",AND(D2487&lt;1990,D2487&gt;=1980),"80",AND(D2487&lt;2000,D2487&gt;=1990),"90",AND(D2487&lt;2010,D2487&gt;=2000),"00",AND(D2487&lt;=2019,D2487&gt;=2010),"10"),"1908-1970")</f>
        <v>70</v>
      </c>
      <c r="F2487" s="3">
        <v>0.65347222222222223</v>
      </c>
      <c r="G2487" t="s">
        <v>15952</v>
      </c>
      <c r="H2487" t="s">
        <v>6541</v>
      </c>
      <c r="I2487">
        <v>3630</v>
      </c>
      <c r="J2487" t="s">
        <v>15953</v>
      </c>
      <c r="K2487" t="s">
        <v>13944</v>
      </c>
      <c r="L2487" s="7" t="s">
        <v>15954</v>
      </c>
      <c r="M2487">
        <v>1350402</v>
      </c>
      <c r="N2487">
        <v>37</v>
      </c>
      <c r="O2487">
        <v>32</v>
      </c>
      <c r="P2487">
        <v>5</v>
      </c>
      <c r="Q2487">
        <v>37</v>
      </c>
      <c r="R2487">
        <v>32</v>
      </c>
      <c r="S2487">
        <v>5</v>
      </c>
      <c r="T2487">
        <v>0</v>
      </c>
      <c r="U2487" t="s">
        <v>15955</v>
      </c>
      <c r="V2487">
        <f>Tabla1[[#This Row],[Aboard]]-Tabla1[[#This Row],[Fatalities]]</f>
        <v>0</v>
      </c>
      <c r="W2487" s="50">
        <f>IFERROR(Tabla1[[#This Row],[Fatalities]]/Tabla1[[#This Row],[Aboard]],0)</f>
        <v>1</v>
      </c>
      <c r="X2487" s="51" t="str" cm="1">
        <f t="array" ref="X2487">_xlfn.IFS(Tabla1[[#This Row],[Porcentaje de muertes]]&lt;0.35,"LEVE",AND(Tabla1[[#This Row],[Porcentaje de muertes]]&gt;0.35,Tabla1[[#This Row],[Porcentaje de muertes]]&lt;0.65),"MEDIO",Tabla1[[#This Row],[Porcentaje de muertes]]&gt;0.65,"GRAVE")</f>
        <v>GRAVE</v>
      </c>
    </row>
    <row r="2488" spans="2:24" x14ac:dyDescent="0.3">
      <c r="B2488" s="9">
        <v>2487</v>
      </c>
      <c r="C2488" s="49">
        <v>25608</v>
      </c>
      <c r="D2488" s="9">
        <f>YEAR(Tabla1[[#This Row],[Date]])</f>
        <v>1970</v>
      </c>
      <c r="E2488" s="9" t="str" cm="1">
        <f t="array" ref="E2488">IFERROR(_xlfn.IFS(AND(D2488&lt;1980,D2488&gt;=1970),"70",AND(D2488&lt;1990,D2488&gt;=1980),"80",AND(D2488&lt;2000,D2488&gt;=1990),"90",AND(D2488&lt;2010,D2488&gt;=2000),"00",AND(D2488&lt;=2019,D2488&gt;=2010),"10"),"1908-1970")</f>
        <v>70</v>
      </c>
      <c r="F2488" s="3" t="s">
        <v>28931</v>
      </c>
      <c r="G2488" t="s">
        <v>15956</v>
      </c>
      <c r="H2488" t="s">
        <v>6541</v>
      </c>
      <c r="I2488" t="s">
        <v>28931</v>
      </c>
      <c r="J2488" t="s">
        <v>28931</v>
      </c>
      <c r="K2488" t="s">
        <v>14520</v>
      </c>
      <c r="L2488" s="7" t="s">
        <v>15954</v>
      </c>
      <c r="M2488">
        <v>1350502</v>
      </c>
      <c r="N2488">
        <v>37</v>
      </c>
      <c r="O2488" t="s">
        <v>5038</v>
      </c>
      <c r="P2488" t="s">
        <v>5038</v>
      </c>
      <c r="Q2488">
        <v>37</v>
      </c>
      <c r="R2488" t="s">
        <v>5038</v>
      </c>
      <c r="S2488" t="s">
        <v>5038</v>
      </c>
      <c r="T2488">
        <v>0</v>
      </c>
      <c r="U2488" t="s">
        <v>15957</v>
      </c>
      <c r="V2488">
        <f>Tabla1[[#This Row],[Aboard]]-Tabla1[[#This Row],[Fatalities]]</f>
        <v>0</v>
      </c>
      <c r="W2488" s="50">
        <f>IFERROR(Tabla1[[#This Row],[Fatalities]]/Tabla1[[#This Row],[Aboard]],0)</f>
        <v>1</v>
      </c>
      <c r="X2488" s="51" t="str" cm="1">
        <f t="array" ref="X2488">_xlfn.IFS(Tabla1[[#This Row],[Porcentaje de muertes]]&lt;0.35,"LEVE",AND(Tabla1[[#This Row],[Porcentaje de muertes]]&gt;0.35,Tabla1[[#This Row],[Porcentaje de muertes]]&lt;0.65),"MEDIO",Tabla1[[#This Row],[Porcentaje de muertes]]&gt;0.65,"GRAVE")</f>
        <v>GRAVE</v>
      </c>
    </row>
    <row r="2489" spans="2:24" x14ac:dyDescent="0.3">
      <c r="B2489" s="9">
        <v>2488</v>
      </c>
      <c r="C2489" s="49">
        <v>25636</v>
      </c>
      <c r="D2489" s="9">
        <f>YEAR(Tabla1[[#This Row],[Date]])</f>
        <v>1970</v>
      </c>
      <c r="E2489" s="9" t="str" cm="1">
        <f t="array" ref="E2489">IFERROR(_xlfn.IFS(AND(D2489&lt;1980,D2489&gt;=1970),"70",AND(D2489&lt;1990,D2489&gt;=1980),"80",AND(D2489&lt;2000,D2489&gt;=1990),"90",AND(D2489&lt;2010,D2489&gt;=2000),"00",AND(D2489&lt;=2019,D2489&gt;=2010),"10"),"1908-1970")</f>
        <v>70</v>
      </c>
      <c r="F2489" s="3">
        <v>0.8930555555555556</v>
      </c>
      <c r="G2489" t="s">
        <v>15958</v>
      </c>
      <c r="H2489" t="s">
        <v>6541</v>
      </c>
      <c r="I2489" t="s">
        <v>15959</v>
      </c>
      <c r="J2489" t="s">
        <v>15960</v>
      </c>
      <c r="K2489" t="s">
        <v>15961</v>
      </c>
      <c r="L2489" s="7" t="s">
        <v>15962</v>
      </c>
      <c r="M2489">
        <v>9910503</v>
      </c>
      <c r="N2489">
        <v>21</v>
      </c>
      <c r="O2489">
        <v>18</v>
      </c>
      <c r="P2489">
        <v>3</v>
      </c>
      <c r="Q2489">
        <v>21</v>
      </c>
      <c r="R2489">
        <v>18</v>
      </c>
      <c r="S2489">
        <v>3</v>
      </c>
      <c r="T2489">
        <v>0</v>
      </c>
      <c r="U2489" t="s">
        <v>15963</v>
      </c>
      <c r="V2489">
        <f>Tabla1[[#This Row],[Aboard]]-Tabla1[[#This Row],[Fatalities]]</f>
        <v>0</v>
      </c>
      <c r="W2489" s="50">
        <f>IFERROR(Tabla1[[#This Row],[Fatalities]]/Tabla1[[#This Row],[Aboard]],0)</f>
        <v>1</v>
      </c>
      <c r="X2489" s="51" t="str" cm="1">
        <f t="array" ref="X2489">_xlfn.IFS(Tabla1[[#This Row],[Porcentaje de muertes]]&lt;0.35,"LEVE",AND(Tabla1[[#This Row],[Porcentaje de muertes]]&gt;0.35,Tabla1[[#This Row],[Porcentaje de muertes]]&lt;0.65),"MEDIO",Tabla1[[#This Row],[Porcentaje de muertes]]&gt;0.65,"GRAVE")</f>
        <v>GRAVE</v>
      </c>
    </row>
    <row r="2490" spans="2:24" x14ac:dyDescent="0.3">
      <c r="B2490" s="9">
        <v>2489</v>
      </c>
      <c r="C2490" s="49">
        <v>25789</v>
      </c>
      <c r="D2490" s="9">
        <f>YEAR(Tabla1[[#This Row],[Date]])</f>
        <v>1970</v>
      </c>
      <c r="E2490" s="9" t="str" cm="1">
        <f t="array" ref="E2490">IFERROR(_xlfn.IFS(AND(D2490&lt;1980,D2490&gt;=1970),"70",AND(D2490&lt;1990,D2490&gt;=1980),"80",AND(D2490&lt;2000,D2490&gt;=1990),"90",AND(D2490&lt;2010,D2490&gt;=2000),"00",AND(D2490&lt;=2019,D2490&gt;=2010),"10"),"1908-1970")</f>
        <v>70</v>
      </c>
      <c r="F2490" s="3">
        <v>0.67083333333333339</v>
      </c>
      <c r="G2490" t="s">
        <v>5425</v>
      </c>
      <c r="H2490" t="s">
        <v>15964</v>
      </c>
      <c r="I2490">
        <v>863</v>
      </c>
      <c r="J2490" t="s">
        <v>15965</v>
      </c>
      <c r="K2490" t="s">
        <v>15966</v>
      </c>
      <c r="L2490" s="7" t="s">
        <v>15967</v>
      </c>
      <c r="M2490" t="s">
        <v>15968</v>
      </c>
      <c r="N2490">
        <v>11</v>
      </c>
      <c r="O2490">
        <v>0</v>
      </c>
      <c r="P2490">
        <v>11</v>
      </c>
      <c r="Q2490">
        <v>11</v>
      </c>
      <c r="R2490">
        <v>0</v>
      </c>
      <c r="S2490">
        <v>11</v>
      </c>
      <c r="T2490">
        <v>0</v>
      </c>
      <c r="U2490" t="s">
        <v>15969</v>
      </c>
      <c r="V2490">
        <f>Tabla1[[#This Row],[Aboard]]-Tabla1[[#This Row],[Fatalities]]</f>
        <v>0</v>
      </c>
      <c r="W2490" s="50">
        <f>IFERROR(Tabla1[[#This Row],[Fatalities]]/Tabla1[[#This Row],[Aboard]],0)</f>
        <v>1</v>
      </c>
      <c r="X2490" s="51" t="str" cm="1">
        <f t="array" ref="X2490">_xlfn.IFS(Tabla1[[#This Row],[Porcentaje de muertes]]&lt;0.35,"LEVE",AND(Tabla1[[#This Row],[Porcentaje de muertes]]&gt;0.35,Tabla1[[#This Row],[Porcentaje de muertes]]&lt;0.65),"MEDIO",Tabla1[[#This Row],[Porcentaje de muertes]]&gt;0.65,"GRAVE")</f>
        <v>GRAVE</v>
      </c>
    </row>
    <row r="2491" spans="2:24" x14ac:dyDescent="0.3">
      <c r="B2491" s="9">
        <v>2490</v>
      </c>
      <c r="C2491" s="49">
        <v>25837</v>
      </c>
      <c r="D2491" s="9">
        <f>YEAR(Tabla1[[#This Row],[Date]])</f>
        <v>1970</v>
      </c>
      <c r="E2491" s="9" t="str" cm="1">
        <f t="array" ref="E2491">IFERROR(_xlfn.IFS(AND(D2491&lt;1980,D2491&gt;=1970),"70",AND(D2491&lt;1990,D2491&gt;=1980),"80",AND(D2491&lt;2000,D2491&gt;=1990),"90",AND(D2491&lt;2010,D2491&gt;=2000),"00",AND(D2491&lt;=2019,D2491&gt;=2010),"10"),"1908-1970")</f>
        <v>70</v>
      </c>
      <c r="F2491" s="3">
        <v>0.45555555555555555</v>
      </c>
      <c r="G2491" t="s">
        <v>15970</v>
      </c>
      <c r="H2491" t="s">
        <v>10312</v>
      </c>
      <c r="I2491" t="s">
        <v>28931</v>
      </c>
      <c r="J2491" t="s">
        <v>15971</v>
      </c>
      <c r="K2491" t="s">
        <v>15972</v>
      </c>
      <c r="L2491" s="7" t="s">
        <v>15973</v>
      </c>
      <c r="M2491">
        <v>10356</v>
      </c>
      <c r="N2491">
        <v>34</v>
      </c>
      <c r="O2491">
        <v>30</v>
      </c>
      <c r="P2491">
        <v>4</v>
      </c>
      <c r="Q2491">
        <v>8</v>
      </c>
      <c r="R2491">
        <v>7</v>
      </c>
      <c r="S2491">
        <v>1</v>
      </c>
      <c r="T2491">
        <v>0</v>
      </c>
      <c r="U2491" t="s">
        <v>15974</v>
      </c>
      <c r="V2491">
        <f>Tabla1[[#This Row],[Aboard]]-Tabla1[[#This Row],[Fatalities]]</f>
        <v>26</v>
      </c>
      <c r="W2491" s="50">
        <f>IFERROR(Tabla1[[#This Row],[Fatalities]]/Tabla1[[#This Row],[Aboard]],0)</f>
        <v>0.23529411764705882</v>
      </c>
      <c r="X2491" s="51" t="str" cm="1">
        <f t="array" ref="X2491">_xlfn.IFS(Tabla1[[#This Row],[Porcentaje de muertes]]&lt;0.35,"LEVE",AND(Tabla1[[#This Row],[Porcentaje de muertes]]&gt;0.35,Tabla1[[#This Row],[Porcentaje de muertes]]&lt;0.65),"MEDIO",Tabla1[[#This Row],[Porcentaje de muertes]]&gt;0.65,"GRAVE")</f>
        <v>LEVE</v>
      </c>
    </row>
    <row r="2492" spans="2:24" x14ac:dyDescent="0.3">
      <c r="B2492" s="9">
        <v>2491</v>
      </c>
      <c r="C2492" s="49">
        <v>25841</v>
      </c>
      <c r="D2492" s="9">
        <f>YEAR(Tabla1[[#This Row],[Date]])</f>
        <v>1970</v>
      </c>
      <c r="E2492" s="9" t="str" cm="1">
        <f t="array" ref="E2492">IFERROR(_xlfn.IFS(AND(D2492&lt;1980,D2492&gt;=1970),"70",AND(D2492&lt;1990,D2492&gt;=1980),"80",AND(D2492&lt;2000,D2492&gt;=1990),"90",AND(D2492&lt;2010,D2492&gt;=2000),"00",AND(D2492&lt;=2019,D2492&gt;=2010),"10"),"1908-1970")</f>
        <v>70</v>
      </c>
      <c r="F2492" s="3" t="s">
        <v>28931</v>
      </c>
      <c r="G2492" t="s">
        <v>15975</v>
      </c>
      <c r="H2492" t="s">
        <v>11339</v>
      </c>
      <c r="I2492" t="s">
        <v>28931</v>
      </c>
      <c r="J2492" t="s">
        <v>15976</v>
      </c>
      <c r="K2492" t="s">
        <v>15977</v>
      </c>
      <c r="L2492" s="7" t="s">
        <v>15978</v>
      </c>
      <c r="M2492">
        <v>3251</v>
      </c>
      <c r="N2492">
        <v>38</v>
      </c>
      <c r="O2492">
        <v>34</v>
      </c>
      <c r="P2492">
        <v>4</v>
      </c>
      <c r="Q2492">
        <v>4</v>
      </c>
      <c r="R2492">
        <v>1</v>
      </c>
      <c r="S2492">
        <v>3</v>
      </c>
      <c r="T2492">
        <v>0</v>
      </c>
      <c r="U2492" t="s">
        <v>15979</v>
      </c>
      <c r="V2492">
        <f>Tabla1[[#This Row],[Aboard]]-Tabla1[[#This Row],[Fatalities]]</f>
        <v>34</v>
      </c>
      <c r="W2492" s="50">
        <f>IFERROR(Tabla1[[#This Row],[Fatalities]]/Tabla1[[#This Row],[Aboard]],0)</f>
        <v>0.10526315789473684</v>
      </c>
      <c r="X2492" s="51" t="str" cm="1">
        <f t="array" ref="X2492">_xlfn.IFS(Tabla1[[#This Row],[Porcentaje de muertes]]&lt;0.35,"LEVE",AND(Tabla1[[#This Row],[Porcentaje de muertes]]&gt;0.35,Tabla1[[#This Row],[Porcentaje de muertes]]&lt;0.65),"MEDIO",Tabla1[[#This Row],[Porcentaje de muertes]]&gt;0.65,"GRAVE")</f>
        <v>LEVE</v>
      </c>
    </row>
    <row r="2493" spans="2:24" x14ac:dyDescent="0.3">
      <c r="B2493" s="9">
        <v>2492</v>
      </c>
      <c r="C2493" s="49">
        <v>25609</v>
      </c>
      <c r="D2493" s="9">
        <f>YEAR(Tabla1[[#This Row],[Date]])</f>
        <v>1970</v>
      </c>
      <c r="E2493" s="9" t="str" cm="1">
        <f t="array" ref="E2493">IFERROR(_xlfn.IFS(AND(D2493&lt;1980,D2493&gt;=1970),"70",AND(D2493&lt;1990,D2493&gt;=1980),"80",AND(D2493&lt;2000,D2493&gt;=1990),"90",AND(D2493&lt;2010,D2493&gt;=2000),"00",AND(D2493&lt;=2019,D2493&gt;=2010),"10"),"1908-1970")</f>
        <v>70</v>
      </c>
      <c r="F2493" s="3">
        <v>0.5</v>
      </c>
      <c r="G2493" t="s">
        <v>15980</v>
      </c>
      <c r="H2493" t="s">
        <v>15981</v>
      </c>
      <c r="I2493">
        <v>108</v>
      </c>
      <c r="J2493" t="s">
        <v>15982</v>
      </c>
      <c r="K2493" t="s">
        <v>11479</v>
      </c>
      <c r="L2493" s="7" t="s">
        <v>15983</v>
      </c>
      <c r="M2493">
        <v>14151</v>
      </c>
      <c r="N2493">
        <v>40</v>
      </c>
      <c r="O2493">
        <v>37</v>
      </c>
      <c r="P2493">
        <v>3</v>
      </c>
      <c r="Q2493">
        <v>32</v>
      </c>
      <c r="R2493">
        <v>30</v>
      </c>
      <c r="S2493">
        <v>2</v>
      </c>
      <c r="T2493">
        <v>0</v>
      </c>
      <c r="U2493" t="s">
        <v>15984</v>
      </c>
      <c r="V2493">
        <f>Tabla1[[#This Row],[Aboard]]-Tabla1[[#This Row],[Fatalities]]</f>
        <v>8</v>
      </c>
      <c r="W2493" s="50">
        <f>IFERROR(Tabla1[[#This Row],[Fatalities]]/Tabla1[[#This Row],[Aboard]],0)</f>
        <v>0.8</v>
      </c>
      <c r="X2493" s="51" t="str" cm="1">
        <f t="array" ref="X2493">_xlfn.IFS(Tabla1[[#This Row],[Porcentaje de muertes]]&lt;0.35,"LEVE",AND(Tabla1[[#This Row],[Porcentaje de muertes]]&gt;0.35,Tabla1[[#This Row],[Porcentaje de muertes]]&lt;0.65),"MEDIO",Tabla1[[#This Row],[Porcentaje de muertes]]&gt;0.65,"GRAVE")</f>
        <v>GRAVE</v>
      </c>
    </row>
    <row r="2494" spans="2:24" x14ac:dyDescent="0.3">
      <c r="B2494" s="9">
        <v>2493</v>
      </c>
      <c r="C2494" s="49">
        <v>25609</v>
      </c>
      <c r="D2494" s="9">
        <f>YEAR(Tabla1[[#This Row],[Date]])</f>
        <v>1970</v>
      </c>
      <c r="E2494" s="9" t="str" cm="1">
        <f t="array" ref="E2494">IFERROR(_xlfn.IFS(AND(D2494&lt;1980,D2494&gt;=1970),"70",AND(D2494&lt;1990,D2494&gt;=1980),"80",AND(D2494&lt;2000,D2494&gt;=1990),"90",AND(D2494&lt;2010,D2494&gt;=2000),"00",AND(D2494&lt;=2019,D2494&gt;=2010),"10"),"1908-1970")</f>
        <v>70</v>
      </c>
      <c r="F2494" s="3">
        <v>0.58819444444444446</v>
      </c>
      <c r="G2494" t="s">
        <v>15985</v>
      </c>
      <c r="H2494" t="s">
        <v>7987</v>
      </c>
      <c r="I2494" t="s">
        <v>28931</v>
      </c>
      <c r="J2494" t="s">
        <v>15986</v>
      </c>
      <c r="K2494" t="s">
        <v>15987</v>
      </c>
      <c r="L2494" s="7" t="s">
        <v>15988</v>
      </c>
      <c r="M2494">
        <v>4025</v>
      </c>
      <c r="N2494">
        <v>43</v>
      </c>
      <c r="O2494">
        <v>37</v>
      </c>
      <c r="P2494">
        <v>6</v>
      </c>
      <c r="Q2494">
        <v>43</v>
      </c>
      <c r="R2494">
        <v>37</v>
      </c>
      <c r="S2494">
        <v>6</v>
      </c>
      <c r="T2494">
        <v>0</v>
      </c>
      <c r="U2494" t="s">
        <v>15989</v>
      </c>
      <c r="V2494">
        <f>Tabla1[[#This Row],[Aboard]]-Tabla1[[#This Row],[Fatalities]]</f>
        <v>0</v>
      </c>
      <c r="W2494" s="50">
        <f>IFERROR(Tabla1[[#This Row],[Fatalities]]/Tabla1[[#This Row],[Aboard]],0)</f>
        <v>1</v>
      </c>
      <c r="X2494" s="51" t="str" cm="1">
        <f t="array" ref="X2494">_xlfn.IFS(Tabla1[[#This Row],[Porcentaje de muertes]]&lt;0.35,"LEVE",AND(Tabla1[[#This Row],[Porcentaje de muertes]]&gt;0.35,Tabla1[[#This Row],[Porcentaje de muertes]]&lt;0.65),"MEDIO",Tabla1[[#This Row],[Porcentaje de muertes]]&gt;0.65,"GRAVE")</f>
        <v>GRAVE</v>
      </c>
    </row>
    <row r="2495" spans="2:24" x14ac:dyDescent="0.3">
      <c r="B2495" s="9">
        <v>2494</v>
      </c>
      <c r="C2495" s="49">
        <v>25668</v>
      </c>
      <c r="D2495" s="9">
        <f>YEAR(Tabla1[[#This Row],[Date]])</f>
        <v>1970</v>
      </c>
      <c r="E2495" s="9" t="str" cm="1">
        <f t="array" ref="E2495">IFERROR(_xlfn.IFS(AND(D2495&lt;1980,D2495&gt;=1970),"70",AND(D2495&lt;1990,D2495&gt;=1980),"80",AND(D2495&lt;2000,D2495&gt;=1990),"90",AND(D2495&lt;2010,D2495&gt;=2000),"00",AND(D2495&lt;=2019,D2495&gt;=2010),"10"),"1908-1970")</f>
        <v>70</v>
      </c>
      <c r="F2495" s="3">
        <v>0.63194444444444442</v>
      </c>
      <c r="G2495" t="s">
        <v>15990</v>
      </c>
      <c r="H2495" t="s">
        <v>5032</v>
      </c>
      <c r="I2495" t="s">
        <v>28931</v>
      </c>
      <c r="J2495" t="s">
        <v>15991</v>
      </c>
      <c r="K2495" t="s">
        <v>15992</v>
      </c>
      <c r="L2495" s="7" t="s">
        <v>15993</v>
      </c>
      <c r="M2495" t="s">
        <v>28931</v>
      </c>
      <c r="N2495">
        <v>2</v>
      </c>
      <c r="O2495">
        <v>1</v>
      </c>
      <c r="P2495">
        <v>1</v>
      </c>
      <c r="Q2495">
        <v>2</v>
      </c>
      <c r="R2495">
        <v>1</v>
      </c>
      <c r="S2495">
        <v>1</v>
      </c>
      <c r="T2495">
        <v>0</v>
      </c>
      <c r="U2495" t="s">
        <v>15994</v>
      </c>
      <c r="V2495">
        <f>Tabla1[[#This Row],[Aboard]]-Tabla1[[#This Row],[Fatalities]]</f>
        <v>0</v>
      </c>
      <c r="W2495" s="50">
        <f>IFERROR(Tabla1[[#This Row],[Fatalities]]/Tabla1[[#This Row],[Aboard]],0)</f>
        <v>1</v>
      </c>
      <c r="X2495" s="51" t="str" cm="1">
        <f t="array" ref="X2495">_xlfn.IFS(Tabla1[[#This Row],[Porcentaje de muertes]]&lt;0.35,"LEVE",AND(Tabla1[[#This Row],[Porcentaje de muertes]]&gt;0.35,Tabla1[[#This Row],[Porcentaje de muertes]]&lt;0.65),"MEDIO",Tabla1[[#This Row],[Porcentaje de muertes]]&gt;0.65,"GRAVE")</f>
        <v>GRAVE</v>
      </c>
    </row>
    <row r="2496" spans="2:24" x14ac:dyDescent="0.3">
      <c r="B2496" s="9">
        <v>2495</v>
      </c>
      <c r="C2496" s="49">
        <v>25729</v>
      </c>
      <c r="D2496" s="9">
        <f>YEAR(Tabla1[[#This Row],[Date]])</f>
        <v>1970</v>
      </c>
      <c r="E2496" s="9" t="str" cm="1">
        <f t="array" ref="E2496">IFERROR(_xlfn.IFS(AND(D2496&lt;1980,D2496&gt;=1970),"70",AND(D2496&lt;1990,D2496&gt;=1980),"80",AND(D2496&lt;2000,D2496&gt;=1990),"90",AND(D2496&lt;2010,D2496&gt;=2000),"00",AND(D2496&lt;=2019,D2496&gt;=2010),"10"),"1908-1970")</f>
        <v>70</v>
      </c>
      <c r="F2496" s="3" t="s">
        <v>28931</v>
      </c>
      <c r="G2496" t="s">
        <v>15995</v>
      </c>
      <c r="H2496" t="s">
        <v>15996</v>
      </c>
      <c r="I2496" t="s">
        <v>28931</v>
      </c>
      <c r="J2496" t="s">
        <v>15997</v>
      </c>
      <c r="K2496" t="s">
        <v>7057</v>
      </c>
      <c r="L2496" s="7" t="s">
        <v>15998</v>
      </c>
      <c r="M2496" t="s">
        <v>15999</v>
      </c>
      <c r="N2496">
        <v>11</v>
      </c>
      <c r="O2496">
        <v>9</v>
      </c>
      <c r="P2496">
        <v>2</v>
      </c>
      <c r="Q2496">
        <v>3</v>
      </c>
      <c r="R2496">
        <v>2</v>
      </c>
      <c r="S2496">
        <v>1</v>
      </c>
      <c r="T2496">
        <v>0</v>
      </c>
      <c r="U2496" t="s">
        <v>16000</v>
      </c>
      <c r="V2496">
        <f>Tabla1[[#This Row],[Aboard]]-Tabla1[[#This Row],[Fatalities]]</f>
        <v>8</v>
      </c>
      <c r="W2496" s="50">
        <f>IFERROR(Tabla1[[#This Row],[Fatalities]]/Tabla1[[#This Row],[Aboard]],0)</f>
        <v>0.27272727272727271</v>
      </c>
      <c r="X2496" s="51" t="str" cm="1">
        <f t="array" ref="X2496">_xlfn.IFS(Tabla1[[#This Row],[Porcentaje de muertes]]&lt;0.35,"LEVE",AND(Tabla1[[#This Row],[Porcentaje de muertes]]&gt;0.35,Tabla1[[#This Row],[Porcentaje de muertes]]&lt;0.65),"MEDIO",Tabla1[[#This Row],[Porcentaje de muertes]]&gt;0.65,"GRAVE")</f>
        <v>LEVE</v>
      </c>
    </row>
    <row r="2497" spans="2:24" x14ac:dyDescent="0.3">
      <c r="B2497" s="9">
        <v>2496</v>
      </c>
      <c r="C2497" s="49">
        <v>25851</v>
      </c>
      <c r="D2497" s="9">
        <f>YEAR(Tabla1[[#This Row],[Date]])</f>
        <v>1970</v>
      </c>
      <c r="E2497" s="9" t="str" cm="1">
        <f t="array" ref="E2497">IFERROR(_xlfn.IFS(AND(D2497&lt;1980,D2497&gt;=1970),"70",AND(D2497&lt;1990,D2497&gt;=1980),"80",AND(D2497&lt;2000,D2497&gt;=1990),"90",AND(D2497&lt;2010,D2497&gt;=2000),"00",AND(D2497&lt;=2019,D2497&gt;=2010),"10"),"1908-1970")</f>
        <v>70</v>
      </c>
      <c r="F2497" s="3">
        <v>0.89583333333333337</v>
      </c>
      <c r="G2497" t="s">
        <v>16001</v>
      </c>
      <c r="H2497" t="s">
        <v>16002</v>
      </c>
      <c r="I2497" t="s">
        <v>28931</v>
      </c>
      <c r="J2497" t="s">
        <v>16003</v>
      </c>
      <c r="K2497" t="s">
        <v>16004</v>
      </c>
      <c r="L2497" s="7" t="s">
        <v>16005</v>
      </c>
      <c r="M2497">
        <v>4221</v>
      </c>
      <c r="N2497">
        <v>3</v>
      </c>
      <c r="O2497">
        <v>0</v>
      </c>
      <c r="P2497">
        <v>3</v>
      </c>
      <c r="Q2497">
        <v>3</v>
      </c>
      <c r="R2497">
        <v>0</v>
      </c>
      <c r="S2497">
        <v>3</v>
      </c>
      <c r="T2497">
        <v>0</v>
      </c>
      <c r="U2497" t="s">
        <v>16006</v>
      </c>
      <c r="V2497">
        <f>Tabla1[[#This Row],[Aboard]]-Tabla1[[#This Row],[Fatalities]]</f>
        <v>0</v>
      </c>
      <c r="W2497" s="50">
        <f>IFERROR(Tabla1[[#This Row],[Fatalities]]/Tabla1[[#This Row],[Aboard]],0)</f>
        <v>1</v>
      </c>
      <c r="X2497" s="51" t="str" cm="1">
        <f t="array" ref="X2497">_xlfn.IFS(Tabla1[[#This Row],[Porcentaje de muertes]]&lt;0.35,"LEVE",AND(Tabla1[[#This Row],[Porcentaje de muertes]]&gt;0.35,Tabla1[[#This Row],[Porcentaje de muertes]]&lt;0.65),"MEDIO",Tabla1[[#This Row],[Porcentaje de muertes]]&gt;0.65,"GRAVE")</f>
        <v>GRAVE</v>
      </c>
    </row>
    <row r="2498" spans="2:24" x14ac:dyDescent="0.3">
      <c r="B2498" s="9">
        <v>2497</v>
      </c>
      <c r="C2498" s="49">
        <v>25869</v>
      </c>
      <c r="D2498" s="9">
        <f>YEAR(Tabla1[[#This Row],[Date]])</f>
        <v>1970</v>
      </c>
      <c r="E2498" s="9" t="str" cm="1">
        <f t="array" ref="E2498">IFERROR(_xlfn.IFS(AND(D2498&lt;1980,D2498&gt;=1970),"70",AND(D2498&lt;1990,D2498&gt;=1980),"80",AND(D2498&lt;2000,D2498&gt;=1990),"90",AND(D2498&lt;2010,D2498&gt;=2000),"00",AND(D2498&lt;=2019,D2498&gt;=2010),"10"),"1908-1970")</f>
        <v>70</v>
      </c>
      <c r="F2498" s="3" t="s">
        <v>28931</v>
      </c>
      <c r="G2498" t="s">
        <v>16007</v>
      </c>
      <c r="H2498" t="s">
        <v>16008</v>
      </c>
      <c r="I2498" t="s">
        <v>28931</v>
      </c>
      <c r="J2498" t="s">
        <v>28931</v>
      </c>
      <c r="K2498" t="s">
        <v>8433</v>
      </c>
      <c r="L2498" s="7" t="s">
        <v>16009</v>
      </c>
      <c r="M2498">
        <v>33060</v>
      </c>
      <c r="N2498">
        <v>4</v>
      </c>
      <c r="O2498">
        <v>1</v>
      </c>
      <c r="P2498">
        <v>3</v>
      </c>
      <c r="Q2498">
        <v>2</v>
      </c>
      <c r="R2498">
        <v>0</v>
      </c>
      <c r="S2498">
        <v>2</v>
      </c>
      <c r="T2498">
        <v>0</v>
      </c>
      <c r="U2498" t="s">
        <v>16010</v>
      </c>
      <c r="V2498">
        <f>Tabla1[[#This Row],[Aboard]]-Tabla1[[#This Row],[Fatalities]]</f>
        <v>2</v>
      </c>
      <c r="W2498" s="50">
        <f>IFERROR(Tabla1[[#This Row],[Fatalities]]/Tabla1[[#This Row],[Aboard]],0)</f>
        <v>0.5</v>
      </c>
      <c r="X2498" s="51" t="str" cm="1">
        <f t="array" ref="X2498">_xlfn.IFS(Tabla1[[#This Row],[Porcentaje de muertes]]&lt;0.35,"LEVE",AND(Tabla1[[#This Row],[Porcentaje de muertes]]&gt;0.35,Tabla1[[#This Row],[Porcentaje de muertes]]&lt;0.65),"MEDIO",Tabla1[[#This Row],[Porcentaje de muertes]]&gt;0.65,"GRAVE")</f>
        <v>MEDIO</v>
      </c>
    </row>
    <row r="2499" spans="2:24" x14ac:dyDescent="0.3">
      <c r="B2499" s="9">
        <v>2498</v>
      </c>
      <c r="C2499" s="49">
        <v>25886</v>
      </c>
      <c r="D2499" s="9">
        <f>YEAR(Tabla1[[#This Row],[Date]])</f>
        <v>1970</v>
      </c>
      <c r="E2499" s="9" t="str" cm="1">
        <f t="array" ref="E2499">IFERROR(_xlfn.IFS(AND(D2499&lt;1980,D2499&gt;=1970),"70",AND(D2499&lt;1990,D2499&gt;=1980),"80",AND(D2499&lt;2000,D2499&gt;=1990),"90",AND(D2499&lt;2010,D2499&gt;=2000),"00",AND(D2499&lt;=2019,D2499&gt;=2010),"10"),"1908-1970")</f>
        <v>70</v>
      </c>
      <c r="F2499" s="3">
        <v>0.81666666666666676</v>
      </c>
      <c r="G2499" t="s">
        <v>16011</v>
      </c>
      <c r="H2499" t="s">
        <v>16012</v>
      </c>
      <c r="I2499">
        <v>932</v>
      </c>
      <c r="J2499" t="s">
        <v>16013</v>
      </c>
      <c r="K2499" t="s">
        <v>16014</v>
      </c>
      <c r="L2499" s="7" t="s">
        <v>16015</v>
      </c>
      <c r="M2499" t="s">
        <v>16016</v>
      </c>
      <c r="N2499">
        <v>75</v>
      </c>
      <c r="O2499">
        <v>71</v>
      </c>
      <c r="P2499">
        <v>4</v>
      </c>
      <c r="Q2499">
        <v>75</v>
      </c>
      <c r="R2499">
        <v>71</v>
      </c>
      <c r="S2499">
        <v>4</v>
      </c>
      <c r="T2499">
        <v>0</v>
      </c>
      <c r="U2499" t="s">
        <v>16017</v>
      </c>
      <c r="V2499">
        <f>Tabla1[[#This Row],[Aboard]]-Tabla1[[#This Row],[Fatalities]]</f>
        <v>0</v>
      </c>
      <c r="W2499" s="50">
        <f>IFERROR(Tabla1[[#This Row],[Fatalities]]/Tabla1[[#This Row],[Aboard]],0)</f>
        <v>1</v>
      </c>
      <c r="X2499" s="51" t="str" cm="1">
        <f t="array" ref="X2499">_xlfn.IFS(Tabla1[[#This Row],[Porcentaje de muertes]]&lt;0.35,"LEVE",AND(Tabla1[[#This Row],[Porcentaje de muertes]]&gt;0.35,Tabla1[[#This Row],[Porcentaje de muertes]]&lt;0.65),"MEDIO",Tabla1[[#This Row],[Porcentaje de muertes]]&gt;0.65,"GRAVE")</f>
        <v>GRAVE</v>
      </c>
    </row>
    <row r="2500" spans="2:24" x14ac:dyDescent="0.3">
      <c r="B2500" s="9">
        <v>2499</v>
      </c>
      <c r="C2500" s="49">
        <v>25899</v>
      </c>
      <c r="D2500" s="9">
        <f>YEAR(Tabla1[[#This Row],[Date]])</f>
        <v>1970</v>
      </c>
      <c r="E2500" s="9" t="str" cm="1">
        <f t="array" ref="E2500">IFERROR(_xlfn.IFS(AND(D2500&lt;1980,D2500&gt;=1970),"70",AND(D2500&lt;1990,D2500&gt;=1980),"80",AND(D2500&lt;2000,D2500&gt;=1990),"90",AND(D2500&lt;2010,D2500&gt;=2000),"00",AND(D2500&lt;=2019,D2500&gt;=2010),"10"),"1908-1970")</f>
        <v>70</v>
      </c>
      <c r="F2500" s="3">
        <v>0.5625</v>
      </c>
      <c r="G2500" t="s">
        <v>16018</v>
      </c>
      <c r="H2500" t="s">
        <v>7987</v>
      </c>
      <c r="I2500" t="s">
        <v>28931</v>
      </c>
      <c r="J2500" t="s">
        <v>16019</v>
      </c>
      <c r="K2500" t="s">
        <v>15159</v>
      </c>
      <c r="L2500" s="7" t="s">
        <v>16020</v>
      </c>
      <c r="M2500">
        <v>20236</v>
      </c>
      <c r="N2500">
        <v>79</v>
      </c>
      <c r="O2500">
        <v>73</v>
      </c>
      <c r="P2500">
        <v>6</v>
      </c>
      <c r="Q2500">
        <v>79</v>
      </c>
      <c r="R2500">
        <v>73</v>
      </c>
      <c r="S2500">
        <v>6</v>
      </c>
      <c r="T2500">
        <v>0</v>
      </c>
      <c r="U2500" t="s">
        <v>16021</v>
      </c>
      <c r="V2500">
        <f>Tabla1[[#This Row],[Aboard]]-Tabla1[[#This Row],[Fatalities]]</f>
        <v>0</v>
      </c>
      <c r="W2500" s="50">
        <f>IFERROR(Tabla1[[#This Row],[Fatalities]]/Tabla1[[#This Row],[Aboard]],0)</f>
        <v>1</v>
      </c>
      <c r="X2500" s="51" t="str" cm="1">
        <f t="array" ref="X2500">_xlfn.IFS(Tabla1[[#This Row],[Porcentaje de muertes]]&lt;0.35,"LEVE",AND(Tabla1[[#This Row],[Porcentaje de muertes]]&gt;0.35,Tabla1[[#This Row],[Porcentaje de muertes]]&lt;0.65),"MEDIO",Tabla1[[#This Row],[Porcentaje de muertes]]&gt;0.65,"GRAVE")</f>
        <v>GRAVE</v>
      </c>
    </row>
    <row r="2501" spans="2:24" x14ac:dyDescent="0.3">
      <c r="B2501" s="9">
        <v>2500</v>
      </c>
      <c r="C2501" s="49">
        <v>25899</v>
      </c>
      <c r="D2501" s="9">
        <f>YEAR(Tabla1[[#This Row],[Date]])</f>
        <v>1970</v>
      </c>
      <c r="E2501" s="9" t="str" cm="1">
        <f t="array" ref="E2501">IFERROR(_xlfn.IFS(AND(D2501&lt;1980,D2501&gt;=1970),"70",AND(D2501&lt;1990,D2501&gt;=1980),"80",AND(D2501&lt;2000,D2501&gt;=1990),"90",AND(D2501&lt;2010,D2501&gt;=2000),"00",AND(D2501&lt;=2019,D2501&gt;=2010),"10"),"1908-1970")</f>
        <v>70</v>
      </c>
      <c r="F2501" s="3">
        <v>0.71180555555555547</v>
      </c>
      <c r="G2501" t="s">
        <v>16022</v>
      </c>
      <c r="H2501" t="s">
        <v>16023</v>
      </c>
      <c r="I2501">
        <v>26</v>
      </c>
      <c r="J2501" t="s">
        <v>16024</v>
      </c>
      <c r="K2501" t="s">
        <v>15966</v>
      </c>
      <c r="L2501" s="7" t="s">
        <v>16025</v>
      </c>
      <c r="M2501" t="s">
        <v>16026</v>
      </c>
      <c r="N2501">
        <v>229</v>
      </c>
      <c r="O2501">
        <v>219</v>
      </c>
      <c r="P2501">
        <v>10</v>
      </c>
      <c r="Q2501">
        <v>47</v>
      </c>
      <c r="R2501">
        <v>46</v>
      </c>
      <c r="S2501">
        <v>1</v>
      </c>
      <c r="T2501">
        <v>0</v>
      </c>
      <c r="U2501" t="s">
        <v>16027</v>
      </c>
      <c r="V2501">
        <f>Tabla1[[#This Row],[Aboard]]-Tabla1[[#This Row],[Fatalities]]</f>
        <v>182</v>
      </c>
      <c r="W2501" s="50">
        <f>IFERROR(Tabla1[[#This Row],[Fatalities]]/Tabla1[[#This Row],[Aboard]],0)</f>
        <v>0.20524017467248909</v>
      </c>
      <c r="X2501" s="51" t="str" cm="1">
        <f t="array" ref="X2501">_xlfn.IFS(Tabla1[[#This Row],[Porcentaje de muertes]]&lt;0.35,"LEVE",AND(Tabla1[[#This Row],[Porcentaje de muertes]]&gt;0.35,Tabla1[[#This Row],[Porcentaje de muertes]]&lt;0.65),"MEDIO",Tabla1[[#This Row],[Porcentaje de muertes]]&gt;0.65,"GRAVE")</f>
        <v>LEVE</v>
      </c>
    </row>
    <row r="2502" spans="2:24" x14ac:dyDescent="0.3">
      <c r="B2502" s="9">
        <v>2501</v>
      </c>
      <c r="C2502" s="49">
        <v>25901</v>
      </c>
      <c r="D2502" s="9">
        <f>YEAR(Tabla1[[#This Row],[Date]])</f>
        <v>1970</v>
      </c>
      <c r="E2502" s="9" t="str" cm="1">
        <f t="array" ref="E2502">IFERROR(_xlfn.IFS(AND(D2502&lt;1980,D2502&gt;=1970),"70",AND(D2502&lt;1990,D2502&gt;=1980),"80",AND(D2502&lt;2000,D2502&gt;=1990),"90",AND(D2502&lt;2010,D2502&gt;=2000),"00",AND(D2502&lt;=2019,D2502&gt;=2010),"10"),"1908-1970")</f>
        <v>70</v>
      </c>
      <c r="F2502" s="3">
        <v>0.60416666666666663</v>
      </c>
      <c r="G2502" t="s">
        <v>16028</v>
      </c>
      <c r="H2502" t="s">
        <v>7987</v>
      </c>
      <c r="I2502" t="s">
        <v>28931</v>
      </c>
      <c r="J2502" t="s">
        <v>16029</v>
      </c>
      <c r="K2502" t="s">
        <v>15159</v>
      </c>
      <c r="L2502" s="7" t="s">
        <v>16030</v>
      </c>
      <c r="M2502" t="s">
        <v>28931</v>
      </c>
      <c r="N2502">
        <v>44</v>
      </c>
      <c r="O2502">
        <v>39</v>
      </c>
      <c r="P2502">
        <v>5</v>
      </c>
      <c r="Q2502">
        <v>42</v>
      </c>
      <c r="R2502">
        <v>37</v>
      </c>
      <c r="S2502">
        <v>5</v>
      </c>
      <c r="T2502">
        <v>0</v>
      </c>
      <c r="U2502" t="s">
        <v>16031</v>
      </c>
      <c r="V2502">
        <f>Tabla1[[#This Row],[Aboard]]-Tabla1[[#This Row],[Fatalities]]</f>
        <v>2</v>
      </c>
      <c r="W2502" s="50">
        <f>IFERROR(Tabla1[[#This Row],[Fatalities]]/Tabla1[[#This Row],[Aboard]],0)</f>
        <v>0.95454545454545459</v>
      </c>
      <c r="X2502" s="51" t="str" cm="1">
        <f t="array" ref="X2502">_xlfn.IFS(Tabla1[[#This Row],[Porcentaje de muertes]]&lt;0.35,"LEVE",AND(Tabla1[[#This Row],[Porcentaje de muertes]]&gt;0.35,Tabla1[[#This Row],[Porcentaje de muertes]]&lt;0.65),"MEDIO",Tabla1[[#This Row],[Porcentaje de muertes]]&gt;0.65,"GRAVE")</f>
        <v>GRAVE</v>
      </c>
    </row>
    <row r="2503" spans="2:24" x14ac:dyDescent="0.3">
      <c r="B2503" s="9">
        <v>2502</v>
      </c>
      <c r="C2503" s="49">
        <v>25611</v>
      </c>
      <c r="D2503" s="9">
        <f>YEAR(Tabla1[[#This Row],[Date]])</f>
        <v>1970</v>
      </c>
      <c r="E2503" s="9" t="str" cm="1">
        <f t="array" ref="E2503">IFERROR(_xlfn.IFS(AND(D2503&lt;1980,D2503&gt;=1970),"70",AND(D2503&lt;1990,D2503&gt;=1980),"80",AND(D2503&lt;2000,D2503&gt;=1990),"90",AND(D2503&lt;2010,D2503&gt;=2000),"00",AND(D2503&lt;=2019,D2503&gt;=2010),"10"),"1908-1970")</f>
        <v>70</v>
      </c>
      <c r="F2503" s="3">
        <v>0.66666666666666663</v>
      </c>
      <c r="G2503" t="s">
        <v>16032</v>
      </c>
      <c r="H2503" t="s">
        <v>16033</v>
      </c>
      <c r="I2503" t="s">
        <v>28931</v>
      </c>
      <c r="J2503" t="s">
        <v>28931</v>
      </c>
      <c r="K2503" t="s">
        <v>16034</v>
      </c>
      <c r="L2503" s="7" t="s">
        <v>16035</v>
      </c>
      <c r="M2503">
        <v>36</v>
      </c>
      <c r="N2503">
        <v>8</v>
      </c>
      <c r="O2503">
        <v>4</v>
      </c>
      <c r="P2503">
        <v>4</v>
      </c>
      <c r="Q2503">
        <v>8</v>
      </c>
      <c r="R2503">
        <v>4</v>
      </c>
      <c r="S2503">
        <v>4</v>
      </c>
      <c r="T2503">
        <v>0</v>
      </c>
      <c r="U2503" t="s">
        <v>16036</v>
      </c>
      <c r="V2503">
        <f>Tabla1[[#This Row],[Aboard]]-Tabla1[[#This Row],[Fatalities]]</f>
        <v>0</v>
      </c>
      <c r="W2503" s="50">
        <f>IFERROR(Tabla1[[#This Row],[Fatalities]]/Tabla1[[#This Row],[Aboard]],0)</f>
        <v>1</v>
      </c>
      <c r="X2503" s="51" t="str" cm="1">
        <f t="array" ref="X2503">_xlfn.IFS(Tabla1[[#This Row],[Porcentaje de muertes]]&lt;0.35,"LEVE",AND(Tabla1[[#This Row],[Porcentaje de muertes]]&gt;0.35,Tabla1[[#This Row],[Porcentaje de muertes]]&lt;0.65),"MEDIO",Tabla1[[#This Row],[Porcentaje de muertes]]&gt;0.65,"GRAVE")</f>
        <v>GRAVE</v>
      </c>
    </row>
    <row r="2504" spans="2:24" x14ac:dyDescent="0.3">
      <c r="B2504" s="9">
        <v>2503</v>
      </c>
      <c r="C2504" s="49">
        <v>25700</v>
      </c>
      <c r="D2504" s="9">
        <f>YEAR(Tabla1[[#This Row],[Date]])</f>
        <v>1970</v>
      </c>
      <c r="E2504" s="9" t="str" cm="1">
        <f t="array" ref="E2504">IFERROR(_xlfn.IFS(AND(D2504&lt;1980,D2504&gt;=1970),"70",AND(D2504&lt;1990,D2504&gt;=1980),"80",AND(D2504&lt;2000,D2504&gt;=1990),"90",AND(D2504&lt;2010,D2504&gt;=2000),"00",AND(D2504&lt;=2019,D2504&gt;=2010),"10"),"1908-1970")</f>
        <v>70</v>
      </c>
      <c r="F2504" s="3">
        <v>0.27986111111111112</v>
      </c>
      <c r="G2504" t="s">
        <v>14619</v>
      </c>
      <c r="H2504" t="s">
        <v>16037</v>
      </c>
      <c r="I2504" t="s">
        <v>28931</v>
      </c>
      <c r="J2504" t="s">
        <v>16038</v>
      </c>
      <c r="K2504" t="s">
        <v>7057</v>
      </c>
      <c r="L2504" s="7" t="s">
        <v>16039</v>
      </c>
      <c r="M2504">
        <v>12103</v>
      </c>
      <c r="N2504">
        <v>16</v>
      </c>
      <c r="O2504">
        <v>12</v>
      </c>
      <c r="P2504">
        <v>4</v>
      </c>
      <c r="Q2504">
        <v>5</v>
      </c>
      <c r="R2504">
        <v>2</v>
      </c>
      <c r="S2504">
        <v>3</v>
      </c>
      <c r="T2504">
        <v>0</v>
      </c>
      <c r="U2504" t="s">
        <v>16040</v>
      </c>
      <c r="V2504">
        <f>Tabla1[[#This Row],[Aboard]]-Tabla1[[#This Row],[Fatalities]]</f>
        <v>11</v>
      </c>
      <c r="W2504" s="50">
        <f>IFERROR(Tabla1[[#This Row],[Fatalities]]/Tabla1[[#This Row],[Aboard]],0)</f>
        <v>0.3125</v>
      </c>
      <c r="X2504" s="51" t="str" cm="1">
        <f t="array" ref="X2504">_xlfn.IFS(Tabla1[[#This Row],[Porcentaje de muertes]]&lt;0.35,"LEVE",AND(Tabla1[[#This Row],[Porcentaje de muertes]]&gt;0.35,Tabla1[[#This Row],[Porcentaje de muertes]]&lt;0.65),"MEDIO",Tabla1[[#This Row],[Porcentaje de muertes]]&gt;0.65,"GRAVE")</f>
        <v>LEVE</v>
      </c>
    </row>
    <row r="2505" spans="2:24" x14ac:dyDescent="0.3">
      <c r="B2505" s="9">
        <v>2504</v>
      </c>
      <c r="C2505" s="49">
        <v>25761</v>
      </c>
      <c r="D2505" s="9">
        <f>YEAR(Tabla1[[#This Row],[Date]])</f>
        <v>1970</v>
      </c>
      <c r="E2505" s="9" t="str" cm="1">
        <f t="array" ref="E2505">IFERROR(_xlfn.IFS(AND(D2505&lt;1980,D2505&gt;=1970),"70",AND(D2505&lt;1990,D2505&gt;=1980),"80",AND(D2505&lt;2000,D2505&gt;=1990),"90",AND(D2505&lt;2010,D2505&gt;=2000),"00",AND(D2505&lt;=2019,D2505&gt;=2010),"10"),"1908-1970")</f>
        <v>70</v>
      </c>
      <c r="F2505" s="3" t="s">
        <v>28931</v>
      </c>
      <c r="G2505" t="s">
        <v>16041</v>
      </c>
      <c r="H2505" t="s">
        <v>13884</v>
      </c>
      <c r="I2505" t="s">
        <v>28931</v>
      </c>
      <c r="J2505" t="s">
        <v>16042</v>
      </c>
      <c r="K2505" t="s">
        <v>28946</v>
      </c>
      <c r="L2505" s="7" t="s">
        <v>16043</v>
      </c>
      <c r="M2505">
        <v>130</v>
      </c>
      <c r="N2505">
        <v>27</v>
      </c>
      <c r="O2505">
        <v>20</v>
      </c>
      <c r="P2505">
        <v>7</v>
      </c>
      <c r="Q2505">
        <v>19</v>
      </c>
      <c r="R2505">
        <v>16</v>
      </c>
      <c r="S2505">
        <v>3</v>
      </c>
      <c r="T2505">
        <v>0</v>
      </c>
      <c r="U2505" t="s">
        <v>16044</v>
      </c>
      <c r="V2505">
        <f>Tabla1[[#This Row],[Aboard]]-Tabla1[[#This Row],[Fatalities]]</f>
        <v>8</v>
      </c>
      <c r="W2505" s="50">
        <f>IFERROR(Tabla1[[#This Row],[Fatalities]]/Tabla1[[#This Row],[Aboard]],0)</f>
        <v>0.70370370370370372</v>
      </c>
      <c r="X2505" s="51" t="str" cm="1">
        <f t="array" ref="X2505">_xlfn.IFS(Tabla1[[#This Row],[Porcentaje de muertes]]&lt;0.35,"LEVE",AND(Tabla1[[#This Row],[Porcentaje de muertes]]&gt;0.35,Tabla1[[#This Row],[Porcentaje de muertes]]&lt;0.65),"MEDIO",Tabla1[[#This Row],[Porcentaje de muertes]]&gt;0.65,"GRAVE")</f>
        <v>GRAVE</v>
      </c>
    </row>
    <row r="2506" spans="2:24" x14ac:dyDescent="0.3">
      <c r="B2506" s="9">
        <v>2505</v>
      </c>
      <c r="C2506" s="49">
        <v>25930</v>
      </c>
      <c r="D2506" s="9">
        <f>YEAR(Tabla1[[#This Row],[Date]])</f>
        <v>1970</v>
      </c>
      <c r="E2506" s="9" t="str" cm="1">
        <f t="array" ref="E2506">IFERROR(_xlfn.IFS(AND(D2506&lt;1980,D2506&gt;=1970),"70",AND(D2506&lt;1990,D2506&gt;=1980),"80",AND(D2506&lt;2000,D2506&gt;=1990),"90",AND(D2506&lt;2010,D2506&gt;=2000),"00",AND(D2506&lt;=2019,D2506&gt;=2010),"10"),"1908-1970")</f>
        <v>70</v>
      </c>
      <c r="F2506" s="3">
        <v>0.61249999999999993</v>
      </c>
      <c r="G2506" t="s">
        <v>14417</v>
      </c>
      <c r="H2506" t="s">
        <v>16045</v>
      </c>
      <c r="I2506">
        <v>505</v>
      </c>
      <c r="J2506" t="s">
        <v>16046</v>
      </c>
      <c r="K2506" t="s">
        <v>16047</v>
      </c>
      <c r="L2506" s="7" t="s">
        <v>16048</v>
      </c>
      <c r="M2506">
        <v>20240</v>
      </c>
      <c r="N2506">
        <v>55</v>
      </c>
      <c r="O2506">
        <v>48</v>
      </c>
      <c r="P2506">
        <v>7</v>
      </c>
      <c r="Q2506">
        <v>2</v>
      </c>
      <c r="R2506">
        <v>2</v>
      </c>
      <c r="S2506">
        <v>0</v>
      </c>
      <c r="T2506">
        <v>0</v>
      </c>
      <c r="U2506" t="s">
        <v>16049</v>
      </c>
      <c r="V2506">
        <f>Tabla1[[#This Row],[Aboard]]-Tabla1[[#This Row],[Fatalities]]</f>
        <v>53</v>
      </c>
      <c r="W2506" s="50">
        <f>IFERROR(Tabla1[[#This Row],[Fatalities]]/Tabla1[[#This Row],[Aboard]],0)</f>
        <v>3.6363636363636362E-2</v>
      </c>
      <c r="X2506" s="51" t="str" cm="1">
        <f t="array" ref="X2506">_xlfn.IFS(Tabla1[[#This Row],[Porcentaje de muertes]]&lt;0.35,"LEVE",AND(Tabla1[[#This Row],[Porcentaje de muertes]]&gt;0.35,Tabla1[[#This Row],[Porcentaje de muertes]]&lt;0.65),"MEDIO",Tabla1[[#This Row],[Porcentaje de muertes]]&gt;0.65,"GRAVE")</f>
        <v>LEVE</v>
      </c>
    </row>
    <row r="2507" spans="2:24" x14ac:dyDescent="0.3">
      <c r="B2507" s="9">
        <v>2506</v>
      </c>
      <c r="C2507" s="49">
        <v>25933</v>
      </c>
      <c r="D2507" s="9">
        <f>YEAR(Tabla1[[#This Row],[Date]])</f>
        <v>1970</v>
      </c>
      <c r="E2507" s="9" t="str" cm="1">
        <f t="array" ref="E2507">IFERROR(_xlfn.IFS(AND(D2507&lt;1980,D2507&gt;=1970),"70",AND(D2507&lt;1990,D2507&gt;=1980),"80",AND(D2507&lt;2000,D2507&gt;=1990),"90",AND(D2507&lt;2010,D2507&gt;=2000),"00",AND(D2507&lt;=2019,D2507&gt;=2010),"10"),"1908-1970")</f>
        <v>70</v>
      </c>
      <c r="F2507" s="3">
        <v>0.96458333333333324</v>
      </c>
      <c r="G2507" t="s">
        <v>16050</v>
      </c>
      <c r="H2507" t="s">
        <v>11736</v>
      </c>
      <c r="I2507" t="s">
        <v>28931</v>
      </c>
      <c r="J2507" t="s">
        <v>16051</v>
      </c>
      <c r="K2507" t="s">
        <v>14481</v>
      </c>
      <c r="L2507" s="7" t="s">
        <v>16052</v>
      </c>
      <c r="M2507">
        <v>10330</v>
      </c>
      <c r="N2507">
        <v>35</v>
      </c>
      <c r="O2507">
        <v>31</v>
      </c>
      <c r="P2507">
        <v>4</v>
      </c>
      <c r="Q2507">
        <v>7</v>
      </c>
      <c r="R2507">
        <v>7</v>
      </c>
      <c r="S2507">
        <v>0</v>
      </c>
      <c r="T2507">
        <v>0</v>
      </c>
      <c r="U2507" t="s">
        <v>16053</v>
      </c>
      <c r="V2507">
        <f>Tabla1[[#This Row],[Aboard]]-Tabla1[[#This Row],[Fatalities]]</f>
        <v>28</v>
      </c>
      <c r="W2507" s="50">
        <f>IFERROR(Tabla1[[#This Row],[Fatalities]]/Tabla1[[#This Row],[Aboard]],0)</f>
        <v>0.2</v>
      </c>
      <c r="X2507" s="51" t="str" cm="1">
        <f t="array" ref="X2507">_xlfn.IFS(Tabla1[[#This Row],[Porcentaje de muertes]]&lt;0.35,"LEVE",AND(Tabla1[[#This Row],[Porcentaje de muertes]]&gt;0.35,Tabla1[[#This Row],[Porcentaje de muertes]]&lt;0.65),"MEDIO",Tabla1[[#This Row],[Porcentaje de muertes]]&gt;0.65,"GRAVE")</f>
        <v>LEVE</v>
      </c>
    </row>
    <row r="2508" spans="2:24" x14ac:dyDescent="0.3">
      <c r="B2508" s="9">
        <v>2507</v>
      </c>
      <c r="C2508" s="49">
        <v>25933</v>
      </c>
      <c r="D2508" s="9">
        <f>YEAR(Tabla1[[#This Row],[Date]])</f>
        <v>1970</v>
      </c>
      <c r="E2508" s="9" t="str" cm="1">
        <f t="array" ref="E2508">IFERROR(_xlfn.IFS(AND(D2508&lt;1980,D2508&gt;=1970),"70",AND(D2508&lt;1990,D2508&gt;=1980),"80",AND(D2508&lt;2000,D2508&gt;=1990),"90",AND(D2508&lt;2010,D2508&gt;=2000),"00",AND(D2508&lt;=2019,D2508&gt;=2010),"10"),"1908-1970")</f>
        <v>70</v>
      </c>
      <c r="F2508" s="3" t="s">
        <v>28931</v>
      </c>
      <c r="G2508" t="s">
        <v>16054</v>
      </c>
      <c r="H2508" t="s">
        <v>16055</v>
      </c>
      <c r="I2508" t="s">
        <v>28931</v>
      </c>
      <c r="J2508" t="s">
        <v>16056</v>
      </c>
      <c r="K2508" t="s">
        <v>16057</v>
      </c>
      <c r="L2508" s="7" t="s">
        <v>16058</v>
      </c>
      <c r="M2508">
        <v>2</v>
      </c>
      <c r="N2508">
        <v>31</v>
      </c>
      <c r="O2508">
        <v>28</v>
      </c>
      <c r="P2508">
        <v>3</v>
      </c>
      <c r="Q2508">
        <v>31</v>
      </c>
      <c r="R2508">
        <v>28</v>
      </c>
      <c r="S2508">
        <v>3</v>
      </c>
      <c r="T2508">
        <v>0</v>
      </c>
      <c r="U2508" t="s">
        <v>16059</v>
      </c>
      <c r="V2508">
        <f>Tabla1[[#This Row],[Aboard]]-Tabla1[[#This Row],[Fatalities]]</f>
        <v>0</v>
      </c>
      <c r="W2508" s="50">
        <f>IFERROR(Tabla1[[#This Row],[Fatalities]]/Tabla1[[#This Row],[Aboard]],0)</f>
        <v>1</v>
      </c>
      <c r="X2508" s="51" t="str" cm="1">
        <f t="array" ref="X2508">_xlfn.IFS(Tabla1[[#This Row],[Porcentaje de muertes]]&lt;0.35,"LEVE",AND(Tabla1[[#This Row],[Porcentaje de muertes]]&gt;0.35,Tabla1[[#This Row],[Porcentaje de muertes]]&lt;0.65),"MEDIO",Tabla1[[#This Row],[Porcentaje de muertes]]&gt;0.65,"GRAVE")</f>
        <v>GRAVE</v>
      </c>
    </row>
    <row r="2509" spans="2:24" x14ac:dyDescent="0.3">
      <c r="B2509" s="9">
        <v>2508</v>
      </c>
      <c r="C2509" s="49">
        <v>25933</v>
      </c>
      <c r="D2509" s="9">
        <f>YEAR(Tabla1[[#This Row],[Date]])</f>
        <v>1970</v>
      </c>
      <c r="E2509" s="9" t="str" cm="1">
        <f t="array" ref="E2509">IFERROR(_xlfn.IFS(AND(D2509&lt;1980,D2509&gt;=1970),"70",AND(D2509&lt;1990,D2509&gt;=1980),"80",AND(D2509&lt;2000,D2509&gt;=1990),"90",AND(D2509&lt;2010,D2509&gt;=2000),"00",AND(D2509&lt;=2019,D2509&gt;=2010),"10"),"1908-1970")</f>
        <v>70</v>
      </c>
      <c r="F2509" s="3">
        <v>0.69236111111111109</v>
      </c>
      <c r="G2509" t="s">
        <v>16060</v>
      </c>
      <c r="H2509" t="s">
        <v>6541</v>
      </c>
      <c r="I2509">
        <v>3012</v>
      </c>
      <c r="J2509" t="s">
        <v>16061</v>
      </c>
      <c r="K2509" t="s">
        <v>13035</v>
      </c>
      <c r="L2509" s="7" t="s">
        <v>16062</v>
      </c>
      <c r="M2509">
        <v>181003603</v>
      </c>
      <c r="N2509">
        <v>93</v>
      </c>
      <c r="O2509">
        <v>90</v>
      </c>
      <c r="P2509">
        <v>3</v>
      </c>
      <c r="Q2509">
        <v>93</v>
      </c>
      <c r="R2509">
        <v>90</v>
      </c>
      <c r="S2509">
        <v>3</v>
      </c>
      <c r="T2509">
        <v>0</v>
      </c>
      <c r="U2509" t="s">
        <v>16063</v>
      </c>
      <c r="V2509">
        <f>Tabla1[[#This Row],[Aboard]]-Tabla1[[#This Row],[Fatalities]]</f>
        <v>0</v>
      </c>
      <c r="W2509" s="50">
        <f>IFERROR(Tabla1[[#This Row],[Fatalities]]/Tabla1[[#This Row],[Aboard]],0)</f>
        <v>1</v>
      </c>
      <c r="X2509" s="51" t="str" cm="1">
        <f t="array" ref="X2509">_xlfn.IFS(Tabla1[[#This Row],[Porcentaje de muertes]]&lt;0.35,"LEVE",AND(Tabla1[[#This Row],[Porcentaje de muertes]]&gt;0.35,Tabla1[[#This Row],[Porcentaje de muertes]]&lt;0.65),"MEDIO",Tabla1[[#This Row],[Porcentaje de muertes]]&gt;0.65,"GRAVE")</f>
        <v>GRAVE</v>
      </c>
    </row>
    <row r="2510" spans="2:24" x14ac:dyDescent="0.3">
      <c r="B2510" s="9">
        <v>2509</v>
      </c>
      <c r="C2510" s="49">
        <v>25965</v>
      </c>
      <c r="D2510" s="9">
        <f>YEAR(Tabla1[[#This Row],[Date]])</f>
        <v>1971</v>
      </c>
      <c r="E2510" s="9" t="str" cm="1">
        <f t="array" ref="E2510">IFERROR(_xlfn.IFS(AND(D2510&lt;1980,D2510&gt;=1970),"70",AND(D2510&lt;1990,D2510&gt;=1980),"80",AND(D2510&lt;2000,D2510&gt;=1990),"90",AND(D2510&lt;2010,D2510&gt;=2000),"00",AND(D2510&lt;=2019,D2510&gt;=2010),"10"),"1908-1970")</f>
        <v>70</v>
      </c>
      <c r="F2510" s="3">
        <v>0.1423611111111111</v>
      </c>
      <c r="G2510" t="s">
        <v>16064</v>
      </c>
      <c r="H2510" t="s">
        <v>13087</v>
      </c>
      <c r="I2510">
        <v>844</v>
      </c>
      <c r="J2510" t="s">
        <v>16065</v>
      </c>
      <c r="K2510" t="s">
        <v>13602</v>
      </c>
      <c r="L2510" s="7" t="s">
        <v>16066</v>
      </c>
      <c r="M2510">
        <v>6439</v>
      </c>
      <c r="N2510">
        <v>16</v>
      </c>
      <c r="O2510">
        <v>8</v>
      </c>
      <c r="P2510">
        <v>8</v>
      </c>
      <c r="Q2510">
        <v>16</v>
      </c>
      <c r="R2510">
        <v>8</v>
      </c>
      <c r="S2510">
        <v>8</v>
      </c>
      <c r="T2510">
        <v>0</v>
      </c>
      <c r="U2510" t="s">
        <v>16067</v>
      </c>
      <c r="V2510">
        <f>Tabla1[[#This Row],[Aboard]]-Tabla1[[#This Row],[Fatalities]]</f>
        <v>0</v>
      </c>
      <c r="W2510" s="50">
        <f>IFERROR(Tabla1[[#This Row],[Fatalities]]/Tabla1[[#This Row],[Aboard]],0)</f>
        <v>1</v>
      </c>
      <c r="X2510" s="51" t="str" cm="1">
        <f t="array" ref="X2510">_xlfn.IFS(Tabla1[[#This Row],[Porcentaje de muertes]]&lt;0.35,"LEVE",AND(Tabla1[[#This Row],[Porcentaje de muertes]]&gt;0.35,Tabla1[[#This Row],[Porcentaje de muertes]]&lt;0.65),"MEDIO",Tabla1[[#This Row],[Porcentaje de muertes]]&gt;0.65,"GRAVE")</f>
        <v>GRAVE</v>
      </c>
    </row>
    <row r="2511" spans="2:24" x14ac:dyDescent="0.3">
      <c r="B2511" s="9">
        <v>2510</v>
      </c>
      <c r="C2511" s="49">
        <v>26177</v>
      </c>
      <c r="D2511" s="9">
        <f>YEAR(Tabla1[[#This Row],[Date]])</f>
        <v>1971</v>
      </c>
      <c r="E2511" s="9" t="str" cm="1">
        <f t="array" ref="E2511">IFERROR(_xlfn.IFS(AND(D2511&lt;1980,D2511&gt;=1970),"70",AND(D2511&lt;1990,D2511&gt;=1980),"80",AND(D2511&lt;2000,D2511&gt;=1990),"90",AND(D2511&lt;2010,D2511&gt;=2000),"00",AND(D2511&lt;=2019,D2511&gt;=2010),"10"),"1908-1970")</f>
        <v>70</v>
      </c>
      <c r="F2511" s="3">
        <v>0.68055555555555547</v>
      </c>
      <c r="G2511" t="s">
        <v>16068</v>
      </c>
      <c r="H2511" t="s">
        <v>16069</v>
      </c>
      <c r="I2511">
        <v>30</v>
      </c>
      <c r="J2511" t="s">
        <v>16070</v>
      </c>
      <c r="K2511" t="s">
        <v>16071</v>
      </c>
      <c r="L2511" s="7" t="s">
        <v>16072</v>
      </c>
      <c r="M2511" t="s">
        <v>16073</v>
      </c>
      <c r="N2511">
        <v>21</v>
      </c>
      <c r="O2511">
        <v>14</v>
      </c>
      <c r="P2511">
        <v>7</v>
      </c>
      <c r="Q2511">
        <v>2</v>
      </c>
      <c r="R2511">
        <v>0</v>
      </c>
      <c r="S2511">
        <v>2</v>
      </c>
      <c r="T2511">
        <v>0</v>
      </c>
      <c r="U2511" t="s">
        <v>16074</v>
      </c>
      <c r="V2511">
        <f>Tabla1[[#This Row],[Aboard]]-Tabla1[[#This Row],[Fatalities]]</f>
        <v>19</v>
      </c>
      <c r="W2511" s="50">
        <f>IFERROR(Tabla1[[#This Row],[Fatalities]]/Tabla1[[#This Row],[Aboard]],0)</f>
        <v>9.5238095238095233E-2</v>
      </c>
      <c r="X2511" s="51" t="str" cm="1">
        <f t="array" ref="X2511">_xlfn.IFS(Tabla1[[#This Row],[Porcentaje de muertes]]&lt;0.35,"LEVE",AND(Tabla1[[#This Row],[Porcentaje de muertes]]&gt;0.35,Tabla1[[#This Row],[Porcentaje de muertes]]&lt;0.65),"MEDIO",Tabla1[[#This Row],[Porcentaje de muertes]]&gt;0.65,"GRAVE")</f>
        <v>LEVE</v>
      </c>
    </row>
    <row r="2512" spans="2:24" x14ac:dyDescent="0.3">
      <c r="B2512" s="9">
        <v>2511</v>
      </c>
      <c r="C2512" s="49">
        <v>25951</v>
      </c>
      <c r="D2512" s="9">
        <f>YEAR(Tabla1[[#This Row],[Date]])</f>
        <v>1971</v>
      </c>
      <c r="E2512" s="9" t="str" cm="1">
        <f t="array" ref="E2512">IFERROR(_xlfn.IFS(AND(D2512&lt;1980,D2512&gt;=1970),"70",AND(D2512&lt;1990,D2512&gt;=1980),"80",AND(D2512&lt;2000,D2512&gt;=1990),"90",AND(D2512&lt;2010,D2512&gt;=2000),"00",AND(D2512&lt;=2019,D2512&gt;=2010),"10"),"1908-1970")</f>
        <v>70</v>
      </c>
      <c r="F2512" s="3">
        <v>0.65902777777777777</v>
      </c>
      <c r="G2512" t="s">
        <v>10567</v>
      </c>
      <c r="H2512" t="s">
        <v>16075</v>
      </c>
      <c r="I2512" t="s">
        <v>16076</v>
      </c>
      <c r="J2512" t="s">
        <v>16077</v>
      </c>
      <c r="K2512" t="s">
        <v>12828</v>
      </c>
      <c r="L2512" s="7" t="s">
        <v>16078</v>
      </c>
      <c r="M2512">
        <v>186009002</v>
      </c>
      <c r="N2512">
        <v>47</v>
      </c>
      <c r="O2512">
        <v>39</v>
      </c>
      <c r="P2512">
        <v>8</v>
      </c>
      <c r="Q2512">
        <v>45</v>
      </c>
      <c r="R2512">
        <v>38</v>
      </c>
      <c r="S2512">
        <v>7</v>
      </c>
      <c r="T2512">
        <v>0</v>
      </c>
      <c r="U2512" t="s">
        <v>16079</v>
      </c>
      <c r="V2512">
        <f>Tabla1[[#This Row],[Aboard]]-Tabla1[[#This Row],[Fatalities]]</f>
        <v>2</v>
      </c>
      <c r="W2512" s="50">
        <f>IFERROR(Tabla1[[#This Row],[Fatalities]]/Tabla1[[#This Row],[Aboard]],0)</f>
        <v>0.95744680851063835</v>
      </c>
      <c r="X2512" s="51" t="str" cm="1">
        <f t="array" ref="X2512">_xlfn.IFS(Tabla1[[#This Row],[Porcentaje de muertes]]&lt;0.35,"LEVE",AND(Tabla1[[#This Row],[Porcentaje de muertes]]&gt;0.35,Tabla1[[#This Row],[Porcentaje de muertes]]&lt;0.65),"MEDIO",Tabla1[[#This Row],[Porcentaje de muertes]]&gt;0.65,"GRAVE")</f>
        <v>GRAVE</v>
      </c>
    </row>
    <row r="2513" spans="2:24" x14ac:dyDescent="0.3">
      <c r="B2513" s="9">
        <v>2512</v>
      </c>
      <c r="C2513" s="49">
        <v>25954</v>
      </c>
      <c r="D2513" s="9">
        <f>YEAR(Tabla1[[#This Row],[Date]])</f>
        <v>1971</v>
      </c>
      <c r="E2513" s="9" t="str" cm="1">
        <f t="array" ref="E2513">IFERROR(_xlfn.IFS(AND(D2513&lt;1980,D2513&gt;=1970),"70",AND(D2513&lt;1990,D2513&gt;=1980),"80",AND(D2513&lt;2000,D2513&gt;=1990),"90",AND(D2513&lt;2010,D2513&gt;=2000),"00",AND(D2513&lt;=2019,D2513&gt;=2010),"10"),"1908-1970")</f>
        <v>70</v>
      </c>
      <c r="F2513" s="3">
        <v>0.31597222222222221</v>
      </c>
      <c r="G2513" t="s">
        <v>16080</v>
      </c>
      <c r="H2513" t="s">
        <v>16081</v>
      </c>
      <c r="I2513" t="s">
        <v>28931</v>
      </c>
      <c r="J2513" t="s">
        <v>16082</v>
      </c>
      <c r="K2513" t="s">
        <v>10914</v>
      </c>
      <c r="L2513" s="7" t="s">
        <v>16083</v>
      </c>
      <c r="M2513" t="s">
        <v>28931</v>
      </c>
      <c r="N2513">
        <v>35</v>
      </c>
      <c r="O2513">
        <v>30</v>
      </c>
      <c r="P2513">
        <v>5</v>
      </c>
      <c r="Q2513">
        <v>35</v>
      </c>
      <c r="R2513">
        <v>30</v>
      </c>
      <c r="S2513">
        <v>5</v>
      </c>
      <c r="T2513">
        <v>0</v>
      </c>
      <c r="U2513" t="s">
        <v>16084</v>
      </c>
      <c r="V2513">
        <f>Tabla1[[#This Row],[Aboard]]-Tabla1[[#This Row],[Fatalities]]</f>
        <v>0</v>
      </c>
      <c r="W2513" s="50">
        <f>IFERROR(Tabla1[[#This Row],[Fatalities]]/Tabla1[[#This Row],[Aboard]],0)</f>
        <v>1</v>
      </c>
      <c r="X2513" s="51" t="str" cm="1">
        <f t="array" ref="X2513">_xlfn.IFS(Tabla1[[#This Row],[Porcentaje de muertes]]&lt;0.35,"LEVE",AND(Tabla1[[#This Row],[Porcentaje de muertes]]&gt;0.35,Tabla1[[#This Row],[Porcentaje de muertes]]&lt;0.65),"MEDIO",Tabla1[[#This Row],[Porcentaje de muertes]]&gt;0.65,"GRAVE")</f>
        <v>GRAVE</v>
      </c>
    </row>
    <row r="2514" spans="2:24" x14ac:dyDescent="0.3">
      <c r="B2514" s="9">
        <v>2513</v>
      </c>
      <c r="C2514" s="49">
        <v>25954</v>
      </c>
      <c r="D2514" s="9">
        <f>YEAR(Tabla1[[#This Row],[Date]])</f>
        <v>1971</v>
      </c>
      <c r="E2514" s="9" t="str" cm="1">
        <f t="array" ref="E2514">IFERROR(_xlfn.IFS(AND(D2514&lt;1980,D2514&gt;=1970),"70",AND(D2514&lt;1990,D2514&gt;=1980),"80",AND(D2514&lt;2000,D2514&gt;=1990),"90",AND(D2514&lt;2010,D2514&gt;=2000),"00",AND(D2514&lt;=2019,D2514&gt;=2010),"10"),"1908-1970")</f>
        <v>70</v>
      </c>
      <c r="F2514" s="3">
        <v>0.40277777777777773</v>
      </c>
      <c r="G2514" t="s">
        <v>16085</v>
      </c>
      <c r="H2514" t="s">
        <v>16086</v>
      </c>
      <c r="I2514" t="s">
        <v>28931</v>
      </c>
      <c r="J2514" t="s">
        <v>16087</v>
      </c>
      <c r="K2514" t="s">
        <v>16088</v>
      </c>
      <c r="L2514" s="7" t="s">
        <v>16089</v>
      </c>
      <c r="M2514">
        <v>44</v>
      </c>
      <c r="N2514">
        <v>21</v>
      </c>
      <c r="O2514">
        <v>17</v>
      </c>
      <c r="P2514">
        <v>4</v>
      </c>
      <c r="Q2514">
        <v>21</v>
      </c>
      <c r="R2514">
        <v>17</v>
      </c>
      <c r="S2514">
        <v>4</v>
      </c>
      <c r="T2514">
        <v>0</v>
      </c>
      <c r="U2514" t="s">
        <v>16090</v>
      </c>
      <c r="V2514">
        <f>Tabla1[[#This Row],[Aboard]]-Tabla1[[#This Row],[Fatalities]]</f>
        <v>0</v>
      </c>
      <c r="W2514" s="50">
        <f>IFERROR(Tabla1[[#This Row],[Fatalities]]/Tabla1[[#This Row],[Aboard]],0)</f>
        <v>1</v>
      </c>
      <c r="X2514" s="51" t="str" cm="1">
        <f t="array" ref="X2514">_xlfn.IFS(Tabla1[[#This Row],[Porcentaje de muertes]]&lt;0.35,"LEVE",AND(Tabla1[[#This Row],[Porcentaje de muertes]]&gt;0.35,Tabla1[[#This Row],[Porcentaje de muertes]]&lt;0.65),"MEDIO",Tabla1[[#This Row],[Porcentaje de muertes]]&gt;0.65,"GRAVE")</f>
        <v>GRAVE</v>
      </c>
    </row>
    <row r="2515" spans="2:24" x14ac:dyDescent="0.3">
      <c r="B2515" s="9">
        <v>2514</v>
      </c>
      <c r="C2515" s="49">
        <v>25955</v>
      </c>
      <c r="D2515" s="9">
        <f>YEAR(Tabla1[[#This Row],[Date]])</f>
        <v>1971</v>
      </c>
      <c r="E2515" s="9" t="str" cm="1">
        <f t="array" ref="E2515">IFERROR(_xlfn.IFS(AND(D2515&lt;1980,D2515&gt;=1970),"70",AND(D2515&lt;1990,D2515&gt;=1980),"80",AND(D2515&lt;2000,D2515&gt;=1990),"90",AND(D2515&lt;2010,D2515&gt;=2000),"00",AND(D2515&lt;=2019,D2515&gt;=2010),"10"),"1908-1970")</f>
        <v>70</v>
      </c>
      <c r="F2515" s="3">
        <v>0.9</v>
      </c>
      <c r="G2515" t="s">
        <v>16091</v>
      </c>
      <c r="H2515" t="s">
        <v>6541</v>
      </c>
      <c r="I2515" t="s">
        <v>28931</v>
      </c>
      <c r="J2515" t="s">
        <v>16092</v>
      </c>
      <c r="K2515" t="s">
        <v>16093</v>
      </c>
      <c r="L2515" s="7" t="s">
        <v>16094</v>
      </c>
      <c r="M2515">
        <v>5343610</v>
      </c>
      <c r="N2515">
        <v>14</v>
      </c>
      <c r="O2515">
        <v>12</v>
      </c>
      <c r="P2515">
        <v>2</v>
      </c>
      <c r="Q2515">
        <v>14</v>
      </c>
      <c r="R2515">
        <v>12</v>
      </c>
      <c r="S2515">
        <v>2</v>
      </c>
      <c r="T2515">
        <v>0</v>
      </c>
      <c r="U2515" t="s">
        <v>16095</v>
      </c>
      <c r="V2515">
        <f>Tabla1[[#This Row],[Aboard]]-Tabla1[[#This Row],[Fatalities]]</f>
        <v>0</v>
      </c>
      <c r="W2515" s="50">
        <f>IFERROR(Tabla1[[#This Row],[Fatalities]]/Tabla1[[#This Row],[Aboard]],0)</f>
        <v>1</v>
      </c>
      <c r="X2515" s="51" t="str" cm="1">
        <f t="array" ref="X2515">_xlfn.IFS(Tabla1[[#This Row],[Porcentaje de muertes]]&lt;0.35,"LEVE",AND(Tabla1[[#This Row],[Porcentaje de muertes]]&gt;0.35,Tabla1[[#This Row],[Porcentaje de muertes]]&lt;0.65),"MEDIO",Tabla1[[#This Row],[Porcentaje de muertes]]&gt;0.65,"GRAVE")</f>
        <v>GRAVE</v>
      </c>
    </row>
    <row r="2516" spans="2:24" x14ac:dyDescent="0.3">
      <c r="B2516" s="9">
        <v>2515</v>
      </c>
      <c r="C2516" s="49">
        <v>25956</v>
      </c>
      <c r="D2516" s="9">
        <f>YEAR(Tabla1[[#This Row],[Date]])</f>
        <v>1971</v>
      </c>
      <c r="E2516" s="9" t="str" cm="1">
        <f t="array" ref="E2516">IFERROR(_xlfn.IFS(AND(D2516&lt;1980,D2516&gt;=1970),"70",AND(D2516&lt;1990,D2516&gt;=1980),"80",AND(D2516&lt;2000,D2516&gt;=1990),"90",AND(D2516&lt;2010,D2516&gt;=2000),"00",AND(D2516&lt;=2019,D2516&gt;=2010),"10"),"1908-1970")</f>
        <v>70</v>
      </c>
      <c r="F2516" s="3" t="s">
        <v>28931</v>
      </c>
      <c r="G2516" t="s">
        <v>16096</v>
      </c>
      <c r="H2516" t="s">
        <v>16097</v>
      </c>
      <c r="I2516" t="s">
        <v>28931</v>
      </c>
      <c r="J2516" t="s">
        <v>16098</v>
      </c>
      <c r="K2516" t="s">
        <v>16099</v>
      </c>
      <c r="L2516" s="7" t="s">
        <v>16100</v>
      </c>
      <c r="M2516">
        <v>10428</v>
      </c>
      <c r="N2516">
        <v>60</v>
      </c>
      <c r="O2516">
        <v>55</v>
      </c>
      <c r="P2516">
        <v>5</v>
      </c>
      <c r="Q2516">
        <v>2</v>
      </c>
      <c r="R2516">
        <v>1</v>
      </c>
      <c r="S2516">
        <v>1</v>
      </c>
      <c r="T2516">
        <v>0</v>
      </c>
      <c r="U2516" t="s">
        <v>16101</v>
      </c>
      <c r="V2516">
        <f>Tabla1[[#This Row],[Aboard]]-Tabla1[[#This Row],[Fatalities]]</f>
        <v>58</v>
      </c>
      <c r="W2516" s="50">
        <f>IFERROR(Tabla1[[#This Row],[Fatalities]]/Tabla1[[#This Row],[Aboard]],0)</f>
        <v>3.3333333333333333E-2</v>
      </c>
      <c r="X2516" s="51" t="str" cm="1">
        <f t="array" ref="X2516">_xlfn.IFS(Tabla1[[#This Row],[Porcentaje de muertes]]&lt;0.35,"LEVE",AND(Tabla1[[#This Row],[Porcentaje de muertes]]&gt;0.35,Tabla1[[#This Row],[Porcentaje de muertes]]&lt;0.65),"MEDIO",Tabla1[[#This Row],[Porcentaje de muertes]]&gt;0.65,"GRAVE")</f>
        <v>LEVE</v>
      </c>
    </row>
    <row r="2517" spans="2:24" x14ac:dyDescent="0.3">
      <c r="B2517" s="9">
        <v>2516</v>
      </c>
      <c r="C2517" s="49">
        <v>25958</v>
      </c>
      <c r="D2517" s="9">
        <f>YEAR(Tabla1[[#This Row],[Date]])</f>
        <v>1971</v>
      </c>
      <c r="E2517" s="9" t="str" cm="1">
        <f t="array" ref="E2517">IFERROR(_xlfn.IFS(AND(D2517&lt;1980,D2517&gt;=1970),"70",AND(D2517&lt;1990,D2517&gt;=1980),"80",AND(D2517&lt;2000,D2517&gt;=1990),"90",AND(D2517&lt;2010,D2517&gt;=2000),"00",AND(D2517&lt;=2019,D2517&gt;=2010),"10"),"1908-1970")</f>
        <v>70</v>
      </c>
      <c r="F2517" s="3">
        <v>0.48958333333333331</v>
      </c>
      <c r="G2517" t="s">
        <v>16102</v>
      </c>
      <c r="H2517" t="s">
        <v>9074</v>
      </c>
      <c r="I2517" t="s">
        <v>28931</v>
      </c>
      <c r="J2517" t="s">
        <v>16103</v>
      </c>
      <c r="K2517" t="s">
        <v>16104</v>
      </c>
      <c r="L2517" s="7" t="s">
        <v>16105</v>
      </c>
      <c r="M2517">
        <v>94</v>
      </c>
      <c r="N2517">
        <v>47</v>
      </c>
      <c r="O2517">
        <v>43</v>
      </c>
      <c r="P2517">
        <v>4</v>
      </c>
      <c r="Q2517">
        <v>13</v>
      </c>
      <c r="R2517">
        <v>12</v>
      </c>
      <c r="S2517">
        <v>1</v>
      </c>
      <c r="T2517">
        <v>0</v>
      </c>
      <c r="U2517" t="s">
        <v>16106</v>
      </c>
      <c r="V2517">
        <f>Tabla1[[#This Row],[Aboard]]-Tabla1[[#This Row],[Fatalities]]</f>
        <v>34</v>
      </c>
      <c r="W2517" s="50">
        <f>IFERROR(Tabla1[[#This Row],[Fatalities]]/Tabla1[[#This Row],[Aboard]],0)</f>
        <v>0.27659574468085107</v>
      </c>
      <c r="X2517" s="51" t="str" cm="1">
        <f t="array" ref="X2517">_xlfn.IFS(Tabla1[[#This Row],[Porcentaje de muertes]]&lt;0.35,"LEVE",AND(Tabla1[[#This Row],[Porcentaje de muertes]]&gt;0.35,Tabla1[[#This Row],[Porcentaje de muertes]]&lt;0.65),"MEDIO",Tabla1[[#This Row],[Porcentaje de muertes]]&gt;0.65,"GRAVE")</f>
        <v>LEVE</v>
      </c>
    </row>
    <row r="2518" spans="2:24" x14ac:dyDescent="0.3">
      <c r="B2518" s="9">
        <v>2517</v>
      </c>
      <c r="C2518" s="49">
        <v>25964</v>
      </c>
      <c r="D2518" s="9">
        <f>YEAR(Tabla1[[#This Row],[Date]])</f>
        <v>1971</v>
      </c>
      <c r="E2518" s="9" t="str" cm="1">
        <f t="array" ref="E2518">IFERROR(_xlfn.IFS(AND(D2518&lt;1980,D2518&gt;=1970),"70",AND(D2518&lt;1990,D2518&gt;=1980),"80",AND(D2518&lt;2000,D2518&gt;=1990),"90",AND(D2518&lt;2010,D2518&gt;=2000),"00",AND(D2518&lt;=2019,D2518&gt;=2010),"10"),"1908-1970")</f>
        <v>70</v>
      </c>
      <c r="F2518" s="3">
        <v>0.19513888888888889</v>
      </c>
      <c r="G2518" t="s">
        <v>16107</v>
      </c>
      <c r="H2518" t="s">
        <v>6541</v>
      </c>
      <c r="I2518" t="s">
        <v>28931</v>
      </c>
      <c r="J2518" t="s">
        <v>16108</v>
      </c>
      <c r="K2518" t="s">
        <v>12803</v>
      </c>
      <c r="L2518" s="7" t="s">
        <v>16109</v>
      </c>
      <c r="M2518">
        <v>347403</v>
      </c>
      <c r="N2518">
        <v>7</v>
      </c>
      <c r="O2518">
        <v>6</v>
      </c>
      <c r="P2518">
        <v>1</v>
      </c>
      <c r="Q2518">
        <v>7</v>
      </c>
      <c r="R2518">
        <v>6</v>
      </c>
      <c r="S2518">
        <v>1</v>
      </c>
      <c r="T2518">
        <v>0</v>
      </c>
      <c r="U2518" t="s">
        <v>16110</v>
      </c>
      <c r="V2518">
        <f>Tabla1[[#This Row],[Aboard]]-Tabla1[[#This Row],[Fatalities]]</f>
        <v>0</v>
      </c>
      <c r="W2518" s="50">
        <f>IFERROR(Tabla1[[#This Row],[Fatalities]]/Tabla1[[#This Row],[Aboard]],0)</f>
        <v>1</v>
      </c>
      <c r="X2518" s="51" t="str" cm="1">
        <f t="array" ref="X2518">_xlfn.IFS(Tabla1[[#This Row],[Porcentaje de muertes]]&lt;0.35,"LEVE",AND(Tabla1[[#This Row],[Porcentaje de muertes]]&gt;0.35,Tabla1[[#This Row],[Porcentaje de muertes]]&lt;0.65),"MEDIO",Tabla1[[#This Row],[Porcentaje de muertes]]&gt;0.65,"GRAVE")</f>
        <v>GRAVE</v>
      </c>
    </row>
    <row r="2519" spans="2:24" x14ac:dyDescent="0.3">
      <c r="B2519" s="9">
        <v>2518</v>
      </c>
      <c r="C2519" s="49">
        <v>25981</v>
      </c>
      <c r="D2519" s="9">
        <f>YEAR(Tabla1[[#This Row],[Date]])</f>
        <v>1971</v>
      </c>
      <c r="E2519" s="9" t="str" cm="1">
        <f t="array" ref="E2519">IFERROR(_xlfn.IFS(AND(D2519&lt;1980,D2519&gt;=1970),"70",AND(D2519&lt;1990,D2519&gt;=1980),"80",AND(D2519&lt;2000,D2519&gt;=1990),"90",AND(D2519&lt;2010,D2519&gt;=2000),"00",AND(D2519&lt;=2019,D2519&gt;=2010),"10"),"1908-1970")</f>
        <v>70</v>
      </c>
      <c r="F2519" s="3" t="s">
        <v>28931</v>
      </c>
      <c r="G2519" t="s">
        <v>16111</v>
      </c>
      <c r="H2519" t="s">
        <v>16112</v>
      </c>
      <c r="I2519" t="s">
        <v>28931</v>
      </c>
      <c r="J2519" t="s">
        <v>16113</v>
      </c>
      <c r="K2519" t="s">
        <v>8697</v>
      </c>
      <c r="L2519" s="7" t="s">
        <v>16114</v>
      </c>
      <c r="M2519">
        <v>26683</v>
      </c>
      <c r="N2519">
        <v>12</v>
      </c>
      <c r="O2519">
        <v>8</v>
      </c>
      <c r="P2519">
        <v>4</v>
      </c>
      <c r="Q2519">
        <v>12</v>
      </c>
      <c r="R2519">
        <v>8</v>
      </c>
      <c r="S2519">
        <v>4</v>
      </c>
      <c r="T2519">
        <v>0</v>
      </c>
      <c r="U2519" t="s">
        <v>16115</v>
      </c>
      <c r="V2519">
        <f>Tabla1[[#This Row],[Aboard]]-Tabla1[[#This Row],[Fatalities]]</f>
        <v>0</v>
      </c>
      <c r="W2519" s="50">
        <f>IFERROR(Tabla1[[#This Row],[Fatalities]]/Tabla1[[#This Row],[Aboard]],0)</f>
        <v>1</v>
      </c>
      <c r="X2519" s="51" t="str" cm="1">
        <f t="array" ref="X2519">_xlfn.IFS(Tabla1[[#This Row],[Porcentaje de muertes]]&lt;0.35,"LEVE",AND(Tabla1[[#This Row],[Porcentaje de muertes]]&gt;0.35,Tabla1[[#This Row],[Porcentaje de muertes]]&lt;0.65),"MEDIO",Tabla1[[#This Row],[Porcentaje de muertes]]&gt;0.65,"GRAVE")</f>
        <v>GRAVE</v>
      </c>
    </row>
    <row r="2520" spans="2:24" x14ac:dyDescent="0.3">
      <c r="B2520" s="9">
        <v>2519</v>
      </c>
      <c r="C2520" s="49">
        <v>26018</v>
      </c>
      <c r="D2520" s="9">
        <f>YEAR(Tabla1[[#This Row],[Date]])</f>
        <v>1971</v>
      </c>
      <c r="E2520" s="9" t="str" cm="1">
        <f t="array" ref="E2520">IFERROR(_xlfn.IFS(AND(D2520&lt;1980,D2520&gt;=1970),"70",AND(D2520&lt;1990,D2520&gt;=1980),"80",AND(D2520&lt;2000,D2520&gt;=1990),"90",AND(D2520&lt;2010,D2520&gt;=2000),"00",AND(D2520&lt;=2019,D2520&gt;=2010),"10"),"1908-1970")</f>
        <v>70</v>
      </c>
      <c r="F2520" s="3">
        <v>0.86041666666666661</v>
      </c>
      <c r="G2520" t="s">
        <v>16116</v>
      </c>
      <c r="H2520" t="s">
        <v>16037</v>
      </c>
      <c r="I2520" t="s">
        <v>28931</v>
      </c>
      <c r="J2520" t="s">
        <v>16117</v>
      </c>
      <c r="K2520" t="s">
        <v>7057</v>
      </c>
      <c r="L2520" s="7" t="s">
        <v>16118</v>
      </c>
      <c r="M2520">
        <v>20363</v>
      </c>
      <c r="N2520">
        <v>15</v>
      </c>
      <c r="O2520">
        <v>11</v>
      </c>
      <c r="P2520">
        <v>4</v>
      </c>
      <c r="Q2520">
        <v>15</v>
      </c>
      <c r="R2520">
        <v>11</v>
      </c>
      <c r="S2520">
        <v>4</v>
      </c>
      <c r="T2520">
        <v>0</v>
      </c>
      <c r="U2520" t="s">
        <v>16119</v>
      </c>
      <c r="V2520">
        <f>Tabla1[[#This Row],[Aboard]]-Tabla1[[#This Row],[Fatalities]]</f>
        <v>0</v>
      </c>
      <c r="W2520" s="50">
        <f>IFERROR(Tabla1[[#This Row],[Fatalities]]/Tabla1[[#This Row],[Aboard]],0)</f>
        <v>1</v>
      </c>
      <c r="X2520" s="51" t="str" cm="1">
        <f t="array" ref="X2520">_xlfn.IFS(Tabla1[[#This Row],[Porcentaje de muertes]]&lt;0.35,"LEVE",AND(Tabla1[[#This Row],[Porcentaje de muertes]]&gt;0.35,Tabla1[[#This Row],[Porcentaje de muertes]]&lt;0.65),"MEDIO",Tabla1[[#This Row],[Porcentaje de muertes]]&gt;0.65,"GRAVE")</f>
        <v>GRAVE</v>
      </c>
    </row>
    <row r="2521" spans="2:24" x14ac:dyDescent="0.3">
      <c r="B2521" s="9">
        <v>2520</v>
      </c>
      <c r="C2521" s="49">
        <v>26023</v>
      </c>
      <c r="D2521" s="9">
        <f>YEAR(Tabla1[[#This Row],[Date]])</f>
        <v>1971</v>
      </c>
      <c r="E2521" s="9" t="str" cm="1">
        <f t="array" ref="E2521">IFERROR(_xlfn.IFS(AND(D2521&lt;1980,D2521&gt;=1970),"70",AND(D2521&lt;1990,D2521&gt;=1980),"80",AND(D2521&lt;2000,D2521&gt;=1990),"90",AND(D2521&lt;2010,D2521&gt;=2000),"00",AND(D2521&lt;=2019,D2521&gt;=2010),"10"),"1908-1970")</f>
        <v>70</v>
      </c>
      <c r="F2521" s="3">
        <v>0.27291666666666664</v>
      </c>
      <c r="G2521" t="s">
        <v>16120</v>
      </c>
      <c r="H2521" t="s">
        <v>7873</v>
      </c>
      <c r="I2521">
        <v>366</v>
      </c>
      <c r="J2521" t="s">
        <v>16121</v>
      </c>
      <c r="K2521" t="s">
        <v>16122</v>
      </c>
      <c r="L2521" s="7" t="s">
        <v>16123</v>
      </c>
      <c r="M2521">
        <v>19439</v>
      </c>
      <c r="N2521">
        <v>5</v>
      </c>
      <c r="O2521">
        <v>0</v>
      </c>
      <c r="P2521">
        <v>5</v>
      </c>
      <c r="Q2521">
        <v>5</v>
      </c>
      <c r="R2521">
        <v>0</v>
      </c>
      <c r="S2521">
        <v>5</v>
      </c>
      <c r="T2521">
        <v>0</v>
      </c>
      <c r="U2521" t="s">
        <v>16124</v>
      </c>
      <c r="V2521">
        <f>Tabla1[[#This Row],[Aboard]]-Tabla1[[#This Row],[Fatalities]]</f>
        <v>0</v>
      </c>
      <c r="W2521" s="50">
        <f>IFERROR(Tabla1[[#This Row],[Fatalities]]/Tabla1[[#This Row],[Aboard]],0)</f>
        <v>1</v>
      </c>
      <c r="X2521" s="51" t="str" cm="1">
        <f t="array" ref="X2521">_xlfn.IFS(Tabla1[[#This Row],[Porcentaje de muertes]]&lt;0.35,"LEVE",AND(Tabla1[[#This Row],[Porcentaje de muertes]]&gt;0.35,Tabla1[[#This Row],[Porcentaje de muertes]]&lt;0.65),"MEDIO",Tabla1[[#This Row],[Porcentaje de muertes]]&gt;0.65,"GRAVE")</f>
        <v>GRAVE</v>
      </c>
    </row>
    <row r="2522" spans="2:24" x14ac:dyDescent="0.3">
      <c r="B2522" s="9">
        <v>2521</v>
      </c>
      <c r="C2522" s="49">
        <v>26023</v>
      </c>
      <c r="D2522" s="9">
        <f>YEAR(Tabla1[[#This Row],[Date]])</f>
        <v>1971</v>
      </c>
      <c r="E2522" s="9" t="str" cm="1">
        <f t="array" ref="E2522">IFERROR(_xlfn.IFS(AND(D2522&lt;1980,D2522&gt;=1970),"70",AND(D2522&lt;1990,D2522&gt;=1980),"80",AND(D2522&lt;2000,D2522&gt;=1990),"90",AND(D2522&lt;2010,D2522&gt;=2000),"00",AND(D2522&lt;=2019,D2522&gt;=2010),"10"),"1908-1970")</f>
        <v>70</v>
      </c>
      <c r="F2522" s="3">
        <v>0.54097222222222219</v>
      </c>
      <c r="G2522" t="s">
        <v>16125</v>
      </c>
      <c r="H2522" t="s">
        <v>6541</v>
      </c>
      <c r="I2522">
        <v>1969</v>
      </c>
      <c r="J2522" t="s">
        <v>16126</v>
      </c>
      <c r="K2522" t="s">
        <v>16127</v>
      </c>
      <c r="L2522" s="7" t="s">
        <v>16128</v>
      </c>
      <c r="M2522">
        <v>8400701</v>
      </c>
      <c r="N2522">
        <v>65</v>
      </c>
      <c r="O2522">
        <v>57</v>
      </c>
      <c r="P2522">
        <v>8</v>
      </c>
      <c r="Q2522">
        <v>65</v>
      </c>
      <c r="R2522">
        <v>57</v>
      </c>
      <c r="S2522">
        <v>8</v>
      </c>
      <c r="T2522">
        <v>0</v>
      </c>
      <c r="U2522" t="s">
        <v>16129</v>
      </c>
      <c r="V2522">
        <f>Tabla1[[#This Row],[Aboard]]-Tabla1[[#This Row],[Fatalities]]</f>
        <v>0</v>
      </c>
      <c r="W2522" s="50">
        <f>IFERROR(Tabla1[[#This Row],[Fatalities]]/Tabla1[[#This Row],[Aboard]],0)</f>
        <v>1</v>
      </c>
      <c r="X2522" s="51" t="str" cm="1">
        <f t="array" ref="X2522">_xlfn.IFS(Tabla1[[#This Row],[Porcentaje de muertes]]&lt;0.35,"LEVE",AND(Tabla1[[#This Row],[Porcentaje de muertes]]&gt;0.35,Tabla1[[#This Row],[Porcentaje de muertes]]&lt;0.65),"MEDIO",Tabla1[[#This Row],[Porcentaje de muertes]]&gt;0.65,"GRAVE")</f>
        <v>GRAVE</v>
      </c>
    </row>
    <row r="2523" spans="2:24" x14ac:dyDescent="0.3">
      <c r="B2523" s="9">
        <v>2522</v>
      </c>
      <c r="C2523" s="49">
        <v>26038</v>
      </c>
      <c r="D2523" s="9">
        <f>YEAR(Tabla1[[#This Row],[Date]])</f>
        <v>1971</v>
      </c>
      <c r="E2523" s="9" t="str" cm="1">
        <f t="array" ref="E2523">IFERROR(_xlfn.IFS(AND(D2523&lt;1980,D2523&gt;=1970),"70",AND(D2523&lt;1990,D2523&gt;=1980),"80",AND(D2523&lt;2000,D2523&gt;=1990),"90",AND(D2523&lt;2010,D2523&gt;=2000),"00",AND(D2523&lt;=2019,D2523&gt;=2010),"10"),"1908-1970")</f>
        <v>70</v>
      </c>
      <c r="F2523" s="3">
        <v>0.29166666666666669</v>
      </c>
      <c r="G2523" t="s">
        <v>16130</v>
      </c>
      <c r="H2523" t="s">
        <v>11996</v>
      </c>
      <c r="I2523" t="s">
        <v>28931</v>
      </c>
      <c r="J2523" t="s">
        <v>16131</v>
      </c>
      <c r="K2523" t="s">
        <v>8105</v>
      </c>
      <c r="L2523" s="7">
        <v>293246</v>
      </c>
      <c r="M2523">
        <v>13136</v>
      </c>
      <c r="N2523">
        <v>40</v>
      </c>
      <c r="O2523">
        <v>36</v>
      </c>
      <c r="P2523">
        <v>4</v>
      </c>
      <c r="Q2523">
        <v>39</v>
      </c>
      <c r="R2523">
        <v>35</v>
      </c>
      <c r="S2523">
        <v>4</v>
      </c>
      <c r="T2523">
        <v>0</v>
      </c>
      <c r="U2523" t="s">
        <v>16132</v>
      </c>
      <c r="V2523">
        <f>Tabla1[[#This Row],[Aboard]]-Tabla1[[#This Row],[Fatalities]]</f>
        <v>1</v>
      </c>
      <c r="W2523" s="50">
        <f>IFERROR(Tabla1[[#This Row],[Fatalities]]/Tabla1[[#This Row],[Aboard]],0)</f>
        <v>0.97499999999999998</v>
      </c>
      <c r="X2523" s="51" t="str" cm="1">
        <f t="array" ref="X2523">_xlfn.IFS(Tabla1[[#This Row],[Porcentaje de muertes]]&lt;0.35,"LEVE",AND(Tabla1[[#This Row],[Porcentaje de muertes]]&gt;0.35,Tabla1[[#This Row],[Porcentaje de muertes]]&lt;0.65),"MEDIO",Tabla1[[#This Row],[Porcentaje de muertes]]&gt;0.65,"GRAVE")</f>
        <v>GRAVE</v>
      </c>
    </row>
    <row r="2524" spans="2:24" x14ac:dyDescent="0.3">
      <c r="B2524" s="9">
        <v>2523</v>
      </c>
      <c r="C2524" s="49">
        <v>26045</v>
      </c>
      <c r="D2524" s="9">
        <f>YEAR(Tabla1[[#This Row],[Date]])</f>
        <v>1971</v>
      </c>
      <c r="E2524" s="9" t="str" cm="1">
        <f t="array" ref="E2524">IFERROR(_xlfn.IFS(AND(D2524&lt;1980,D2524&gt;=1970),"70",AND(D2524&lt;1990,D2524&gt;=1980),"80",AND(D2524&lt;2000,D2524&gt;=1990),"90",AND(D2524&lt;2010,D2524&gt;=2000),"00",AND(D2524&lt;=2019,D2524&gt;=2010),"10"),"1908-1970")</f>
        <v>70</v>
      </c>
      <c r="F2524" s="3">
        <v>0.7090277777777777</v>
      </c>
      <c r="G2524" t="s">
        <v>16133</v>
      </c>
      <c r="H2524" t="s">
        <v>16134</v>
      </c>
      <c r="I2524" t="s">
        <v>28931</v>
      </c>
      <c r="J2524" t="s">
        <v>16135</v>
      </c>
      <c r="K2524" t="s">
        <v>16136</v>
      </c>
      <c r="L2524" s="7" t="s">
        <v>16137</v>
      </c>
      <c r="M2524" t="s">
        <v>28931</v>
      </c>
      <c r="N2524">
        <v>4</v>
      </c>
      <c r="O2524">
        <v>3</v>
      </c>
      <c r="P2524">
        <v>1</v>
      </c>
      <c r="Q2524">
        <v>4</v>
      </c>
      <c r="R2524">
        <v>3</v>
      </c>
      <c r="S2524">
        <v>1</v>
      </c>
      <c r="T2524">
        <v>0</v>
      </c>
      <c r="U2524" t="s">
        <v>16138</v>
      </c>
      <c r="V2524">
        <f>Tabla1[[#This Row],[Aboard]]-Tabla1[[#This Row],[Fatalities]]</f>
        <v>0</v>
      </c>
      <c r="W2524" s="50">
        <f>IFERROR(Tabla1[[#This Row],[Fatalities]]/Tabla1[[#This Row],[Aboard]],0)</f>
        <v>1</v>
      </c>
      <c r="X2524" s="51" t="str" cm="1">
        <f t="array" ref="X2524">_xlfn.IFS(Tabla1[[#This Row],[Porcentaje de muertes]]&lt;0.35,"LEVE",AND(Tabla1[[#This Row],[Porcentaje de muertes]]&gt;0.35,Tabla1[[#This Row],[Porcentaje de muertes]]&lt;0.65),"MEDIO",Tabla1[[#This Row],[Porcentaje de muertes]]&gt;0.65,"GRAVE")</f>
        <v>GRAVE</v>
      </c>
    </row>
    <row r="2525" spans="2:24" x14ac:dyDescent="0.3">
      <c r="B2525" s="9">
        <v>2524</v>
      </c>
      <c r="C2525" s="49">
        <v>26242</v>
      </c>
      <c r="D2525" s="9">
        <f>YEAR(Tabla1[[#This Row],[Date]])</f>
        <v>1971</v>
      </c>
      <c r="E2525" s="9" t="str" cm="1">
        <f t="array" ref="E2525">IFERROR(_xlfn.IFS(AND(D2525&lt;1980,D2525&gt;=1970),"70",AND(D2525&lt;1990,D2525&gt;=1980),"80",AND(D2525&lt;2000,D2525&gt;=1990),"90",AND(D2525&lt;2010,D2525&gt;=2000),"00",AND(D2525&lt;=2019,D2525&gt;=2010),"10"),"1908-1970")</f>
        <v>70</v>
      </c>
      <c r="F2525" s="3" t="s">
        <v>28931</v>
      </c>
      <c r="G2525" t="s">
        <v>11790</v>
      </c>
      <c r="H2525" t="s">
        <v>11155</v>
      </c>
      <c r="I2525" t="s">
        <v>28931</v>
      </c>
      <c r="J2525" t="s">
        <v>16139</v>
      </c>
      <c r="K2525" t="s">
        <v>16140</v>
      </c>
      <c r="L2525" s="7" t="s">
        <v>16141</v>
      </c>
      <c r="M2525">
        <v>121</v>
      </c>
      <c r="N2525">
        <v>35</v>
      </c>
      <c r="O2525">
        <v>32</v>
      </c>
      <c r="P2525">
        <v>3</v>
      </c>
      <c r="Q2525">
        <v>5</v>
      </c>
      <c r="R2525">
        <v>2</v>
      </c>
      <c r="S2525">
        <v>3</v>
      </c>
      <c r="T2525">
        <v>0</v>
      </c>
      <c r="U2525" t="s">
        <v>16142</v>
      </c>
      <c r="V2525">
        <f>Tabla1[[#This Row],[Aboard]]-Tabla1[[#This Row],[Fatalities]]</f>
        <v>30</v>
      </c>
      <c r="W2525" s="50">
        <f>IFERROR(Tabla1[[#This Row],[Fatalities]]/Tabla1[[#This Row],[Aboard]],0)</f>
        <v>0.14285714285714285</v>
      </c>
      <c r="X2525" s="51" t="str" cm="1">
        <f t="array" ref="X2525">_xlfn.IFS(Tabla1[[#This Row],[Porcentaje de muertes]]&lt;0.35,"LEVE",AND(Tabla1[[#This Row],[Porcentaje de muertes]]&gt;0.35,Tabla1[[#This Row],[Porcentaje de muertes]]&lt;0.65),"MEDIO",Tabla1[[#This Row],[Porcentaje de muertes]]&gt;0.65,"GRAVE")</f>
        <v>LEVE</v>
      </c>
    </row>
    <row r="2526" spans="2:24" x14ac:dyDescent="0.3">
      <c r="B2526" s="9">
        <v>2525</v>
      </c>
      <c r="C2526" s="49">
        <v>26076</v>
      </c>
      <c r="D2526" s="9">
        <f>YEAR(Tabla1[[#This Row],[Date]])</f>
        <v>1971</v>
      </c>
      <c r="E2526" s="9" t="str" cm="1">
        <f t="array" ref="E2526">IFERROR(_xlfn.IFS(AND(D2526&lt;1980,D2526&gt;=1970),"70",AND(D2526&lt;1990,D2526&gt;=1980),"80",AND(D2526&lt;2000,D2526&gt;=1990),"90",AND(D2526&lt;2010,D2526&gt;=2000),"00",AND(D2526&lt;=2019,D2526&gt;=2010),"10"),"1908-1970")</f>
        <v>70</v>
      </c>
      <c r="F2526" s="3">
        <v>0.83333333333333337</v>
      </c>
      <c r="G2526" t="s">
        <v>10422</v>
      </c>
      <c r="H2526" t="s">
        <v>16143</v>
      </c>
      <c r="I2526">
        <v>130</v>
      </c>
      <c r="J2526" t="s">
        <v>16144</v>
      </c>
      <c r="K2526" t="s">
        <v>16145</v>
      </c>
      <c r="L2526" s="7" t="s">
        <v>16146</v>
      </c>
      <c r="M2526">
        <v>1351205</v>
      </c>
      <c r="N2526">
        <v>83</v>
      </c>
      <c r="O2526">
        <v>76</v>
      </c>
      <c r="P2526">
        <v>7</v>
      </c>
      <c r="Q2526">
        <v>78</v>
      </c>
      <c r="R2526">
        <v>75</v>
      </c>
      <c r="S2526">
        <v>3</v>
      </c>
      <c r="T2526">
        <v>0</v>
      </c>
      <c r="U2526" t="s">
        <v>16147</v>
      </c>
      <c r="V2526">
        <f>Tabla1[[#This Row],[Aboard]]-Tabla1[[#This Row],[Fatalities]]</f>
        <v>5</v>
      </c>
      <c r="W2526" s="50">
        <f>IFERROR(Tabla1[[#This Row],[Fatalities]]/Tabla1[[#This Row],[Aboard]],0)</f>
        <v>0.93975903614457834</v>
      </c>
      <c r="X2526" s="51" t="str" cm="1">
        <f t="array" ref="X2526">_xlfn.IFS(Tabla1[[#This Row],[Porcentaje de muertes]]&lt;0.35,"LEVE",AND(Tabla1[[#This Row],[Porcentaje de muertes]]&gt;0.35,Tabla1[[#This Row],[Porcentaje de muertes]]&lt;0.65),"MEDIO",Tabla1[[#This Row],[Porcentaje de muertes]]&gt;0.65,"GRAVE")</f>
        <v>GRAVE</v>
      </c>
    </row>
    <row r="2527" spans="2:24" x14ac:dyDescent="0.3">
      <c r="B2527" s="9">
        <v>2526</v>
      </c>
      <c r="C2527" s="49">
        <v>26078</v>
      </c>
      <c r="D2527" s="9">
        <f>YEAR(Tabla1[[#This Row],[Date]])</f>
        <v>1971</v>
      </c>
      <c r="E2527" s="9" t="str" cm="1">
        <f t="array" ref="E2527">IFERROR(_xlfn.IFS(AND(D2527&lt;1980,D2527&gt;=1970),"70",AND(D2527&lt;1990,D2527&gt;=1980),"80",AND(D2527&lt;2000,D2527&gt;=1990),"90",AND(D2527&lt;2010,D2527&gt;=2000),"00",AND(D2527&lt;=2019,D2527&gt;=2010),"10"),"1908-1970")</f>
        <v>70</v>
      </c>
      <c r="F2527" s="3">
        <v>0.18472222222222223</v>
      </c>
      <c r="G2527" t="s">
        <v>16148</v>
      </c>
      <c r="H2527" t="s">
        <v>16149</v>
      </c>
      <c r="I2527" t="s">
        <v>28931</v>
      </c>
      <c r="J2527" t="s">
        <v>16150</v>
      </c>
      <c r="K2527" t="s">
        <v>16151</v>
      </c>
      <c r="L2527" s="7" t="s">
        <v>16152</v>
      </c>
      <c r="M2527">
        <v>50</v>
      </c>
      <c r="N2527">
        <v>4</v>
      </c>
      <c r="O2527">
        <v>2</v>
      </c>
      <c r="P2527">
        <v>2</v>
      </c>
      <c r="Q2527">
        <v>4</v>
      </c>
      <c r="R2527">
        <v>2</v>
      </c>
      <c r="S2527">
        <v>2</v>
      </c>
      <c r="T2527">
        <v>0</v>
      </c>
      <c r="U2527" t="s">
        <v>16153</v>
      </c>
      <c r="V2527">
        <f>Tabla1[[#This Row],[Aboard]]-Tabla1[[#This Row],[Fatalities]]</f>
        <v>0</v>
      </c>
      <c r="W2527" s="50">
        <f>IFERROR(Tabla1[[#This Row],[Fatalities]]/Tabla1[[#This Row],[Aboard]],0)</f>
        <v>1</v>
      </c>
      <c r="X2527" s="51" t="str" cm="1">
        <f t="array" ref="X2527">_xlfn.IFS(Tabla1[[#This Row],[Porcentaje de muertes]]&lt;0.35,"LEVE",AND(Tabla1[[#This Row],[Porcentaje de muertes]]&gt;0.35,Tabla1[[#This Row],[Porcentaje de muertes]]&lt;0.65),"MEDIO",Tabla1[[#This Row],[Porcentaje de muertes]]&gt;0.65,"GRAVE")</f>
        <v>GRAVE</v>
      </c>
    </row>
    <row r="2528" spans="2:24" x14ac:dyDescent="0.3">
      <c r="B2528" s="9">
        <v>2527</v>
      </c>
      <c r="C2528" s="49">
        <v>26081</v>
      </c>
      <c r="D2528" s="9">
        <f>YEAR(Tabla1[[#This Row],[Date]])</f>
        <v>1971</v>
      </c>
      <c r="E2528" s="9" t="str" cm="1">
        <f t="array" ref="E2528">IFERROR(_xlfn.IFS(AND(D2528&lt;1980,D2528&gt;=1970),"70",AND(D2528&lt;1990,D2528&gt;=1980),"80",AND(D2528&lt;2000,D2528&gt;=1990),"90",AND(D2528&lt;2010,D2528&gt;=2000),"00",AND(D2528&lt;=2019,D2528&gt;=2010),"10"),"1908-1970")</f>
        <v>70</v>
      </c>
      <c r="F2528" s="3">
        <v>0.46388888888888885</v>
      </c>
      <c r="G2528" t="s">
        <v>16154</v>
      </c>
      <c r="H2528" t="s">
        <v>5032</v>
      </c>
      <c r="I2528" t="s">
        <v>28931</v>
      </c>
      <c r="J2528" t="s">
        <v>16155</v>
      </c>
      <c r="K2528" t="s">
        <v>16156</v>
      </c>
      <c r="L2528" s="7" t="s">
        <v>16157</v>
      </c>
      <c r="M2528" t="s">
        <v>16158</v>
      </c>
      <c r="N2528">
        <v>6</v>
      </c>
      <c r="O2528">
        <v>5</v>
      </c>
      <c r="P2528">
        <v>1</v>
      </c>
      <c r="Q2528">
        <v>6</v>
      </c>
      <c r="R2528">
        <v>5</v>
      </c>
      <c r="S2528">
        <v>1</v>
      </c>
      <c r="T2528">
        <v>0</v>
      </c>
      <c r="U2528" t="s">
        <v>16159</v>
      </c>
      <c r="V2528">
        <f>Tabla1[[#This Row],[Aboard]]-Tabla1[[#This Row],[Fatalities]]</f>
        <v>0</v>
      </c>
      <c r="W2528" s="50">
        <f>IFERROR(Tabla1[[#This Row],[Fatalities]]/Tabla1[[#This Row],[Aboard]],0)</f>
        <v>1</v>
      </c>
      <c r="X2528" s="51" t="str" cm="1">
        <f t="array" ref="X2528">_xlfn.IFS(Tabla1[[#This Row],[Porcentaje de muertes]]&lt;0.35,"LEVE",AND(Tabla1[[#This Row],[Porcentaje de muertes]]&gt;0.35,Tabla1[[#This Row],[Porcentaje de muertes]]&lt;0.65),"MEDIO",Tabla1[[#This Row],[Porcentaje de muertes]]&gt;0.65,"GRAVE")</f>
        <v>GRAVE</v>
      </c>
    </row>
    <row r="2529" spans="2:24" x14ac:dyDescent="0.3">
      <c r="B2529" s="9">
        <v>2528</v>
      </c>
      <c r="C2529" s="49">
        <v>26090</v>
      </c>
      <c r="D2529" s="9">
        <f>YEAR(Tabla1[[#This Row],[Date]])</f>
        <v>1971</v>
      </c>
      <c r="E2529" s="9" t="str" cm="1">
        <f t="array" ref="E2529">IFERROR(_xlfn.IFS(AND(D2529&lt;1980,D2529&gt;=1970),"70",AND(D2529&lt;1990,D2529&gt;=1980),"80",AND(D2529&lt;2000,D2529&gt;=1990),"90",AND(D2529&lt;2010,D2529&gt;=2000),"00",AND(D2529&lt;=2019,D2529&gt;=2010),"10"),"1908-1970")</f>
        <v>70</v>
      </c>
      <c r="F2529" s="3">
        <v>0.71597222222222223</v>
      </c>
      <c r="G2529" t="s">
        <v>16160</v>
      </c>
      <c r="H2529" t="s">
        <v>16161</v>
      </c>
      <c r="I2529">
        <v>706</v>
      </c>
      <c r="J2529" t="s">
        <v>16162</v>
      </c>
      <c r="K2529" t="s">
        <v>16163</v>
      </c>
      <c r="L2529" s="7" t="s">
        <v>16164</v>
      </c>
      <c r="M2529" t="s">
        <v>16165</v>
      </c>
      <c r="N2529">
        <v>51</v>
      </c>
      <c r="O2529">
        <v>44</v>
      </c>
      <c r="P2529">
        <v>7</v>
      </c>
      <c r="Q2529">
        <v>50</v>
      </c>
      <c r="R2529">
        <v>44</v>
      </c>
      <c r="S2529">
        <v>6</v>
      </c>
      <c r="T2529">
        <v>0</v>
      </c>
      <c r="U2529" t="s">
        <v>16166</v>
      </c>
      <c r="V2529">
        <f>Tabla1[[#This Row],[Aboard]]-Tabla1[[#This Row],[Fatalities]]</f>
        <v>1</v>
      </c>
      <c r="W2529" s="50">
        <f>IFERROR(Tabla1[[#This Row],[Fatalities]]/Tabla1[[#This Row],[Aboard]],0)</f>
        <v>0.98039215686274506</v>
      </c>
      <c r="X2529" s="51" t="str" cm="1">
        <f t="array" ref="X2529">_xlfn.IFS(Tabla1[[#This Row],[Porcentaje de muertes]]&lt;0.35,"LEVE",AND(Tabla1[[#This Row],[Porcentaje de muertes]]&gt;0.35,Tabla1[[#This Row],[Porcentaje de muertes]]&lt;0.65),"MEDIO",Tabla1[[#This Row],[Porcentaje de muertes]]&gt;0.65,"GRAVE")</f>
        <v>GRAVE</v>
      </c>
    </row>
    <row r="2530" spans="2:24" x14ac:dyDescent="0.3">
      <c r="B2530" s="9">
        <v>2529</v>
      </c>
      <c r="C2530" s="49">
        <v>26120</v>
      </c>
      <c r="D2530" s="9">
        <f>YEAR(Tabla1[[#This Row],[Date]])</f>
        <v>1971</v>
      </c>
      <c r="E2530" s="9" t="str" cm="1">
        <f t="array" ref="E2530">IFERROR(_xlfn.IFS(AND(D2530&lt;1980,D2530&gt;=1970),"70",AND(D2530&lt;1990,D2530&gt;=1980),"80",AND(D2530&lt;2000,D2530&gt;=1990),"90",AND(D2530&lt;2010,D2530&gt;=2000),"00",AND(D2530&lt;=2019,D2530&gt;=2010),"10"),"1908-1970")</f>
        <v>70</v>
      </c>
      <c r="F2530" s="3">
        <v>0.36736111111111108</v>
      </c>
      <c r="G2530" t="s">
        <v>16167</v>
      </c>
      <c r="H2530" t="s">
        <v>12818</v>
      </c>
      <c r="I2530">
        <v>485</v>
      </c>
      <c r="J2530" t="s">
        <v>16168</v>
      </c>
      <c r="K2530" t="s">
        <v>14857</v>
      </c>
      <c r="L2530" s="7" t="s">
        <v>16169</v>
      </c>
      <c r="M2530">
        <v>384</v>
      </c>
      <c r="N2530">
        <v>31</v>
      </c>
      <c r="O2530">
        <v>28</v>
      </c>
      <c r="P2530">
        <v>3</v>
      </c>
      <c r="Q2530">
        <v>28</v>
      </c>
      <c r="R2530">
        <v>26</v>
      </c>
      <c r="S2530">
        <v>2</v>
      </c>
      <c r="T2530">
        <v>0</v>
      </c>
      <c r="U2530" t="s">
        <v>16170</v>
      </c>
      <c r="V2530">
        <f>Tabla1[[#This Row],[Aboard]]-Tabla1[[#This Row],[Fatalities]]</f>
        <v>3</v>
      </c>
      <c r="W2530" s="50">
        <f>IFERROR(Tabla1[[#This Row],[Fatalities]]/Tabla1[[#This Row],[Aboard]],0)</f>
        <v>0.90322580645161288</v>
      </c>
      <c r="X2530" s="51" t="str" cm="1">
        <f t="array" ref="X2530">_xlfn.IFS(Tabla1[[#This Row],[Porcentaje de muertes]]&lt;0.35,"LEVE",AND(Tabla1[[#This Row],[Porcentaje de muertes]]&gt;0.35,Tabla1[[#This Row],[Porcentaje de muertes]]&lt;0.65),"MEDIO",Tabla1[[#This Row],[Porcentaje de muertes]]&gt;0.65,"GRAVE")</f>
        <v>GRAVE</v>
      </c>
    </row>
    <row r="2531" spans="2:24" x14ac:dyDescent="0.3">
      <c r="B2531" s="9">
        <v>2530</v>
      </c>
      <c r="C2531" s="49">
        <v>26097</v>
      </c>
      <c r="D2531" s="9">
        <f>YEAR(Tabla1[[#This Row],[Date]])</f>
        <v>1971</v>
      </c>
      <c r="E2531" s="9" t="str" cm="1">
        <f t="array" ref="E2531">IFERROR(_xlfn.IFS(AND(D2531&lt;1980,D2531&gt;=1970),"70",AND(D2531&lt;1990,D2531&gt;=1980),"80",AND(D2531&lt;2000,D2531&gt;=1990),"90",AND(D2531&lt;2010,D2531&gt;=2000),"00",AND(D2531&lt;=2019,D2531&gt;=2010),"10"),"1908-1970")</f>
        <v>70</v>
      </c>
      <c r="F2531" s="3">
        <v>0.5625</v>
      </c>
      <c r="G2531" t="s">
        <v>8871</v>
      </c>
      <c r="H2531" t="s">
        <v>7987</v>
      </c>
      <c r="I2531" t="s">
        <v>28931</v>
      </c>
      <c r="J2531" t="s">
        <v>16171</v>
      </c>
      <c r="K2531" t="s">
        <v>16172</v>
      </c>
      <c r="L2531" s="7" t="s">
        <v>16173</v>
      </c>
      <c r="M2531">
        <v>18238</v>
      </c>
      <c r="N2531">
        <v>24</v>
      </c>
      <c r="O2531">
        <v>20</v>
      </c>
      <c r="P2531">
        <v>4</v>
      </c>
      <c r="Q2531">
        <v>24</v>
      </c>
      <c r="R2531">
        <v>20</v>
      </c>
      <c r="S2531">
        <v>4</v>
      </c>
      <c r="T2531">
        <v>0</v>
      </c>
      <c r="U2531" t="s">
        <v>16174</v>
      </c>
      <c r="V2531">
        <f>Tabla1[[#This Row],[Aboard]]-Tabla1[[#This Row],[Fatalities]]</f>
        <v>0</v>
      </c>
      <c r="W2531" s="50">
        <f>IFERROR(Tabla1[[#This Row],[Fatalities]]/Tabla1[[#This Row],[Aboard]],0)</f>
        <v>1</v>
      </c>
      <c r="X2531" s="51" t="str" cm="1">
        <f t="array" ref="X2531">_xlfn.IFS(Tabla1[[#This Row],[Porcentaje de muertes]]&lt;0.35,"LEVE",AND(Tabla1[[#This Row],[Porcentaje de muertes]]&gt;0.35,Tabla1[[#This Row],[Porcentaje de muertes]]&lt;0.65),"MEDIO",Tabla1[[#This Row],[Porcentaje de muertes]]&gt;0.65,"GRAVE")</f>
        <v>GRAVE</v>
      </c>
    </row>
    <row r="2532" spans="2:24" x14ac:dyDescent="0.3">
      <c r="B2532" s="9">
        <v>2531</v>
      </c>
      <c r="C2532" s="49">
        <v>26101</v>
      </c>
      <c r="D2532" s="9">
        <f>YEAR(Tabla1[[#This Row],[Date]])</f>
        <v>1971</v>
      </c>
      <c r="E2532" s="9" t="str" cm="1">
        <f t="array" ref="E2532">IFERROR(_xlfn.IFS(AND(D2532&lt;1980,D2532&gt;=1970),"70",AND(D2532&lt;1990,D2532&gt;=1980),"80",AND(D2532&lt;2000,D2532&gt;=1990),"90",AND(D2532&lt;2010,D2532&gt;=2000),"00",AND(D2532&lt;=2019,D2532&gt;=2010),"10"),"1908-1970")</f>
        <v>70</v>
      </c>
      <c r="F2532" s="3">
        <v>0.60416666666666663</v>
      </c>
      <c r="G2532" t="s">
        <v>16175</v>
      </c>
      <c r="H2532" t="s">
        <v>16176</v>
      </c>
      <c r="I2532" t="s">
        <v>28931</v>
      </c>
      <c r="J2532" t="s">
        <v>16177</v>
      </c>
      <c r="K2532" t="s">
        <v>9230</v>
      </c>
      <c r="L2532" s="7" t="s">
        <v>16178</v>
      </c>
      <c r="M2532" t="s">
        <v>16179</v>
      </c>
      <c r="N2532">
        <v>6</v>
      </c>
      <c r="O2532">
        <v>4</v>
      </c>
      <c r="P2532">
        <v>2</v>
      </c>
      <c r="Q2532">
        <v>6</v>
      </c>
      <c r="R2532">
        <v>4</v>
      </c>
      <c r="S2532">
        <v>2</v>
      </c>
      <c r="T2532">
        <v>0</v>
      </c>
      <c r="U2532" t="s">
        <v>16180</v>
      </c>
      <c r="V2532">
        <f>Tabla1[[#This Row],[Aboard]]-Tabla1[[#This Row],[Fatalities]]</f>
        <v>0</v>
      </c>
      <c r="W2532" s="50">
        <f>IFERROR(Tabla1[[#This Row],[Fatalities]]/Tabla1[[#This Row],[Aboard]],0)</f>
        <v>1</v>
      </c>
      <c r="X2532" s="51" t="str" cm="1">
        <f t="array" ref="X2532">_xlfn.IFS(Tabla1[[#This Row],[Porcentaje de muertes]]&lt;0.35,"LEVE",AND(Tabla1[[#This Row],[Porcentaje de muertes]]&gt;0.35,Tabla1[[#This Row],[Porcentaje de muertes]]&lt;0.65),"MEDIO",Tabla1[[#This Row],[Porcentaje de muertes]]&gt;0.65,"GRAVE")</f>
        <v>GRAVE</v>
      </c>
    </row>
    <row r="2533" spans="2:24" x14ac:dyDescent="0.3">
      <c r="B2533" s="9">
        <v>2532</v>
      </c>
      <c r="C2533" s="49">
        <v>26112</v>
      </c>
      <c r="D2533" s="9">
        <f>YEAR(Tabla1[[#This Row],[Date]])</f>
        <v>1971</v>
      </c>
      <c r="E2533" s="9" t="str" cm="1">
        <f t="array" ref="E2533">IFERROR(_xlfn.IFS(AND(D2533&lt;1980,D2533&gt;=1970),"70",AND(D2533&lt;1990,D2533&gt;=1980),"80",AND(D2533&lt;2000,D2533&gt;=1990),"90",AND(D2533&lt;2010,D2533&gt;=2000),"00",AND(D2533&lt;=2019,D2533&gt;=2010),"10"),"1908-1970")</f>
        <v>70</v>
      </c>
      <c r="F2533" s="3">
        <v>0.75</v>
      </c>
      <c r="G2533" t="s">
        <v>16181</v>
      </c>
      <c r="H2533" t="s">
        <v>16182</v>
      </c>
      <c r="I2533" t="s">
        <v>28931</v>
      </c>
      <c r="J2533" t="s">
        <v>16183</v>
      </c>
      <c r="K2533" t="s">
        <v>7057</v>
      </c>
      <c r="L2533" s="7" t="s">
        <v>16184</v>
      </c>
      <c r="M2533">
        <v>4642</v>
      </c>
      <c r="N2533">
        <v>24</v>
      </c>
      <c r="O2533">
        <v>21</v>
      </c>
      <c r="P2533">
        <v>3</v>
      </c>
      <c r="Q2533">
        <v>17</v>
      </c>
      <c r="R2533">
        <v>15</v>
      </c>
      <c r="S2533">
        <v>2</v>
      </c>
      <c r="T2533">
        <v>0</v>
      </c>
      <c r="U2533" t="s">
        <v>16185</v>
      </c>
      <c r="V2533">
        <f>Tabla1[[#This Row],[Aboard]]-Tabla1[[#This Row],[Fatalities]]</f>
        <v>7</v>
      </c>
      <c r="W2533" s="50">
        <f>IFERROR(Tabla1[[#This Row],[Fatalities]]/Tabla1[[#This Row],[Aboard]],0)</f>
        <v>0.70833333333333337</v>
      </c>
      <c r="X2533" s="51" t="str" cm="1">
        <f t="array" ref="X2533">_xlfn.IFS(Tabla1[[#This Row],[Porcentaje de muertes]]&lt;0.35,"LEVE",AND(Tabla1[[#This Row],[Porcentaje de muertes]]&gt;0.35,Tabla1[[#This Row],[Porcentaje de muertes]]&lt;0.65),"MEDIO",Tabla1[[#This Row],[Porcentaje de muertes]]&gt;0.65,"GRAVE")</f>
        <v>GRAVE</v>
      </c>
    </row>
    <row r="2534" spans="2:24" x14ac:dyDescent="0.3">
      <c r="B2534" s="9">
        <v>2533</v>
      </c>
      <c r="C2534" s="49">
        <v>25999</v>
      </c>
      <c r="D2534" s="9">
        <f>YEAR(Tabla1[[#This Row],[Date]])</f>
        <v>1971</v>
      </c>
      <c r="E2534" s="9" t="str" cm="1">
        <f t="array" ref="E2534">IFERROR(_xlfn.IFS(AND(D2534&lt;1980,D2534&gt;=1970),"70",AND(D2534&lt;1990,D2534&gt;=1980),"80",AND(D2534&lt;2000,D2534&gt;=1990),"90",AND(D2534&lt;2010,D2534&gt;=2000),"00",AND(D2534&lt;=2019,D2534&gt;=2010),"10"),"1908-1970")</f>
        <v>70</v>
      </c>
      <c r="F2534" s="3">
        <v>0.75694444444444453</v>
      </c>
      <c r="G2534" t="s">
        <v>16186</v>
      </c>
      <c r="H2534" t="s">
        <v>16187</v>
      </c>
      <c r="I2534">
        <v>63</v>
      </c>
      <c r="J2534" t="s">
        <v>16188</v>
      </c>
      <c r="K2534" t="s">
        <v>16189</v>
      </c>
      <c r="L2534" s="7" t="s">
        <v>16190</v>
      </c>
      <c r="M2534">
        <v>2134</v>
      </c>
      <c r="N2534">
        <v>68</v>
      </c>
      <c r="O2534">
        <v>64</v>
      </c>
      <c r="P2534">
        <v>4</v>
      </c>
      <c r="Q2534">
        <v>68</v>
      </c>
      <c r="R2534">
        <v>64</v>
      </c>
      <c r="S2534">
        <v>4</v>
      </c>
      <c r="T2534">
        <v>0</v>
      </c>
      <c r="U2534" t="s">
        <v>16191</v>
      </c>
      <c r="V2534">
        <f>Tabla1[[#This Row],[Aboard]]-Tabla1[[#This Row],[Fatalities]]</f>
        <v>0</v>
      </c>
      <c r="W2534" s="50">
        <f>IFERROR(Tabla1[[#This Row],[Fatalities]]/Tabla1[[#This Row],[Aboard]],0)</f>
        <v>1</v>
      </c>
      <c r="X2534" s="51" t="str" cm="1">
        <f t="array" ref="X2534">_xlfn.IFS(Tabla1[[#This Row],[Porcentaje de muertes]]&lt;0.35,"LEVE",AND(Tabla1[[#This Row],[Porcentaje de muertes]]&gt;0.35,Tabla1[[#This Row],[Porcentaje de muertes]]&lt;0.65),"MEDIO",Tabla1[[#This Row],[Porcentaje de muertes]]&gt;0.65,"GRAVE")</f>
        <v>GRAVE</v>
      </c>
    </row>
    <row r="2535" spans="2:24" x14ac:dyDescent="0.3">
      <c r="B2535" s="9">
        <v>2534</v>
      </c>
      <c r="C2535" s="49">
        <v>26138</v>
      </c>
      <c r="D2535" s="9">
        <f>YEAR(Tabla1[[#This Row],[Date]])</f>
        <v>1971</v>
      </c>
      <c r="E2535" s="9" t="str" cm="1">
        <f t="array" ref="E2535">IFERROR(_xlfn.IFS(AND(D2535&lt;1980,D2535&gt;=1970),"70",AND(D2535&lt;1990,D2535&gt;=1980),"80",AND(D2535&lt;2000,D2535&gt;=1990),"90",AND(D2535&lt;2010,D2535&gt;=2000),"00",AND(D2535&lt;=2019,D2535&gt;=2010),"10"),"1908-1970")</f>
        <v>70</v>
      </c>
      <c r="F2535" s="3" t="s">
        <v>28931</v>
      </c>
      <c r="G2535" t="s">
        <v>16192</v>
      </c>
      <c r="H2535" t="s">
        <v>16193</v>
      </c>
      <c r="I2535" t="s">
        <v>28931</v>
      </c>
      <c r="J2535" t="s">
        <v>16194</v>
      </c>
      <c r="K2535" t="s">
        <v>7057</v>
      </c>
      <c r="L2535" s="7" t="s">
        <v>16195</v>
      </c>
      <c r="M2535">
        <v>20505</v>
      </c>
      <c r="N2535">
        <v>6</v>
      </c>
      <c r="O2535">
        <v>4</v>
      </c>
      <c r="P2535">
        <v>2</v>
      </c>
      <c r="Q2535">
        <v>6</v>
      </c>
      <c r="R2535">
        <v>4</v>
      </c>
      <c r="S2535">
        <v>2</v>
      </c>
      <c r="T2535">
        <v>0</v>
      </c>
      <c r="U2535" t="s">
        <v>16196</v>
      </c>
      <c r="V2535">
        <f>Tabla1[[#This Row],[Aboard]]-Tabla1[[#This Row],[Fatalities]]</f>
        <v>0</v>
      </c>
      <c r="W2535" s="50">
        <f>IFERROR(Tabla1[[#This Row],[Fatalities]]/Tabla1[[#This Row],[Aboard]],0)</f>
        <v>1</v>
      </c>
      <c r="X2535" s="51" t="str" cm="1">
        <f t="array" ref="X2535">_xlfn.IFS(Tabla1[[#This Row],[Porcentaje de muertes]]&lt;0.35,"LEVE",AND(Tabla1[[#This Row],[Porcentaje de muertes]]&gt;0.35,Tabla1[[#This Row],[Porcentaje de muertes]]&lt;0.65),"MEDIO",Tabla1[[#This Row],[Porcentaje de muertes]]&gt;0.65,"GRAVE")</f>
        <v>GRAVE</v>
      </c>
    </row>
    <row r="2536" spans="2:24" x14ac:dyDescent="0.3">
      <c r="B2536" s="9">
        <v>2535</v>
      </c>
      <c r="C2536" s="49">
        <v>26139</v>
      </c>
      <c r="D2536" s="9">
        <f>YEAR(Tabla1[[#This Row],[Date]])</f>
        <v>1971</v>
      </c>
      <c r="E2536" s="9" t="str" cm="1">
        <f t="array" ref="E2536">IFERROR(_xlfn.IFS(AND(D2536&lt;1980,D2536&gt;=1970),"70",AND(D2536&lt;1990,D2536&gt;=1980),"80",AND(D2536&lt;2000,D2536&gt;=1990),"90",AND(D2536&lt;2010,D2536&gt;=2000),"00",AND(D2536&lt;=2019,D2536&gt;=2010),"10"),"1908-1970")</f>
        <v>70</v>
      </c>
      <c r="F2536" s="3">
        <v>0.55625000000000002</v>
      </c>
      <c r="G2536" t="s">
        <v>12372</v>
      </c>
      <c r="H2536" t="s">
        <v>7121</v>
      </c>
      <c r="I2536" t="s">
        <v>28931</v>
      </c>
      <c r="J2536" t="s">
        <v>16197</v>
      </c>
      <c r="K2536" t="s">
        <v>15389</v>
      </c>
      <c r="L2536" s="7" t="s">
        <v>16198</v>
      </c>
      <c r="M2536" t="s">
        <v>28931</v>
      </c>
      <c r="N2536">
        <v>4</v>
      </c>
      <c r="O2536">
        <v>0</v>
      </c>
      <c r="P2536">
        <v>4</v>
      </c>
      <c r="Q2536">
        <v>4</v>
      </c>
      <c r="R2536">
        <v>0</v>
      </c>
      <c r="S2536">
        <v>4</v>
      </c>
      <c r="T2536">
        <v>0</v>
      </c>
      <c r="U2536" t="s">
        <v>16199</v>
      </c>
      <c r="V2536">
        <f>Tabla1[[#This Row],[Aboard]]-Tabla1[[#This Row],[Fatalities]]</f>
        <v>0</v>
      </c>
      <c r="W2536" s="50">
        <f>IFERROR(Tabla1[[#This Row],[Fatalities]]/Tabla1[[#This Row],[Aboard]],0)</f>
        <v>1</v>
      </c>
      <c r="X2536" s="51" t="str" cm="1">
        <f t="array" ref="X2536">_xlfn.IFS(Tabla1[[#This Row],[Porcentaje de muertes]]&lt;0.35,"LEVE",AND(Tabla1[[#This Row],[Porcentaje de muertes]]&gt;0.35,Tabla1[[#This Row],[Porcentaje de muertes]]&lt;0.65),"MEDIO",Tabla1[[#This Row],[Porcentaje de muertes]]&gt;0.65,"GRAVE")</f>
        <v>GRAVE</v>
      </c>
    </row>
    <row r="2537" spans="2:24" x14ac:dyDescent="0.3">
      <c r="B2537" s="9">
        <v>2536</v>
      </c>
      <c r="C2537" s="49">
        <v>26139</v>
      </c>
      <c r="D2537" s="9">
        <f>YEAR(Tabla1[[#This Row],[Date]])</f>
        <v>1971</v>
      </c>
      <c r="E2537" s="9" t="str" cm="1">
        <f t="array" ref="E2537">IFERROR(_xlfn.IFS(AND(D2537&lt;1980,D2537&gt;=1970),"70",AND(D2537&lt;1990,D2537&gt;=1980),"80",AND(D2537&lt;2000,D2537&gt;=1990),"90",AND(D2537&lt;2010,D2537&gt;=2000),"00",AND(D2537&lt;=2019,D2537&gt;=2010),"10"),"1908-1970")</f>
        <v>70</v>
      </c>
      <c r="F2537" s="3">
        <v>0.3576388888888889</v>
      </c>
      <c r="G2537" t="s">
        <v>13909</v>
      </c>
      <c r="H2537" t="s">
        <v>6541</v>
      </c>
      <c r="I2537">
        <v>1912</v>
      </c>
      <c r="J2537" t="s">
        <v>16200</v>
      </c>
      <c r="K2537" t="s">
        <v>13269</v>
      </c>
      <c r="L2537" s="7" t="s">
        <v>16201</v>
      </c>
      <c r="M2537">
        <v>820202</v>
      </c>
      <c r="N2537">
        <v>126</v>
      </c>
      <c r="O2537">
        <v>118</v>
      </c>
      <c r="P2537">
        <v>8</v>
      </c>
      <c r="Q2537">
        <v>97</v>
      </c>
      <c r="R2537">
        <v>93</v>
      </c>
      <c r="S2537">
        <v>4</v>
      </c>
      <c r="T2537">
        <v>0</v>
      </c>
      <c r="U2537" t="s">
        <v>16202</v>
      </c>
      <c r="V2537">
        <f>Tabla1[[#This Row],[Aboard]]-Tabla1[[#This Row],[Fatalities]]</f>
        <v>29</v>
      </c>
      <c r="W2537" s="50">
        <f>IFERROR(Tabla1[[#This Row],[Fatalities]]/Tabla1[[#This Row],[Aboard]],0)</f>
        <v>0.76984126984126988</v>
      </c>
      <c r="X2537" s="51" t="str" cm="1">
        <f t="array" ref="X2537">_xlfn.IFS(Tabla1[[#This Row],[Porcentaje de muertes]]&lt;0.35,"LEVE",AND(Tabla1[[#This Row],[Porcentaje de muertes]]&gt;0.35,Tabla1[[#This Row],[Porcentaje de muertes]]&lt;0.65),"MEDIO",Tabla1[[#This Row],[Porcentaje de muertes]]&gt;0.65,"GRAVE")</f>
        <v>GRAVE</v>
      </c>
    </row>
    <row r="2538" spans="2:24" x14ac:dyDescent="0.3">
      <c r="B2538" s="9">
        <v>2537</v>
      </c>
      <c r="C2538" s="49">
        <v>26144</v>
      </c>
      <c r="D2538" s="9">
        <f>YEAR(Tabla1[[#This Row],[Date]])</f>
        <v>1971</v>
      </c>
      <c r="E2538" s="9" t="str" cm="1">
        <f t="array" ref="E2538">IFERROR(_xlfn.IFS(AND(D2538&lt;1980,D2538&gt;=1970),"70",AND(D2538&lt;1990,D2538&gt;=1980),"80",AND(D2538&lt;2000,D2538&gt;=1990),"90",AND(D2538&lt;2010,D2538&gt;=2000),"00",AND(D2538&lt;=2019,D2538&gt;=2010),"10"),"1908-1970")</f>
        <v>70</v>
      </c>
      <c r="F2538" s="3">
        <v>0.625</v>
      </c>
      <c r="G2538" t="s">
        <v>16203</v>
      </c>
      <c r="H2538" t="s">
        <v>13495</v>
      </c>
      <c r="I2538" t="s">
        <v>28931</v>
      </c>
      <c r="J2538" t="s">
        <v>16204</v>
      </c>
      <c r="K2538" t="s">
        <v>12638</v>
      </c>
      <c r="L2538" s="7">
        <v>49</v>
      </c>
      <c r="M2538" t="s">
        <v>28931</v>
      </c>
      <c r="N2538">
        <v>39</v>
      </c>
      <c r="O2538">
        <v>36</v>
      </c>
      <c r="P2538">
        <v>3</v>
      </c>
      <c r="Q2538">
        <v>37</v>
      </c>
      <c r="R2538">
        <v>34</v>
      </c>
      <c r="S2538">
        <v>3</v>
      </c>
      <c r="T2538">
        <v>0</v>
      </c>
      <c r="U2538" t="s">
        <v>16205</v>
      </c>
      <c r="V2538">
        <f>Tabla1[[#This Row],[Aboard]]-Tabla1[[#This Row],[Fatalities]]</f>
        <v>2</v>
      </c>
      <c r="W2538" s="50">
        <f>IFERROR(Tabla1[[#This Row],[Fatalities]]/Tabla1[[#This Row],[Aboard]],0)</f>
        <v>0.94871794871794868</v>
      </c>
      <c r="X2538" s="51" t="str" cm="1">
        <f t="array" ref="X2538">_xlfn.IFS(Tabla1[[#This Row],[Porcentaje de muertes]]&lt;0.35,"LEVE",AND(Tabla1[[#This Row],[Porcentaje de muertes]]&gt;0.35,Tabla1[[#This Row],[Porcentaje de muertes]]&lt;0.65),"MEDIO",Tabla1[[#This Row],[Porcentaje de muertes]]&gt;0.65,"GRAVE")</f>
        <v>GRAVE</v>
      </c>
    </row>
    <row r="2539" spans="2:24" x14ac:dyDescent="0.3">
      <c r="B2539" s="9">
        <v>2538</v>
      </c>
      <c r="C2539" s="49">
        <v>26144</v>
      </c>
      <c r="D2539" s="9">
        <f>YEAR(Tabla1[[#This Row],[Date]])</f>
        <v>1971</v>
      </c>
      <c r="E2539" s="9" t="str" cm="1">
        <f t="array" ref="E2539">IFERROR(_xlfn.IFS(AND(D2539&lt;1980,D2539&gt;=1970),"70",AND(D2539&lt;1990,D2539&gt;=1980),"80",AND(D2539&lt;2000,D2539&gt;=1990),"90",AND(D2539&lt;2010,D2539&gt;=2000),"00",AND(D2539&lt;=2019,D2539&gt;=2010),"10"),"1908-1970")</f>
        <v>70</v>
      </c>
      <c r="F2539" s="3">
        <v>0.58333333333333337</v>
      </c>
      <c r="G2539" t="s">
        <v>16206</v>
      </c>
      <c r="H2539" t="s">
        <v>16207</v>
      </c>
      <c r="I2539">
        <v>58</v>
      </c>
      <c r="J2539" t="s">
        <v>16208</v>
      </c>
      <c r="K2539" t="s">
        <v>16209</v>
      </c>
      <c r="L2539" s="7" t="s">
        <v>16210</v>
      </c>
      <c r="M2539" t="s">
        <v>16211</v>
      </c>
      <c r="N2539">
        <v>164</v>
      </c>
      <c r="O2539">
        <v>155</v>
      </c>
      <c r="P2539">
        <v>9</v>
      </c>
      <c r="Q2539">
        <v>163</v>
      </c>
      <c r="R2539">
        <v>155</v>
      </c>
      <c r="S2539">
        <v>8</v>
      </c>
      <c r="T2539">
        <v>0</v>
      </c>
      <c r="U2539" t="s">
        <v>16212</v>
      </c>
      <c r="V2539">
        <f>Tabla1[[#This Row],[Aboard]]-Tabla1[[#This Row],[Fatalities]]</f>
        <v>1</v>
      </c>
      <c r="W2539" s="50">
        <f>IFERROR(Tabla1[[#This Row],[Fatalities]]/Tabla1[[#This Row],[Aboard]],0)</f>
        <v>0.99390243902439024</v>
      </c>
      <c r="X2539" s="51" t="str" cm="1">
        <f t="array" ref="X2539">_xlfn.IFS(Tabla1[[#This Row],[Porcentaje de muertes]]&lt;0.35,"LEVE",AND(Tabla1[[#This Row],[Porcentaje de muertes]]&gt;0.35,Tabla1[[#This Row],[Porcentaje de muertes]]&lt;0.65),"MEDIO",Tabla1[[#This Row],[Porcentaje de muertes]]&gt;0.65,"GRAVE")</f>
        <v>GRAVE</v>
      </c>
    </row>
    <row r="2540" spans="2:24" x14ac:dyDescent="0.3">
      <c r="B2540" s="9">
        <v>2539</v>
      </c>
      <c r="C2540" s="49">
        <v>26144</v>
      </c>
      <c r="D2540" s="9">
        <f>YEAR(Tabla1[[#This Row],[Date]])</f>
        <v>1971</v>
      </c>
      <c r="E2540" s="9" t="str" cm="1">
        <f t="array" ref="E2540">IFERROR(_xlfn.IFS(AND(D2540&lt;1980,D2540&gt;=1970),"70",AND(D2540&lt;1990,D2540&gt;=1980),"80",AND(D2540&lt;2000,D2540&gt;=1990),"90",AND(D2540&lt;2010,D2540&gt;=2000),"00",AND(D2540&lt;=2019,D2540&gt;=2010),"10"),"1908-1970")</f>
        <v>70</v>
      </c>
      <c r="F2540" s="3">
        <v>0.60347222222222219</v>
      </c>
      <c r="G2540" t="s">
        <v>13788</v>
      </c>
      <c r="H2540" t="s">
        <v>7121</v>
      </c>
      <c r="I2540">
        <v>845</v>
      </c>
      <c r="J2540" t="s">
        <v>16213</v>
      </c>
      <c r="K2540" t="s">
        <v>16214</v>
      </c>
      <c r="L2540" s="7" t="s">
        <v>16215</v>
      </c>
      <c r="M2540" t="s">
        <v>16216</v>
      </c>
      <c r="N2540">
        <v>218</v>
      </c>
      <c r="O2540">
        <v>197</v>
      </c>
      <c r="P2540">
        <v>21</v>
      </c>
      <c r="Q2540">
        <v>0</v>
      </c>
      <c r="R2540">
        <v>0</v>
      </c>
      <c r="S2540">
        <v>0</v>
      </c>
      <c r="T2540">
        <v>0</v>
      </c>
      <c r="U2540" t="s">
        <v>16217</v>
      </c>
      <c r="V2540">
        <f>Tabla1[[#This Row],[Aboard]]-Tabla1[[#This Row],[Fatalities]]</f>
        <v>218</v>
      </c>
      <c r="W2540" s="50">
        <f>IFERROR(Tabla1[[#This Row],[Fatalities]]/Tabla1[[#This Row],[Aboard]],0)</f>
        <v>0</v>
      </c>
      <c r="X2540" s="51" t="str" cm="1">
        <f t="array" ref="X2540">_xlfn.IFS(Tabla1[[#This Row],[Porcentaje de muertes]]&lt;0.35,"LEVE",AND(Tabla1[[#This Row],[Porcentaje de muertes]]&gt;0.35,Tabla1[[#This Row],[Porcentaje de muertes]]&lt;0.65),"MEDIO",Tabla1[[#This Row],[Porcentaje de muertes]]&gt;0.65,"GRAVE")</f>
        <v>LEVE</v>
      </c>
    </row>
    <row r="2541" spans="2:24" x14ac:dyDescent="0.3">
      <c r="B2541" s="9">
        <v>2540</v>
      </c>
      <c r="C2541" s="49">
        <v>26163</v>
      </c>
      <c r="D2541" s="9">
        <f>YEAR(Tabla1[[#This Row],[Date]])</f>
        <v>1971</v>
      </c>
      <c r="E2541" s="9" t="str" cm="1">
        <f t="array" ref="E2541">IFERROR(_xlfn.IFS(AND(D2541&lt;1980,D2541&gt;=1970),"70",AND(D2541&lt;1990,D2541&gt;=1980),"80",AND(D2541&lt;2000,D2541&gt;=1990),"90",AND(D2541&lt;2010,D2541&gt;=2000),"00",AND(D2541&lt;=2019,D2541&gt;=2010),"10"),"1908-1970")</f>
        <v>70</v>
      </c>
      <c r="F2541" s="3">
        <v>0.40277777777777773</v>
      </c>
      <c r="G2541" t="s">
        <v>16218</v>
      </c>
      <c r="H2541" t="s">
        <v>5017</v>
      </c>
      <c r="I2541" t="s">
        <v>28931</v>
      </c>
      <c r="J2541" t="s">
        <v>16219</v>
      </c>
      <c r="K2541" t="s">
        <v>16220</v>
      </c>
      <c r="L2541" s="7" t="s">
        <v>16221</v>
      </c>
      <c r="M2541" t="s">
        <v>28931</v>
      </c>
      <c r="N2541">
        <v>37</v>
      </c>
      <c r="O2541">
        <v>32</v>
      </c>
      <c r="P2541">
        <v>5</v>
      </c>
      <c r="Q2541">
        <v>37</v>
      </c>
      <c r="R2541">
        <v>32</v>
      </c>
      <c r="S2541">
        <v>5</v>
      </c>
      <c r="T2541">
        <v>0</v>
      </c>
      <c r="U2541" t="s">
        <v>16222</v>
      </c>
      <c r="V2541">
        <f>Tabla1[[#This Row],[Aboard]]-Tabla1[[#This Row],[Fatalities]]</f>
        <v>0</v>
      </c>
      <c r="W2541" s="50">
        <f>IFERROR(Tabla1[[#This Row],[Fatalities]]/Tabla1[[#This Row],[Aboard]],0)</f>
        <v>1</v>
      </c>
      <c r="X2541" s="51" t="str" cm="1">
        <f t="array" ref="X2541">_xlfn.IFS(Tabla1[[#This Row],[Porcentaje de muertes]]&lt;0.35,"LEVE",AND(Tabla1[[#This Row],[Porcentaje de muertes]]&gt;0.35,Tabla1[[#This Row],[Porcentaje de muertes]]&lt;0.65),"MEDIO",Tabla1[[#This Row],[Porcentaje de muertes]]&gt;0.65,"GRAVE")</f>
        <v>GRAVE</v>
      </c>
    </row>
    <row r="2542" spans="2:24" x14ac:dyDescent="0.3">
      <c r="B2542" s="9">
        <v>2541</v>
      </c>
      <c r="C2542" s="49">
        <v>26164</v>
      </c>
      <c r="D2542" s="9">
        <f>YEAR(Tabla1[[#This Row],[Date]])</f>
        <v>1971</v>
      </c>
      <c r="E2542" s="9" t="str" cm="1">
        <f t="array" ref="E2542">IFERROR(_xlfn.IFS(AND(D2542&lt;1980,D2542&gt;=1970),"70",AND(D2542&lt;1990,D2542&gt;=1980),"80",AND(D2542&lt;2000,D2542&gt;=1990),"90",AND(D2542&lt;2010,D2542&gt;=2000),"00",AND(D2542&lt;=2019,D2542&gt;=2010),"10"),"1908-1970")</f>
        <v>70</v>
      </c>
      <c r="F2542" s="3">
        <v>0.86111111111111116</v>
      </c>
      <c r="G2542" t="s">
        <v>16223</v>
      </c>
      <c r="H2542" t="s">
        <v>16224</v>
      </c>
      <c r="I2542" t="s">
        <v>28931</v>
      </c>
      <c r="J2542" t="s">
        <v>16225</v>
      </c>
      <c r="K2542" t="s">
        <v>16226</v>
      </c>
      <c r="L2542" s="7" t="s">
        <v>16227</v>
      </c>
      <c r="M2542" t="s">
        <v>16228</v>
      </c>
      <c r="N2542">
        <v>8</v>
      </c>
      <c r="O2542">
        <v>7</v>
      </c>
      <c r="P2542">
        <v>1</v>
      </c>
      <c r="Q2542">
        <v>3</v>
      </c>
      <c r="R2542">
        <v>2</v>
      </c>
      <c r="S2542">
        <v>1</v>
      </c>
      <c r="T2542">
        <v>0</v>
      </c>
      <c r="U2542" t="s">
        <v>16229</v>
      </c>
      <c r="V2542">
        <f>Tabla1[[#This Row],[Aboard]]-Tabla1[[#This Row],[Fatalities]]</f>
        <v>5</v>
      </c>
      <c r="W2542" s="50">
        <f>IFERROR(Tabla1[[#This Row],[Fatalities]]/Tabla1[[#This Row],[Aboard]],0)</f>
        <v>0.375</v>
      </c>
      <c r="X2542" s="51" t="str" cm="1">
        <f t="array" ref="X2542">_xlfn.IFS(Tabla1[[#This Row],[Porcentaje de muertes]]&lt;0.35,"LEVE",AND(Tabla1[[#This Row],[Porcentaje de muertes]]&gt;0.35,Tabla1[[#This Row],[Porcentaje de muertes]]&lt;0.65),"MEDIO",Tabla1[[#This Row],[Porcentaje de muertes]]&gt;0.65,"GRAVE")</f>
        <v>MEDIO</v>
      </c>
    </row>
    <row r="2543" spans="2:24" x14ac:dyDescent="0.3">
      <c r="B2543" s="9">
        <v>2542</v>
      </c>
      <c r="C2543" s="49">
        <v>26173</v>
      </c>
      <c r="D2543" s="9">
        <f>YEAR(Tabla1[[#This Row],[Date]])</f>
        <v>1971</v>
      </c>
      <c r="E2543" s="9" t="str" cm="1">
        <f t="array" ref="E2543">IFERROR(_xlfn.IFS(AND(D2543&lt;1980,D2543&gt;=1970),"70",AND(D2543&lt;1990,D2543&gt;=1980),"80",AND(D2543&lt;2000,D2543&gt;=1990),"90",AND(D2543&lt;2010,D2543&gt;=2000),"00",AND(D2543&lt;=2019,D2543&gt;=2010),"10"),"1908-1970")</f>
        <v>70</v>
      </c>
      <c r="F2543" s="3">
        <v>0.78611111111111109</v>
      </c>
      <c r="G2543" t="s">
        <v>7455</v>
      </c>
      <c r="H2543" t="s">
        <v>13288</v>
      </c>
      <c r="I2543" t="s">
        <v>28931</v>
      </c>
      <c r="J2543" t="s">
        <v>16230</v>
      </c>
      <c r="K2543" t="s">
        <v>13704</v>
      </c>
      <c r="L2543" s="7" t="s">
        <v>16231</v>
      </c>
      <c r="M2543">
        <v>181992903</v>
      </c>
      <c r="N2543">
        <v>34</v>
      </c>
      <c r="O2543">
        <v>25</v>
      </c>
      <c r="P2543">
        <v>9</v>
      </c>
      <c r="Q2543">
        <v>32</v>
      </c>
      <c r="R2543">
        <v>23</v>
      </c>
      <c r="S2543">
        <v>9</v>
      </c>
      <c r="T2543">
        <v>0</v>
      </c>
      <c r="U2543" t="s">
        <v>16232</v>
      </c>
      <c r="V2543">
        <f>Tabla1[[#This Row],[Aboard]]-Tabla1[[#This Row],[Fatalities]]</f>
        <v>2</v>
      </c>
      <c r="W2543" s="50">
        <f>IFERROR(Tabla1[[#This Row],[Fatalities]]/Tabla1[[#This Row],[Aboard]],0)</f>
        <v>0.94117647058823528</v>
      </c>
      <c r="X2543" s="51" t="str" cm="1">
        <f t="array" ref="X2543">_xlfn.IFS(Tabla1[[#This Row],[Porcentaje de muertes]]&lt;0.35,"LEVE",AND(Tabla1[[#This Row],[Porcentaje de muertes]]&gt;0.35,Tabla1[[#This Row],[Porcentaje de muertes]]&lt;0.65),"MEDIO",Tabla1[[#This Row],[Porcentaje de muertes]]&gt;0.65,"GRAVE")</f>
        <v>GRAVE</v>
      </c>
    </row>
    <row r="2544" spans="2:24" x14ac:dyDescent="0.3">
      <c r="B2544" s="9">
        <v>2543</v>
      </c>
      <c r="C2544" s="49">
        <v>26032</v>
      </c>
      <c r="D2544" s="9">
        <f>YEAR(Tabla1[[#This Row],[Date]])</f>
        <v>1971</v>
      </c>
      <c r="E2544" s="9" t="str" cm="1">
        <f t="array" ref="E2544">IFERROR(_xlfn.IFS(AND(D2544&lt;1980,D2544&gt;=1970),"70",AND(D2544&lt;1990,D2544&gt;=1980),"80",AND(D2544&lt;2000,D2544&gt;=1990),"90",AND(D2544&lt;2010,D2544&gt;=2000),"00",AND(D2544&lt;=2019,D2544&gt;=2010),"10"),"1908-1970")</f>
        <v>70</v>
      </c>
      <c r="F2544" s="3">
        <v>0.46875</v>
      </c>
      <c r="G2544" t="s">
        <v>14737</v>
      </c>
      <c r="H2544" t="s">
        <v>9289</v>
      </c>
      <c r="I2544">
        <v>1866</v>
      </c>
      <c r="J2544" t="s">
        <v>9290</v>
      </c>
      <c r="K2544" t="s">
        <v>16233</v>
      </c>
      <c r="L2544" s="7" t="s">
        <v>16234</v>
      </c>
      <c r="M2544" t="s">
        <v>16235</v>
      </c>
      <c r="N2544">
        <v>111</v>
      </c>
      <c r="O2544">
        <v>104</v>
      </c>
      <c r="P2544">
        <v>7</v>
      </c>
      <c r="Q2544">
        <v>111</v>
      </c>
      <c r="R2544">
        <v>104</v>
      </c>
      <c r="S2544">
        <v>7</v>
      </c>
      <c r="T2544">
        <v>0</v>
      </c>
      <c r="U2544" t="s">
        <v>16236</v>
      </c>
      <c r="V2544">
        <f>Tabla1[[#This Row],[Aboard]]-Tabla1[[#This Row],[Fatalities]]</f>
        <v>0</v>
      </c>
      <c r="W2544" s="50">
        <f>IFERROR(Tabla1[[#This Row],[Fatalities]]/Tabla1[[#This Row],[Aboard]],0)</f>
        <v>1</v>
      </c>
      <c r="X2544" s="51" t="str" cm="1">
        <f t="array" ref="X2544">_xlfn.IFS(Tabla1[[#This Row],[Porcentaje de muertes]]&lt;0.35,"LEVE",AND(Tabla1[[#This Row],[Porcentaje de muertes]]&gt;0.35,Tabla1[[#This Row],[Porcentaje de muertes]]&lt;0.65),"MEDIO",Tabla1[[#This Row],[Porcentaje de muertes]]&gt;0.65,"GRAVE")</f>
        <v>GRAVE</v>
      </c>
    </row>
    <row r="2545" spans="2:24" x14ac:dyDescent="0.3">
      <c r="B2545" s="9">
        <v>2544</v>
      </c>
      <c r="C2545" s="49">
        <v>26093</v>
      </c>
      <c r="D2545" s="9">
        <f>YEAR(Tabla1[[#This Row],[Date]])</f>
        <v>1971</v>
      </c>
      <c r="E2545" s="9" t="str" cm="1">
        <f t="array" ref="E2545">IFERROR(_xlfn.IFS(AND(D2545&lt;1980,D2545&gt;=1970),"70",AND(D2545&lt;1990,D2545&gt;=1980),"80",AND(D2545&lt;2000,D2545&gt;=1990),"90",AND(D2545&lt;2010,D2545&gt;=2000),"00",AND(D2545&lt;=2019,D2545&gt;=2010),"10"),"1908-1970")</f>
        <v>70</v>
      </c>
      <c r="F2545" s="3">
        <v>0.76458333333333339</v>
      </c>
      <c r="G2545" t="s">
        <v>16237</v>
      </c>
      <c r="H2545" t="s">
        <v>16238</v>
      </c>
      <c r="I2545">
        <v>112</v>
      </c>
      <c r="J2545" t="s">
        <v>16239</v>
      </c>
      <c r="K2545" t="s">
        <v>16240</v>
      </c>
      <c r="L2545" s="7" t="s">
        <v>16241</v>
      </c>
      <c r="M2545">
        <v>207</v>
      </c>
      <c r="N2545">
        <v>121</v>
      </c>
      <c r="O2545">
        <v>115</v>
      </c>
      <c r="P2545">
        <v>6</v>
      </c>
      <c r="Q2545">
        <v>22</v>
      </c>
      <c r="R2545">
        <v>21</v>
      </c>
      <c r="S2545">
        <v>1</v>
      </c>
      <c r="T2545">
        <v>0</v>
      </c>
      <c r="U2545" t="s">
        <v>16242</v>
      </c>
      <c r="V2545">
        <f>Tabla1[[#This Row],[Aboard]]-Tabla1[[#This Row],[Fatalities]]</f>
        <v>99</v>
      </c>
      <c r="W2545" s="50">
        <f>IFERROR(Tabla1[[#This Row],[Fatalities]]/Tabla1[[#This Row],[Aboard]],0)</f>
        <v>0.18181818181818182</v>
      </c>
      <c r="X2545" s="51" t="str" cm="1">
        <f t="array" ref="X2545">_xlfn.IFS(Tabla1[[#This Row],[Porcentaje de muertes]]&lt;0.35,"LEVE",AND(Tabla1[[#This Row],[Porcentaje de muertes]]&gt;0.35,Tabla1[[#This Row],[Porcentaje de muertes]]&lt;0.65),"MEDIO",Tabla1[[#This Row],[Porcentaje de muertes]]&gt;0.65,"GRAVE")</f>
        <v>LEVE</v>
      </c>
    </row>
    <row r="2546" spans="2:24" x14ac:dyDescent="0.3">
      <c r="B2546" s="9">
        <v>2545</v>
      </c>
      <c r="C2546" s="49">
        <v>26192</v>
      </c>
      <c r="D2546" s="9">
        <f>YEAR(Tabla1[[#This Row],[Date]])</f>
        <v>1971</v>
      </c>
      <c r="E2546" s="9" t="str" cm="1">
        <f t="array" ref="E2546">IFERROR(_xlfn.IFS(AND(D2546&lt;1980,D2546&gt;=1970),"70",AND(D2546&lt;1990,D2546&gt;=1980),"80",AND(D2546&lt;2000,D2546&gt;=1990),"90",AND(D2546&lt;2010,D2546&gt;=2000),"00",AND(D2546&lt;=2019,D2546&gt;=2010),"10"),"1908-1970")</f>
        <v>70</v>
      </c>
      <c r="F2546" s="3" t="s">
        <v>28931</v>
      </c>
      <c r="G2546" t="s">
        <v>16243</v>
      </c>
      <c r="H2546" t="s">
        <v>12518</v>
      </c>
      <c r="I2546" t="s">
        <v>28931</v>
      </c>
      <c r="J2546" t="s">
        <v>16244</v>
      </c>
      <c r="K2546" t="s">
        <v>7057</v>
      </c>
      <c r="L2546" s="7" t="s">
        <v>16245</v>
      </c>
      <c r="M2546">
        <v>9334</v>
      </c>
      <c r="N2546">
        <v>5</v>
      </c>
      <c r="O2546">
        <v>3</v>
      </c>
      <c r="P2546">
        <v>2</v>
      </c>
      <c r="Q2546">
        <v>5</v>
      </c>
      <c r="R2546">
        <v>3</v>
      </c>
      <c r="S2546">
        <v>2</v>
      </c>
      <c r="T2546">
        <v>0</v>
      </c>
      <c r="U2546" t="s">
        <v>16246</v>
      </c>
      <c r="V2546">
        <f>Tabla1[[#This Row],[Aboard]]-Tabla1[[#This Row],[Fatalities]]</f>
        <v>0</v>
      </c>
      <c r="W2546" s="50">
        <f>IFERROR(Tabla1[[#This Row],[Fatalities]]/Tabla1[[#This Row],[Aboard]],0)</f>
        <v>1</v>
      </c>
      <c r="X2546" s="51" t="str" cm="1">
        <f t="array" ref="X2546">_xlfn.IFS(Tabla1[[#This Row],[Porcentaje de muertes]]&lt;0.35,"LEVE",AND(Tabla1[[#This Row],[Porcentaje de muertes]]&gt;0.35,Tabla1[[#This Row],[Porcentaje de muertes]]&lt;0.65),"MEDIO",Tabla1[[#This Row],[Porcentaje de muertes]]&gt;0.65,"GRAVE")</f>
        <v>GRAVE</v>
      </c>
    </row>
    <row r="2547" spans="2:24" x14ac:dyDescent="0.3">
      <c r="B2547" s="9">
        <v>2546</v>
      </c>
      <c r="C2547" s="49">
        <v>26192</v>
      </c>
      <c r="D2547" s="9">
        <f>YEAR(Tabla1[[#This Row],[Date]])</f>
        <v>1971</v>
      </c>
      <c r="E2547" s="9" t="str" cm="1">
        <f t="array" ref="E2547">IFERROR(_xlfn.IFS(AND(D2547&lt;1980,D2547&gt;=1970),"70",AND(D2547&lt;1990,D2547&gt;=1980),"80",AND(D2547&lt;2000,D2547&gt;=1990),"90",AND(D2547&lt;2010,D2547&gt;=2000),"00",AND(D2547&lt;=2019,D2547&gt;=2010),"10"),"1908-1970")</f>
        <v>70</v>
      </c>
      <c r="F2547" s="3">
        <v>0.48819444444444443</v>
      </c>
      <c r="G2547" t="s">
        <v>16247</v>
      </c>
      <c r="H2547" t="s">
        <v>13288</v>
      </c>
      <c r="I2547" t="s">
        <v>28931</v>
      </c>
      <c r="J2547" t="s">
        <v>16248</v>
      </c>
      <c r="K2547" t="s">
        <v>16145</v>
      </c>
      <c r="L2547" s="7" t="s">
        <v>16249</v>
      </c>
      <c r="M2547">
        <v>9350801</v>
      </c>
      <c r="N2547">
        <v>49</v>
      </c>
      <c r="O2547">
        <v>41</v>
      </c>
      <c r="P2547">
        <v>8</v>
      </c>
      <c r="Q2547">
        <v>49</v>
      </c>
      <c r="R2547">
        <v>41</v>
      </c>
      <c r="S2547">
        <v>8</v>
      </c>
      <c r="T2547">
        <v>0</v>
      </c>
      <c r="U2547" t="s">
        <v>16250</v>
      </c>
      <c r="V2547">
        <f>Tabla1[[#This Row],[Aboard]]-Tabla1[[#This Row],[Fatalities]]</f>
        <v>0</v>
      </c>
      <c r="W2547" s="50">
        <f>IFERROR(Tabla1[[#This Row],[Fatalities]]/Tabla1[[#This Row],[Aboard]],0)</f>
        <v>1</v>
      </c>
      <c r="X2547" s="51" t="str" cm="1">
        <f t="array" ref="X2547">_xlfn.IFS(Tabla1[[#This Row],[Porcentaje de muertes]]&lt;0.35,"LEVE",AND(Tabla1[[#This Row],[Porcentaje de muertes]]&gt;0.35,Tabla1[[#This Row],[Porcentaje de muertes]]&lt;0.65),"MEDIO",Tabla1[[#This Row],[Porcentaje de muertes]]&gt;0.65,"GRAVE")</f>
        <v>GRAVE</v>
      </c>
    </row>
    <row r="2548" spans="2:24" x14ac:dyDescent="0.3">
      <c r="B2548" s="9">
        <v>2547</v>
      </c>
      <c r="C2548" s="49">
        <v>26193</v>
      </c>
      <c r="D2548" s="9">
        <f>YEAR(Tabla1[[#This Row],[Date]])</f>
        <v>1971</v>
      </c>
      <c r="E2548" s="9" t="str" cm="1">
        <f t="array" ref="E2548">IFERROR(_xlfn.IFS(AND(D2548&lt;1980,D2548&gt;=1970),"70",AND(D2548&lt;1990,D2548&gt;=1980),"80",AND(D2548&lt;2000,D2548&gt;=1990),"90",AND(D2548&lt;2010,D2548&gt;=2000),"00",AND(D2548&lt;=2019,D2548&gt;=2010),"10"),"1908-1970")</f>
        <v>70</v>
      </c>
      <c r="F2548" s="3">
        <v>0.3125</v>
      </c>
      <c r="G2548" t="s">
        <v>16251</v>
      </c>
      <c r="H2548" t="s">
        <v>16075</v>
      </c>
      <c r="I2548" t="s">
        <v>28931</v>
      </c>
      <c r="J2548" t="s">
        <v>16252</v>
      </c>
      <c r="K2548" t="s">
        <v>16253</v>
      </c>
      <c r="L2548" s="7" t="s">
        <v>16254</v>
      </c>
      <c r="M2548">
        <v>601609</v>
      </c>
      <c r="N2548">
        <v>9</v>
      </c>
      <c r="O2548">
        <v>7</v>
      </c>
      <c r="P2548">
        <v>2</v>
      </c>
      <c r="Q2548">
        <v>9</v>
      </c>
      <c r="R2548">
        <v>6</v>
      </c>
      <c r="S2548">
        <v>2</v>
      </c>
      <c r="T2548">
        <v>0</v>
      </c>
      <c r="U2548" t="s">
        <v>16255</v>
      </c>
      <c r="V2548">
        <f>Tabla1[[#This Row],[Aboard]]-Tabla1[[#This Row],[Fatalities]]</f>
        <v>0</v>
      </c>
      <c r="W2548" s="50">
        <f>IFERROR(Tabla1[[#This Row],[Fatalities]]/Tabla1[[#This Row],[Aboard]],0)</f>
        <v>1</v>
      </c>
      <c r="X2548" s="51" t="str" cm="1">
        <f t="array" ref="X2548">_xlfn.IFS(Tabla1[[#This Row],[Porcentaje de muertes]]&lt;0.35,"LEVE",AND(Tabla1[[#This Row],[Porcentaje de muertes]]&gt;0.35,Tabla1[[#This Row],[Porcentaje de muertes]]&lt;0.65),"MEDIO",Tabla1[[#This Row],[Porcentaje de muertes]]&gt;0.65,"GRAVE")</f>
        <v>GRAVE</v>
      </c>
    </row>
    <row r="2549" spans="2:24" x14ac:dyDescent="0.3">
      <c r="B2549" s="9">
        <v>2548</v>
      </c>
      <c r="C2549" s="49">
        <v>26204</v>
      </c>
      <c r="D2549" s="9">
        <f>YEAR(Tabla1[[#This Row],[Date]])</f>
        <v>1971</v>
      </c>
      <c r="E2549" s="9" t="str" cm="1">
        <f t="array" ref="E2549">IFERROR(_xlfn.IFS(AND(D2549&lt;1980,D2549&gt;=1970),"70",AND(D2549&lt;1990,D2549&gt;=1980),"80",AND(D2549&lt;2000,D2549&gt;=1990),"90",AND(D2549&lt;2010,D2549&gt;=2000),"00",AND(D2549&lt;=2019,D2549&gt;=2010),"10"),"1908-1970")</f>
        <v>70</v>
      </c>
      <c r="F2549" s="3">
        <v>0.5</v>
      </c>
      <c r="G2549" t="s">
        <v>16256</v>
      </c>
      <c r="H2549" t="s">
        <v>9425</v>
      </c>
      <c r="I2549" t="s">
        <v>28931</v>
      </c>
      <c r="J2549" t="s">
        <v>16257</v>
      </c>
      <c r="K2549" t="s">
        <v>7057</v>
      </c>
      <c r="L2549" s="7" t="s">
        <v>16258</v>
      </c>
      <c r="M2549">
        <v>4977</v>
      </c>
      <c r="N2549">
        <v>32</v>
      </c>
      <c r="O2549">
        <v>28</v>
      </c>
      <c r="P2549">
        <v>4</v>
      </c>
      <c r="Q2549">
        <v>32</v>
      </c>
      <c r="R2549">
        <v>28</v>
      </c>
      <c r="S2549">
        <v>4</v>
      </c>
      <c r="T2549">
        <v>0</v>
      </c>
      <c r="U2549" t="s">
        <v>16259</v>
      </c>
      <c r="V2549">
        <f>Tabla1[[#This Row],[Aboard]]-Tabla1[[#This Row],[Fatalities]]</f>
        <v>0</v>
      </c>
      <c r="W2549" s="50">
        <f>IFERROR(Tabla1[[#This Row],[Fatalities]]/Tabla1[[#This Row],[Aboard]],0)</f>
        <v>1</v>
      </c>
      <c r="X2549" s="51" t="str" cm="1">
        <f t="array" ref="X2549">_xlfn.IFS(Tabla1[[#This Row],[Porcentaje de muertes]]&lt;0.35,"LEVE",AND(Tabla1[[#This Row],[Porcentaje de muertes]]&gt;0.35,Tabla1[[#This Row],[Porcentaje de muertes]]&lt;0.65),"MEDIO",Tabla1[[#This Row],[Porcentaje de muertes]]&gt;0.65,"GRAVE")</f>
        <v>GRAVE</v>
      </c>
    </row>
    <row r="2550" spans="2:24" x14ac:dyDescent="0.3">
      <c r="B2550" s="9">
        <v>2549</v>
      </c>
      <c r="C2550" s="49">
        <v>25974</v>
      </c>
      <c r="D2550" s="9">
        <f>YEAR(Tabla1[[#This Row],[Date]])</f>
        <v>1971</v>
      </c>
      <c r="E2550" s="9" t="str" cm="1">
        <f t="array" ref="E2550">IFERROR(_xlfn.IFS(AND(D2550&lt;1980,D2550&gt;=1970),"70",AND(D2550&lt;1990,D2550&gt;=1980),"80",AND(D2550&lt;2000,D2550&gt;=1990),"90",AND(D2550&lt;2010,D2550&gt;=2000),"00",AND(D2550&lt;=2019,D2550&gt;=2010),"10"),"1908-1970")</f>
        <v>70</v>
      </c>
      <c r="F2550" s="3">
        <v>0.46527777777777773</v>
      </c>
      <c r="G2550" t="s">
        <v>16260</v>
      </c>
      <c r="H2550" t="s">
        <v>8721</v>
      </c>
      <c r="I2550">
        <v>706</v>
      </c>
      <c r="J2550" t="s">
        <v>16261</v>
      </c>
      <c r="K2550" t="s">
        <v>14498</v>
      </c>
      <c r="L2550" s="7" t="s">
        <v>16262</v>
      </c>
      <c r="M2550">
        <v>706</v>
      </c>
      <c r="N2550">
        <v>63</v>
      </c>
      <c r="O2550">
        <v>55</v>
      </c>
      <c r="P2550">
        <v>8</v>
      </c>
      <c r="Q2550">
        <v>63</v>
      </c>
      <c r="R2550">
        <v>55</v>
      </c>
      <c r="S2550">
        <v>8</v>
      </c>
      <c r="T2550">
        <v>0</v>
      </c>
      <c r="U2550" t="s">
        <v>16263</v>
      </c>
      <c r="V2550">
        <f>Tabla1[[#This Row],[Aboard]]-Tabla1[[#This Row],[Fatalities]]</f>
        <v>0</v>
      </c>
      <c r="W2550" s="50">
        <f>IFERROR(Tabla1[[#This Row],[Fatalities]]/Tabla1[[#This Row],[Aboard]],0)</f>
        <v>1</v>
      </c>
      <c r="X2550" s="51" t="str" cm="1">
        <f t="array" ref="X2550">_xlfn.IFS(Tabla1[[#This Row],[Porcentaje de muertes]]&lt;0.35,"LEVE",AND(Tabla1[[#This Row],[Porcentaje de muertes]]&gt;0.35,Tabla1[[#This Row],[Porcentaje de muertes]]&lt;0.65),"MEDIO",Tabla1[[#This Row],[Porcentaje de muertes]]&gt;0.65,"GRAVE")</f>
        <v>GRAVE</v>
      </c>
    </row>
    <row r="2551" spans="2:24" x14ac:dyDescent="0.3">
      <c r="B2551" s="9">
        <v>2550</v>
      </c>
      <c r="C2551" s="49">
        <v>26216</v>
      </c>
      <c r="D2551" s="9">
        <f>YEAR(Tabla1[[#This Row],[Date]])</f>
        <v>1971</v>
      </c>
      <c r="E2551" s="9" t="str" cm="1">
        <f t="array" ref="E2551">IFERROR(_xlfn.IFS(AND(D2551&lt;1980,D2551&gt;=1970),"70",AND(D2551&lt;1990,D2551&gt;=1980),"80",AND(D2551&lt;2000,D2551&gt;=1990),"90",AND(D2551&lt;2010,D2551&gt;=2000),"00",AND(D2551&lt;=2019,D2551&gt;=2010),"10"),"1908-1970")</f>
        <v>70</v>
      </c>
      <c r="F2551" s="3">
        <v>0.84513888888888899</v>
      </c>
      <c r="G2551" t="s">
        <v>10681</v>
      </c>
      <c r="H2551" t="s">
        <v>6541</v>
      </c>
      <c r="I2551">
        <v>773</v>
      </c>
      <c r="J2551" t="s">
        <v>16264</v>
      </c>
      <c r="K2551" t="s">
        <v>13269</v>
      </c>
      <c r="L2551" s="7" t="s">
        <v>16265</v>
      </c>
      <c r="M2551">
        <v>21603</v>
      </c>
      <c r="N2551">
        <v>25</v>
      </c>
      <c r="O2551">
        <v>18</v>
      </c>
      <c r="P2551">
        <v>7</v>
      </c>
      <c r="Q2551">
        <v>25</v>
      </c>
      <c r="R2551">
        <v>18</v>
      </c>
      <c r="S2551">
        <v>7</v>
      </c>
      <c r="T2551">
        <v>0</v>
      </c>
      <c r="U2551" t="s">
        <v>16266</v>
      </c>
      <c r="V2551">
        <f>Tabla1[[#This Row],[Aboard]]-Tabla1[[#This Row],[Fatalities]]</f>
        <v>0</v>
      </c>
      <c r="W2551" s="50">
        <f>IFERROR(Tabla1[[#This Row],[Fatalities]]/Tabla1[[#This Row],[Aboard]],0)</f>
        <v>1</v>
      </c>
      <c r="X2551" s="51" t="str" cm="1">
        <f t="array" ref="X2551">_xlfn.IFS(Tabla1[[#This Row],[Porcentaje de muertes]]&lt;0.35,"LEVE",AND(Tabla1[[#This Row],[Porcentaje de muertes]]&gt;0.35,Tabla1[[#This Row],[Porcentaje de muertes]]&lt;0.65),"MEDIO",Tabla1[[#This Row],[Porcentaje de muertes]]&gt;0.65,"GRAVE")</f>
        <v>GRAVE</v>
      </c>
    </row>
    <row r="2552" spans="2:24" x14ac:dyDescent="0.3">
      <c r="B2552" s="9">
        <v>2551</v>
      </c>
      <c r="C2552" s="49">
        <v>26222</v>
      </c>
      <c r="D2552" s="9">
        <f>YEAR(Tabla1[[#This Row],[Date]])</f>
        <v>1971</v>
      </c>
      <c r="E2552" s="9" t="str" cm="1">
        <f t="array" ref="E2552">IFERROR(_xlfn.IFS(AND(D2552&lt;1980,D2552&gt;=1970),"70",AND(D2552&lt;1990,D2552&gt;=1980),"80",AND(D2552&lt;2000,D2552&gt;=1990),"90",AND(D2552&lt;2010,D2552&gt;=2000),"00",AND(D2552&lt;=2019,D2552&gt;=2010),"10"),"1908-1970")</f>
        <v>70</v>
      </c>
      <c r="F2552" s="3">
        <v>0.40625</v>
      </c>
      <c r="G2552" t="s">
        <v>15816</v>
      </c>
      <c r="H2552" t="s">
        <v>16267</v>
      </c>
      <c r="I2552" t="s">
        <v>28931</v>
      </c>
      <c r="J2552" t="s">
        <v>16268</v>
      </c>
      <c r="K2552" t="s">
        <v>16269</v>
      </c>
      <c r="L2552" s="7" t="s">
        <v>16270</v>
      </c>
      <c r="M2552" t="s">
        <v>28931</v>
      </c>
      <c r="N2552">
        <v>10</v>
      </c>
      <c r="O2552">
        <v>9</v>
      </c>
      <c r="P2552">
        <v>1</v>
      </c>
      <c r="Q2552">
        <v>10</v>
      </c>
      <c r="R2552">
        <v>9</v>
      </c>
      <c r="S2552">
        <v>1</v>
      </c>
      <c r="T2552">
        <v>0</v>
      </c>
      <c r="U2552" t="s">
        <v>16271</v>
      </c>
      <c r="V2552">
        <f>Tabla1[[#This Row],[Aboard]]-Tabla1[[#This Row],[Fatalities]]</f>
        <v>0</v>
      </c>
      <c r="W2552" s="50">
        <f>IFERROR(Tabla1[[#This Row],[Fatalities]]/Tabla1[[#This Row],[Aboard]],0)</f>
        <v>1</v>
      </c>
      <c r="X2552" s="51" t="str" cm="1">
        <f t="array" ref="X2552">_xlfn.IFS(Tabla1[[#This Row],[Porcentaje de muertes]]&lt;0.35,"LEVE",AND(Tabla1[[#This Row],[Porcentaje de muertes]]&gt;0.35,Tabla1[[#This Row],[Porcentaje de muertes]]&lt;0.65),"MEDIO",Tabla1[[#This Row],[Porcentaje de muertes]]&gt;0.65,"GRAVE")</f>
        <v>GRAVE</v>
      </c>
    </row>
    <row r="2553" spans="2:24" x14ac:dyDescent="0.3">
      <c r="B2553" s="9">
        <v>2552</v>
      </c>
      <c r="C2553" s="49">
        <v>26223</v>
      </c>
      <c r="D2553" s="9">
        <f>YEAR(Tabla1[[#This Row],[Date]])</f>
        <v>1971</v>
      </c>
      <c r="E2553" s="9" t="str" cm="1">
        <f t="array" ref="E2553">IFERROR(_xlfn.IFS(AND(D2553&lt;1980,D2553&gt;=1970),"70",AND(D2553&lt;1990,D2553&gt;=1980),"80",AND(D2553&lt;2000,D2553&gt;=1990),"90",AND(D2553&lt;2010,D2553&gt;=2000),"00",AND(D2553&lt;=2019,D2553&gt;=2010),"10"),"1908-1970")</f>
        <v>70</v>
      </c>
      <c r="F2553" s="3" t="s">
        <v>28931</v>
      </c>
      <c r="G2553" t="s">
        <v>16272</v>
      </c>
      <c r="H2553" t="s">
        <v>14515</v>
      </c>
      <c r="I2553" t="s">
        <v>28931</v>
      </c>
      <c r="J2553" t="s">
        <v>16273</v>
      </c>
      <c r="K2553" t="s">
        <v>8105</v>
      </c>
      <c r="L2553" s="7" t="s">
        <v>16274</v>
      </c>
      <c r="M2553">
        <v>19348</v>
      </c>
      <c r="N2553">
        <v>21</v>
      </c>
      <c r="O2553">
        <v>17</v>
      </c>
      <c r="P2553">
        <v>4</v>
      </c>
      <c r="Q2553">
        <v>19</v>
      </c>
      <c r="R2553">
        <v>15</v>
      </c>
      <c r="S2553">
        <v>4</v>
      </c>
      <c r="T2553">
        <v>0</v>
      </c>
      <c r="U2553" t="s">
        <v>16275</v>
      </c>
      <c r="V2553">
        <f>Tabla1[[#This Row],[Aboard]]-Tabla1[[#This Row],[Fatalities]]</f>
        <v>2</v>
      </c>
      <c r="W2553" s="50">
        <f>IFERROR(Tabla1[[#This Row],[Fatalities]]/Tabla1[[#This Row],[Aboard]],0)</f>
        <v>0.90476190476190477</v>
      </c>
      <c r="X2553" s="51" t="str" cm="1">
        <f t="array" ref="X2553">_xlfn.IFS(Tabla1[[#This Row],[Porcentaje de muertes]]&lt;0.35,"LEVE",AND(Tabla1[[#This Row],[Porcentaje de muertes]]&gt;0.35,Tabla1[[#This Row],[Porcentaje de muertes]]&lt;0.65),"MEDIO",Tabla1[[#This Row],[Porcentaje de muertes]]&gt;0.65,"GRAVE")</f>
        <v>GRAVE</v>
      </c>
    </row>
    <row r="2554" spans="2:24" x14ac:dyDescent="0.3">
      <c r="B2554" s="9">
        <v>2553</v>
      </c>
      <c r="C2554" s="49">
        <v>26227</v>
      </c>
      <c r="D2554" s="9">
        <f>YEAR(Tabla1[[#This Row],[Date]])</f>
        <v>1971</v>
      </c>
      <c r="E2554" s="9" t="str" cm="1">
        <f t="array" ref="E2554">IFERROR(_xlfn.IFS(AND(D2554&lt;1980,D2554&gt;=1970),"70",AND(D2554&lt;1990,D2554&gt;=1980),"80",AND(D2554&lt;2000,D2554&gt;=1990),"90",AND(D2554&lt;2010,D2554&gt;=2000),"00",AND(D2554&lt;=2019,D2554&gt;=2010),"10"),"1908-1970")</f>
        <v>70</v>
      </c>
      <c r="F2554" s="3">
        <v>0.47222222222222227</v>
      </c>
      <c r="G2554" t="s">
        <v>16276</v>
      </c>
      <c r="H2554" t="s">
        <v>6608</v>
      </c>
      <c r="I2554" t="s">
        <v>28931</v>
      </c>
      <c r="J2554" t="s">
        <v>16277</v>
      </c>
      <c r="K2554" t="s">
        <v>16278</v>
      </c>
      <c r="L2554" s="7" t="s">
        <v>16279</v>
      </c>
      <c r="M2554" t="s">
        <v>16280</v>
      </c>
      <c r="N2554">
        <v>16</v>
      </c>
      <c r="O2554">
        <v>14</v>
      </c>
      <c r="P2554">
        <v>2</v>
      </c>
      <c r="Q2554">
        <v>16</v>
      </c>
      <c r="R2554">
        <v>14</v>
      </c>
      <c r="S2554">
        <v>2</v>
      </c>
      <c r="T2554">
        <v>0</v>
      </c>
      <c r="U2554" t="s">
        <v>16281</v>
      </c>
      <c r="V2554">
        <f>Tabla1[[#This Row],[Aboard]]-Tabla1[[#This Row],[Fatalities]]</f>
        <v>0</v>
      </c>
      <c r="W2554" s="50">
        <f>IFERROR(Tabla1[[#This Row],[Fatalities]]/Tabla1[[#This Row],[Aboard]],0)</f>
        <v>1</v>
      </c>
      <c r="X2554" s="51" t="str" cm="1">
        <f t="array" ref="X2554">_xlfn.IFS(Tabla1[[#This Row],[Porcentaje de muertes]]&lt;0.35,"LEVE",AND(Tabla1[[#This Row],[Porcentaje de muertes]]&gt;0.35,Tabla1[[#This Row],[Porcentaje de muertes]]&lt;0.65),"MEDIO",Tabla1[[#This Row],[Porcentaje de muertes]]&gt;0.65,"GRAVE")</f>
        <v>GRAVE</v>
      </c>
    </row>
    <row r="2555" spans="2:24" x14ac:dyDescent="0.3">
      <c r="B2555" s="9">
        <v>2554</v>
      </c>
      <c r="C2555" s="49">
        <v>26229</v>
      </c>
      <c r="D2555" s="9">
        <f>YEAR(Tabla1[[#This Row],[Date]])</f>
        <v>1971</v>
      </c>
      <c r="E2555" s="9" t="str" cm="1">
        <f t="array" ref="E2555">IFERROR(_xlfn.IFS(AND(D2555&lt;1980,D2555&gt;=1970),"70",AND(D2555&lt;1990,D2555&gt;=1980),"80",AND(D2555&lt;2000,D2555&gt;=1990),"90",AND(D2555&lt;2010,D2555&gt;=2000),"00",AND(D2555&lt;=2019,D2555&gt;=2010),"10"),"1908-1970")</f>
        <v>70</v>
      </c>
      <c r="F2555" s="3" t="s">
        <v>28931</v>
      </c>
      <c r="G2555" t="s">
        <v>15076</v>
      </c>
      <c r="H2555" t="s">
        <v>14253</v>
      </c>
      <c r="I2555" t="s">
        <v>28931</v>
      </c>
      <c r="J2555" t="s">
        <v>28931</v>
      </c>
      <c r="K2555" t="s">
        <v>7826</v>
      </c>
      <c r="L2555" s="7" t="s">
        <v>28931</v>
      </c>
      <c r="M2555" t="s">
        <v>28931</v>
      </c>
      <c r="N2555">
        <v>23</v>
      </c>
      <c r="O2555">
        <v>20</v>
      </c>
      <c r="P2555">
        <v>3</v>
      </c>
      <c r="Q2555">
        <v>22</v>
      </c>
      <c r="R2555">
        <v>19</v>
      </c>
      <c r="S2555">
        <v>3</v>
      </c>
      <c r="T2555">
        <v>0</v>
      </c>
      <c r="U2555" t="s">
        <v>16282</v>
      </c>
      <c r="V2555">
        <f>Tabla1[[#This Row],[Aboard]]-Tabla1[[#This Row],[Fatalities]]</f>
        <v>1</v>
      </c>
      <c r="W2555" s="50">
        <f>IFERROR(Tabla1[[#This Row],[Fatalities]]/Tabla1[[#This Row],[Aboard]],0)</f>
        <v>0.95652173913043481</v>
      </c>
      <c r="X2555" s="51" t="str" cm="1">
        <f t="array" ref="X2555">_xlfn.IFS(Tabla1[[#This Row],[Porcentaje de muertes]]&lt;0.35,"LEVE",AND(Tabla1[[#This Row],[Porcentaje de muertes]]&gt;0.35,Tabla1[[#This Row],[Porcentaje de muertes]]&lt;0.65),"MEDIO",Tabla1[[#This Row],[Porcentaje de muertes]]&gt;0.65,"GRAVE")</f>
        <v>GRAVE</v>
      </c>
    </row>
    <row r="2556" spans="2:24" x14ac:dyDescent="0.3">
      <c r="B2556" s="9">
        <v>2555</v>
      </c>
      <c r="C2556" s="49">
        <v>26230</v>
      </c>
      <c r="D2556" s="9">
        <f>YEAR(Tabla1[[#This Row],[Date]])</f>
        <v>1971</v>
      </c>
      <c r="E2556" s="9" t="str" cm="1">
        <f t="array" ref="E2556">IFERROR(_xlfn.IFS(AND(D2556&lt;1980,D2556&gt;=1970),"70",AND(D2556&lt;1990,D2556&gt;=1980),"80",AND(D2556&lt;2000,D2556&gt;=1990),"90",AND(D2556&lt;2010,D2556&gt;=2000),"00",AND(D2556&lt;=2019,D2556&gt;=2010),"10"),"1908-1970")</f>
        <v>70</v>
      </c>
      <c r="F2556" s="3">
        <v>0.92708333333333337</v>
      </c>
      <c r="G2556" t="s">
        <v>16283</v>
      </c>
      <c r="H2556" t="s">
        <v>16284</v>
      </c>
      <c r="I2556" t="s">
        <v>28931</v>
      </c>
      <c r="J2556" t="s">
        <v>16285</v>
      </c>
      <c r="K2556" t="s">
        <v>16286</v>
      </c>
      <c r="L2556" s="7" t="s">
        <v>16287</v>
      </c>
      <c r="M2556" t="s">
        <v>16288</v>
      </c>
      <c r="N2556">
        <v>8</v>
      </c>
      <c r="O2556">
        <v>6</v>
      </c>
      <c r="P2556">
        <v>2</v>
      </c>
      <c r="Q2556">
        <v>4</v>
      </c>
      <c r="R2556">
        <v>2</v>
      </c>
      <c r="S2556">
        <v>2</v>
      </c>
      <c r="T2556">
        <v>0</v>
      </c>
      <c r="U2556" t="s">
        <v>16289</v>
      </c>
      <c r="V2556">
        <f>Tabla1[[#This Row],[Aboard]]-Tabla1[[#This Row],[Fatalities]]</f>
        <v>4</v>
      </c>
      <c r="W2556" s="50">
        <f>IFERROR(Tabla1[[#This Row],[Fatalities]]/Tabla1[[#This Row],[Aboard]],0)</f>
        <v>0.5</v>
      </c>
      <c r="X2556" s="51" t="str" cm="1">
        <f t="array" ref="X2556">_xlfn.IFS(Tabla1[[#This Row],[Porcentaje de muertes]]&lt;0.35,"LEVE",AND(Tabla1[[#This Row],[Porcentaje de muertes]]&gt;0.35,Tabla1[[#This Row],[Porcentaje de muertes]]&lt;0.65),"MEDIO",Tabla1[[#This Row],[Porcentaje de muertes]]&gt;0.65,"GRAVE")</f>
        <v>MEDIO</v>
      </c>
    </row>
    <row r="2557" spans="2:24" x14ac:dyDescent="0.3">
      <c r="B2557" s="9">
        <v>2556</v>
      </c>
      <c r="C2557" s="49">
        <v>26187</v>
      </c>
      <c r="D2557" s="9">
        <f>YEAR(Tabla1[[#This Row],[Date]])</f>
        <v>1971</v>
      </c>
      <c r="E2557" s="9" t="str" cm="1">
        <f t="array" ref="E2557">IFERROR(_xlfn.IFS(AND(D2557&lt;1980,D2557&gt;=1970),"70",AND(D2557&lt;1990,D2557&gt;=1980),"80",AND(D2557&lt;2000,D2557&gt;=1990),"90",AND(D2557&lt;2010,D2557&gt;=2000),"00",AND(D2557&lt;=2019,D2557&gt;=2010),"10"),"1908-1970")</f>
        <v>70</v>
      </c>
      <c r="F2557" s="3">
        <v>0.23611111111111113</v>
      </c>
      <c r="G2557" t="s">
        <v>16290</v>
      </c>
      <c r="H2557" t="s">
        <v>7665</v>
      </c>
      <c r="I2557" t="s">
        <v>28931</v>
      </c>
      <c r="J2557" t="s">
        <v>16291</v>
      </c>
      <c r="K2557" t="s">
        <v>16292</v>
      </c>
      <c r="L2557" s="7" t="s">
        <v>16293</v>
      </c>
      <c r="M2557">
        <v>4243</v>
      </c>
      <c r="N2557">
        <v>52</v>
      </c>
      <c r="O2557">
        <v>46</v>
      </c>
      <c r="P2557">
        <v>6</v>
      </c>
      <c r="Q2557">
        <v>52</v>
      </c>
      <c r="R2557">
        <v>46</v>
      </c>
      <c r="S2557">
        <v>6</v>
      </c>
      <c r="T2557">
        <v>0</v>
      </c>
      <c r="U2557" t="s">
        <v>16294</v>
      </c>
      <c r="V2557">
        <f>Tabla1[[#This Row],[Aboard]]-Tabla1[[#This Row],[Fatalities]]</f>
        <v>0</v>
      </c>
      <c r="W2557" s="50">
        <f>IFERROR(Tabla1[[#This Row],[Fatalities]]/Tabla1[[#This Row],[Aboard]],0)</f>
        <v>1</v>
      </c>
      <c r="X2557" s="51" t="str" cm="1">
        <f t="array" ref="X2557">_xlfn.IFS(Tabla1[[#This Row],[Porcentaje de muertes]]&lt;0.35,"LEVE",AND(Tabla1[[#This Row],[Porcentaje de muertes]]&gt;0.35,Tabla1[[#This Row],[Porcentaje de muertes]]&lt;0.65),"MEDIO",Tabla1[[#This Row],[Porcentaje de muertes]]&gt;0.65,"GRAVE")</f>
        <v>GRAVE</v>
      </c>
    </row>
    <row r="2558" spans="2:24" x14ac:dyDescent="0.3">
      <c r="B2558" s="9">
        <v>2557</v>
      </c>
      <c r="C2558" s="49">
        <v>26217</v>
      </c>
      <c r="D2558" s="9">
        <f>YEAR(Tabla1[[#This Row],[Date]])</f>
        <v>1971</v>
      </c>
      <c r="E2558" s="9" t="str" cm="1">
        <f t="array" ref="E2558">IFERROR(_xlfn.IFS(AND(D2558&lt;1980,D2558&gt;=1970),"70",AND(D2558&lt;1990,D2558&gt;=1980),"80",AND(D2558&lt;2000,D2558&gt;=1990),"90",AND(D2558&lt;2010,D2558&gt;=2000),"00",AND(D2558&lt;=2019,D2558&gt;=2010),"10"),"1908-1970")</f>
        <v>70</v>
      </c>
      <c r="F2558" s="3" t="s">
        <v>28931</v>
      </c>
      <c r="G2558" t="s">
        <v>16295</v>
      </c>
      <c r="H2558" t="s">
        <v>16296</v>
      </c>
      <c r="I2558" t="s">
        <v>28931</v>
      </c>
      <c r="J2558" t="s">
        <v>16297</v>
      </c>
      <c r="K2558" t="s">
        <v>16298</v>
      </c>
      <c r="L2558" s="7" t="s">
        <v>16299</v>
      </c>
      <c r="M2558">
        <v>448</v>
      </c>
      <c r="N2558">
        <v>69</v>
      </c>
      <c r="O2558">
        <v>62</v>
      </c>
      <c r="P2558">
        <v>7</v>
      </c>
      <c r="Q2558">
        <v>69</v>
      </c>
      <c r="R2558">
        <v>62</v>
      </c>
      <c r="S2558">
        <v>7</v>
      </c>
      <c r="T2558">
        <v>0</v>
      </c>
      <c r="U2558" t="s">
        <v>16300</v>
      </c>
      <c r="V2558">
        <f>Tabla1[[#This Row],[Aboard]]-Tabla1[[#This Row],[Fatalities]]</f>
        <v>0</v>
      </c>
      <c r="W2558" s="50">
        <f>IFERROR(Tabla1[[#This Row],[Fatalities]]/Tabla1[[#This Row],[Aboard]],0)</f>
        <v>1</v>
      </c>
      <c r="X2558" s="51" t="str" cm="1">
        <f t="array" ref="X2558">_xlfn.IFS(Tabla1[[#This Row],[Porcentaje de muertes]]&lt;0.35,"LEVE",AND(Tabla1[[#This Row],[Porcentaje de muertes]]&gt;0.35,Tabla1[[#This Row],[Porcentaje de muertes]]&lt;0.65),"MEDIO",Tabla1[[#This Row],[Porcentaje de muertes]]&gt;0.65,"GRAVE")</f>
        <v>GRAVE</v>
      </c>
    </row>
    <row r="2559" spans="2:24" x14ac:dyDescent="0.3">
      <c r="B2559" s="9">
        <v>2558</v>
      </c>
      <c r="C2559" s="49">
        <v>26278</v>
      </c>
      <c r="D2559" s="9">
        <f>YEAR(Tabla1[[#This Row],[Date]])</f>
        <v>1971</v>
      </c>
      <c r="E2559" s="9" t="str" cm="1">
        <f t="array" ref="E2559">IFERROR(_xlfn.IFS(AND(D2559&lt;1980,D2559&gt;=1970),"70",AND(D2559&lt;1990,D2559&gt;=1980),"80",AND(D2559&lt;2000,D2559&gt;=1990),"90",AND(D2559&lt;2010,D2559&gt;=2000),"00",AND(D2559&lt;=2019,D2559&gt;=2010),"10"),"1908-1970")</f>
        <v>70</v>
      </c>
      <c r="F2559" s="3">
        <v>0.47569444444444442</v>
      </c>
      <c r="G2559" t="s">
        <v>16301</v>
      </c>
      <c r="H2559" t="s">
        <v>6541</v>
      </c>
      <c r="I2559" t="s">
        <v>16302</v>
      </c>
      <c r="J2559" t="s">
        <v>16303</v>
      </c>
      <c r="K2559" t="s">
        <v>14340</v>
      </c>
      <c r="L2559" s="7" t="s">
        <v>16304</v>
      </c>
      <c r="M2559">
        <v>67302306</v>
      </c>
      <c r="N2559">
        <v>48</v>
      </c>
      <c r="O2559">
        <v>43</v>
      </c>
      <c r="P2559">
        <v>5</v>
      </c>
      <c r="Q2559">
        <v>48</v>
      </c>
      <c r="R2559">
        <v>43</v>
      </c>
      <c r="S2559">
        <v>5</v>
      </c>
      <c r="T2559">
        <v>0</v>
      </c>
      <c r="U2559" t="s">
        <v>16305</v>
      </c>
      <c r="V2559">
        <f>Tabla1[[#This Row],[Aboard]]-Tabla1[[#This Row],[Fatalities]]</f>
        <v>0</v>
      </c>
      <c r="W2559" s="50">
        <f>IFERROR(Tabla1[[#This Row],[Fatalities]]/Tabla1[[#This Row],[Aboard]],0)</f>
        <v>1</v>
      </c>
      <c r="X2559" s="51" t="str" cm="1">
        <f t="array" ref="X2559">_xlfn.IFS(Tabla1[[#This Row],[Porcentaje de muertes]]&lt;0.35,"LEVE",AND(Tabla1[[#This Row],[Porcentaje de muertes]]&gt;0.35,Tabla1[[#This Row],[Porcentaje de muertes]]&lt;0.65),"MEDIO",Tabla1[[#This Row],[Porcentaje de muertes]]&gt;0.65,"GRAVE")</f>
        <v>GRAVE</v>
      </c>
    </row>
    <row r="2560" spans="2:24" x14ac:dyDescent="0.3">
      <c r="B2560" s="9">
        <v>2559</v>
      </c>
      <c r="C2560" s="49">
        <v>26258</v>
      </c>
      <c r="D2560" s="9">
        <f>YEAR(Tabla1[[#This Row],[Date]])</f>
        <v>1971</v>
      </c>
      <c r="E2560" s="9" t="str" cm="1">
        <f t="array" ref="E2560">IFERROR(_xlfn.IFS(AND(D2560&lt;1980,D2560&gt;=1970),"70",AND(D2560&lt;1990,D2560&gt;=1980),"80",AND(D2560&lt;2000,D2560&gt;=1990),"90",AND(D2560&lt;2010,D2560&gt;=2000),"00",AND(D2560&lt;=2019,D2560&gt;=2010),"10"),"1908-1970")</f>
        <v>70</v>
      </c>
      <c r="F2560" s="3">
        <v>0.90972222222222221</v>
      </c>
      <c r="G2560" t="s">
        <v>16306</v>
      </c>
      <c r="H2560" t="s">
        <v>15040</v>
      </c>
      <c r="I2560" t="s">
        <v>28931</v>
      </c>
      <c r="J2560" t="s">
        <v>16307</v>
      </c>
      <c r="K2560" t="s">
        <v>15002</v>
      </c>
      <c r="L2560" s="7" t="s">
        <v>16308</v>
      </c>
      <c r="M2560">
        <v>122</v>
      </c>
      <c r="N2560">
        <v>25</v>
      </c>
      <c r="O2560">
        <v>17</v>
      </c>
      <c r="P2560">
        <v>8</v>
      </c>
      <c r="Q2560">
        <v>25</v>
      </c>
      <c r="R2560">
        <v>17</v>
      </c>
      <c r="S2560">
        <v>8</v>
      </c>
      <c r="T2560">
        <v>0</v>
      </c>
      <c r="U2560" t="s">
        <v>16309</v>
      </c>
      <c r="V2560">
        <f>Tabla1[[#This Row],[Aboard]]-Tabla1[[#This Row],[Fatalities]]</f>
        <v>0</v>
      </c>
      <c r="W2560" s="50">
        <f>IFERROR(Tabla1[[#This Row],[Fatalities]]/Tabla1[[#This Row],[Aboard]],0)</f>
        <v>1</v>
      </c>
      <c r="X2560" s="51" t="str" cm="1">
        <f t="array" ref="X2560">_xlfn.IFS(Tabla1[[#This Row],[Porcentaje de muertes]]&lt;0.35,"LEVE",AND(Tabla1[[#This Row],[Porcentaje de muertes]]&gt;0.35,Tabla1[[#This Row],[Porcentaje de muertes]]&lt;0.65),"MEDIO",Tabla1[[#This Row],[Porcentaje de muertes]]&gt;0.65,"GRAVE")</f>
        <v>GRAVE</v>
      </c>
    </row>
    <row r="2561" spans="2:24" x14ac:dyDescent="0.3">
      <c r="B2561" s="9">
        <v>2560</v>
      </c>
      <c r="C2561" s="49">
        <v>26265</v>
      </c>
      <c r="D2561" s="9">
        <f>YEAR(Tabla1[[#This Row],[Date]])</f>
        <v>1971</v>
      </c>
      <c r="E2561" s="9" t="str" cm="1">
        <f t="array" ref="E2561">IFERROR(_xlfn.IFS(AND(D2561&lt;1980,D2561&gt;=1970),"70",AND(D2561&lt;1990,D2561&gt;=1980),"80",AND(D2561&lt;2000,D2561&gt;=1990),"90",AND(D2561&lt;2010,D2561&gt;=2000),"00",AND(D2561&lt;=2019,D2561&gt;=2010),"10"),"1908-1970")</f>
        <v>70</v>
      </c>
      <c r="F2561" s="3">
        <v>0.5625</v>
      </c>
      <c r="G2561" t="s">
        <v>16310</v>
      </c>
      <c r="H2561" t="s">
        <v>5017</v>
      </c>
      <c r="I2561" t="s">
        <v>28931</v>
      </c>
      <c r="J2561" t="s">
        <v>16311</v>
      </c>
      <c r="K2561" t="s">
        <v>16312</v>
      </c>
      <c r="L2561" s="7" t="s">
        <v>16313</v>
      </c>
      <c r="M2561" t="s">
        <v>28931</v>
      </c>
      <c r="N2561">
        <v>34</v>
      </c>
      <c r="O2561">
        <v>29</v>
      </c>
      <c r="P2561">
        <v>5</v>
      </c>
      <c r="Q2561">
        <v>34</v>
      </c>
      <c r="R2561">
        <v>29</v>
      </c>
      <c r="S2561">
        <v>5</v>
      </c>
      <c r="T2561">
        <v>0</v>
      </c>
      <c r="U2561" t="s">
        <v>16314</v>
      </c>
      <c r="V2561">
        <f>Tabla1[[#This Row],[Aboard]]-Tabla1[[#This Row],[Fatalities]]</f>
        <v>0</v>
      </c>
      <c r="W2561" s="50">
        <f>IFERROR(Tabla1[[#This Row],[Fatalities]]/Tabla1[[#This Row],[Aboard]],0)</f>
        <v>1</v>
      </c>
      <c r="X2561" s="51" t="str" cm="1">
        <f t="array" ref="X2561">_xlfn.IFS(Tabla1[[#This Row],[Porcentaje de muertes]]&lt;0.35,"LEVE",AND(Tabla1[[#This Row],[Porcentaje de muertes]]&gt;0.35,Tabla1[[#This Row],[Porcentaje de muertes]]&lt;0.65),"MEDIO",Tabla1[[#This Row],[Porcentaje de muertes]]&gt;0.65,"GRAVE")</f>
        <v>GRAVE</v>
      </c>
    </row>
    <row r="2562" spans="2:24" x14ac:dyDescent="0.3">
      <c r="B2562" s="9">
        <v>2561</v>
      </c>
      <c r="C2562" s="49">
        <v>25945</v>
      </c>
      <c r="D2562" s="9">
        <f>YEAR(Tabla1[[#This Row],[Date]])</f>
        <v>1971</v>
      </c>
      <c r="E2562" s="9" t="str" cm="1">
        <f t="array" ref="E2562">IFERROR(_xlfn.IFS(AND(D2562&lt;1980,D2562&gt;=1970),"70",AND(D2562&lt;1990,D2562&gt;=1980),"80",AND(D2562&lt;2000,D2562&gt;=1990),"90",AND(D2562&lt;2010,D2562&gt;=2000),"00",AND(D2562&lt;=2019,D2562&gt;=2010),"10"),"1908-1970")</f>
        <v>70</v>
      </c>
      <c r="F2562" s="3">
        <v>0.90833333333333333</v>
      </c>
      <c r="G2562" t="s">
        <v>16315</v>
      </c>
      <c r="H2562" t="s">
        <v>6541</v>
      </c>
      <c r="I2562">
        <v>2174</v>
      </c>
      <c r="J2562" t="s">
        <v>16316</v>
      </c>
      <c r="K2562" t="s">
        <v>14340</v>
      </c>
      <c r="L2562" s="7" t="s">
        <v>16317</v>
      </c>
      <c r="M2562">
        <v>57301801</v>
      </c>
      <c r="N2562">
        <v>57</v>
      </c>
      <c r="O2562">
        <v>53</v>
      </c>
      <c r="P2562">
        <v>4</v>
      </c>
      <c r="Q2562">
        <v>57</v>
      </c>
      <c r="R2562">
        <v>53</v>
      </c>
      <c r="S2562">
        <v>4</v>
      </c>
      <c r="T2562">
        <v>0</v>
      </c>
      <c r="U2562" t="s">
        <v>16318</v>
      </c>
      <c r="V2562">
        <f>Tabla1[[#This Row],[Aboard]]-Tabla1[[#This Row],[Fatalities]]</f>
        <v>0</v>
      </c>
      <c r="W2562" s="50">
        <f>IFERROR(Tabla1[[#This Row],[Fatalities]]/Tabla1[[#This Row],[Aboard]],0)</f>
        <v>1</v>
      </c>
      <c r="X2562" s="51" t="str" cm="1">
        <f t="array" ref="X2562">_xlfn.IFS(Tabla1[[#This Row],[Porcentaje de muertes]]&lt;0.35,"LEVE",AND(Tabla1[[#This Row],[Porcentaje de muertes]]&gt;0.35,Tabla1[[#This Row],[Porcentaje de muertes]]&lt;0.65),"MEDIO",Tabla1[[#This Row],[Porcentaje de muertes]]&gt;0.65,"GRAVE")</f>
        <v>GRAVE</v>
      </c>
    </row>
    <row r="2563" spans="2:24" x14ac:dyDescent="0.3">
      <c r="B2563" s="9">
        <v>2562</v>
      </c>
      <c r="C2563" s="49">
        <v>26035</v>
      </c>
      <c r="D2563" s="9">
        <f>YEAR(Tabla1[[#This Row],[Date]])</f>
        <v>1971</v>
      </c>
      <c r="E2563" s="9" t="str" cm="1">
        <f t="array" ref="E2563">IFERROR(_xlfn.IFS(AND(D2563&lt;1980,D2563&gt;=1970),"70",AND(D2563&lt;1990,D2563&gt;=1980),"80",AND(D2563&lt;2000,D2563&gt;=1990),"90",AND(D2563&lt;2010,D2563&gt;=2000),"00",AND(D2563&lt;=2019,D2563&gt;=2010),"10"),"1908-1970")</f>
        <v>70</v>
      </c>
      <c r="F2563" s="3">
        <v>0.57361111111111118</v>
      </c>
      <c r="G2563" t="s">
        <v>16319</v>
      </c>
      <c r="H2563" t="s">
        <v>6941</v>
      </c>
      <c r="I2563" t="s">
        <v>28931</v>
      </c>
      <c r="J2563" t="s">
        <v>16320</v>
      </c>
      <c r="K2563" t="s">
        <v>16321</v>
      </c>
      <c r="L2563" s="7" t="s">
        <v>16322</v>
      </c>
      <c r="M2563" t="s">
        <v>16323</v>
      </c>
      <c r="N2563">
        <v>29</v>
      </c>
      <c r="O2563">
        <v>24</v>
      </c>
      <c r="P2563">
        <v>5</v>
      </c>
      <c r="Q2563">
        <v>2</v>
      </c>
      <c r="R2563">
        <v>1</v>
      </c>
      <c r="S2563">
        <v>1</v>
      </c>
      <c r="T2563">
        <v>0</v>
      </c>
      <c r="U2563" t="s">
        <v>16324</v>
      </c>
      <c r="V2563">
        <f>Tabla1[[#This Row],[Aboard]]-Tabla1[[#This Row],[Fatalities]]</f>
        <v>27</v>
      </c>
      <c r="W2563" s="50">
        <f>IFERROR(Tabla1[[#This Row],[Fatalities]]/Tabla1[[#This Row],[Aboard]],0)</f>
        <v>6.8965517241379309E-2</v>
      </c>
      <c r="X2563" s="51" t="str" cm="1">
        <f t="array" ref="X2563">_xlfn.IFS(Tabla1[[#This Row],[Porcentaje de muertes]]&lt;0.35,"LEVE",AND(Tabla1[[#This Row],[Porcentaje de muertes]]&gt;0.35,Tabla1[[#This Row],[Porcentaje de muertes]]&lt;0.65),"MEDIO",Tabla1[[#This Row],[Porcentaje de muertes]]&gt;0.65,"GRAVE")</f>
        <v>LEVE</v>
      </c>
    </row>
    <row r="2564" spans="2:24" x14ac:dyDescent="0.3">
      <c r="B2564" s="9">
        <v>2563</v>
      </c>
      <c r="C2564" s="49">
        <v>26096</v>
      </c>
      <c r="D2564" s="9">
        <f>YEAR(Tabla1[[#This Row],[Date]])</f>
        <v>1971</v>
      </c>
      <c r="E2564" s="9" t="str" cm="1">
        <f t="array" ref="E2564">IFERROR(_xlfn.IFS(AND(D2564&lt;1980,D2564&gt;=1970),"70",AND(D2564&lt;1990,D2564&gt;=1980),"80",AND(D2564&lt;2000,D2564&gt;=1990),"90",AND(D2564&lt;2010,D2564&gt;=2000),"00",AND(D2564&lt;=2019,D2564&gt;=2010),"10"),"1908-1970")</f>
        <v>70</v>
      </c>
      <c r="F2564" s="3" t="s">
        <v>28931</v>
      </c>
      <c r="G2564" t="s">
        <v>16325</v>
      </c>
      <c r="H2564" t="s">
        <v>16326</v>
      </c>
      <c r="I2564" t="s">
        <v>28931</v>
      </c>
      <c r="J2564" t="s">
        <v>16327</v>
      </c>
      <c r="K2564" t="s">
        <v>14481</v>
      </c>
      <c r="L2564" s="7" t="s">
        <v>16328</v>
      </c>
      <c r="M2564">
        <v>10238</v>
      </c>
      <c r="N2564">
        <v>42</v>
      </c>
      <c r="O2564">
        <v>37</v>
      </c>
      <c r="P2564">
        <v>5</v>
      </c>
      <c r="Q2564">
        <v>10</v>
      </c>
      <c r="R2564">
        <v>9</v>
      </c>
      <c r="S2564">
        <v>1</v>
      </c>
      <c r="T2564">
        <v>0</v>
      </c>
      <c r="U2564" t="s">
        <v>16329</v>
      </c>
      <c r="V2564">
        <f>Tabla1[[#This Row],[Aboard]]-Tabla1[[#This Row],[Fatalities]]</f>
        <v>32</v>
      </c>
      <c r="W2564" s="50">
        <f>IFERROR(Tabla1[[#This Row],[Fatalities]]/Tabla1[[#This Row],[Aboard]],0)</f>
        <v>0.23809523809523808</v>
      </c>
      <c r="X2564" s="51" t="str" cm="1">
        <f t="array" ref="X2564">_xlfn.IFS(Tabla1[[#This Row],[Porcentaje de muertes]]&lt;0.35,"LEVE",AND(Tabla1[[#This Row],[Porcentaje de muertes]]&gt;0.35,Tabla1[[#This Row],[Porcentaje de muertes]]&lt;0.65),"MEDIO",Tabla1[[#This Row],[Porcentaje de muertes]]&gt;0.65,"GRAVE")</f>
        <v>LEVE</v>
      </c>
    </row>
    <row r="2565" spans="2:24" x14ac:dyDescent="0.3">
      <c r="B2565" s="9">
        <v>2564</v>
      </c>
      <c r="C2565" s="49">
        <v>26188</v>
      </c>
      <c r="D2565" s="9">
        <f>YEAR(Tabla1[[#This Row],[Date]])</f>
        <v>1971</v>
      </c>
      <c r="E2565" s="9" t="str" cm="1">
        <f t="array" ref="E2565">IFERROR(_xlfn.IFS(AND(D2565&lt;1980,D2565&gt;=1970),"70",AND(D2565&lt;1990,D2565&gt;=1980),"80",AND(D2565&lt;2000,D2565&gt;=1990),"90",AND(D2565&lt;2010,D2565&gt;=2000),"00",AND(D2565&lt;=2019,D2565&gt;=2010),"10"),"1908-1970")</f>
        <v>70</v>
      </c>
      <c r="F2565" s="3">
        <v>0.51736111111111105</v>
      </c>
      <c r="G2565" t="s">
        <v>16330</v>
      </c>
      <c r="H2565" t="s">
        <v>11150</v>
      </c>
      <c r="I2565" t="s">
        <v>28931</v>
      </c>
      <c r="J2565" t="s">
        <v>16331</v>
      </c>
      <c r="K2565" t="s">
        <v>16332</v>
      </c>
      <c r="L2565" s="7" t="s">
        <v>16333</v>
      </c>
      <c r="M2565">
        <v>512</v>
      </c>
      <c r="N2565">
        <v>31</v>
      </c>
      <c r="O2565">
        <v>27</v>
      </c>
      <c r="P2565">
        <v>4</v>
      </c>
      <c r="Q2565">
        <v>21</v>
      </c>
      <c r="R2565">
        <v>17</v>
      </c>
      <c r="S2565">
        <v>4</v>
      </c>
      <c r="T2565">
        <v>0</v>
      </c>
      <c r="U2565" t="s">
        <v>16334</v>
      </c>
      <c r="V2565">
        <f>Tabla1[[#This Row],[Aboard]]-Tabla1[[#This Row],[Fatalities]]</f>
        <v>10</v>
      </c>
      <c r="W2565" s="50">
        <f>IFERROR(Tabla1[[#This Row],[Fatalities]]/Tabla1[[#This Row],[Aboard]],0)</f>
        <v>0.67741935483870963</v>
      </c>
      <c r="X2565" s="51" t="str" cm="1">
        <f t="array" ref="X2565">_xlfn.IFS(Tabla1[[#This Row],[Porcentaje de muertes]]&lt;0.35,"LEVE",AND(Tabla1[[#This Row],[Porcentaje de muertes]]&gt;0.35,Tabla1[[#This Row],[Porcentaje de muertes]]&lt;0.65),"MEDIO",Tabla1[[#This Row],[Porcentaje de muertes]]&gt;0.65,"GRAVE")</f>
        <v>GRAVE</v>
      </c>
    </row>
    <row r="2566" spans="2:24" x14ac:dyDescent="0.3">
      <c r="B2566" s="9">
        <v>2565</v>
      </c>
      <c r="C2566" s="49">
        <v>26288</v>
      </c>
      <c r="D2566" s="9">
        <f>YEAR(Tabla1[[#This Row],[Date]])</f>
        <v>1971</v>
      </c>
      <c r="E2566" s="9" t="str" cm="1">
        <f t="array" ref="E2566">IFERROR(_xlfn.IFS(AND(D2566&lt;1980,D2566&gt;=1970),"70",AND(D2566&lt;1990,D2566&gt;=1980),"80",AND(D2566&lt;2000,D2566&gt;=1990),"90",AND(D2566&lt;2010,D2566&gt;=2000),"00",AND(D2566&lt;=2019,D2566&gt;=2010),"10"),"1908-1970")</f>
        <v>70</v>
      </c>
      <c r="F2566" s="3">
        <v>0.98055555555555562</v>
      </c>
      <c r="G2566" t="s">
        <v>13561</v>
      </c>
      <c r="H2566" t="s">
        <v>16075</v>
      </c>
      <c r="I2566" t="s">
        <v>28931</v>
      </c>
      <c r="J2566" t="s">
        <v>16335</v>
      </c>
      <c r="K2566" t="s">
        <v>13035</v>
      </c>
      <c r="L2566" s="7" t="s">
        <v>16336</v>
      </c>
      <c r="M2566">
        <v>185008104</v>
      </c>
      <c r="N2566">
        <v>73</v>
      </c>
      <c r="O2566">
        <v>62</v>
      </c>
      <c r="P2566">
        <v>11</v>
      </c>
      <c r="Q2566">
        <v>28</v>
      </c>
      <c r="R2566">
        <v>26</v>
      </c>
      <c r="S2566">
        <v>2</v>
      </c>
      <c r="T2566">
        <v>0</v>
      </c>
      <c r="U2566" t="s">
        <v>16337</v>
      </c>
      <c r="V2566">
        <f>Tabla1[[#This Row],[Aboard]]-Tabla1[[#This Row],[Fatalities]]</f>
        <v>45</v>
      </c>
      <c r="W2566" s="50">
        <f>IFERROR(Tabla1[[#This Row],[Fatalities]]/Tabla1[[#This Row],[Aboard]],0)</f>
        <v>0.38356164383561642</v>
      </c>
      <c r="X2566" s="51" t="str" cm="1">
        <f t="array" ref="X2566">_xlfn.IFS(Tabla1[[#This Row],[Porcentaje de muertes]]&lt;0.35,"LEVE",AND(Tabla1[[#This Row],[Porcentaje de muertes]]&gt;0.35,Tabla1[[#This Row],[Porcentaje de muertes]]&lt;0.65),"MEDIO",Tabla1[[#This Row],[Porcentaje de muertes]]&gt;0.65,"GRAVE")</f>
        <v>MEDIO</v>
      </c>
    </row>
    <row r="2567" spans="2:24" x14ac:dyDescent="0.3">
      <c r="B2567" s="9">
        <v>2566</v>
      </c>
      <c r="C2567" s="49">
        <v>26291</v>
      </c>
      <c r="D2567" s="9">
        <f>YEAR(Tabla1[[#This Row],[Date]])</f>
        <v>1971</v>
      </c>
      <c r="E2567" s="9" t="str" cm="1">
        <f t="array" ref="E2567">IFERROR(_xlfn.IFS(AND(D2567&lt;1980,D2567&gt;=1970),"70",AND(D2567&lt;1990,D2567&gt;=1980),"80",AND(D2567&lt;2000,D2567&gt;=1990),"90",AND(D2567&lt;2010,D2567&gt;=2000),"00",AND(D2567&lt;=2019,D2567&gt;=2010),"10"),"1908-1970")</f>
        <v>70</v>
      </c>
      <c r="F2567" s="3">
        <v>0.52500000000000002</v>
      </c>
      <c r="G2567" t="s">
        <v>16338</v>
      </c>
      <c r="H2567" t="s">
        <v>15933</v>
      </c>
      <c r="I2567">
        <v>508</v>
      </c>
      <c r="J2567" t="s">
        <v>12677</v>
      </c>
      <c r="K2567" t="s">
        <v>12770</v>
      </c>
      <c r="L2567" s="7" t="s">
        <v>16339</v>
      </c>
      <c r="M2567">
        <v>1086</v>
      </c>
      <c r="N2567">
        <v>92</v>
      </c>
      <c r="O2567">
        <v>86</v>
      </c>
      <c r="P2567">
        <v>6</v>
      </c>
      <c r="Q2567">
        <v>91</v>
      </c>
      <c r="R2567">
        <v>85</v>
      </c>
      <c r="S2567">
        <v>6</v>
      </c>
      <c r="T2567">
        <v>0</v>
      </c>
      <c r="U2567" t="s">
        <v>16340</v>
      </c>
      <c r="V2567">
        <f>Tabla1[[#This Row],[Aboard]]-Tabla1[[#This Row],[Fatalities]]</f>
        <v>1</v>
      </c>
      <c r="W2567" s="50">
        <f>IFERROR(Tabla1[[#This Row],[Fatalities]]/Tabla1[[#This Row],[Aboard]],0)</f>
        <v>0.98913043478260865</v>
      </c>
      <c r="X2567" s="51" t="str" cm="1">
        <f t="array" ref="X2567">_xlfn.IFS(Tabla1[[#This Row],[Porcentaje de muertes]]&lt;0.35,"LEVE",AND(Tabla1[[#This Row],[Porcentaje de muertes]]&gt;0.35,Tabla1[[#This Row],[Porcentaje de muertes]]&lt;0.65),"MEDIO",Tabla1[[#This Row],[Porcentaje de muertes]]&gt;0.65,"GRAVE")</f>
        <v>GRAVE</v>
      </c>
    </row>
    <row r="2568" spans="2:24" x14ac:dyDescent="0.3">
      <c r="B2568" s="9">
        <v>2567</v>
      </c>
      <c r="C2568" s="49">
        <v>26451</v>
      </c>
      <c r="D2568" s="9">
        <f>YEAR(Tabla1[[#This Row],[Date]])</f>
        <v>1972</v>
      </c>
      <c r="E2568" s="9" t="str" cm="1">
        <f t="array" ref="E2568">IFERROR(_xlfn.IFS(AND(D2568&lt;1980,D2568&gt;=1970),"70",AND(D2568&lt;1990,D2568&gt;=1980),"80",AND(D2568&lt;2000,D2568&gt;=1990),"90",AND(D2568&lt;2010,D2568&gt;=2000),"00",AND(D2568&lt;=2019,D2568&gt;=2010),"10"),"1908-1970")</f>
        <v>70</v>
      </c>
      <c r="F2568" s="3">
        <v>0.64930555555555558</v>
      </c>
      <c r="G2568" t="s">
        <v>16341</v>
      </c>
      <c r="H2568" t="s">
        <v>16342</v>
      </c>
      <c r="I2568" t="s">
        <v>28931</v>
      </c>
      <c r="J2568" t="s">
        <v>16343</v>
      </c>
      <c r="K2568" t="s">
        <v>16344</v>
      </c>
      <c r="L2568" s="7" t="s">
        <v>16345</v>
      </c>
      <c r="M2568">
        <v>1598</v>
      </c>
      <c r="N2568">
        <v>23</v>
      </c>
      <c r="O2568">
        <v>18</v>
      </c>
      <c r="P2568">
        <v>5</v>
      </c>
      <c r="Q2568">
        <v>23</v>
      </c>
      <c r="R2568">
        <v>18</v>
      </c>
      <c r="S2568">
        <v>5</v>
      </c>
      <c r="T2568">
        <v>0</v>
      </c>
      <c r="U2568" t="s">
        <v>16346</v>
      </c>
      <c r="V2568">
        <f>Tabla1[[#This Row],[Aboard]]-Tabla1[[#This Row],[Fatalities]]</f>
        <v>0</v>
      </c>
      <c r="W2568" s="50">
        <f>IFERROR(Tabla1[[#This Row],[Fatalities]]/Tabla1[[#This Row],[Aboard]],0)</f>
        <v>1</v>
      </c>
      <c r="X2568" s="51" t="str" cm="1">
        <f t="array" ref="X2568">_xlfn.IFS(Tabla1[[#This Row],[Porcentaje de muertes]]&lt;0.35,"LEVE",AND(Tabla1[[#This Row],[Porcentaje de muertes]]&gt;0.35,Tabla1[[#This Row],[Porcentaje de muertes]]&lt;0.65),"MEDIO",Tabla1[[#This Row],[Porcentaje de muertes]]&gt;0.65,"GRAVE")</f>
        <v>GRAVE</v>
      </c>
    </row>
    <row r="2569" spans="2:24" x14ac:dyDescent="0.3">
      <c r="B2569" s="9">
        <v>2568</v>
      </c>
      <c r="C2569" s="49">
        <v>26481</v>
      </c>
      <c r="D2569" s="9">
        <f>YEAR(Tabla1[[#This Row],[Date]])</f>
        <v>1972</v>
      </c>
      <c r="E2569" s="9" t="str" cm="1">
        <f t="array" ref="E2569">IFERROR(_xlfn.IFS(AND(D2569&lt;1980,D2569&gt;=1970),"70",AND(D2569&lt;1990,D2569&gt;=1980),"80",AND(D2569&lt;2000,D2569&gt;=1990),"90",AND(D2569&lt;2010,D2569&gt;=2000),"00",AND(D2569&lt;=2019,D2569&gt;=2010),"10"),"1908-1970")</f>
        <v>70</v>
      </c>
      <c r="F2569" s="3">
        <v>0.50694444444444442</v>
      </c>
      <c r="G2569" t="s">
        <v>16347</v>
      </c>
      <c r="H2569" t="s">
        <v>5570</v>
      </c>
      <c r="I2569">
        <v>602</v>
      </c>
      <c r="J2569" t="s">
        <v>16348</v>
      </c>
      <c r="K2569" t="s">
        <v>16349</v>
      </c>
      <c r="L2569" s="7" t="s">
        <v>16350</v>
      </c>
      <c r="M2569">
        <v>163</v>
      </c>
      <c r="N2569">
        <v>104</v>
      </c>
      <c r="O2569">
        <v>98</v>
      </c>
      <c r="P2569">
        <v>6</v>
      </c>
      <c r="Q2569">
        <v>104</v>
      </c>
      <c r="R2569">
        <v>98</v>
      </c>
      <c r="S2569">
        <v>6</v>
      </c>
      <c r="T2569">
        <v>0</v>
      </c>
      <c r="U2569" t="s">
        <v>16351</v>
      </c>
      <c r="V2569">
        <f>Tabla1[[#This Row],[Aboard]]-Tabla1[[#This Row],[Fatalities]]</f>
        <v>0</v>
      </c>
      <c r="W2569" s="50">
        <f>IFERROR(Tabla1[[#This Row],[Fatalities]]/Tabla1[[#This Row],[Aboard]],0)</f>
        <v>1</v>
      </c>
      <c r="X2569" s="51" t="str" cm="1">
        <f t="array" ref="X2569">_xlfn.IFS(Tabla1[[#This Row],[Porcentaje de muertes]]&lt;0.35,"LEVE",AND(Tabla1[[#This Row],[Porcentaje de muertes]]&gt;0.35,Tabla1[[#This Row],[Porcentaje de muertes]]&lt;0.65),"MEDIO",Tabla1[[#This Row],[Porcentaje de muertes]]&gt;0.65,"GRAVE")</f>
        <v>GRAVE</v>
      </c>
    </row>
    <row r="2570" spans="2:24" x14ac:dyDescent="0.3">
      <c r="B2570" s="9">
        <v>2569</v>
      </c>
      <c r="C2570" s="49">
        <v>26319</v>
      </c>
      <c r="D2570" s="9">
        <f>YEAR(Tabla1[[#This Row],[Date]])</f>
        <v>1972</v>
      </c>
      <c r="E2570" s="9" t="str" cm="1">
        <f t="array" ref="E2570">IFERROR(_xlfn.IFS(AND(D2570&lt;1980,D2570&gt;=1970),"70",AND(D2570&lt;1990,D2570&gt;=1980),"80",AND(D2570&lt;2000,D2570&gt;=1990),"90",AND(D2570&lt;2010,D2570&gt;=2000),"00",AND(D2570&lt;=2019,D2570&gt;=2010),"10"),"1908-1970")</f>
        <v>70</v>
      </c>
      <c r="F2570" s="3" t="s">
        <v>28931</v>
      </c>
      <c r="G2570" t="s">
        <v>16352</v>
      </c>
      <c r="H2570" t="s">
        <v>16353</v>
      </c>
      <c r="I2570" t="s">
        <v>28931</v>
      </c>
      <c r="J2570" t="s">
        <v>16354</v>
      </c>
      <c r="K2570" t="s">
        <v>13080</v>
      </c>
      <c r="L2570" s="7" t="s">
        <v>16355</v>
      </c>
      <c r="M2570">
        <v>442</v>
      </c>
      <c r="N2570">
        <v>20</v>
      </c>
      <c r="O2570">
        <v>15</v>
      </c>
      <c r="P2570">
        <v>5</v>
      </c>
      <c r="Q2570">
        <v>20</v>
      </c>
      <c r="R2570">
        <v>15</v>
      </c>
      <c r="S2570">
        <v>5</v>
      </c>
      <c r="T2570">
        <v>0</v>
      </c>
      <c r="U2570" t="s">
        <v>16356</v>
      </c>
      <c r="V2570">
        <f>Tabla1[[#This Row],[Aboard]]-Tabla1[[#This Row],[Fatalities]]</f>
        <v>0</v>
      </c>
      <c r="W2570" s="50">
        <f>IFERROR(Tabla1[[#This Row],[Fatalities]]/Tabla1[[#This Row],[Aboard]],0)</f>
        <v>1</v>
      </c>
      <c r="X2570" s="51" t="str" cm="1">
        <f t="array" ref="X2570">_xlfn.IFS(Tabla1[[#This Row],[Porcentaje de muertes]]&lt;0.35,"LEVE",AND(Tabla1[[#This Row],[Porcentaje de muertes]]&gt;0.35,Tabla1[[#This Row],[Porcentaje de muertes]]&lt;0.65),"MEDIO",Tabla1[[#This Row],[Porcentaje de muertes]]&gt;0.65,"GRAVE")</f>
        <v>GRAVE</v>
      </c>
    </row>
    <row r="2571" spans="2:24" x14ac:dyDescent="0.3">
      <c r="B2571" s="9">
        <v>2570</v>
      </c>
      <c r="C2571" s="49">
        <v>26319</v>
      </c>
      <c r="D2571" s="9">
        <f>YEAR(Tabla1[[#This Row],[Date]])</f>
        <v>1972</v>
      </c>
      <c r="E2571" s="9" t="str" cm="1">
        <f t="array" ref="E2571">IFERROR(_xlfn.IFS(AND(D2571&lt;1980,D2571&gt;=1970),"70",AND(D2571&lt;1990,D2571&gt;=1980),"80",AND(D2571&lt;2000,D2571&gt;=1990),"90",AND(D2571&lt;2010,D2571&gt;=2000),"00",AND(D2571&lt;=2019,D2571&gt;=2010),"10"),"1908-1970")</f>
        <v>70</v>
      </c>
      <c r="F2571" s="3">
        <v>0.4375</v>
      </c>
      <c r="G2571" t="s">
        <v>16357</v>
      </c>
      <c r="H2571" t="s">
        <v>15622</v>
      </c>
      <c r="I2571">
        <v>661</v>
      </c>
      <c r="J2571" t="s">
        <v>16358</v>
      </c>
      <c r="K2571" t="s">
        <v>7826</v>
      </c>
      <c r="L2571" s="7" t="s">
        <v>16359</v>
      </c>
      <c r="M2571" t="s">
        <v>28931</v>
      </c>
      <c r="N2571">
        <v>39</v>
      </c>
      <c r="O2571">
        <v>36</v>
      </c>
      <c r="P2571">
        <v>3</v>
      </c>
      <c r="Q2571">
        <v>39</v>
      </c>
      <c r="R2571">
        <v>36</v>
      </c>
      <c r="S2571">
        <v>3</v>
      </c>
      <c r="T2571">
        <v>0</v>
      </c>
      <c r="U2571" t="s">
        <v>16360</v>
      </c>
      <c r="V2571">
        <f>Tabla1[[#This Row],[Aboard]]-Tabla1[[#This Row],[Fatalities]]</f>
        <v>0</v>
      </c>
      <c r="W2571" s="50">
        <f>IFERROR(Tabla1[[#This Row],[Fatalities]]/Tabla1[[#This Row],[Aboard]],0)</f>
        <v>1</v>
      </c>
      <c r="X2571" s="51" t="str" cm="1">
        <f t="array" ref="X2571">_xlfn.IFS(Tabla1[[#This Row],[Porcentaje de muertes]]&lt;0.35,"LEVE",AND(Tabla1[[#This Row],[Porcentaje de muertes]]&gt;0.35,Tabla1[[#This Row],[Porcentaje de muertes]]&lt;0.65),"MEDIO",Tabla1[[#This Row],[Porcentaje de muertes]]&gt;0.65,"GRAVE")</f>
        <v>GRAVE</v>
      </c>
    </row>
    <row r="2572" spans="2:24" x14ac:dyDescent="0.3">
      <c r="B2572" s="9">
        <v>2571</v>
      </c>
      <c r="C2572" s="49">
        <v>26324</v>
      </c>
      <c r="D2572" s="9">
        <f>YEAR(Tabla1[[#This Row],[Date]])</f>
        <v>1972</v>
      </c>
      <c r="E2572" s="9" t="str" cm="1">
        <f t="array" ref="E2572">IFERROR(_xlfn.IFS(AND(D2572&lt;1980,D2572&gt;=1970),"70",AND(D2572&lt;1990,D2572&gt;=1980),"80",AND(D2572&lt;2000,D2572&gt;=1990),"90",AND(D2572&lt;2010,D2572&gt;=2000),"00",AND(D2572&lt;=2019,D2572&gt;=2010),"10"),"1908-1970")</f>
        <v>70</v>
      </c>
      <c r="F2572" s="3">
        <v>0.67361111111111116</v>
      </c>
      <c r="G2572" t="s">
        <v>16361</v>
      </c>
      <c r="H2572" t="s">
        <v>9280</v>
      </c>
      <c r="I2572" t="s">
        <v>16362</v>
      </c>
      <c r="J2572" t="s">
        <v>16363</v>
      </c>
      <c r="K2572" t="s">
        <v>15468</v>
      </c>
      <c r="L2572" s="7" t="s">
        <v>16364</v>
      </c>
      <c r="M2572" t="s">
        <v>16365</v>
      </c>
      <c r="N2572">
        <v>28</v>
      </c>
      <c r="O2572">
        <v>23</v>
      </c>
      <c r="P2572">
        <v>5</v>
      </c>
      <c r="Q2572">
        <v>27</v>
      </c>
      <c r="R2572">
        <v>23</v>
      </c>
      <c r="S2572">
        <v>4</v>
      </c>
      <c r="T2572">
        <v>0</v>
      </c>
      <c r="U2572" t="s">
        <v>16366</v>
      </c>
      <c r="V2572">
        <f>Tabla1[[#This Row],[Aboard]]-Tabla1[[#This Row],[Fatalities]]</f>
        <v>1</v>
      </c>
      <c r="W2572" s="50">
        <f>IFERROR(Tabla1[[#This Row],[Fatalities]]/Tabla1[[#This Row],[Aboard]],0)</f>
        <v>0.9642857142857143</v>
      </c>
      <c r="X2572" s="51" t="str" cm="1">
        <f t="array" ref="X2572">_xlfn.IFS(Tabla1[[#This Row],[Porcentaje de muertes]]&lt;0.35,"LEVE",AND(Tabla1[[#This Row],[Porcentaje de muertes]]&gt;0.35,Tabla1[[#This Row],[Porcentaje de muertes]]&lt;0.65),"MEDIO",Tabla1[[#This Row],[Porcentaje de muertes]]&gt;0.65,"GRAVE")</f>
        <v>GRAVE</v>
      </c>
    </row>
    <row r="2573" spans="2:24" x14ac:dyDescent="0.3">
      <c r="B2573" s="9">
        <v>2572</v>
      </c>
      <c r="C2573" s="49">
        <v>26300</v>
      </c>
      <c r="D2573" s="9">
        <f>YEAR(Tabla1[[#This Row],[Date]])</f>
        <v>1972</v>
      </c>
      <c r="E2573" s="9" t="str" cm="1">
        <f t="array" ref="E2573">IFERROR(_xlfn.IFS(AND(D2573&lt;1980,D2573&gt;=1970),"70",AND(D2573&lt;1990,D2573&gt;=1980),"80",AND(D2573&lt;2000,D2573&gt;=1990),"90",AND(D2573&lt;2010,D2573&gt;=2000),"00",AND(D2573&lt;=2019,D2573&gt;=2010),"10"),"1908-1970")</f>
        <v>70</v>
      </c>
      <c r="F2573" s="3" t="s">
        <v>28931</v>
      </c>
      <c r="G2573" t="s">
        <v>16367</v>
      </c>
      <c r="H2573" t="s">
        <v>16368</v>
      </c>
      <c r="I2573" t="s">
        <v>28931</v>
      </c>
      <c r="J2573" t="s">
        <v>16369</v>
      </c>
      <c r="K2573" t="s">
        <v>9230</v>
      </c>
      <c r="L2573" s="7" t="s">
        <v>16370</v>
      </c>
      <c r="M2573" t="s">
        <v>16371</v>
      </c>
      <c r="N2573">
        <v>9</v>
      </c>
      <c r="O2573">
        <v>6</v>
      </c>
      <c r="P2573">
        <v>3</v>
      </c>
      <c r="Q2573">
        <v>6</v>
      </c>
      <c r="R2573">
        <v>5</v>
      </c>
      <c r="S2573">
        <v>1</v>
      </c>
      <c r="T2573">
        <v>0</v>
      </c>
      <c r="U2573" t="s">
        <v>16372</v>
      </c>
      <c r="V2573">
        <f>Tabla1[[#This Row],[Aboard]]-Tabla1[[#This Row],[Fatalities]]</f>
        <v>3</v>
      </c>
      <c r="W2573" s="50">
        <f>IFERROR(Tabla1[[#This Row],[Fatalities]]/Tabla1[[#This Row],[Aboard]],0)</f>
        <v>0.66666666666666663</v>
      </c>
      <c r="X2573" s="51" t="str" cm="1">
        <f t="array" ref="X2573">_xlfn.IFS(Tabla1[[#This Row],[Porcentaje de muertes]]&lt;0.35,"LEVE",AND(Tabla1[[#This Row],[Porcentaje de muertes]]&gt;0.35,Tabla1[[#This Row],[Porcentaje de muertes]]&lt;0.65),"MEDIO",Tabla1[[#This Row],[Porcentaje de muertes]]&gt;0.65,"GRAVE")</f>
        <v>GRAVE</v>
      </c>
    </row>
    <row r="2574" spans="2:24" x14ac:dyDescent="0.3">
      <c r="B2574" s="9">
        <v>2573</v>
      </c>
      <c r="C2574" s="49">
        <v>26391</v>
      </c>
      <c r="D2574" s="9">
        <f>YEAR(Tabla1[[#This Row],[Date]])</f>
        <v>1972</v>
      </c>
      <c r="E2574" s="9" t="str" cm="1">
        <f t="array" ref="E2574">IFERROR(_xlfn.IFS(AND(D2574&lt;1980,D2574&gt;=1970),"70",AND(D2574&lt;1990,D2574&gt;=1980),"80",AND(D2574&lt;2000,D2574&gt;=1990),"90",AND(D2574&lt;2010,D2574&gt;=2000),"00",AND(D2574&lt;=2019,D2574&gt;=2010),"10"),"1908-1970")</f>
        <v>70</v>
      </c>
      <c r="F2574" s="3" t="s">
        <v>28931</v>
      </c>
      <c r="G2574" t="s">
        <v>16373</v>
      </c>
      <c r="H2574" t="s">
        <v>13917</v>
      </c>
      <c r="I2574" t="s">
        <v>28931</v>
      </c>
      <c r="J2574" t="s">
        <v>16374</v>
      </c>
      <c r="K2574" t="s">
        <v>15078</v>
      </c>
      <c r="L2574" s="7">
        <v>393</v>
      </c>
      <c r="M2574">
        <v>51</v>
      </c>
      <c r="N2574">
        <v>38</v>
      </c>
      <c r="O2574">
        <v>34</v>
      </c>
      <c r="P2574">
        <v>4</v>
      </c>
      <c r="Q2574">
        <v>1</v>
      </c>
      <c r="R2574">
        <v>0</v>
      </c>
      <c r="S2574">
        <v>1</v>
      </c>
      <c r="T2574">
        <v>0</v>
      </c>
      <c r="U2574" t="s">
        <v>16375</v>
      </c>
      <c r="V2574">
        <f>Tabla1[[#This Row],[Aboard]]-Tabla1[[#This Row],[Fatalities]]</f>
        <v>37</v>
      </c>
      <c r="W2574" s="50">
        <f>IFERROR(Tabla1[[#This Row],[Fatalities]]/Tabla1[[#This Row],[Aboard]],0)</f>
        <v>2.6315789473684209E-2</v>
      </c>
      <c r="X2574" s="51" t="str" cm="1">
        <f t="array" ref="X2574">_xlfn.IFS(Tabla1[[#This Row],[Porcentaje de muertes]]&lt;0.35,"LEVE",AND(Tabla1[[#This Row],[Porcentaje de muertes]]&gt;0.35,Tabla1[[#This Row],[Porcentaje de muertes]]&lt;0.65),"MEDIO",Tabla1[[#This Row],[Porcentaje de muertes]]&gt;0.65,"GRAVE")</f>
        <v>LEVE</v>
      </c>
    </row>
    <row r="2575" spans="2:24" x14ac:dyDescent="0.3">
      <c r="B2575" s="9">
        <v>2574</v>
      </c>
      <c r="C2575" s="49">
        <v>26421</v>
      </c>
      <c r="D2575" s="9">
        <f>YEAR(Tabla1[[#This Row],[Date]])</f>
        <v>1972</v>
      </c>
      <c r="E2575" s="9" t="str" cm="1">
        <f t="array" ref="E2575">IFERROR(_xlfn.IFS(AND(D2575&lt;1980,D2575&gt;=1970),"70",AND(D2575&lt;1990,D2575&gt;=1980),"80",AND(D2575&lt;2000,D2575&gt;=1990),"90",AND(D2575&lt;2010,D2575&gt;=2000),"00",AND(D2575&lt;=2019,D2575&gt;=2010),"10"),"1908-1970")</f>
        <v>70</v>
      </c>
      <c r="F2575" s="3" t="s">
        <v>28931</v>
      </c>
      <c r="G2575" t="s">
        <v>16376</v>
      </c>
      <c r="H2575" t="s">
        <v>16377</v>
      </c>
      <c r="I2575">
        <v>772</v>
      </c>
      <c r="J2575" t="s">
        <v>16378</v>
      </c>
      <c r="K2575" t="s">
        <v>13450</v>
      </c>
      <c r="L2575" s="7" t="s">
        <v>16379</v>
      </c>
      <c r="M2575">
        <v>75</v>
      </c>
      <c r="N2575">
        <v>19</v>
      </c>
      <c r="O2575">
        <v>15</v>
      </c>
      <c r="P2575">
        <v>4</v>
      </c>
      <c r="Q2575">
        <v>19</v>
      </c>
      <c r="R2575">
        <v>15</v>
      </c>
      <c r="S2575">
        <v>4</v>
      </c>
      <c r="T2575">
        <v>0</v>
      </c>
      <c r="U2575" t="s">
        <v>16380</v>
      </c>
      <c r="V2575">
        <f>Tabla1[[#This Row],[Aboard]]-Tabla1[[#This Row],[Fatalities]]</f>
        <v>0</v>
      </c>
      <c r="W2575" s="50">
        <f>IFERROR(Tabla1[[#This Row],[Fatalities]]/Tabla1[[#This Row],[Aboard]],0)</f>
        <v>1</v>
      </c>
      <c r="X2575" s="51" t="str" cm="1">
        <f t="array" ref="X2575">_xlfn.IFS(Tabla1[[#This Row],[Porcentaje de muertes]]&lt;0.35,"LEVE",AND(Tabla1[[#This Row],[Porcentaje de muertes]]&gt;0.35,Tabla1[[#This Row],[Porcentaje de muertes]]&lt;0.65),"MEDIO",Tabla1[[#This Row],[Porcentaje de muertes]]&gt;0.65,"GRAVE")</f>
        <v>GRAVE</v>
      </c>
    </row>
    <row r="2576" spans="2:24" x14ac:dyDescent="0.3">
      <c r="B2576" s="9">
        <v>2575</v>
      </c>
      <c r="C2576" s="49">
        <v>26605</v>
      </c>
      <c r="D2576" s="9">
        <f>YEAR(Tabla1[[#This Row],[Date]])</f>
        <v>1972</v>
      </c>
      <c r="E2576" s="9" t="str" cm="1">
        <f t="array" ref="E2576">IFERROR(_xlfn.IFS(AND(D2576&lt;1980,D2576&gt;=1970),"70",AND(D2576&lt;1990,D2576&gt;=1980),"80",AND(D2576&lt;2000,D2576&gt;=1990),"90",AND(D2576&lt;2010,D2576&gt;=2000),"00",AND(D2576&lt;=2019,D2576&gt;=2010),"10"),"1908-1970")</f>
        <v>70</v>
      </c>
      <c r="F2576" s="3">
        <v>0.55555555555555558</v>
      </c>
      <c r="G2576" t="s">
        <v>16381</v>
      </c>
      <c r="H2576" t="s">
        <v>15149</v>
      </c>
      <c r="I2576" t="s">
        <v>28931</v>
      </c>
      <c r="J2576" t="s">
        <v>16382</v>
      </c>
      <c r="K2576" t="s">
        <v>8822</v>
      </c>
      <c r="L2576" s="7" t="s">
        <v>16383</v>
      </c>
      <c r="M2576">
        <v>43126</v>
      </c>
      <c r="N2576">
        <v>23</v>
      </c>
      <c r="O2576">
        <v>17</v>
      </c>
      <c r="P2576">
        <v>6</v>
      </c>
      <c r="Q2576">
        <v>23</v>
      </c>
      <c r="R2576">
        <v>17</v>
      </c>
      <c r="S2576">
        <v>6</v>
      </c>
      <c r="T2576">
        <v>0</v>
      </c>
      <c r="U2576" t="s">
        <v>16384</v>
      </c>
      <c r="V2576">
        <f>Tabla1[[#This Row],[Aboard]]-Tabla1[[#This Row],[Fatalities]]</f>
        <v>0</v>
      </c>
      <c r="W2576" s="50">
        <f>IFERROR(Tabla1[[#This Row],[Fatalities]]/Tabla1[[#This Row],[Aboard]],0)</f>
        <v>1</v>
      </c>
      <c r="X2576" s="51" t="str" cm="1">
        <f t="array" ref="X2576">_xlfn.IFS(Tabla1[[#This Row],[Porcentaje de muertes]]&lt;0.35,"LEVE",AND(Tabla1[[#This Row],[Porcentaje de muertes]]&gt;0.35,Tabla1[[#This Row],[Porcentaje de muertes]]&lt;0.65),"MEDIO",Tabla1[[#This Row],[Porcentaje de muertes]]&gt;0.65,"GRAVE")</f>
        <v>GRAVE</v>
      </c>
    </row>
    <row r="2577" spans="2:24" x14ac:dyDescent="0.3">
      <c r="B2577" s="9">
        <v>2576</v>
      </c>
      <c r="C2577" s="49">
        <v>26361</v>
      </c>
      <c r="D2577" s="9">
        <f>YEAR(Tabla1[[#This Row],[Date]])</f>
        <v>1972</v>
      </c>
      <c r="E2577" s="9" t="str" cm="1">
        <f t="array" ref="E2577">IFERROR(_xlfn.IFS(AND(D2577&lt;1980,D2577&gt;=1970),"70",AND(D2577&lt;1990,D2577&gt;=1980),"80",AND(D2577&lt;2000,D2577&gt;=1990),"90",AND(D2577&lt;2010,D2577&gt;=2000),"00",AND(D2577&lt;=2019,D2577&gt;=2010),"10"),"1908-1970")</f>
        <v>70</v>
      </c>
      <c r="F2577" s="3">
        <v>0.8666666666666667</v>
      </c>
      <c r="G2577" t="s">
        <v>11096</v>
      </c>
      <c r="H2577" t="s">
        <v>13900</v>
      </c>
      <c r="I2577">
        <v>405</v>
      </c>
      <c r="J2577" t="s">
        <v>16385</v>
      </c>
      <c r="K2577" t="s">
        <v>16386</v>
      </c>
      <c r="L2577" s="7" t="s">
        <v>16387</v>
      </c>
      <c r="M2577">
        <v>541</v>
      </c>
      <c r="N2577">
        <v>48</v>
      </c>
      <c r="O2577">
        <v>45</v>
      </c>
      <c r="P2577">
        <v>3</v>
      </c>
      <c r="Q2577">
        <v>16</v>
      </c>
      <c r="R2577">
        <v>14</v>
      </c>
      <c r="S2577">
        <v>2</v>
      </c>
      <c r="T2577">
        <v>1</v>
      </c>
      <c r="U2577" t="s">
        <v>16388</v>
      </c>
      <c r="V2577">
        <f>Tabla1[[#This Row],[Aboard]]-Tabla1[[#This Row],[Fatalities]]</f>
        <v>32</v>
      </c>
      <c r="W2577" s="50">
        <f>IFERROR(Tabla1[[#This Row],[Fatalities]]/Tabla1[[#This Row],[Aboard]],0)</f>
        <v>0.33333333333333331</v>
      </c>
      <c r="X2577" s="51" t="str" cm="1">
        <f t="array" ref="X2577">_xlfn.IFS(Tabla1[[#This Row],[Porcentaje de muertes]]&lt;0.35,"LEVE",AND(Tabla1[[#This Row],[Porcentaje de muertes]]&gt;0.35,Tabla1[[#This Row],[Porcentaje de muertes]]&lt;0.65),"MEDIO",Tabla1[[#This Row],[Porcentaje de muertes]]&gt;0.65,"GRAVE")</f>
        <v>LEVE</v>
      </c>
    </row>
    <row r="2578" spans="2:24" x14ac:dyDescent="0.3">
      <c r="B2578" s="9">
        <v>2577</v>
      </c>
      <c r="C2578" s="49">
        <v>26372</v>
      </c>
      <c r="D2578" s="9">
        <f>YEAR(Tabla1[[#This Row],[Date]])</f>
        <v>1972</v>
      </c>
      <c r="E2578" s="9" t="str" cm="1">
        <f t="array" ref="E2578">IFERROR(_xlfn.IFS(AND(D2578&lt;1980,D2578&gt;=1970),"70",AND(D2578&lt;1990,D2578&gt;=1980),"80",AND(D2578&lt;2000,D2578&gt;=1990),"90",AND(D2578&lt;2010,D2578&gt;=2000),"00",AND(D2578&lt;=2019,D2578&gt;=2010),"10"),"1908-1970")</f>
        <v>70</v>
      </c>
      <c r="F2578" s="3">
        <v>0.91666666666666663</v>
      </c>
      <c r="G2578" t="s">
        <v>16389</v>
      </c>
      <c r="H2578" t="s">
        <v>16390</v>
      </c>
      <c r="I2578">
        <v>296</v>
      </c>
      <c r="J2578" t="s">
        <v>16391</v>
      </c>
      <c r="K2578" t="s">
        <v>16392</v>
      </c>
      <c r="L2578" s="7" t="s">
        <v>16393</v>
      </c>
      <c r="M2578">
        <v>267</v>
      </c>
      <c r="N2578">
        <v>112</v>
      </c>
      <c r="O2578">
        <v>106</v>
      </c>
      <c r="P2578">
        <v>6</v>
      </c>
      <c r="Q2578">
        <v>112</v>
      </c>
      <c r="R2578">
        <v>106</v>
      </c>
      <c r="S2578">
        <v>6</v>
      </c>
      <c r="T2578">
        <v>0</v>
      </c>
      <c r="U2578" t="s">
        <v>16394</v>
      </c>
      <c r="V2578">
        <f>Tabla1[[#This Row],[Aboard]]-Tabla1[[#This Row],[Fatalities]]</f>
        <v>0</v>
      </c>
      <c r="W2578" s="50">
        <f>IFERROR(Tabla1[[#This Row],[Fatalities]]/Tabla1[[#This Row],[Aboard]],0)</f>
        <v>1</v>
      </c>
      <c r="X2578" s="51" t="str" cm="1">
        <f t="array" ref="X2578">_xlfn.IFS(Tabla1[[#This Row],[Porcentaje de muertes]]&lt;0.35,"LEVE",AND(Tabla1[[#This Row],[Porcentaje de muertes]]&gt;0.35,Tabla1[[#This Row],[Porcentaje de muertes]]&lt;0.65),"MEDIO",Tabla1[[#This Row],[Porcentaje de muertes]]&gt;0.65,"GRAVE")</f>
        <v>GRAVE</v>
      </c>
    </row>
    <row r="2579" spans="2:24" x14ac:dyDescent="0.3">
      <c r="B2579" s="9">
        <v>2578</v>
      </c>
      <c r="C2579" s="49">
        <v>26377</v>
      </c>
      <c r="D2579" s="9">
        <f>YEAR(Tabla1[[#This Row],[Date]])</f>
        <v>1972</v>
      </c>
      <c r="E2579" s="9" t="str" cm="1">
        <f t="array" ref="E2579">IFERROR(_xlfn.IFS(AND(D2579&lt;1980,D2579&gt;=1970),"70",AND(D2579&lt;1990,D2579&gt;=1980),"80",AND(D2579&lt;2000,D2579&gt;=1990),"90",AND(D2579&lt;2010,D2579&gt;=2000),"00",AND(D2579&lt;=2019,D2579&gt;=2010),"10"),"1908-1970")</f>
        <v>70</v>
      </c>
      <c r="F2579" s="3" t="s">
        <v>28931</v>
      </c>
      <c r="G2579" t="s">
        <v>16395</v>
      </c>
      <c r="H2579" t="s">
        <v>16396</v>
      </c>
      <c r="I2579">
        <v>763</v>
      </c>
      <c r="J2579" t="s">
        <v>16397</v>
      </c>
      <c r="K2579" t="s">
        <v>15468</v>
      </c>
      <c r="L2579" s="7" t="s">
        <v>16398</v>
      </c>
      <c r="M2579" t="s">
        <v>16399</v>
      </c>
      <c r="N2579">
        <v>22</v>
      </c>
      <c r="O2579">
        <v>13</v>
      </c>
      <c r="P2579">
        <v>9</v>
      </c>
      <c r="Q2579">
        <v>22</v>
      </c>
      <c r="R2579">
        <v>13</v>
      </c>
      <c r="S2579">
        <v>9</v>
      </c>
      <c r="T2579">
        <v>0</v>
      </c>
      <c r="U2579" t="s">
        <v>16400</v>
      </c>
      <c r="V2579">
        <f>Tabla1[[#This Row],[Aboard]]-Tabla1[[#This Row],[Fatalities]]</f>
        <v>0</v>
      </c>
      <c r="W2579" s="50">
        <f>IFERROR(Tabla1[[#This Row],[Fatalities]]/Tabla1[[#This Row],[Aboard]],0)</f>
        <v>1</v>
      </c>
      <c r="X2579" s="51" t="str" cm="1">
        <f t="array" ref="X2579">_xlfn.IFS(Tabla1[[#This Row],[Porcentaje de muertes]]&lt;0.35,"LEVE",AND(Tabla1[[#This Row],[Porcentaje de muertes]]&gt;0.35,Tabla1[[#This Row],[Porcentaje de muertes]]&lt;0.65),"MEDIO",Tabla1[[#This Row],[Porcentaje de muertes]]&gt;0.65,"GRAVE")</f>
        <v>GRAVE</v>
      </c>
    </row>
    <row r="2580" spans="2:24" x14ac:dyDescent="0.3">
      <c r="B2580" s="9">
        <v>2579</v>
      </c>
      <c r="C2580" s="49">
        <v>26637</v>
      </c>
      <c r="D2580" s="9">
        <f>YEAR(Tabla1[[#This Row],[Date]])</f>
        <v>1972</v>
      </c>
      <c r="E2580" s="9" t="str" cm="1">
        <f t="array" ref="E2580">IFERROR(_xlfn.IFS(AND(D2580&lt;1980,D2580&gt;=1970),"70",AND(D2580&lt;1990,D2580&gt;=1980),"80",AND(D2580&lt;2000,D2580&gt;=1990),"90",AND(D2580&lt;2010,D2580&gt;=2000),"00",AND(D2580&lt;=2019,D2580&gt;=2010),"10"),"1908-1970")</f>
        <v>70</v>
      </c>
      <c r="F2580" s="3">
        <v>0.8930555555555556</v>
      </c>
      <c r="G2580" t="s">
        <v>16401</v>
      </c>
      <c r="H2580" t="s">
        <v>7581</v>
      </c>
      <c r="I2580" t="s">
        <v>28931</v>
      </c>
      <c r="J2580" t="s">
        <v>7996</v>
      </c>
      <c r="K2580" t="s">
        <v>16402</v>
      </c>
      <c r="L2580" s="7" t="s">
        <v>16403</v>
      </c>
      <c r="M2580">
        <v>2059</v>
      </c>
      <c r="N2580">
        <v>25</v>
      </c>
      <c r="O2580">
        <v>21</v>
      </c>
      <c r="P2580">
        <v>4</v>
      </c>
      <c r="Q2580">
        <v>25</v>
      </c>
      <c r="R2580">
        <v>21</v>
      </c>
      <c r="S2580">
        <v>4</v>
      </c>
      <c r="T2580">
        <v>0</v>
      </c>
      <c r="U2580" t="s">
        <v>16404</v>
      </c>
      <c r="V2580">
        <f>Tabla1[[#This Row],[Aboard]]-Tabla1[[#This Row],[Fatalities]]</f>
        <v>0</v>
      </c>
      <c r="W2580" s="50">
        <f>IFERROR(Tabla1[[#This Row],[Fatalities]]/Tabla1[[#This Row],[Aboard]],0)</f>
        <v>1</v>
      </c>
      <c r="X2580" s="51" t="str" cm="1">
        <f t="array" ref="X2580">_xlfn.IFS(Tabla1[[#This Row],[Porcentaje de muertes]]&lt;0.35,"LEVE",AND(Tabla1[[#This Row],[Porcentaje de muertes]]&gt;0.35,Tabla1[[#This Row],[Porcentaje de muertes]]&lt;0.65),"MEDIO",Tabla1[[#This Row],[Porcentaje de muertes]]&gt;0.65,"GRAVE")</f>
        <v>GRAVE</v>
      </c>
    </row>
    <row r="2581" spans="2:24" x14ac:dyDescent="0.3">
      <c r="B2581" s="9">
        <v>2580</v>
      </c>
      <c r="C2581" s="49">
        <v>26405</v>
      </c>
      <c r="D2581" s="9">
        <f>YEAR(Tabla1[[#This Row],[Date]])</f>
        <v>1972</v>
      </c>
      <c r="E2581" s="9" t="str" cm="1">
        <f t="array" ref="E2581">IFERROR(_xlfn.IFS(AND(D2581&lt;1980,D2581&gt;=1970),"70",AND(D2581&lt;1990,D2581&gt;=1980),"80",AND(D2581&lt;2000,D2581&gt;=1990),"90",AND(D2581&lt;2010,D2581&gt;=2000),"00",AND(D2581&lt;=2019,D2581&gt;=2010),"10"),"1908-1970")</f>
        <v>70</v>
      </c>
      <c r="F2581" s="3">
        <v>0.92361111111111116</v>
      </c>
      <c r="G2581" t="s">
        <v>16405</v>
      </c>
      <c r="H2581" t="s">
        <v>15524</v>
      </c>
      <c r="I2581" t="s">
        <v>28931</v>
      </c>
      <c r="J2581" t="s">
        <v>16406</v>
      </c>
      <c r="K2581" t="s">
        <v>14481</v>
      </c>
      <c r="L2581" s="7" t="s">
        <v>16407</v>
      </c>
      <c r="M2581">
        <v>10251</v>
      </c>
      <c r="N2581">
        <v>18</v>
      </c>
      <c r="O2581">
        <v>15</v>
      </c>
      <c r="P2581">
        <v>3</v>
      </c>
      <c r="Q2581">
        <v>18</v>
      </c>
      <c r="R2581">
        <v>15</v>
      </c>
      <c r="S2581">
        <v>3</v>
      </c>
      <c r="T2581">
        <v>0</v>
      </c>
      <c r="U2581" t="s">
        <v>16408</v>
      </c>
      <c r="V2581">
        <f>Tabla1[[#This Row],[Aboard]]-Tabla1[[#This Row],[Fatalities]]</f>
        <v>0</v>
      </c>
      <c r="W2581" s="50">
        <f>IFERROR(Tabla1[[#This Row],[Fatalities]]/Tabla1[[#This Row],[Aboard]],0)</f>
        <v>1</v>
      </c>
      <c r="X2581" s="51" t="str" cm="1">
        <f t="array" ref="X2581">_xlfn.IFS(Tabla1[[#This Row],[Porcentaje de muertes]]&lt;0.35,"LEVE",AND(Tabla1[[#This Row],[Porcentaje de muertes]]&gt;0.35,Tabla1[[#This Row],[Porcentaje de muertes]]&lt;0.65),"MEDIO",Tabla1[[#This Row],[Porcentaje de muertes]]&gt;0.65,"GRAVE")</f>
        <v>GRAVE</v>
      </c>
    </row>
    <row r="2582" spans="2:24" x14ac:dyDescent="0.3">
      <c r="B2582" s="9">
        <v>2581</v>
      </c>
      <c r="C2582" s="49">
        <v>26406</v>
      </c>
      <c r="D2582" s="9">
        <f>YEAR(Tabla1[[#This Row],[Date]])</f>
        <v>1972</v>
      </c>
      <c r="E2582" s="9" t="str" cm="1">
        <f t="array" ref="E2582">IFERROR(_xlfn.IFS(AND(D2582&lt;1980,D2582&gt;=1970),"70",AND(D2582&lt;1990,D2582&gt;=1980),"80",AND(D2582&lt;2000,D2582&gt;=1990),"90",AND(D2582&lt;2010,D2582&gt;=2000),"00",AND(D2582&lt;=2019,D2582&gt;=2010),"10"),"1908-1970")</f>
        <v>70</v>
      </c>
      <c r="F2582" s="3">
        <v>0.72083333333333333</v>
      </c>
      <c r="G2582" t="s">
        <v>5425</v>
      </c>
      <c r="H2582" t="s">
        <v>16409</v>
      </c>
      <c r="I2582" t="s">
        <v>28931</v>
      </c>
      <c r="J2582" t="s">
        <v>5494</v>
      </c>
      <c r="K2582" t="s">
        <v>16410</v>
      </c>
      <c r="L2582" s="7" t="s">
        <v>16411</v>
      </c>
      <c r="M2582" t="s">
        <v>28931</v>
      </c>
      <c r="N2582">
        <v>3</v>
      </c>
      <c r="O2582">
        <v>2</v>
      </c>
      <c r="P2582">
        <v>1</v>
      </c>
      <c r="Q2582">
        <v>3</v>
      </c>
      <c r="R2582">
        <v>2</v>
      </c>
      <c r="S2582">
        <v>1</v>
      </c>
      <c r="T2582">
        <v>0</v>
      </c>
      <c r="U2582" t="s">
        <v>16412</v>
      </c>
      <c r="V2582">
        <f>Tabla1[[#This Row],[Aboard]]-Tabla1[[#This Row],[Fatalities]]</f>
        <v>0</v>
      </c>
      <c r="W2582" s="50">
        <f>IFERROR(Tabla1[[#This Row],[Fatalities]]/Tabla1[[#This Row],[Aboard]],0)</f>
        <v>1</v>
      </c>
      <c r="X2582" s="51" t="str" cm="1">
        <f t="array" ref="X2582">_xlfn.IFS(Tabla1[[#This Row],[Porcentaje de muertes]]&lt;0.35,"LEVE",AND(Tabla1[[#This Row],[Porcentaje de muertes]]&gt;0.35,Tabla1[[#This Row],[Porcentaje de muertes]]&lt;0.65),"MEDIO",Tabla1[[#This Row],[Porcentaje de muertes]]&gt;0.65,"GRAVE")</f>
        <v>GRAVE</v>
      </c>
    </row>
    <row r="2583" spans="2:24" x14ac:dyDescent="0.3">
      <c r="B2583" s="9">
        <v>2582</v>
      </c>
      <c r="C2583" s="49">
        <v>26407</v>
      </c>
      <c r="D2583" s="9">
        <f>YEAR(Tabla1[[#This Row],[Date]])</f>
        <v>1972</v>
      </c>
      <c r="E2583" s="9" t="str" cm="1">
        <f t="array" ref="E2583">IFERROR(_xlfn.IFS(AND(D2583&lt;1980,D2583&gt;=1970),"70",AND(D2583&lt;1990,D2583&gt;=1980),"80",AND(D2583&lt;2000,D2583&gt;=1990),"90",AND(D2583&lt;2010,D2583&gt;=2000),"00",AND(D2583&lt;=2019,D2583&gt;=2010),"10"),"1908-1970")</f>
        <v>70</v>
      </c>
      <c r="F2583" s="3">
        <v>0.40208333333333335</v>
      </c>
      <c r="G2583" t="s">
        <v>14199</v>
      </c>
      <c r="H2583" t="s">
        <v>11540</v>
      </c>
      <c r="I2583">
        <v>720</v>
      </c>
      <c r="J2583" t="s">
        <v>16413</v>
      </c>
      <c r="K2583" t="s">
        <v>16414</v>
      </c>
      <c r="L2583" s="7" t="s">
        <v>16415</v>
      </c>
      <c r="M2583">
        <v>881</v>
      </c>
      <c r="N2583">
        <v>107</v>
      </c>
      <c r="O2583">
        <v>96</v>
      </c>
      <c r="P2583">
        <v>11</v>
      </c>
      <c r="Q2583">
        <v>43</v>
      </c>
      <c r="R2583">
        <v>35</v>
      </c>
      <c r="S2583">
        <v>8</v>
      </c>
      <c r="T2583">
        <v>0</v>
      </c>
      <c r="U2583" t="s">
        <v>16416</v>
      </c>
      <c r="V2583">
        <f>Tabla1[[#This Row],[Aboard]]-Tabla1[[#This Row],[Fatalities]]</f>
        <v>64</v>
      </c>
      <c r="W2583" s="50">
        <f>IFERROR(Tabla1[[#This Row],[Fatalities]]/Tabla1[[#This Row],[Aboard]],0)</f>
        <v>0.40186915887850466</v>
      </c>
      <c r="X2583" s="51" t="str" cm="1">
        <f t="array" ref="X2583">_xlfn.IFS(Tabla1[[#This Row],[Porcentaje de muertes]]&lt;0.35,"LEVE",AND(Tabla1[[#This Row],[Porcentaje de muertes]]&gt;0.35,Tabla1[[#This Row],[Porcentaje de muertes]]&lt;0.65),"MEDIO",Tabla1[[#This Row],[Porcentaje de muertes]]&gt;0.65,"GRAVE")</f>
        <v>MEDIO</v>
      </c>
    </row>
    <row r="2584" spans="2:24" x14ac:dyDescent="0.3">
      <c r="B2584" s="9">
        <v>2583</v>
      </c>
      <c r="C2584" s="49">
        <v>26409</v>
      </c>
      <c r="D2584" s="9">
        <f>YEAR(Tabla1[[#This Row],[Date]])</f>
        <v>1972</v>
      </c>
      <c r="E2584" s="9" t="str" cm="1">
        <f t="array" ref="E2584">IFERROR(_xlfn.IFS(AND(D2584&lt;1980,D2584&gt;=1970),"70",AND(D2584&lt;1990,D2584&gt;=1980),"80",AND(D2584&lt;2000,D2584&gt;=1990),"90",AND(D2584&lt;2010,D2584&gt;=2000),"00",AND(D2584&lt;=2019,D2584&gt;=2010),"10"),"1908-1970")</f>
        <v>70</v>
      </c>
      <c r="F2584" s="3">
        <v>0.68055555555555547</v>
      </c>
      <c r="G2584" t="s">
        <v>16417</v>
      </c>
      <c r="H2584" t="s">
        <v>14266</v>
      </c>
      <c r="I2584" t="s">
        <v>28931</v>
      </c>
      <c r="J2584" t="s">
        <v>28931</v>
      </c>
      <c r="K2584" t="s">
        <v>10133</v>
      </c>
      <c r="L2584" s="7" t="s">
        <v>16418</v>
      </c>
      <c r="M2584" t="s">
        <v>16419</v>
      </c>
      <c r="N2584">
        <v>6</v>
      </c>
      <c r="O2584">
        <v>2</v>
      </c>
      <c r="P2584">
        <v>4</v>
      </c>
      <c r="Q2584">
        <v>6</v>
      </c>
      <c r="R2584">
        <v>2</v>
      </c>
      <c r="S2584">
        <v>4</v>
      </c>
      <c r="T2584">
        <v>0</v>
      </c>
      <c r="U2584" t="s">
        <v>16420</v>
      </c>
      <c r="V2584">
        <f>Tabla1[[#This Row],[Aboard]]-Tabla1[[#This Row],[Fatalities]]</f>
        <v>0</v>
      </c>
      <c r="W2584" s="50">
        <f>IFERROR(Tabla1[[#This Row],[Fatalities]]/Tabla1[[#This Row],[Aboard]],0)</f>
        <v>1</v>
      </c>
      <c r="X2584" s="51" t="str" cm="1">
        <f t="array" ref="X2584">_xlfn.IFS(Tabla1[[#This Row],[Porcentaje de muertes]]&lt;0.35,"LEVE",AND(Tabla1[[#This Row],[Porcentaje de muertes]]&gt;0.35,Tabla1[[#This Row],[Porcentaje de muertes]]&lt;0.65),"MEDIO",Tabla1[[#This Row],[Porcentaje de muertes]]&gt;0.65,"GRAVE")</f>
        <v>GRAVE</v>
      </c>
    </row>
    <row r="2585" spans="2:24" x14ac:dyDescent="0.3">
      <c r="B2585" s="9">
        <v>2584</v>
      </c>
      <c r="C2585" s="49">
        <v>26413</v>
      </c>
      <c r="D2585" s="9">
        <f>YEAR(Tabla1[[#This Row],[Date]])</f>
        <v>1972</v>
      </c>
      <c r="E2585" s="9" t="str" cm="1">
        <f t="array" ref="E2585">IFERROR(_xlfn.IFS(AND(D2585&lt;1980,D2585&gt;=1970),"70",AND(D2585&lt;1990,D2585&gt;=1980),"80",AND(D2585&lt;2000,D2585&gt;=1990),"90",AND(D2585&lt;2010,D2585&gt;=2000),"00",AND(D2585&lt;=2019,D2585&gt;=2010),"10"),"1908-1970")</f>
        <v>70</v>
      </c>
      <c r="F2585" s="3">
        <v>0.51597222222222217</v>
      </c>
      <c r="G2585" t="s">
        <v>16421</v>
      </c>
      <c r="H2585" t="s">
        <v>13917</v>
      </c>
      <c r="I2585" t="s">
        <v>28931</v>
      </c>
      <c r="J2585" t="s">
        <v>16422</v>
      </c>
      <c r="K2585" t="s">
        <v>16423</v>
      </c>
      <c r="L2585" s="7" t="s">
        <v>16424</v>
      </c>
      <c r="M2585" t="s">
        <v>28931</v>
      </c>
      <c r="N2585">
        <v>10</v>
      </c>
      <c r="O2585">
        <v>9</v>
      </c>
      <c r="P2585">
        <v>1</v>
      </c>
      <c r="Q2585">
        <v>4</v>
      </c>
      <c r="R2585">
        <v>4</v>
      </c>
      <c r="S2585">
        <v>0</v>
      </c>
      <c r="T2585">
        <v>0</v>
      </c>
      <c r="U2585" t="s">
        <v>16425</v>
      </c>
      <c r="V2585">
        <f>Tabla1[[#This Row],[Aboard]]-Tabla1[[#This Row],[Fatalities]]</f>
        <v>6</v>
      </c>
      <c r="W2585" s="50">
        <f>IFERROR(Tabla1[[#This Row],[Fatalities]]/Tabla1[[#This Row],[Aboard]],0)</f>
        <v>0.4</v>
      </c>
      <c r="X2585" s="51" t="str" cm="1">
        <f t="array" ref="X2585">_xlfn.IFS(Tabla1[[#This Row],[Porcentaje de muertes]]&lt;0.35,"LEVE",AND(Tabla1[[#This Row],[Porcentaje de muertes]]&gt;0.35,Tabla1[[#This Row],[Porcentaje de muertes]]&lt;0.65),"MEDIO",Tabla1[[#This Row],[Porcentaje de muertes]]&gt;0.65,"GRAVE")</f>
        <v>MEDIO</v>
      </c>
    </row>
    <row r="2586" spans="2:24" x14ac:dyDescent="0.3">
      <c r="B2586" s="9">
        <v>2585</v>
      </c>
      <c r="C2586" s="49">
        <v>26394</v>
      </c>
      <c r="D2586" s="9">
        <f>YEAR(Tabla1[[#This Row],[Date]])</f>
        <v>1972</v>
      </c>
      <c r="E2586" s="9" t="str" cm="1">
        <f t="array" ref="E2586">IFERROR(_xlfn.IFS(AND(D2586&lt;1980,D2586&gt;=1970),"70",AND(D2586&lt;1990,D2586&gt;=1980),"80",AND(D2586&lt;2000,D2586&gt;=1990),"90",AND(D2586&lt;2010,D2586&gt;=2000),"00",AND(D2586&lt;=2019,D2586&gt;=2010),"10"),"1908-1970")</f>
        <v>70</v>
      </c>
      <c r="F2586" s="3">
        <v>0.9819444444444444</v>
      </c>
      <c r="G2586" t="s">
        <v>16426</v>
      </c>
      <c r="H2586" t="s">
        <v>6541</v>
      </c>
      <c r="I2586">
        <v>608</v>
      </c>
      <c r="J2586" t="s">
        <v>16427</v>
      </c>
      <c r="K2586" t="s">
        <v>15961</v>
      </c>
      <c r="L2586" s="7" t="s">
        <v>16428</v>
      </c>
      <c r="M2586">
        <v>9040314</v>
      </c>
      <c r="N2586">
        <v>18</v>
      </c>
      <c r="O2586">
        <v>14</v>
      </c>
      <c r="P2586">
        <v>4</v>
      </c>
      <c r="Q2586">
        <v>18</v>
      </c>
      <c r="R2586">
        <v>14</v>
      </c>
      <c r="S2586">
        <v>4</v>
      </c>
      <c r="T2586">
        <v>0</v>
      </c>
      <c r="U2586" t="s">
        <v>16429</v>
      </c>
      <c r="V2586">
        <f>Tabla1[[#This Row],[Aboard]]-Tabla1[[#This Row],[Fatalities]]</f>
        <v>0</v>
      </c>
      <c r="W2586" s="50">
        <f>IFERROR(Tabla1[[#This Row],[Fatalities]]/Tabla1[[#This Row],[Aboard]],0)</f>
        <v>1</v>
      </c>
      <c r="X2586" s="51" t="str" cm="1">
        <f t="array" ref="X2586">_xlfn.IFS(Tabla1[[#This Row],[Porcentaje de muertes]]&lt;0.35,"LEVE",AND(Tabla1[[#This Row],[Porcentaje de muertes]]&gt;0.35,Tabla1[[#This Row],[Porcentaje de muertes]]&lt;0.65),"MEDIO",Tabla1[[#This Row],[Porcentaje de muertes]]&gt;0.65,"GRAVE")</f>
        <v>GRAVE</v>
      </c>
    </row>
    <row r="2587" spans="2:24" x14ac:dyDescent="0.3">
      <c r="B2587" s="9">
        <v>2586</v>
      </c>
      <c r="C2587" s="49">
        <v>26424</v>
      </c>
      <c r="D2587" s="9">
        <f>YEAR(Tabla1[[#This Row],[Date]])</f>
        <v>1972</v>
      </c>
      <c r="E2587" s="9" t="str" cm="1">
        <f t="array" ref="E2587">IFERROR(_xlfn.IFS(AND(D2587&lt;1980,D2587&gt;=1970),"70",AND(D2587&lt;1990,D2587&gt;=1980),"80",AND(D2587&lt;2000,D2587&gt;=1990),"90",AND(D2587&lt;2010,D2587&gt;=2000),"00",AND(D2587&lt;=2019,D2587&gt;=2010),"10"),"1908-1970")</f>
        <v>70</v>
      </c>
      <c r="F2587" s="3">
        <v>0.93333333333333324</v>
      </c>
      <c r="G2587" t="s">
        <v>16430</v>
      </c>
      <c r="H2587" t="s">
        <v>10299</v>
      </c>
      <c r="I2587">
        <v>112</v>
      </c>
      <c r="J2587" t="s">
        <v>16431</v>
      </c>
      <c r="K2587" t="s">
        <v>13585</v>
      </c>
      <c r="L2587" s="7" t="s">
        <v>16432</v>
      </c>
      <c r="M2587" t="s">
        <v>16433</v>
      </c>
      <c r="N2587">
        <v>115</v>
      </c>
      <c r="O2587">
        <v>108</v>
      </c>
      <c r="P2587">
        <v>7</v>
      </c>
      <c r="Q2587">
        <v>115</v>
      </c>
      <c r="R2587">
        <v>108</v>
      </c>
      <c r="S2587">
        <v>7</v>
      </c>
      <c r="T2587">
        <v>0</v>
      </c>
      <c r="U2587" t="s">
        <v>16434</v>
      </c>
      <c r="V2587">
        <f>Tabla1[[#This Row],[Aboard]]-Tabla1[[#This Row],[Fatalities]]</f>
        <v>0</v>
      </c>
      <c r="W2587" s="50">
        <f>IFERROR(Tabla1[[#This Row],[Fatalities]]/Tabla1[[#This Row],[Aboard]],0)</f>
        <v>1</v>
      </c>
      <c r="X2587" s="51" t="str" cm="1">
        <f t="array" ref="X2587">_xlfn.IFS(Tabla1[[#This Row],[Porcentaje de muertes]]&lt;0.35,"LEVE",AND(Tabla1[[#This Row],[Porcentaje de muertes]]&gt;0.35,Tabla1[[#This Row],[Porcentaje de muertes]]&lt;0.65),"MEDIO",Tabla1[[#This Row],[Porcentaje de muertes]]&gt;0.65,"GRAVE")</f>
        <v>GRAVE</v>
      </c>
    </row>
    <row r="2588" spans="2:24" x14ac:dyDescent="0.3">
      <c r="B2588" s="9">
        <v>2587</v>
      </c>
      <c r="C2588" s="49">
        <v>26516</v>
      </c>
      <c r="D2588" s="9">
        <f>YEAR(Tabla1[[#This Row],[Date]])</f>
        <v>1972</v>
      </c>
      <c r="E2588" s="9" t="str" cm="1">
        <f t="array" ref="E2588">IFERROR(_xlfn.IFS(AND(D2588&lt;1980,D2588&gt;=1970),"70",AND(D2588&lt;1990,D2588&gt;=1980),"80",AND(D2588&lt;2000,D2588&gt;=1990),"90",AND(D2588&lt;2010,D2588&gt;=2000),"00",AND(D2588&lt;=2019,D2588&gt;=2010),"10"),"1908-1970")</f>
        <v>70</v>
      </c>
      <c r="F2588" s="3" t="s">
        <v>28931</v>
      </c>
      <c r="G2588" t="s">
        <v>16435</v>
      </c>
      <c r="H2588" t="s">
        <v>16436</v>
      </c>
      <c r="I2588" t="s">
        <v>28931</v>
      </c>
      <c r="J2588" t="s">
        <v>16437</v>
      </c>
      <c r="K2588" t="s">
        <v>8465</v>
      </c>
      <c r="L2588" s="7" t="s">
        <v>16438</v>
      </c>
      <c r="M2588">
        <v>26613</v>
      </c>
      <c r="N2588">
        <v>7</v>
      </c>
      <c r="O2588">
        <v>5</v>
      </c>
      <c r="P2588">
        <v>2</v>
      </c>
      <c r="Q2588">
        <v>7</v>
      </c>
      <c r="R2588">
        <v>5</v>
      </c>
      <c r="S2588">
        <v>2</v>
      </c>
      <c r="T2588">
        <v>0</v>
      </c>
      <c r="U2588" t="s">
        <v>16439</v>
      </c>
      <c r="V2588">
        <f>Tabla1[[#This Row],[Aboard]]-Tabla1[[#This Row],[Fatalities]]</f>
        <v>0</v>
      </c>
      <c r="W2588" s="50">
        <f>IFERROR(Tabla1[[#This Row],[Fatalities]]/Tabla1[[#This Row],[Aboard]],0)</f>
        <v>1</v>
      </c>
      <c r="X2588" s="51" t="str" cm="1">
        <f t="array" ref="X2588">_xlfn.IFS(Tabla1[[#This Row],[Porcentaje de muertes]]&lt;0.35,"LEVE",AND(Tabla1[[#This Row],[Porcentaje de muertes]]&gt;0.35,Tabla1[[#This Row],[Porcentaje de muertes]]&lt;0.65),"MEDIO",Tabla1[[#This Row],[Porcentaje de muertes]]&gt;0.65,"GRAVE")</f>
        <v>GRAVE</v>
      </c>
    </row>
    <row r="2589" spans="2:24" x14ac:dyDescent="0.3">
      <c r="B2589" s="9">
        <v>2588</v>
      </c>
      <c r="C2589" s="49">
        <v>26577</v>
      </c>
      <c r="D2589" s="9">
        <f>YEAR(Tabla1[[#This Row],[Date]])</f>
        <v>1972</v>
      </c>
      <c r="E2589" s="9" t="str" cm="1">
        <f t="array" ref="E2589">IFERROR(_xlfn.IFS(AND(D2589&lt;1980,D2589&gt;=1970),"70",AND(D2589&lt;1990,D2589&gt;=1980),"80",AND(D2589&lt;2000,D2589&gt;=1990),"90",AND(D2589&lt;2010,D2589&gt;=2000),"00",AND(D2589&lt;=2019,D2589&gt;=2010),"10"),"1908-1970")</f>
        <v>70</v>
      </c>
      <c r="F2589" s="3">
        <v>0.43402777777777773</v>
      </c>
      <c r="G2589" t="s">
        <v>16440</v>
      </c>
      <c r="H2589" t="s">
        <v>5017</v>
      </c>
      <c r="I2589" t="s">
        <v>28931</v>
      </c>
      <c r="J2589" t="s">
        <v>16441</v>
      </c>
      <c r="K2589" t="s">
        <v>15512</v>
      </c>
      <c r="L2589" s="7" t="s">
        <v>28931</v>
      </c>
      <c r="M2589" t="s">
        <v>28931</v>
      </c>
      <c r="N2589">
        <v>34</v>
      </c>
      <c r="O2589">
        <v>32</v>
      </c>
      <c r="P2589">
        <v>2</v>
      </c>
      <c r="Q2589">
        <v>34</v>
      </c>
      <c r="R2589">
        <v>32</v>
      </c>
      <c r="S2589">
        <v>2</v>
      </c>
      <c r="T2589">
        <v>0</v>
      </c>
      <c r="U2589" t="s">
        <v>16442</v>
      </c>
      <c r="V2589">
        <f>Tabla1[[#This Row],[Aboard]]-Tabla1[[#This Row],[Fatalities]]</f>
        <v>0</v>
      </c>
      <c r="W2589" s="50">
        <f>IFERROR(Tabla1[[#This Row],[Fatalities]]/Tabla1[[#This Row],[Aboard]],0)</f>
        <v>1</v>
      </c>
      <c r="X2589" s="51" t="str" cm="1">
        <f t="array" ref="X2589">_xlfn.IFS(Tabla1[[#This Row],[Porcentaje de muertes]]&lt;0.35,"LEVE",AND(Tabla1[[#This Row],[Porcentaje de muertes]]&gt;0.35,Tabla1[[#This Row],[Porcentaje de muertes]]&lt;0.65),"MEDIO",Tabla1[[#This Row],[Porcentaje de muertes]]&gt;0.65,"GRAVE")</f>
        <v>GRAVE</v>
      </c>
    </row>
    <row r="2590" spans="2:24" x14ac:dyDescent="0.3">
      <c r="B2590" s="9">
        <v>2589</v>
      </c>
      <c r="C2590" s="49">
        <v>26435</v>
      </c>
      <c r="D2590" s="9">
        <f>YEAR(Tabla1[[#This Row],[Date]])</f>
        <v>1972</v>
      </c>
      <c r="E2590" s="9" t="str" cm="1">
        <f t="array" ref="E2590">IFERROR(_xlfn.IFS(AND(D2590&lt;1980,D2590&gt;=1970),"70",AND(D2590&lt;1990,D2590&gt;=1980),"80",AND(D2590&lt;2000,D2590&gt;=1990),"90",AND(D2590&lt;2010,D2590&gt;=2000),"00",AND(D2590&lt;=2019,D2590&gt;=2010),"10"),"1908-1970")</f>
        <v>70</v>
      </c>
      <c r="F2590" s="3">
        <v>0.52083333333333337</v>
      </c>
      <c r="G2590" t="s">
        <v>16443</v>
      </c>
      <c r="H2590" t="s">
        <v>16444</v>
      </c>
      <c r="I2590" t="s">
        <v>28931</v>
      </c>
      <c r="J2590" t="s">
        <v>16445</v>
      </c>
      <c r="K2590" t="s">
        <v>16446</v>
      </c>
      <c r="L2590" s="7">
        <v>5</v>
      </c>
      <c r="M2590">
        <v>9911302</v>
      </c>
      <c r="N2590">
        <v>9</v>
      </c>
      <c r="O2590">
        <v>0</v>
      </c>
      <c r="P2590">
        <v>9</v>
      </c>
      <c r="Q2590">
        <v>9</v>
      </c>
      <c r="R2590">
        <v>0</v>
      </c>
      <c r="S2590">
        <v>9</v>
      </c>
      <c r="T2590">
        <v>25</v>
      </c>
      <c r="U2590" t="s">
        <v>16447</v>
      </c>
      <c r="V2590">
        <f>Tabla1[[#This Row],[Aboard]]-Tabla1[[#This Row],[Fatalities]]</f>
        <v>0</v>
      </c>
      <c r="W2590" s="50">
        <f>IFERROR(Tabla1[[#This Row],[Fatalities]]/Tabla1[[#This Row],[Aboard]],0)</f>
        <v>1</v>
      </c>
      <c r="X2590" s="51" t="str" cm="1">
        <f t="array" ref="X2590">_xlfn.IFS(Tabla1[[#This Row],[Porcentaje de muertes]]&lt;0.35,"LEVE",AND(Tabla1[[#This Row],[Porcentaje de muertes]]&gt;0.35,Tabla1[[#This Row],[Porcentaje de muertes]]&lt;0.65),"MEDIO",Tabla1[[#This Row],[Porcentaje de muertes]]&gt;0.65,"GRAVE")</f>
        <v>GRAVE</v>
      </c>
    </row>
    <row r="2591" spans="2:24" x14ac:dyDescent="0.3">
      <c r="B2591" s="9">
        <v>2590</v>
      </c>
      <c r="C2591" s="49">
        <v>26437</v>
      </c>
      <c r="D2591" s="9">
        <f>YEAR(Tabla1[[#This Row],[Date]])</f>
        <v>1972</v>
      </c>
      <c r="E2591" s="9" t="str" cm="1">
        <f t="array" ref="E2591">IFERROR(_xlfn.IFS(AND(D2591&lt;1980,D2591&gt;=1970),"70",AND(D2591&lt;1990,D2591&gt;=1980),"80",AND(D2591&lt;2000,D2591&gt;=1990),"90",AND(D2591&lt;2010,D2591&gt;=2000),"00",AND(D2591&lt;=2019,D2591&gt;=2010),"10"),"1908-1970")</f>
        <v>70</v>
      </c>
      <c r="F2591" s="3">
        <v>0.49513888888888885</v>
      </c>
      <c r="G2591" t="s">
        <v>6388</v>
      </c>
      <c r="H2591" t="s">
        <v>6541</v>
      </c>
      <c r="I2591">
        <v>1491</v>
      </c>
      <c r="J2591" t="s">
        <v>16448</v>
      </c>
      <c r="K2591" t="s">
        <v>13440</v>
      </c>
      <c r="L2591" s="7" t="s">
        <v>16449</v>
      </c>
      <c r="M2591" t="s">
        <v>16450</v>
      </c>
      <c r="N2591">
        <v>122</v>
      </c>
      <c r="O2591">
        <v>115</v>
      </c>
      <c r="P2591">
        <v>7</v>
      </c>
      <c r="Q2591">
        <v>122</v>
      </c>
      <c r="R2591">
        <v>115</v>
      </c>
      <c r="S2591">
        <v>7</v>
      </c>
      <c r="T2591">
        <v>0</v>
      </c>
      <c r="U2591" t="s">
        <v>16451</v>
      </c>
      <c r="V2591">
        <f>Tabla1[[#This Row],[Aboard]]-Tabla1[[#This Row],[Fatalities]]</f>
        <v>0</v>
      </c>
      <c r="W2591" s="50">
        <f>IFERROR(Tabla1[[#This Row],[Fatalities]]/Tabla1[[#This Row],[Aboard]],0)</f>
        <v>1</v>
      </c>
      <c r="X2591" s="51" t="str" cm="1">
        <f t="array" ref="X2591">_xlfn.IFS(Tabla1[[#This Row],[Porcentaje de muertes]]&lt;0.35,"LEVE",AND(Tabla1[[#This Row],[Porcentaje de muertes]]&gt;0.35,Tabla1[[#This Row],[Porcentaje de muertes]]&lt;0.65),"MEDIO",Tabla1[[#This Row],[Porcentaje de muertes]]&gt;0.65,"GRAVE")</f>
        <v>GRAVE</v>
      </c>
    </row>
    <row r="2592" spans="2:24" x14ac:dyDescent="0.3">
      <c r="B2592" s="9">
        <v>2591</v>
      </c>
      <c r="C2592" s="49">
        <v>26440</v>
      </c>
      <c r="D2592" s="9">
        <f>YEAR(Tabla1[[#This Row],[Date]])</f>
        <v>1972</v>
      </c>
      <c r="E2592" s="9" t="str" cm="1">
        <f t="array" ref="E2592">IFERROR(_xlfn.IFS(AND(D2592&lt;1980,D2592&gt;=1970),"70",AND(D2592&lt;1990,D2592&gt;=1980),"80",AND(D2592&lt;2000,D2592&gt;=1990),"90",AND(D2592&lt;2010,D2592&gt;=2000),"00",AND(D2592&lt;=2019,D2592&gt;=2010),"10"),"1908-1970")</f>
        <v>70</v>
      </c>
      <c r="F2592" s="3" t="s">
        <v>28931</v>
      </c>
      <c r="G2592" t="s">
        <v>16452</v>
      </c>
      <c r="H2592" t="s">
        <v>10129</v>
      </c>
      <c r="I2592" t="s">
        <v>28931</v>
      </c>
      <c r="J2592" t="s">
        <v>16453</v>
      </c>
      <c r="K2592" t="s">
        <v>14481</v>
      </c>
      <c r="L2592" s="7" t="s">
        <v>16454</v>
      </c>
      <c r="M2592">
        <v>10439</v>
      </c>
      <c r="N2592">
        <v>25</v>
      </c>
      <c r="O2592">
        <v>19</v>
      </c>
      <c r="P2592">
        <v>6</v>
      </c>
      <c r="Q2592">
        <v>22</v>
      </c>
      <c r="R2592">
        <v>17</v>
      </c>
      <c r="S2592">
        <v>5</v>
      </c>
      <c r="T2592">
        <v>0</v>
      </c>
      <c r="U2592" t="s">
        <v>16455</v>
      </c>
      <c r="V2592">
        <f>Tabla1[[#This Row],[Aboard]]-Tabla1[[#This Row],[Fatalities]]</f>
        <v>3</v>
      </c>
      <c r="W2592" s="50">
        <f>IFERROR(Tabla1[[#This Row],[Fatalities]]/Tabla1[[#This Row],[Aboard]],0)</f>
        <v>0.88</v>
      </c>
      <c r="X2592" s="51" t="str" cm="1">
        <f t="array" ref="X2592">_xlfn.IFS(Tabla1[[#This Row],[Porcentaje de muertes]]&lt;0.35,"LEVE",AND(Tabla1[[#This Row],[Porcentaje de muertes]]&gt;0.35,Tabla1[[#This Row],[Porcentaje de muertes]]&lt;0.65),"MEDIO",Tabla1[[#This Row],[Porcentaje de muertes]]&gt;0.65,"GRAVE")</f>
        <v>GRAVE</v>
      </c>
    </row>
    <row r="2593" spans="2:24" x14ac:dyDescent="0.3">
      <c r="B2593" s="9">
        <v>2592</v>
      </c>
      <c r="C2593" s="49">
        <v>26446</v>
      </c>
      <c r="D2593" s="9">
        <f>YEAR(Tabla1[[#This Row],[Date]])</f>
        <v>1972</v>
      </c>
      <c r="E2593" s="9" t="str" cm="1">
        <f t="array" ref="E2593">IFERROR(_xlfn.IFS(AND(D2593&lt;1980,D2593&gt;=1970),"70",AND(D2593&lt;1990,D2593&gt;=1980),"80",AND(D2593&lt;2000,D2593&gt;=1990),"90",AND(D2593&lt;2010,D2593&gt;=2000),"00",AND(D2593&lt;=2019,D2593&gt;=2010),"10"),"1908-1970")</f>
        <v>70</v>
      </c>
      <c r="F2593" s="3">
        <v>0.63194444444444442</v>
      </c>
      <c r="G2593" t="s">
        <v>16456</v>
      </c>
      <c r="H2593" t="s">
        <v>16457</v>
      </c>
      <c r="I2593">
        <v>5</v>
      </c>
      <c r="J2593" t="s">
        <v>16458</v>
      </c>
      <c r="K2593" t="s">
        <v>16459</v>
      </c>
      <c r="L2593" s="7" t="s">
        <v>16460</v>
      </c>
      <c r="M2593">
        <v>31</v>
      </c>
      <c r="N2593">
        <v>13</v>
      </c>
      <c r="O2593">
        <v>10</v>
      </c>
      <c r="P2593">
        <v>3</v>
      </c>
      <c r="Q2593">
        <v>8</v>
      </c>
      <c r="R2593">
        <v>6</v>
      </c>
      <c r="S2593">
        <v>2</v>
      </c>
      <c r="T2593">
        <v>0</v>
      </c>
      <c r="U2593" t="s">
        <v>16461</v>
      </c>
      <c r="V2593">
        <f>Tabla1[[#This Row],[Aboard]]-Tabla1[[#This Row],[Fatalities]]</f>
        <v>5</v>
      </c>
      <c r="W2593" s="50">
        <f>IFERROR(Tabla1[[#This Row],[Fatalities]]/Tabla1[[#This Row],[Aboard]],0)</f>
        <v>0.61538461538461542</v>
      </c>
      <c r="X2593" s="51" t="str" cm="1">
        <f t="array" ref="X2593">_xlfn.IFS(Tabla1[[#This Row],[Porcentaje de muertes]]&lt;0.35,"LEVE",AND(Tabla1[[#This Row],[Porcentaje de muertes]]&gt;0.35,Tabla1[[#This Row],[Porcentaje de muertes]]&lt;0.65),"MEDIO",Tabla1[[#This Row],[Porcentaje de muertes]]&gt;0.65,"GRAVE")</f>
        <v>MEDIO</v>
      </c>
    </row>
    <row r="2594" spans="2:24" x14ac:dyDescent="0.3">
      <c r="B2594" s="9">
        <v>2593</v>
      </c>
      <c r="C2594" s="49">
        <v>26448</v>
      </c>
      <c r="D2594" s="9">
        <f>YEAR(Tabla1[[#This Row],[Date]])</f>
        <v>1972</v>
      </c>
      <c r="E2594" s="9" t="str" cm="1">
        <f t="array" ref="E2594">IFERROR(_xlfn.IFS(AND(D2594&lt;1980,D2594&gt;=1970),"70",AND(D2594&lt;1990,D2594&gt;=1980),"80",AND(D2594&lt;2000,D2594&gt;=1990),"90",AND(D2594&lt;2010,D2594&gt;=2000),"00",AND(D2594&lt;=2019,D2594&gt;=2010),"10"),"1908-1970")</f>
        <v>70</v>
      </c>
      <c r="F2594" s="3">
        <v>0.25277777777777777</v>
      </c>
      <c r="G2594" t="s">
        <v>16462</v>
      </c>
      <c r="H2594" t="s">
        <v>16463</v>
      </c>
      <c r="I2594" t="s">
        <v>28931</v>
      </c>
      <c r="J2594" t="s">
        <v>16464</v>
      </c>
      <c r="K2594" t="s">
        <v>15412</v>
      </c>
      <c r="L2594" s="7" t="s">
        <v>16465</v>
      </c>
      <c r="M2594" t="s">
        <v>28931</v>
      </c>
      <c r="N2594">
        <v>11</v>
      </c>
      <c r="O2594">
        <v>10</v>
      </c>
      <c r="P2594">
        <v>1</v>
      </c>
      <c r="Q2594">
        <v>11</v>
      </c>
      <c r="R2594">
        <v>10</v>
      </c>
      <c r="S2594">
        <v>1</v>
      </c>
      <c r="T2594">
        <v>0</v>
      </c>
      <c r="U2594" t="s">
        <v>16466</v>
      </c>
      <c r="V2594">
        <f>Tabla1[[#This Row],[Aboard]]-Tabla1[[#This Row],[Fatalities]]</f>
        <v>0</v>
      </c>
      <c r="W2594" s="50">
        <f>IFERROR(Tabla1[[#This Row],[Fatalities]]/Tabla1[[#This Row],[Aboard]],0)</f>
        <v>1</v>
      </c>
      <c r="X2594" s="51" t="str" cm="1">
        <f t="array" ref="X2594">_xlfn.IFS(Tabla1[[#This Row],[Porcentaje de muertes]]&lt;0.35,"LEVE",AND(Tabla1[[#This Row],[Porcentaje de muertes]]&gt;0.35,Tabla1[[#This Row],[Porcentaje de muertes]]&lt;0.65),"MEDIO",Tabla1[[#This Row],[Porcentaje de muertes]]&gt;0.65,"GRAVE")</f>
        <v>GRAVE</v>
      </c>
    </row>
    <row r="2595" spans="2:24" x14ac:dyDescent="0.3">
      <c r="B2595" s="9">
        <v>2594</v>
      </c>
      <c r="C2595" s="49">
        <v>26448</v>
      </c>
      <c r="D2595" s="9">
        <f>YEAR(Tabla1[[#This Row],[Date]])</f>
        <v>1972</v>
      </c>
      <c r="E2595" s="9" t="str" cm="1">
        <f t="array" ref="E2595">IFERROR(_xlfn.IFS(AND(D2595&lt;1980,D2595&gt;=1970),"70",AND(D2595&lt;1990,D2595&gt;=1980),"80",AND(D2595&lt;2000,D2595&gt;=1990),"90",AND(D2595&lt;2010,D2595&gt;=2000),"00",AND(D2595&lt;=2019,D2595&gt;=2010),"10"),"1908-1970")</f>
        <v>70</v>
      </c>
      <c r="F2595" s="3" t="s">
        <v>28931</v>
      </c>
      <c r="G2595" t="s">
        <v>16467</v>
      </c>
      <c r="H2595" t="s">
        <v>16468</v>
      </c>
      <c r="I2595" t="s">
        <v>28931</v>
      </c>
      <c r="J2595" t="s">
        <v>16469</v>
      </c>
      <c r="K2595" t="s">
        <v>10138</v>
      </c>
      <c r="L2595" s="7" t="s">
        <v>16470</v>
      </c>
      <c r="M2595">
        <v>2037</v>
      </c>
      <c r="N2595">
        <v>18</v>
      </c>
      <c r="O2595">
        <v>15</v>
      </c>
      <c r="P2595">
        <v>3</v>
      </c>
      <c r="Q2595">
        <v>9</v>
      </c>
      <c r="R2595">
        <v>6</v>
      </c>
      <c r="S2595">
        <v>3</v>
      </c>
      <c r="T2595">
        <v>0</v>
      </c>
      <c r="U2595" t="s">
        <v>16471</v>
      </c>
      <c r="V2595">
        <f>Tabla1[[#This Row],[Aboard]]-Tabla1[[#This Row],[Fatalities]]</f>
        <v>9</v>
      </c>
      <c r="W2595" s="50">
        <f>IFERROR(Tabla1[[#This Row],[Fatalities]]/Tabla1[[#This Row],[Aboard]],0)</f>
        <v>0.5</v>
      </c>
      <c r="X2595" s="51" t="str" cm="1">
        <f t="array" ref="X2595">_xlfn.IFS(Tabla1[[#This Row],[Porcentaje de muertes]]&lt;0.35,"LEVE",AND(Tabla1[[#This Row],[Porcentaje de muertes]]&gt;0.35,Tabla1[[#This Row],[Porcentaje de muertes]]&lt;0.65),"MEDIO",Tabla1[[#This Row],[Porcentaje de muertes]]&gt;0.65,"GRAVE")</f>
        <v>MEDIO</v>
      </c>
    </row>
    <row r="2596" spans="2:24" x14ac:dyDescent="0.3">
      <c r="B2596" s="9">
        <v>2595</v>
      </c>
      <c r="C2596" s="49">
        <v>26449</v>
      </c>
      <c r="D2596" s="9">
        <f>YEAR(Tabla1[[#This Row],[Date]])</f>
        <v>1972</v>
      </c>
      <c r="E2596" s="9" t="str" cm="1">
        <f t="array" ref="E2596">IFERROR(_xlfn.IFS(AND(D2596&lt;1980,D2596&gt;=1970),"70",AND(D2596&lt;1990,D2596&gt;=1980),"80",AND(D2596&lt;2000,D2596&gt;=1990),"90",AND(D2596&lt;2010,D2596&gt;=2000),"00",AND(D2596&lt;=2019,D2596&gt;=2010),"10"),"1908-1970")</f>
        <v>70</v>
      </c>
      <c r="F2596" s="3">
        <v>0.26666666666666666</v>
      </c>
      <c r="G2596" t="s">
        <v>16472</v>
      </c>
      <c r="H2596" t="s">
        <v>6658</v>
      </c>
      <c r="I2596">
        <v>9570</v>
      </c>
      <c r="J2596" t="s">
        <v>6190</v>
      </c>
      <c r="K2596" t="s">
        <v>14763</v>
      </c>
      <c r="L2596" s="7" t="s">
        <v>16473</v>
      </c>
      <c r="M2596">
        <v>45700</v>
      </c>
      <c r="N2596">
        <v>4</v>
      </c>
      <c r="O2596">
        <v>0</v>
      </c>
      <c r="P2596">
        <v>4</v>
      </c>
      <c r="Q2596">
        <v>4</v>
      </c>
      <c r="R2596">
        <v>0</v>
      </c>
      <c r="S2596">
        <v>4</v>
      </c>
      <c r="T2596">
        <v>0</v>
      </c>
      <c r="U2596" t="s">
        <v>16474</v>
      </c>
      <c r="V2596">
        <f>Tabla1[[#This Row],[Aboard]]-Tabla1[[#This Row],[Fatalities]]</f>
        <v>0</v>
      </c>
      <c r="W2596" s="50">
        <f>IFERROR(Tabla1[[#This Row],[Fatalities]]/Tabla1[[#This Row],[Aboard]],0)</f>
        <v>1</v>
      </c>
      <c r="X2596" s="51" t="str" cm="1">
        <f t="array" ref="X2596">_xlfn.IFS(Tabla1[[#This Row],[Porcentaje de muertes]]&lt;0.35,"LEVE",AND(Tabla1[[#This Row],[Porcentaje de muertes]]&gt;0.35,Tabla1[[#This Row],[Porcentaje de muertes]]&lt;0.65),"MEDIO",Tabla1[[#This Row],[Porcentaje de muertes]]&gt;0.65,"GRAVE")</f>
        <v>GRAVE</v>
      </c>
    </row>
    <row r="2597" spans="2:24" x14ac:dyDescent="0.3">
      <c r="B2597" s="9">
        <v>2596</v>
      </c>
      <c r="C2597" s="49">
        <v>26425</v>
      </c>
      <c r="D2597" s="9">
        <f>YEAR(Tabla1[[#This Row],[Date]])</f>
        <v>1972</v>
      </c>
      <c r="E2597" s="9" t="str" cm="1">
        <f t="array" ref="E2597">IFERROR(_xlfn.IFS(AND(D2597&lt;1980,D2597&gt;=1970),"70",AND(D2597&lt;1990,D2597&gt;=1980),"80",AND(D2597&lt;2000,D2597&gt;=1990),"90",AND(D2597&lt;2010,D2597&gt;=2000),"00",AND(D2597&lt;=2019,D2597&gt;=2010),"10"),"1908-1970")</f>
        <v>70</v>
      </c>
      <c r="F2597" s="3" t="s">
        <v>28931</v>
      </c>
      <c r="G2597" t="s">
        <v>16475</v>
      </c>
      <c r="H2597" t="s">
        <v>13917</v>
      </c>
      <c r="I2597" t="s">
        <v>28931</v>
      </c>
      <c r="J2597" t="s">
        <v>16476</v>
      </c>
      <c r="K2597" t="s">
        <v>8305</v>
      </c>
      <c r="L2597" s="7" t="s">
        <v>16477</v>
      </c>
      <c r="M2597">
        <v>30460</v>
      </c>
      <c r="N2597">
        <v>32</v>
      </c>
      <c r="O2597">
        <v>29</v>
      </c>
      <c r="P2597">
        <v>3</v>
      </c>
      <c r="Q2597">
        <v>32</v>
      </c>
      <c r="R2597">
        <v>29</v>
      </c>
      <c r="S2597">
        <v>3</v>
      </c>
      <c r="T2597">
        <v>0</v>
      </c>
      <c r="U2597" t="s">
        <v>16478</v>
      </c>
      <c r="V2597">
        <f>Tabla1[[#This Row],[Aboard]]-Tabla1[[#This Row],[Fatalities]]</f>
        <v>0</v>
      </c>
      <c r="W2597" s="50">
        <f>IFERROR(Tabla1[[#This Row],[Fatalities]]/Tabla1[[#This Row],[Aboard]],0)</f>
        <v>1</v>
      </c>
      <c r="X2597" s="51" t="str" cm="1">
        <f t="array" ref="X2597">_xlfn.IFS(Tabla1[[#This Row],[Porcentaje de muertes]]&lt;0.35,"LEVE",AND(Tabla1[[#This Row],[Porcentaje de muertes]]&gt;0.35,Tabla1[[#This Row],[Porcentaje de muertes]]&lt;0.65),"MEDIO",Tabla1[[#This Row],[Porcentaje de muertes]]&gt;0.65,"GRAVE")</f>
        <v>GRAVE</v>
      </c>
    </row>
    <row r="2598" spans="2:24" x14ac:dyDescent="0.3">
      <c r="B2598" s="9">
        <v>2597</v>
      </c>
      <c r="C2598" s="49">
        <v>26463</v>
      </c>
      <c r="D2598" s="9">
        <f>YEAR(Tabla1[[#This Row],[Date]])</f>
        <v>1972</v>
      </c>
      <c r="E2598" s="9" t="str" cm="1">
        <f t="array" ref="E2598">IFERROR(_xlfn.IFS(AND(D2598&lt;1980,D2598&gt;=1970),"70",AND(D2598&lt;1990,D2598&gt;=1980),"80",AND(D2598&lt;2000,D2598&gt;=1990),"90",AND(D2598&lt;2010,D2598&gt;=2000),"00",AND(D2598&lt;=2019,D2598&gt;=2010),"10"),"1908-1970")</f>
        <v>70</v>
      </c>
      <c r="F2598" s="3" t="s">
        <v>28931</v>
      </c>
      <c r="G2598" t="s">
        <v>16148</v>
      </c>
      <c r="H2598" t="s">
        <v>15273</v>
      </c>
      <c r="I2598" t="s">
        <v>28931</v>
      </c>
      <c r="J2598" t="s">
        <v>28931</v>
      </c>
      <c r="K2598" t="s">
        <v>8433</v>
      </c>
      <c r="L2598" s="7" t="s">
        <v>16479</v>
      </c>
      <c r="M2598">
        <v>33369</v>
      </c>
      <c r="N2598">
        <v>3</v>
      </c>
      <c r="O2598">
        <v>0</v>
      </c>
      <c r="P2598">
        <v>3</v>
      </c>
      <c r="Q2598">
        <v>3</v>
      </c>
      <c r="R2598">
        <v>0</v>
      </c>
      <c r="S2598">
        <v>3</v>
      </c>
      <c r="T2598">
        <v>0</v>
      </c>
      <c r="U2598" t="s">
        <v>16480</v>
      </c>
      <c r="V2598">
        <f>Tabla1[[#This Row],[Aboard]]-Tabla1[[#This Row],[Fatalities]]</f>
        <v>0</v>
      </c>
      <c r="W2598" s="50">
        <f>IFERROR(Tabla1[[#This Row],[Fatalities]]/Tabla1[[#This Row],[Aboard]],0)</f>
        <v>1</v>
      </c>
      <c r="X2598" s="51" t="str" cm="1">
        <f t="array" ref="X2598">_xlfn.IFS(Tabla1[[#This Row],[Porcentaje de muertes]]&lt;0.35,"LEVE",AND(Tabla1[[#This Row],[Porcentaje de muertes]]&gt;0.35,Tabla1[[#This Row],[Porcentaje de muertes]]&lt;0.65),"MEDIO",Tabla1[[#This Row],[Porcentaje de muertes]]&gt;0.65,"GRAVE")</f>
        <v>GRAVE</v>
      </c>
    </row>
    <row r="2599" spans="2:24" x14ac:dyDescent="0.3">
      <c r="B2599" s="9">
        <v>2598</v>
      </c>
      <c r="C2599" s="49">
        <v>26463</v>
      </c>
      <c r="D2599" s="9">
        <f>YEAR(Tabla1[[#This Row],[Date]])</f>
        <v>1972</v>
      </c>
      <c r="E2599" s="9" t="str" cm="1">
        <f t="array" ref="E2599">IFERROR(_xlfn.IFS(AND(D2599&lt;1980,D2599&gt;=1970),"70",AND(D2599&lt;1990,D2599&gt;=1980),"80",AND(D2599&lt;2000,D2599&gt;=1990),"90",AND(D2599&lt;2010,D2599&gt;=2000),"00",AND(D2599&lt;=2019,D2599&gt;=2010),"10"),"1908-1970")</f>
        <v>70</v>
      </c>
      <c r="F2599" s="3" t="s">
        <v>28931</v>
      </c>
      <c r="G2599" t="s">
        <v>16481</v>
      </c>
      <c r="H2599" t="s">
        <v>14253</v>
      </c>
      <c r="I2599" t="s">
        <v>28931</v>
      </c>
      <c r="J2599" t="s">
        <v>28931</v>
      </c>
      <c r="K2599" t="s">
        <v>16482</v>
      </c>
      <c r="L2599" s="7" t="s">
        <v>28931</v>
      </c>
      <c r="M2599" t="s">
        <v>28931</v>
      </c>
      <c r="N2599">
        <v>47</v>
      </c>
      <c r="O2599" t="s">
        <v>5038</v>
      </c>
      <c r="P2599" t="s">
        <v>5038</v>
      </c>
      <c r="Q2599">
        <v>47</v>
      </c>
      <c r="R2599" t="s">
        <v>5038</v>
      </c>
      <c r="S2599" t="s">
        <v>5038</v>
      </c>
      <c r="T2599">
        <v>0</v>
      </c>
      <c r="U2599" t="s">
        <v>16483</v>
      </c>
      <c r="V2599">
        <f>Tabla1[[#This Row],[Aboard]]-Tabla1[[#This Row],[Fatalities]]</f>
        <v>0</v>
      </c>
      <c r="W2599" s="50">
        <f>IFERROR(Tabla1[[#This Row],[Fatalities]]/Tabla1[[#This Row],[Aboard]],0)</f>
        <v>1</v>
      </c>
      <c r="X2599" s="51" t="str" cm="1">
        <f t="array" ref="X2599">_xlfn.IFS(Tabla1[[#This Row],[Porcentaje de muertes]]&lt;0.35,"LEVE",AND(Tabla1[[#This Row],[Porcentaje de muertes]]&gt;0.35,Tabla1[[#This Row],[Porcentaje de muertes]]&lt;0.65),"MEDIO",Tabla1[[#This Row],[Porcentaje de muertes]]&gt;0.65,"GRAVE")</f>
        <v>GRAVE</v>
      </c>
    </row>
    <row r="2600" spans="2:24" x14ac:dyDescent="0.3">
      <c r="B2600" s="9">
        <v>2599</v>
      </c>
      <c r="C2600" s="49">
        <v>26464</v>
      </c>
      <c r="D2600" s="9">
        <f>YEAR(Tabla1[[#This Row],[Date]])</f>
        <v>1972</v>
      </c>
      <c r="E2600" s="9" t="str" cm="1">
        <f t="array" ref="E2600">IFERROR(_xlfn.IFS(AND(D2600&lt;1980,D2600&gt;=1970),"70",AND(D2600&lt;1990,D2600&gt;=1980),"80",AND(D2600&lt;2000,D2600&gt;=1990),"90",AND(D2600&lt;2010,D2600&gt;=2000),"00",AND(D2600&lt;=2019,D2600&gt;=2010),"10"),"1908-1970")</f>
        <v>70</v>
      </c>
      <c r="F2600" s="3">
        <v>0.84722222222222221</v>
      </c>
      <c r="G2600" t="s">
        <v>16484</v>
      </c>
      <c r="H2600" t="s">
        <v>10695</v>
      </c>
      <c r="I2600">
        <v>471</v>
      </c>
      <c r="J2600" t="s">
        <v>16485</v>
      </c>
      <c r="K2600" t="s">
        <v>13245</v>
      </c>
      <c r="L2600" s="7" t="s">
        <v>16486</v>
      </c>
      <c r="M2600" t="s">
        <v>16487</v>
      </c>
      <c r="N2600">
        <v>87</v>
      </c>
      <c r="O2600">
        <v>76</v>
      </c>
      <c r="P2600">
        <v>11</v>
      </c>
      <c r="Q2600">
        <v>82</v>
      </c>
      <c r="R2600">
        <v>72</v>
      </c>
      <c r="S2600">
        <v>10</v>
      </c>
      <c r="T2600">
        <v>4</v>
      </c>
      <c r="U2600" t="s">
        <v>16488</v>
      </c>
      <c r="V2600">
        <f>Tabla1[[#This Row],[Aboard]]-Tabla1[[#This Row],[Fatalities]]</f>
        <v>5</v>
      </c>
      <c r="W2600" s="50">
        <f>IFERROR(Tabla1[[#This Row],[Fatalities]]/Tabla1[[#This Row],[Aboard]],0)</f>
        <v>0.94252873563218387</v>
      </c>
      <c r="X2600" s="51" t="str" cm="1">
        <f t="array" ref="X2600">_xlfn.IFS(Tabla1[[#This Row],[Porcentaje de muertes]]&lt;0.35,"LEVE",AND(Tabla1[[#This Row],[Porcentaje de muertes]]&gt;0.35,Tabla1[[#This Row],[Porcentaje de muertes]]&lt;0.65),"MEDIO",Tabla1[[#This Row],[Porcentaje de muertes]]&gt;0.65,"GRAVE")</f>
        <v>GRAVE</v>
      </c>
    </row>
    <row r="2601" spans="2:24" x14ac:dyDescent="0.3">
      <c r="B2601" s="9">
        <v>2600</v>
      </c>
      <c r="C2601" s="49">
        <v>26465</v>
      </c>
      <c r="D2601" s="9">
        <f>YEAR(Tabla1[[#This Row],[Date]])</f>
        <v>1972</v>
      </c>
      <c r="E2601" s="9" t="str" cm="1">
        <f t="array" ref="E2601">IFERROR(_xlfn.IFS(AND(D2601&lt;1980,D2601&gt;=1970),"70",AND(D2601&lt;1990,D2601&gt;=1980),"80",AND(D2601&lt;2000,D2601&gt;=1990),"90",AND(D2601&lt;2010,D2601&gt;=2000),"00",AND(D2601&lt;=2019,D2601&gt;=2010),"10"),"1908-1970")</f>
        <v>70</v>
      </c>
      <c r="F2601" s="3">
        <v>0.58333333333333337</v>
      </c>
      <c r="G2601" t="s">
        <v>16489</v>
      </c>
      <c r="H2601" t="s">
        <v>9539</v>
      </c>
      <c r="I2601" t="s">
        <v>16490</v>
      </c>
      <c r="J2601" t="s">
        <v>10378</v>
      </c>
      <c r="K2601" t="s">
        <v>16491</v>
      </c>
      <c r="L2601" s="7" t="s">
        <v>16492</v>
      </c>
      <c r="M2601" t="s">
        <v>16493</v>
      </c>
      <c r="N2601">
        <v>81</v>
      </c>
      <c r="O2601">
        <v>71</v>
      </c>
      <c r="P2601">
        <v>10</v>
      </c>
      <c r="Q2601">
        <v>81</v>
      </c>
      <c r="R2601">
        <v>71</v>
      </c>
      <c r="S2601">
        <v>10</v>
      </c>
      <c r="T2601">
        <v>0</v>
      </c>
      <c r="U2601" t="s">
        <v>16494</v>
      </c>
      <c r="V2601">
        <f>Tabla1[[#This Row],[Aboard]]-Tabla1[[#This Row],[Fatalities]]</f>
        <v>0</v>
      </c>
      <c r="W2601" s="50">
        <f>IFERROR(Tabla1[[#This Row],[Fatalities]]/Tabla1[[#This Row],[Aboard]],0)</f>
        <v>1</v>
      </c>
      <c r="X2601" s="51" t="str" cm="1">
        <f t="array" ref="X2601">_xlfn.IFS(Tabla1[[#This Row],[Porcentaje de muertes]]&lt;0.35,"LEVE",AND(Tabla1[[#This Row],[Porcentaje de muertes]]&gt;0.35,Tabla1[[#This Row],[Porcentaje de muertes]]&lt;0.65),"MEDIO",Tabla1[[#This Row],[Porcentaje de muertes]]&gt;0.65,"GRAVE")</f>
        <v>GRAVE</v>
      </c>
    </row>
    <row r="2602" spans="2:24" x14ac:dyDescent="0.3">
      <c r="B2602" s="9">
        <v>2601</v>
      </c>
      <c r="C2602" s="49">
        <v>26468</v>
      </c>
      <c r="D2602" s="9">
        <f>YEAR(Tabla1[[#This Row],[Date]])</f>
        <v>1972</v>
      </c>
      <c r="E2602" s="9" t="str" cm="1">
        <f t="array" ref="E2602">IFERROR(_xlfn.IFS(AND(D2602&lt;1980,D2602&gt;=1970),"70",AND(D2602&lt;1990,D2602&gt;=1980),"80",AND(D2602&lt;2000,D2602&gt;=1990),"90",AND(D2602&lt;2010,D2602&gt;=2000),"00",AND(D2602&lt;=2019,D2602&gt;=2010),"10"),"1908-1970")</f>
        <v>70</v>
      </c>
      <c r="F2602" s="3">
        <v>0.6743055555555556</v>
      </c>
      <c r="G2602" t="s">
        <v>16495</v>
      </c>
      <c r="H2602" t="s">
        <v>8721</v>
      </c>
      <c r="I2602">
        <v>548</v>
      </c>
      <c r="J2602" t="s">
        <v>7397</v>
      </c>
      <c r="K2602" t="s">
        <v>16496</v>
      </c>
      <c r="L2602" s="7" t="s">
        <v>16497</v>
      </c>
      <c r="M2602">
        <v>2109</v>
      </c>
      <c r="N2602">
        <v>118</v>
      </c>
      <c r="O2602">
        <v>112</v>
      </c>
      <c r="P2602">
        <v>6</v>
      </c>
      <c r="Q2602">
        <v>118</v>
      </c>
      <c r="R2602">
        <v>112</v>
      </c>
      <c r="S2602">
        <v>6</v>
      </c>
      <c r="T2602">
        <v>0</v>
      </c>
      <c r="U2602" t="s">
        <v>16498</v>
      </c>
      <c r="V2602">
        <f>Tabla1[[#This Row],[Aboard]]-Tabla1[[#This Row],[Fatalities]]</f>
        <v>0</v>
      </c>
      <c r="W2602" s="50">
        <f>IFERROR(Tabla1[[#This Row],[Fatalities]]/Tabla1[[#This Row],[Aboard]],0)</f>
        <v>1</v>
      </c>
      <c r="X2602" s="51" t="str" cm="1">
        <f t="array" ref="X2602">_xlfn.IFS(Tabla1[[#This Row],[Porcentaje de muertes]]&lt;0.35,"LEVE",AND(Tabla1[[#This Row],[Porcentaje de muertes]]&gt;0.35,Tabla1[[#This Row],[Porcentaje de muertes]]&lt;0.65),"MEDIO",Tabla1[[#This Row],[Porcentaje de muertes]]&gt;0.65,"GRAVE")</f>
        <v>GRAVE</v>
      </c>
    </row>
    <row r="2603" spans="2:24" x14ac:dyDescent="0.3">
      <c r="B2603" s="9">
        <v>2602</v>
      </c>
      <c r="C2603" s="49">
        <v>26474</v>
      </c>
      <c r="D2603" s="9">
        <f>YEAR(Tabla1[[#This Row],[Date]])</f>
        <v>1972</v>
      </c>
      <c r="E2603" s="9" t="str" cm="1">
        <f t="array" ref="E2603">IFERROR(_xlfn.IFS(AND(D2603&lt;1980,D2603&gt;=1970),"70",AND(D2603&lt;1990,D2603&gt;=1980),"80",AND(D2603&lt;2000,D2603&gt;=1990),"90",AND(D2603&lt;2010,D2603&gt;=2000),"00",AND(D2603&lt;=2019,D2603&gt;=2010),"10"),"1908-1970")</f>
        <v>70</v>
      </c>
      <c r="F2603" s="3">
        <v>0.97013888888888899</v>
      </c>
      <c r="G2603" t="s">
        <v>16499</v>
      </c>
      <c r="H2603" t="s">
        <v>15452</v>
      </c>
      <c r="I2603">
        <v>191</v>
      </c>
      <c r="J2603" t="s">
        <v>16500</v>
      </c>
      <c r="K2603" t="s">
        <v>11884</v>
      </c>
      <c r="L2603" s="7" t="s">
        <v>16501</v>
      </c>
      <c r="M2603">
        <v>14085</v>
      </c>
      <c r="N2603">
        <v>20</v>
      </c>
      <c r="O2603">
        <v>18</v>
      </c>
      <c r="P2603">
        <v>2</v>
      </c>
      <c r="Q2603">
        <v>5</v>
      </c>
      <c r="R2603">
        <v>3</v>
      </c>
      <c r="S2603">
        <v>2</v>
      </c>
      <c r="T2603">
        <v>0</v>
      </c>
      <c r="U2603" t="s">
        <v>16502</v>
      </c>
      <c r="V2603">
        <f>Tabla1[[#This Row],[Aboard]]-Tabla1[[#This Row],[Fatalities]]</f>
        <v>15</v>
      </c>
      <c r="W2603" s="50">
        <f>IFERROR(Tabla1[[#This Row],[Fatalities]]/Tabla1[[#This Row],[Aboard]],0)</f>
        <v>0.25</v>
      </c>
      <c r="X2603" s="51" t="str" cm="1">
        <f t="array" ref="X2603">_xlfn.IFS(Tabla1[[#This Row],[Porcentaje de muertes]]&lt;0.35,"LEVE",AND(Tabla1[[#This Row],[Porcentaje de muertes]]&gt;0.35,Tabla1[[#This Row],[Porcentaje de muertes]]&lt;0.65),"MEDIO",Tabla1[[#This Row],[Porcentaje de muertes]]&gt;0.65,"GRAVE")</f>
        <v>LEVE</v>
      </c>
    </row>
    <row r="2604" spans="2:24" x14ac:dyDescent="0.3">
      <c r="B2604" s="9">
        <v>2603</v>
      </c>
      <c r="C2604" s="49">
        <v>26479</v>
      </c>
      <c r="D2604" s="9">
        <f>YEAR(Tabla1[[#This Row],[Date]])</f>
        <v>1972</v>
      </c>
      <c r="E2604" s="9" t="str" cm="1">
        <f t="array" ref="E2604">IFERROR(_xlfn.IFS(AND(D2604&lt;1980,D2604&gt;=1970),"70",AND(D2604&lt;1990,D2604&gt;=1980),"80",AND(D2604&lt;2000,D2604&gt;=1990),"90",AND(D2604&lt;2010,D2604&gt;=2000),"00",AND(D2604&lt;=2019,D2604&gt;=2010),"10"),"1908-1970")</f>
        <v>70</v>
      </c>
      <c r="F2604" s="3">
        <v>0.40069444444444446</v>
      </c>
      <c r="G2604" t="s">
        <v>16503</v>
      </c>
      <c r="H2604" t="s">
        <v>16504</v>
      </c>
      <c r="I2604" t="s">
        <v>16505</v>
      </c>
      <c r="J2604" t="s">
        <v>16506</v>
      </c>
      <c r="K2604" t="s">
        <v>16507</v>
      </c>
      <c r="L2604" s="7" t="s">
        <v>16508</v>
      </c>
      <c r="M2604" t="s">
        <v>16509</v>
      </c>
      <c r="N2604">
        <v>13</v>
      </c>
      <c r="O2604">
        <v>8</v>
      </c>
      <c r="P2604">
        <v>5</v>
      </c>
      <c r="Q2604">
        <v>13</v>
      </c>
      <c r="R2604">
        <v>8</v>
      </c>
      <c r="S2604">
        <v>5</v>
      </c>
      <c r="T2604">
        <v>0</v>
      </c>
      <c r="U2604" t="s">
        <v>16510</v>
      </c>
      <c r="V2604">
        <f>Tabla1[[#This Row],[Aboard]]-Tabla1[[#This Row],[Fatalities]]</f>
        <v>0</v>
      </c>
      <c r="W2604" s="50">
        <f>IFERROR(Tabla1[[#This Row],[Fatalities]]/Tabla1[[#This Row],[Aboard]],0)</f>
        <v>1</v>
      </c>
      <c r="X2604" s="51" t="str" cm="1">
        <f t="array" ref="X2604">_xlfn.IFS(Tabla1[[#This Row],[Porcentaje de muertes]]&lt;0.35,"LEVE",AND(Tabla1[[#This Row],[Porcentaje de muertes]]&gt;0.35,Tabla1[[#This Row],[Porcentaje de muertes]]&lt;0.65),"MEDIO",Tabla1[[#This Row],[Porcentaje de muertes]]&gt;0.65,"GRAVE")</f>
        <v>GRAVE</v>
      </c>
    </row>
    <row r="2605" spans="2:24" x14ac:dyDescent="0.3">
      <c r="B2605" s="9">
        <v>2604</v>
      </c>
      <c r="C2605" s="49">
        <v>26426</v>
      </c>
      <c r="D2605" s="9">
        <f>YEAR(Tabla1[[#This Row],[Date]])</f>
        <v>1972</v>
      </c>
      <c r="E2605" s="9" t="str" cm="1">
        <f t="array" ref="E2605">IFERROR(_xlfn.IFS(AND(D2605&lt;1980,D2605&gt;=1970),"70",AND(D2605&lt;1990,D2605&gt;=1980),"80",AND(D2605&lt;2000,D2605&gt;=1990),"90",AND(D2605&lt;2010,D2605&gt;=2000),"00",AND(D2605&lt;=2019,D2605&gt;=2010),"10"),"1908-1970")</f>
        <v>70</v>
      </c>
      <c r="F2605" s="3" t="s">
        <v>28931</v>
      </c>
      <c r="G2605" t="s">
        <v>13788</v>
      </c>
      <c r="H2605" t="s">
        <v>16511</v>
      </c>
      <c r="I2605">
        <v>710</v>
      </c>
      <c r="J2605" t="s">
        <v>16512</v>
      </c>
      <c r="K2605" t="s">
        <v>16513</v>
      </c>
      <c r="L2605" s="7" t="s">
        <v>28931</v>
      </c>
      <c r="M2605" t="s">
        <v>28931</v>
      </c>
      <c r="N2605">
        <v>86</v>
      </c>
      <c r="O2605">
        <v>79</v>
      </c>
      <c r="P2605">
        <v>7</v>
      </c>
      <c r="Q2605">
        <v>3</v>
      </c>
      <c r="R2605">
        <v>3</v>
      </c>
      <c r="S2605">
        <v>0</v>
      </c>
      <c r="T2605">
        <v>0</v>
      </c>
      <c r="U2605" t="s">
        <v>16514</v>
      </c>
      <c r="V2605">
        <f>Tabla1[[#This Row],[Aboard]]-Tabla1[[#This Row],[Fatalities]]</f>
        <v>83</v>
      </c>
      <c r="W2605" s="50">
        <f>IFERROR(Tabla1[[#This Row],[Fatalities]]/Tabla1[[#This Row],[Aboard]],0)</f>
        <v>3.4883720930232558E-2</v>
      </c>
      <c r="X2605" s="51" t="str" cm="1">
        <f t="array" ref="X2605">_xlfn.IFS(Tabla1[[#This Row],[Porcentaje de muertes]]&lt;0.35,"LEVE",AND(Tabla1[[#This Row],[Porcentaje de muertes]]&gt;0.35,Tabla1[[#This Row],[Porcentaje de muertes]]&lt;0.65),"MEDIO",Tabla1[[#This Row],[Porcentaje de muertes]]&gt;0.65,"GRAVE")</f>
        <v>LEVE</v>
      </c>
    </row>
    <row r="2606" spans="2:24" x14ac:dyDescent="0.3">
      <c r="B2606" s="9">
        <v>2605</v>
      </c>
      <c r="C2606" s="49">
        <v>26457</v>
      </c>
      <c r="D2606" s="9">
        <f>YEAR(Tabla1[[#This Row],[Date]])</f>
        <v>1972</v>
      </c>
      <c r="E2606" s="9" t="str" cm="1">
        <f t="array" ref="E2606">IFERROR(_xlfn.IFS(AND(D2606&lt;1980,D2606&gt;=1970),"70",AND(D2606&lt;1990,D2606&gt;=1980),"80",AND(D2606&lt;2000,D2606&gt;=1990),"90",AND(D2606&lt;2010,D2606&gt;=2000),"00",AND(D2606&lt;=2019,D2606&gt;=2010),"10"),"1908-1970")</f>
        <v>70</v>
      </c>
      <c r="F2606" s="3">
        <v>8.3333333333333329E-2</v>
      </c>
      <c r="G2606" t="s">
        <v>16515</v>
      </c>
      <c r="H2606" t="s">
        <v>11146</v>
      </c>
      <c r="I2606">
        <v>331</v>
      </c>
      <c r="J2606" t="s">
        <v>16516</v>
      </c>
      <c r="K2606" t="s">
        <v>16517</v>
      </c>
      <c r="L2606" s="7" t="s">
        <v>16518</v>
      </c>
      <c r="M2606" t="s">
        <v>16519</v>
      </c>
      <c r="N2606">
        <v>10</v>
      </c>
      <c r="O2606">
        <v>0</v>
      </c>
      <c r="P2606">
        <v>10</v>
      </c>
      <c r="Q2606">
        <v>10</v>
      </c>
      <c r="R2606">
        <v>0</v>
      </c>
      <c r="S2606">
        <v>10</v>
      </c>
      <c r="T2606">
        <v>0</v>
      </c>
      <c r="U2606" t="s">
        <v>16520</v>
      </c>
      <c r="V2606">
        <f>Tabla1[[#This Row],[Aboard]]-Tabla1[[#This Row],[Fatalities]]</f>
        <v>0</v>
      </c>
      <c r="W2606" s="50">
        <f>IFERROR(Tabla1[[#This Row],[Fatalities]]/Tabla1[[#This Row],[Aboard]],0)</f>
        <v>1</v>
      </c>
      <c r="X2606" s="51" t="str" cm="1">
        <f t="array" ref="X2606">_xlfn.IFS(Tabla1[[#This Row],[Porcentaje de muertes]]&lt;0.35,"LEVE",AND(Tabla1[[#This Row],[Porcentaje de muertes]]&gt;0.35,Tabla1[[#This Row],[Porcentaje de muertes]]&lt;0.65),"MEDIO",Tabla1[[#This Row],[Porcentaje de muertes]]&gt;0.65,"GRAVE")</f>
        <v>GRAVE</v>
      </c>
    </row>
    <row r="2607" spans="2:24" x14ac:dyDescent="0.3">
      <c r="B2607" s="9">
        <v>2606</v>
      </c>
      <c r="C2607" s="49">
        <v>26610</v>
      </c>
      <c r="D2607" s="9">
        <f>YEAR(Tabla1[[#This Row],[Date]])</f>
        <v>1972</v>
      </c>
      <c r="E2607" s="9" t="str" cm="1">
        <f t="array" ref="E2607">IFERROR(_xlfn.IFS(AND(D2607&lt;1980,D2607&gt;=1970),"70",AND(D2607&lt;1990,D2607&gt;=1980),"80",AND(D2607&lt;2000,D2607&gt;=1990),"90",AND(D2607&lt;2010,D2607&gt;=2000),"00",AND(D2607&lt;=2019,D2607&gt;=2010),"10"),"1908-1970")</f>
        <v>70</v>
      </c>
      <c r="F2607" s="3">
        <v>0.66666666666666663</v>
      </c>
      <c r="G2607" t="s">
        <v>16521</v>
      </c>
      <c r="H2607" t="s">
        <v>16522</v>
      </c>
      <c r="I2607" t="s">
        <v>28931</v>
      </c>
      <c r="J2607" t="s">
        <v>16523</v>
      </c>
      <c r="K2607" t="s">
        <v>14888</v>
      </c>
      <c r="L2607" s="7" t="s">
        <v>16524</v>
      </c>
      <c r="M2607">
        <v>56</v>
      </c>
      <c r="N2607">
        <v>19</v>
      </c>
      <c r="O2607">
        <v>17</v>
      </c>
      <c r="P2607">
        <v>2</v>
      </c>
      <c r="Q2607">
        <v>19</v>
      </c>
      <c r="R2607">
        <v>17</v>
      </c>
      <c r="S2607">
        <v>2</v>
      </c>
      <c r="T2607">
        <v>0</v>
      </c>
      <c r="U2607" t="s">
        <v>16525</v>
      </c>
      <c r="V2607">
        <f>Tabla1[[#This Row],[Aboard]]-Tabla1[[#This Row],[Fatalities]]</f>
        <v>0</v>
      </c>
      <c r="W2607" s="50">
        <f>IFERROR(Tabla1[[#This Row],[Fatalities]]/Tabla1[[#This Row],[Aboard]],0)</f>
        <v>1</v>
      </c>
      <c r="X2607" s="51" t="str" cm="1">
        <f t="array" ref="X2607">_xlfn.IFS(Tabla1[[#This Row],[Porcentaje de muertes]]&lt;0.35,"LEVE",AND(Tabla1[[#This Row],[Porcentaje de muertes]]&gt;0.35,Tabla1[[#This Row],[Porcentaje de muertes]]&lt;0.65),"MEDIO",Tabla1[[#This Row],[Porcentaje de muertes]]&gt;0.65,"GRAVE")</f>
        <v>GRAVE</v>
      </c>
    </row>
    <row r="2608" spans="2:24" x14ac:dyDescent="0.3">
      <c r="B2608" s="9">
        <v>2607</v>
      </c>
      <c r="C2608" s="49">
        <v>26610</v>
      </c>
      <c r="D2608" s="9">
        <f>YEAR(Tabla1[[#This Row],[Date]])</f>
        <v>1972</v>
      </c>
      <c r="E2608" s="9" t="str" cm="1">
        <f t="array" ref="E2608">IFERROR(_xlfn.IFS(AND(D2608&lt;1980,D2608&gt;=1970),"70",AND(D2608&lt;1990,D2608&gt;=1980),"80",AND(D2608&lt;2000,D2608&gt;=1990),"90",AND(D2608&lt;2010,D2608&gt;=2000),"00",AND(D2608&lt;=2019,D2608&gt;=2010),"10"),"1908-1970")</f>
        <v>70</v>
      </c>
      <c r="F2608" s="3" t="s">
        <v>28931</v>
      </c>
      <c r="G2608" t="s">
        <v>15115</v>
      </c>
      <c r="H2608" t="s">
        <v>8891</v>
      </c>
      <c r="I2608" t="s">
        <v>28931</v>
      </c>
      <c r="J2608" t="s">
        <v>28931</v>
      </c>
      <c r="K2608" t="s">
        <v>16526</v>
      </c>
      <c r="L2608" s="7">
        <v>156658</v>
      </c>
      <c r="M2608" t="s">
        <v>28931</v>
      </c>
      <c r="N2608">
        <v>67</v>
      </c>
      <c r="O2608">
        <v>60</v>
      </c>
      <c r="P2608">
        <v>7</v>
      </c>
      <c r="Q2608">
        <v>52</v>
      </c>
      <c r="R2608">
        <v>50</v>
      </c>
      <c r="S2608">
        <v>2</v>
      </c>
      <c r="T2608">
        <v>0</v>
      </c>
      <c r="U2608" t="s">
        <v>16527</v>
      </c>
      <c r="V2608">
        <f>Tabla1[[#This Row],[Aboard]]-Tabla1[[#This Row],[Fatalities]]</f>
        <v>15</v>
      </c>
      <c r="W2608" s="50">
        <f>IFERROR(Tabla1[[#This Row],[Fatalities]]/Tabla1[[#This Row],[Aboard]],0)</f>
        <v>0.77611940298507465</v>
      </c>
      <c r="X2608" s="51" t="str" cm="1">
        <f t="array" ref="X2608">_xlfn.IFS(Tabla1[[#This Row],[Porcentaje de muertes]]&lt;0.35,"LEVE",AND(Tabla1[[#This Row],[Porcentaje de muertes]]&gt;0.35,Tabla1[[#This Row],[Porcentaje de muertes]]&lt;0.65),"MEDIO",Tabla1[[#This Row],[Porcentaje de muertes]]&gt;0.65,"GRAVE")</f>
        <v>GRAVE</v>
      </c>
    </row>
    <row r="2609" spans="2:24" x14ac:dyDescent="0.3">
      <c r="B2609" s="9">
        <v>2608</v>
      </c>
      <c r="C2609" s="49">
        <v>26500</v>
      </c>
      <c r="D2609" s="9">
        <f>YEAR(Tabla1[[#This Row],[Date]])</f>
        <v>1972</v>
      </c>
      <c r="E2609" s="9" t="str" cm="1">
        <f t="array" ref="E2609">IFERROR(_xlfn.IFS(AND(D2609&lt;1980,D2609&gt;=1970),"70",AND(D2609&lt;1990,D2609&gt;=1980),"80",AND(D2609&lt;2000,D2609&gt;=1990),"90",AND(D2609&lt;2010,D2609&gt;=2000),"00",AND(D2609&lt;=2019,D2609&gt;=2010),"10"),"1908-1970")</f>
        <v>70</v>
      </c>
      <c r="F2609" s="3" t="s">
        <v>28931</v>
      </c>
      <c r="G2609" t="s">
        <v>16528</v>
      </c>
      <c r="H2609" t="s">
        <v>16529</v>
      </c>
      <c r="I2609" t="s">
        <v>28931</v>
      </c>
      <c r="J2609" t="s">
        <v>28931</v>
      </c>
      <c r="K2609" t="s">
        <v>16530</v>
      </c>
      <c r="L2609" s="7" t="s">
        <v>28931</v>
      </c>
      <c r="M2609" t="s">
        <v>28931</v>
      </c>
      <c r="N2609">
        <v>84</v>
      </c>
      <c r="O2609" t="s">
        <v>5038</v>
      </c>
      <c r="P2609" t="s">
        <v>5038</v>
      </c>
      <c r="Q2609">
        <v>1</v>
      </c>
      <c r="R2609">
        <v>1</v>
      </c>
      <c r="S2609">
        <v>0</v>
      </c>
      <c r="T2609">
        <v>0</v>
      </c>
      <c r="U2609" t="s">
        <v>16531</v>
      </c>
      <c r="V2609">
        <f>Tabla1[[#This Row],[Aboard]]-Tabla1[[#This Row],[Fatalities]]</f>
        <v>83</v>
      </c>
      <c r="W2609" s="50">
        <f>IFERROR(Tabla1[[#This Row],[Fatalities]]/Tabla1[[#This Row],[Aboard]],0)</f>
        <v>1.1904761904761904E-2</v>
      </c>
      <c r="X2609" s="51" t="str" cm="1">
        <f t="array" ref="X2609">_xlfn.IFS(Tabla1[[#This Row],[Porcentaje de muertes]]&lt;0.35,"LEVE",AND(Tabla1[[#This Row],[Porcentaje de muertes]]&gt;0.35,Tabla1[[#This Row],[Porcentaje de muertes]]&lt;0.65),"MEDIO",Tabla1[[#This Row],[Porcentaje de muertes]]&gt;0.65,"GRAVE")</f>
        <v>LEVE</v>
      </c>
    </row>
    <row r="2610" spans="2:24" x14ac:dyDescent="0.3">
      <c r="B2610" s="9">
        <v>2609</v>
      </c>
      <c r="C2610" s="49">
        <v>26509</v>
      </c>
      <c r="D2610" s="9">
        <f>YEAR(Tabla1[[#This Row],[Date]])</f>
        <v>1972</v>
      </c>
      <c r="E2610" s="9" t="str" cm="1">
        <f t="array" ref="E2610">IFERROR(_xlfn.IFS(AND(D2610&lt;1980,D2610&gt;=1970),"70",AND(D2610&lt;1990,D2610&gt;=1980),"80",AND(D2610&lt;2000,D2610&gt;=1990),"90",AND(D2610&lt;2010,D2610&gt;=2000),"00",AND(D2610&lt;=2019,D2610&gt;=2010),"10"),"1908-1970")</f>
        <v>70</v>
      </c>
      <c r="F2610" s="3">
        <v>0.28680555555555554</v>
      </c>
      <c r="G2610" t="s">
        <v>16532</v>
      </c>
      <c r="H2610" t="s">
        <v>16533</v>
      </c>
      <c r="I2610" t="s">
        <v>28931</v>
      </c>
      <c r="J2610" t="s">
        <v>28931</v>
      </c>
      <c r="K2610" t="s">
        <v>14566</v>
      </c>
      <c r="L2610" s="7" t="s">
        <v>16534</v>
      </c>
      <c r="M2610" t="s">
        <v>16535</v>
      </c>
      <c r="N2610">
        <v>38</v>
      </c>
      <c r="O2610">
        <v>32</v>
      </c>
      <c r="P2610">
        <v>6</v>
      </c>
      <c r="Q2610">
        <v>38</v>
      </c>
      <c r="R2610">
        <v>32</v>
      </c>
      <c r="S2610">
        <v>6</v>
      </c>
      <c r="T2610">
        <v>0</v>
      </c>
      <c r="U2610" t="s">
        <v>16536</v>
      </c>
      <c r="V2610">
        <f>Tabla1[[#This Row],[Aboard]]-Tabla1[[#This Row],[Fatalities]]</f>
        <v>0</v>
      </c>
      <c r="W2610" s="50">
        <f>IFERROR(Tabla1[[#This Row],[Fatalities]]/Tabla1[[#This Row],[Aboard]],0)</f>
        <v>1</v>
      </c>
      <c r="X2610" s="51" t="str" cm="1">
        <f t="array" ref="X2610">_xlfn.IFS(Tabla1[[#This Row],[Porcentaje de muertes]]&lt;0.35,"LEVE",AND(Tabla1[[#This Row],[Porcentaje de muertes]]&gt;0.35,Tabla1[[#This Row],[Porcentaje de muertes]]&lt;0.65),"MEDIO",Tabla1[[#This Row],[Porcentaje de muertes]]&gt;0.65,"GRAVE")</f>
        <v>GRAVE</v>
      </c>
    </row>
    <row r="2611" spans="2:24" x14ac:dyDescent="0.3">
      <c r="B2611" s="9">
        <v>2610</v>
      </c>
      <c r="C2611" s="49">
        <v>26641</v>
      </c>
      <c r="D2611" s="9">
        <f>YEAR(Tabla1[[#This Row],[Date]])</f>
        <v>1972</v>
      </c>
      <c r="E2611" s="9" t="str" cm="1">
        <f t="array" ref="E2611">IFERROR(_xlfn.IFS(AND(D2611&lt;1980,D2611&gt;=1970),"70",AND(D2611&lt;1990,D2611&gt;=1980),"80",AND(D2611&lt;2000,D2611&gt;=1990),"90",AND(D2611&lt;2010,D2611&gt;=2000),"00",AND(D2611&lt;=2019,D2611&gt;=2010),"10"),"1908-1970")</f>
        <v>70</v>
      </c>
      <c r="F2611" s="3">
        <v>0.9458333333333333</v>
      </c>
      <c r="G2611" t="s">
        <v>15744</v>
      </c>
      <c r="H2611" t="s">
        <v>11150</v>
      </c>
      <c r="I2611" t="s">
        <v>28931</v>
      </c>
      <c r="J2611" t="s">
        <v>16537</v>
      </c>
      <c r="K2611" t="s">
        <v>12968</v>
      </c>
      <c r="L2611" s="7" t="s">
        <v>16538</v>
      </c>
      <c r="M2611">
        <v>10175</v>
      </c>
      <c r="N2611">
        <v>18</v>
      </c>
      <c r="O2611">
        <v>14</v>
      </c>
      <c r="P2611">
        <v>4</v>
      </c>
      <c r="Q2611">
        <v>18</v>
      </c>
      <c r="R2611">
        <v>14</v>
      </c>
      <c r="S2611">
        <v>4</v>
      </c>
      <c r="T2611">
        <v>0</v>
      </c>
      <c r="U2611" t="s">
        <v>16539</v>
      </c>
      <c r="V2611">
        <f>Tabla1[[#This Row],[Aboard]]-Tabla1[[#This Row],[Fatalities]]</f>
        <v>0</v>
      </c>
      <c r="W2611" s="50">
        <f>IFERROR(Tabla1[[#This Row],[Fatalities]]/Tabla1[[#This Row],[Aboard]],0)</f>
        <v>1</v>
      </c>
      <c r="X2611" s="51" t="str" cm="1">
        <f t="array" ref="X2611">_xlfn.IFS(Tabla1[[#This Row],[Porcentaje de muertes]]&lt;0.35,"LEVE",AND(Tabla1[[#This Row],[Porcentaje de muertes]]&gt;0.35,Tabla1[[#This Row],[Porcentaje de muertes]]&lt;0.65),"MEDIO",Tabla1[[#This Row],[Porcentaje de muertes]]&gt;0.65,"GRAVE")</f>
        <v>GRAVE</v>
      </c>
    </row>
    <row r="2612" spans="2:24" x14ac:dyDescent="0.3">
      <c r="B2612" s="9">
        <v>2611</v>
      </c>
      <c r="C2612" s="49">
        <v>26641</v>
      </c>
      <c r="D2612" s="9">
        <f>YEAR(Tabla1[[#This Row],[Date]])</f>
        <v>1972</v>
      </c>
      <c r="E2612" s="9" t="str" cm="1">
        <f t="array" ref="E2612">IFERROR(_xlfn.IFS(AND(D2612&lt;1980,D2612&gt;=1970),"70",AND(D2612&lt;1990,D2612&gt;=1980),"80",AND(D2612&lt;2000,D2612&gt;=1990),"90",AND(D2612&lt;2010,D2612&gt;=2000),"00",AND(D2612&lt;=2019,D2612&gt;=2010),"10"),"1908-1970")</f>
        <v>70</v>
      </c>
      <c r="F2612" s="3">
        <v>0.16666666666666666</v>
      </c>
      <c r="G2612" t="s">
        <v>16540</v>
      </c>
      <c r="H2612" t="s">
        <v>7987</v>
      </c>
      <c r="I2612" t="s">
        <v>28931</v>
      </c>
      <c r="J2612" t="s">
        <v>28931</v>
      </c>
      <c r="K2612" t="s">
        <v>15987</v>
      </c>
      <c r="L2612" s="7" t="s">
        <v>16541</v>
      </c>
      <c r="M2612">
        <v>3817</v>
      </c>
      <c r="N2612">
        <v>44</v>
      </c>
      <c r="O2612">
        <v>36</v>
      </c>
      <c r="P2612">
        <v>8</v>
      </c>
      <c r="Q2612">
        <v>30</v>
      </c>
      <c r="R2612">
        <v>23</v>
      </c>
      <c r="S2612">
        <v>7</v>
      </c>
      <c r="T2612">
        <v>0</v>
      </c>
      <c r="U2612" t="s">
        <v>16542</v>
      </c>
      <c r="V2612">
        <f>Tabla1[[#This Row],[Aboard]]-Tabla1[[#This Row],[Fatalities]]</f>
        <v>14</v>
      </c>
      <c r="W2612" s="50">
        <f>IFERROR(Tabla1[[#This Row],[Fatalities]]/Tabla1[[#This Row],[Aboard]],0)</f>
        <v>0.68181818181818177</v>
      </c>
      <c r="X2612" s="51" t="str" cm="1">
        <f t="array" ref="X2612">_xlfn.IFS(Tabla1[[#This Row],[Porcentaje de muertes]]&lt;0.35,"LEVE",AND(Tabla1[[#This Row],[Porcentaje de muertes]]&gt;0.35,Tabla1[[#This Row],[Porcentaje de muertes]]&lt;0.65),"MEDIO",Tabla1[[#This Row],[Porcentaje de muertes]]&gt;0.65,"GRAVE")</f>
        <v>GRAVE</v>
      </c>
    </row>
    <row r="2613" spans="2:24" x14ac:dyDescent="0.3">
      <c r="B2613" s="9">
        <v>2612</v>
      </c>
      <c r="C2613" s="49">
        <v>26525</v>
      </c>
      <c r="D2613" s="9">
        <f>YEAR(Tabla1[[#This Row],[Date]])</f>
        <v>1972</v>
      </c>
      <c r="E2613" s="9" t="str" cm="1">
        <f t="array" ref="E2613">IFERROR(_xlfn.IFS(AND(D2613&lt;1980,D2613&gt;=1970),"70",AND(D2613&lt;1990,D2613&gt;=1980),"80",AND(D2613&lt;2000,D2613&gt;=1990),"90",AND(D2613&lt;2010,D2613&gt;=2000),"00",AND(D2613&lt;=2019,D2613&gt;=2010),"10"),"1908-1970")</f>
        <v>70</v>
      </c>
      <c r="F2613" s="3">
        <v>0.70833333333333337</v>
      </c>
      <c r="G2613" t="s">
        <v>16543</v>
      </c>
      <c r="H2613" t="s">
        <v>16544</v>
      </c>
      <c r="I2613" t="s">
        <v>28931</v>
      </c>
      <c r="J2613" t="s">
        <v>16545</v>
      </c>
      <c r="K2613" t="s">
        <v>16546</v>
      </c>
      <c r="L2613" s="7" t="s">
        <v>16547</v>
      </c>
      <c r="M2613">
        <v>702</v>
      </c>
      <c r="N2613">
        <v>156</v>
      </c>
      <c r="O2613">
        <v>148</v>
      </c>
      <c r="P2613">
        <v>8</v>
      </c>
      <c r="Q2613">
        <v>156</v>
      </c>
      <c r="R2613">
        <v>148</v>
      </c>
      <c r="S2613">
        <v>8</v>
      </c>
      <c r="T2613">
        <v>0</v>
      </c>
      <c r="U2613" t="s">
        <v>16548</v>
      </c>
      <c r="V2613">
        <f>Tabla1[[#This Row],[Aboard]]-Tabla1[[#This Row],[Fatalities]]</f>
        <v>0</v>
      </c>
      <c r="W2613" s="50">
        <f>IFERROR(Tabla1[[#This Row],[Fatalities]]/Tabla1[[#This Row],[Aboard]],0)</f>
        <v>1</v>
      </c>
      <c r="X2613" s="51" t="str" cm="1">
        <f t="array" ref="X2613">_xlfn.IFS(Tabla1[[#This Row],[Porcentaje de muertes]]&lt;0.35,"LEVE",AND(Tabla1[[#This Row],[Porcentaje de muertes]]&gt;0.35,Tabla1[[#This Row],[Porcentaje de muertes]]&lt;0.65),"MEDIO",Tabla1[[#This Row],[Porcentaje de muertes]]&gt;0.65,"GRAVE")</f>
        <v>GRAVE</v>
      </c>
    </row>
    <row r="2614" spans="2:24" x14ac:dyDescent="0.3">
      <c r="B2614" s="9">
        <v>2613</v>
      </c>
      <c r="C2614" s="49">
        <v>26527</v>
      </c>
      <c r="D2614" s="9">
        <f>YEAR(Tabla1[[#This Row],[Date]])</f>
        <v>1972</v>
      </c>
      <c r="E2614" s="9" t="str" cm="1">
        <f t="array" ref="E2614">IFERROR(_xlfn.IFS(AND(D2614&lt;1980,D2614&gt;=1970),"70",AND(D2614&lt;1990,D2614&gt;=1980),"80",AND(D2614&lt;2000,D2614&gt;=1990),"90",AND(D2614&lt;2010,D2614&gt;=2000),"00",AND(D2614&lt;=2019,D2614&gt;=2010),"10"),"1908-1970")</f>
        <v>70</v>
      </c>
      <c r="F2614" s="3" t="s">
        <v>28931</v>
      </c>
      <c r="G2614" t="s">
        <v>6066</v>
      </c>
      <c r="H2614" t="s">
        <v>16549</v>
      </c>
      <c r="I2614" t="s">
        <v>28931</v>
      </c>
      <c r="J2614" t="s">
        <v>16550</v>
      </c>
      <c r="K2614" t="s">
        <v>16551</v>
      </c>
      <c r="L2614" s="7" t="s">
        <v>16552</v>
      </c>
      <c r="M2614">
        <v>26979</v>
      </c>
      <c r="N2614">
        <v>31</v>
      </c>
      <c r="O2614">
        <v>27</v>
      </c>
      <c r="P2614">
        <v>4</v>
      </c>
      <c r="Q2614">
        <v>26</v>
      </c>
      <c r="R2614">
        <v>22</v>
      </c>
      <c r="S2614">
        <v>4</v>
      </c>
      <c r="T2614">
        <v>0</v>
      </c>
      <c r="U2614" t="s">
        <v>16553</v>
      </c>
      <c r="V2614">
        <f>Tabla1[[#This Row],[Aboard]]-Tabla1[[#This Row],[Fatalities]]</f>
        <v>5</v>
      </c>
      <c r="W2614" s="50">
        <f>IFERROR(Tabla1[[#This Row],[Fatalities]]/Tabla1[[#This Row],[Aboard]],0)</f>
        <v>0.83870967741935487</v>
      </c>
      <c r="X2614" s="51" t="str" cm="1">
        <f t="array" ref="X2614">_xlfn.IFS(Tabla1[[#This Row],[Porcentaje de muertes]]&lt;0.35,"LEVE",AND(Tabla1[[#This Row],[Porcentaje de muertes]]&gt;0.35,Tabla1[[#This Row],[Porcentaje de muertes]]&lt;0.65),"MEDIO",Tabla1[[#This Row],[Porcentaje de muertes]]&gt;0.65,"GRAVE")</f>
        <v>GRAVE</v>
      </c>
    </row>
    <row r="2615" spans="2:24" x14ac:dyDescent="0.3">
      <c r="B2615" s="9">
        <v>2614</v>
      </c>
      <c r="C2615" s="49">
        <v>26538</v>
      </c>
      <c r="D2615" s="9">
        <f>YEAR(Tabla1[[#This Row],[Date]])</f>
        <v>1972</v>
      </c>
      <c r="E2615" s="9" t="str" cm="1">
        <f t="array" ref="E2615">IFERROR(_xlfn.IFS(AND(D2615&lt;1980,D2615&gt;=1970),"70",AND(D2615&lt;1990,D2615&gt;=1980),"80",AND(D2615&lt;2000,D2615&gt;=1990),"90",AND(D2615&lt;2010,D2615&gt;=2000),"00",AND(D2615&lt;=2019,D2615&gt;=2010),"10"),"1908-1970")</f>
        <v>70</v>
      </c>
      <c r="F2615" s="3" t="s">
        <v>28931</v>
      </c>
      <c r="G2615" t="s">
        <v>16554</v>
      </c>
      <c r="H2615" t="s">
        <v>16555</v>
      </c>
      <c r="I2615" t="s">
        <v>28931</v>
      </c>
      <c r="J2615" t="s">
        <v>16556</v>
      </c>
      <c r="K2615" t="s">
        <v>7934</v>
      </c>
      <c r="L2615" s="7" t="s">
        <v>16557</v>
      </c>
      <c r="M2615">
        <v>4705</v>
      </c>
      <c r="N2615">
        <v>34</v>
      </c>
      <c r="O2615">
        <v>31</v>
      </c>
      <c r="P2615">
        <v>3</v>
      </c>
      <c r="Q2615">
        <v>34</v>
      </c>
      <c r="R2615">
        <v>31</v>
      </c>
      <c r="S2615">
        <v>3</v>
      </c>
      <c r="T2615">
        <v>0</v>
      </c>
      <c r="U2615" t="s">
        <v>16558</v>
      </c>
      <c r="V2615">
        <f>Tabla1[[#This Row],[Aboard]]-Tabla1[[#This Row],[Fatalities]]</f>
        <v>0</v>
      </c>
      <c r="W2615" s="50">
        <f>IFERROR(Tabla1[[#This Row],[Fatalities]]/Tabla1[[#This Row],[Aboard]],0)</f>
        <v>1</v>
      </c>
      <c r="X2615" s="51" t="str" cm="1">
        <f t="array" ref="X2615">_xlfn.IFS(Tabla1[[#This Row],[Porcentaje de muertes]]&lt;0.35,"LEVE",AND(Tabla1[[#This Row],[Porcentaje de muertes]]&gt;0.35,Tabla1[[#This Row],[Porcentaje de muertes]]&lt;0.65),"MEDIO",Tabla1[[#This Row],[Porcentaje de muertes]]&gt;0.65,"GRAVE")</f>
        <v>GRAVE</v>
      </c>
    </row>
    <row r="2616" spans="2:24" x14ac:dyDescent="0.3">
      <c r="B2616" s="9">
        <v>2615</v>
      </c>
      <c r="C2616" s="49">
        <v>26539</v>
      </c>
      <c r="D2616" s="9">
        <f>YEAR(Tabla1[[#This Row],[Date]])</f>
        <v>1972</v>
      </c>
      <c r="E2616" s="9" t="str" cm="1">
        <f t="array" ref="E2616">IFERROR(_xlfn.IFS(AND(D2616&lt;1980,D2616&gt;=1970),"70",AND(D2616&lt;1990,D2616&gt;=1980),"80",AND(D2616&lt;2000,D2616&gt;=1990),"90",AND(D2616&lt;2010,D2616&gt;=2000),"00",AND(D2616&lt;=2019,D2616&gt;=2010),"10"),"1908-1970")</f>
        <v>70</v>
      </c>
      <c r="F2616" s="3">
        <v>0.60416666666666663</v>
      </c>
      <c r="G2616" t="s">
        <v>16559</v>
      </c>
      <c r="H2616" t="s">
        <v>5195</v>
      </c>
      <c r="I2616" t="s">
        <v>28931</v>
      </c>
      <c r="J2616" t="s">
        <v>16560</v>
      </c>
      <c r="K2616" t="s">
        <v>16561</v>
      </c>
      <c r="L2616" s="7" t="s">
        <v>16562</v>
      </c>
      <c r="M2616">
        <v>233</v>
      </c>
      <c r="N2616">
        <v>29</v>
      </c>
      <c r="O2616">
        <v>26</v>
      </c>
      <c r="P2616">
        <v>3</v>
      </c>
      <c r="Q2616">
        <v>25</v>
      </c>
      <c r="R2616">
        <v>22</v>
      </c>
      <c r="S2616">
        <v>3</v>
      </c>
      <c r="T2616">
        <v>0</v>
      </c>
      <c r="U2616" t="s">
        <v>16563</v>
      </c>
      <c r="V2616">
        <f>Tabla1[[#This Row],[Aboard]]-Tabla1[[#This Row],[Fatalities]]</f>
        <v>4</v>
      </c>
      <c r="W2616" s="50">
        <f>IFERROR(Tabla1[[#This Row],[Fatalities]]/Tabla1[[#This Row],[Aboard]],0)</f>
        <v>0.86206896551724133</v>
      </c>
      <c r="X2616" s="51" t="str" cm="1">
        <f t="array" ref="X2616">_xlfn.IFS(Tabla1[[#This Row],[Porcentaje de muertes]]&lt;0.35,"LEVE",AND(Tabla1[[#This Row],[Porcentaje de muertes]]&gt;0.35,Tabla1[[#This Row],[Porcentaje de muertes]]&lt;0.65),"MEDIO",Tabla1[[#This Row],[Porcentaje de muertes]]&gt;0.65,"GRAVE")</f>
        <v>GRAVE</v>
      </c>
    </row>
    <row r="2617" spans="2:24" x14ac:dyDescent="0.3">
      <c r="B2617" s="9">
        <v>2616</v>
      </c>
      <c r="C2617" s="49">
        <v>26542</v>
      </c>
      <c r="D2617" s="9">
        <f>YEAR(Tabla1[[#This Row],[Date]])</f>
        <v>1972</v>
      </c>
      <c r="E2617" s="9" t="str" cm="1">
        <f t="array" ref="E2617">IFERROR(_xlfn.IFS(AND(D2617&lt;1980,D2617&gt;=1970),"70",AND(D2617&lt;1990,D2617&gt;=1980),"80",AND(D2617&lt;2000,D2617&gt;=1990),"90",AND(D2617&lt;2010,D2617&gt;=2000),"00",AND(D2617&lt;=2019,D2617&gt;=2010),"10"),"1908-1970")</f>
        <v>70</v>
      </c>
      <c r="F2617" s="3">
        <v>0.42986111111111108</v>
      </c>
      <c r="G2617" t="s">
        <v>16564</v>
      </c>
      <c r="H2617" t="s">
        <v>6541</v>
      </c>
      <c r="I2617">
        <v>558</v>
      </c>
      <c r="J2617" t="s">
        <v>16565</v>
      </c>
      <c r="K2617" t="s">
        <v>12828</v>
      </c>
      <c r="L2617" s="7" t="s">
        <v>16566</v>
      </c>
      <c r="M2617">
        <v>182004505</v>
      </c>
      <c r="N2617">
        <v>102</v>
      </c>
      <c r="O2617">
        <v>93</v>
      </c>
      <c r="P2617">
        <v>9</v>
      </c>
      <c r="Q2617">
        <v>102</v>
      </c>
      <c r="R2617">
        <v>93</v>
      </c>
      <c r="S2617">
        <v>9</v>
      </c>
      <c r="T2617">
        <v>0</v>
      </c>
      <c r="U2617" t="s">
        <v>16567</v>
      </c>
      <c r="V2617">
        <f>Tabla1[[#This Row],[Aboard]]-Tabla1[[#This Row],[Fatalities]]</f>
        <v>0</v>
      </c>
      <c r="W2617" s="50">
        <f>IFERROR(Tabla1[[#This Row],[Fatalities]]/Tabla1[[#This Row],[Aboard]],0)</f>
        <v>1</v>
      </c>
      <c r="X2617" s="51" t="str" cm="1">
        <f t="array" ref="X2617">_xlfn.IFS(Tabla1[[#This Row],[Porcentaje de muertes]]&lt;0.35,"LEVE",AND(Tabla1[[#This Row],[Porcentaje de muertes]]&gt;0.35,Tabla1[[#This Row],[Porcentaje de muertes]]&lt;0.65),"MEDIO",Tabla1[[#This Row],[Porcentaje de muertes]]&gt;0.65,"GRAVE")</f>
        <v>GRAVE</v>
      </c>
    </row>
    <row r="2618" spans="2:24" x14ac:dyDescent="0.3">
      <c r="B2618" s="9">
        <v>2617</v>
      </c>
      <c r="C2618" s="49">
        <v>26307</v>
      </c>
      <c r="D2618" s="9">
        <f>YEAR(Tabla1[[#This Row],[Date]])</f>
        <v>1972</v>
      </c>
      <c r="E2618" s="9" t="str" cm="1">
        <f t="array" ref="E2618">IFERROR(_xlfn.IFS(AND(D2618&lt;1980,D2618&gt;=1970),"70",AND(D2618&lt;1990,D2618&gt;=1980),"80",AND(D2618&lt;2000,D2618&gt;=1990),"90",AND(D2618&lt;2010,D2618&gt;=2000),"00",AND(D2618&lt;=2019,D2618&gt;=2010),"10"),"1908-1970")</f>
        <v>70</v>
      </c>
      <c r="F2618" s="3" t="s">
        <v>28931</v>
      </c>
      <c r="G2618" t="s">
        <v>16568</v>
      </c>
      <c r="H2618" t="s">
        <v>16569</v>
      </c>
      <c r="I2618" t="s">
        <v>28931</v>
      </c>
      <c r="J2618" t="s">
        <v>28931</v>
      </c>
      <c r="K2618" t="s">
        <v>16570</v>
      </c>
      <c r="L2618" s="7" t="s">
        <v>16571</v>
      </c>
      <c r="M2618" t="s">
        <v>16572</v>
      </c>
      <c r="N2618">
        <v>4</v>
      </c>
      <c r="O2618">
        <v>3</v>
      </c>
      <c r="P2618">
        <v>1</v>
      </c>
      <c r="Q2618">
        <v>4</v>
      </c>
      <c r="R2618">
        <v>3</v>
      </c>
      <c r="S2618">
        <v>1</v>
      </c>
      <c r="T2618">
        <v>0</v>
      </c>
      <c r="U2618" t="s">
        <v>16573</v>
      </c>
      <c r="V2618">
        <f>Tabla1[[#This Row],[Aboard]]-Tabla1[[#This Row],[Fatalities]]</f>
        <v>0</v>
      </c>
      <c r="W2618" s="50">
        <f>IFERROR(Tabla1[[#This Row],[Fatalities]]/Tabla1[[#This Row],[Aboard]],0)</f>
        <v>1</v>
      </c>
      <c r="X2618" s="51" t="str" cm="1">
        <f t="array" ref="X2618">_xlfn.IFS(Tabla1[[#This Row],[Porcentaje de muertes]]&lt;0.35,"LEVE",AND(Tabla1[[#This Row],[Porcentaje de muertes]]&gt;0.35,Tabla1[[#This Row],[Porcentaje de muertes]]&lt;0.65),"MEDIO",Tabla1[[#This Row],[Porcentaje de muertes]]&gt;0.65,"GRAVE")</f>
        <v>GRAVE</v>
      </c>
    </row>
    <row r="2619" spans="2:24" x14ac:dyDescent="0.3">
      <c r="B2619" s="9">
        <v>2618</v>
      </c>
      <c r="C2619" s="49">
        <v>26489</v>
      </c>
      <c r="D2619" s="9">
        <f>YEAR(Tabla1[[#This Row],[Date]])</f>
        <v>1972</v>
      </c>
      <c r="E2619" s="9" t="str" cm="1">
        <f t="array" ref="E2619">IFERROR(_xlfn.IFS(AND(D2619&lt;1980,D2619&gt;=1970),"70",AND(D2619&lt;1990,D2619&gt;=1980),"80",AND(D2619&lt;2000,D2619&gt;=1990),"90",AND(D2619&lt;2010,D2619&gt;=2000),"00",AND(D2619&lt;=2019,D2619&gt;=2010),"10"),"1908-1970")</f>
        <v>70</v>
      </c>
      <c r="F2619" s="3">
        <v>0.74791666666666667</v>
      </c>
      <c r="G2619" t="s">
        <v>16574</v>
      </c>
      <c r="H2619" t="s">
        <v>16575</v>
      </c>
      <c r="I2619" t="s">
        <v>28931</v>
      </c>
      <c r="J2619" t="s">
        <v>28931</v>
      </c>
      <c r="K2619" t="s">
        <v>12915</v>
      </c>
      <c r="L2619" s="7" t="s">
        <v>16576</v>
      </c>
      <c r="M2619">
        <v>26903</v>
      </c>
      <c r="N2619">
        <v>8</v>
      </c>
      <c r="O2619">
        <v>6</v>
      </c>
      <c r="P2619">
        <v>2</v>
      </c>
      <c r="Q2619">
        <v>1</v>
      </c>
      <c r="R2619">
        <v>0</v>
      </c>
      <c r="S2619">
        <v>1</v>
      </c>
      <c r="T2619">
        <v>0</v>
      </c>
      <c r="U2619" t="s">
        <v>16577</v>
      </c>
      <c r="V2619">
        <f>Tabla1[[#This Row],[Aboard]]-Tabla1[[#This Row],[Fatalities]]</f>
        <v>7</v>
      </c>
      <c r="W2619" s="50">
        <f>IFERROR(Tabla1[[#This Row],[Fatalities]]/Tabla1[[#This Row],[Aboard]],0)</f>
        <v>0.125</v>
      </c>
      <c r="X2619" s="51" t="str" cm="1">
        <f t="array" ref="X2619">_xlfn.IFS(Tabla1[[#This Row],[Porcentaje de muertes]]&lt;0.35,"LEVE",AND(Tabla1[[#This Row],[Porcentaje de muertes]]&gt;0.35,Tabla1[[#This Row],[Porcentaje de muertes]]&lt;0.65),"MEDIO",Tabla1[[#This Row],[Porcentaje de muertes]]&gt;0.65,"GRAVE")</f>
        <v>LEVE</v>
      </c>
    </row>
    <row r="2620" spans="2:24" x14ac:dyDescent="0.3">
      <c r="B2620" s="9">
        <v>2619</v>
      </c>
      <c r="C2620" s="49">
        <v>26581</v>
      </c>
      <c r="D2620" s="9">
        <f>YEAR(Tabla1[[#This Row],[Date]])</f>
        <v>1972</v>
      </c>
      <c r="E2620" s="9" t="str" cm="1">
        <f t="array" ref="E2620">IFERROR(_xlfn.IFS(AND(D2620&lt;1980,D2620&gt;=1970),"70",AND(D2620&lt;1990,D2620&gt;=1980),"80",AND(D2620&lt;2000,D2620&gt;=1990),"90",AND(D2620&lt;2010,D2620&gt;=2000),"00",AND(D2620&lt;=2019,D2620&gt;=2010),"10"),"1908-1970")</f>
        <v>70</v>
      </c>
      <c r="F2620" s="3">
        <v>0.43055555555555558</v>
      </c>
      <c r="G2620" t="s">
        <v>16578</v>
      </c>
      <c r="H2620" t="s">
        <v>13000</v>
      </c>
      <c r="I2620" t="s">
        <v>28931</v>
      </c>
      <c r="J2620" t="s">
        <v>16579</v>
      </c>
      <c r="K2620" t="s">
        <v>7057</v>
      </c>
      <c r="L2620" s="7" t="s">
        <v>16580</v>
      </c>
      <c r="M2620">
        <v>4325</v>
      </c>
      <c r="N2620">
        <v>11</v>
      </c>
      <c r="O2620">
        <v>8</v>
      </c>
      <c r="P2620">
        <v>3</v>
      </c>
      <c r="Q2620">
        <v>11</v>
      </c>
      <c r="R2620">
        <v>8</v>
      </c>
      <c r="S2620">
        <v>3</v>
      </c>
      <c r="T2620">
        <v>0</v>
      </c>
      <c r="U2620" t="s">
        <v>16581</v>
      </c>
      <c r="V2620">
        <f>Tabla1[[#This Row],[Aboard]]-Tabla1[[#This Row],[Fatalities]]</f>
        <v>0</v>
      </c>
      <c r="W2620" s="50">
        <f>IFERROR(Tabla1[[#This Row],[Fatalities]]/Tabla1[[#This Row],[Aboard]],0)</f>
        <v>1</v>
      </c>
      <c r="X2620" s="51" t="str" cm="1">
        <f t="array" ref="X2620">_xlfn.IFS(Tabla1[[#This Row],[Porcentaje de muertes]]&lt;0.35,"LEVE",AND(Tabla1[[#This Row],[Porcentaje de muertes]]&gt;0.35,Tabla1[[#This Row],[Porcentaje de muertes]]&lt;0.65),"MEDIO",Tabla1[[#This Row],[Porcentaje de muertes]]&gt;0.65,"GRAVE")</f>
        <v>GRAVE</v>
      </c>
    </row>
    <row r="2621" spans="2:24" x14ac:dyDescent="0.3">
      <c r="B2621" s="9">
        <v>2620</v>
      </c>
      <c r="C2621" s="49">
        <v>26555</v>
      </c>
      <c r="D2621" s="9">
        <f>YEAR(Tabla1[[#This Row],[Date]])</f>
        <v>1972</v>
      </c>
      <c r="E2621" s="9" t="str" cm="1">
        <f t="array" ref="E2621">IFERROR(_xlfn.IFS(AND(D2621&lt;1980,D2621&gt;=1970),"70",AND(D2621&lt;1990,D2621&gt;=1980),"80",AND(D2621&lt;2000,D2621&gt;=1990),"90",AND(D2621&lt;2010,D2621&gt;=2000),"00",AND(D2621&lt;=2019,D2621&gt;=2010),"10"),"1908-1970")</f>
        <v>70</v>
      </c>
      <c r="F2621" s="3">
        <v>0.5</v>
      </c>
      <c r="G2621" t="s">
        <v>16582</v>
      </c>
      <c r="H2621" t="s">
        <v>16583</v>
      </c>
      <c r="I2621" t="s">
        <v>28931</v>
      </c>
      <c r="J2621" t="s">
        <v>16584</v>
      </c>
      <c r="K2621" t="s">
        <v>7826</v>
      </c>
      <c r="L2621" s="7" t="s">
        <v>16585</v>
      </c>
      <c r="M2621">
        <v>9950</v>
      </c>
      <c r="N2621">
        <v>31</v>
      </c>
      <c r="O2621">
        <v>27</v>
      </c>
      <c r="P2621">
        <v>4</v>
      </c>
      <c r="Q2621">
        <v>31</v>
      </c>
      <c r="R2621">
        <v>27</v>
      </c>
      <c r="S2621">
        <v>4</v>
      </c>
      <c r="T2621">
        <v>0</v>
      </c>
      <c r="U2621" t="s">
        <v>16586</v>
      </c>
      <c r="V2621">
        <f>Tabla1[[#This Row],[Aboard]]-Tabla1[[#This Row],[Fatalities]]</f>
        <v>0</v>
      </c>
      <c r="W2621" s="50">
        <f>IFERROR(Tabla1[[#This Row],[Fatalities]]/Tabla1[[#This Row],[Aboard]],0)</f>
        <v>1</v>
      </c>
      <c r="X2621" s="51" t="str" cm="1">
        <f t="array" ref="X2621">_xlfn.IFS(Tabla1[[#This Row],[Porcentaje de muertes]]&lt;0.35,"LEVE",AND(Tabla1[[#This Row],[Porcentaje de muertes]]&gt;0.35,Tabla1[[#This Row],[Porcentaje de muertes]]&lt;0.65),"MEDIO",Tabla1[[#This Row],[Porcentaje de muertes]]&gt;0.65,"GRAVE")</f>
        <v>GRAVE</v>
      </c>
    </row>
    <row r="2622" spans="2:24" x14ac:dyDescent="0.3">
      <c r="B2622" s="9">
        <v>2621</v>
      </c>
      <c r="C2622" s="49">
        <v>26566</v>
      </c>
      <c r="D2622" s="9">
        <f>YEAR(Tabla1[[#This Row],[Date]])</f>
        <v>1972</v>
      </c>
      <c r="E2622" s="9" t="str" cm="1">
        <f t="array" ref="E2622">IFERROR(_xlfn.IFS(AND(D2622&lt;1980,D2622&gt;=1970),"70",AND(D2622&lt;1990,D2622&gt;=1980),"80",AND(D2622&lt;2000,D2622&gt;=1990),"90",AND(D2622&lt;2010,D2622&gt;=2000),"00",AND(D2622&lt;=2019,D2622&gt;=2010),"10"),"1908-1970")</f>
        <v>70</v>
      </c>
      <c r="F2622" s="3" t="s">
        <v>28931</v>
      </c>
      <c r="G2622" t="s">
        <v>16587</v>
      </c>
      <c r="H2622" t="s">
        <v>5032</v>
      </c>
      <c r="I2622" t="s">
        <v>28931</v>
      </c>
      <c r="J2622" t="s">
        <v>28931</v>
      </c>
      <c r="K2622" t="s">
        <v>16588</v>
      </c>
      <c r="L2622" s="7" t="s">
        <v>16589</v>
      </c>
      <c r="M2622" t="s">
        <v>28931</v>
      </c>
      <c r="N2622">
        <v>1</v>
      </c>
      <c r="O2622">
        <v>0</v>
      </c>
      <c r="P2622">
        <v>1</v>
      </c>
      <c r="Q2622">
        <v>0</v>
      </c>
      <c r="R2622">
        <v>0</v>
      </c>
      <c r="S2622">
        <v>0</v>
      </c>
      <c r="T2622">
        <v>22</v>
      </c>
      <c r="U2622" t="s">
        <v>16590</v>
      </c>
      <c r="V2622">
        <f>Tabla1[[#This Row],[Aboard]]-Tabla1[[#This Row],[Fatalities]]</f>
        <v>1</v>
      </c>
      <c r="W2622" s="50">
        <f>IFERROR(Tabla1[[#This Row],[Fatalities]]/Tabla1[[#This Row],[Aboard]],0)</f>
        <v>0</v>
      </c>
      <c r="X2622" s="51" t="str" cm="1">
        <f t="array" ref="X2622">_xlfn.IFS(Tabla1[[#This Row],[Porcentaje de muertes]]&lt;0.35,"LEVE",AND(Tabla1[[#This Row],[Porcentaje de muertes]]&gt;0.35,Tabla1[[#This Row],[Porcentaje de muertes]]&lt;0.65),"MEDIO",Tabla1[[#This Row],[Porcentaje de muertes]]&gt;0.65,"GRAVE")</f>
        <v>LEVE</v>
      </c>
    </row>
    <row r="2623" spans="2:24" x14ac:dyDescent="0.3">
      <c r="B2623" s="9">
        <v>2622</v>
      </c>
      <c r="C2623" s="49">
        <v>26566</v>
      </c>
      <c r="D2623" s="9">
        <f>YEAR(Tabla1[[#This Row],[Date]])</f>
        <v>1972</v>
      </c>
      <c r="E2623" s="9" t="str" cm="1">
        <f t="array" ref="E2623">IFERROR(_xlfn.IFS(AND(D2623&lt;1980,D2623&gt;=1970),"70",AND(D2623&lt;1990,D2623&gt;=1980),"80",AND(D2623&lt;2000,D2623&gt;=1990),"90",AND(D2623&lt;2010,D2623&gt;=2000),"00",AND(D2623&lt;=2019,D2623&gt;=2010),"10"),"1908-1970")</f>
        <v>70</v>
      </c>
      <c r="F2623" s="3" t="s">
        <v>28931</v>
      </c>
      <c r="G2623" t="s">
        <v>16591</v>
      </c>
      <c r="H2623" t="s">
        <v>11339</v>
      </c>
      <c r="I2623" t="s">
        <v>28931</v>
      </c>
      <c r="J2623" t="s">
        <v>11039</v>
      </c>
      <c r="K2623" t="s">
        <v>16592</v>
      </c>
      <c r="L2623" s="7" t="s">
        <v>16593</v>
      </c>
      <c r="M2623">
        <v>10588</v>
      </c>
      <c r="N2623">
        <v>13</v>
      </c>
      <c r="O2623">
        <v>8</v>
      </c>
      <c r="P2623">
        <v>5</v>
      </c>
      <c r="Q2623">
        <v>10</v>
      </c>
      <c r="R2623">
        <v>6</v>
      </c>
      <c r="S2623">
        <v>4</v>
      </c>
      <c r="T2623">
        <v>0</v>
      </c>
      <c r="U2623" t="s">
        <v>16594</v>
      </c>
      <c r="V2623">
        <f>Tabla1[[#This Row],[Aboard]]-Tabla1[[#This Row],[Fatalities]]</f>
        <v>3</v>
      </c>
      <c r="W2623" s="50">
        <f>IFERROR(Tabla1[[#This Row],[Fatalities]]/Tabla1[[#This Row],[Aboard]],0)</f>
        <v>0.76923076923076927</v>
      </c>
      <c r="X2623" s="51" t="str" cm="1">
        <f t="array" ref="X2623">_xlfn.IFS(Tabla1[[#This Row],[Porcentaje de muertes]]&lt;0.35,"LEVE",AND(Tabla1[[#This Row],[Porcentaje de muertes]]&gt;0.35,Tabla1[[#This Row],[Porcentaje de muertes]]&lt;0.65),"MEDIO",Tabla1[[#This Row],[Porcentaje de muertes]]&gt;0.65,"GRAVE")</f>
        <v>GRAVE</v>
      </c>
    </row>
    <row r="2624" spans="2:24" x14ac:dyDescent="0.3">
      <c r="B2624" s="9">
        <v>2623</v>
      </c>
      <c r="C2624" s="49">
        <v>26308</v>
      </c>
      <c r="D2624" s="9">
        <f>YEAR(Tabla1[[#This Row],[Date]])</f>
        <v>1972</v>
      </c>
      <c r="E2624" s="9" t="str" cm="1">
        <f t="array" ref="E2624">IFERROR(_xlfn.IFS(AND(D2624&lt;1980,D2624&gt;=1970),"70",AND(D2624&lt;1990,D2624&gt;=1980),"80",AND(D2624&lt;2000,D2624&gt;=1990),"90",AND(D2624&lt;2010,D2624&gt;=2000),"00",AND(D2624&lt;=2019,D2624&gt;=2010),"10"),"1908-1970")</f>
        <v>70</v>
      </c>
      <c r="F2624" s="3">
        <v>0.80902777777777779</v>
      </c>
      <c r="G2624" t="s">
        <v>16595</v>
      </c>
      <c r="H2624" t="s">
        <v>6541</v>
      </c>
      <c r="I2624">
        <v>1036</v>
      </c>
      <c r="J2624" t="s">
        <v>16596</v>
      </c>
      <c r="K2624" t="s">
        <v>13035</v>
      </c>
      <c r="L2624" s="7" t="s">
        <v>16597</v>
      </c>
      <c r="M2624">
        <v>183006405</v>
      </c>
      <c r="N2624">
        <v>108</v>
      </c>
      <c r="O2624">
        <v>108</v>
      </c>
      <c r="P2624">
        <v>8</v>
      </c>
      <c r="Q2624">
        <v>108</v>
      </c>
      <c r="R2624">
        <v>100</v>
      </c>
      <c r="S2624">
        <v>8</v>
      </c>
      <c r="T2624">
        <v>0</v>
      </c>
      <c r="U2624" t="s">
        <v>16598</v>
      </c>
      <c r="V2624">
        <f>Tabla1[[#This Row],[Aboard]]-Tabla1[[#This Row],[Fatalities]]</f>
        <v>0</v>
      </c>
      <c r="W2624" s="50">
        <f>IFERROR(Tabla1[[#This Row],[Fatalities]]/Tabla1[[#This Row],[Aboard]],0)</f>
        <v>1</v>
      </c>
      <c r="X2624" s="51" t="str" cm="1">
        <f t="array" ref="X2624">_xlfn.IFS(Tabla1[[#This Row],[Porcentaje de muertes]]&lt;0.35,"LEVE",AND(Tabla1[[#This Row],[Porcentaje de muertes]]&gt;0.35,Tabla1[[#This Row],[Porcentaje de muertes]]&lt;0.65),"MEDIO",Tabla1[[#This Row],[Porcentaje de muertes]]&gt;0.65,"GRAVE")</f>
        <v>GRAVE</v>
      </c>
    </row>
    <row r="2625" spans="2:24" x14ac:dyDescent="0.3">
      <c r="B2625" s="9">
        <v>2624</v>
      </c>
      <c r="C2625" s="49">
        <v>26339</v>
      </c>
      <c r="D2625" s="9">
        <f>YEAR(Tabla1[[#This Row],[Date]])</f>
        <v>1972</v>
      </c>
      <c r="E2625" s="9" t="str" cm="1">
        <f t="array" ref="E2625">IFERROR(_xlfn.IFS(AND(D2625&lt;1980,D2625&gt;=1970),"70",AND(D2625&lt;1990,D2625&gt;=1980),"80",AND(D2625&lt;2000,D2625&gt;=1990),"90",AND(D2625&lt;2010,D2625&gt;=2000),"00",AND(D2625&lt;=2019,D2625&gt;=2010),"10"),"1908-1970")</f>
        <v>70</v>
      </c>
      <c r="F2625" s="3" t="s">
        <v>28931</v>
      </c>
      <c r="G2625" t="s">
        <v>16599</v>
      </c>
      <c r="H2625" t="s">
        <v>16600</v>
      </c>
      <c r="I2625" t="s">
        <v>28931</v>
      </c>
      <c r="J2625" t="s">
        <v>28931</v>
      </c>
      <c r="K2625" t="s">
        <v>7057</v>
      </c>
      <c r="L2625" s="7" t="s">
        <v>16601</v>
      </c>
      <c r="M2625">
        <v>13729</v>
      </c>
      <c r="N2625">
        <v>9</v>
      </c>
      <c r="O2625">
        <v>7</v>
      </c>
      <c r="P2625">
        <v>2</v>
      </c>
      <c r="Q2625">
        <v>9</v>
      </c>
      <c r="R2625">
        <v>7</v>
      </c>
      <c r="S2625">
        <v>2</v>
      </c>
      <c r="T2625">
        <v>0</v>
      </c>
      <c r="U2625" t="s">
        <v>16602</v>
      </c>
      <c r="V2625">
        <f>Tabla1[[#This Row],[Aboard]]-Tabla1[[#This Row],[Fatalities]]</f>
        <v>0</v>
      </c>
      <c r="W2625" s="50">
        <f>IFERROR(Tabla1[[#This Row],[Fatalities]]/Tabla1[[#This Row],[Aboard]],0)</f>
        <v>1</v>
      </c>
      <c r="X2625" s="51" t="str" cm="1">
        <f t="array" ref="X2625">_xlfn.IFS(Tabla1[[#This Row],[Porcentaje de muertes]]&lt;0.35,"LEVE",AND(Tabla1[[#This Row],[Porcentaje de muertes]]&gt;0.35,Tabla1[[#This Row],[Porcentaje de muertes]]&lt;0.65),"MEDIO",Tabla1[[#This Row],[Porcentaje de muertes]]&gt;0.65,"GRAVE")</f>
        <v>GRAVE</v>
      </c>
    </row>
    <row r="2626" spans="2:24" x14ac:dyDescent="0.3">
      <c r="B2626" s="9">
        <v>2625</v>
      </c>
      <c r="C2626" s="49">
        <v>26585</v>
      </c>
      <c r="D2626" s="9">
        <f>YEAR(Tabla1[[#This Row],[Date]])</f>
        <v>1972</v>
      </c>
      <c r="E2626" s="9" t="str" cm="1">
        <f t="array" ref="E2626">IFERROR(_xlfn.IFS(AND(D2626&lt;1980,D2626&gt;=1970),"70",AND(D2626&lt;1990,D2626&gt;=1980),"80",AND(D2626&lt;2000,D2626&gt;=1990),"90",AND(D2626&lt;2010,D2626&gt;=2000),"00",AND(D2626&lt;=2019,D2626&gt;=2010),"10"),"1908-1970")</f>
        <v>70</v>
      </c>
      <c r="F2626" s="3">
        <v>0.64583333333333337</v>
      </c>
      <c r="G2626" t="s">
        <v>16603</v>
      </c>
      <c r="H2626" t="s">
        <v>16604</v>
      </c>
      <c r="I2626" t="s">
        <v>28931</v>
      </c>
      <c r="J2626" t="s">
        <v>16605</v>
      </c>
      <c r="K2626" t="s">
        <v>16606</v>
      </c>
      <c r="L2626" s="7" t="s">
        <v>16607</v>
      </c>
      <c r="M2626">
        <v>572</v>
      </c>
      <c r="N2626">
        <v>45</v>
      </c>
      <c r="O2626">
        <v>40</v>
      </c>
      <c r="P2626">
        <v>5</v>
      </c>
      <c r="Q2626">
        <v>29</v>
      </c>
      <c r="R2626">
        <v>24</v>
      </c>
      <c r="S2626">
        <v>5</v>
      </c>
      <c r="T2626">
        <v>0</v>
      </c>
      <c r="U2626" t="s">
        <v>16608</v>
      </c>
      <c r="V2626">
        <f>Tabla1[[#This Row],[Aboard]]-Tabla1[[#This Row],[Fatalities]]</f>
        <v>16</v>
      </c>
      <c r="W2626" s="50">
        <f>IFERROR(Tabla1[[#This Row],[Fatalities]]/Tabla1[[#This Row],[Aboard]],0)</f>
        <v>0.64444444444444449</v>
      </c>
      <c r="X2626" s="51" t="str" cm="1">
        <f t="array" ref="X2626">_xlfn.IFS(Tabla1[[#This Row],[Porcentaje de muertes]]&lt;0.35,"LEVE",AND(Tabla1[[#This Row],[Porcentaje de muertes]]&gt;0.35,Tabla1[[#This Row],[Porcentaje de muertes]]&lt;0.65),"MEDIO",Tabla1[[#This Row],[Porcentaje de muertes]]&gt;0.65,"GRAVE")</f>
        <v>MEDIO</v>
      </c>
    </row>
    <row r="2627" spans="2:24" x14ac:dyDescent="0.3">
      <c r="B2627" s="9">
        <v>2626</v>
      </c>
      <c r="C2627" s="49">
        <v>26585</v>
      </c>
      <c r="D2627" s="9">
        <f>YEAR(Tabla1[[#This Row],[Date]])</f>
        <v>1972</v>
      </c>
      <c r="E2627" s="9" t="str" cm="1">
        <f t="array" ref="E2627">IFERROR(_xlfn.IFS(AND(D2627&lt;1980,D2627&gt;=1970),"70",AND(D2627&lt;1990,D2627&gt;=1980),"80",AND(D2627&lt;2000,D2627&gt;=1990),"90",AND(D2627&lt;2010,D2627&gt;=2000),"00",AND(D2627&lt;=2019,D2627&gt;=2010),"10"),"1908-1970")</f>
        <v>70</v>
      </c>
      <c r="F2627" s="3">
        <v>0.90972222222222221</v>
      </c>
      <c r="G2627" t="s">
        <v>16609</v>
      </c>
      <c r="H2627" t="s">
        <v>6541</v>
      </c>
      <c r="I2627">
        <v>217</v>
      </c>
      <c r="J2627" t="s">
        <v>16610</v>
      </c>
      <c r="K2627" t="s">
        <v>16546</v>
      </c>
      <c r="L2627" s="7" t="s">
        <v>16611</v>
      </c>
      <c r="M2627">
        <v>70301</v>
      </c>
      <c r="N2627">
        <v>174</v>
      </c>
      <c r="O2627">
        <v>164</v>
      </c>
      <c r="P2627">
        <v>10</v>
      </c>
      <c r="Q2627">
        <v>174</v>
      </c>
      <c r="R2627">
        <v>164</v>
      </c>
      <c r="S2627">
        <v>10</v>
      </c>
      <c r="T2627">
        <v>0</v>
      </c>
      <c r="U2627" t="s">
        <v>16612</v>
      </c>
      <c r="V2627">
        <f>Tabla1[[#This Row],[Aboard]]-Tabla1[[#This Row],[Fatalities]]</f>
        <v>0</v>
      </c>
      <c r="W2627" s="50">
        <f>IFERROR(Tabla1[[#This Row],[Fatalities]]/Tabla1[[#This Row],[Aboard]],0)</f>
        <v>1</v>
      </c>
      <c r="X2627" s="51" t="str" cm="1">
        <f t="array" ref="X2627">_xlfn.IFS(Tabla1[[#This Row],[Porcentaje de muertes]]&lt;0.35,"LEVE",AND(Tabla1[[#This Row],[Porcentaje de muertes]]&gt;0.35,Tabla1[[#This Row],[Porcentaje de muertes]]&lt;0.65),"MEDIO",Tabla1[[#This Row],[Porcentaje de muertes]]&gt;0.65,"GRAVE")</f>
        <v>GRAVE</v>
      </c>
    </row>
    <row r="2628" spans="2:24" x14ac:dyDescent="0.3">
      <c r="B2628" s="9">
        <v>2627</v>
      </c>
      <c r="C2628" s="49">
        <v>26588</v>
      </c>
      <c r="D2628" s="9">
        <f>YEAR(Tabla1[[#This Row],[Date]])</f>
        <v>1972</v>
      </c>
      <c r="E2628" s="9" t="str" cm="1">
        <f t="array" ref="E2628">IFERROR(_xlfn.IFS(AND(D2628&lt;1980,D2628&gt;=1970),"70",AND(D2628&lt;1990,D2628&gt;=1980),"80",AND(D2628&lt;2000,D2628&gt;=1990),"90",AND(D2628&lt;2010,D2628&gt;=2000),"00",AND(D2628&lt;=2019,D2628&gt;=2010),"10"),"1908-1970")</f>
        <v>70</v>
      </c>
      <c r="F2628" s="3">
        <v>0.375</v>
      </c>
      <c r="G2628" t="s">
        <v>16613</v>
      </c>
      <c r="H2628" t="s">
        <v>5032</v>
      </c>
      <c r="I2628" t="s">
        <v>28931</v>
      </c>
      <c r="J2628" t="s">
        <v>16614</v>
      </c>
      <c r="K2628" t="s">
        <v>16615</v>
      </c>
      <c r="L2628" s="7" t="s">
        <v>16616</v>
      </c>
      <c r="M2628">
        <v>35912</v>
      </c>
      <c r="N2628">
        <v>4</v>
      </c>
      <c r="O2628">
        <v>3</v>
      </c>
      <c r="P2628">
        <v>1</v>
      </c>
      <c r="Q2628">
        <v>4</v>
      </c>
      <c r="R2628">
        <v>3</v>
      </c>
      <c r="S2628">
        <v>1</v>
      </c>
      <c r="T2628">
        <v>0</v>
      </c>
      <c r="U2628" t="s">
        <v>16617</v>
      </c>
      <c r="V2628">
        <f>Tabla1[[#This Row],[Aboard]]-Tabla1[[#This Row],[Fatalities]]</f>
        <v>0</v>
      </c>
      <c r="W2628" s="50">
        <f>IFERROR(Tabla1[[#This Row],[Fatalities]]/Tabla1[[#This Row],[Aboard]],0)</f>
        <v>1</v>
      </c>
      <c r="X2628" s="51" t="str" cm="1">
        <f t="array" ref="X2628">_xlfn.IFS(Tabla1[[#This Row],[Porcentaje de muertes]]&lt;0.35,"LEVE",AND(Tabla1[[#This Row],[Porcentaje de muertes]]&gt;0.35,Tabla1[[#This Row],[Porcentaje de muertes]]&lt;0.65),"MEDIO",Tabla1[[#This Row],[Porcentaje de muertes]]&gt;0.65,"GRAVE")</f>
        <v>GRAVE</v>
      </c>
    </row>
    <row r="2629" spans="2:24" x14ac:dyDescent="0.3">
      <c r="B2629" s="9">
        <v>2628</v>
      </c>
      <c r="C2629" s="49">
        <v>26593</v>
      </c>
      <c r="D2629" s="9">
        <f>YEAR(Tabla1[[#This Row],[Date]])</f>
        <v>1972</v>
      </c>
      <c r="E2629" s="9" t="str" cm="1">
        <f t="array" ref="E2629">IFERROR(_xlfn.IFS(AND(D2629&lt;1980,D2629&gt;=1970),"70",AND(D2629&lt;1990,D2629&gt;=1980),"80",AND(D2629&lt;2000,D2629&gt;=1990),"90",AND(D2629&lt;2010,D2629&gt;=2000),"00",AND(D2629&lt;=2019,D2629&gt;=2010),"10"),"1908-1970")</f>
        <v>70</v>
      </c>
      <c r="F2629" s="3">
        <v>0.89583333333333337</v>
      </c>
      <c r="G2629" t="s">
        <v>16618</v>
      </c>
      <c r="H2629" t="s">
        <v>12792</v>
      </c>
      <c r="I2629" t="s">
        <v>28931</v>
      </c>
      <c r="J2629" t="s">
        <v>16619</v>
      </c>
      <c r="K2629" t="s">
        <v>16620</v>
      </c>
      <c r="L2629" s="7" t="s">
        <v>16621</v>
      </c>
      <c r="M2629">
        <v>2155</v>
      </c>
      <c r="N2629">
        <v>53</v>
      </c>
      <c r="O2629">
        <v>49</v>
      </c>
      <c r="P2629">
        <v>4</v>
      </c>
      <c r="Q2629">
        <v>37</v>
      </c>
      <c r="R2629">
        <v>36</v>
      </c>
      <c r="S2629">
        <v>1</v>
      </c>
      <c r="T2629">
        <v>0</v>
      </c>
      <c r="U2629" t="s">
        <v>16622</v>
      </c>
      <c r="V2629">
        <f>Tabla1[[#This Row],[Aboard]]-Tabla1[[#This Row],[Fatalities]]</f>
        <v>16</v>
      </c>
      <c r="W2629" s="50">
        <f>IFERROR(Tabla1[[#This Row],[Fatalities]]/Tabla1[[#This Row],[Aboard]],0)</f>
        <v>0.69811320754716977</v>
      </c>
      <c r="X2629" s="51" t="str" cm="1">
        <f t="array" ref="X2629">_xlfn.IFS(Tabla1[[#This Row],[Porcentaje de muertes]]&lt;0.35,"LEVE",AND(Tabla1[[#This Row],[Porcentaje de muertes]]&gt;0.35,Tabla1[[#This Row],[Porcentaje de muertes]]&lt;0.65),"MEDIO",Tabla1[[#This Row],[Porcentaje de muertes]]&gt;0.65,"GRAVE")</f>
        <v>GRAVE</v>
      </c>
    </row>
    <row r="2630" spans="2:24" x14ac:dyDescent="0.3">
      <c r="B2630" s="9">
        <v>2629</v>
      </c>
      <c r="C2630" s="49">
        <v>26595</v>
      </c>
      <c r="D2630" s="9">
        <f>YEAR(Tabla1[[#This Row],[Date]])</f>
        <v>1972</v>
      </c>
      <c r="E2630" s="9" t="str" cm="1">
        <f t="array" ref="E2630">IFERROR(_xlfn.IFS(AND(D2630&lt;1980,D2630&gt;=1970),"70",AND(D2630&lt;1990,D2630&gt;=1980),"80",AND(D2630&lt;2000,D2630&gt;=1990),"90",AND(D2630&lt;2010,D2630&gt;=2000),"00",AND(D2630&lt;=2019,D2630&gt;=2010),"10"),"1908-1970")</f>
        <v>70</v>
      </c>
      <c r="F2630" s="3" t="s">
        <v>28931</v>
      </c>
      <c r="G2630" t="s">
        <v>16623</v>
      </c>
      <c r="H2630" t="s">
        <v>16624</v>
      </c>
      <c r="I2630" t="s">
        <v>28931</v>
      </c>
      <c r="J2630" t="s">
        <v>16625</v>
      </c>
      <c r="K2630" t="s">
        <v>16626</v>
      </c>
      <c r="L2630" s="7" t="s">
        <v>16627</v>
      </c>
      <c r="M2630">
        <v>221</v>
      </c>
      <c r="N2630">
        <v>8</v>
      </c>
      <c r="O2630">
        <v>7</v>
      </c>
      <c r="P2630">
        <v>1</v>
      </c>
      <c r="Q2630">
        <v>1</v>
      </c>
      <c r="R2630">
        <v>1</v>
      </c>
      <c r="S2630">
        <v>0</v>
      </c>
      <c r="T2630">
        <v>0</v>
      </c>
      <c r="U2630" t="s">
        <v>16628</v>
      </c>
      <c r="V2630">
        <f>Tabla1[[#This Row],[Aboard]]-Tabla1[[#This Row],[Fatalities]]</f>
        <v>7</v>
      </c>
      <c r="W2630" s="50">
        <f>IFERROR(Tabla1[[#This Row],[Fatalities]]/Tabla1[[#This Row],[Aboard]],0)</f>
        <v>0.125</v>
      </c>
      <c r="X2630" s="51" t="str" cm="1">
        <f t="array" ref="X2630">_xlfn.IFS(Tabla1[[#This Row],[Porcentaje de muertes]]&lt;0.35,"LEVE",AND(Tabla1[[#This Row],[Porcentaje de muertes]]&gt;0.35,Tabla1[[#This Row],[Porcentaje de muertes]]&lt;0.65),"MEDIO",Tabla1[[#This Row],[Porcentaje de muertes]]&gt;0.65,"GRAVE")</f>
        <v>LEVE</v>
      </c>
    </row>
    <row r="2631" spans="2:24" x14ac:dyDescent="0.3">
      <c r="B2631" s="9">
        <v>2630</v>
      </c>
      <c r="C2631" s="49">
        <v>26599</v>
      </c>
      <c r="D2631" s="9">
        <f>YEAR(Tabla1[[#This Row],[Date]])</f>
        <v>1972</v>
      </c>
      <c r="E2631" s="9" t="str" cm="1">
        <f t="array" ref="E2631">IFERROR(_xlfn.IFS(AND(D2631&lt;1980,D2631&gt;=1970),"70",AND(D2631&lt;1990,D2631&gt;=1980),"80",AND(D2631&lt;2000,D2631&gt;=1990),"90",AND(D2631&lt;2010,D2631&gt;=2000),"00",AND(D2631&lt;=2019,D2631&gt;=2010),"10"),"1908-1970")</f>
        <v>70</v>
      </c>
      <c r="F2631" s="3">
        <v>0.8041666666666667</v>
      </c>
      <c r="G2631" t="s">
        <v>16629</v>
      </c>
      <c r="H2631" t="s">
        <v>13928</v>
      </c>
      <c r="I2631">
        <v>696</v>
      </c>
      <c r="J2631" t="s">
        <v>16630</v>
      </c>
      <c r="K2631" t="s">
        <v>16631</v>
      </c>
      <c r="L2631" s="7" t="s">
        <v>16632</v>
      </c>
      <c r="M2631">
        <v>50</v>
      </c>
      <c r="N2631">
        <v>68</v>
      </c>
      <c r="O2631">
        <v>63</v>
      </c>
      <c r="P2631">
        <v>5</v>
      </c>
      <c r="Q2631">
        <v>60</v>
      </c>
      <c r="R2631">
        <v>55</v>
      </c>
      <c r="S2631">
        <v>5</v>
      </c>
      <c r="T2631">
        <v>0</v>
      </c>
      <c r="U2631" t="s">
        <v>16633</v>
      </c>
      <c r="V2631">
        <f>Tabla1[[#This Row],[Aboard]]-Tabla1[[#This Row],[Fatalities]]</f>
        <v>8</v>
      </c>
      <c r="W2631" s="50">
        <f>IFERROR(Tabla1[[#This Row],[Fatalities]]/Tabla1[[#This Row],[Aboard]],0)</f>
        <v>0.88235294117647056</v>
      </c>
      <c r="X2631" s="51" t="str" cm="1">
        <f t="array" ref="X2631">_xlfn.IFS(Tabla1[[#This Row],[Porcentaje de muertes]]&lt;0.35,"LEVE",AND(Tabla1[[#This Row],[Porcentaje de muertes]]&gt;0.35,Tabla1[[#This Row],[Porcentaje de muertes]]&lt;0.65),"MEDIO",Tabla1[[#This Row],[Porcentaje de muertes]]&gt;0.65,"GRAVE")</f>
        <v>GRAVE</v>
      </c>
    </row>
    <row r="2632" spans="2:24" x14ac:dyDescent="0.3">
      <c r="B2632" s="9">
        <v>2631</v>
      </c>
      <c r="C2632" s="49">
        <v>26602</v>
      </c>
      <c r="D2632" s="9">
        <f>YEAR(Tabla1[[#This Row],[Date]])</f>
        <v>1972</v>
      </c>
      <c r="E2632" s="9" t="str" cm="1">
        <f t="array" ref="E2632">IFERROR(_xlfn.IFS(AND(D2632&lt;1980,D2632&gt;=1970),"70",AND(D2632&lt;1990,D2632&gt;=1980),"80",AND(D2632&lt;2000,D2632&gt;=1990),"90",AND(D2632&lt;2010,D2632&gt;=2000),"00",AND(D2632&lt;=2019,D2632&gt;=2010),"10"),"1908-1970")</f>
        <v>70</v>
      </c>
      <c r="F2632" s="3">
        <v>0.86111111111111116</v>
      </c>
      <c r="G2632" t="s">
        <v>16634</v>
      </c>
      <c r="H2632" t="s">
        <v>15524</v>
      </c>
      <c r="I2632" t="s">
        <v>28931</v>
      </c>
      <c r="J2632" t="s">
        <v>16635</v>
      </c>
      <c r="K2632" t="s">
        <v>14481</v>
      </c>
      <c r="L2632" s="7" t="s">
        <v>16636</v>
      </c>
      <c r="M2632">
        <v>10301</v>
      </c>
      <c r="N2632">
        <v>27</v>
      </c>
      <c r="O2632">
        <v>24</v>
      </c>
      <c r="P2632">
        <v>3</v>
      </c>
      <c r="Q2632">
        <v>27</v>
      </c>
      <c r="R2632">
        <v>24</v>
      </c>
      <c r="S2632">
        <v>3</v>
      </c>
      <c r="T2632">
        <v>0</v>
      </c>
      <c r="U2632" t="s">
        <v>16637</v>
      </c>
      <c r="V2632">
        <f>Tabla1[[#This Row],[Aboard]]-Tabla1[[#This Row],[Fatalities]]</f>
        <v>0</v>
      </c>
      <c r="W2632" s="50">
        <f>IFERROR(Tabla1[[#This Row],[Fatalities]]/Tabla1[[#This Row],[Aboard]],0)</f>
        <v>1</v>
      </c>
      <c r="X2632" s="51" t="str" cm="1">
        <f t="array" ref="X2632">_xlfn.IFS(Tabla1[[#This Row],[Porcentaje de muertes]]&lt;0.35,"LEVE",AND(Tabla1[[#This Row],[Porcentaje de muertes]]&gt;0.35,Tabla1[[#This Row],[Porcentaje de muertes]]&lt;0.65),"MEDIO",Tabla1[[#This Row],[Porcentaje de muertes]]&gt;0.65,"GRAVE")</f>
        <v>GRAVE</v>
      </c>
    </row>
    <row r="2633" spans="2:24" x14ac:dyDescent="0.3">
      <c r="B2633" s="9">
        <v>2632</v>
      </c>
      <c r="C2633" s="49">
        <v>26603</v>
      </c>
      <c r="D2633" s="9">
        <f>YEAR(Tabla1[[#This Row],[Date]])</f>
        <v>1972</v>
      </c>
      <c r="E2633" s="9" t="str" cm="1">
        <f t="array" ref="E2633">IFERROR(_xlfn.IFS(AND(D2633&lt;1980,D2633&gt;=1970),"70",AND(D2633&lt;1990,D2633&gt;=1980),"80",AND(D2633&lt;2000,D2633&gt;=1990),"90",AND(D2633&lt;2010,D2633&gt;=2000),"00",AND(D2633&lt;=2019,D2633&gt;=2010),"10"),"1908-1970")</f>
        <v>70</v>
      </c>
      <c r="F2633" s="3">
        <v>0.75</v>
      </c>
      <c r="G2633" t="s">
        <v>16638</v>
      </c>
      <c r="H2633" t="s">
        <v>5017</v>
      </c>
      <c r="I2633" t="s">
        <v>28931</v>
      </c>
      <c r="J2633" t="s">
        <v>28931</v>
      </c>
      <c r="K2633" t="s">
        <v>16482</v>
      </c>
      <c r="L2633" s="7" t="s">
        <v>28931</v>
      </c>
      <c r="M2633" t="s">
        <v>28931</v>
      </c>
      <c r="N2633">
        <v>22</v>
      </c>
      <c r="O2633" t="s">
        <v>5038</v>
      </c>
      <c r="P2633" t="s">
        <v>5038</v>
      </c>
      <c r="Q2633">
        <v>22</v>
      </c>
      <c r="R2633" t="s">
        <v>5038</v>
      </c>
      <c r="S2633" t="s">
        <v>5038</v>
      </c>
      <c r="T2633">
        <v>0</v>
      </c>
      <c r="U2633" t="s">
        <v>16639</v>
      </c>
      <c r="V2633">
        <f>Tabla1[[#This Row],[Aboard]]-Tabla1[[#This Row],[Fatalities]]</f>
        <v>0</v>
      </c>
      <c r="W2633" s="50">
        <f>IFERROR(Tabla1[[#This Row],[Fatalities]]/Tabla1[[#This Row],[Aboard]],0)</f>
        <v>1</v>
      </c>
      <c r="X2633" s="51" t="str" cm="1">
        <f t="array" ref="X2633">_xlfn.IFS(Tabla1[[#This Row],[Porcentaje de muertes]]&lt;0.35,"LEVE",AND(Tabla1[[#This Row],[Porcentaje de muertes]]&gt;0.35,Tabla1[[#This Row],[Porcentaje de muertes]]&lt;0.65),"MEDIO",Tabla1[[#This Row],[Porcentaje de muertes]]&gt;0.65,"GRAVE")</f>
        <v>GRAVE</v>
      </c>
    </row>
    <row r="2634" spans="2:24" x14ac:dyDescent="0.3">
      <c r="B2634" s="9">
        <v>2633</v>
      </c>
      <c r="C2634" s="49">
        <v>26400</v>
      </c>
      <c r="D2634" s="9">
        <f>YEAR(Tabla1[[#This Row],[Date]])</f>
        <v>1972</v>
      </c>
      <c r="E2634" s="9" t="str" cm="1">
        <f t="array" ref="E2634">IFERROR(_xlfn.IFS(AND(D2634&lt;1980,D2634&gt;=1970),"70",AND(D2634&lt;1990,D2634&gt;=1980),"80",AND(D2634&lt;2000,D2634&gt;=1990),"90",AND(D2634&lt;2010,D2634&gt;=2000),"00",AND(D2634&lt;=2019,D2634&gt;=2010),"10"),"1908-1970")</f>
        <v>70</v>
      </c>
      <c r="F2634" s="3">
        <v>0.83472222222222225</v>
      </c>
      <c r="G2634" t="s">
        <v>16640</v>
      </c>
      <c r="H2634" t="s">
        <v>16075</v>
      </c>
      <c r="I2634" t="s">
        <v>28931</v>
      </c>
      <c r="J2634" t="s">
        <v>16641</v>
      </c>
      <c r="K2634" t="s">
        <v>12110</v>
      </c>
      <c r="L2634" s="7" t="s">
        <v>16642</v>
      </c>
      <c r="M2634">
        <v>146001046</v>
      </c>
      <c r="N2634">
        <v>35</v>
      </c>
      <c r="O2634">
        <v>31</v>
      </c>
      <c r="P2634">
        <v>4</v>
      </c>
      <c r="Q2634">
        <v>35</v>
      </c>
      <c r="R2634">
        <v>31</v>
      </c>
      <c r="S2634">
        <v>4</v>
      </c>
      <c r="T2634">
        <v>0</v>
      </c>
      <c r="U2634" t="s">
        <v>16643</v>
      </c>
      <c r="V2634">
        <f>Tabla1[[#This Row],[Aboard]]-Tabla1[[#This Row],[Fatalities]]</f>
        <v>0</v>
      </c>
      <c r="W2634" s="50">
        <f>IFERROR(Tabla1[[#This Row],[Fatalities]]/Tabla1[[#This Row],[Aboard]],0)</f>
        <v>1</v>
      </c>
      <c r="X2634" s="51" t="str" cm="1">
        <f t="array" ref="X2634">_xlfn.IFS(Tabla1[[#This Row],[Porcentaje de muertes]]&lt;0.35,"LEVE",AND(Tabla1[[#This Row],[Porcentaje de muertes]]&gt;0.35,Tabla1[[#This Row],[Porcentaje de muertes]]&lt;0.65),"MEDIO",Tabla1[[#This Row],[Porcentaje de muertes]]&gt;0.65,"GRAVE")</f>
        <v>GRAVE</v>
      </c>
    </row>
    <row r="2635" spans="2:24" x14ac:dyDescent="0.3">
      <c r="B2635" s="9">
        <v>2634</v>
      </c>
      <c r="C2635" s="49">
        <v>26620</v>
      </c>
      <c r="D2635" s="9">
        <f>YEAR(Tabla1[[#This Row],[Date]])</f>
        <v>1972</v>
      </c>
      <c r="E2635" s="9" t="str" cm="1">
        <f t="array" ref="E2635">IFERROR(_xlfn.IFS(AND(D2635&lt;1980,D2635&gt;=1970),"70",AND(D2635&lt;1990,D2635&gt;=1980),"80",AND(D2635&lt;2000,D2635&gt;=1990),"90",AND(D2635&lt;2010,D2635&gt;=2000),"00",AND(D2635&lt;=2019,D2635&gt;=2010),"10"),"1908-1970")</f>
        <v>70</v>
      </c>
      <c r="F2635" s="3">
        <v>0.97222222222222221</v>
      </c>
      <c r="G2635" t="s">
        <v>16644</v>
      </c>
      <c r="H2635" t="s">
        <v>16645</v>
      </c>
      <c r="I2635" t="s">
        <v>28931</v>
      </c>
      <c r="J2635" t="s">
        <v>16646</v>
      </c>
      <c r="K2635" t="s">
        <v>16647</v>
      </c>
      <c r="L2635" s="7" t="s">
        <v>16648</v>
      </c>
      <c r="M2635" t="s">
        <v>16649</v>
      </c>
      <c r="N2635">
        <v>11</v>
      </c>
      <c r="O2635">
        <v>10</v>
      </c>
      <c r="P2635">
        <v>1</v>
      </c>
      <c r="Q2635">
        <v>11</v>
      </c>
      <c r="R2635">
        <v>10</v>
      </c>
      <c r="S2635">
        <v>1</v>
      </c>
      <c r="T2635">
        <v>0</v>
      </c>
      <c r="U2635" t="s">
        <v>16650</v>
      </c>
      <c r="V2635">
        <f>Tabla1[[#This Row],[Aboard]]-Tabla1[[#This Row],[Fatalities]]</f>
        <v>0</v>
      </c>
      <c r="W2635" s="50">
        <f>IFERROR(Tabla1[[#This Row],[Fatalities]]/Tabla1[[#This Row],[Aboard]],0)</f>
        <v>1</v>
      </c>
      <c r="X2635" s="51" t="str" cm="1">
        <f t="array" ref="X2635">_xlfn.IFS(Tabla1[[#This Row],[Porcentaje de muertes]]&lt;0.35,"LEVE",AND(Tabla1[[#This Row],[Porcentaje de muertes]]&gt;0.35,Tabla1[[#This Row],[Porcentaje de muertes]]&lt;0.65),"MEDIO",Tabla1[[#This Row],[Porcentaje de muertes]]&gt;0.65,"GRAVE")</f>
        <v>GRAVE</v>
      </c>
    </row>
    <row r="2636" spans="2:24" x14ac:dyDescent="0.3">
      <c r="B2636" s="9">
        <v>2635</v>
      </c>
      <c r="C2636" s="49">
        <v>26631</v>
      </c>
      <c r="D2636" s="9">
        <f>YEAR(Tabla1[[#This Row],[Date]])</f>
        <v>1972</v>
      </c>
      <c r="E2636" s="9" t="str" cm="1">
        <f t="array" ref="E2636">IFERROR(_xlfn.IFS(AND(D2636&lt;1980,D2636&gt;=1970),"70",AND(D2636&lt;1990,D2636&gt;=1980),"80",AND(D2636&lt;2000,D2636&gt;=1990),"90",AND(D2636&lt;2010,D2636&gt;=2000),"00",AND(D2636&lt;=2019,D2636&gt;=2010),"10"),"1908-1970")</f>
        <v>70</v>
      </c>
      <c r="F2636" s="3">
        <v>0.82708333333333339</v>
      </c>
      <c r="G2636" t="s">
        <v>6590</v>
      </c>
      <c r="H2636" t="s">
        <v>10695</v>
      </c>
      <c r="I2636">
        <v>446</v>
      </c>
      <c r="J2636" t="s">
        <v>16651</v>
      </c>
      <c r="K2636" t="s">
        <v>15354</v>
      </c>
      <c r="L2636" s="7" t="s">
        <v>16652</v>
      </c>
      <c r="M2636" t="s">
        <v>16653</v>
      </c>
      <c r="N2636">
        <v>76</v>
      </c>
      <c r="O2636">
        <v>61</v>
      </c>
      <c r="P2636">
        <v>15</v>
      </c>
      <c r="Q2636">
        <v>62</v>
      </c>
      <c r="R2636">
        <v>53</v>
      </c>
      <c r="S2636">
        <v>9</v>
      </c>
      <c r="T2636">
        <v>0</v>
      </c>
      <c r="U2636" t="s">
        <v>16654</v>
      </c>
      <c r="V2636">
        <f>Tabla1[[#This Row],[Aboard]]-Tabla1[[#This Row],[Fatalities]]</f>
        <v>14</v>
      </c>
      <c r="W2636" s="50">
        <f>IFERROR(Tabla1[[#This Row],[Fatalities]]/Tabla1[[#This Row],[Aboard]],0)</f>
        <v>0.81578947368421051</v>
      </c>
      <c r="X2636" s="51" t="str" cm="1">
        <f t="array" ref="X2636">_xlfn.IFS(Tabla1[[#This Row],[Porcentaje de muertes]]&lt;0.35,"LEVE",AND(Tabla1[[#This Row],[Porcentaje de muertes]]&gt;0.35,Tabla1[[#This Row],[Porcentaje de muertes]]&lt;0.65),"MEDIO",Tabla1[[#This Row],[Porcentaje de muertes]]&gt;0.65,"GRAVE")</f>
        <v>GRAVE</v>
      </c>
    </row>
    <row r="2637" spans="2:24" x14ac:dyDescent="0.3">
      <c r="B2637" s="9">
        <v>2636</v>
      </c>
      <c r="C2637" s="49">
        <v>26370</v>
      </c>
      <c r="D2637" s="9">
        <f>YEAR(Tabla1[[#This Row],[Date]])</f>
        <v>1972</v>
      </c>
      <c r="E2637" s="9" t="str" cm="1">
        <f t="array" ref="E2637">IFERROR(_xlfn.IFS(AND(D2637&lt;1980,D2637&gt;=1970),"70",AND(D2637&lt;1990,D2637&gt;=1980),"80",AND(D2637&lt;2000,D2637&gt;=1990),"90",AND(D2637&lt;2010,D2637&gt;=2000),"00",AND(D2637&lt;=2019,D2637&gt;=2010),"10"),"1908-1970")</f>
        <v>70</v>
      </c>
      <c r="F2637" s="3">
        <v>0.31458333333333333</v>
      </c>
      <c r="G2637" t="s">
        <v>16655</v>
      </c>
      <c r="H2637" t="s">
        <v>14549</v>
      </c>
      <c r="I2637" t="s">
        <v>28931</v>
      </c>
      <c r="J2637" t="s">
        <v>16656</v>
      </c>
      <c r="K2637" t="s">
        <v>16657</v>
      </c>
      <c r="L2637" s="7" t="s">
        <v>16658</v>
      </c>
      <c r="M2637" s="4">
        <v>45960</v>
      </c>
      <c r="N2637">
        <v>155</v>
      </c>
      <c r="O2637">
        <v>148</v>
      </c>
      <c r="P2637">
        <v>7</v>
      </c>
      <c r="Q2637">
        <v>155</v>
      </c>
      <c r="R2637">
        <v>148</v>
      </c>
      <c r="S2637">
        <v>7</v>
      </c>
      <c r="T2637">
        <v>0</v>
      </c>
      <c r="U2637" t="s">
        <v>16659</v>
      </c>
      <c r="V2637">
        <f>Tabla1[[#This Row],[Aboard]]-Tabla1[[#This Row],[Fatalities]]</f>
        <v>0</v>
      </c>
      <c r="W2637" s="50">
        <f>IFERROR(Tabla1[[#This Row],[Fatalities]]/Tabla1[[#This Row],[Aboard]],0)</f>
        <v>1</v>
      </c>
      <c r="X2637" s="51" t="str" cm="1">
        <f t="array" ref="X2637">_xlfn.IFS(Tabla1[[#This Row],[Porcentaje de muertes]]&lt;0.35,"LEVE",AND(Tabla1[[#This Row],[Porcentaje de muertes]]&gt;0.35,Tabla1[[#This Row],[Porcentaje de muertes]]&lt;0.65),"MEDIO",Tabla1[[#This Row],[Porcentaje de muertes]]&gt;0.65,"GRAVE")</f>
        <v>GRAVE</v>
      </c>
    </row>
    <row r="2638" spans="2:24" x14ac:dyDescent="0.3">
      <c r="B2638" s="9">
        <v>2637</v>
      </c>
      <c r="C2638" s="49">
        <v>26523</v>
      </c>
      <c r="D2638" s="9">
        <f>YEAR(Tabla1[[#This Row],[Date]])</f>
        <v>1972</v>
      </c>
      <c r="E2638" s="9" t="str" cm="1">
        <f t="array" ref="E2638">IFERROR(_xlfn.IFS(AND(D2638&lt;1980,D2638&gt;=1970),"70",AND(D2638&lt;1990,D2638&gt;=1980),"80",AND(D2638&lt;2000,D2638&gt;=1990),"90",AND(D2638&lt;2010,D2638&gt;=2000),"00",AND(D2638&lt;=2019,D2638&gt;=2010),"10"),"1908-1970")</f>
        <v>70</v>
      </c>
      <c r="F2638" s="3">
        <v>0.51041666666666663</v>
      </c>
      <c r="G2638" t="s">
        <v>16660</v>
      </c>
      <c r="H2638" t="s">
        <v>11736</v>
      </c>
      <c r="I2638">
        <v>631</v>
      </c>
      <c r="J2638" t="s">
        <v>16661</v>
      </c>
      <c r="K2638" t="s">
        <v>14933</v>
      </c>
      <c r="L2638" s="7" t="s">
        <v>16662</v>
      </c>
      <c r="M2638">
        <v>10314</v>
      </c>
      <c r="N2638">
        <v>26</v>
      </c>
      <c r="O2638">
        <v>22</v>
      </c>
      <c r="P2638">
        <v>4</v>
      </c>
      <c r="Q2638">
        <v>26</v>
      </c>
      <c r="R2638">
        <v>22</v>
      </c>
      <c r="S2638">
        <v>4</v>
      </c>
      <c r="T2638">
        <v>0</v>
      </c>
      <c r="U2638" t="s">
        <v>16663</v>
      </c>
      <c r="V2638">
        <f>Tabla1[[#This Row],[Aboard]]-Tabla1[[#This Row],[Fatalities]]</f>
        <v>0</v>
      </c>
      <c r="W2638" s="50">
        <f>IFERROR(Tabla1[[#This Row],[Fatalities]]/Tabla1[[#This Row],[Aboard]],0)</f>
        <v>1</v>
      </c>
      <c r="X2638" s="51" t="str" cm="1">
        <f t="array" ref="X2638">_xlfn.IFS(Tabla1[[#This Row],[Porcentaje de muertes]]&lt;0.35,"LEVE",AND(Tabla1[[#This Row],[Porcentaje de muertes]]&gt;0.35,Tabla1[[#This Row],[Porcentaje de muertes]]&lt;0.65),"MEDIO",Tabla1[[#This Row],[Porcentaje de muertes]]&gt;0.65,"GRAVE")</f>
        <v>GRAVE</v>
      </c>
    </row>
    <row r="2639" spans="2:24" x14ac:dyDescent="0.3">
      <c r="B2639" s="9">
        <v>2638</v>
      </c>
      <c r="C2639" s="49">
        <v>26523</v>
      </c>
      <c r="D2639" s="9">
        <f>YEAR(Tabla1[[#This Row],[Date]])</f>
        <v>1972</v>
      </c>
      <c r="E2639" s="9" t="str" cm="1">
        <f t="array" ref="E2639">IFERROR(_xlfn.IFS(AND(D2639&lt;1980,D2639&gt;=1970),"70",AND(D2639&lt;1990,D2639&gt;=1980),"80",AND(D2639&lt;2000,D2639&gt;=1990),"90",AND(D2639&lt;2010,D2639&gt;=2000),"00",AND(D2639&lt;=2019,D2639&gt;=2010),"10"),"1908-1970")</f>
        <v>70</v>
      </c>
      <c r="F2639" s="3">
        <v>0.60277777777777775</v>
      </c>
      <c r="G2639" t="s">
        <v>16664</v>
      </c>
      <c r="H2639" t="s">
        <v>6369</v>
      </c>
      <c r="I2639">
        <v>553</v>
      </c>
      <c r="J2639" t="s">
        <v>16665</v>
      </c>
      <c r="K2639" t="s">
        <v>16666</v>
      </c>
      <c r="L2639" s="7" t="s">
        <v>16667</v>
      </c>
      <c r="M2639" t="s">
        <v>16668</v>
      </c>
      <c r="N2639">
        <v>61</v>
      </c>
      <c r="O2639">
        <v>55</v>
      </c>
      <c r="P2639">
        <v>6</v>
      </c>
      <c r="Q2639">
        <v>43</v>
      </c>
      <c r="R2639">
        <v>40</v>
      </c>
      <c r="S2639">
        <v>3</v>
      </c>
      <c r="T2639">
        <v>2</v>
      </c>
      <c r="U2639" t="s">
        <v>16669</v>
      </c>
      <c r="V2639">
        <f>Tabla1[[#This Row],[Aboard]]-Tabla1[[#This Row],[Fatalities]]</f>
        <v>18</v>
      </c>
      <c r="W2639" s="50">
        <f>IFERROR(Tabla1[[#This Row],[Fatalities]]/Tabla1[[#This Row],[Aboard]],0)</f>
        <v>0.70491803278688525</v>
      </c>
      <c r="X2639" s="51" t="str" cm="1">
        <f t="array" ref="X2639">_xlfn.IFS(Tabla1[[#This Row],[Porcentaje de muertes]]&lt;0.35,"LEVE",AND(Tabla1[[#This Row],[Porcentaje de muertes]]&gt;0.35,Tabla1[[#This Row],[Porcentaje de muertes]]&lt;0.65),"MEDIO",Tabla1[[#This Row],[Porcentaje de muertes]]&gt;0.65,"GRAVE")</f>
        <v>GRAVE</v>
      </c>
    </row>
    <row r="2640" spans="2:24" x14ac:dyDescent="0.3">
      <c r="B2640" s="9">
        <v>2639</v>
      </c>
      <c r="C2640" s="49">
        <v>26653</v>
      </c>
      <c r="D2640" s="9">
        <f>YEAR(Tabla1[[#This Row],[Date]])</f>
        <v>1972</v>
      </c>
      <c r="E2640" s="9" t="str" cm="1">
        <f t="array" ref="E2640">IFERROR(_xlfn.IFS(AND(D2640&lt;1980,D2640&gt;=1970),"70",AND(D2640&lt;1990,D2640&gt;=1980),"80",AND(D2640&lt;2000,D2640&gt;=1990),"90",AND(D2640&lt;2010,D2640&gt;=2000),"00",AND(D2640&lt;=2019,D2640&gt;=2010),"10"),"1908-1970")</f>
        <v>70</v>
      </c>
      <c r="F2640" s="3">
        <v>0.75</v>
      </c>
      <c r="G2640" t="s">
        <v>5103</v>
      </c>
      <c r="H2640" t="s">
        <v>16670</v>
      </c>
      <c r="I2640" t="s">
        <v>16671</v>
      </c>
      <c r="J2640" t="s">
        <v>16672</v>
      </c>
      <c r="K2640" t="s">
        <v>16673</v>
      </c>
      <c r="L2640" s="7" t="s">
        <v>16674</v>
      </c>
      <c r="M2640" t="s">
        <v>16675</v>
      </c>
      <c r="N2640">
        <v>133</v>
      </c>
      <c r="O2640">
        <v>122</v>
      </c>
      <c r="P2640">
        <v>11</v>
      </c>
      <c r="Q2640">
        <v>10</v>
      </c>
      <c r="R2640">
        <v>10</v>
      </c>
      <c r="S2640">
        <v>0</v>
      </c>
      <c r="T2640">
        <v>0</v>
      </c>
      <c r="U2640" t="s">
        <v>16676</v>
      </c>
      <c r="V2640">
        <f>Tabla1[[#This Row],[Aboard]]-Tabla1[[#This Row],[Fatalities]]</f>
        <v>123</v>
      </c>
      <c r="W2640" s="50">
        <f>IFERROR(Tabla1[[#This Row],[Fatalities]]/Tabla1[[#This Row],[Aboard]],0)</f>
        <v>7.5187969924812026E-2</v>
      </c>
      <c r="X2640" s="51" t="str" cm="1">
        <f t="array" ref="X2640">_xlfn.IFS(Tabla1[[#This Row],[Porcentaje de muertes]]&lt;0.35,"LEVE",AND(Tabla1[[#This Row],[Porcentaje de muertes]]&gt;0.35,Tabla1[[#This Row],[Porcentaje de muertes]]&lt;0.65),"MEDIO",Tabla1[[#This Row],[Porcentaje de muertes]]&gt;0.65,"GRAVE")</f>
        <v>LEVE</v>
      </c>
    </row>
    <row r="2641" spans="2:24" x14ac:dyDescent="0.3">
      <c r="B2641" s="9">
        <v>2640</v>
      </c>
      <c r="C2641" s="49">
        <v>26654</v>
      </c>
      <c r="D2641" s="9">
        <f>YEAR(Tabla1[[#This Row],[Date]])</f>
        <v>1972</v>
      </c>
      <c r="E2641" s="9" t="str" cm="1">
        <f t="array" ref="E2641">IFERROR(_xlfn.IFS(AND(D2641&lt;1980,D2641&gt;=1970),"70",AND(D2641&lt;1990,D2641&gt;=1980),"80",AND(D2641&lt;2000,D2641&gt;=1990),"90",AND(D2641&lt;2010,D2641&gt;=2000),"00",AND(D2641&lt;=2019,D2641&gt;=2010),"10"),"1908-1970")</f>
        <v>70</v>
      </c>
      <c r="F2641" s="3" t="s">
        <v>28931</v>
      </c>
      <c r="G2641" t="s">
        <v>16677</v>
      </c>
      <c r="H2641" t="s">
        <v>16678</v>
      </c>
      <c r="I2641" t="s">
        <v>28931</v>
      </c>
      <c r="J2641" t="s">
        <v>16679</v>
      </c>
      <c r="K2641" t="s">
        <v>16680</v>
      </c>
      <c r="L2641" s="7" t="s">
        <v>16681</v>
      </c>
      <c r="M2641">
        <v>258</v>
      </c>
      <c r="N2641">
        <v>13</v>
      </c>
      <c r="O2641">
        <v>11</v>
      </c>
      <c r="P2641">
        <v>2</v>
      </c>
      <c r="Q2641">
        <v>13</v>
      </c>
      <c r="R2641">
        <v>11</v>
      </c>
      <c r="S2641">
        <v>2</v>
      </c>
      <c r="T2641">
        <v>0</v>
      </c>
      <c r="U2641" t="s">
        <v>16682</v>
      </c>
      <c r="V2641">
        <f>Tabla1[[#This Row],[Aboard]]-Tabla1[[#This Row],[Fatalities]]</f>
        <v>0</v>
      </c>
      <c r="W2641" s="50">
        <f>IFERROR(Tabla1[[#This Row],[Fatalities]]/Tabla1[[#This Row],[Aboard]],0)</f>
        <v>1</v>
      </c>
      <c r="X2641" s="51" t="str" cm="1">
        <f t="array" ref="X2641">_xlfn.IFS(Tabla1[[#This Row],[Porcentaje de muertes]]&lt;0.35,"LEVE",AND(Tabla1[[#This Row],[Porcentaje de muertes]]&gt;0.35,Tabla1[[#This Row],[Porcentaje de muertes]]&lt;0.65),"MEDIO",Tabla1[[#This Row],[Porcentaje de muertes]]&gt;0.65,"GRAVE")</f>
        <v>GRAVE</v>
      </c>
    </row>
    <row r="2642" spans="2:24" x14ac:dyDescent="0.3">
      <c r="B2642" s="9">
        <v>2641</v>
      </c>
      <c r="C2642" s="49">
        <v>26656</v>
      </c>
      <c r="D2642" s="9">
        <f>YEAR(Tabla1[[#This Row],[Date]])</f>
        <v>1972</v>
      </c>
      <c r="E2642" s="9" t="str" cm="1">
        <f t="array" ref="E2642">IFERROR(_xlfn.IFS(AND(D2642&lt;1980,D2642&gt;=1970),"70",AND(D2642&lt;1990,D2642&gt;=1980),"80",AND(D2642&lt;2000,D2642&gt;=1990),"90",AND(D2642&lt;2010,D2642&gt;=2000),"00",AND(D2642&lt;=2019,D2642&gt;=2010),"10"),"1908-1970")</f>
        <v>70</v>
      </c>
      <c r="F2642" s="3">
        <v>0.69027777777777777</v>
      </c>
      <c r="G2642" t="s">
        <v>16683</v>
      </c>
      <c r="H2642" t="s">
        <v>11882</v>
      </c>
      <c r="I2642" t="s">
        <v>28931</v>
      </c>
      <c r="J2642" t="s">
        <v>16684</v>
      </c>
      <c r="K2642" t="s">
        <v>16685</v>
      </c>
      <c r="L2642" s="7" t="s">
        <v>16686</v>
      </c>
      <c r="M2642">
        <v>11011</v>
      </c>
      <c r="N2642">
        <v>45</v>
      </c>
      <c r="O2642">
        <v>42</v>
      </c>
      <c r="P2642">
        <v>3</v>
      </c>
      <c r="Q2642">
        <v>40</v>
      </c>
      <c r="R2642">
        <v>37</v>
      </c>
      <c r="S2642">
        <v>3</v>
      </c>
      <c r="T2642">
        <v>0</v>
      </c>
      <c r="U2642" t="s">
        <v>16687</v>
      </c>
      <c r="V2642">
        <f>Tabla1[[#This Row],[Aboard]]-Tabla1[[#This Row],[Fatalities]]</f>
        <v>5</v>
      </c>
      <c r="W2642" s="50">
        <f>IFERROR(Tabla1[[#This Row],[Fatalities]]/Tabla1[[#This Row],[Aboard]],0)</f>
        <v>0.88888888888888884</v>
      </c>
      <c r="X2642" s="51" t="str" cm="1">
        <f t="array" ref="X2642">_xlfn.IFS(Tabla1[[#This Row],[Porcentaje de muertes]]&lt;0.35,"LEVE",AND(Tabla1[[#This Row],[Porcentaje de muertes]]&gt;0.35,Tabla1[[#This Row],[Porcentaje de muertes]]&lt;0.65),"MEDIO",Tabla1[[#This Row],[Porcentaje de muertes]]&gt;0.65,"GRAVE")</f>
        <v>GRAVE</v>
      </c>
    </row>
    <row r="2643" spans="2:24" x14ac:dyDescent="0.3">
      <c r="B2643" s="9">
        <v>2642</v>
      </c>
      <c r="C2643" s="49">
        <v>26662</v>
      </c>
      <c r="D2643" s="9">
        <f>YEAR(Tabla1[[#This Row],[Date]])</f>
        <v>1972</v>
      </c>
      <c r="E2643" s="9" t="str" cm="1">
        <f t="array" ref="E2643">IFERROR(_xlfn.IFS(AND(D2643&lt;1980,D2643&gt;=1970),"70",AND(D2643&lt;1990,D2643&gt;=1980),"80",AND(D2643&lt;2000,D2643&gt;=1990),"90",AND(D2643&lt;2010,D2643&gt;=2000),"00",AND(D2643&lt;=2019,D2643&gt;=2010),"10"),"1908-1970")</f>
        <v>70</v>
      </c>
      <c r="F2643" s="3">
        <v>0.98749999999999993</v>
      </c>
      <c r="G2643" t="s">
        <v>16688</v>
      </c>
      <c r="H2643" t="s">
        <v>6941</v>
      </c>
      <c r="I2643">
        <v>401</v>
      </c>
      <c r="J2643" t="s">
        <v>11964</v>
      </c>
      <c r="K2643" t="s">
        <v>16689</v>
      </c>
      <c r="L2643" s="7" t="s">
        <v>16690</v>
      </c>
      <c r="M2643">
        <v>1011</v>
      </c>
      <c r="N2643">
        <v>176</v>
      </c>
      <c r="O2643">
        <v>163</v>
      </c>
      <c r="P2643">
        <v>13</v>
      </c>
      <c r="Q2643">
        <v>103</v>
      </c>
      <c r="R2643">
        <v>97</v>
      </c>
      <c r="S2643">
        <v>6</v>
      </c>
      <c r="T2643">
        <v>0</v>
      </c>
      <c r="U2643" t="s">
        <v>16691</v>
      </c>
      <c r="V2643">
        <f>Tabla1[[#This Row],[Aboard]]-Tabla1[[#This Row],[Fatalities]]</f>
        <v>73</v>
      </c>
      <c r="W2643" s="50">
        <f>IFERROR(Tabla1[[#This Row],[Fatalities]]/Tabla1[[#This Row],[Aboard]],0)</f>
        <v>0.58522727272727271</v>
      </c>
      <c r="X2643" s="51" t="str" cm="1">
        <f t="array" ref="X2643">_xlfn.IFS(Tabla1[[#This Row],[Porcentaje de muertes]]&lt;0.35,"LEVE",AND(Tabla1[[#This Row],[Porcentaje de muertes]]&gt;0.35,Tabla1[[#This Row],[Porcentaje de muertes]]&lt;0.65),"MEDIO",Tabla1[[#This Row],[Porcentaje de muertes]]&gt;0.65,"GRAVE")</f>
        <v>MEDIO</v>
      </c>
    </row>
    <row r="2644" spans="2:24" x14ac:dyDescent="0.3">
      <c r="B2644" s="9">
        <v>2643</v>
      </c>
      <c r="C2644" s="49">
        <v>26664</v>
      </c>
      <c r="D2644" s="9">
        <f>YEAR(Tabla1[[#This Row],[Date]])</f>
        <v>1972</v>
      </c>
      <c r="E2644" s="9" t="str" cm="1">
        <f t="array" ref="E2644">IFERROR(_xlfn.IFS(AND(D2644&lt;1980,D2644&gt;=1970),"70",AND(D2644&lt;1990,D2644&gt;=1980),"80",AND(D2644&lt;2000,D2644&gt;=1990),"90",AND(D2644&lt;2010,D2644&gt;=2000),"00",AND(D2644&lt;=2019,D2644&gt;=2010),"10"),"1908-1970")</f>
        <v>70</v>
      </c>
      <c r="F2644" s="3">
        <v>0.80763888888888891</v>
      </c>
      <c r="G2644" t="s">
        <v>7687</v>
      </c>
      <c r="H2644" t="s">
        <v>16692</v>
      </c>
      <c r="I2644" t="s">
        <v>28931</v>
      </c>
      <c r="J2644" t="s">
        <v>16693</v>
      </c>
      <c r="K2644" t="s">
        <v>13866</v>
      </c>
      <c r="L2644" s="7" t="s">
        <v>16694</v>
      </c>
      <c r="M2644" t="s">
        <v>16695</v>
      </c>
      <c r="N2644">
        <v>5</v>
      </c>
      <c r="O2644">
        <v>2</v>
      </c>
      <c r="P2644">
        <v>3</v>
      </c>
      <c r="Q2644">
        <v>5</v>
      </c>
      <c r="R2644">
        <v>2</v>
      </c>
      <c r="S2644">
        <v>3</v>
      </c>
      <c r="T2644">
        <v>0</v>
      </c>
      <c r="U2644" t="s">
        <v>16696</v>
      </c>
      <c r="V2644">
        <f>Tabla1[[#This Row],[Aboard]]-Tabla1[[#This Row],[Fatalities]]</f>
        <v>0</v>
      </c>
      <c r="W2644" s="50">
        <f>IFERROR(Tabla1[[#This Row],[Fatalities]]/Tabla1[[#This Row],[Aboard]],0)</f>
        <v>1</v>
      </c>
      <c r="X2644" s="51" t="str" cm="1">
        <f t="array" ref="X2644">_xlfn.IFS(Tabla1[[#This Row],[Porcentaje de muertes]]&lt;0.35,"LEVE",AND(Tabla1[[#This Row],[Porcentaje de muertes]]&gt;0.35,Tabla1[[#This Row],[Porcentaje de muertes]]&lt;0.65),"MEDIO",Tabla1[[#This Row],[Porcentaje de muertes]]&gt;0.65,"GRAVE")</f>
        <v>GRAVE</v>
      </c>
    </row>
    <row r="2645" spans="2:24" x14ac:dyDescent="0.3">
      <c r="B2645" s="9">
        <v>2644</v>
      </c>
      <c r="C2645" s="49">
        <v>26696</v>
      </c>
      <c r="D2645" s="9">
        <f>YEAR(Tabla1[[#This Row],[Date]])</f>
        <v>1973</v>
      </c>
      <c r="E2645" s="9" t="str" cm="1">
        <f t="array" ref="E2645">IFERROR(_xlfn.IFS(AND(D2645&lt;1980,D2645&gt;=1970),"70",AND(D2645&lt;1990,D2645&gt;=1980),"80",AND(D2645&lt;2000,D2645&gt;=1990),"90",AND(D2645&lt;2010,D2645&gt;=2000),"00",AND(D2645&lt;=2019,D2645&gt;=2010),"10"),"1908-1970")</f>
        <v>70</v>
      </c>
      <c r="F2645" s="3">
        <v>0.35694444444444445</v>
      </c>
      <c r="G2645" t="s">
        <v>5962</v>
      </c>
      <c r="H2645" t="s">
        <v>11615</v>
      </c>
      <c r="I2645" t="s">
        <v>28931</v>
      </c>
      <c r="J2645" t="s">
        <v>16697</v>
      </c>
      <c r="K2645" t="s">
        <v>16698</v>
      </c>
      <c r="L2645" s="7" t="s">
        <v>16699</v>
      </c>
      <c r="M2645" t="s">
        <v>16700</v>
      </c>
      <c r="N2645">
        <v>5</v>
      </c>
      <c r="O2645">
        <v>0</v>
      </c>
      <c r="P2645">
        <v>5</v>
      </c>
      <c r="Q2645">
        <v>5</v>
      </c>
      <c r="R2645">
        <v>0</v>
      </c>
      <c r="S2645">
        <v>5</v>
      </c>
      <c r="T2645">
        <v>0</v>
      </c>
      <c r="U2645" t="s">
        <v>16701</v>
      </c>
      <c r="V2645">
        <f>Tabla1[[#This Row],[Aboard]]-Tabla1[[#This Row],[Fatalities]]</f>
        <v>0</v>
      </c>
      <c r="W2645" s="50">
        <f>IFERROR(Tabla1[[#This Row],[Fatalities]]/Tabla1[[#This Row],[Aboard]],0)</f>
        <v>1</v>
      </c>
      <c r="X2645" s="51" t="str" cm="1">
        <f t="array" ref="X2645">_xlfn.IFS(Tabla1[[#This Row],[Porcentaje de muertes]]&lt;0.35,"LEVE",AND(Tabla1[[#This Row],[Porcentaje de muertes]]&gt;0.35,Tabla1[[#This Row],[Porcentaje de muertes]]&lt;0.65),"MEDIO",Tabla1[[#This Row],[Porcentaje de muertes]]&gt;0.65,"GRAVE")</f>
        <v>GRAVE</v>
      </c>
    </row>
    <row r="2646" spans="2:24" x14ac:dyDescent="0.3">
      <c r="B2646" s="9">
        <v>2645</v>
      </c>
      <c r="C2646" s="49">
        <v>26683</v>
      </c>
      <c r="D2646" s="9">
        <f>YEAR(Tabla1[[#This Row],[Date]])</f>
        <v>1973</v>
      </c>
      <c r="E2646" s="9" t="str" cm="1">
        <f t="array" ref="E2646">IFERROR(_xlfn.IFS(AND(D2646&lt;1980,D2646&gt;=1970),"70",AND(D2646&lt;1990,D2646&gt;=1980),"80",AND(D2646&lt;2000,D2646&gt;=1990),"90",AND(D2646&lt;2010,D2646&gt;=2000),"00",AND(D2646&lt;=2019,D2646&gt;=2010),"10"),"1908-1970")</f>
        <v>70</v>
      </c>
      <c r="F2646" s="3">
        <v>0.60486111111111118</v>
      </c>
      <c r="G2646" t="s">
        <v>16702</v>
      </c>
      <c r="H2646" t="s">
        <v>8721</v>
      </c>
      <c r="I2646" t="s">
        <v>28931</v>
      </c>
      <c r="J2646" t="s">
        <v>5028</v>
      </c>
      <c r="K2646" t="s">
        <v>12161</v>
      </c>
      <c r="L2646" s="7" t="s">
        <v>16703</v>
      </c>
      <c r="M2646">
        <v>158</v>
      </c>
      <c r="N2646">
        <v>4</v>
      </c>
      <c r="O2646">
        <v>2</v>
      </c>
      <c r="P2646">
        <v>2</v>
      </c>
      <c r="Q2646">
        <v>4</v>
      </c>
      <c r="R2646">
        <v>2</v>
      </c>
      <c r="S2646">
        <v>2</v>
      </c>
      <c r="T2646">
        <v>0</v>
      </c>
      <c r="U2646" t="s">
        <v>16704</v>
      </c>
      <c r="V2646">
        <f>Tabla1[[#This Row],[Aboard]]-Tabla1[[#This Row],[Fatalities]]</f>
        <v>0</v>
      </c>
      <c r="W2646" s="50">
        <f>IFERROR(Tabla1[[#This Row],[Fatalities]]/Tabla1[[#This Row],[Aboard]],0)</f>
        <v>1</v>
      </c>
      <c r="X2646" s="51" t="str" cm="1">
        <f t="array" ref="X2646">_xlfn.IFS(Tabla1[[#This Row],[Porcentaje de muertes]]&lt;0.35,"LEVE",AND(Tabla1[[#This Row],[Porcentaje de muertes]]&gt;0.35,Tabla1[[#This Row],[Porcentaje de muertes]]&lt;0.65),"MEDIO",Tabla1[[#This Row],[Porcentaje de muertes]]&gt;0.65,"GRAVE")</f>
        <v>GRAVE</v>
      </c>
    </row>
    <row r="2647" spans="2:24" x14ac:dyDescent="0.3">
      <c r="B2647" s="9">
        <v>2646</v>
      </c>
      <c r="C2647" s="49">
        <v>26685</v>
      </c>
      <c r="D2647" s="9">
        <f>YEAR(Tabla1[[#This Row],[Date]])</f>
        <v>1973</v>
      </c>
      <c r="E2647" s="9" t="str" cm="1">
        <f t="array" ref="E2647">IFERROR(_xlfn.IFS(AND(D2647&lt;1980,D2647&gt;=1970),"70",AND(D2647&lt;1990,D2647&gt;=1980),"80",AND(D2647&lt;2000,D2647&gt;=1990),"90",AND(D2647&lt;2010,D2647&gt;=2000),"00",AND(D2647&lt;=2019,D2647&gt;=2010),"10"),"1908-1970")</f>
        <v>70</v>
      </c>
      <c r="F2647" s="3">
        <v>0.99722222222222223</v>
      </c>
      <c r="G2647" t="s">
        <v>16705</v>
      </c>
      <c r="H2647" t="s">
        <v>6541</v>
      </c>
      <c r="I2647" t="s">
        <v>28931</v>
      </c>
      <c r="J2647" t="s">
        <v>16706</v>
      </c>
      <c r="K2647" t="s">
        <v>15111</v>
      </c>
      <c r="L2647" s="7" t="s">
        <v>16707</v>
      </c>
      <c r="M2647">
        <v>77303609</v>
      </c>
      <c r="N2647">
        <v>39</v>
      </c>
      <c r="O2647">
        <v>34</v>
      </c>
      <c r="P2647">
        <v>5</v>
      </c>
      <c r="Q2647">
        <v>39</v>
      </c>
      <c r="R2647">
        <v>34</v>
      </c>
      <c r="S2647">
        <v>5</v>
      </c>
      <c r="T2647">
        <v>0</v>
      </c>
      <c r="U2647" t="s">
        <v>16708</v>
      </c>
      <c r="V2647">
        <f>Tabla1[[#This Row],[Aboard]]-Tabla1[[#This Row],[Fatalities]]</f>
        <v>0</v>
      </c>
      <c r="W2647" s="50">
        <f>IFERROR(Tabla1[[#This Row],[Fatalities]]/Tabla1[[#This Row],[Aboard]],0)</f>
        <v>1</v>
      </c>
      <c r="X2647" s="51" t="str" cm="1">
        <f t="array" ref="X2647">_xlfn.IFS(Tabla1[[#This Row],[Porcentaje de muertes]]&lt;0.35,"LEVE",AND(Tabla1[[#This Row],[Porcentaje de muertes]]&gt;0.35,Tabla1[[#This Row],[Porcentaje de muertes]]&lt;0.65),"MEDIO",Tabla1[[#This Row],[Porcentaje de muertes]]&gt;0.65,"GRAVE")</f>
        <v>GRAVE</v>
      </c>
    </row>
    <row r="2648" spans="2:24" x14ac:dyDescent="0.3">
      <c r="B2648" s="9">
        <v>2647</v>
      </c>
      <c r="C2648" s="49">
        <v>26686</v>
      </c>
      <c r="D2648" s="9">
        <f>YEAR(Tabla1[[#This Row],[Date]])</f>
        <v>1973</v>
      </c>
      <c r="E2648" s="9" t="str" cm="1">
        <f t="array" ref="E2648">IFERROR(_xlfn.IFS(AND(D2648&lt;1980,D2648&gt;=1970),"70",AND(D2648&lt;1990,D2648&gt;=1980),"80",AND(D2648&lt;2000,D2648&gt;=1990),"90",AND(D2648&lt;2010,D2648&gt;=2000),"00",AND(D2648&lt;=2019,D2648&gt;=2010),"10"),"1908-1970")</f>
        <v>70</v>
      </c>
      <c r="F2648" s="3">
        <v>0.39583333333333331</v>
      </c>
      <c r="G2648" t="s">
        <v>11803</v>
      </c>
      <c r="H2648" t="s">
        <v>14357</v>
      </c>
      <c r="I2648" t="s">
        <v>28931</v>
      </c>
      <c r="J2648" t="s">
        <v>16709</v>
      </c>
      <c r="K2648" t="s">
        <v>16710</v>
      </c>
      <c r="L2648" s="7" t="s">
        <v>16711</v>
      </c>
      <c r="M2648" t="s">
        <v>16712</v>
      </c>
      <c r="N2648">
        <v>202</v>
      </c>
      <c r="O2648">
        <v>193</v>
      </c>
      <c r="P2648">
        <v>9</v>
      </c>
      <c r="Q2648">
        <v>176</v>
      </c>
      <c r="R2648">
        <v>170</v>
      </c>
      <c r="S2648">
        <v>6</v>
      </c>
      <c r="T2648">
        <v>0</v>
      </c>
      <c r="U2648" t="s">
        <v>16713</v>
      </c>
      <c r="V2648">
        <f>Tabla1[[#This Row],[Aboard]]-Tabla1[[#This Row],[Fatalities]]</f>
        <v>26</v>
      </c>
      <c r="W2648" s="50">
        <f>IFERROR(Tabla1[[#This Row],[Fatalities]]/Tabla1[[#This Row],[Aboard]],0)</f>
        <v>0.87128712871287128</v>
      </c>
      <c r="X2648" s="51" t="str" cm="1">
        <f t="array" ref="X2648">_xlfn.IFS(Tabla1[[#This Row],[Porcentaje de muertes]]&lt;0.35,"LEVE",AND(Tabla1[[#This Row],[Porcentaje de muertes]]&gt;0.35,Tabla1[[#This Row],[Porcentaje de muertes]]&lt;0.65),"MEDIO",Tabla1[[#This Row],[Porcentaje de muertes]]&gt;0.65,"GRAVE")</f>
        <v>GRAVE</v>
      </c>
    </row>
    <row r="2649" spans="2:24" x14ac:dyDescent="0.3">
      <c r="B2649" s="9">
        <v>2648</v>
      </c>
      <c r="C2649" s="49">
        <v>26691</v>
      </c>
      <c r="D2649" s="9">
        <f>YEAR(Tabla1[[#This Row],[Date]])</f>
        <v>1973</v>
      </c>
      <c r="E2649" s="9" t="str" cm="1">
        <f t="array" ref="E2649">IFERROR(_xlfn.IFS(AND(D2649&lt;1980,D2649&gt;=1970),"70",AND(D2649&lt;1990,D2649&gt;=1980),"80",AND(D2649&lt;2000,D2649&gt;=1990),"90",AND(D2649&lt;2010,D2649&gt;=2000),"00",AND(D2649&lt;=2019,D2649&gt;=2010),"10"),"1908-1970")</f>
        <v>70</v>
      </c>
      <c r="F2649" s="3" t="s">
        <v>28931</v>
      </c>
      <c r="G2649" t="s">
        <v>12751</v>
      </c>
      <c r="H2649" t="s">
        <v>16714</v>
      </c>
      <c r="I2649" t="s">
        <v>28931</v>
      </c>
      <c r="J2649" t="s">
        <v>16715</v>
      </c>
      <c r="K2649" t="s">
        <v>11052</v>
      </c>
      <c r="L2649" s="7" t="s">
        <v>16716</v>
      </c>
      <c r="M2649" t="s">
        <v>16717</v>
      </c>
      <c r="N2649">
        <v>3</v>
      </c>
      <c r="O2649">
        <v>0</v>
      </c>
      <c r="P2649">
        <v>3</v>
      </c>
      <c r="Q2649">
        <v>3</v>
      </c>
      <c r="R2649">
        <v>0</v>
      </c>
      <c r="S2649">
        <v>3</v>
      </c>
      <c r="T2649">
        <v>0</v>
      </c>
      <c r="U2649" t="s">
        <v>16718</v>
      </c>
      <c r="V2649">
        <f>Tabla1[[#This Row],[Aboard]]-Tabla1[[#This Row],[Fatalities]]</f>
        <v>0</v>
      </c>
      <c r="W2649" s="50">
        <f>IFERROR(Tabla1[[#This Row],[Fatalities]]/Tabla1[[#This Row],[Aboard]],0)</f>
        <v>1</v>
      </c>
      <c r="X2649" s="51" t="str" cm="1">
        <f t="array" ref="X2649">_xlfn.IFS(Tabla1[[#This Row],[Porcentaje de muertes]]&lt;0.35,"LEVE",AND(Tabla1[[#This Row],[Porcentaje de muertes]]&gt;0.35,Tabla1[[#This Row],[Porcentaje de muertes]]&lt;0.65),"MEDIO",Tabla1[[#This Row],[Porcentaje de muertes]]&gt;0.65,"GRAVE")</f>
        <v>GRAVE</v>
      </c>
    </row>
    <row r="2650" spans="2:24" x14ac:dyDescent="0.3">
      <c r="B2650" s="9">
        <v>2649</v>
      </c>
      <c r="C2650" s="49">
        <v>26693</v>
      </c>
      <c r="D2650" s="9">
        <f>YEAR(Tabla1[[#This Row],[Date]])</f>
        <v>1973</v>
      </c>
      <c r="E2650" s="9" t="str" cm="1">
        <f t="array" ref="E2650">IFERROR(_xlfn.IFS(AND(D2650&lt;1980,D2650&gt;=1970),"70",AND(D2650&lt;1990,D2650&gt;=1980),"80",AND(D2650&lt;2000,D2650&gt;=1990),"90",AND(D2650&lt;2010,D2650&gt;=2000),"00",AND(D2650&lt;=2019,D2650&gt;=2010),"10"),"1908-1970")</f>
        <v>70</v>
      </c>
      <c r="F2650" s="3" t="s">
        <v>28931</v>
      </c>
      <c r="G2650" t="s">
        <v>16719</v>
      </c>
      <c r="H2650" t="s">
        <v>16396</v>
      </c>
      <c r="I2650">
        <v>741</v>
      </c>
      <c r="J2650" t="s">
        <v>16720</v>
      </c>
      <c r="K2650" t="s">
        <v>13704</v>
      </c>
      <c r="L2650" s="7" t="s">
        <v>16721</v>
      </c>
      <c r="M2650">
        <v>188011101</v>
      </c>
      <c r="N2650">
        <v>37</v>
      </c>
      <c r="O2650">
        <v>30</v>
      </c>
      <c r="P2650">
        <v>7</v>
      </c>
      <c r="Q2650">
        <v>37</v>
      </c>
      <c r="R2650">
        <v>30</v>
      </c>
      <c r="S2650">
        <v>7</v>
      </c>
      <c r="T2650">
        <v>0</v>
      </c>
      <c r="U2650" t="s">
        <v>16722</v>
      </c>
      <c r="V2650">
        <f>Tabla1[[#This Row],[Aboard]]-Tabla1[[#This Row],[Fatalities]]</f>
        <v>0</v>
      </c>
      <c r="W2650" s="50">
        <f>IFERROR(Tabla1[[#This Row],[Fatalities]]/Tabla1[[#This Row],[Aboard]],0)</f>
        <v>1</v>
      </c>
      <c r="X2650" s="51" t="str" cm="1">
        <f t="array" ref="X2650">_xlfn.IFS(Tabla1[[#This Row],[Porcentaje de muertes]]&lt;0.35,"LEVE",AND(Tabla1[[#This Row],[Porcentaje de muertes]]&gt;0.35,Tabla1[[#This Row],[Porcentaje de muertes]]&lt;0.65),"MEDIO",Tabla1[[#This Row],[Porcentaje de muertes]]&gt;0.65,"GRAVE")</f>
        <v>GRAVE</v>
      </c>
    </row>
    <row r="2651" spans="2:24" x14ac:dyDescent="0.3">
      <c r="B2651" s="9">
        <v>2650</v>
      </c>
      <c r="C2651" s="49">
        <v>26714</v>
      </c>
      <c r="D2651" s="9">
        <f>YEAR(Tabla1[[#This Row],[Date]])</f>
        <v>1973</v>
      </c>
      <c r="E2651" s="9" t="str" cm="1">
        <f t="array" ref="E2651">IFERROR(_xlfn.IFS(AND(D2651&lt;1980,D2651&gt;=1970),"70",AND(D2651&lt;1990,D2651&gt;=1980),"80",AND(D2651&lt;2000,D2651&gt;=1990),"90",AND(D2651&lt;2010,D2651&gt;=2000),"00",AND(D2651&lt;=2019,D2651&gt;=2010),"10"),"1908-1970")</f>
        <v>70</v>
      </c>
      <c r="F2651" s="3">
        <v>0.42083333333333334</v>
      </c>
      <c r="G2651" t="s">
        <v>16723</v>
      </c>
      <c r="H2651" t="s">
        <v>6541</v>
      </c>
      <c r="I2651" t="s">
        <v>28931</v>
      </c>
      <c r="J2651" t="s">
        <v>16724</v>
      </c>
      <c r="K2651" t="s">
        <v>16725</v>
      </c>
      <c r="L2651" s="7" t="s">
        <v>16726</v>
      </c>
      <c r="M2651">
        <v>23</v>
      </c>
      <c r="N2651">
        <v>100</v>
      </c>
      <c r="O2651">
        <v>87</v>
      </c>
      <c r="P2651">
        <v>13</v>
      </c>
      <c r="Q2651">
        <v>66</v>
      </c>
      <c r="R2651">
        <v>62</v>
      </c>
      <c r="S2651">
        <v>4</v>
      </c>
      <c r="T2651">
        <v>0</v>
      </c>
      <c r="U2651" t="s">
        <v>16727</v>
      </c>
      <c r="V2651">
        <f>Tabla1[[#This Row],[Aboard]]-Tabla1[[#This Row],[Fatalities]]</f>
        <v>34</v>
      </c>
      <c r="W2651" s="50">
        <f>IFERROR(Tabla1[[#This Row],[Fatalities]]/Tabla1[[#This Row],[Aboard]],0)</f>
        <v>0.66</v>
      </c>
      <c r="X2651" s="51" t="str" cm="1">
        <f t="array" ref="X2651">_xlfn.IFS(Tabla1[[#This Row],[Porcentaje de muertes]]&lt;0.35,"LEVE",AND(Tabla1[[#This Row],[Porcentaje de muertes]]&gt;0.35,Tabla1[[#This Row],[Porcentaje de muertes]]&lt;0.65),"MEDIO",Tabla1[[#This Row],[Porcentaje de muertes]]&gt;0.65,"GRAVE")</f>
        <v>GRAVE</v>
      </c>
    </row>
    <row r="2652" spans="2:24" x14ac:dyDescent="0.3">
      <c r="B2652" s="9">
        <v>2651</v>
      </c>
      <c r="C2652" s="49">
        <v>26714</v>
      </c>
      <c r="D2652" s="9">
        <f>YEAR(Tabla1[[#This Row],[Date]])</f>
        <v>1973</v>
      </c>
      <c r="E2652" s="9" t="str" cm="1">
        <f t="array" ref="E2652">IFERROR(_xlfn.IFS(AND(D2652&lt;1980,D2652&gt;=1970),"70",AND(D2652&lt;1990,D2652&gt;=1980),"80",AND(D2652&lt;2000,D2652&gt;=1990),"90",AND(D2652&lt;2010,D2652&gt;=2000),"00",AND(D2652&lt;=2019,D2652&gt;=2010),"10"),"1908-1970")</f>
        <v>70</v>
      </c>
      <c r="F2652" s="3">
        <v>0.38541666666666669</v>
      </c>
      <c r="G2652" t="s">
        <v>16728</v>
      </c>
      <c r="H2652" t="s">
        <v>16729</v>
      </c>
      <c r="I2652" t="s">
        <v>28931</v>
      </c>
      <c r="J2652" t="s">
        <v>16730</v>
      </c>
      <c r="K2652" t="s">
        <v>16731</v>
      </c>
      <c r="L2652" s="7" t="s">
        <v>16732</v>
      </c>
      <c r="M2652" t="s">
        <v>28931</v>
      </c>
      <c r="N2652">
        <v>5</v>
      </c>
      <c r="O2652">
        <v>4</v>
      </c>
      <c r="P2652">
        <v>1</v>
      </c>
      <c r="Q2652">
        <v>5</v>
      </c>
      <c r="R2652">
        <v>4</v>
      </c>
      <c r="S2652">
        <v>1</v>
      </c>
      <c r="T2652">
        <v>0</v>
      </c>
      <c r="U2652" t="s">
        <v>16733</v>
      </c>
      <c r="V2652">
        <f>Tabla1[[#This Row],[Aboard]]-Tabla1[[#This Row],[Fatalities]]</f>
        <v>0</v>
      </c>
      <c r="W2652" s="50">
        <f>IFERROR(Tabla1[[#This Row],[Fatalities]]/Tabla1[[#This Row],[Aboard]],0)</f>
        <v>1</v>
      </c>
      <c r="X2652" s="51" t="str" cm="1">
        <f t="array" ref="X2652">_xlfn.IFS(Tabla1[[#This Row],[Porcentaje de muertes]]&lt;0.35,"LEVE",AND(Tabla1[[#This Row],[Porcentaje de muertes]]&gt;0.35,Tabla1[[#This Row],[Porcentaje de muertes]]&lt;0.65),"MEDIO",Tabla1[[#This Row],[Porcentaje de muertes]]&gt;0.65,"GRAVE")</f>
        <v>GRAVE</v>
      </c>
    </row>
    <row r="2653" spans="2:24" x14ac:dyDescent="0.3">
      <c r="B2653" s="9">
        <v>2652</v>
      </c>
      <c r="C2653" s="49">
        <v>26716</v>
      </c>
      <c r="D2653" s="9">
        <f>YEAR(Tabla1[[#This Row],[Date]])</f>
        <v>1973</v>
      </c>
      <c r="E2653" s="9" t="str" cm="1">
        <f t="array" ref="E2653">IFERROR(_xlfn.IFS(AND(D2653&lt;1980,D2653&gt;=1970),"70",AND(D2653&lt;1990,D2653&gt;=1980),"80",AND(D2653&lt;2000,D2653&gt;=1990),"90",AND(D2653&lt;2010,D2653&gt;=2000),"00",AND(D2653&lt;=2019,D2653&gt;=2010),"10"),"1908-1970")</f>
        <v>70</v>
      </c>
      <c r="F2653" s="3" t="s">
        <v>28931</v>
      </c>
      <c r="G2653" t="s">
        <v>16734</v>
      </c>
      <c r="H2653" t="s">
        <v>16735</v>
      </c>
      <c r="I2653" t="s">
        <v>28931</v>
      </c>
      <c r="J2653" t="s">
        <v>16736</v>
      </c>
      <c r="K2653" t="s">
        <v>7057</v>
      </c>
      <c r="L2653" s="7" t="s">
        <v>16737</v>
      </c>
      <c r="M2653">
        <v>19242</v>
      </c>
      <c r="N2653">
        <v>28</v>
      </c>
      <c r="O2653">
        <v>25</v>
      </c>
      <c r="P2653">
        <v>3</v>
      </c>
      <c r="Q2653">
        <v>22</v>
      </c>
      <c r="R2653">
        <v>19</v>
      </c>
      <c r="S2653">
        <v>3</v>
      </c>
      <c r="T2653">
        <v>0</v>
      </c>
      <c r="U2653" t="s">
        <v>16738</v>
      </c>
      <c r="V2653">
        <f>Tabla1[[#This Row],[Aboard]]-Tabla1[[#This Row],[Fatalities]]</f>
        <v>6</v>
      </c>
      <c r="W2653" s="50">
        <f>IFERROR(Tabla1[[#This Row],[Fatalities]]/Tabla1[[#This Row],[Aboard]],0)</f>
        <v>0.7857142857142857</v>
      </c>
      <c r="X2653" s="51" t="str" cm="1">
        <f t="array" ref="X2653">_xlfn.IFS(Tabla1[[#This Row],[Porcentaje de muertes]]&lt;0.35,"LEVE",AND(Tabla1[[#This Row],[Porcentaje de muertes]]&gt;0.35,Tabla1[[#This Row],[Porcentaje de muertes]]&lt;0.65),"MEDIO",Tabla1[[#This Row],[Porcentaje de muertes]]&gt;0.65,"GRAVE")</f>
        <v>GRAVE</v>
      </c>
    </row>
    <row r="2654" spans="2:24" x14ac:dyDescent="0.3">
      <c r="B2654" s="9">
        <v>2653</v>
      </c>
      <c r="C2654" s="49">
        <v>26716</v>
      </c>
      <c r="D2654" s="9">
        <f>YEAR(Tabla1[[#This Row],[Date]])</f>
        <v>1973</v>
      </c>
      <c r="E2654" s="9" t="str" cm="1">
        <f t="array" ref="E2654">IFERROR(_xlfn.IFS(AND(D2654&lt;1980,D2654&gt;=1970),"70",AND(D2654&lt;1990,D2654&gt;=1980),"80",AND(D2654&lt;2000,D2654&gt;=1990),"90",AND(D2654&lt;2010,D2654&gt;=2000),"00",AND(D2654&lt;=2019,D2654&gt;=2010),"10"),"1908-1970")</f>
        <v>70</v>
      </c>
      <c r="F2654" s="3">
        <v>0.59027777777777779</v>
      </c>
      <c r="G2654" t="s">
        <v>16739</v>
      </c>
      <c r="H2654" t="s">
        <v>16740</v>
      </c>
      <c r="I2654">
        <v>114</v>
      </c>
      <c r="J2654" t="s">
        <v>16741</v>
      </c>
      <c r="K2654" t="s">
        <v>16742</v>
      </c>
      <c r="L2654" s="7" t="s">
        <v>16743</v>
      </c>
      <c r="M2654" t="s">
        <v>16744</v>
      </c>
      <c r="N2654">
        <v>113</v>
      </c>
      <c r="O2654">
        <v>104</v>
      </c>
      <c r="P2654">
        <v>9</v>
      </c>
      <c r="Q2654">
        <v>108</v>
      </c>
      <c r="R2654">
        <v>100</v>
      </c>
      <c r="S2654">
        <v>8</v>
      </c>
      <c r="T2654">
        <v>0</v>
      </c>
      <c r="U2654" t="s">
        <v>16745</v>
      </c>
      <c r="V2654">
        <f>Tabla1[[#This Row],[Aboard]]-Tabla1[[#This Row],[Fatalities]]</f>
        <v>5</v>
      </c>
      <c r="W2654" s="50">
        <f>IFERROR(Tabla1[[#This Row],[Fatalities]]/Tabla1[[#This Row],[Aboard]],0)</f>
        <v>0.95575221238938057</v>
      </c>
      <c r="X2654" s="51" t="str" cm="1">
        <f t="array" ref="X2654">_xlfn.IFS(Tabla1[[#This Row],[Porcentaje de muertes]]&lt;0.35,"LEVE",AND(Tabla1[[#This Row],[Porcentaje de muertes]]&gt;0.35,Tabla1[[#This Row],[Porcentaje de muertes]]&lt;0.65),"MEDIO",Tabla1[[#This Row],[Porcentaje de muertes]]&gt;0.65,"GRAVE")</f>
        <v>GRAVE</v>
      </c>
    </row>
    <row r="2655" spans="2:24" x14ac:dyDescent="0.3">
      <c r="B2655" s="9">
        <v>2654</v>
      </c>
      <c r="C2655" s="49">
        <v>26719</v>
      </c>
      <c r="D2655" s="9">
        <f>YEAR(Tabla1[[#This Row],[Date]])</f>
        <v>1973</v>
      </c>
      <c r="E2655" s="9" t="str" cm="1">
        <f t="array" ref="E2655">IFERROR(_xlfn.IFS(AND(D2655&lt;1980,D2655&gt;=1970),"70",AND(D2655&lt;1990,D2655&gt;=1980),"80",AND(D2655&lt;2000,D2655&gt;=1990),"90",AND(D2655&lt;2010,D2655&gt;=2000),"00",AND(D2655&lt;=2019,D2655&gt;=2010),"10"),"1908-1970")</f>
        <v>70</v>
      </c>
      <c r="F2655" s="3">
        <v>0.31736111111111115</v>
      </c>
      <c r="G2655" t="s">
        <v>16746</v>
      </c>
      <c r="H2655" t="s">
        <v>6541</v>
      </c>
      <c r="I2655">
        <v>630</v>
      </c>
      <c r="J2655" t="s">
        <v>16747</v>
      </c>
      <c r="K2655" t="s">
        <v>12828</v>
      </c>
      <c r="L2655" s="7" t="s">
        <v>16748</v>
      </c>
      <c r="M2655">
        <v>189001804</v>
      </c>
      <c r="N2655">
        <v>79</v>
      </c>
      <c r="O2655">
        <v>71</v>
      </c>
      <c r="P2655">
        <v>8</v>
      </c>
      <c r="Q2655">
        <v>79</v>
      </c>
      <c r="R2655">
        <v>71</v>
      </c>
      <c r="S2655">
        <v>8</v>
      </c>
      <c r="T2655">
        <v>0</v>
      </c>
      <c r="U2655" t="s">
        <v>16749</v>
      </c>
      <c r="V2655">
        <f>Tabla1[[#This Row],[Aboard]]-Tabla1[[#This Row],[Fatalities]]</f>
        <v>0</v>
      </c>
      <c r="W2655" s="50">
        <f>IFERROR(Tabla1[[#This Row],[Fatalities]]/Tabla1[[#This Row],[Aboard]],0)</f>
        <v>1</v>
      </c>
      <c r="X2655" s="51" t="str" cm="1">
        <f t="array" ref="X2655">_xlfn.IFS(Tabla1[[#This Row],[Porcentaje de muertes]]&lt;0.35,"LEVE",AND(Tabla1[[#This Row],[Porcentaje de muertes]]&gt;0.35,Tabla1[[#This Row],[Porcentaje de muertes]]&lt;0.65),"MEDIO",Tabla1[[#This Row],[Porcentaje de muertes]]&gt;0.65,"GRAVE")</f>
        <v>GRAVE</v>
      </c>
    </row>
    <row r="2656" spans="2:24" x14ac:dyDescent="0.3">
      <c r="B2656" s="9">
        <v>2655</v>
      </c>
      <c r="C2656" s="49">
        <v>26723</v>
      </c>
      <c r="D2656" s="9">
        <f>YEAR(Tabla1[[#This Row],[Date]])</f>
        <v>1973</v>
      </c>
      <c r="E2656" s="9" t="str" cm="1">
        <f t="array" ref="E2656">IFERROR(_xlfn.IFS(AND(D2656&lt;1980,D2656&gt;=1970),"70",AND(D2656&lt;1990,D2656&gt;=1980),"80",AND(D2656&lt;2000,D2656&gt;=1990),"90",AND(D2656&lt;2010,D2656&gt;=2000),"00",AND(D2656&lt;=2019,D2656&gt;=2010),"10"),"1908-1970")</f>
        <v>70</v>
      </c>
      <c r="F2656" s="3">
        <v>0.7909722222222223</v>
      </c>
      <c r="G2656" t="s">
        <v>16750</v>
      </c>
      <c r="H2656" t="s">
        <v>6541</v>
      </c>
      <c r="I2656">
        <v>256</v>
      </c>
      <c r="J2656" t="s">
        <v>16751</v>
      </c>
      <c r="K2656" t="s">
        <v>15961</v>
      </c>
      <c r="L2656" s="7" t="s">
        <v>16752</v>
      </c>
      <c r="M2656">
        <v>9120118</v>
      </c>
      <c r="N2656">
        <v>32</v>
      </c>
      <c r="O2656">
        <v>29</v>
      </c>
      <c r="P2656">
        <v>3</v>
      </c>
      <c r="Q2656">
        <v>32</v>
      </c>
      <c r="R2656">
        <v>29</v>
      </c>
      <c r="S2656">
        <v>3</v>
      </c>
      <c r="T2656">
        <v>0</v>
      </c>
      <c r="U2656" t="s">
        <v>16753</v>
      </c>
      <c r="V2656">
        <f>Tabla1[[#This Row],[Aboard]]-Tabla1[[#This Row],[Fatalities]]</f>
        <v>0</v>
      </c>
      <c r="W2656" s="50">
        <f>IFERROR(Tabla1[[#This Row],[Fatalities]]/Tabla1[[#This Row],[Aboard]],0)</f>
        <v>1</v>
      </c>
      <c r="X2656" s="51" t="str" cm="1">
        <f t="array" ref="X2656">_xlfn.IFS(Tabla1[[#This Row],[Porcentaje de muertes]]&lt;0.35,"LEVE",AND(Tabla1[[#This Row],[Porcentaje de muertes]]&gt;0.35,Tabla1[[#This Row],[Porcentaje de muertes]]&lt;0.65),"MEDIO",Tabla1[[#This Row],[Porcentaje de muertes]]&gt;0.65,"GRAVE")</f>
        <v>GRAVE</v>
      </c>
    </row>
    <row r="2657" spans="2:24" x14ac:dyDescent="0.3">
      <c r="B2657" s="9">
        <v>2656</v>
      </c>
      <c r="C2657" s="49">
        <v>26723</v>
      </c>
      <c r="D2657" s="9">
        <f>YEAR(Tabla1[[#This Row],[Date]])</f>
        <v>1973</v>
      </c>
      <c r="E2657" s="9" t="str" cm="1">
        <f t="array" ref="E2657">IFERROR(_xlfn.IFS(AND(D2657&lt;1980,D2657&gt;=1970),"70",AND(D2657&lt;1990,D2657&gt;=1980),"80",AND(D2657&lt;2000,D2657&gt;=1990),"90",AND(D2657&lt;2010,D2657&gt;=2000),"00",AND(D2657&lt;=2019,D2657&gt;=2010),"10"),"1908-1970")</f>
        <v>70</v>
      </c>
      <c r="F2657" s="3" t="s">
        <v>28931</v>
      </c>
      <c r="G2657" t="s">
        <v>16754</v>
      </c>
      <c r="H2657" t="s">
        <v>16296</v>
      </c>
      <c r="I2657" t="s">
        <v>28931</v>
      </c>
      <c r="J2657" t="s">
        <v>28931</v>
      </c>
      <c r="K2657" t="s">
        <v>14888</v>
      </c>
      <c r="L2657" s="7" t="s">
        <v>16755</v>
      </c>
      <c r="M2657">
        <v>70</v>
      </c>
      <c r="N2657">
        <v>13</v>
      </c>
      <c r="O2657">
        <v>10</v>
      </c>
      <c r="P2657">
        <v>3</v>
      </c>
      <c r="Q2657">
        <v>13</v>
      </c>
      <c r="R2657">
        <v>10</v>
      </c>
      <c r="S2657">
        <v>3</v>
      </c>
      <c r="T2657">
        <v>0</v>
      </c>
      <c r="U2657" t="s">
        <v>16756</v>
      </c>
      <c r="V2657">
        <f>Tabla1[[#This Row],[Aboard]]-Tabla1[[#This Row],[Fatalities]]</f>
        <v>0</v>
      </c>
      <c r="W2657" s="50">
        <f>IFERROR(Tabla1[[#This Row],[Fatalities]]/Tabla1[[#This Row],[Aboard]],0)</f>
        <v>1</v>
      </c>
      <c r="X2657" s="51" t="str" cm="1">
        <f t="array" ref="X2657">_xlfn.IFS(Tabla1[[#This Row],[Porcentaje de muertes]]&lt;0.35,"LEVE",AND(Tabla1[[#This Row],[Porcentaje de muertes]]&gt;0.35,Tabla1[[#This Row],[Porcentaje de muertes]]&lt;0.65),"MEDIO",Tabla1[[#This Row],[Porcentaje de muertes]]&gt;0.65,"GRAVE")</f>
        <v>GRAVE</v>
      </c>
    </row>
    <row r="2658" spans="2:24" x14ac:dyDescent="0.3">
      <c r="B2658" s="9">
        <v>2657</v>
      </c>
      <c r="C2658" s="49">
        <v>26726</v>
      </c>
      <c r="D2658" s="9">
        <f>YEAR(Tabla1[[#This Row],[Date]])</f>
        <v>1973</v>
      </c>
      <c r="E2658" s="9" t="str" cm="1">
        <f t="array" ref="E2658">IFERROR(_xlfn.IFS(AND(D2658&lt;1980,D2658&gt;=1970),"70",AND(D2658&lt;1990,D2658&gt;=1980),"80",AND(D2658&lt;2000,D2658&gt;=1990),"90",AND(D2658&lt;2010,D2658&gt;=2000),"00",AND(D2658&lt;=2019,D2658&gt;=2010),"10"),"1908-1970")</f>
        <v>70</v>
      </c>
      <c r="F2658" s="3">
        <v>0.53125</v>
      </c>
      <c r="G2658" t="s">
        <v>16757</v>
      </c>
      <c r="H2658" t="s">
        <v>16075</v>
      </c>
      <c r="I2658">
        <v>307</v>
      </c>
      <c r="J2658" t="s">
        <v>13562</v>
      </c>
      <c r="K2658" t="s">
        <v>13812</v>
      </c>
      <c r="L2658" s="7" t="s">
        <v>16758</v>
      </c>
      <c r="M2658">
        <v>182005602</v>
      </c>
      <c r="N2658">
        <v>25</v>
      </c>
      <c r="O2658">
        <v>17</v>
      </c>
      <c r="P2658">
        <v>8</v>
      </c>
      <c r="Q2658">
        <v>25</v>
      </c>
      <c r="R2658">
        <v>17</v>
      </c>
      <c r="S2658">
        <v>8</v>
      </c>
      <c r="T2658">
        <v>0</v>
      </c>
      <c r="U2658" t="s">
        <v>16759</v>
      </c>
      <c r="V2658">
        <f>Tabla1[[#This Row],[Aboard]]-Tabla1[[#This Row],[Fatalities]]</f>
        <v>0</v>
      </c>
      <c r="W2658" s="50">
        <f>IFERROR(Tabla1[[#This Row],[Fatalities]]/Tabla1[[#This Row],[Aboard]],0)</f>
        <v>1</v>
      </c>
      <c r="X2658" s="51" t="str" cm="1">
        <f t="array" ref="X2658">_xlfn.IFS(Tabla1[[#This Row],[Porcentaje de muertes]]&lt;0.35,"LEVE",AND(Tabla1[[#This Row],[Porcentaje de muertes]]&gt;0.35,Tabla1[[#This Row],[Porcentaje de muertes]]&lt;0.65),"MEDIO",Tabla1[[#This Row],[Porcentaje de muertes]]&gt;0.65,"GRAVE")</f>
        <v>GRAVE</v>
      </c>
    </row>
    <row r="2659" spans="2:24" x14ac:dyDescent="0.3">
      <c r="B2659" s="9">
        <v>2658</v>
      </c>
      <c r="C2659" s="49">
        <v>26787</v>
      </c>
      <c r="D2659" s="9">
        <f>YEAR(Tabla1[[#This Row],[Date]])</f>
        <v>1973</v>
      </c>
      <c r="E2659" s="9" t="str" cm="1">
        <f t="array" ref="E2659">IFERROR(_xlfn.IFS(AND(D2659&lt;1980,D2659&gt;=1970),"70",AND(D2659&lt;1990,D2659&gt;=1980),"80",AND(D2659&lt;2000,D2659&gt;=1990),"90",AND(D2659&lt;2010,D2659&gt;=2000),"00",AND(D2659&lt;=2019,D2659&gt;=2010),"10"),"1908-1970")</f>
        <v>70</v>
      </c>
      <c r="F2659" s="3">
        <v>0.57638888888888895</v>
      </c>
      <c r="G2659" t="s">
        <v>16760</v>
      </c>
      <c r="H2659" t="s">
        <v>16761</v>
      </c>
      <c r="I2659" t="s">
        <v>16762</v>
      </c>
      <c r="J2659" t="s">
        <v>16763</v>
      </c>
      <c r="K2659" t="s">
        <v>16764</v>
      </c>
      <c r="L2659" s="7" t="s">
        <v>16765</v>
      </c>
      <c r="M2659" t="s">
        <v>16766</v>
      </c>
      <c r="N2659">
        <v>182</v>
      </c>
      <c r="O2659">
        <v>166</v>
      </c>
      <c r="P2659">
        <v>16</v>
      </c>
      <c r="Q2659">
        <v>68</v>
      </c>
      <c r="R2659">
        <v>61</v>
      </c>
      <c r="S2659">
        <v>7</v>
      </c>
      <c r="T2659">
        <v>0</v>
      </c>
      <c r="U2659" t="s">
        <v>16767</v>
      </c>
      <c r="V2659">
        <f>Tabla1[[#This Row],[Aboard]]-Tabla1[[#This Row],[Fatalities]]</f>
        <v>114</v>
      </c>
      <c r="W2659" s="50">
        <f>IFERROR(Tabla1[[#This Row],[Fatalities]]/Tabla1[[#This Row],[Aboard]],0)</f>
        <v>0.37362637362637363</v>
      </c>
      <c r="X2659" s="51" t="str" cm="1">
        <f t="array" ref="X2659">_xlfn.IFS(Tabla1[[#This Row],[Porcentaje de muertes]]&lt;0.35,"LEVE",AND(Tabla1[[#This Row],[Porcentaje de muertes]]&gt;0.35,Tabla1[[#This Row],[Porcentaje de muertes]]&lt;0.65),"MEDIO",Tabla1[[#This Row],[Porcentaje de muertes]]&gt;0.65,"GRAVE")</f>
        <v>MEDIO</v>
      </c>
    </row>
    <row r="2660" spans="2:24" x14ac:dyDescent="0.3">
      <c r="B2660" s="9">
        <v>2659</v>
      </c>
      <c r="C2660" s="49">
        <v>26738</v>
      </c>
      <c r="D2660" s="9">
        <f>YEAR(Tabla1[[#This Row],[Date]])</f>
        <v>1973</v>
      </c>
      <c r="E2660" s="9" t="str" cm="1">
        <f t="array" ref="E2660">IFERROR(_xlfn.IFS(AND(D2660&lt;1980,D2660&gt;=1970),"70",AND(D2660&lt;1990,D2660&gt;=1980),"80",AND(D2660&lt;2000,D2660&gt;=1990),"90",AND(D2660&lt;2010,D2660&gt;=2000),"00",AND(D2660&lt;=2019,D2660&gt;=2010),"10"),"1908-1970")</f>
        <v>70</v>
      </c>
      <c r="F2660" s="3" t="s">
        <v>28931</v>
      </c>
      <c r="G2660" t="s">
        <v>16768</v>
      </c>
      <c r="H2660" t="s">
        <v>11150</v>
      </c>
      <c r="I2660" t="s">
        <v>28931</v>
      </c>
      <c r="J2660" t="s">
        <v>6190</v>
      </c>
      <c r="K2660" t="s">
        <v>16769</v>
      </c>
      <c r="L2660" s="7" t="s">
        <v>16770</v>
      </c>
      <c r="M2660">
        <v>541</v>
      </c>
      <c r="N2660">
        <v>3</v>
      </c>
      <c r="O2660">
        <v>0</v>
      </c>
      <c r="P2660">
        <v>3</v>
      </c>
      <c r="Q2660">
        <v>3</v>
      </c>
      <c r="R2660">
        <v>0</v>
      </c>
      <c r="S2660">
        <v>3</v>
      </c>
      <c r="T2660">
        <v>0</v>
      </c>
      <c r="U2660" t="s">
        <v>16771</v>
      </c>
      <c r="V2660">
        <f>Tabla1[[#This Row],[Aboard]]-Tabla1[[#This Row],[Fatalities]]</f>
        <v>0</v>
      </c>
      <c r="W2660" s="50">
        <f>IFERROR(Tabla1[[#This Row],[Fatalities]]/Tabla1[[#This Row],[Aboard]],0)</f>
        <v>1</v>
      </c>
      <c r="X2660" s="51" t="str" cm="1">
        <f t="array" ref="X2660">_xlfn.IFS(Tabla1[[#This Row],[Porcentaje de muertes]]&lt;0.35,"LEVE",AND(Tabla1[[#This Row],[Porcentaje de muertes]]&gt;0.35,Tabla1[[#This Row],[Porcentaje de muertes]]&lt;0.65),"MEDIO",Tabla1[[#This Row],[Porcentaje de muertes]]&gt;0.65,"GRAVE")</f>
        <v>GRAVE</v>
      </c>
    </row>
    <row r="2661" spans="2:24" x14ac:dyDescent="0.3">
      <c r="B2661" s="9">
        <v>2660</v>
      </c>
      <c r="C2661" s="49">
        <v>26742</v>
      </c>
      <c r="D2661" s="9">
        <f>YEAR(Tabla1[[#This Row],[Date]])</f>
        <v>1973</v>
      </c>
      <c r="E2661" s="9" t="str" cm="1">
        <f t="array" ref="E2661">IFERROR(_xlfn.IFS(AND(D2661&lt;1980,D2661&gt;=1970),"70",AND(D2661&lt;1990,D2661&gt;=1980),"80",AND(D2661&lt;2000,D2661&gt;=1990),"90",AND(D2661&lt;2010,D2661&gt;=2000),"00",AND(D2661&lt;=2019,D2661&gt;=2010),"10"),"1908-1970")</f>
        <v>70</v>
      </c>
      <c r="F2661" s="3">
        <v>0.4201388888888889</v>
      </c>
      <c r="G2661" t="s">
        <v>16772</v>
      </c>
      <c r="H2661" t="s">
        <v>11339</v>
      </c>
      <c r="I2661" t="s">
        <v>28931</v>
      </c>
      <c r="J2661" t="s">
        <v>16773</v>
      </c>
      <c r="K2661" t="s">
        <v>10065</v>
      </c>
      <c r="L2661" s="7" t="s">
        <v>16774</v>
      </c>
      <c r="M2661">
        <v>22174</v>
      </c>
      <c r="N2661">
        <v>62</v>
      </c>
      <c r="O2661">
        <v>57</v>
      </c>
      <c r="P2661">
        <v>5</v>
      </c>
      <c r="Q2661">
        <v>62</v>
      </c>
      <c r="R2661">
        <v>57</v>
      </c>
      <c r="S2661">
        <v>5</v>
      </c>
      <c r="T2661">
        <v>0</v>
      </c>
      <c r="U2661" t="s">
        <v>16775</v>
      </c>
      <c r="V2661">
        <f>Tabla1[[#This Row],[Aboard]]-Tabla1[[#This Row],[Fatalities]]</f>
        <v>0</v>
      </c>
      <c r="W2661" s="50">
        <f>IFERROR(Tabla1[[#This Row],[Fatalities]]/Tabla1[[#This Row],[Aboard]],0)</f>
        <v>1</v>
      </c>
      <c r="X2661" s="51" t="str" cm="1">
        <f t="array" ref="X2661">_xlfn.IFS(Tabla1[[#This Row],[Porcentaje de muertes]]&lt;0.35,"LEVE",AND(Tabla1[[#This Row],[Porcentaje de muertes]]&gt;0.35,Tabla1[[#This Row],[Porcentaje de muertes]]&lt;0.65),"MEDIO",Tabla1[[#This Row],[Porcentaje de muertes]]&gt;0.65,"GRAVE")</f>
        <v>GRAVE</v>
      </c>
    </row>
    <row r="2662" spans="2:24" x14ac:dyDescent="0.3">
      <c r="B2662" s="9">
        <v>2661</v>
      </c>
      <c r="C2662" s="49">
        <v>26941</v>
      </c>
      <c r="D2662" s="9">
        <f>YEAR(Tabla1[[#This Row],[Date]])</f>
        <v>1973</v>
      </c>
      <c r="E2662" s="9" t="str" cm="1">
        <f t="array" ref="E2662">IFERROR(_xlfn.IFS(AND(D2662&lt;1980,D2662&gt;=1970),"70",AND(D2662&lt;1990,D2662&gt;=1980),"80",AND(D2662&lt;2000,D2662&gt;=1990),"90",AND(D2662&lt;2010,D2662&gt;=2000),"00",AND(D2662&lt;=2019,D2662&gt;=2010),"10"),"1908-1970")</f>
        <v>70</v>
      </c>
      <c r="F2662" s="3">
        <v>0.42569444444444443</v>
      </c>
      <c r="G2662" t="s">
        <v>16776</v>
      </c>
      <c r="H2662" t="s">
        <v>16777</v>
      </c>
      <c r="I2662">
        <v>435</v>
      </c>
      <c r="J2662" t="s">
        <v>16778</v>
      </c>
      <c r="K2662" t="s">
        <v>16779</v>
      </c>
      <c r="L2662" s="7" t="s">
        <v>16780</v>
      </c>
      <c r="M2662">
        <v>745</v>
      </c>
      <c r="N2662">
        <v>145</v>
      </c>
      <c r="O2662">
        <v>139</v>
      </c>
      <c r="P2662">
        <v>6</v>
      </c>
      <c r="Q2662">
        <v>108</v>
      </c>
      <c r="R2662">
        <v>104</v>
      </c>
      <c r="S2662">
        <v>4</v>
      </c>
      <c r="T2662">
        <v>0</v>
      </c>
      <c r="U2662" t="s">
        <v>16781</v>
      </c>
      <c r="V2662">
        <f>Tabla1[[#This Row],[Aboard]]-Tabla1[[#This Row],[Fatalities]]</f>
        <v>37</v>
      </c>
      <c r="W2662" s="50">
        <f>IFERROR(Tabla1[[#This Row],[Fatalities]]/Tabla1[[#This Row],[Aboard]],0)</f>
        <v>0.7448275862068966</v>
      </c>
      <c r="X2662" s="51" t="str" cm="1">
        <f t="array" ref="X2662">_xlfn.IFS(Tabla1[[#This Row],[Porcentaje de muertes]]&lt;0.35,"LEVE",AND(Tabla1[[#This Row],[Porcentaje de muertes]]&gt;0.35,Tabla1[[#This Row],[Porcentaje de muertes]]&lt;0.65),"MEDIO",Tabla1[[#This Row],[Porcentaje de muertes]]&gt;0.65,"GRAVE")</f>
        <v>GRAVE</v>
      </c>
    </row>
    <row r="2663" spans="2:24" x14ac:dyDescent="0.3">
      <c r="B2663" s="9">
        <v>2662</v>
      </c>
      <c r="C2663" s="49">
        <v>27002</v>
      </c>
      <c r="D2663" s="9">
        <f>YEAR(Tabla1[[#This Row],[Date]])</f>
        <v>1973</v>
      </c>
      <c r="E2663" s="9" t="str" cm="1">
        <f t="array" ref="E2663">IFERROR(_xlfn.IFS(AND(D2663&lt;1980,D2663&gt;=1970),"70",AND(D2663&lt;1990,D2663&gt;=1980),"80",AND(D2663&lt;2000,D2663&gt;=1990),"90",AND(D2663&lt;2010,D2663&gt;=2000),"00",AND(D2663&lt;=2019,D2663&gt;=2010),"10"),"1908-1970")</f>
        <v>70</v>
      </c>
      <c r="F2663" s="3">
        <v>0.61805555555555558</v>
      </c>
      <c r="G2663" t="s">
        <v>16782</v>
      </c>
      <c r="H2663" t="s">
        <v>16783</v>
      </c>
      <c r="I2663" t="s">
        <v>28931</v>
      </c>
      <c r="J2663" t="s">
        <v>28931</v>
      </c>
      <c r="K2663" t="s">
        <v>16784</v>
      </c>
      <c r="L2663" s="7" t="s">
        <v>16785</v>
      </c>
      <c r="M2663" t="s">
        <v>16786</v>
      </c>
      <c r="N2663">
        <v>17</v>
      </c>
      <c r="O2663">
        <v>0</v>
      </c>
      <c r="P2663">
        <v>17</v>
      </c>
      <c r="Q2663">
        <v>16</v>
      </c>
      <c r="R2663">
        <v>0</v>
      </c>
      <c r="S2663">
        <v>16</v>
      </c>
      <c r="T2663">
        <v>0</v>
      </c>
      <c r="U2663" t="s">
        <v>16787</v>
      </c>
      <c r="V2663">
        <f>Tabla1[[#This Row],[Aboard]]-Tabla1[[#This Row],[Fatalities]]</f>
        <v>1</v>
      </c>
      <c r="W2663" s="50">
        <f>IFERROR(Tabla1[[#This Row],[Fatalities]]/Tabla1[[#This Row],[Aboard]],0)</f>
        <v>0.94117647058823528</v>
      </c>
      <c r="X2663" s="51" t="str" cm="1">
        <f t="array" ref="X2663">_xlfn.IFS(Tabla1[[#This Row],[Porcentaje de muertes]]&lt;0.35,"LEVE",AND(Tabla1[[#This Row],[Porcentaje de muertes]]&gt;0.35,Tabla1[[#This Row],[Porcentaje de muertes]]&lt;0.65),"MEDIO",Tabla1[[#This Row],[Porcentaje de muertes]]&gt;0.65,"GRAVE")</f>
        <v>GRAVE</v>
      </c>
    </row>
    <row r="2664" spans="2:24" x14ac:dyDescent="0.3">
      <c r="B2664" s="9">
        <v>2663</v>
      </c>
      <c r="C2664" s="49">
        <v>26772</v>
      </c>
      <c r="D2664" s="9">
        <f>YEAR(Tabla1[[#This Row],[Date]])</f>
        <v>1973</v>
      </c>
      <c r="E2664" s="9" t="str" cm="1">
        <f t="array" ref="E2664">IFERROR(_xlfn.IFS(AND(D2664&lt;1980,D2664&gt;=1970),"70",AND(D2664&lt;1990,D2664&gt;=1980),"80",AND(D2664&lt;2000,D2664&gt;=1990),"90",AND(D2664&lt;2010,D2664&gt;=2000),"00",AND(D2664&lt;=2019,D2664&gt;=2010),"10"),"1908-1970")</f>
        <v>70</v>
      </c>
      <c r="F2664" s="3" t="s">
        <v>28931</v>
      </c>
      <c r="G2664" t="s">
        <v>16788</v>
      </c>
      <c r="H2664" t="s">
        <v>16789</v>
      </c>
      <c r="I2664" t="s">
        <v>28931</v>
      </c>
      <c r="J2664" t="s">
        <v>16790</v>
      </c>
      <c r="K2664" t="s">
        <v>14888</v>
      </c>
      <c r="L2664" s="7" t="s">
        <v>16791</v>
      </c>
      <c r="M2664">
        <v>111</v>
      </c>
      <c r="N2664">
        <v>19</v>
      </c>
      <c r="O2664">
        <v>16</v>
      </c>
      <c r="P2664">
        <v>3</v>
      </c>
      <c r="Q2664">
        <v>4</v>
      </c>
      <c r="R2664">
        <v>2</v>
      </c>
      <c r="S2664">
        <v>2</v>
      </c>
      <c r="T2664">
        <v>0</v>
      </c>
      <c r="U2664" t="s">
        <v>16792</v>
      </c>
      <c r="V2664">
        <f>Tabla1[[#This Row],[Aboard]]-Tabla1[[#This Row],[Fatalities]]</f>
        <v>15</v>
      </c>
      <c r="W2664" s="50">
        <f>IFERROR(Tabla1[[#This Row],[Fatalities]]/Tabla1[[#This Row],[Aboard]],0)</f>
        <v>0.21052631578947367</v>
      </c>
      <c r="X2664" s="51" t="str" cm="1">
        <f t="array" ref="X2664">_xlfn.IFS(Tabla1[[#This Row],[Porcentaje de muertes]]&lt;0.35,"LEVE",AND(Tabla1[[#This Row],[Porcentaje de muertes]]&gt;0.35,Tabla1[[#This Row],[Porcentaje de muertes]]&lt;0.65),"MEDIO",Tabla1[[#This Row],[Porcentaje de muertes]]&gt;0.65,"GRAVE")</f>
        <v>LEVE</v>
      </c>
    </row>
    <row r="2665" spans="2:24" x14ac:dyDescent="0.3">
      <c r="B2665" s="9">
        <v>2664</v>
      </c>
      <c r="C2665" s="49">
        <v>26973</v>
      </c>
      <c r="D2665" s="9">
        <f>YEAR(Tabla1[[#This Row],[Date]])</f>
        <v>1973</v>
      </c>
      <c r="E2665" s="9" t="str" cm="1">
        <f t="array" ref="E2665">IFERROR(_xlfn.IFS(AND(D2665&lt;1980,D2665&gt;=1970),"70",AND(D2665&lt;1990,D2665&gt;=1980),"80",AND(D2665&lt;2000,D2665&gt;=1990),"90",AND(D2665&lt;2010,D2665&gt;=2000),"00",AND(D2665&lt;=2019,D2665&gt;=2010),"10"),"1908-1970")</f>
        <v>70</v>
      </c>
      <c r="F2665" s="3">
        <v>0.19236111111111112</v>
      </c>
      <c r="G2665" t="s">
        <v>16793</v>
      </c>
      <c r="H2665" t="s">
        <v>6541</v>
      </c>
      <c r="I2665">
        <v>6551</v>
      </c>
      <c r="J2665" t="s">
        <v>16794</v>
      </c>
      <c r="K2665" t="s">
        <v>13035</v>
      </c>
      <c r="L2665" s="7" t="s">
        <v>16795</v>
      </c>
      <c r="M2665">
        <v>189001202</v>
      </c>
      <c r="N2665">
        <v>61</v>
      </c>
      <c r="O2665">
        <v>55</v>
      </c>
      <c r="P2665">
        <v>8</v>
      </c>
      <c r="Q2665">
        <v>61</v>
      </c>
      <c r="R2665">
        <v>55</v>
      </c>
      <c r="S2665">
        <v>8</v>
      </c>
      <c r="T2665">
        <v>0</v>
      </c>
      <c r="U2665" t="s">
        <v>16796</v>
      </c>
      <c r="V2665">
        <f>Tabla1[[#This Row],[Aboard]]-Tabla1[[#This Row],[Fatalities]]</f>
        <v>0</v>
      </c>
      <c r="W2665" s="50">
        <f>IFERROR(Tabla1[[#This Row],[Fatalities]]/Tabla1[[#This Row],[Aboard]],0)</f>
        <v>1</v>
      </c>
      <c r="X2665" s="51" t="str" cm="1">
        <f t="array" ref="X2665">_xlfn.IFS(Tabla1[[#This Row],[Porcentaje de muertes]]&lt;0.35,"LEVE",AND(Tabla1[[#This Row],[Porcentaje de muertes]]&gt;0.35,Tabla1[[#This Row],[Porcentaje de muertes]]&lt;0.65),"MEDIO",Tabla1[[#This Row],[Porcentaje de muertes]]&gt;0.65,"GRAVE")</f>
        <v>GRAVE</v>
      </c>
    </row>
    <row r="2666" spans="2:24" x14ac:dyDescent="0.3">
      <c r="B2666" s="9">
        <v>2665</v>
      </c>
      <c r="C2666" s="49">
        <v>26802</v>
      </c>
      <c r="D2666" s="9">
        <f>YEAR(Tabla1[[#This Row],[Date]])</f>
        <v>1973</v>
      </c>
      <c r="E2666" s="9" t="str" cm="1">
        <f t="array" ref="E2666">IFERROR(_xlfn.IFS(AND(D2666&lt;1980,D2666&gt;=1970),"70",AND(D2666&lt;1990,D2666&gt;=1980),"80",AND(D2666&lt;2000,D2666&gt;=1990),"90",AND(D2666&lt;2010,D2666&gt;=2000),"00",AND(D2666&lt;=2019,D2666&gt;=2010),"10"),"1908-1970")</f>
        <v>70</v>
      </c>
      <c r="F2666" s="3">
        <v>0.40138888888888885</v>
      </c>
      <c r="G2666" t="s">
        <v>16797</v>
      </c>
      <c r="H2666" t="s">
        <v>6541</v>
      </c>
      <c r="I2666">
        <v>109</v>
      </c>
      <c r="J2666" t="s">
        <v>16798</v>
      </c>
      <c r="K2666" t="s">
        <v>12500</v>
      </c>
      <c r="L2666" s="7" t="s">
        <v>16799</v>
      </c>
      <c r="M2666">
        <v>820303</v>
      </c>
      <c r="N2666">
        <v>81</v>
      </c>
      <c r="O2666">
        <v>72</v>
      </c>
      <c r="P2666">
        <v>9</v>
      </c>
      <c r="Q2666">
        <v>81</v>
      </c>
      <c r="R2666">
        <v>72</v>
      </c>
      <c r="S2666">
        <v>9</v>
      </c>
      <c r="T2666">
        <v>0</v>
      </c>
      <c r="U2666" t="s">
        <v>16800</v>
      </c>
      <c r="V2666">
        <f>Tabla1[[#This Row],[Aboard]]-Tabla1[[#This Row],[Fatalities]]</f>
        <v>0</v>
      </c>
      <c r="W2666" s="50">
        <f>IFERROR(Tabla1[[#This Row],[Fatalities]]/Tabla1[[#This Row],[Aboard]],0)</f>
        <v>1</v>
      </c>
      <c r="X2666" s="51" t="str" cm="1">
        <f t="array" ref="X2666">_xlfn.IFS(Tabla1[[#This Row],[Porcentaje de muertes]]&lt;0.35,"LEVE",AND(Tabla1[[#This Row],[Porcentaje de muertes]]&gt;0.35,Tabla1[[#This Row],[Porcentaje de muertes]]&lt;0.65),"MEDIO",Tabla1[[#This Row],[Porcentaje de muertes]]&gt;0.65,"GRAVE")</f>
        <v>GRAVE</v>
      </c>
    </row>
    <row r="2667" spans="2:24" x14ac:dyDescent="0.3">
      <c r="B2667" s="9">
        <v>2666</v>
      </c>
      <c r="C2667" s="49">
        <v>26803</v>
      </c>
      <c r="D2667" s="9">
        <f>YEAR(Tabla1[[#This Row],[Date]])</f>
        <v>1973</v>
      </c>
      <c r="E2667" s="9" t="str" cm="1">
        <f t="array" ref="E2667">IFERROR(_xlfn.IFS(AND(D2667&lt;1980,D2667&gt;=1970),"70",AND(D2667&lt;1990,D2667&gt;=1980),"80",AND(D2667&lt;2000,D2667&gt;=1990),"90",AND(D2667&lt;2010,D2667&gt;=2000),"00",AND(D2667&lt;=2019,D2667&gt;=2010),"10"),"1908-1970")</f>
        <v>70</v>
      </c>
      <c r="F2667" s="3">
        <v>0.625</v>
      </c>
      <c r="G2667" t="s">
        <v>16801</v>
      </c>
      <c r="H2667" t="s">
        <v>16600</v>
      </c>
      <c r="I2667" t="s">
        <v>28931</v>
      </c>
      <c r="J2667" t="s">
        <v>16802</v>
      </c>
      <c r="K2667" t="s">
        <v>8105</v>
      </c>
      <c r="L2667" s="7" t="s">
        <v>16803</v>
      </c>
      <c r="M2667">
        <v>10078</v>
      </c>
      <c r="N2667">
        <v>11</v>
      </c>
      <c r="O2667">
        <v>9</v>
      </c>
      <c r="P2667">
        <v>2</v>
      </c>
      <c r="Q2667">
        <v>11</v>
      </c>
      <c r="R2667">
        <v>9</v>
      </c>
      <c r="S2667">
        <v>2</v>
      </c>
      <c r="T2667">
        <v>0</v>
      </c>
      <c r="U2667" t="s">
        <v>16804</v>
      </c>
      <c r="V2667">
        <f>Tabla1[[#This Row],[Aboard]]-Tabla1[[#This Row],[Fatalities]]</f>
        <v>0</v>
      </c>
      <c r="W2667" s="50">
        <f>IFERROR(Tabla1[[#This Row],[Fatalities]]/Tabla1[[#This Row],[Aboard]],0)</f>
        <v>1</v>
      </c>
      <c r="X2667" s="51" t="str" cm="1">
        <f t="array" ref="X2667">_xlfn.IFS(Tabla1[[#This Row],[Porcentaje de muertes]]&lt;0.35,"LEVE",AND(Tabla1[[#This Row],[Porcentaje de muertes]]&gt;0.35,Tabla1[[#This Row],[Porcentaje de muertes]]&lt;0.65),"MEDIO",Tabla1[[#This Row],[Porcentaje de muertes]]&gt;0.65,"GRAVE")</f>
        <v>GRAVE</v>
      </c>
    </row>
    <row r="2668" spans="2:24" x14ac:dyDescent="0.3">
      <c r="B2668" s="9">
        <v>2667</v>
      </c>
      <c r="C2668" s="49">
        <v>26813</v>
      </c>
      <c r="D2668" s="9">
        <f>YEAR(Tabla1[[#This Row],[Date]])</f>
        <v>1973</v>
      </c>
      <c r="E2668" s="9" t="str" cm="1">
        <f t="array" ref="E2668">IFERROR(_xlfn.IFS(AND(D2668&lt;1980,D2668&gt;=1970),"70",AND(D2668&lt;1990,D2668&gt;=1980),"80",AND(D2668&lt;2000,D2668&gt;=1990),"90",AND(D2668&lt;2010,D2668&gt;=2000),"00",AND(D2668&lt;=2019,D2668&gt;=2010),"10"),"1908-1970")</f>
        <v>70</v>
      </c>
      <c r="F2668" s="3" t="s">
        <v>28931</v>
      </c>
      <c r="G2668" t="s">
        <v>16805</v>
      </c>
      <c r="H2668" t="s">
        <v>16806</v>
      </c>
      <c r="I2668" t="s">
        <v>28931</v>
      </c>
      <c r="J2668" t="s">
        <v>28931</v>
      </c>
      <c r="K2668" t="s">
        <v>7057</v>
      </c>
      <c r="L2668" s="7" t="s">
        <v>16807</v>
      </c>
      <c r="M2668">
        <v>10081</v>
      </c>
      <c r="N2668">
        <v>4</v>
      </c>
      <c r="O2668">
        <v>1</v>
      </c>
      <c r="P2668">
        <v>3</v>
      </c>
      <c r="Q2668">
        <v>4</v>
      </c>
      <c r="R2668">
        <v>1</v>
      </c>
      <c r="S2668">
        <v>3</v>
      </c>
      <c r="T2668">
        <v>0</v>
      </c>
      <c r="U2668" t="s">
        <v>16808</v>
      </c>
      <c r="V2668">
        <f>Tabla1[[#This Row],[Aboard]]-Tabla1[[#This Row],[Fatalities]]</f>
        <v>0</v>
      </c>
      <c r="W2668" s="50">
        <f>IFERROR(Tabla1[[#This Row],[Fatalities]]/Tabla1[[#This Row],[Aboard]],0)</f>
        <v>1</v>
      </c>
      <c r="X2668" s="51" t="str" cm="1">
        <f t="array" ref="X2668">_xlfn.IFS(Tabla1[[#This Row],[Porcentaje de muertes]]&lt;0.35,"LEVE",AND(Tabla1[[#This Row],[Porcentaje de muertes]]&gt;0.35,Tabla1[[#This Row],[Porcentaje de muertes]]&lt;0.65),"MEDIO",Tabla1[[#This Row],[Porcentaje de muertes]]&gt;0.65,"GRAVE")</f>
        <v>GRAVE</v>
      </c>
    </row>
    <row r="2669" spans="2:24" x14ac:dyDescent="0.3">
      <c r="B2669" s="9">
        <v>2668</v>
      </c>
      <c r="C2669" s="49">
        <v>26815</v>
      </c>
      <c r="D2669" s="9">
        <f>YEAR(Tabla1[[#This Row],[Date]])</f>
        <v>1973</v>
      </c>
      <c r="E2669" s="9" t="str" cm="1">
        <f t="array" ref="E2669">IFERROR(_xlfn.IFS(AND(D2669&lt;1980,D2669&gt;=1970),"70",AND(D2669&lt;1990,D2669&gt;=1980),"80",AND(D2669&lt;2000,D2669&gt;=1990),"90",AND(D2669&lt;2010,D2669&gt;=2000),"00",AND(D2669&lt;=2019,D2669&gt;=2010),"10"),"1908-1970")</f>
        <v>70</v>
      </c>
      <c r="F2669" s="3">
        <v>0.91527777777777775</v>
      </c>
      <c r="G2669" t="s">
        <v>16484</v>
      </c>
      <c r="H2669" t="s">
        <v>11150</v>
      </c>
      <c r="I2669">
        <v>440</v>
      </c>
      <c r="J2669" t="s">
        <v>10721</v>
      </c>
      <c r="K2669" t="s">
        <v>16809</v>
      </c>
      <c r="L2669" s="7" t="s">
        <v>16810</v>
      </c>
      <c r="M2669" t="s">
        <v>16811</v>
      </c>
      <c r="N2669">
        <v>65</v>
      </c>
      <c r="O2669">
        <v>58</v>
      </c>
      <c r="P2669">
        <v>7</v>
      </c>
      <c r="Q2669">
        <v>48</v>
      </c>
      <c r="R2669">
        <v>43</v>
      </c>
      <c r="S2669">
        <v>5</v>
      </c>
      <c r="T2669">
        <v>0</v>
      </c>
      <c r="U2669" t="s">
        <v>16812</v>
      </c>
      <c r="V2669">
        <f>Tabla1[[#This Row],[Aboard]]-Tabla1[[#This Row],[Fatalities]]</f>
        <v>17</v>
      </c>
      <c r="W2669" s="50">
        <f>IFERROR(Tabla1[[#This Row],[Fatalities]]/Tabla1[[#This Row],[Aboard]],0)</f>
        <v>0.7384615384615385</v>
      </c>
      <c r="X2669" s="51" t="str" cm="1">
        <f t="array" ref="X2669">_xlfn.IFS(Tabla1[[#This Row],[Porcentaje de muertes]]&lt;0.35,"LEVE",AND(Tabla1[[#This Row],[Porcentaje de muertes]]&gt;0.35,Tabla1[[#This Row],[Porcentaje de muertes]]&lt;0.65),"MEDIO",Tabla1[[#This Row],[Porcentaje de muertes]]&gt;0.65,"GRAVE")</f>
        <v>GRAVE</v>
      </c>
    </row>
    <row r="2670" spans="2:24" x14ac:dyDescent="0.3">
      <c r="B2670" s="9">
        <v>2669</v>
      </c>
      <c r="C2670" s="49">
        <v>26670</v>
      </c>
      <c r="D2670" s="9">
        <f>YEAR(Tabla1[[#This Row],[Date]])</f>
        <v>1973</v>
      </c>
      <c r="E2670" s="9" t="str" cm="1">
        <f t="array" ref="E2670">IFERROR(_xlfn.IFS(AND(D2670&lt;1980,D2670&gt;=1970),"70",AND(D2670&lt;1990,D2670&gt;=1980),"80",AND(D2670&lt;2000,D2670&gt;=1990),"90",AND(D2670&lt;2010,D2670&gt;=2000),"00",AND(D2670&lt;=2019,D2670&gt;=2010),"10"),"1908-1970")</f>
        <v>70</v>
      </c>
      <c r="F2670" s="3">
        <v>0.30555555555555552</v>
      </c>
      <c r="G2670" t="s">
        <v>16813</v>
      </c>
      <c r="H2670" t="s">
        <v>9425</v>
      </c>
      <c r="I2670" t="s">
        <v>28931</v>
      </c>
      <c r="J2670" t="s">
        <v>16814</v>
      </c>
      <c r="K2670" t="s">
        <v>14620</v>
      </c>
      <c r="L2670" s="7" t="s">
        <v>16815</v>
      </c>
      <c r="M2670" t="s">
        <v>16816</v>
      </c>
      <c r="N2670">
        <v>23</v>
      </c>
      <c r="O2670">
        <v>16</v>
      </c>
      <c r="P2670">
        <v>7</v>
      </c>
      <c r="Q2670">
        <v>23</v>
      </c>
      <c r="R2670">
        <v>16</v>
      </c>
      <c r="S2670">
        <v>7</v>
      </c>
      <c r="T2670">
        <v>0</v>
      </c>
      <c r="U2670" t="s">
        <v>16817</v>
      </c>
      <c r="V2670">
        <f>Tabla1[[#This Row],[Aboard]]-Tabla1[[#This Row],[Fatalities]]</f>
        <v>0</v>
      </c>
      <c r="W2670" s="50">
        <f>IFERROR(Tabla1[[#This Row],[Fatalities]]/Tabla1[[#This Row],[Aboard]],0)</f>
        <v>1</v>
      </c>
      <c r="X2670" s="51" t="str" cm="1">
        <f t="array" ref="X2670">_xlfn.IFS(Tabla1[[#This Row],[Porcentaje de muertes]]&lt;0.35,"LEVE",AND(Tabla1[[#This Row],[Porcentaje de muertes]]&gt;0.35,Tabla1[[#This Row],[Porcentaje de muertes]]&lt;0.65),"MEDIO",Tabla1[[#This Row],[Porcentaje de muertes]]&gt;0.65,"GRAVE")</f>
        <v>GRAVE</v>
      </c>
    </row>
    <row r="2671" spans="2:24" x14ac:dyDescent="0.3">
      <c r="B2671" s="9">
        <v>2670</v>
      </c>
      <c r="C2671" s="49">
        <v>26729</v>
      </c>
      <c r="D2671" s="9">
        <f>YEAR(Tabla1[[#This Row],[Date]])</f>
        <v>1973</v>
      </c>
      <c r="E2671" s="9" t="str" cm="1">
        <f t="array" ref="E2671">IFERROR(_xlfn.IFS(AND(D2671&lt;1980,D2671&gt;=1970),"70",AND(D2671&lt;1990,D2671&gt;=1980),"80",AND(D2671&lt;2000,D2671&gt;=1990),"90",AND(D2671&lt;2010,D2671&gt;=2000),"00",AND(D2671&lt;=2019,D2671&gt;=2010),"10"),"1908-1970")</f>
        <v>70</v>
      </c>
      <c r="F2671" s="3">
        <v>0.64513888888888882</v>
      </c>
      <c r="G2671" t="s">
        <v>16818</v>
      </c>
      <c r="H2671" t="s">
        <v>6541</v>
      </c>
      <c r="I2671" t="s">
        <v>28931</v>
      </c>
      <c r="J2671" t="s">
        <v>5018</v>
      </c>
      <c r="K2671" t="s">
        <v>16819</v>
      </c>
      <c r="L2671" s="7" t="s">
        <v>16820</v>
      </c>
      <c r="M2671" s="5">
        <v>44593</v>
      </c>
      <c r="N2671">
        <v>6</v>
      </c>
      <c r="O2671">
        <v>0</v>
      </c>
      <c r="P2671">
        <v>6</v>
      </c>
      <c r="Q2671">
        <v>6</v>
      </c>
      <c r="R2671">
        <v>0</v>
      </c>
      <c r="S2671">
        <v>6</v>
      </c>
      <c r="T2671">
        <v>8</v>
      </c>
      <c r="U2671" t="s">
        <v>16821</v>
      </c>
      <c r="V2671">
        <f>Tabla1[[#This Row],[Aboard]]-Tabla1[[#This Row],[Fatalities]]</f>
        <v>0</v>
      </c>
      <c r="W2671" s="50">
        <f>IFERROR(Tabla1[[#This Row],[Fatalities]]/Tabla1[[#This Row],[Aboard]],0)</f>
        <v>1</v>
      </c>
      <c r="X2671" s="51" t="str" cm="1">
        <f t="array" ref="X2671">_xlfn.IFS(Tabla1[[#This Row],[Porcentaje de muertes]]&lt;0.35,"LEVE",AND(Tabla1[[#This Row],[Porcentaje de muertes]]&gt;0.35,Tabla1[[#This Row],[Porcentaje de muertes]]&lt;0.65),"MEDIO",Tabla1[[#This Row],[Porcentaje de muertes]]&gt;0.65,"GRAVE")</f>
        <v>GRAVE</v>
      </c>
    </row>
    <row r="2672" spans="2:24" x14ac:dyDescent="0.3">
      <c r="B2672" s="9">
        <v>2671</v>
      </c>
      <c r="C2672" s="49">
        <v>26913</v>
      </c>
      <c r="D2672" s="9">
        <f>YEAR(Tabla1[[#This Row],[Date]])</f>
        <v>1973</v>
      </c>
      <c r="E2672" s="9" t="str" cm="1">
        <f t="array" ref="E2672">IFERROR(_xlfn.IFS(AND(D2672&lt;1980,D2672&gt;=1970),"70",AND(D2672&lt;1990,D2672&gt;=1980),"80",AND(D2672&lt;2000,D2672&gt;=1990),"90",AND(D2672&lt;2010,D2672&gt;=2000),"00",AND(D2672&lt;=2019,D2672&gt;=2010),"10"),"1908-1970")</f>
        <v>70</v>
      </c>
      <c r="F2672" s="3" t="s">
        <v>28931</v>
      </c>
      <c r="G2672" t="s">
        <v>7368</v>
      </c>
      <c r="H2672" t="s">
        <v>8118</v>
      </c>
      <c r="I2672" t="s">
        <v>28931</v>
      </c>
      <c r="J2672" t="s">
        <v>28931</v>
      </c>
      <c r="K2672" t="s">
        <v>16822</v>
      </c>
      <c r="L2672" s="7" t="s">
        <v>16823</v>
      </c>
      <c r="M2672" t="s">
        <v>16824</v>
      </c>
      <c r="N2672">
        <v>4</v>
      </c>
      <c r="O2672">
        <v>0</v>
      </c>
      <c r="P2672">
        <v>4</v>
      </c>
      <c r="Q2672">
        <v>2</v>
      </c>
      <c r="R2672">
        <v>0</v>
      </c>
      <c r="S2672">
        <v>2</v>
      </c>
      <c r="T2672">
        <v>0</v>
      </c>
      <c r="U2672" t="s">
        <v>16825</v>
      </c>
      <c r="V2672">
        <f>Tabla1[[#This Row],[Aboard]]-Tabla1[[#This Row],[Fatalities]]</f>
        <v>2</v>
      </c>
      <c r="W2672" s="50">
        <f>IFERROR(Tabla1[[#This Row],[Fatalities]]/Tabla1[[#This Row],[Aboard]],0)</f>
        <v>0.5</v>
      </c>
      <c r="X2672" s="51" t="str" cm="1">
        <f t="array" ref="X2672">_xlfn.IFS(Tabla1[[#This Row],[Porcentaje de muertes]]&lt;0.35,"LEVE",AND(Tabla1[[#This Row],[Porcentaje de muertes]]&gt;0.35,Tabla1[[#This Row],[Porcentaje de muertes]]&lt;0.65),"MEDIO",Tabla1[[#This Row],[Porcentaje de muertes]]&gt;0.65,"GRAVE")</f>
        <v>MEDIO</v>
      </c>
    </row>
    <row r="2673" spans="2:24" x14ac:dyDescent="0.3">
      <c r="B2673" s="9">
        <v>2672</v>
      </c>
      <c r="C2673" s="49">
        <v>26835</v>
      </c>
      <c r="D2673" s="9">
        <f>YEAR(Tabla1[[#This Row],[Date]])</f>
        <v>1973</v>
      </c>
      <c r="E2673" s="9" t="str" cm="1">
        <f t="array" ref="E2673">IFERROR(_xlfn.IFS(AND(D2673&lt;1980,D2673&gt;=1970),"70",AND(D2673&lt;1990,D2673&gt;=1980),"80",AND(D2673&lt;2000,D2673&gt;=1990),"90",AND(D2673&lt;2010,D2673&gt;=2000),"00",AND(D2673&lt;=2019,D2673&gt;=2010),"10"),"1908-1970")</f>
        <v>70</v>
      </c>
      <c r="F2673" s="3">
        <v>0.94930555555555562</v>
      </c>
      <c r="G2673" t="s">
        <v>16826</v>
      </c>
      <c r="H2673" t="s">
        <v>16827</v>
      </c>
      <c r="I2673" t="s">
        <v>28931</v>
      </c>
      <c r="J2673" t="s">
        <v>16828</v>
      </c>
      <c r="K2673" t="s">
        <v>16829</v>
      </c>
      <c r="L2673" s="7" t="s">
        <v>16830</v>
      </c>
      <c r="M2673" t="s">
        <v>16831</v>
      </c>
      <c r="N2673">
        <v>27</v>
      </c>
      <c r="O2673">
        <v>22</v>
      </c>
      <c r="P2673">
        <v>5</v>
      </c>
      <c r="Q2673">
        <v>27</v>
      </c>
      <c r="R2673">
        <v>22</v>
      </c>
      <c r="S2673">
        <v>5</v>
      </c>
      <c r="T2673">
        <v>0</v>
      </c>
      <c r="U2673" t="s">
        <v>16832</v>
      </c>
      <c r="V2673">
        <f>Tabla1[[#This Row],[Aboard]]-Tabla1[[#This Row],[Fatalities]]</f>
        <v>0</v>
      </c>
      <c r="W2673" s="50">
        <f>IFERROR(Tabla1[[#This Row],[Fatalities]]/Tabla1[[#This Row],[Aboard]],0)</f>
        <v>1</v>
      </c>
      <c r="X2673" s="51" t="str" cm="1">
        <f t="array" ref="X2673">_xlfn.IFS(Tabla1[[#This Row],[Porcentaje de muertes]]&lt;0.35,"LEVE",AND(Tabla1[[#This Row],[Porcentaje de muertes]]&gt;0.35,Tabla1[[#This Row],[Porcentaje de muertes]]&lt;0.65),"MEDIO",Tabla1[[#This Row],[Porcentaje de muertes]]&gt;0.65,"GRAVE")</f>
        <v>GRAVE</v>
      </c>
    </row>
    <row r="2674" spans="2:24" x14ac:dyDescent="0.3">
      <c r="B2674" s="9">
        <v>2673</v>
      </c>
      <c r="C2674" s="49">
        <v>26845</v>
      </c>
      <c r="D2674" s="9">
        <f>YEAR(Tabla1[[#This Row],[Date]])</f>
        <v>1973</v>
      </c>
      <c r="E2674" s="9" t="str" cm="1">
        <f t="array" ref="E2674">IFERROR(_xlfn.IFS(AND(D2674&lt;1980,D2674&gt;=1970),"70",AND(D2674&lt;1990,D2674&gt;=1980),"80",AND(D2674&lt;2000,D2674&gt;=1990),"90",AND(D2674&lt;2010,D2674&gt;=2000),"00",AND(D2674&lt;=2019,D2674&gt;=2010),"10"),"1908-1970")</f>
        <v>70</v>
      </c>
      <c r="F2674" s="3">
        <v>0.56874999999999998</v>
      </c>
      <c r="G2674" t="s">
        <v>11849</v>
      </c>
      <c r="H2674" t="s">
        <v>6541</v>
      </c>
      <c r="I2674" t="s">
        <v>16833</v>
      </c>
      <c r="J2674" t="s">
        <v>16834</v>
      </c>
      <c r="K2674" t="s">
        <v>16145</v>
      </c>
      <c r="L2674" s="7" t="s">
        <v>16835</v>
      </c>
      <c r="M2674">
        <v>1351306</v>
      </c>
      <c r="N2674">
        <v>85</v>
      </c>
      <c r="O2674">
        <v>78</v>
      </c>
      <c r="P2674">
        <v>8</v>
      </c>
      <c r="Q2674">
        <v>2</v>
      </c>
      <c r="R2674">
        <v>0</v>
      </c>
      <c r="S2674">
        <v>2</v>
      </c>
      <c r="T2674">
        <v>7</v>
      </c>
      <c r="U2674" t="s">
        <v>16836</v>
      </c>
      <c r="V2674">
        <f>Tabla1[[#This Row],[Aboard]]-Tabla1[[#This Row],[Fatalities]]</f>
        <v>83</v>
      </c>
      <c r="W2674" s="50">
        <f>IFERROR(Tabla1[[#This Row],[Fatalities]]/Tabla1[[#This Row],[Aboard]],0)</f>
        <v>2.3529411764705882E-2</v>
      </c>
      <c r="X2674" s="51" t="str" cm="1">
        <f t="array" ref="X2674">_xlfn.IFS(Tabla1[[#This Row],[Porcentaje de muertes]]&lt;0.35,"LEVE",AND(Tabla1[[#This Row],[Porcentaje de muertes]]&gt;0.35,Tabla1[[#This Row],[Porcentaje de muertes]]&lt;0.65),"MEDIO",Tabla1[[#This Row],[Porcentaje de muertes]]&gt;0.65,"GRAVE")</f>
        <v>LEVE</v>
      </c>
    </row>
    <row r="2675" spans="2:24" x14ac:dyDescent="0.3">
      <c r="B2675" s="9">
        <v>2674</v>
      </c>
      <c r="C2675" s="49">
        <v>26761</v>
      </c>
      <c r="D2675" s="9">
        <f>YEAR(Tabla1[[#This Row],[Date]])</f>
        <v>1973</v>
      </c>
      <c r="E2675" s="9" t="str" cm="1">
        <f t="array" ref="E2675">IFERROR(_xlfn.IFS(AND(D2675&lt;1980,D2675&gt;=1970),"70",AND(D2675&lt;1990,D2675&gt;=1980),"80",AND(D2675&lt;2000,D2675&gt;=1990),"90",AND(D2675&lt;2010,D2675&gt;=2000),"00",AND(D2675&lt;=2019,D2675&gt;=2010),"10"),"1908-1970")</f>
        <v>70</v>
      </c>
      <c r="F2675" s="3" t="s">
        <v>28931</v>
      </c>
      <c r="G2675" t="s">
        <v>16837</v>
      </c>
      <c r="H2675" t="s">
        <v>6541</v>
      </c>
      <c r="I2675" t="s">
        <v>28931</v>
      </c>
      <c r="J2675" t="s">
        <v>16838</v>
      </c>
      <c r="K2675" t="s">
        <v>12541</v>
      </c>
      <c r="L2675" s="7" t="s">
        <v>16839</v>
      </c>
      <c r="M2675">
        <v>147001150</v>
      </c>
      <c r="N2675">
        <v>18</v>
      </c>
      <c r="O2675">
        <v>13</v>
      </c>
      <c r="P2675">
        <v>5</v>
      </c>
      <c r="Q2675">
        <v>18</v>
      </c>
      <c r="R2675">
        <v>13</v>
      </c>
      <c r="S2675">
        <v>5</v>
      </c>
      <c r="T2675">
        <v>0</v>
      </c>
      <c r="U2675" t="s">
        <v>16840</v>
      </c>
      <c r="V2675">
        <f>Tabla1[[#This Row],[Aboard]]-Tabla1[[#This Row],[Fatalities]]</f>
        <v>0</v>
      </c>
      <c r="W2675" s="50">
        <f>IFERROR(Tabla1[[#This Row],[Fatalities]]/Tabla1[[#This Row],[Aboard]],0)</f>
        <v>1</v>
      </c>
      <c r="X2675" s="51" t="str" cm="1">
        <f t="array" ref="X2675">_xlfn.IFS(Tabla1[[#This Row],[Porcentaje de muertes]]&lt;0.35,"LEVE",AND(Tabla1[[#This Row],[Porcentaje de muertes]]&gt;0.35,Tabla1[[#This Row],[Porcentaje de muertes]]&lt;0.65),"MEDIO",Tabla1[[#This Row],[Porcentaje de muertes]]&gt;0.65,"GRAVE")</f>
        <v>GRAVE</v>
      </c>
    </row>
    <row r="2676" spans="2:24" x14ac:dyDescent="0.3">
      <c r="B2676" s="9">
        <v>2675</v>
      </c>
      <c r="C2676" s="49">
        <v>26914</v>
      </c>
      <c r="D2676" s="9">
        <f>YEAR(Tabla1[[#This Row],[Date]])</f>
        <v>1973</v>
      </c>
      <c r="E2676" s="9" t="str" cm="1">
        <f t="array" ref="E2676">IFERROR(_xlfn.IFS(AND(D2676&lt;1980,D2676&gt;=1970),"70",AND(D2676&lt;1990,D2676&gt;=1980),"80",AND(D2676&lt;2000,D2676&gt;=1990),"90",AND(D2676&lt;2010,D2676&gt;=2000),"00",AND(D2676&lt;=2019,D2676&gt;=2010),"10"),"1908-1970")</f>
        <v>70</v>
      </c>
      <c r="F2676" s="3">
        <v>0.82847222222222217</v>
      </c>
      <c r="G2676" t="s">
        <v>16841</v>
      </c>
      <c r="H2676" t="s">
        <v>6541</v>
      </c>
      <c r="I2676">
        <v>5385</v>
      </c>
      <c r="J2676" t="s">
        <v>16842</v>
      </c>
      <c r="K2676" t="s">
        <v>16843</v>
      </c>
      <c r="L2676" s="7" t="s">
        <v>16844</v>
      </c>
      <c r="M2676">
        <v>4351407</v>
      </c>
      <c r="N2676">
        <v>61</v>
      </c>
      <c r="O2676">
        <v>54</v>
      </c>
      <c r="P2676">
        <v>7</v>
      </c>
      <c r="Q2676">
        <v>2</v>
      </c>
      <c r="R2676">
        <v>2</v>
      </c>
      <c r="S2676">
        <v>0</v>
      </c>
      <c r="T2676">
        <v>0</v>
      </c>
      <c r="U2676" t="s">
        <v>16845</v>
      </c>
      <c r="V2676">
        <f>Tabla1[[#This Row],[Aboard]]-Tabla1[[#This Row],[Fatalities]]</f>
        <v>59</v>
      </c>
      <c r="W2676" s="50">
        <f>IFERROR(Tabla1[[#This Row],[Fatalities]]/Tabla1[[#This Row],[Aboard]],0)</f>
        <v>3.2786885245901641E-2</v>
      </c>
      <c r="X2676" s="51" t="str" cm="1">
        <f t="array" ref="X2676">_xlfn.IFS(Tabla1[[#This Row],[Porcentaje de muertes]]&lt;0.35,"LEVE",AND(Tabla1[[#This Row],[Porcentaje de muertes]]&gt;0.35,Tabla1[[#This Row],[Porcentaje de muertes]]&lt;0.65),"MEDIO",Tabla1[[#This Row],[Porcentaje de muertes]]&gt;0.65,"GRAVE")</f>
        <v>LEVE</v>
      </c>
    </row>
    <row r="2677" spans="2:24" x14ac:dyDescent="0.3">
      <c r="B2677" s="9">
        <v>2676</v>
      </c>
      <c r="C2677" s="49">
        <v>26975</v>
      </c>
      <c r="D2677" s="9">
        <f>YEAR(Tabla1[[#This Row],[Date]])</f>
        <v>1973</v>
      </c>
      <c r="E2677" s="9" t="str" cm="1">
        <f t="array" ref="E2677">IFERROR(_xlfn.IFS(AND(D2677&lt;1980,D2677&gt;=1970),"70",AND(D2677&lt;1990,D2677&gt;=1980),"80",AND(D2677&lt;2000,D2677&gt;=1990),"90",AND(D2677&lt;2010,D2677&gt;=2000),"00",AND(D2677&lt;=2019,D2677&gt;=2010),"10"),"1908-1970")</f>
        <v>70</v>
      </c>
      <c r="F2677" s="3">
        <v>0.5854166666666667</v>
      </c>
      <c r="G2677" t="s">
        <v>16846</v>
      </c>
      <c r="H2677" t="s">
        <v>8118</v>
      </c>
      <c r="I2677">
        <v>820</v>
      </c>
      <c r="J2677" t="s">
        <v>16847</v>
      </c>
      <c r="K2677" t="s">
        <v>16848</v>
      </c>
      <c r="L2677" s="7" t="s">
        <v>16849</v>
      </c>
      <c r="M2677" t="s">
        <v>16850</v>
      </c>
      <c r="N2677">
        <v>134</v>
      </c>
      <c r="O2677">
        <v>117</v>
      </c>
      <c r="P2677">
        <v>17</v>
      </c>
      <c r="Q2677">
        <v>123</v>
      </c>
      <c r="R2677">
        <v>116</v>
      </c>
      <c r="S2677">
        <v>7</v>
      </c>
      <c r="T2677">
        <v>0</v>
      </c>
      <c r="U2677" t="s">
        <v>16851</v>
      </c>
      <c r="V2677">
        <f>Tabla1[[#This Row],[Aboard]]-Tabla1[[#This Row],[Fatalities]]</f>
        <v>11</v>
      </c>
      <c r="W2677" s="50">
        <f>IFERROR(Tabla1[[#This Row],[Fatalities]]/Tabla1[[#This Row],[Aboard]],0)</f>
        <v>0.91791044776119401</v>
      </c>
      <c r="X2677" s="51" t="str" cm="1">
        <f t="array" ref="X2677">_xlfn.IFS(Tabla1[[#This Row],[Porcentaje de muertes]]&lt;0.35,"LEVE",AND(Tabla1[[#This Row],[Porcentaje de muertes]]&gt;0.35,Tabla1[[#This Row],[Porcentaje de muertes]]&lt;0.65),"MEDIO",Tabla1[[#This Row],[Porcentaje de muertes]]&gt;0.65,"GRAVE")</f>
        <v>GRAVE</v>
      </c>
    </row>
    <row r="2678" spans="2:24" x14ac:dyDescent="0.3">
      <c r="B2678" s="9">
        <v>2677</v>
      </c>
      <c r="C2678" s="49">
        <v>26867</v>
      </c>
      <c r="D2678" s="9">
        <f>YEAR(Tabla1[[#This Row],[Date]])</f>
        <v>1973</v>
      </c>
      <c r="E2678" s="9" t="str" cm="1">
        <f t="array" ref="E2678">IFERROR(_xlfn.IFS(AND(D2678&lt;1980,D2678&gt;=1970),"70",AND(D2678&lt;1990,D2678&gt;=1980),"80",AND(D2678&lt;2000,D2678&gt;=1990),"90",AND(D2678&lt;2010,D2678&gt;=2000),"00",AND(D2678&lt;=2019,D2678&gt;=2010),"10"),"1908-1970")</f>
        <v>70</v>
      </c>
      <c r="F2678" s="3">
        <v>0.92152777777777783</v>
      </c>
      <c r="G2678" t="s">
        <v>16852</v>
      </c>
      <c r="H2678" t="s">
        <v>7121</v>
      </c>
      <c r="I2678">
        <v>816</v>
      </c>
      <c r="J2678" t="s">
        <v>16853</v>
      </c>
      <c r="K2678" t="s">
        <v>14394</v>
      </c>
      <c r="L2678" s="7" t="s">
        <v>16854</v>
      </c>
      <c r="M2678" t="s">
        <v>16855</v>
      </c>
      <c r="N2678">
        <v>79</v>
      </c>
      <c r="O2678">
        <v>69</v>
      </c>
      <c r="P2678">
        <v>10</v>
      </c>
      <c r="Q2678">
        <v>78</v>
      </c>
      <c r="R2678">
        <v>68</v>
      </c>
      <c r="S2678">
        <v>10</v>
      </c>
      <c r="T2678">
        <v>0</v>
      </c>
      <c r="U2678" t="s">
        <v>16856</v>
      </c>
      <c r="V2678">
        <f>Tabla1[[#This Row],[Aboard]]-Tabla1[[#This Row],[Fatalities]]</f>
        <v>1</v>
      </c>
      <c r="W2678" s="50">
        <f>IFERROR(Tabla1[[#This Row],[Fatalities]]/Tabla1[[#This Row],[Aboard]],0)</f>
        <v>0.98734177215189878</v>
      </c>
      <c r="X2678" s="51" t="str" cm="1">
        <f t="array" ref="X2678">_xlfn.IFS(Tabla1[[#This Row],[Porcentaje de muertes]]&lt;0.35,"LEVE",AND(Tabla1[[#This Row],[Porcentaje de muertes]]&gt;0.35,Tabla1[[#This Row],[Porcentaje de muertes]]&lt;0.65),"MEDIO",Tabla1[[#This Row],[Porcentaje de muertes]]&gt;0.65,"GRAVE")</f>
        <v>GRAVE</v>
      </c>
    </row>
    <row r="2679" spans="2:24" x14ac:dyDescent="0.3">
      <c r="B2679" s="9">
        <v>2678</v>
      </c>
      <c r="C2679" s="49">
        <v>26868</v>
      </c>
      <c r="D2679" s="9">
        <f>YEAR(Tabla1[[#This Row],[Date]])</f>
        <v>1973</v>
      </c>
      <c r="E2679" s="9" t="str" cm="1">
        <f t="array" ref="E2679">IFERROR(_xlfn.IFS(AND(D2679&lt;1980,D2679&gt;=1970),"70",AND(D2679&lt;1990,D2679&gt;=1980),"80",AND(D2679&lt;2000,D2679&gt;=1990),"90",AND(D2679&lt;2010,D2679&gt;=2000),"00",AND(D2679&lt;=2019,D2679&gt;=2010),"10"),"1908-1970")</f>
        <v>70</v>
      </c>
      <c r="F2679" s="3">
        <v>0.69652777777777775</v>
      </c>
      <c r="G2679" t="s">
        <v>6852</v>
      </c>
      <c r="H2679" t="s">
        <v>16857</v>
      </c>
      <c r="I2679">
        <v>809</v>
      </c>
      <c r="J2679" t="s">
        <v>16858</v>
      </c>
      <c r="K2679" t="s">
        <v>15291</v>
      </c>
      <c r="L2679" s="7" t="s">
        <v>16859</v>
      </c>
      <c r="M2679">
        <v>513</v>
      </c>
      <c r="N2679">
        <v>44</v>
      </c>
      <c r="O2679">
        <v>41</v>
      </c>
      <c r="P2679">
        <v>3</v>
      </c>
      <c r="Q2679">
        <v>38</v>
      </c>
      <c r="R2679">
        <v>37</v>
      </c>
      <c r="S2679">
        <v>1</v>
      </c>
      <c r="T2679">
        <v>0</v>
      </c>
      <c r="U2679" t="s">
        <v>16860</v>
      </c>
      <c r="V2679">
        <f>Tabla1[[#This Row],[Aboard]]-Tabla1[[#This Row],[Fatalities]]</f>
        <v>6</v>
      </c>
      <c r="W2679" s="50">
        <f>IFERROR(Tabla1[[#This Row],[Fatalities]]/Tabla1[[#This Row],[Aboard]],0)</f>
        <v>0.86363636363636365</v>
      </c>
      <c r="X2679" s="51" t="str" cm="1">
        <f t="array" ref="X2679">_xlfn.IFS(Tabla1[[#This Row],[Porcentaje de muertes]]&lt;0.35,"LEVE",AND(Tabla1[[#This Row],[Porcentaje de muertes]]&gt;0.35,Tabla1[[#This Row],[Porcentaje de muertes]]&lt;0.65),"MEDIO",Tabla1[[#This Row],[Porcentaje de muertes]]&gt;0.65,"GRAVE")</f>
        <v>GRAVE</v>
      </c>
    </row>
    <row r="2680" spans="2:24" x14ac:dyDescent="0.3">
      <c r="B2680" s="9">
        <v>2679</v>
      </c>
      <c r="C2680" s="49">
        <v>26869</v>
      </c>
      <c r="D2680" s="9">
        <f>YEAR(Tabla1[[#This Row],[Date]])</f>
        <v>1973</v>
      </c>
      <c r="E2680" s="9" t="str" cm="1">
        <f t="array" ref="E2680">IFERROR(_xlfn.IFS(AND(D2680&lt;1980,D2680&gt;=1970),"70",AND(D2680&lt;1990,D2680&gt;=1980),"80",AND(D2680&lt;2000,D2680&gt;=1990),"90",AND(D2680&lt;2010,D2680&gt;=2000),"00",AND(D2680&lt;=2019,D2680&gt;=2010),"10"),"1908-1970")</f>
        <v>70</v>
      </c>
      <c r="F2680" s="3">
        <v>0.29722222222222222</v>
      </c>
      <c r="G2680" t="s">
        <v>16861</v>
      </c>
      <c r="H2680" t="s">
        <v>16862</v>
      </c>
      <c r="I2680" t="s">
        <v>28931</v>
      </c>
      <c r="J2680" t="s">
        <v>16863</v>
      </c>
      <c r="K2680" t="s">
        <v>16864</v>
      </c>
      <c r="L2680" s="7" t="s">
        <v>16865</v>
      </c>
      <c r="M2680" t="s">
        <v>28931</v>
      </c>
      <c r="N2680">
        <v>5</v>
      </c>
      <c r="O2680">
        <v>4</v>
      </c>
      <c r="P2680">
        <v>1</v>
      </c>
      <c r="Q2680">
        <v>5</v>
      </c>
      <c r="R2680">
        <v>4</v>
      </c>
      <c r="S2680">
        <v>1</v>
      </c>
      <c r="T2680">
        <v>0</v>
      </c>
      <c r="U2680" t="s">
        <v>16866</v>
      </c>
      <c r="V2680">
        <f>Tabla1[[#This Row],[Aboard]]-Tabla1[[#This Row],[Fatalities]]</f>
        <v>0</v>
      </c>
      <c r="W2680" s="50">
        <f>IFERROR(Tabla1[[#This Row],[Fatalities]]/Tabla1[[#This Row],[Aboard]],0)</f>
        <v>1</v>
      </c>
      <c r="X2680" s="51" t="str" cm="1">
        <f t="array" ref="X2680">_xlfn.IFS(Tabla1[[#This Row],[Porcentaje de muertes]]&lt;0.35,"LEVE",AND(Tabla1[[#This Row],[Porcentaje de muertes]]&gt;0.35,Tabla1[[#This Row],[Porcentaje de muertes]]&lt;0.65),"MEDIO",Tabla1[[#This Row],[Porcentaje de muertes]]&gt;0.65,"GRAVE")</f>
        <v>GRAVE</v>
      </c>
    </row>
    <row r="2681" spans="2:24" x14ac:dyDescent="0.3">
      <c r="B2681" s="9">
        <v>2680</v>
      </c>
      <c r="C2681" s="49">
        <v>26876</v>
      </c>
      <c r="D2681" s="9">
        <f>YEAR(Tabla1[[#This Row],[Date]])</f>
        <v>1973</v>
      </c>
      <c r="E2681" s="9" t="str" cm="1">
        <f t="array" ref="E2681">IFERROR(_xlfn.IFS(AND(D2681&lt;1980,D2681&gt;=1970),"70",AND(D2681&lt;1990,D2681&gt;=1980),"80",AND(D2681&lt;2000,D2681&gt;=1990),"90",AND(D2681&lt;2010,D2681&gt;=2000),"00",AND(D2681&lt;=2019,D2681&gt;=2010),"10"),"1908-1970")</f>
        <v>70</v>
      </c>
      <c r="F2681" s="3">
        <v>0.42222222222222222</v>
      </c>
      <c r="G2681" t="s">
        <v>16867</v>
      </c>
      <c r="H2681" t="s">
        <v>6658</v>
      </c>
      <c r="I2681">
        <v>723</v>
      </c>
      <c r="J2681" t="s">
        <v>16868</v>
      </c>
      <c r="K2681" t="s">
        <v>16014</v>
      </c>
      <c r="L2681" s="7" t="s">
        <v>16869</v>
      </c>
      <c r="M2681" t="s">
        <v>16870</v>
      </c>
      <c r="N2681">
        <v>89</v>
      </c>
      <c r="O2681">
        <v>83</v>
      </c>
      <c r="P2681">
        <v>6</v>
      </c>
      <c r="Q2681">
        <v>89</v>
      </c>
      <c r="R2681">
        <v>83</v>
      </c>
      <c r="S2681">
        <v>6</v>
      </c>
      <c r="T2681">
        <v>0</v>
      </c>
      <c r="U2681" t="s">
        <v>16871</v>
      </c>
      <c r="V2681">
        <f>Tabla1[[#This Row],[Aboard]]-Tabla1[[#This Row],[Fatalities]]</f>
        <v>0</v>
      </c>
      <c r="W2681" s="50">
        <f>IFERROR(Tabla1[[#This Row],[Fatalities]]/Tabla1[[#This Row],[Aboard]],0)</f>
        <v>1</v>
      </c>
      <c r="X2681" s="51" t="str" cm="1">
        <f t="array" ref="X2681">_xlfn.IFS(Tabla1[[#This Row],[Porcentaje de muertes]]&lt;0.35,"LEVE",AND(Tabla1[[#This Row],[Porcentaje de muertes]]&gt;0.35,Tabla1[[#This Row],[Porcentaje de muertes]]&lt;0.65),"MEDIO",Tabla1[[#This Row],[Porcentaje de muertes]]&gt;0.65,"GRAVE")</f>
        <v>GRAVE</v>
      </c>
    </row>
    <row r="2682" spans="2:24" x14ac:dyDescent="0.3">
      <c r="B2682" s="9">
        <v>2681</v>
      </c>
      <c r="C2682" s="49">
        <v>26889</v>
      </c>
      <c r="D2682" s="9">
        <f>YEAR(Tabla1[[#This Row],[Date]])</f>
        <v>1973</v>
      </c>
      <c r="E2682" s="9" t="str" cm="1">
        <f t="array" ref="E2682">IFERROR(_xlfn.IFS(AND(D2682&lt;1980,D2682&gt;=1970),"70",AND(D2682&lt;1990,D2682&gt;=1980),"80",AND(D2682&lt;2000,D2682&gt;=1990),"90",AND(D2682&lt;2010,D2682&gt;=2000),"00",AND(D2682&lt;=2019,D2682&gt;=2010),"10"),"1908-1970")</f>
        <v>70</v>
      </c>
      <c r="F2682" s="3">
        <v>0.4861111111111111</v>
      </c>
      <c r="G2682" t="s">
        <v>16872</v>
      </c>
      <c r="H2682" t="s">
        <v>16873</v>
      </c>
      <c r="I2682">
        <v>118</v>
      </c>
      <c r="J2682" t="s">
        <v>16874</v>
      </c>
      <c r="K2682" t="s">
        <v>16875</v>
      </c>
      <c r="L2682" s="7" t="s">
        <v>16876</v>
      </c>
      <c r="M2682">
        <v>225</v>
      </c>
      <c r="N2682">
        <v>85</v>
      </c>
      <c r="O2682">
        <v>79</v>
      </c>
      <c r="P2682">
        <v>6</v>
      </c>
      <c r="Q2682">
        <v>85</v>
      </c>
      <c r="R2682">
        <v>79</v>
      </c>
      <c r="S2682">
        <v>6</v>
      </c>
      <c r="T2682">
        <v>1</v>
      </c>
      <c r="U2682" t="s">
        <v>16877</v>
      </c>
      <c r="V2682">
        <f>Tabla1[[#This Row],[Aboard]]-Tabla1[[#This Row],[Fatalities]]</f>
        <v>0</v>
      </c>
      <c r="W2682" s="50">
        <f>IFERROR(Tabla1[[#This Row],[Fatalities]]/Tabla1[[#This Row],[Aboard]],0)</f>
        <v>1</v>
      </c>
      <c r="X2682" s="51" t="str" cm="1">
        <f t="array" ref="X2682">_xlfn.IFS(Tabla1[[#This Row],[Porcentaje de muertes]]&lt;0.35,"LEVE",AND(Tabla1[[#This Row],[Porcentaje de muertes]]&gt;0.35,Tabla1[[#This Row],[Porcentaje de muertes]]&lt;0.65),"MEDIO",Tabla1[[#This Row],[Porcentaje de muertes]]&gt;0.65,"GRAVE")</f>
        <v>GRAVE</v>
      </c>
    </row>
    <row r="2683" spans="2:24" x14ac:dyDescent="0.3">
      <c r="B2683" s="9">
        <v>2682</v>
      </c>
      <c r="C2683" s="49">
        <v>26891</v>
      </c>
      <c r="D2683" s="9">
        <f>YEAR(Tabla1[[#This Row],[Date]])</f>
        <v>1973</v>
      </c>
      <c r="E2683" s="9" t="str" cm="1">
        <f t="array" ref="E2683">IFERROR(_xlfn.IFS(AND(D2683&lt;1980,D2683&gt;=1970),"70",AND(D2683&lt;1990,D2683&gt;=1980),"80",AND(D2683&lt;2000,D2683&gt;=1990),"90",AND(D2683&lt;2010,D2683&gt;=2000),"00",AND(D2683&lt;=2019,D2683&gt;=2010),"10"),"1908-1970")</f>
        <v>70</v>
      </c>
      <c r="F2683" s="3">
        <v>0.61805555555555558</v>
      </c>
      <c r="G2683" t="s">
        <v>16878</v>
      </c>
      <c r="H2683" t="s">
        <v>5032</v>
      </c>
      <c r="I2683" t="s">
        <v>28931</v>
      </c>
      <c r="J2683" t="s">
        <v>16879</v>
      </c>
      <c r="K2683" t="s">
        <v>16880</v>
      </c>
      <c r="L2683" s="7" t="s">
        <v>16881</v>
      </c>
      <c r="M2683">
        <v>211</v>
      </c>
      <c r="N2683">
        <v>10</v>
      </c>
      <c r="O2683">
        <v>9</v>
      </c>
      <c r="P2683">
        <v>1</v>
      </c>
      <c r="Q2683">
        <v>10</v>
      </c>
      <c r="R2683">
        <v>9</v>
      </c>
      <c r="S2683">
        <v>1</v>
      </c>
      <c r="T2683">
        <v>0</v>
      </c>
      <c r="U2683" t="s">
        <v>16882</v>
      </c>
      <c r="V2683">
        <f>Tabla1[[#This Row],[Aboard]]-Tabla1[[#This Row],[Fatalities]]</f>
        <v>0</v>
      </c>
      <c r="W2683" s="50">
        <f>IFERROR(Tabla1[[#This Row],[Fatalities]]/Tabla1[[#This Row],[Aboard]],0)</f>
        <v>1</v>
      </c>
      <c r="X2683" s="51" t="str" cm="1">
        <f t="array" ref="X2683">_xlfn.IFS(Tabla1[[#This Row],[Porcentaje de muertes]]&lt;0.35,"LEVE",AND(Tabla1[[#This Row],[Porcentaje de muertes]]&gt;0.35,Tabla1[[#This Row],[Porcentaje de muertes]]&lt;0.65),"MEDIO",Tabla1[[#This Row],[Porcentaje de muertes]]&gt;0.65,"GRAVE")</f>
        <v>GRAVE</v>
      </c>
    </row>
    <row r="2684" spans="2:24" x14ac:dyDescent="0.3">
      <c r="B2684" s="9">
        <v>2683</v>
      </c>
      <c r="C2684" s="49">
        <v>26894</v>
      </c>
      <c r="D2684" s="9">
        <f>YEAR(Tabla1[[#This Row],[Date]])</f>
        <v>1973</v>
      </c>
      <c r="E2684" s="9" t="str" cm="1">
        <f t="array" ref="E2684">IFERROR(_xlfn.IFS(AND(D2684&lt;1980,D2684&gt;=1970),"70",AND(D2684&lt;1990,D2684&gt;=1980),"80",AND(D2684&lt;2000,D2684&gt;=1990),"90",AND(D2684&lt;2010,D2684&gt;=2000),"00",AND(D2684&lt;=2019,D2684&gt;=2010),"10"),"1908-1970")</f>
        <v>70</v>
      </c>
      <c r="F2684" s="3">
        <v>0.78541666666666676</v>
      </c>
      <c r="G2684" t="s">
        <v>16883</v>
      </c>
      <c r="H2684" t="s">
        <v>6541</v>
      </c>
      <c r="I2684" t="s">
        <v>16884</v>
      </c>
      <c r="J2684" t="s">
        <v>16885</v>
      </c>
      <c r="K2684" t="s">
        <v>15299</v>
      </c>
      <c r="L2684" s="7" t="s">
        <v>16886</v>
      </c>
      <c r="M2684">
        <v>87304305</v>
      </c>
      <c r="N2684">
        <v>64</v>
      </c>
      <c r="O2684">
        <v>60</v>
      </c>
      <c r="P2684">
        <v>4</v>
      </c>
      <c r="Q2684">
        <v>56</v>
      </c>
      <c r="R2684">
        <v>54</v>
      </c>
      <c r="S2684">
        <v>2</v>
      </c>
      <c r="T2684">
        <v>0</v>
      </c>
      <c r="U2684" t="s">
        <v>16887</v>
      </c>
      <c r="V2684">
        <f>Tabla1[[#This Row],[Aboard]]-Tabla1[[#This Row],[Fatalities]]</f>
        <v>8</v>
      </c>
      <c r="W2684" s="50">
        <f>IFERROR(Tabla1[[#This Row],[Fatalities]]/Tabla1[[#This Row],[Aboard]],0)</f>
        <v>0.875</v>
      </c>
      <c r="X2684" s="51" t="str" cm="1">
        <f t="array" ref="X2684">_xlfn.IFS(Tabla1[[#This Row],[Porcentaje de muertes]]&lt;0.35,"LEVE",AND(Tabla1[[#This Row],[Porcentaje de muertes]]&gt;0.35,Tabla1[[#This Row],[Porcentaje de muertes]]&lt;0.65),"MEDIO",Tabla1[[#This Row],[Porcentaje de muertes]]&gt;0.65,"GRAVE")</f>
        <v>GRAVE</v>
      </c>
    </row>
    <row r="2685" spans="2:24" x14ac:dyDescent="0.3">
      <c r="B2685" s="9">
        <v>2684</v>
      </c>
      <c r="C2685" s="49">
        <v>26898</v>
      </c>
      <c r="D2685" s="9">
        <f>YEAR(Tabla1[[#This Row],[Date]])</f>
        <v>1973</v>
      </c>
      <c r="E2685" s="9" t="str" cm="1">
        <f t="array" ref="E2685">IFERROR(_xlfn.IFS(AND(D2685&lt;1980,D2685&gt;=1970),"70",AND(D2685&lt;1990,D2685&gt;=1980),"80",AND(D2685&lt;2000,D2685&gt;=1990),"90",AND(D2685&lt;2010,D2685&gt;=2000),"00",AND(D2685&lt;=2019,D2685&gt;=2010),"10"),"1908-1970")</f>
        <v>70</v>
      </c>
      <c r="F2685" s="3">
        <v>0.4861111111111111</v>
      </c>
      <c r="G2685" t="s">
        <v>16888</v>
      </c>
      <c r="H2685" t="s">
        <v>8976</v>
      </c>
      <c r="I2685" t="s">
        <v>28931</v>
      </c>
      <c r="J2685" t="s">
        <v>16889</v>
      </c>
      <c r="K2685" t="s">
        <v>7057</v>
      </c>
      <c r="L2685" s="7" t="s">
        <v>16890</v>
      </c>
      <c r="M2685">
        <v>4105</v>
      </c>
      <c r="N2685">
        <v>17</v>
      </c>
      <c r="O2685">
        <v>14</v>
      </c>
      <c r="P2685">
        <v>3</v>
      </c>
      <c r="Q2685">
        <v>16</v>
      </c>
      <c r="R2685">
        <v>13</v>
      </c>
      <c r="S2685">
        <v>3</v>
      </c>
      <c r="T2685">
        <v>0</v>
      </c>
      <c r="U2685" t="s">
        <v>16891</v>
      </c>
      <c r="V2685">
        <f>Tabla1[[#This Row],[Aboard]]-Tabla1[[#This Row],[Fatalities]]</f>
        <v>1</v>
      </c>
      <c r="W2685" s="50">
        <f>IFERROR(Tabla1[[#This Row],[Fatalities]]/Tabla1[[#This Row],[Aboard]],0)</f>
        <v>0.94117647058823528</v>
      </c>
      <c r="X2685" s="51" t="str" cm="1">
        <f t="array" ref="X2685">_xlfn.IFS(Tabla1[[#This Row],[Porcentaje de muertes]]&lt;0.35,"LEVE",AND(Tabla1[[#This Row],[Porcentaje de muertes]]&gt;0.35,Tabla1[[#This Row],[Porcentaje de muertes]]&lt;0.65),"MEDIO",Tabla1[[#This Row],[Porcentaje de muertes]]&gt;0.65,"GRAVE")</f>
        <v>GRAVE</v>
      </c>
    </row>
    <row r="2686" spans="2:24" x14ac:dyDescent="0.3">
      <c r="B2686" s="9">
        <v>2685</v>
      </c>
      <c r="C2686" s="49">
        <v>26903</v>
      </c>
      <c r="D2686" s="9">
        <f>YEAR(Tabla1[[#This Row],[Date]])</f>
        <v>1973</v>
      </c>
      <c r="E2686" s="9" t="str" cm="1">
        <f t="array" ref="E2686">IFERROR(_xlfn.IFS(AND(D2686&lt;1980,D2686&gt;=1970),"70",AND(D2686&lt;1990,D2686&gt;=1980),"80",AND(D2686&lt;2000,D2686&gt;=1990),"90",AND(D2686&lt;2010,D2686&gt;=2000),"00",AND(D2686&lt;=2019,D2686&gt;=2010),"10"),"1908-1970")</f>
        <v>70</v>
      </c>
      <c r="F2686" s="3">
        <v>0.53125</v>
      </c>
      <c r="G2686" t="s">
        <v>10364</v>
      </c>
      <c r="H2686" t="s">
        <v>16892</v>
      </c>
      <c r="I2686" t="s">
        <v>28931</v>
      </c>
      <c r="J2686" t="s">
        <v>16893</v>
      </c>
      <c r="K2686" t="s">
        <v>16894</v>
      </c>
      <c r="L2686" s="7" t="s">
        <v>16895</v>
      </c>
      <c r="M2686">
        <v>1115</v>
      </c>
      <c r="N2686">
        <v>42</v>
      </c>
      <c r="O2686">
        <v>36</v>
      </c>
      <c r="P2686">
        <v>6</v>
      </c>
      <c r="Q2686">
        <v>42</v>
      </c>
      <c r="R2686">
        <v>36</v>
      </c>
      <c r="S2686">
        <v>6</v>
      </c>
      <c r="T2686">
        <v>0</v>
      </c>
      <c r="U2686" t="s">
        <v>16896</v>
      </c>
      <c r="V2686">
        <f>Tabla1[[#This Row],[Aboard]]-Tabla1[[#This Row],[Fatalities]]</f>
        <v>0</v>
      </c>
      <c r="W2686" s="50">
        <f>IFERROR(Tabla1[[#This Row],[Fatalities]]/Tabla1[[#This Row],[Aboard]],0)</f>
        <v>1</v>
      </c>
      <c r="X2686" s="51" t="str" cm="1">
        <f t="array" ref="X2686">_xlfn.IFS(Tabla1[[#This Row],[Porcentaje de muertes]]&lt;0.35,"LEVE",AND(Tabla1[[#This Row],[Porcentaje de muertes]]&gt;0.35,Tabla1[[#This Row],[Porcentaje de muertes]]&lt;0.65),"MEDIO",Tabla1[[#This Row],[Porcentaje de muertes]]&gt;0.65,"GRAVE")</f>
        <v>GRAVE</v>
      </c>
    </row>
    <row r="2687" spans="2:24" x14ac:dyDescent="0.3">
      <c r="B2687" s="9">
        <v>2686</v>
      </c>
      <c r="C2687" s="49">
        <v>26904</v>
      </c>
      <c r="D2687" s="9">
        <f>YEAR(Tabla1[[#This Row],[Date]])</f>
        <v>1973</v>
      </c>
      <c r="E2687" s="9" t="str" cm="1">
        <f t="array" ref="E2687">IFERROR(_xlfn.IFS(AND(D2687&lt;1980,D2687&gt;=1970),"70",AND(D2687&lt;1990,D2687&gt;=1980),"80",AND(D2687&lt;2000,D2687&gt;=1990),"90",AND(D2687&lt;2010,D2687&gt;=2000),"00",AND(D2687&lt;=2019,D2687&gt;=2010),"10"),"1908-1970")</f>
        <v>70</v>
      </c>
      <c r="F2687" s="3">
        <v>0.90625</v>
      </c>
      <c r="G2687" t="s">
        <v>16897</v>
      </c>
      <c r="H2687" t="s">
        <v>7987</v>
      </c>
      <c r="I2687" t="s">
        <v>28931</v>
      </c>
      <c r="J2687" t="s">
        <v>16898</v>
      </c>
      <c r="K2687" t="s">
        <v>16899</v>
      </c>
      <c r="L2687" s="7" t="s">
        <v>16900</v>
      </c>
      <c r="M2687">
        <v>6008</v>
      </c>
      <c r="N2687">
        <v>25</v>
      </c>
      <c r="O2687">
        <v>17</v>
      </c>
      <c r="P2687">
        <v>8</v>
      </c>
      <c r="Q2687">
        <v>24</v>
      </c>
      <c r="R2687">
        <v>17</v>
      </c>
      <c r="S2687">
        <v>7</v>
      </c>
      <c r="T2687">
        <v>0</v>
      </c>
      <c r="U2687" t="s">
        <v>16901</v>
      </c>
      <c r="V2687">
        <f>Tabla1[[#This Row],[Aboard]]-Tabla1[[#This Row],[Fatalities]]</f>
        <v>1</v>
      </c>
      <c r="W2687" s="50">
        <f>IFERROR(Tabla1[[#This Row],[Fatalities]]/Tabla1[[#This Row],[Aboard]],0)</f>
        <v>0.96</v>
      </c>
      <c r="X2687" s="51" t="str" cm="1">
        <f t="array" ref="X2687">_xlfn.IFS(Tabla1[[#This Row],[Porcentaje de muertes]]&lt;0.35,"LEVE",AND(Tabla1[[#This Row],[Porcentaje de muertes]]&gt;0.35,Tabla1[[#This Row],[Porcentaje de muertes]]&lt;0.65),"MEDIO",Tabla1[[#This Row],[Porcentaje de muertes]]&gt;0.65,"GRAVE")</f>
        <v>GRAVE</v>
      </c>
    </row>
    <row r="2688" spans="2:24" x14ac:dyDescent="0.3">
      <c r="B2688" s="9">
        <v>2687</v>
      </c>
      <c r="C2688" s="49">
        <v>26904</v>
      </c>
      <c r="D2688" s="9">
        <f>YEAR(Tabla1[[#This Row],[Date]])</f>
        <v>1973</v>
      </c>
      <c r="E2688" s="9" t="str" cm="1">
        <f t="array" ref="E2688">IFERROR(_xlfn.IFS(AND(D2688&lt;1980,D2688&gt;=1970),"70",AND(D2688&lt;1990,D2688&gt;=1980),"80",AND(D2688&lt;2000,D2688&gt;=1990),"90",AND(D2688&lt;2010,D2688&gt;=2000),"00",AND(D2688&lt;=2019,D2688&gt;=2010),"10"),"1908-1970")</f>
        <v>70</v>
      </c>
      <c r="F2688" s="3">
        <v>0.86805555555555547</v>
      </c>
      <c r="G2688" t="s">
        <v>16902</v>
      </c>
      <c r="H2688" t="s">
        <v>10166</v>
      </c>
      <c r="I2688">
        <v>742</v>
      </c>
      <c r="J2688" t="s">
        <v>16903</v>
      </c>
      <c r="K2688" t="s">
        <v>16904</v>
      </c>
      <c r="L2688" s="7" t="s">
        <v>16905</v>
      </c>
      <c r="M2688" t="s">
        <v>16906</v>
      </c>
      <c r="N2688">
        <v>149</v>
      </c>
      <c r="O2688">
        <v>141</v>
      </c>
      <c r="P2688">
        <v>8</v>
      </c>
      <c r="Q2688">
        <v>1</v>
      </c>
      <c r="R2688">
        <v>1</v>
      </c>
      <c r="S2688">
        <v>0</v>
      </c>
      <c r="T2688">
        <v>0</v>
      </c>
      <c r="U2688" t="s">
        <v>16907</v>
      </c>
      <c r="V2688">
        <f>Tabla1[[#This Row],[Aboard]]-Tabla1[[#This Row],[Fatalities]]</f>
        <v>148</v>
      </c>
      <c r="W2688" s="50">
        <f>IFERROR(Tabla1[[#This Row],[Fatalities]]/Tabla1[[#This Row],[Aboard]],0)</f>
        <v>6.7114093959731542E-3</v>
      </c>
      <c r="X2688" s="51" t="str" cm="1">
        <f t="array" ref="X2688">_xlfn.IFS(Tabla1[[#This Row],[Porcentaje de muertes]]&lt;0.35,"LEVE",AND(Tabla1[[#This Row],[Porcentaje de muertes]]&gt;0.35,Tabla1[[#This Row],[Porcentaje de muertes]]&lt;0.65),"MEDIO",Tabla1[[#This Row],[Porcentaje de muertes]]&gt;0.65,"GRAVE")</f>
        <v>LEVE</v>
      </c>
    </row>
    <row r="2689" spans="2:24" x14ac:dyDescent="0.3">
      <c r="B2689" s="9">
        <v>2688</v>
      </c>
      <c r="C2689" s="49">
        <v>26885</v>
      </c>
      <c r="D2689" s="9">
        <f>YEAR(Tabla1[[#This Row],[Date]])</f>
        <v>1973</v>
      </c>
      <c r="E2689" s="9" t="str" cm="1">
        <f t="array" ref="E2689">IFERROR(_xlfn.IFS(AND(D2689&lt;1980,D2689&gt;=1970),"70",AND(D2689&lt;1990,D2689&gt;=1980),"80",AND(D2689&lt;2000,D2689&gt;=1990),"90",AND(D2689&lt;2010,D2689&gt;=2000),"00",AND(D2689&lt;=2019,D2689&gt;=2010),"10"),"1908-1970")</f>
        <v>70</v>
      </c>
      <c r="F2689" s="3">
        <v>0.23750000000000002</v>
      </c>
      <c r="G2689" t="s">
        <v>16908</v>
      </c>
      <c r="H2689" t="s">
        <v>13064</v>
      </c>
      <c r="I2689" t="s">
        <v>28931</v>
      </c>
      <c r="J2689" t="s">
        <v>16909</v>
      </c>
      <c r="K2689" t="s">
        <v>16910</v>
      </c>
      <c r="L2689" s="7" t="s">
        <v>16911</v>
      </c>
      <c r="M2689">
        <v>46146</v>
      </c>
      <c r="N2689">
        <v>6</v>
      </c>
      <c r="O2689">
        <v>3</v>
      </c>
      <c r="P2689">
        <v>3</v>
      </c>
      <c r="Q2689">
        <v>6</v>
      </c>
      <c r="R2689">
        <v>3</v>
      </c>
      <c r="S2689">
        <v>3</v>
      </c>
      <c r="T2689">
        <v>0</v>
      </c>
      <c r="U2689" t="s">
        <v>16912</v>
      </c>
      <c r="V2689">
        <f>Tabla1[[#This Row],[Aboard]]-Tabla1[[#This Row],[Fatalities]]</f>
        <v>0</v>
      </c>
      <c r="W2689" s="50">
        <f>IFERROR(Tabla1[[#This Row],[Fatalities]]/Tabla1[[#This Row],[Aboard]],0)</f>
        <v>1</v>
      </c>
      <c r="X2689" s="51" t="str" cm="1">
        <f t="array" ref="X2689">_xlfn.IFS(Tabla1[[#This Row],[Porcentaje de muertes]]&lt;0.35,"LEVE",AND(Tabla1[[#This Row],[Porcentaje de muertes]]&gt;0.35,Tabla1[[#This Row],[Porcentaje de muertes]]&lt;0.65),"MEDIO",Tabla1[[#This Row],[Porcentaje de muertes]]&gt;0.65,"GRAVE")</f>
        <v>GRAVE</v>
      </c>
    </row>
    <row r="2690" spans="2:24" x14ac:dyDescent="0.3">
      <c r="B2690" s="9">
        <v>2689</v>
      </c>
      <c r="C2690" s="49">
        <v>26977</v>
      </c>
      <c r="D2690" s="9">
        <f>YEAR(Tabla1[[#This Row],[Date]])</f>
        <v>1973</v>
      </c>
      <c r="E2690" s="9" t="str" cm="1">
        <f t="array" ref="E2690">IFERROR(_xlfn.IFS(AND(D2690&lt;1980,D2690&gt;=1970),"70",AND(D2690&lt;1990,D2690&gt;=1980),"80",AND(D2690&lt;2000,D2690&gt;=1990),"90",AND(D2690&lt;2010,D2690&gt;=2000),"00",AND(D2690&lt;=2019,D2690&gt;=2010),"10"),"1908-1970")</f>
        <v>70</v>
      </c>
      <c r="F2690" s="3" t="s">
        <v>28931</v>
      </c>
      <c r="G2690" t="s">
        <v>16913</v>
      </c>
      <c r="H2690" t="s">
        <v>9280</v>
      </c>
      <c r="I2690" t="s">
        <v>28931</v>
      </c>
      <c r="J2690" t="s">
        <v>16914</v>
      </c>
      <c r="K2690" t="s">
        <v>16915</v>
      </c>
      <c r="L2690" s="7" t="s">
        <v>16916</v>
      </c>
      <c r="M2690" t="s">
        <v>16917</v>
      </c>
      <c r="N2690">
        <v>41</v>
      </c>
      <c r="O2690">
        <v>35</v>
      </c>
      <c r="P2690">
        <v>6</v>
      </c>
      <c r="Q2690">
        <v>41</v>
      </c>
      <c r="R2690">
        <v>35</v>
      </c>
      <c r="S2690">
        <v>6</v>
      </c>
      <c r="T2690">
        <v>0</v>
      </c>
      <c r="U2690" t="s">
        <v>16918</v>
      </c>
      <c r="V2690">
        <f>Tabla1[[#This Row],[Aboard]]-Tabla1[[#This Row],[Fatalities]]</f>
        <v>0</v>
      </c>
      <c r="W2690" s="50">
        <f>IFERROR(Tabla1[[#This Row],[Fatalities]]/Tabla1[[#This Row],[Aboard]],0)</f>
        <v>1</v>
      </c>
      <c r="X2690" s="51" t="str" cm="1">
        <f t="array" ref="X2690">_xlfn.IFS(Tabla1[[#This Row],[Porcentaje de muertes]]&lt;0.35,"LEVE",AND(Tabla1[[#This Row],[Porcentaje de muertes]]&gt;0.35,Tabla1[[#This Row],[Porcentaje de muertes]]&lt;0.65),"MEDIO",Tabla1[[#This Row],[Porcentaje de muertes]]&gt;0.65,"GRAVE")</f>
        <v>GRAVE</v>
      </c>
    </row>
    <row r="2691" spans="2:24" x14ac:dyDescent="0.3">
      <c r="B2691" s="9">
        <v>2690</v>
      </c>
      <c r="C2691" s="49">
        <v>26927</v>
      </c>
      <c r="D2691" s="9">
        <f>YEAR(Tabla1[[#This Row],[Date]])</f>
        <v>1973</v>
      </c>
      <c r="E2691" s="9" t="str" cm="1">
        <f t="array" ref="E2691">IFERROR(_xlfn.IFS(AND(D2691&lt;1980,D2691&gt;=1970),"70",AND(D2691&lt;1990,D2691&gt;=1980),"80",AND(D2691&lt;2000,D2691&gt;=1990),"90",AND(D2691&lt;2010,D2691&gt;=2000),"00",AND(D2691&lt;=2019,D2691&gt;=2010),"10"),"1908-1970")</f>
        <v>70</v>
      </c>
      <c r="F2691" s="3">
        <v>0.94791666666666663</v>
      </c>
      <c r="G2691" t="s">
        <v>16919</v>
      </c>
      <c r="H2691" t="s">
        <v>15607</v>
      </c>
      <c r="I2691" t="s">
        <v>8152</v>
      </c>
      <c r="J2691" t="s">
        <v>16920</v>
      </c>
      <c r="K2691" t="s">
        <v>16921</v>
      </c>
      <c r="L2691" s="7" t="s">
        <v>16922</v>
      </c>
      <c r="M2691" t="s">
        <v>16923</v>
      </c>
      <c r="N2691">
        <v>6</v>
      </c>
      <c r="O2691">
        <v>5</v>
      </c>
      <c r="P2691">
        <v>1</v>
      </c>
      <c r="Q2691">
        <v>6</v>
      </c>
      <c r="R2691">
        <v>5</v>
      </c>
      <c r="S2691">
        <v>1</v>
      </c>
      <c r="T2691">
        <v>0</v>
      </c>
      <c r="U2691" t="s">
        <v>16924</v>
      </c>
      <c r="V2691">
        <f>Tabla1[[#This Row],[Aboard]]-Tabla1[[#This Row],[Fatalities]]</f>
        <v>0</v>
      </c>
      <c r="W2691" s="50">
        <f>IFERROR(Tabla1[[#This Row],[Fatalities]]/Tabla1[[#This Row],[Aboard]],0)</f>
        <v>1</v>
      </c>
      <c r="X2691" s="51" t="str" cm="1">
        <f t="array" ref="X2691">_xlfn.IFS(Tabla1[[#This Row],[Porcentaje de muertes]]&lt;0.35,"LEVE",AND(Tabla1[[#This Row],[Porcentaje de muertes]]&gt;0.35,Tabla1[[#This Row],[Porcentaje de muertes]]&lt;0.65),"MEDIO",Tabla1[[#This Row],[Porcentaje de muertes]]&gt;0.65,"GRAVE")</f>
        <v>GRAVE</v>
      </c>
    </row>
    <row r="2692" spans="2:24" x14ac:dyDescent="0.3">
      <c r="B2692" s="9">
        <v>2691</v>
      </c>
      <c r="C2692" s="49">
        <v>26934</v>
      </c>
      <c r="D2692" s="9">
        <f>YEAR(Tabla1[[#This Row],[Date]])</f>
        <v>1973</v>
      </c>
      <c r="E2692" s="9" t="str" cm="1">
        <f t="array" ref="E2692">IFERROR(_xlfn.IFS(AND(D2692&lt;1980,D2692&gt;=1970),"70",AND(D2692&lt;1990,D2692&gt;=1980),"80",AND(D2692&lt;2000,D2692&gt;=1990),"90",AND(D2692&lt;2010,D2692&gt;=2000),"00",AND(D2692&lt;=2019,D2692&gt;=2010),"10"),"1908-1970")</f>
        <v>70</v>
      </c>
      <c r="F2692" s="3">
        <v>0.82777777777777783</v>
      </c>
      <c r="G2692" t="s">
        <v>16925</v>
      </c>
      <c r="H2692" t="s">
        <v>16926</v>
      </c>
      <c r="I2692">
        <v>655</v>
      </c>
      <c r="J2692" t="s">
        <v>16927</v>
      </c>
      <c r="K2692" t="s">
        <v>16928</v>
      </c>
      <c r="L2692" s="7" t="s">
        <v>16929</v>
      </c>
      <c r="M2692">
        <v>56</v>
      </c>
      <c r="N2692">
        <v>11</v>
      </c>
      <c r="O2692">
        <v>8</v>
      </c>
      <c r="P2692">
        <v>3</v>
      </c>
      <c r="Q2692">
        <v>11</v>
      </c>
      <c r="R2692">
        <v>8</v>
      </c>
      <c r="S2692">
        <v>3</v>
      </c>
      <c r="T2692">
        <v>0</v>
      </c>
      <c r="U2692" t="s">
        <v>16930</v>
      </c>
      <c r="V2692">
        <f>Tabla1[[#This Row],[Aboard]]-Tabla1[[#This Row],[Fatalities]]</f>
        <v>0</v>
      </c>
      <c r="W2692" s="50">
        <f>IFERROR(Tabla1[[#This Row],[Fatalities]]/Tabla1[[#This Row],[Aboard]],0)</f>
        <v>1</v>
      </c>
      <c r="X2692" s="51" t="str" cm="1">
        <f t="array" ref="X2692">_xlfn.IFS(Tabla1[[#This Row],[Porcentaje de muertes]]&lt;0.35,"LEVE",AND(Tabla1[[#This Row],[Porcentaje de muertes]]&gt;0.35,Tabla1[[#This Row],[Porcentaje de muertes]]&lt;0.65),"MEDIO",Tabla1[[#This Row],[Porcentaje de muertes]]&gt;0.65,"GRAVE")</f>
        <v>GRAVE</v>
      </c>
    </row>
    <row r="2693" spans="2:24" x14ac:dyDescent="0.3">
      <c r="B2693" s="9">
        <v>2692</v>
      </c>
      <c r="C2693" s="49">
        <v>26937</v>
      </c>
      <c r="D2693" s="9">
        <f>YEAR(Tabla1[[#This Row],[Date]])</f>
        <v>1973</v>
      </c>
      <c r="E2693" s="9" t="str" cm="1">
        <f t="array" ref="E2693">IFERROR(_xlfn.IFS(AND(D2693&lt;1980,D2693&gt;=1970),"70",AND(D2693&lt;1990,D2693&gt;=1980),"80",AND(D2693&lt;2000,D2693&gt;=1990),"90",AND(D2693&lt;2010,D2693&gt;=2000),"00",AND(D2693&lt;=2019,D2693&gt;=2010),"10"),"1908-1970")</f>
        <v>70</v>
      </c>
      <c r="F2693" s="3" t="s">
        <v>28931</v>
      </c>
      <c r="G2693" t="s">
        <v>16931</v>
      </c>
      <c r="H2693" t="s">
        <v>16932</v>
      </c>
      <c r="I2693" t="s">
        <v>28931</v>
      </c>
      <c r="J2693" t="s">
        <v>16933</v>
      </c>
      <c r="K2693" t="s">
        <v>6970</v>
      </c>
      <c r="L2693" s="7" t="s">
        <v>16934</v>
      </c>
      <c r="M2693">
        <v>20182</v>
      </c>
      <c r="N2693">
        <v>9</v>
      </c>
      <c r="O2693">
        <v>5</v>
      </c>
      <c r="P2693">
        <v>4</v>
      </c>
      <c r="Q2693">
        <v>9</v>
      </c>
      <c r="R2693">
        <v>5</v>
      </c>
      <c r="S2693">
        <v>4</v>
      </c>
      <c r="T2693">
        <v>0</v>
      </c>
      <c r="U2693" t="s">
        <v>16935</v>
      </c>
      <c r="V2693">
        <f>Tabla1[[#This Row],[Aboard]]-Tabla1[[#This Row],[Fatalities]]</f>
        <v>0</v>
      </c>
      <c r="W2693" s="50">
        <f>IFERROR(Tabla1[[#This Row],[Fatalities]]/Tabla1[[#This Row],[Aboard]],0)</f>
        <v>1</v>
      </c>
      <c r="X2693" s="51" t="str" cm="1">
        <f t="array" ref="X2693">_xlfn.IFS(Tabla1[[#This Row],[Porcentaje de muertes]]&lt;0.35,"LEVE",AND(Tabla1[[#This Row],[Porcentaje de muertes]]&gt;0.35,Tabla1[[#This Row],[Porcentaje de muertes]]&lt;0.65),"MEDIO",Tabla1[[#This Row],[Porcentaje de muertes]]&gt;0.65,"GRAVE")</f>
        <v>GRAVE</v>
      </c>
    </row>
    <row r="2694" spans="2:24" x14ac:dyDescent="0.3">
      <c r="B2694" s="9">
        <v>2693</v>
      </c>
      <c r="C2694" s="49">
        <v>26937</v>
      </c>
      <c r="D2694" s="9">
        <f>YEAR(Tabla1[[#This Row],[Date]])</f>
        <v>1973</v>
      </c>
      <c r="E2694" s="9" t="str" cm="1">
        <f t="array" ref="E2694">IFERROR(_xlfn.IFS(AND(D2694&lt;1980,D2694&gt;=1970),"70",AND(D2694&lt;1990,D2694&gt;=1980),"80",AND(D2694&lt;2000,D2694&gt;=1990),"90",AND(D2694&lt;2010,D2694&gt;=2000),"00",AND(D2694&lt;=2019,D2694&gt;=2010),"10"),"1908-1970")</f>
        <v>70</v>
      </c>
      <c r="F2694" s="3">
        <v>0.85902777777777783</v>
      </c>
      <c r="G2694" t="s">
        <v>15066</v>
      </c>
      <c r="H2694" t="s">
        <v>6541</v>
      </c>
      <c r="I2694">
        <v>3932</v>
      </c>
      <c r="J2694" t="s">
        <v>16936</v>
      </c>
      <c r="K2694" t="s">
        <v>13269</v>
      </c>
      <c r="L2694" s="7" t="s">
        <v>16937</v>
      </c>
      <c r="M2694">
        <v>21904</v>
      </c>
      <c r="N2694">
        <v>108</v>
      </c>
      <c r="O2694">
        <v>100</v>
      </c>
      <c r="P2694">
        <v>8</v>
      </c>
      <c r="Q2694">
        <v>108</v>
      </c>
      <c r="R2694">
        <v>100</v>
      </c>
      <c r="S2694">
        <v>8</v>
      </c>
      <c r="T2694">
        <v>0</v>
      </c>
      <c r="U2694" t="s">
        <v>16938</v>
      </c>
      <c r="V2694">
        <f>Tabla1[[#This Row],[Aboard]]-Tabla1[[#This Row],[Fatalities]]</f>
        <v>0</v>
      </c>
      <c r="W2694" s="50">
        <f>IFERROR(Tabla1[[#This Row],[Fatalities]]/Tabla1[[#This Row],[Aboard]],0)</f>
        <v>1</v>
      </c>
      <c r="X2694" s="51" t="str" cm="1">
        <f t="array" ref="X2694">_xlfn.IFS(Tabla1[[#This Row],[Porcentaje de muertes]]&lt;0.35,"LEVE",AND(Tabla1[[#This Row],[Porcentaje de muertes]]&gt;0.35,Tabla1[[#This Row],[Porcentaje de muertes]]&lt;0.65),"MEDIO",Tabla1[[#This Row],[Porcentaje de muertes]]&gt;0.65,"GRAVE")</f>
        <v>GRAVE</v>
      </c>
    </row>
    <row r="2695" spans="2:24" x14ac:dyDescent="0.3">
      <c r="B2695" s="9">
        <v>2694</v>
      </c>
      <c r="C2695" s="49">
        <v>26705</v>
      </c>
      <c r="D2695" s="9">
        <f>YEAR(Tabla1[[#This Row],[Date]])</f>
        <v>1973</v>
      </c>
      <c r="E2695" s="9" t="str" cm="1">
        <f t="array" ref="E2695">IFERROR(_xlfn.IFS(AND(D2695&lt;1980,D2695&gt;=1970),"70",AND(D2695&lt;1990,D2695&gt;=1980),"80",AND(D2695&lt;2000,D2695&gt;=1990),"90",AND(D2695&lt;2010,D2695&gt;=2000),"00",AND(D2695&lt;=2019,D2695&gt;=2010),"10"),"1908-1970")</f>
        <v>70</v>
      </c>
      <c r="F2695" s="3">
        <v>0.98333333333333339</v>
      </c>
      <c r="G2695" t="s">
        <v>16939</v>
      </c>
      <c r="H2695" t="s">
        <v>6541</v>
      </c>
      <c r="I2695">
        <v>3932</v>
      </c>
      <c r="J2695" t="s">
        <v>16940</v>
      </c>
      <c r="K2695" t="s">
        <v>16941</v>
      </c>
      <c r="L2695" s="7" t="s">
        <v>16942</v>
      </c>
      <c r="M2695">
        <v>9346502</v>
      </c>
      <c r="N2695">
        <v>10</v>
      </c>
      <c r="O2695">
        <v>8</v>
      </c>
      <c r="P2695">
        <v>2</v>
      </c>
      <c r="Q2695">
        <v>10</v>
      </c>
      <c r="R2695">
        <v>8</v>
      </c>
      <c r="S2695">
        <v>2</v>
      </c>
      <c r="T2695">
        <v>0</v>
      </c>
      <c r="U2695" t="s">
        <v>16943</v>
      </c>
      <c r="V2695">
        <f>Tabla1[[#This Row],[Aboard]]-Tabla1[[#This Row],[Fatalities]]</f>
        <v>0</v>
      </c>
      <c r="W2695" s="50">
        <f>IFERROR(Tabla1[[#This Row],[Fatalities]]/Tabla1[[#This Row],[Aboard]],0)</f>
        <v>1</v>
      </c>
      <c r="X2695" s="51" t="str" cm="1">
        <f t="array" ref="X2695">_xlfn.IFS(Tabla1[[#This Row],[Porcentaje de muertes]]&lt;0.35,"LEVE",AND(Tabla1[[#This Row],[Porcentaje de muertes]]&gt;0.35,Tabla1[[#This Row],[Porcentaje de muertes]]&lt;0.65),"MEDIO",Tabla1[[#This Row],[Porcentaje de muertes]]&gt;0.65,"GRAVE")</f>
        <v>GRAVE</v>
      </c>
    </row>
    <row r="2696" spans="2:24" x14ac:dyDescent="0.3">
      <c r="B2696" s="9">
        <v>2695</v>
      </c>
      <c r="C2696" s="49">
        <v>26950</v>
      </c>
      <c r="D2696" s="9">
        <f>YEAR(Tabla1[[#This Row],[Date]])</f>
        <v>1973</v>
      </c>
      <c r="E2696" s="9" t="str" cm="1">
        <f t="array" ref="E2696">IFERROR(_xlfn.IFS(AND(D2696&lt;1980,D2696&gt;=1970),"70",AND(D2696&lt;1990,D2696&gt;=1980),"80",AND(D2696&lt;2000,D2696&gt;=1990),"90",AND(D2696&lt;2010,D2696&gt;=2000),"00",AND(D2696&lt;=2019,D2696&gt;=2010),"10"),"1908-1970")</f>
        <v>70</v>
      </c>
      <c r="F2696" s="3">
        <v>0.84583333333333333</v>
      </c>
      <c r="G2696" t="s">
        <v>16944</v>
      </c>
      <c r="H2696" t="s">
        <v>6541</v>
      </c>
      <c r="I2696">
        <v>964</v>
      </c>
      <c r="J2696" t="s">
        <v>16945</v>
      </c>
      <c r="K2696" t="s">
        <v>13269</v>
      </c>
      <c r="L2696" s="7" t="s">
        <v>16946</v>
      </c>
      <c r="M2696">
        <v>21504</v>
      </c>
      <c r="N2696">
        <v>122</v>
      </c>
      <c r="O2696">
        <v>114</v>
      </c>
      <c r="P2696">
        <v>8</v>
      </c>
      <c r="Q2696">
        <v>122</v>
      </c>
      <c r="R2696">
        <v>114</v>
      </c>
      <c r="S2696">
        <v>8</v>
      </c>
      <c r="T2696">
        <v>0</v>
      </c>
      <c r="U2696" t="s">
        <v>16947</v>
      </c>
      <c r="V2696">
        <f>Tabla1[[#This Row],[Aboard]]-Tabla1[[#This Row],[Fatalities]]</f>
        <v>0</v>
      </c>
      <c r="W2696" s="50">
        <f>IFERROR(Tabla1[[#This Row],[Fatalities]]/Tabla1[[#This Row],[Aboard]],0)</f>
        <v>1</v>
      </c>
      <c r="X2696" s="51" t="str" cm="1">
        <f t="array" ref="X2696">_xlfn.IFS(Tabla1[[#This Row],[Porcentaje de muertes]]&lt;0.35,"LEVE",AND(Tabla1[[#This Row],[Porcentaje de muertes]]&gt;0.35,Tabla1[[#This Row],[Porcentaje de muertes]]&lt;0.65),"MEDIO",Tabla1[[#This Row],[Porcentaje de muertes]]&gt;0.65,"GRAVE")</f>
        <v>GRAVE</v>
      </c>
    </row>
    <row r="2697" spans="2:24" x14ac:dyDescent="0.3">
      <c r="B2697" s="9">
        <v>2696</v>
      </c>
      <c r="C2697" s="49">
        <v>26960</v>
      </c>
      <c r="D2697" s="9">
        <f>YEAR(Tabla1[[#This Row],[Date]])</f>
        <v>1973</v>
      </c>
      <c r="E2697" s="9" t="str" cm="1">
        <f t="array" ref="E2697">IFERROR(_xlfn.IFS(AND(D2697&lt;1980,D2697&gt;=1970),"70",AND(D2697&lt;1990,D2697&gt;=1980),"80",AND(D2697&lt;2000,D2697&gt;=1990),"90",AND(D2697&lt;2010,D2697&gt;=2000),"00",AND(D2697&lt;=2019,D2697&gt;=2010),"10"),"1908-1970")</f>
        <v>70</v>
      </c>
      <c r="F2697" s="3">
        <v>0.36805555555555558</v>
      </c>
      <c r="G2697" t="s">
        <v>16948</v>
      </c>
      <c r="H2697" t="s">
        <v>7581</v>
      </c>
      <c r="I2697" t="s">
        <v>28931</v>
      </c>
      <c r="J2697" t="s">
        <v>16949</v>
      </c>
      <c r="K2697" t="s">
        <v>16402</v>
      </c>
      <c r="L2697" s="7" t="s">
        <v>16950</v>
      </c>
      <c r="M2697">
        <v>2068</v>
      </c>
      <c r="N2697">
        <v>65</v>
      </c>
      <c r="O2697">
        <v>60</v>
      </c>
      <c r="P2697">
        <v>5</v>
      </c>
      <c r="Q2697">
        <v>8</v>
      </c>
      <c r="R2697">
        <v>8</v>
      </c>
      <c r="S2697">
        <v>0</v>
      </c>
      <c r="T2697">
        <v>0</v>
      </c>
      <c r="U2697" t="s">
        <v>16951</v>
      </c>
      <c r="V2697">
        <f>Tabla1[[#This Row],[Aboard]]-Tabla1[[#This Row],[Fatalities]]</f>
        <v>57</v>
      </c>
      <c r="W2697" s="50">
        <f>IFERROR(Tabla1[[#This Row],[Fatalities]]/Tabla1[[#This Row],[Aboard]],0)</f>
        <v>0.12307692307692308</v>
      </c>
      <c r="X2697" s="51" t="str" cm="1">
        <f t="array" ref="X2697">_xlfn.IFS(Tabla1[[#This Row],[Porcentaje de muertes]]&lt;0.35,"LEVE",AND(Tabla1[[#This Row],[Porcentaje de muertes]]&gt;0.35,Tabla1[[#This Row],[Porcentaje de muertes]]&lt;0.65),"MEDIO",Tabla1[[#This Row],[Porcentaje de muertes]]&gt;0.65,"GRAVE")</f>
        <v>LEVE</v>
      </c>
    </row>
    <row r="2698" spans="2:24" x14ac:dyDescent="0.3">
      <c r="B2698" s="9">
        <v>2697</v>
      </c>
      <c r="C2698" s="49">
        <v>26706</v>
      </c>
      <c r="D2698" s="9">
        <f>YEAR(Tabla1[[#This Row],[Date]])</f>
        <v>1973</v>
      </c>
      <c r="E2698" s="9" t="str" cm="1">
        <f t="array" ref="E2698">IFERROR(_xlfn.IFS(AND(D2698&lt;1980,D2698&gt;=1970),"70",AND(D2698&lt;1990,D2698&gt;=1980),"80",AND(D2698&lt;2000,D2698&gt;=1990),"90",AND(D2698&lt;2010,D2698&gt;=2000),"00",AND(D2698&lt;=2019,D2698&gt;=2010),"10"),"1908-1970")</f>
        <v>70</v>
      </c>
      <c r="F2698" s="3" t="s">
        <v>28931</v>
      </c>
      <c r="G2698" t="s">
        <v>16532</v>
      </c>
      <c r="H2698" t="s">
        <v>15785</v>
      </c>
      <c r="I2698" t="s">
        <v>28931</v>
      </c>
      <c r="J2698" t="s">
        <v>16952</v>
      </c>
      <c r="K2698" t="s">
        <v>16953</v>
      </c>
      <c r="L2698" s="7" t="s">
        <v>16954</v>
      </c>
      <c r="M2698">
        <v>150</v>
      </c>
      <c r="N2698">
        <v>16</v>
      </c>
      <c r="O2698">
        <v>12</v>
      </c>
      <c r="P2698">
        <v>4</v>
      </c>
      <c r="Q2698">
        <v>6</v>
      </c>
      <c r="R2698">
        <v>3</v>
      </c>
      <c r="S2698">
        <v>3</v>
      </c>
      <c r="T2698">
        <v>0</v>
      </c>
      <c r="U2698" t="s">
        <v>16955</v>
      </c>
      <c r="V2698">
        <f>Tabla1[[#This Row],[Aboard]]-Tabla1[[#This Row],[Fatalities]]</f>
        <v>10</v>
      </c>
      <c r="W2698" s="50">
        <f>IFERROR(Tabla1[[#This Row],[Fatalities]]/Tabla1[[#This Row],[Aboard]],0)</f>
        <v>0.375</v>
      </c>
      <c r="X2698" s="51" t="str" cm="1">
        <f t="array" ref="X2698">_xlfn.IFS(Tabla1[[#This Row],[Porcentaje de muertes]]&lt;0.35,"LEVE",AND(Tabla1[[#This Row],[Porcentaje de muertes]]&gt;0.35,Tabla1[[#This Row],[Porcentaje de muertes]]&lt;0.65),"MEDIO",Tabla1[[#This Row],[Porcentaje de muertes]]&gt;0.65,"GRAVE")</f>
        <v>MEDIO</v>
      </c>
    </row>
    <row r="2699" spans="2:24" x14ac:dyDescent="0.3">
      <c r="B2699" s="9">
        <v>2698</v>
      </c>
      <c r="C2699" s="49">
        <v>26734</v>
      </c>
      <c r="D2699" s="9">
        <f>YEAR(Tabla1[[#This Row],[Date]])</f>
        <v>1973</v>
      </c>
      <c r="E2699" s="9" t="str" cm="1">
        <f t="array" ref="E2699">IFERROR(_xlfn.IFS(AND(D2699&lt;1980,D2699&gt;=1970),"70",AND(D2699&lt;1990,D2699&gt;=1980),"80",AND(D2699&lt;2000,D2699&gt;=1990),"90",AND(D2699&lt;2010,D2699&gt;=2000),"00",AND(D2699&lt;=2019,D2699&gt;=2010),"10"),"1908-1970")</f>
        <v>70</v>
      </c>
      <c r="F2699" s="3">
        <v>0.40208333333333335</v>
      </c>
      <c r="G2699" t="s">
        <v>16956</v>
      </c>
      <c r="H2699" t="s">
        <v>7121</v>
      </c>
      <c r="I2699">
        <v>160</v>
      </c>
      <c r="J2699" t="s">
        <v>16957</v>
      </c>
      <c r="K2699" t="s">
        <v>15237</v>
      </c>
      <c r="L2699" s="7" t="s">
        <v>16958</v>
      </c>
      <c r="M2699" t="s">
        <v>16959</v>
      </c>
      <c r="N2699">
        <v>3</v>
      </c>
      <c r="O2699">
        <v>0</v>
      </c>
      <c r="P2699">
        <v>3</v>
      </c>
      <c r="Q2699">
        <v>3</v>
      </c>
      <c r="R2699">
        <v>0</v>
      </c>
      <c r="S2699">
        <v>3</v>
      </c>
      <c r="T2699">
        <v>0</v>
      </c>
      <c r="U2699" t="s">
        <v>16960</v>
      </c>
      <c r="V2699">
        <f>Tabla1[[#This Row],[Aboard]]-Tabla1[[#This Row],[Fatalities]]</f>
        <v>0</v>
      </c>
      <c r="W2699" s="50">
        <f>IFERROR(Tabla1[[#This Row],[Fatalities]]/Tabla1[[#This Row],[Aboard]],0)</f>
        <v>1</v>
      </c>
      <c r="X2699" s="51" t="str" cm="1">
        <f t="array" ref="X2699">_xlfn.IFS(Tabla1[[#This Row],[Porcentaje de muertes]]&lt;0.35,"LEVE",AND(Tabla1[[#This Row],[Porcentaje de muertes]]&gt;0.35,Tabla1[[#This Row],[Porcentaje de muertes]]&lt;0.65),"MEDIO",Tabla1[[#This Row],[Porcentaje de muertes]]&gt;0.65,"GRAVE")</f>
        <v>GRAVE</v>
      </c>
    </row>
    <row r="2700" spans="2:24" x14ac:dyDescent="0.3">
      <c r="B2700" s="9">
        <v>2699</v>
      </c>
      <c r="C2700" s="49">
        <v>26734</v>
      </c>
      <c r="D2700" s="9">
        <f>YEAR(Tabla1[[#This Row],[Date]])</f>
        <v>1973</v>
      </c>
      <c r="E2700" s="9" t="str" cm="1">
        <f t="array" ref="E2700">IFERROR(_xlfn.IFS(AND(D2700&lt;1980,D2700&gt;=1970),"70",AND(D2700&lt;1990,D2700&gt;=1980),"80",AND(D2700&lt;2000,D2700&gt;=1990),"90",AND(D2700&lt;2010,D2700&gt;=2000),"00",AND(D2700&lt;=2019,D2700&gt;=2010),"10"),"1908-1970")</f>
        <v>70</v>
      </c>
      <c r="F2700" s="3">
        <v>0.69444444444444453</v>
      </c>
      <c r="G2700" t="s">
        <v>16961</v>
      </c>
      <c r="H2700" t="s">
        <v>8437</v>
      </c>
      <c r="I2700">
        <v>27</v>
      </c>
      <c r="J2700" t="s">
        <v>16962</v>
      </c>
      <c r="K2700" t="s">
        <v>16963</v>
      </c>
      <c r="L2700" s="7" t="s">
        <v>16964</v>
      </c>
      <c r="M2700" t="s">
        <v>16965</v>
      </c>
      <c r="N2700">
        <v>128</v>
      </c>
      <c r="O2700">
        <v>116</v>
      </c>
      <c r="P2700">
        <v>12</v>
      </c>
      <c r="Q2700">
        <v>1</v>
      </c>
      <c r="R2700">
        <v>1</v>
      </c>
      <c r="S2700">
        <v>0</v>
      </c>
      <c r="T2700">
        <v>0</v>
      </c>
      <c r="U2700" t="s">
        <v>16966</v>
      </c>
      <c r="V2700">
        <f>Tabla1[[#This Row],[Aboard]]-Tabla1[[#This Row],[Fatalities]]</f>
        <v>127</v>
      </c>
      <c r="W2700" s="50">
        <f>IFERROR(Tabla1[[#This Row],[Fatalities]]/Tabla1[[#This Row],[Aboard]],0)</f>
        <v>7.8125E-3</v>
      </c>
      <c r="X2700" s="51" t="str" cm="1">
        <f t="array" ref="X2700">_xlfn.IFS(Tabla1[[#This Row],[Porcentaje de muertes]]&lt;0.35,"LEVE",AND(Tabla1[[#This Row],[Porcentaje de muertes]]&gt;0.35,Tabla1[[#This Row],[Porcentaje de muertes]]&lt;0.65),"MEDIO",Tabla1[[#This Row],[Porcentaje de muertes]]&gt;0.65,"GRAVE")</f>
        <v>LEVE</v>
      </c>
    </row>
    <row r="2701" spans="2:24" x14ac:dyDescent="0.3">
      <c r="B2701" s="9">
        <v>2700</v>
      </c>
      <c r="C2701" s="49">
        <v>26985</v>
      </c>
      <c r="D2701" s="9">
        <f>YEAR(Tabla1[[#This Row],[Date]])</f>
        <v>1973</v>
      </c>
      <c r="E2701" s="9" t="str" cm="1">
        <f t="array" ref="E2701">IFERROR(_xlfn.IFS(AND(D2701&lt;1980,D2701&gt;=1970),"70",AND(D2701&lt;1990,D2701&gt;=1980),"80",AND(D2701&lt;2000,D2701&gt;=1990),"90",AND(D2701&lt;2010,D2701&gt;=2000),"00",AND(D2701&lt;=2019,D2701&gt;=2010),"10"),"1908-1970")</f>
        <v>70</v>
      </c>
      <c r="F2701" s="3">
        <v>8.3333333333333329E-2</v>
      </c>
      <c r="G2701" t="s">
        <v>16967</v>
      </c>
      <c r="H2701" t="s">
        <v>11339</v>
      </c>
      <c r="I2701" t="s">
        <v>28931</v>
      </c>
      <c r="J2701" t="s">
        <v>16968</v>
      </c>
      <c r="K2701" t="s">
        <v>7057</v>
      </c>
      <c r="L2701" s="7" t="s">
        <v>16969</v>
      </c>
      <c r="M2701" t="s">
        <v>16970</v>
      </c>
      <c r="N2701">
        <v>27</v>
      </c>
      <c r="O2701">
        <v>24</v>
      </c>
      <c r="P2701">
        <v>3</v>
      </c>
      <c r="Q2701">
        <v>27</v>
      </c>
      <c r="R2701">
        <v>24</v>
      </c>
      <c r="S2701">
        <v>3</v>
      </c>
      <c r="T2701">
        <v>0</v>
      </c>
      <c r="U2701" t="s">
        <v>16971</v>
      </c>
      <c r="V2701">
        <f>Tabla1[[#This Row],[Aboard]]-Tabla1[[#This Row],[Fatalities]]</f>
        <v>0</v>
      </c>
      <c r="W2701" s="50">
        <f>IFERROR(Tabla1[[#This Row],[Fatalities]]/Tabla1[[#This Row],[Aboard]],0)</f>
        <v>1</v>
      </c>
      <c r="X2701" s="51" t="str" cm="1">
        <f t="array" ref="X2701">_xlfn.IFS(Tabla1[[#This Row],[Porcentaje de muertes]]&lt;0.35,"LEVE",AND(Tabla1[[#This Row],[Porcentaje de muertes]]&gt;0.35,Tabla1[[#This Row],[Porcentaje de muertes]]&lt;0.65),"MEDIO",Tabla1[[#This Row],[Porcentaje de muertes]]&gt;0.65,"GRAVE")</f>
        <v>GRAVE</v>
      </c>
    </row>
    <row r="2702" spans="2:24" x14ac:dyDescent="0.3">
      <c r="B2702" s="9">
        <v>2701</v>
      </c>
      <c r="C2702" s="49">
        <v>26857</v>
      </c>
      <c r="D2702" s="9">
        <f>YEAR(Tabla1[[#This Row],[Date]])</f>
        <v>1973</v>
      </c>
      <c r="E2702" s="9" t="str" cm="1">
        <f t="array" ref="E2702">IFERROR(_xlfn.IFS(AND(D2702&lt;1980,D2702&gt;=1970),"70",AND(D2702&lt;1990,D2702&gt;=1980),"80",AND(D2702&lt;2000,D2702&gt;=1990),"90",AND(D2702&lt;2010,D2702&gt;=2000),"00",AND(D2702&lt;=2019,D2702&gt;=2010),"10"),"1908-1970")</f>
        <v>70</v>
      </c>
      <c r="F2702" s="3">
        <v>0.93680555555555556</v>
      </c>
      <c r="G2702" t="s">
        <v>16757</v>
      </c>
      <c r="H2702" t="s">
        <v>6541</v>
      </c>
      <c r="I2702">
        <v>964</v>
      </c>
      <c r="J2702" t="s">
        <v>16972</v>
      </c>
      <c r="K2702" t="s">
        <v>13269</v>
      </c>
      <c r="L2702" s="7" t="s">
        <v>16973</v>
      </c>
      <c r="M2702">
        <v>21901</v>
      </c>
      <c r="N2702">
        <v>75</v>
      </c>
      <c r="O2702">
        <v>68</v>
      </c>
      <c r="P2702">
        <v>7</v>
      </c>
      <c r="Q2702">
        <v>13</v>
      </c>
      <c r="R2702">
        <v>11</v>
      </c>
      <c r="S2702">
        <v>5</v>
      </c>
      <c r="T2702">
        <v>0</v>
      </c>
      <c r="U2702" t="s">
        <v>16974</v>
      </c>
      <c r="V2702">
        <f>Tabla1[[#This Row],[Aboard]]-Tabla1[[#This Row],[Fatalities]]</f>
        <v>62</v>
      </c>
      <c r="W2702" s="50">
        <f>IFERROR(Tabla1[[#This Row],[Fatalities]]/Tabla1[[#This Row],[Aboard]],0)</f>
        <v>0.17333333333333334</v>
      </c>
      <c r="X2702" s="51" t="str" cm="1">
        <f t="array" ref="X2702">_xlfn.IFS(Tabla1[[#This Row],[Porcentaje de muertes]]&lt;0.35,"LEVE",AND(Tabla1[[#This Row],[Porcentaje de muertes]]&gt;0.35,Tabla1[[#This Row],[Porcentaje de muertes]]&lt;0.65),"MEDIO",Tabla1[[#This Row],[Porcentaje de muertes]]&gt;0.65,"GRAVE")</f>
        <v>LEVE</v>
      </c>
    </row>
    <row r="2703" spans="2:24" x14ac:dyDescent="0.3">
      <c r="B2703" s="9">
        <v>2702</v>
      </c>
      <c r="C2703" s="49">
        <v>27014</v>
      </c>
      <c r="D2703" s="9">
        <f>YEAR(Tabla1[[#This Row],[Date]])</f>
        <v>1973</v>
      </c>
      <c r="E2703" s="9" t="str" cm="1">
        <f t="array" ref="E2703">IFERROR(_xlfn.IFS(AND(D2703&lt;1980,D2703&gt;=1970),"70",AND(D2703&lt;1990,D2703&gt;=1980),"80",AND(D2703&lt;2000,D2703&gt;=1990),"90",AND(D2703&lt;2010,D2703&gt;=2000),"00",AND(D2703&lt;=2019,D2703&gt;=2010),"10"),"1908-1970")</f>
        <v>70</v>
      </c>
      <c r="F2703" s="3">
        <v>0.80069444444444438</v>
      </c>
      <c r="G2703" t="s">
        <v>16975</v>
      </c>
      <c r="H2703" t="s">
        <v>6541</v>
      </c>
      <c r="I2703">
        <v>2022</v>
      </c>
      <c r="J2703" t="s">
        <v>16976</v>
      </c>
      <c r="K2703" t="s">
        <v>14520</v>
      </c>
      <c r="L2703" s="7" t="s">
        <v>16977</v>
      </c>
      <c r="M2703">
        <v>3351406</v>
      </c>
      <c r="N2703">
        <v>51</v>
      </c>
      <c r="O2703">
        <v>45</v>
      </c>
      <c r="P2703">
        <v>6</v>
      </c>
      <c r="Q2703">
        <v>51</v>
      </c>
      <c r="R2703">
        <v>45</v>
      </c>
      <c r="S2703">
        <v>6</v>
      </c>
      <c r="T2703">
        <v>0</v>
      </c>
      <c r="U2703" t="s">
        <v>16978</v>
      </c>
      <c r="V2703">
        <f>Tabla1[[#This Row],[Aboard]]-Tabla1[[#This Row],[Fatalities]]</f>
        <v>0</v>
      </c>
      <c r="W2703" s="50">
        <f>IFERROR(Tabla1[[#This Row],[Fatalities]]/Tabla1[[#This Row],[Aboard]],0)</f>
        <v>1</v>
      </c>
      <c r="X2703" s="51" t="str" cm="1">
        <f t="array" ref="X2703">_xlfn.IFS(Tabla1[[#This Row],[Porcentaje de muertes]]&lt;0.35,"LEVE",AND(Tabla1[[#This Row],[Porcentaje de muertes]]&gt;0.35,Tabla1[[#This Row],[Porcentaje de muertes]]&lt;0.65),"MEDIO",Tabla1[[#This Row],[Porcentaje de muertes]]&gt;0.65,"GRAVE")</f>
        <v>GRAVE</v>
      </c>
    </row>
    <row r="2704" spans="2:24" x14ac:dyDescent="0.3">
      <c r="B2704" s="9">
        <v>2703</v>
      </c>
      <c r="C2704" s="49">
        <v>27015</v>
      </c>
      <c r="D2704" s="9">
        <f>YEAR(Tabla1[[#This Row],[Date]])</f>
        <v>1973</v>
      </c>
      <c r="E2704" s="9" t="str" cm="1">
        <f t="array" ref="E2704">IFERROR(_xlfn.IFS(AND(D2704&lt;1980,D2704&gt;=1970),"70",AND(D2704&lt;1990,D2704&gt;=1980),"80",AND(D2704&lt;2000,D2704&gt;=1990),"90",AND(D2704&lt;2010,D2704&gt;=2000),"00",AND(D2704&lt;=2019,D2704&gt;=2010),"10"),"1908-1970")</f>
        <v>70</v>
      </c>
      <c r="F2704" s="3">
        <v>0.54166666666666663</v>
      </c>
      <c r="G2704" t="s">
        <v>7654</v>
      </c>
      <c r="H2704" t="s">
        <v>7121</v>
      </c>
      <c r="I2704">
        <v>110</v>
      </c>
      <c r="J2704" t="s">
        <v>11063</v>
      </c>
      <c r="K2704" t="s">
        <v>14394</v>
      </c>
      <c r="L2704" s="7" t="s">
        <v>16979</v>
      </c>
      <c r="M2704" t="s">
        <v>16980</v>
      </c>
      <c r="N2704">
        <v>177</v>
      </c>
      <c r="O2704">
        <v>167</v>
      </c>
      <c r="P2704">
        <v>10</v>
      </c>
      <c r="Q2704">
        <v>30</v>
      </c>
      <c r="R2704">
        <v>29</v>
      </c>
      <c r="S2704">
        <v>1</v>
      </c>
      <c r="T2704">
        <v>0</v>
      </c>
      <c r="U2704" t="s">
        <v>16981</v>
      </c>
      <c r="V2704">
        <f>Tabla1[[#This Row],[Aboard]]-Tabla1[[#This Row],[Fatalities]]</f>
        <v>147</v>
      </c>
      <c r="W2704" s="50">
        <f>IFERROR(Tabla1[[#This Row],[Fatalities]]/Tabla1[[#This Row],[Aboard]],0)</f>
        <v>0.16949152542372881</v>
      </c>
      <c r="X2704" s="51" t="str" cm="1">
        <f t="array" ref="X2704">_xlfn.IFS(Tabla1[[#This Row],[Porcentaje de muertes]]&lt;0.35,"LEVE",AND(Tabla1[[#This Row],[Porcentaje de muertes]]&gt;0.35,Tabla1[[#This Row],[Porcentaje de muertes]]&lt;0.65),"MEDIO",Tabla1[[#This Row],[Porcentaje de muertes]]&gt;0.65,"GRAVE")</f>
        <v>LEVE</v>
      </c>
    </row>
    <row r="2705" spans="2:24" x14ac:dyDescent="0.3">
      <c r="B2705" s="9">
        <v>2704</v>
      </c>
      <c r="C2705" s="49">
        <v>27019</v>
      </c>
      <c r="D2705" s="9">
        <f>YEAR(Tabla1[[#This Row],[Date]])</f>
        <v>1973</v>
      </c>
      <c r="E2705" s="9" t="str" cm="1">
        <f t="array" ref="E2705">IFERROR(_xlfn.IFS(AND(D2705&lt;1980,D2705&gt;=1970),"70",AND(D2705&lt;1990,D2705&gt;=1980),"80",AND(D2705&lt;2000,D2705&gt;=1990),"90",AND(D2705&lt;2010,D2705&gt;=2000),"00",AND(D2705&lt;=2019,D2705&gt;=2010),"10"),"1908-1970")</f>
        <v>70</v>
      </c>
      <c r="F2705" s="3" t="s">
        <v>28931</v>
      </c>
      <c r="G2705" t="s">
        <v>16982</v>
      </c>
      <c r="H2705" t="s">
        <v>14253</v>
      </c>
      <c r="I2705" t="s">
        <v>28931</v>
      </c>
      <c r="J2705" t="s">
        <v>28931</v>
      </c>
      <c r="K2705" t="s">
        <v>16983</v>
      </c>
      <c r="L2705" s="7" t="s">
        <v>28931</v>
      </c>
      <c r="M2705" t="s">
        <v>28931</v>
      </c>
      <c r="N2705">
        <v>20</v>
      </c>
      <c r="O2705" t="s">
        <v>5038</v>
      </c>
      <c r="P2705" t="s">
        <v>5038</v>
      </c>
      <c r="Q2705">
        <v>20</v>
      </c>
      <c r="R2705" t="s">
        <v>5038</v>
      </c>
      <c r="S2705" t="s">
        <v>5038</v>
      </c>
      <c r="T2705">
        <v>0</v>
      </c>
      <c r="U2705" t="s">
        <v>16984</v>
      </c>
      <c r="V2705">
        <f>Tabla1[[#This Row],[Aboard]]-Tabla1[[#This Row],[Fatalities]]</f>
        <v>0</v>
      </c>
      <c r="W2705" s="50">
        <f>IFERROR(Tabla1[[#This Row],[Fatalities]]/Tabla1[[#This Row],[Aboard]],0)</f>
        <v>1</v>
      </c>
      <c r="X2705" s="51" t="str" cm="1">
        <f t="array" ref="X2705">_xlfn.IFS(Tabla1[[#This Row],[Porcentaje de muertes]]&lt;0.35,"LEVE",AND(Tabla1[[#This Row],[Porcentaje de muertes]]&gt;0.35,Tabla1[[#This Row],[Porcentaje de muertes]]&lt;0.65),"MEDIO",Tabla1[[#This Row],[Porcentaje de muertes]]&gt;0.65,"GRAVE")</f>
        <v>GRAVE</v>
      </c>
    </row>
    <row r="2706" spans="2:24" x14ac:dyDescent="0.3">
      <c r="B2706" s="9">
        <v>2705</v>
      </c>
      <c r="C2706" s="49">
        <v>27020</v>
      </c>
      <c r="D2706" s="9">
        <f>YEAR(Tabla1[[#This Row],[Date]])</f>
        <v>1973</v>
      </c>
      <c r="E2706" s="9" t="str" cm="1">
        <f t="array" ref="E2706">IFERROR(_xlfn.IFS(AND(D2706&lt;1980,D2706&gt;=1970),"70",AND(D2706&lt;1990,D2706&gt;=1980),"80",AND(D2706&lt;2000,D2706&gt;=1990),"90",AND(D2706&lt;2010,D2706&gt;=2000),"00",AND(D2706&lt;=2019,D2706&gt;=2010),"10"),"1908-1970")</f>
        <v>70</v>
      </c>
      <c r="F2706" s="3">
        <v>0.92361111111111116</v>
      </c>
      <c r="G2706" t="s">
        <v>16985</v>
      </c>
      <c r="H2706" t="s">
        <v>15826</v>
      </c>
      <c r="I2706" t="s">
        <v>28931</v>
      </c>
      <c r="J2706" t="s">
        <v>16986</v>
      </c>
      <c r="K2706" t="s">
        <v>16987</v>
      </c>
      <c r="L2706" s="7" t="s">
        <v>16988</v>
      </c>
      <c r="M2706" t="s">
        <v>16989</v>
      </c>
      <c r="N2706">
        <v>106</v>
      </c>
      <c r="O2706">
        <v>99</v>
      </c>
      <c r="P2706">
        <v>7</v>
      </c>
      <c r="Q2706">
        <v>106</v>
      </c>
      <c r="R2706">
        <v>99</v>
      </c>
      <c r="S2706">
        <v>7</v>
      </c>
      <c r="T2706">
        <v>0</v>
      </c>
      <c r="U2706" t="s">
        <v>16990</v>
      </c>
      <c r="V2706">
        <f>Tabla1[[#This Row],[Aboard]]-Tabla1[[#This Row],[Fatalities]]</f>
        <v>0</v>
      </c>
      <c r="W2706" s="50">
        <f>IFERROR(Tabla1[[#This Row],[Fatalities]]/Tabla1[[#This Row],[Aboard]],0)</f>
        <v>1</v>
      </c>
      <c r="X2706" s="51" t="str" cm="1">
        <f t="array" ref="X2706">_xlfn.IFS(Tabla1[[#This Row],[Porcentaje de muertes]]&lt;0.35,"LEVE",AND(Tabla1[[#This Row],[Porcentaje de muertes]]&gt;0.35,Tabla1[[#This Row],[Porcentaje de muertes]]&lt;0.65),"MEDIO",Tabla1[[#This Row],[Porcentaje de muertes]]&gt;0.65,"GRAVE")</f>
        <v>GRAVE</v>
      </c>
    </row>
    <row r="2707" spans="2:24" x14ac:dyDescent="0.3">
      <c r="B2707" s="9">
        <v>2706</v>
      </c>
      <c r="C2707" s="49">
        <v>27021</v>
      </c>
      <c r="D2707" s="9">
        <f>YEAR(Tabla1[[#This Row],[Date]])</f>
        <v>1973</v>
      </c>
      <c r="E2707" s="9" t="str" cm="1">
        <f t="array" ref="E2707">IFERROR(_xlfn.IFS(AND(D2707&lt;1980,D2707&gt;=1970),"70",AND(D2707&lt;1990,D2707&gt;=1980),"80",AND(D2707&lt;2000,D2707&gt;=1990),"90",AND(D2707&lt;2010,D2707&gt;=2000),"00",AND(D2707&lt;=2019,D2707&gt;=2010),"10"),"1908-1970")</f>
        <v>70</v>
      </c>
      <c r="F2707" s="3">
        <v>0.92222222222222217</v>
      </c>
      <c r="G2707" t="s">
        <v>12801</v>
      </c>
      <c r="H2707" t="s">
        <v>6541</v>
      </c>
      <c r="I2707" t="s">
        <v>28931</v>
      </c>
      <c r="J2707" t="s">
        <v>16991</v>
      </c>
      <c r="K2707" t="s">
        <v>14520</v>
      </c>
      <c r="L2707" s="7" t="s">
        <v>16992</v>
      </c>
      <c r="M2707">
        <v>350202</v>
      </c>
      <c r="N2707">
        <v>17</v>
      </c>
      <c r="O2707">
        <v>11</v>
      </c>
      <c r="P2707">
        <v>6</v>
      </c>
      <c r="Q2707">
        <v>17</v>
      </c>
      <c r="R2707">
        <v>11</v>
      </c>
      <c r="S2707">
        <v>6</v>
      </c>
      <c r="T2707">
        <v>0</v>
      </c>
      <c r="U2707" t="s">
        <v>16993</v>
      </c>
      <c r="V2707">
        <f>Tabla1[[#This Row],[Aboard]]-Tabla1[[#This Row],[Fatalities]]</f>
        <v>0</v>
      </c>
      <c r="W2707" s="50">
        <f>IFERROR(Tabla1[[#This Row],[Fatalities]]/Tabla1[[#This Row],[Aboard]],0)</f>
        <v>1</v>
      </c>
      <c r="X2707" s="51" t="str" cm="1">
        <f t="array" ref="X2707">_xlfn.IFS(Tabla1[[#This Row],[Porcentaje de muertes]]&lt;0.35,"LEVE",AND(Tabla1[[#This Row],[Porcentaje de muertes]]&gt;0.35,Tabla1[[#This Row],[Porcentaje de muertes]]&lt;0.65),"MEDIO",Tabla1[[#This Row],[Porcentaje de muertes]]&gt;0.65,"GRAVE")</f>
        <v>GRAVE</v>
      </c>
    </row>
    <row r="2708" spans="2:24" x14ac:dyDescent="0.3">
      <c r="B2708" s="9">
        <v>2707</v>
      </c>
      <c r="C2708" s="49">
        <v>27026</v>
      </c>
      <c r="D2708" s="9">
        <f>YEAR(Tabla1[[#This Row],[Date]])</f>
        <v>1973</v>
      </c>
      <c r="E2708" s="9" t="str" cm="1">
        <f t="array" ref="E2708">IFERROR(_xlfn.IFS(AND(D2708&lt;1980,D2708&gt;=1970),"70",AND(D2708&lt;1990,D2708&gt;=1980),"80",AND(D2708&lt;2000,D2708&gt;=1990),"90",AND(D2708&lt;2010,D2708&gt;=2000),"00",AND(D2708&lt;=2019,D2708&gt;=2010),"10"),"1908-1970")</f>
        <v>70</v>
      </c>
      <c r="F2708" s="3" t="s">
        <v>28931</v>
      </c>
      <c r="G2708" t="s">
        <v>16994</v>
      </c>
      <c r="H2708" t="s">
        <v>16995</v>
      </c>
      <c r="I2708" t="s">
        <v>28931</v>
      </c>
      <c r="J2708" t="s">
        <v>28931</v>
      </c>
      <c r="K2708" t="s">
        <v>7057</v>
      </c>
      <c r="L2708" s="7" t="s">
        <v>16996</v>
      </c>
      <c r="M2708">
        <v>1498</v>
      </c>
      <c r="N2708">
        <v>25</v>
      </c>
      <c r="O2708">
        <v>22</v>
      </c>
      <c r="P2708">
        <v>3</v>
      </c>
      <c r="Q2708">
        <v>1</v>
      </c>
      <c r="R2708">
        <v>1</v>
      </c>
      <c r="S2708">
        <v>0</v>
      </c>
      <c r="T2708">
        <v>0</v>
      </c>
      <c r="U2708" t="s">
        <v>16997</v>
      </c>
      <c r="V2708">
        <f>Tabla1[[#This Row],[Aboard]]-Tabla1[[#This Row],[Fatalities]]</f>
        <v>24</v>
      </c>
      <c r="W2708" s="50">
        <f>IFERROR(Tabla1[[#This Row],[Fatalities]]/Tabla1[[#This Row],[Aboard]],0)</f>
        <v>0.04</v>
      </c>
      <c r="X2708" s="51" t="str" cm="1">
        <f t="array" ref="X2708">_xlfn.IFS(Tabla1[[#This Row],[Porcentaje de muertes]]&lt;0.35,"LEVE",AND(Tabla1[[#This Row],[Porcentaje de muertes]]&gt;0.35,Tabla1[[#This Row],[Porcentaje de muertes]]&lt;0.65),"MEDIO",Tabla1[[#This Row],[Porcentaje de muertes]]&gt;0.65,"GRAVE")</f>
        <v>LEVE</v>
      </c>
    </row>
    <row r="2709" spans="2:24" x14ac:dyDescent="0.3">
      <c r="B2709" s="9">
        <v>2708</v>
      </c>
      <c r="C2709" s="49">
        <v>27030</v>
      </c>
      <c r="D2709" s="9">
        <f>YEAR(Tabla1[[#This Row],[Date]])</f>
        <v>1974</v>
      </c>
      <c r="E2709" s="9" t="str" cm="1">
        <f t="array" ref="E2709">IFERROR(_xlfn.IFS(AND(D2709&lt;1980,D2709&gt;=1970),"70",AND(D2709&lt;1990,D2709&gt;=1980),"80",AND(D2709&lt;2000,D2709&gt;=1990),"90",AND(D2709&lt;2010,D2709&gt;=2000),"00",AND(D2709&lt;=2019,D2709&gt;=2010),"10"),"1908-1970")</f>
        <v>70</v>
      </c>
      <c r="F2709" s="3">
        <v>0.52638888888888891</v>
      </c>
      <c r="G2709" t="s">
        <v>6795</v>
      </c>
      <c r="H2709" t="s">
        <v>13096</v>
      </c>
      <c r="I2709" t="s">
        <v>28931</v>
      </c>
      <c r="J2709" t="s">
        <v>16998</v>
      </c>
      <c r="K2709" t="s">
        <v>16685</v>
      </c>
      <c r="L2709" s="7" t="s">
        <v>16999</v>
      </c>
      <c r="M2709">
        <v>11015</v>
      </c>
      <c r="N2709">
        <v>42</v>
      </c>
      <c r="O2709">
        <v>38</v>
      </c>
      <c r="P2709">
        <v>4</v>
      </c>
      <c r="Q2709">
        <v>38</v>
      </c>
      <c r="R2709">
        <v>35</v>
      </c>
      <c r="S2709">
        <v>3</v>
      </c>
      <c r="T2709">
        <v>0</v>
      </c>
      <c r="U2709" t="s">
        <v>17000</v>
      </c>
      <c r="V2709">
        <f>Tabla1[[#This Row],[Aboard]]-Tabla1[[#This Row],[Fatalities]]</f>
        <v>4</v>
      </c>
      <c r="W2709" s="50">
        <f>IFERROR(Tabla1[[#This Row],[Fatalities]]/Tabla1[[#This Row],[Aboard]],0)</f>
        <v>0.90476190476190477</v>
      </c>
      <c r="X2709" s="51" t="str" cm="1">
        <f t="array" ref="X2709">_xlfn.IFS(Tabla1[[#This Row],[Porcentaje de muertes]]&lt;0.35,"LEVE",AND(Tabla1[[#This Row],[Porcentaje de muertes]]&gt;0.35,Tabla1[[#This Row],[Porcentaje de muertes]]&lt;0.65),"MEDIO",Tabla1[[#This Row],[Porcentaje de muertes]]&gt;0.65,"GRAVE")</f>
        <v>GRAVE</v>
      </c>
    </row>
    <row r="2710" spans="2:24" x14ac:dyDescent="0.3">
      <c r="B2710" s="9">
        <v>2709</v>
      </c>
      <c r="C2710" s="49">
        <v>27181</v>
      </c>
      <c r="D2710" s="9">
        <f>YEAR(Tabla1[[#This Row],[Date]])</f>
        <v>1974</v>
      </c>
      <c r="E2710" s="9" t="str" cm="1">
        <f t="array" ref="E2710">IFERROR(_xlfn.IFS(AND(D2710&lt;1980,D2710&gt;=1970),"70",AND(D2710&lt;1990,D2710&gt;=1980),"80",AND(D2710&lt;2000,D2710&gt;=1990),"90",AND(D2710&lt;2010,D2710&gt;=2000),"00",AND(D2710&lt;=2019,D2710&gt;=2010),"10"),"1908-1970")</f>
        <v>70</v>
      </c>
      <c r="F2710" s="3">
        <v>0.75347222222222221</v>
      </c>
      <c r="G2710" t="s">
        <v>17001</v>
      </c>
      <c r="H2710" t="s">
        <v>17002</v>
      </c>
      <c r="I2710" t="s">
        <v>28931</v>
      </c>
      <c r="J2710" t="s">
        <v>17003</v>
      </c>
      <c r="K2710" t="s">
        <v>17004</v>
      </c>
      <c r="L2710" s="7" t="s">
        <v>17005</v>
      </c>
      <c r="M2710" t="s">
        <v>17006</v>
      </c>
      <c r="N2710">
        <v>17</v>
      </c>
      <c r="O2710">
        <v>15</v>
      </c>
      <c r="P2710">
        <v>2</v>
      </c>
      <c r="Q2710">
        <v>12</v>
      </c>
      <c r="R2710">
        <v>11</v>
      </c>
      <c r="S2710">
        <v>1</v>
      </c>
      <c r="T2710">
        <v>0</v>
      </c>
      <c r="U2710" t="s">
        <v>17007</v>
      </c>
      <c r="V2710">
        <f>Tabla1[[#This Row],[Aboard]]-Tabla1[[#This Row],[Fatalities]]</f>
        <v>5</v>
      </c>
      <c r="W2710" s="50">
        <f>IFERROR(Tabla1[[#This Row],[Fatalities]]/Tabla1[[#This Row],[Aboard]],0)</f>
        <v>0.70588235294117652</v>
      </c>
      <c r="X2710" s="51" t="str" cm="1">
        <f t="array" ref="X2710">_xlfn.IFS(Tabla1[[#This Row],[Porcentaje de muertes]]&lt;0.35,"LEVE",AND(Tabla1[[#This Row],[Porcentaje de muertes]]&gt;0.35,Tabla1[[#This Row],[Porcentaje de muertes]]&lt;0.65),"MEDIO",Tabla1[[#This Row],[Porcentaje de muertes]]&gt;0.65,"GRAVE")</f>
        <v>GRAVE</v>
      </c>
    </row>
    <row r="2711" spans="2:24" x14ac:dyDescent="0.3">
      <c r="B2711" s="9">
        <v>2710</v>
      </c>
      <c r="C2711" s="49">
        <v>27181</v>
      </c>
      <c r="D2711" s="9">
        <f>YEAR(Tabla1[[#This Row],[Date]])</f>
        <v>1974</v>
      </c>
      <c r="E2711" s="9" t="str" cm="1">
        <f t="array" ref="E2711">IFERROR(_xlfn.IFS(AND(D2711&lt;1980,D2711&gt;=1970),"70",AND(D2711&lt;1990,D2711&gt;=1980),"80",AND(D2711&lt;2000,D2711&gt;=1990),"90",AND(D2711&lt;2010,D2711&gt;=2000),"00",AND(D2711&lt;=2019,D2711&gt;=2010),"10"),"1908-1970")</f>
        <v>70</v>
      </c>
      <c r="F2711" s="3" t="s">
        <v>28931</v>
      </c>
      <c r="G2711" t="s">
        <v>17008</v>
      </c>
      <c r="H2711" t="s">
        <v>17009</v>
      </c>
      <c r="I2711" t="s">
        <v>28931</v>
      </c>
      <c r="J2711" t="s">
        <v>12522</v>
      </c>
      <c r="K2711" t="s">
        <v>10927</v>
      </c>
      <c r="L2711" s="7" t="s">
        <v>17010</v>
      </c>
      <c r="M2711">
        <v>22490</v>
      </c>
      <c r="N2711">
        <v>4</v>
      </c>
      <c r="O2711">
        <v>1</v>
      </c>
      <c r="P2711">
        <v>3</v>
      </c>
      <c r="Q2711">
        <v>4</v>
      </c>
      <c r="R2711">
        <v>1</v>
      </c>
      <c r="S2711">
        <v>3</v>
      </c>
      <c r="T2711">
        <v>0</v>
      </c>
      <c r="U2711" t="s">
        <v>17011</v>
      </c>
      <c r="V2711">
        <f>Tabla1[[#This Row],[Aboard]]-Tabla1[[#This Row],[Fatalities]]</f>
        <v>0</v>
      </c>
      <c r="W2711" s="50">
        <f>IFERROR(Tabla1[[#This Row],[Fatalities]]/Tabla1[[#This Row],[Aboard]],0)</f>
        <v>1</v>
      </c>
      <c r="X2711" s="51" t="str" cm="1">
        <f t="array" ref="X2711">_xlfn.IFS(Tabla1[[#This Row],[Porcentaje de muertes]]&lt;0.35,"LEVE",AND(Tabla1[[#This Row],[Porcentaje de muertes]]&gt;0.35,Tabla1[[#This Row],[Porcentaje de muertes]]&lt;0.65),"MEDIO",Tabla1[[#This Row],[Porcentaje de muertes]]&gt;0.65,"GRAVE")</f>
        <v>GRAVE</v>
      </c>
    </row>
    <row r="2712" spans="2:24" x14ac:dyDescent="0.3">
      <c r="B2712" s="9">
        <v>2711</v>
      </c>
      <c r="C2712" s="49">
        <v>27181</v>
      </c>
      <c r="D2712" s="9">
        <f>YEAR(Tabla1[[#This Row],[Date]])</f>
        <v>1974</v>
      </c>
      <c r="E2712" s="9" t="str" cm="1">
        <f t="array" ref="E2712">IFERROR(_xlfn.IFS(AND(D2712&lt;1980,D2712&gt;=1970),"70",AND(D2712&lt;1990,D2712&gt;=1980),"80",AND(D2712&lt;2000,D2712&gt;=1990),"90",AND(D2712&lt;2010,D2712&gt;=2000),"00",AND(D2712&lt;=2019,D2712&gt;=2010),"10"),"1908-1970")</f>
        <v>70</v>
      </c>
      <c r="F2712" s="3">
        <v>0.64236111111111105</v>
      </c>
      <c r="G2712" t="s">
        <v>17012</v>
      </c>
      <c r="H2712" t="s">
        <v>6541</v>
      </c>
      <c r="I2712" t="s">
        <v>17013</v>
      </c>
      <c r="J2712" t="s">
        <v>17014</v>
      </c>
      <c r="K2712" t="s">
        <v>15299</v>
      </c>
      <c r="L2712" s="7" t="s">
        <v>17015</v>
      </c>
      <c r="M2712">
        <v>77303405</v>
      </c>
      <c r="N2712">
        <v>24</v>
      </c>
      <c r="O2712">
        <v>18</v>
      </c>
      <c r="P2712">
        <v>6</v>
      </c>
      <c r="Q2712">
        <v>24</v>
      </c>
      <c r="R2712">
        <v>18</v>
      </c>
      <c r="S2712">
        <v>6</v>
      </c>
      <c r="T2712">
        <v>0</v>
      </c>
      <c r="U2712" t="s">
        <v>17016</v>
      </c>
      <c r="V2712">
        <f>Tabla1[[#This Row],[Aboard]]-Tabla1[[#This Row],[Fatalities]]</f>
        <v>0</v>
      </c>
      <c r="W2712" s="50">
        <f>IFERROR(Tabla1[[#This Row],[Fatalities]]/Tabla1[[#This Row],[Aboard]],0)</f>
        <v>1</v>
      </c>
      <c r="X2712" s="51" t="str" cm="1">
        <f t="array" ref="X2712">_xlfn.IFS(Tabla1[[#This Row],[Porcentaje de muertes]]&lt;0.35,"LEVE",AND(Tabla1[[#This Row],[Porcentaje de muertes]]&gt;0.35,Tabla1[[#This Row],[Porcentaje de muertes]]&lt;0.65),"MEDIO",Tabla1[[#This Row],[Porcentaje de muertes]]&gt;0.65,"GRAVE")</f>
        <v>GRAVE</v>
      </c>
    </row>
    <row r="2713" spans="2:24" x14ac:dyDescent="0.3">
      <c r="B2713" s="9">
        <v>2712</v>
      </c>
      <c r="C2713" s="49">
        <v>27273</v>
      </c>
      <c r="D2713" s="9">
        <f>YEAR(Tabla1[[#This Row],[Date]])</f>
        <v>1974</v>
      </c>
      <c r="E2713" s="9" t="str" cm="1">
        <f t="array" ref="E2713">IFERROR(_xlfn.IFS(AND(D2713&lt;1980,D2713&gt;=1970),"70",AND(D2713&lt;1990,D2713&gt;=1980),"80",AND(D2713&lt;2000,D2713&gt;=1990),"90",AND(D2713&lt;2010,D2713&gt;=2000),"00",AND(D2713&lt;=2019,D2713&gt;=2010),"10"),"1908-1970")</f>
        <v>70</v>
      </c>
      <c r="F2713" s="3">
        <v>0.69166666666666676</v>
      </c>
      <c r="G2713" t="s">
        <v>17017</v>
      </c>
      <c r="H2713" t="s">
        <v>15622</v>
      </c>
      <c r="I2713" t="s">
        <v>28931</v>
      </c>
      <c r="J2713" t="s">
        <v>17018</v>
      </c>
      <c r="K2713" t="s">
        <v>17019</v>
      </c>
      <c r="L2713" s="7" t="s">
        <v>17020</v>
      </c>
      <c r="M2713">
        <v>1704</v>
      </c>
      <c r="N2713">
        <v>31</v>
      </c>
      <c r="O2713">
        <v>28</v>
      </c>
      <c r="P2713">
        <v>3</v>
      </c>
      <c r="Q2713">
        <v>31</v>
      </c>
      <c r="R2713">
        <v>28</v>
      </c>
      <c r="S2713">
        <v>3</v>
      </c>
      <c r="T2713">
        <v>0</v>
      </c>
      <c r="U2713" t="s">
        <v>17021</v>
      </c>
      <c r="V2713">
        <f>Tabla1[[#This Row],[Aboard]]-Tabla1[[#This Row],[Fatalities]]</f>
        <v>0</v>
      </c>
      <c r="W2713" s="50">
        <f>IFERROR(Tabla1[[#This Row],[Fatalities]]/Tabla1[[#This Row],[Aboard]],0)</f>
        <v>1</v>
      </c>
      <c r="X2713" s="51" t="str" cm="1">
        <f t="array" ref="X2713">_xlfn.IFS(Tabla1[[#This Row],[Porcentaje de muertes]]&lt;0.35,"LEVE",AND(Tabla1[[#This Row],[Porcentaje de muertes]]&gt;0.35,Tabla1[[#This Row],[Porcentaje de muertes]]&lt;0.65),"MEDIO",Tabla1[[#This Row],[Porcentaje de muertes]]&gt;0.65,"GRAVE")</f>
        <v>GRAVE</v>
      </c>
    </row>
    <row r="2714" spans="2:24" x14ac:dyDescent="0.3">
      <c r="B2714" s="9">
        <v>2713</v>
      </c>
      <c r="C2714" s="49">
        <v>27303</v>
      </c>
      <c r="D2714" s="9">
        <f>YEAR(Tabla1[[#This Row],[Date]])</f>
        <v>1974</v>
      </c>
      <c r="E2714" s="9" t="str" cm="1">
        <f t="array" ref="E2714">IFERROR(_xlfn.IFS(AND(D2714&lt;1980,D2714&gt;=1970),"70",AND(D2714&lt;1990,D2714&gt;=1980),"80",AND(D2714&lt;2000,D2714&gt;=1990),"90",AND(D2714&lt;2010,D2714&gt;=2000),"00",AND(D2714&lt;=2019,D2714&gt;=2010),"10"),"1908-1970")</f>
        <v>70</v>
      </c>
      <c r="F2714" s="3">
        <v>0.6875</v>
      </c>
      <c r="G2714" t="s">
        <v>10510</v>
      </c>
      <c r="H2714" t="s">
        <v>12245</v>
      </c>
      <c r="I2714" t="s">
        <v>28931</v>
      </c>
      <c r="J2714" t="s">
        <v>17022</v>
      </c>
      <c r="K2714" t="s">
        <v>8513</v>
      </c>
      <c r="L2714" s="7" t="s">
        <v>17023</v>
      </c>
      <c r="M2714" t="s">
        <v>28931</v>
      </c>
      <c r="N2714">
        <v>24</v>
      </c>
      <c r="O2714">
        <v>21</v>
      </c>
      <c r="P2714">
        <v>3</v>
      </c>
      <c r="Q2714">
        <v>24</v>
      </c>
      <c r="R2714">
        <v>21</v>
      </c>
      <c r="S2714">
        <v>3</v>
      </c>
      <c r="T2714">
        <v>0</v>
      </c>
      <c r="U2714" t="s">
        <v>17024</v>
      </c>
      <c r="V2714">
        <f>Tabla1[[#This Row],[Aboard]]-Tabla1[[#This Row],[Fatalities]]</f>
        <v>0</v>
      </c>
      <c r="W2714" s="50">
        <f>IFERROR(Tabla1[[#This Row],[Fatalities]]/Tabla1[[#This Row],[Aboard]],0)</f>
        <v>1</v>
      </c>
      <c r="X2714" s="51" t="str" cm="1">
        <f t="array" ref="X2714">_xlfn.IFS(Tabla1[[#This Row],[Porcentaje de muertes]]&lt;0.35,"LEVE",AND(Tabla1[[#This Row],[Porcentaje de muertes]]&gt;0.35,Tabla1[[#This Row],[Porcentaje de muertes]]&lt;0.65),"MEDIO",Tabla1[[#This Row],[Porcentaje de muertes]]&gt;0.65,"GRAVE")</f>
        <v>GRAVE</v>
      </c>
    </row>
    <row r="2715" spans="2:24" x14ac:dyDescent="0.3">
      <c r="B2715" s="9">
        <v>2714</v>
      </c>
      <c r="C2715" s="49">
        <v>27046</v>
      </c>
      <c r="D2715" s="9">
        <f>YEAR(Tabla1[[#This Row],[Date]])</f>
        <v>1974</v>
      </c>
      <c r="E2715" s="9" t="str" cm="1">
        <f t="array" ref="E2715">IFERROR(_xlfn.IFS(AND(D2715&lt;1980,D2715&gt;=1970),"70",AND(D2715&lt;1990,D2715&gt;=1980),"80",AND(D2715&lt;2000,D2715&gt;=1990),"90",AND(D2715&lt;2010,D2715&gt;=2000),"00",AND(D2715&lt;=2019,D2715&gt;=2010),"10"),"1908-1970")</f>
        <v>70</v>
      </c>
      <c r="F2715" s="3">
        <v>0.55208333333333337</v>
      </c>
      <c r="G2715" t="s">
        <v>17025</v>
      </c>
      <c r="H2715" t="s">
        <v>17026</v>
      </c>
      <c r="I2715" t="s">
        <v>28931</v>
      </c>
      <c r="J2715" t="s">
        <v>17027</v>
      </c>
      <c r="K2715" t="s">
        <v>6970</v>
      </c>
      <c r="L2715" s="7" t="s">
        <v>17028</v>
      </c>
      <c r="M2715">
        <v>1905</v>
      </c>
      <c r="N2715">
        <v>14</v>
      </c>
      <c r="O2715">
        <v>11</v>
      </c>
      <c r="P2715">
        <v>3</v>
      </c>
      <c r="Q2715">
        <v>14</v>
      </c>
      <c r="R2715">
        <v>11</v>
      </c>
      <c r="S2715">
        <v>3</v>
      </c>
      <c r="T2715">
        <v>0</v>
      </c>
      <c r="U2715" t="s">
        <v>17029</v>
      </c>
      <c r="V2715">
        <f>Tabla1[[#This Row],[Aboard]]-Tabla1[[#This Row],[Fatalities]]</f>
        <v>0</v>
      </c>
      <c r="W2715" s="50">
        <f>IFERROR(Tabla1[[#This Row],[Fatalities]]/Tabla1[[#This Row],[Aboard]],0)</f>
        <v>1</v>
      </c>
      <c r="X2715" s="51" t="str" cm="1">
        <f t="array" ref="X2715">_xlfn.IFS(Tabla1[[#This Row],[Porcentaje de muertes]]&lt;0.35,"LEVE",AND(Tabla1[[#This Row],[Porcentaje de muertes]]&gt;0.35,Tabla1[[#This Row],[Porcentaje de muertes]]&lt;0.65),"MEDIO",Tabla1[[#This Row],[Porcentaje de muertes]]&gt;0.65,"GRAVE")</f>
        <v>GRAVE</v>
      </c>
    </row>
    <row r="2716" spans="2:24" x14ac:dyDescent="0.3">
      <c r="B2716" s="9">
        <v>2715</v>
      </c>
      <c r="C2716" s="49">
        <v>27055</v>
      </c>
      <c r="D2716" s="9">
        <f>YEAR(Tabla1[[#This Row],[Date]])</f>
        <v>1974</v>
      </c>
      <c r="E2716" s="9" t="str" cm="1">
        <f t="array" ref="E2716">IFERROR(_xlfn.IFS(AND(D2716&lt;1980,D2716&gt;=1970),"70",AND(D2716&lt;1990,D2716&gt;=1980),"80",AND(D2716&lt;2000,D2716&gt;=1990),"90",AND(D2716&lt;2010,D2716&gt;=2000),"00",AND(D2716&lt;=2019,D2716&gt;=2010),"10"),"1908-1970")</f>
        <v>70</v>
      </c>
      <c r="F2716" s="3">
        <v>0.3125</v>
      </c>
      <c r="G2716" t="s">
        <v>17030</v>
      </c>
      <c r="H2716" t="s">
        <v>12613</v>
      </c>
      <c r="I2716" t="s">
        <v>28931</v>
      </c>
      <c r="J2716" t="s">
        <v>17031</v>
      </c>
      <c r="K2716" t="s">
        <v>16685</v>
      </c>
      <c r="L2716" s="7" t="s">
        <v>17032</v>
      </c>
      <c r="M2716">
        <v>11057</v>
      </c>
      <c r="N2716">
        <v>73</v>
      </c>
      <c r="O2716">
        <v>68</v>
      </c>
      <c r="P2716">
        <v>5</v>
      </c>
      <c r="Q2716">
        <v>66</v>
      </c>
      <c r="R2716">
        <v>62</v>
      </c>
      <c r="S2716">
        <v>4</v>
      </c>
      <c r="T2716">
        <v>0</v>
      </c>
      <c r="U2716" t="s">
        <v>17033</v>
      </c>
      <c r="V2716">
        <f>Tabla1[[#This Row],[Aboard]]-Tabla1[[#This Row],[Fatalities]]</f>
        <v>7</v>
      </c>
      <c r="W2716" s="50">
        <f>IFERROR(Tabla1[[#This Row],[Fatalities]]/Tabla1[[#This Row],[Aboard]],0)</f>
        <v>0.90410958904109584</v>
      </c>
      <c r="X2716" s="51" t="str" cm="1">
        <f t="array" ref="X2716">_xlfn.IFS(Tabla1[[#This Row],[Porcentaje de muertes]]&lt;0.35,"LEVE",AND(Tabla1[[#This Row],[Porcentaje de muertes]]&gt;0.35,Tabla1[[#This Row],[Porcentaje de muertes]]&lt;0.65),"MEDIO",Tabla1[[#This Row],[Porcentaje de muertes]]&gt;0.65,"GRAVE")</f>
        <v>GRAVE</v>
      </c>
    </row>
    <row r="2717" spans="2:24" x14ac:dyDescent="0.3">
      <c r="B2717" s="9">
        <v>2716</v>
      </c>
      <c r="C2717" s="49">
        <v>27059</v>
      </c>
      <c r="D2717" s="9">
        <f>YEAR(Tabla1[[#This Row],[Date]])</f>
        <v>1974</v>
      </c>
      <c r="E2717" s="9" t="str" cm="1">
        <f t="array" ref="E2717">IFERROR(_xlfn.IFS(AND(D2717&lt;1980,D2717&gt;=1970),"70",AND(D2717&lt;1990,D2717&gt;=1980),"80",AND(D2717&lt;2000,D2717&gt;=1990),"90",AND(D2717&lt;2010,D2717&gt;=2000),"00",AND(D2717&lt;=2019,D2717&gt;=2010),"10"),"1908-1970")</f>
        <v>70</v>
      </c>
      <c r="F2717" s="3">
        <v>0.9868055555555556</v>
      </c>
      <c r="G2717" t="s">
        <v>17034</v>
      </c>
      <c r="H2717" t="s">
        <v>7121</v>
      </c>
      <c r="I2717">
        <v>806</v>
      </c>
      <c r="J2717" t="s">
        <v>17035</v>
      </c>
      <c r="K2717" t="s">
        <v>14394</v>
      </c>
      <c r="L2717" s="7" t="s">
        <v>17036</v>
      </c>
      <c r="M2717" t="s">
        <v>17037</v>
      </c>
      <c r="N2717">
        <v>101</v>
      </c>
      <c r="O2717">
        <v>91</v>
      </c>
      <c r="P2717">
        <v>10</v>
      </c>
      <c r="Q2717">
        <v>97</v>
      </c>
      <c r="R2717">
        <v>87</v>
      </c>
      <c r="S2717">
        <v>10</v>
      </c>
      <c r="T2717">
        <v>0</v>
      </c>
      <c r="U2717" t="s">
        <v>17038</v>
      </c>
      <c r="V2717">
        <f>Tabla1[[#This Row],[Aboard]]-Tabla1[[#This Row],[Fatalities]]</f>
        <v>4</v>
      </c>
      <c r="W2717" s="50">
        <f>IFERROR(Tabla1[[#This Row],[Fatalities]]/Tabla1[[#This Row],[Aboard]],0)</f>
        <v>0.96039603960396036</v>
      </c>
      <c r="X2717" s="51" t="str" cm="1">
        <f t="array" ref="X2717">_xlfn.IFS(Tabla1[[#This Row],[Porcentaje de muertes]]&lt;0.35,"LEVE",AND(Tabla1[[#This Row],[Porcentaje de muertes]]&gt;0.35,Tabla1[[#This Row],[Porcentaje de muertes]]&lt;0.65),"MEDIO",Tabla1[[#This Row],[Porcentaje de muertes]]&gt;0.65,"GRAVE")</f>
        <v>GRAVE</v>
      </c>
    </row>
    <row r="2718" spans="2:24" x14ac:dyDescent="0.3">
      <c r="B2718" s="9">
        <v>2717</v>
      </c>
      <c r="C2718" s="49">
        <v>27062</v>
      </c>
      <c r="D2718" s="9">
        <f>YEAR(Tabla1[[#This Row],[Date]])</f>
        <v>1974</v>
      </c>
      <c r="E2718" s="9" t="str" cm="1">
        <f t="array" ref="E2718">IFERROR(_xlfn.IFS(AND(D2718&lt;1980,D2718&gt;=1970),"70",AND(D2718&lt;1990,D2718&gt;=1980),"80",AND(D2718&lt;2000,D2718&gt;=1990),"90",AND(D2718&lt;2010,D2718&gt;=2000),"00",AND(D2718&lt;=2019,D2718&gt;=2010),"10"),"1908-1970")</f>
        <v>70</v>
      </c>
      <c r="F2718" s="3">
        <v>0.89583333333333337</v>
      </c>
      <c r="G2718" t="s">
        <v>17039</v>
      </c>
      <c r="H2718" t="s">
        <v>7121</v>
      </c>
      <c r="I2718" t="s">
        <v>28931</v>
      </c>
      <c r="J2718" t="s">
        <v>17040</v>
      </c>
      <c r="K2718" t="s">
        <v>17041</v>
      </c>
      <c r="L2718" s="7" t="s">
        <v>17042</v>
      </c>
      <c r="M2718" t="s">
        <v>17043</v>
      </c>
      <c r="N2718">
        <v>298</v>
      </c>
      <c r="O2718">
        <v>279</v>
      </c>
      <c r="P2718">
        <v>19</v>
      </c>
      <c r="Q2718">
        <v>1</v>
      </c>
      <c r="R2718">
        <v>1</v>
      </c>
      <c r="S2718">
        <v>0</v>
      </c>
      <c r="T2718">
        <v>0</v>
      </c>
      <c r="U2718" t="s">
        <v>17044</v>
      </c>
      <c r="V2718">
        <f>Tabla1[[#This Row],[Aboard]]-Tabla1[[#This Row],[Fatalities]]</f>
        <v>297</v>
      </c>
      <c r="W2718" s="50">
        <f>IFERROR(Tabla1[[#This Row],[Fatalities]]/Tabla1[[#This Row],[Aboard]],0)</f>
        <v>3.3557046979865771E-3</v>
      </c>
      <c r="X2718" s="51" t="str" cm="1">
        <f t="array" ref="X2718">_xlfn.IFS(Tabla1[[#This Row],[Porcentaje de muertes]]&lt;0.35,"LEVE",AND(Tabla1[[#This Row],[Porcentaje de muertes]]&gt;0.35,Tabla1[[#This Row],[Porcentaje de muertes]]&lt;0.65),"MEDIO",Tabla1[[#This Row],[Porcentaje de muertes]]&gt;0.65,"GRAVE")</f>
        <v>LEVE</v>
      </c>
    </row>
    <row r="2719" spans="2:24" x14ac:dyDescent="0.3">
      <c r="B2719" s="9">
        <v>2718</v>
      </c>
      <c r="C2719" s="49">
        <v>27274</v>
      </c>
      <c r="D2719" s="9">
        <f>YEAR(Tabla1[[#This Row],[Date]])</f>
        <v>1974</v>
      </c>
      <c r="E2719" s="9" t="str" cm="1">
        <f t="array" ref="E2719">IFERROR(_xlfn.IFS(AND(D2719&lt;1980,D2719&gt;=1970),"70",AND(D2719&lt;1990,D2719&gt;=1980),"80",AND(D2719&lt;2000,D2719&gt;=1990),"90",AND(D2719&lt;2010,D2719&gt;=2000),"00",AND(D2719&lt;=2019,D2719&gt;=2010),"10"),"1908-1970")</f>
        <v>70</v>
      </c>
      <c r="F2719" s="3">
        <v>0.72916666666666663</v>
      </c>
      <c r="G2719" t="s">
        <v>17045</v>
      </c>
      <c r="H2719" t="s">
        <v>17046</v>
      </c>
      <c r="I2719" t="s">
        <v>28931</v>
      </c>
      <c r="J2719" t="s">
        <v>28931</v>
      </c>
      <c r="K2719" t="s">
        <v>17047</v>
      </c>
      <c r="L2719" s="7" t="s">
        <v>17048</v>
      </c>
      <c r="M2719" t="s">
        <v>28931</v>
      </c>
      <c r="N2719">
        <v>40</v>
      </c>
      <c r="O2719">
        <v>35</v>
      </c>
      <c r="P2719">
        <v>5</v>
      </c>
      <c r="Q2719">
        <v>35</v>
      </c>
      <c r="R2719">
        <v>30</v>
      </c>
      <c r="S2719">
        <v>5</v>
      </c>
      <c r="T2719">
        <v>0</v>
      </c>
      <c r="U2719" t="s">
        <v>17049</v>
      </c>
      <c r="V2719">
        <f>Tabla1[[#This Row],[Aboard]]-Tabla1[[#This Row],[Fatalities]]</f>
        <v>5</v>
      </c>
      <c r="W2719" s="50">
        <f>IFERROR(Tabla1[[#This Row],[Fatalities]]/Tabla1[[#This Row],[Aboard]],0)</f>
        <v>0.875</v>
      </c>
      <c r="X2719" s="51" t="str" cm="1">
        <f t="array" ref="X2719">_xlfn.IFS(Tabla1[[#This Row],[Porcentaje de muertes]]&lt;0.35,"LEVE",AND(Tabla1[[#This Row],[Porcentaje de muertes]]&gt;0.35,Tabla1[[#This Row],[Porcentaje de muertes]]&lt;0.65),"MEDIO",Tabla1[[#This Row],[Porcentaje de muertes]]&gt;0.65,"GRAVE")</f>
        <v>GRAVE</v>
      </c>
    </row>
    <row r="2720" spans="2:24" x14ac:dyDescent="0.3">
      <c r="B2720" s="9">
        <v>2719</v>
      </c>
      <c r="C2720" s="49">
        <v>27082</v>
      </c>
      <c r="D2720" s="9">
        <f>YEAR(Tabla1[[#This Row],[Date]])</f>
        <v>1974</v>
      </c>
      <c r="E2720" s="9" t="str" cm="1">
        <f t="array" ref="E2720">IFERROR(_xlfn.IFS(AND(D2720&lt;1980,D2720&gt;=1970),"70",AND(D2720&lt;1990,D2720&gt;=1980),"80",AND(D2720&lt;2000,D2720&gt;=1990),"90",AND(D2720&lt;2010,D2720&gt;=2000),"00",AND(D2720&lt;=2019,D2720&gt;=2010),"10"),"1908-1970")</f>
        <v>70</v>
      </c>
      <c r="F2720" s="3" t="s">
        <v>28931</v>
      </c>
      <c r="G2720" t="s">
        <v>17050</v>
      </c>
      <c r="H2720" t="s">
        <v>6658</v>
      </c>
      <c r="I2720">
        <v>523</v>
      </c>
      <c r="J2720" t="s">
        <v>17051</v>
      </c>
      <c r="K2720" t="s">
        <v>17052</v>
      </c>
      <c r="L2720" s="7" t="s">
        <v>28931</v>
      </c>
      <c r="M2720" t="s">
        <v>28931</v>
      </c>
      <c r="N2720">
        <v>15</v>
      </c>
      <c r="O2720">
        <v>10</v>
      </c>
      <c r="P2720">
        <v>5</v>
      </c>
      <c r="Q2720">
        <v>1</v>
      </c>
      <c r="R2720">
        <v>0</v>
      </c>
      <c r="S2720">
        <v>1</v>
      </c>
      <c r="T2720">
        <v>0</v>
      </c>
      <c r="U2720" t="s">
        <v>17053</v>
      </c>
      <c r="V2720">
        <f>Tabla1[[#This Row],[Aboard]]-Tabla1[[#This Row],[Fatalities]]</f>
        <v>14</v>
      </c>
      <c r="W2720" s="50">
        <f>IFERROR(Tabla1[[#This Row],[Fatalities]]/Tabla1[[#This Row],[Aboard]],0)</f>
        <v>6.6666666666666666E-2</v>
      </c>
      <c r="X2720" s="51" t="str" cm="1">
        <f t="array" ref="X2720">_xlfn.IFS(Tabla1[[#This Row],[Porcentaje de muertes]]&lt;0.35,"LEVE",AND(Tabla1[[#This Row],[Porcentaje de muertes]]&gt;0.35,Tabla1[[#This Row],[Porcentaje de muertes]]&lt;0.65),"MEDIO",Tabla1[[#This Row],[Porcentaje de muertes]]&gt;0.65,"GRAVE")</f>
        <v>LEVE</v>
      </c>
    </row>
    <row r="2721" spans="2:24" x14ac:dyDescent="0.3">
      <c r="B2721" s="9">
        <v>2720</v>
      </c>
      <c r="C2721" s="49">
        <v>27083</v>
      </c>
      <c r="D2721" s="9">
        <f>YEAR(Tabla1[[#This Row],[Date]])</f>
        <v>1974</v>
      </c>
      <c r="E2721" s="9" t="str" cm="1">
        <f t="array" ref="E2721">IFERROR(_xlfn.IFS(AND(D2721&lt;1980,D2721&gt;=1970),"70",AND(D2721&lt;1990,D2721&gt;=1980),"80",AND(D2721&lt;2000,D2721&gt;=1990),"90",AND(D2721&lt;2010,D2721&gt;=2000),"00",AND(D2721&lt;=2019,D2721&gt;=2010),"10"),"1908-1970")</f>
        <v>70</v>
      </c>
      <c r="F2721" s="3" t="s">
        <v>28931</v>
      </c>
      <c r="G2721" t="s">
        <v>17054</v>
      </c>
      <c r="H2721" t="s">
        <v>16176</v>
      </c>
      <c r="I2721" t="s">
        <v>28931</v>
      </c>
      <c r="J2721" t="s">
        <v>17055</v>
      </c>
      <c r="K2721" t="s">
        <v>11852</v>
      </c>
      <c r="L2721" s="7" t="s">
        <v>17056</v>
      </c>
      <c r="M2721">
        <v>30195</v>
      </c>
      <c r="N2721">
        <v>7</v>
      </c>
      <c r="O2721">
        <v>4</v>
      </c>
      <c r="P2721">
        <v>3</v>
      </c>
      <c r="Q2721">
        <v>7</v>
      </c>
      <c r="R2721">
        <v>4</v>
      </c>
      <c r="S2721">
        <v>3</v>
      </c>
      <c r="T2721">
        <v>0</v>
      </c>
      <c r="U2721" t="s">
        <v>17057</v>
      </c>
      <c r="V2721">
        <f>Tabla1[[#This Row],[Aboard]]-Tabla1[[#This Row],[Fatalities]]</f>
        <v>0</v>
      </c>
      <c r="W2721" s="50">
        <f>IFERROR(Tabla1[[#This Row],[Fatalities]]/Tabla1[[#This Row],[Aboard]],0)</f>
        <v>1</v>
      </c>
      <c r="X2721" s="51" t="str" cm="1">
        <f t="array" ref="X2721">_xlfn.IFS(Tabla1[[#This Row],[Porcentaje de muertes]]&lt;0.35,"LEVE",AND(Tabla1[[#This Row],[Porcentaje de muertes]]&gt;0.35,Tabla1[[#This Row],[Porcentaje de muertes]]&lt;0.65),"MEDIO",Tabla1[[#This Row],[Porcentaje de muertes]]&gt;0.65,"GRAVE")</f>
        <v>GRAVE</v>
      </c>
    </row>
    <row r="2722" spans="2:24" x14ac:dyDescent="0.3">
      <c r="B2722" s="9">
        <v>2721</v>
      </c>
      <c r="C2722" s="49">
        <v>27091</v>
      </c>
      <c r="D2722" s="9">
        <f>YEAR(Tabla1[[#This Row],[Date]])</f>
        <v>1974</v>
      </c>
      <c r="E2722" s="9" t="str" cm="1">
        <f t="array" ref="E2722">IFERROR(_xlfn.IFS(AND(D2722&lt;1980,D2722&gt;=1970),"70",AND(D2722&lt;1990,D2722&gt;=1980),"80",AND(D2722&lt;2000,D2722&gt;=1990),"90",AND(D2722&lt;2010,D2722&gt;=2000),"00",AND(D2722&lt;=2019,D2722&gt;=2010),"10"),"1908-1970")</f>
        <v>70</v>
      </c>
      <c r="F2722" s="3">
        <v>0.48680555555555555</v>
      </c>
      <c r="G2722" t="s">
        <v>17058</v>
      </c>
      <c r="H2722" t="s">
        <v>12613</v>
      </c>
      <c r="I2722">
        <v>981</v>
      </c>
      <c r="J2722" t="s">
        <v>5293</v>
      </c>
      <c r="K2722" t="s">
        <v>16963</v>
      </c>
      <c r="L2722" s="7" t="s">
        <v>17059</v>
      </c>
      <c r="M2722" t="s">
        <v>17060</v>
      </c>
      <c r="N2722">
        <v>346</v>
      </c>
      <c r="O2722">
        <v>335</v>
      </c>
      <c r="P2722">
        <v>11</v>
      </c>
      <c r="Q2722">
        <v>346</v>
      </c>
      <c r="R2722">
        <v>335</v>
      </c>
      <c r="S2722">
        <v>11</v>
      </c>
      <c r="T2722">
        <v>0</v>
      </c>
      <c r="U2722" t="s">
        <v>17061</v>
      </c>
      <c r="V2722">
        <f>Tabla1[[#This Row],[Aboard]]-Tabla1[[#This Row],[Fatalities]]</f>
        <v>0</v>
      </c>
      <c r="W2722" s="50">
        <f>IFERROR(Tabla1[[#This Row],[Fatalities]]/Tabla1[[#This Row],[Aboard]],0)</f>
        <v>1</v>
      </c>
      <c r="X2722" s="51" t="str" cm="1">
        <f t="array" ref="X2722">_xlfn.IFS(Tabla1[[#This Row],[Porcentaje de muertes]]&lt;0.35,"LEVE",AND(Tabla1[[#This Row],[Porcentaje de muertes]]&gt;0.35,Tabla1[[#This Row],[Porcentaje de muertes]]&lt;0.65),"MEDIO",Tabla1[[#This Row],[Porcentaje de muertes]]&gt;0.65,"GRAVE")</f>
        <v>GRAVE</v>
      </c>
    </row>
    <row r="2723" spans="2:24" x14ac:dyDescent="0.3">
      <c r="B2723" s="9">
        <v>2722</v>
      </c>
      <c r="C2723" s="49">
        <v>27244</v>
      </c>
      <c r="D2723" s="9">
        <f>YEAR(Tabla1[[#This Row],[Date]])</f>
        <v>1974</v>
      </c>
      <c r="E2723" s="9" t="str" cm="1">
        <f t="array" ref="E2723">IFERROR(_xlfn.IFS(AND(D2723&lt;1980,D2723&gt;=1970),"70",AND(D2723&lt;1990,D2723&gt;=1980),"80",AND(D2723&lt;2000,D2723&gt;=1990),"90",AND(D2723&lt;2010,D2723&gt;=2000),"00",AND(D2723&lt;=2019,D2723&gt;=2010),"10"),"1908-1970")</f>
        <v>70</v>
      </c>
      <c r="F2723" s="3" t="s">
        <v>28931</v>
      </c>
      <c r="G2723" t="s">
        <v>11261</v>
      </c>
      <c r="H2723" t="s">
        <v>17062</v>
      </c>
      <c r="I2723" t="s">
        <v>28931</v>
      </c>
      <c r="J2723" t="s">
        <v>11335</v>
      </c>
      <c r="K2723" t="s">
        <v>17063</v>
      </c>
      <c r="L2723" s="7" t="s">
        <v>17064</v>
      </c>
      <c r="M2723">
        <v>87304508</v>
      </c>
      <c r="N2723">
        <v>18</v>
      </c>
      <c r="O2723">
        <v>15</v>
      </c>
      <c r="P2723">
        <v>3</v>
      </c>
      <c r="Q2723">
        <v>18</v>
      </c>
      <c r="R2723">
        <v>15</v>
      </c>
      <c r="S2723">
        <v>3</v>
      </c>
      <c r="T2723">
        <v>0</v>
      </c>
      <c r="U2723" t="s">
        <v>17065</v>
      </c>
      <c r="V2723">
        <f>Tabla1[[#This Row],[Aboard]]-Tabla1[[#This Row],[Fatalities]]</f>
        <v>0</v>
      </c>
      <c r="W2723" s="50">
        <f>IFERROR(Tabla1[[#This Row],[Fatalities]]/Tabla1[[#This Row],[Aboard]],0)</f>
        <v>1</v>
      </c>
      <c r="X2723" s="51" t="str" cm="1">
        <f t="array" ref="X2723">_xlfn.IFS(Tabla1[[#This Row],[Porcentaje de muertes]]&lt;0.35,"LEVE",AND(Tabla1[[#This Row],[Porcentaje de muertes]]&gt;0.35,Tabla1[[#This Row],[Porcentaje de muertes]]&lt;0.65),"MEDIO",Tabla1[[#This Row],[Porcentaje de muertes]]&gt;0.65,"GRAVE")</f>
        <v>GRAVE</v>
      </c>
    </row>
    <row r="2724" spans="2:24" x14ac:dyDescent="0.3">
      <c r="B2724" s="9">
        <v>2723</v>
      </c>
      <c r="C2724" s="49">
        <v>27101</v>
      </c>
      <c r="D2724" s="9">
        <f>YEAR(Tabla1[[#This Row],[Date]])</f>
        <v>1974</v>
      </c>
      <c r="E2724" s="9" t="str" cm="1">
        <f t="array" ref="E2724">IFERROR(_xlfn.IFS(AND(D2724&lt;1980,D2724&gt;=1970),"70",AND(D2724&lt;1990,D2724&gt;=1980),"80",AND(D2724&lt;2000,D2724&gt;=1990),"90",AND(D2724&lt;2010,D2724&gt;=2000),"00",AND(D2724&lt;=2019,D2724&gt;=2010),"10"),"1908-1970")</f>
        <v>70</v>
      </c>
      <c r="F2724" s="3">
        <v>0.81111111111111101</v>
      </c>
      <c r="G2724" t="s">
        <v>17066</v>
      </c>
      <c r="H2724" t="s">
        <v>17067</v>
      </c>
      <c r="I2724">
        <v>802</v>
      </c>
      <c r="J2724" t="s">
        <v>17068</v>
      </c>
      <c r="K2724" t="s">
        <v>14237</v>
      </c>
      <c r="L2724" s="7" t="s">
        <v>17069</v>
      </c>
      <c r="M2724">
        <v>138</v>
      </c>
      <c r="N2724">
        <v>36</v>
      </c>
      <c r="O2724">
        <v>32</v>
      </c>
      <c r="P2724">
        <v>4</v>
      </c>
      <c r="Q2724">
        <v>36</v>
      </c>
      <c r="R2724">
        <v>32</v>
      </c>
      <c r="S2724">
        <v>4</v>
      </c>
      <c r="T2724">
        <v>0</v>
      </c>
      <c r="U2724" t="s">
        <v>17070</v>
      </c>
      <c r="V2724">
        <f>Tabla1[[#This Row],[Aboard]]-Tabla1[[#This Row],[Fatalities]]</f>
        <v>0</v>
      </c>
      <c r="W2724" s="50">
        <f>IFERROR(Tabla1[[#This Row],[Fatalities]]/Tabla1[[#This Row],[Aboard]],0)</f>
        <v>1</v>
      </c>
      <c r="X2724" s="51" t="str" cm="1">
        <f t="array" ref="X2724">_xlfn.IFS(Tabla1[[#This Row],[Porcentaje de muertes]]&lt;0.35,"LEVE",AND(Tabla1[[#This Row],[Porcentaje de muertes]]&gt;0.35,Tabla1[[#This Row],[Porcentaje de muertes]]&lt;0.65),"MEDIO",Tabla1[[#This Row],[Porcentaje de muertes]]&gt;0.65,"GRAVE")</f>
        <v>GRAVE</v>
      </c>
    </row>
    <row r="2725" spans="2:24" x14ac:dyDescent="0.3">
      <c r="B2725" s="9">
        <v>2724</v>
      </c>
      <c r="C2725" s="49">
        <v>27103</v>
      </c>
      <c r="D2725" s="9">
        <f>YEAR(Tabla1[[#This Row],[Date]])</f>
        <v>1974</v>
      </c>
      <c r="E2725" s="9" t="str" cm="1">
        <f t="array" ref="E2725">IFERROR(_xlfn.IFS(AND(D2725&lt;1980,D2725&gt;=1970),"70",AND(D2725&lt;1990,D2725&gt;=1980),"80",AND(D2725&lt;2000,D2725&gt;=1990),"90",AND(D2725&lt;2010,D2725&gt;=2000),"00",AND(D2725&lt;=2019,D2725&gt;=2010),"10"),"1908-1970")</f>
        <v>70</v>
      </c>
      <c r="F2725" s="3">
        <v>0.33819444444444446</v>
      </c>
      <c r="G2725" t="s">
        <v>10175</v>
      </c>
      <c r="H2725" t="s">
        <v>16390</v>
      </c>
      <c r="I2725" t="s">
        <v>28931</v>
      </c>
      <c r="J2725" t="s">
        <v>17071</v>
      </c>
      <c r="K2725" t="s">
        <v>17072</v>
      </c>
      <c r="L2725" s="7" t="s">
        <v>17073</v>
      </c>
      <c r="M2725">
        <v>266</v>
      </c>
      <c r="N2725">
        <v>96</v>
      </c>
      <c r="O2725">
        <v>92</v>
      </c>
      <c r="P2725">
        <v>4</v>
      </c>
      <c r="Q2725">
        <v>15</v>
      </c>
      <c r="R2725">
        <v>15</v>
      </c>
      <c r="S2725">
        <v>0</v>
      </c>
      <c r="T2725">
        <v>0</v>
      </c>
      <c r="U2725" t="s">
        <v>17074</v>
      </c>
      <c r="V2725">
        <f>Tabla1[[#This Row],[Aboard]]-Tabla1[[#This Row],[Fatalities]]</f>
        <v>81</v>
      </c>
      <c r="W2725" s="50">
        <f>IFERROR(Tabla1[[#This Row],[Fatalities]]/Tabla1[[#This Row],[Aboard]],0)</f>
        <v>0.15625</v>
      </c>
      <c r="X2725" s="51" t="str" cm="1">
        <f t="array" ref="X2725">_xlfn.IFS(Tabla1[[#This Row],[Porcentaje de muertes]]&lt;0.35,"LEVE",AND(Tabla1[[#This Row],[Porcentaje de muertes]]&gt;0.35,Tabla1[[#This Row],[Porcentaje de muertes]]&lt;0.65),"MEDIO",Tabla1[[#This Row],[Porcentaje de muertes]]&gt;0.65,"GRAVE")</f>
        <v>LEVE</v>
      </c>
    </row>
    <row r="2726" spans="2:24" x14ac:dyDescent="0.3">
      <c r="B2726" s="9">
        <v>2725</v>
      </c>
      <c r="C2726" s="49">
        <v>27123</v>
      </c>
      <c r="D2726" s="9">
        <f>YEAR(Tabla1[[#This Row],[Date]])</f>
        <v>1974</v>
      </c>
      <c r="E2726" s="9" t="str" cm="1">
        <f t="array" ref="E2726">IFERROR(_xlfn.IFS(AND(D2726&lt;1980,D2726&gt;=1970),"70",AND(D2726&lt;1990,D2726&gt;=1980),"80",AND(D2726&lt;2000,D2726&gt;=1990),"90",AND(D2726&lt;2010,D2726&gt;=2000),"00",AND(D2726&lt;=2019,D2726&gt;=2010),"10"),"1908-1970")</f>
        <v>70</v>
      </c>
      <c r="F2726" s="3">
        <v>0.1076388888888889</v>
      </c>
      <c r="G2726" t="s">
        <v>17075</v>
      </c>
      <c r="H2726" t="s">
        <v>17076</v>
      </c>
      <c r="I2726" t="s">
        <v>28931</v>
      </c>
      <c r="J2726" t="s">
        <v>17077</v>
      </c>
      <c r="K2726" t="s">
        <v>8822</v>
      </c>
      <c r="L2726" s="7" t="s">
        <v>17078</v>
      </c>
      <c r="M2726">
        <v>27242</v>
      </c>
      <c r="N2726">
        <v>84</v>
      </c>
      <c r="O2726">
        <v>80</v>
      </c>
      <c r="P2726">
        <v>4</v>
      </c>
      <c r="Q2726">
        <v>78</v>
      </c>
      <c r="R2726">
        <v>75</v>
      </c>
      <c r="S2726">
        <v>3</v>
      </c>
      <c r="T2726">
        <v>0</v>
      </c>
      <c r="U2726" t="s">
        <v>17079</v>
      </c>
      <c r="V2726">
        <f>Tabla1[[#This Row],[Aboard]]-Tabla1[[#This Row],[Fatalities]]</f>
        <v>6</v>
      </c>
      <c r="W2726" s="50">
        <f>IFERROR(Tabla1[[#This Row],[Fatalities]]/Tabla1[[#This Row],[Aboard]],0)</f>
        <v>0.9285714285714286</v>
      </c>
      <c r="X2726" s="51" t="str" cm="1">
        <f t="array" ref="X2726">_xlfn.IFS(Tabla1[[#This Row],[Porcentaje de muertes]]&lt;0.35,"LEVE",AND(Tabla1[[#This Row],[Porcentaje de muertes]]&gt;0.35,Tabla1[[#This Row],[Porcentaje de muertes]]&lt;0.65),"MEDIO",Tabla1[[#This Row],[Porcentaje de muertes]]&gt;0.65,"GRAVE")</f>
        <v>GRAVE</v>
      </c>
    </row>
    <row r="2727" spans="2:24" x14ac:dyDescent="0.3">
      <c r="B2727" s="9">
        <v>2726</v>
      </c>
      <c r="C2727" s="49">
        <v>27141</v>
      </c>
      <c r="D2727" s="9">
        <f>YEAR(Tabla1[[#This Row],[Date]])</f>
        <v>1974</v>
      </c>
      <c r="E2727" s="9" t="str" cm="1">
        <f t="array" ref="E2727">IFERROR(_xlfn.IFS(AND(D2727&lt;1980,D2727&gt;=1970),"70",AND(D2727&lt;1990,D2727&gt;=1980),"80",AND(D2727&lt;2000,D2727&gt;=1990),"90",AND(D2727&lt;2010,D2727&gt;=2000),"00",AND(D2727&lt;=2019,D2727&gt;=2010),"10"),"1908-1970")</f>
        <v>70</v>
      </c>
      <c r="F2727" s="3">
        <v>0.6430555555555556</v>
      </c>
      <c r="G2727" t="s">
        <v>17080</v>
      </c>
      <c r="H2727" t="s">
        <v>7121</v>
      </c>
      <c r="I2727">
        <v>812</v>
      </c>
      <c r="J2727" t="s">
        <v>17081</v>
      </c>
      <c r="K2727" t="s">
        <v>15237</v>
      </c>
      <c r="L2727" s="7" t="s">
        <v>17082</v>
      </c>
      <c r="M2727" t="s">
        <v>17083</v>
      </c>
      <c r="N2727">
        <v>107</v>
      </c>
      <c r="O2727">
        <v>96</v>
      </c>
      <c r="P2727">
        <v>11</v>
      </c>
      <c r="Q2727">
        <v>107</v>
      </c>
      <c r="R2727">
        <v>96</v>
      </c>
      <c r="S2727">
        <v>11</v>
      </c>
      <c r="T2727">
        <v>0</v>
      </c>
      <c r="U2727" t="s">
        <v>17084</v>
      </c>
      <c r="V2727">
        <f>Tabla1[[#This Row],[Aboard]]-Tabla1[[#This Row],[Fatalities]]</f>
        <v>0</v>
      </c>
      <c r="W2727" s="50">
        <f>IFERROR(Tabla1[[#This Row],[Fatalities]]/Tabla1[[#This Row],[Aboard]],0)</f>
        <v>1</v>
      </c>
      <c r="X2727" s="51" t="str" cm="1">
        <f t="array" ref="X2727">_xlfn.IFS(Tabla1[[#This Row],[Porcentaje de muertes]]&lt;0.35,"LEVE",AND(Tabla1[[#This Row],[Porcentaje de muertes]]&gt;0.35,Tabla1[[#This Row],[Porcentaje de muertes]]&lt;0.65),"MEDIO",Tabla1[[#This Row],[Porcentaje de muertes]]&gt;0.65,"GRAVE")</f>
        <v>GRAVE</v>
      </c>
    </row>
    <row r="2728" spans="2:24" x14ac:dyDescent="0.3">
      <c r="B2728" s="9">
        <v>2727</v>
      </c>
      <c r="C2728" s="49">
        <v>27146</v>
      </c>
      <c r="D2728" s="9">
        <f>YEAR(Tabla1[[#This Row],[Date]])</f>
        <v>1974</v>
      </c>
      <c r="E2728" s="9" t="str" cm="1">
        <f t="array" ref="E2728">IFERROR(_xlfn.IFS(AND(D2728&lt;1980,D2728&gt;=1970),"70",AND(D2728&lt;1990,D2728&gt;=1980),"80",AND(D2728&lt;2000,D2728&gt;=1990),"90",AND(D2728&lt;2010,D2728&gt;=2000),"00",AND(D2728&lt;=2019,D2728&gt;=2010),"10"),"1908-1970")</f>
        <v>70</v>
      </c>
      <c r="F2728" s="3">
        <v>0.75486111111111109</v>
      </c>
      <c r="G2728" t="s">
        <v>15958</v>
      </c>
      <c r="H2728" t="s">
        <v>6541</v>
      </c>
      <c r="I2728" t="s">
        <v>28931</v>
      </c>
      <c r="J2728" t="s">
        <v>17085</v>
      </c>
      <c r="K2728" t="s">
        <v>13035</v>
      </c>
      <c r="L2728" s="7" t="s">
        <v>17086</v>
      </c>
      <c r="M2728">
        <v>184007703</v>
      </c>
      <c r="N2728">
        <v>109</v>
      </c>
      <c r="O2728">
        <v>102</v>
      </c>
      <c r="P2728">
        <v>7</v>
      </c>
      <c r="Q2728">
        <v>109</v>
      </c>
      <c r="R2728">
        <v>102</v>
      </c>
      <c r="S2728">
        <v>7</v>
      </c>
      <c r="T2728">
        <v>0</v>
      </c>
      <c r="U2728" t="s">
        <v>17087</v>
      </c>
      <c r="V2728">
        <f>Tabla1[[#This Row],[Aboard]]-Tabla1[[#This Row],[Fatalities]]</f>
        <v>0</v>
      </c>
      <c r="W2728" s="50">
        <f>IFERROR(Tabla1[[#This Row],[Fatalities]]/Tabla1[[#This Row],[Aboard]],0)</f>
        <v>1</v>
      </c>
      <c r="X2728" s="51" t="str" cm="1">
        <f t="array" ref="X2728">_xlfn.IFS(Tabla1[[#This Row],[Porcentaje de muertes]]&lt;0.35,"LEVE",AND(Tabla1[[#This Row],[Porcentaje de muertes]]&gt;0.35,Tabla1[[#This Row],[Porcentaje de muertes]]&lt;0.65),"MEDIO",Tabla1[[#This Row],[Porcentaje de muertes]]&gt;0.65,"GRAVE")</f>
        <v>GRAVE</v>
      </c>
    </row>
    <row r="2729" spans="2:24" x14ac:dyDescent="0.3">
      <c r="B2729" s="9">
        <v>2728</v>
      </c>
      <c r="C2729" s="49">
        <v>27149</v>
      </c>
      <c r="D2729" s="9">
        <f>YEAR(Tabla1[[#This Row],[Date]])</f>
        <v>1974</v>
      </c>
      <c r="E2729" s="9" t="str" cm="1">
        <f t="array" ref="E2729">IFERROR(_xlfn.IFS(AND(D2729&lt;1980,D2729&gt;=1970),"70",AND(D2729&lt;1990,D2729&gt;=1980),"80",AND(D2729&lt;2000,D2729&gt;=1990),"90",AND(D2729&lt;2010,D2729&gt;=2000),"00",AND(D2729&lt;=2019,D2729&gt;=2010),"10"),"1908-1970")</f>
        <v>70</v>
      </c>
      <c r="F2729" s="3">
        <v>0.57430555555555551</v>
      </c>
      <c r="G2729" t="s">
        <v>17088</v>
      </c>
      <c r="H2729" t="s">
        <v>17089</v>
      </c>
      <c r="I2729" t="s">
        <v>28931</v>
      </c>
      <c r="J2729" t="s">
        <v>17090</v>
      </c>
      <c r="K2729" t="s">
        <v>17091</v>
      </c>
      <c r="L2729" s="7" t="s">
        <v>17092</v>
      </c>
      <c r="M2729" t="s">
        <v>17093</v>
      </c>
      <c r="N2729">
        <v>12</v>
      </c>
      <c r="O2729">
        <v>10</v>
      </c>
      <c r="P2729">
        <v>2</v>
      </c>
      <c r="Q2729">
        <v>6</v>
      </c>
      <c r="R2729">
        <v>5</v>
      </c>
      <c r="S2729">
        <v>1</v>
      </c>
      <c r="T2729">
        <v>0</v>
      </c>
      <c r="U2729" t="s">
        <v>17094</v>
      </c>
      <c r="V2729">
        <f>Tabla1[[#This Row],[Aboard]]-Tabla1[[#This Row],[Fatalities]]</f>
        <v>6</v>
      </c>
      <c r="W2729" s="50">
        <f>IFERROR(Tabla1[[#This Row],[Fatalities]]/Tabla1[[#This Row],[Aboard]],0)</f>
        <v>0.5</v>
      </c>
      <c r="X2729" s="51" t="str" cm="1">
        <f t="array" ref="X2729">_xlfn.IFS(Tabla1[[#This Row],[Porcentaje de muertes]]&lt;0.35,"LEVE",AND(Tabla1[[#This Row],[Porcentaje de muertes]]&gt;0.35,Tabla1[[#This Row],[Porcentaje de muertes]]&lt;0.65),"MEDIO",Tabla1[[#This Row],[Porcentaje de muertes]]&gt;0.65,"GRAVE")</f>
        <v>MEDIO</v>
      </c>
    </row>
    <row r="2730" spans="2:24" x14ac:dyDescent="0.3">
      <c r="B2730" s="9">
        <v>2729</v>
      </c>
      <c r="C2730" s="49">
        <v>27065</v>
      </c>
      <c r="D2730" s="9">
        <f>YEAR(Tabla1[[#This Row],[Date]])</f>
        <v>1974</v>
      </c>
      <c r="E2730" s="9" t="str" cm="1">
        <f t="array" ref="E2730">IFERROR(_xlfn.IFS(AND(D2730&lt;1980,D2730&gt;=1970),"70",AND(D2730&lt;1990,D2730&gt;=1980),"80",AND(D2730&lt;2000,D2730&gt;=1990),"90",AND(D2730&lt;2010,D2730&gt;=2000),"00",AND(D2730&lt;=2019,D2730&gt;=2010),"10"),"1908-1970")</f>
        <v>70</v>
      </c>
      <c r="F2730" s="3">
        <v>0.8125</v>
      </c>
      <c r="G2730" t="s">
        <v>17095</v>
      </c>
      <c r="H2730" t="s">
        <v>17096</v>
      </c>
      <c r="I2730" t="s">
        <v>28931</v>
      </c>
      <c r="J2730" t="s">
        <v>17097</v>
      </c>
      <c r="K2730" t="s">
        <v>7826</v>
      </c>
      <c r="L2730" s="7" t="s">
        <v>17098</v>
      </c>
      <c r="M2730" t="s">
        <v>28931</v>
      </c>
      <c r="N2730">
        <v>24</v>
      </c>
      <c r="O2730">
        <v>21</v>
      </c>
      <c r="P2730">
        <v>3</v>
      </c>
      <c r="Q2730">
        <v>22</v>
      </c>
      <c r="R2730">
        <v>19</v>
      </c>
      <c r="S2730">
        <v>3</v>
      </c>
      <c r="T2730">
        <v>0</v>
      </c>
      <c r="U2730" t="s">
        <v>17099</v>
      </c>
      <c r="V2730">
        <f>Tabla1[[#This Row],[Aboard]]-Tabla1[[#This Row],[Fatalities]]</f>
        <v>2</v>
      </c>
      <c r="W2730" s="50">
        <f>IFERROR(Tabla1[[#This Row],[Fatalities]]/Tabla1[[#This Row],[Aboard]],0)</f>
        <v>0.91666666666666663</v>
      </c>
      <c r="X2730" s="51" t="str" cm="1">
        <f t="array" ref="X2730">_xlfn.IFS(Tabla1[[#This Row],[Porcentaje de muertes]]&lt;0.35,"LEVE",AND(Tabla1[[#This Row],[Porcentaje de muertes]]&gt;0.35,Tabla1[[#This Row],[Porcentaje de muertes]]&lt;0.65),"MEDIO",Tabla1[[#This Row],[Porcentaje de muertes]]&gt;0.65,"GRAVE")</f>
        <v>GRAVE</v>
      </c>
    </row>
    <row r="2731" spans="2:24" x14ac:dyDescent="0.3">
      <c r="B2731" s="9">
        <v>2730</v>
      </c>
      <c r="C2731" s="49">
        <v>27185</v>
      </c>
      <c r="D2731" s="9">
        <f>YEAR(Tabla1[[#This Row],[Date]])</f>
        <v>1974</v>
      </c>
      <c r="E2731" s="9" t="str" cm="1">
        <f t="array" ref="E2731">IFERROR(_xlfn.IFS(AND(D2731&lt;1980,D2731&gt;=1970),"70",AND(D2731&lt;1990,D2731&gt;=1980),"80",AND(D2731&lt;2000,D2731&gt;=1990),"90",AND(D2731&lt;2010,D2731&gt;=2000),"00",AND(D2731&lt;=2019,D2731&gt;=2010),"10"),"1908-1970")</f>
        <v>70</v>
      </c>
      <c r="F2731" s="3">
        <v>0.93194444444444446</v>
      </c>
      <c r="G2731" t="s">
        <v>6907</v>
      </c>
      <c r="H2731" t="s">
        <v>17100</v>
      </c>
      <c r="I2731" t="s">
        <v>28931</v>
      </c>
      <c r="J2731" t="s">
        <v>17101</v>
      </c>
      <c r="K2731" t="s">
        <v>11052</v>
      </c>
      <c r="L2731" s="7" t="s">
        <v>17102</v>
      </c>
      <c r="M2731" t="s">
        <v>17103</v>
      </c>
      <c r="N2731">
        <v>3</v>
      </c>
      <c r="O2731">
        <v>0</v>
      </c>
      <c r="P2731">
        <v>3</v>
      </c>
      <c r="Q2731">
        <v>3</v>
      </c>
      <c r="R2731">
        <v>0</v>
      </c>
      <c r="S2731">
        <v>3</v>
      </c>
      <c r="T2731">
        <v>0</v>
      </c>
      <c r="U2731" t="s">
        <v>17104</v>
      </c>
      <c r="V2731">
        <f>Tabla1[[#This Row],[Aboard]]-Tabla1[[#This Row],[Fatalities]]</f>
        <v>0</v>
      </c>
      <c r="W2731" s="50">
        <f>IFERROR(Tabla1[[#This Row],[Fatalities]]/Tabla1[[#This Row],[Aboard]],0)</f>
        <v>1</v>
      </c>
      <c r="X2731" s="51" t="str" cm="1">
        <f t="array" ref="X2731">_xlfn.IFS(Tabla1[[#This Row],[Porcentaje de muertes]]&lt;0.35,"LEVE",AND(Tabla1[[#This Row],[Porcentaje de muertes]]&gt;0.35,Tabla1[[#This Row],[Porcentaje de muertes]]&lt;0.65),"MEDIO",Tabla1[[#This Row],[Porcentaje de muertes]]&gt;0.65,"GRAVE")</f>
        <v>GRAVE</v>
      </c>
    </row>
    <row r="2732" spans="2:24" x14ac:dyDescent="0.3">
      <c r="B2732" s="9">
        <v>2731</v>
      </c>
      <c r="C2732" s="49">
        <v>27172</v>
      </c>
      <c r="D2732" s="9">
        <f>YEAR(Tabla1[[#This Row],[Date]])</f>
        <v>1974</v>
      </c>
      <c r="E2732" s="9" t="str" cm="1">
        <f t="array" ref="E2732">IFERROR(_xlfn.IFS(AND(D2732&lt;1980,D2732&gt;=1970),"70",AND(D2732&lt;1990,D2732&gt;=1980),"80",AND(D2732&lt;2000,D2732&gt;=1990),"90",AND(D2732&lt;2010,D2732&gt;=2000),"00",AND(D2732&lt;=2019,D2732&gt;=2010),"10"),"1908-1970")</f>
        <v>70</v>
      </c>
      <c r="F2732" s="3">
        <v>0.70486111111111116</v>
      </c>
      <c r="G2732" t="s">
        <v>17105</v>
      </c>
      <c r="H2732" t="s">
        <v>16002</v>
      </c>
      <c r="I2732" t="s">
        <v>28931</v>
      </c>
      <c r="J2732" t="s">
        <v>17106</v>
      </c>
      <c r="K2732" t="s">
        <v>17107</v>
      </c>
      <c r="L2732" s="7" t="s">
        <v>17108</v>
      </c>
      <c r="M2732">
        <v>4225</v>
      </c>
      <c r="N2732">
        <v>3</v>
      </c>
      <c r="O2732">
        <v>1</v>
      </c>
      <c r="P2732">
        <v>2</v>
      </c>
      <c r="Q2732">
        <v>3</v>
      </c>
      <c r="R2732">
        <v>1</v>
      </c>
      <c r="S2732">
        <v>2</v>
      </c>
      <c r="T2732">
        <v>0</v>
      </c>
      <c r="U2732" t="s">
        <v>17109</v>
      </c>
      <c r="V2732">
        <f>Tabla1[[#This Row],[Aboard]]-Tabla1[[#This Row],[Fatalities]]</f>
        <v>0</v>
      </c>
      <c r="W2732" s="50">
        <f>IFERROR(Tabla1[[#This Row],[Fatalities]]/Tabla1[[#This Row],[Aboard]],0)</f>
        <v>1</v>
      </c>
      <c r="X2732" s="51" t="str" cm="1">
        <f t="array" ref="X2732">_xlfn.IFS(Tabla1[[#This Row],[Porcentaje de muertes]]&lt;0.35,"LEVE",AND(Tabla1[[#This Row],[Porcentaje de muertes]]&gt;0.35,Tabla1[[#This Row],[Porcentaje de muertes]]&lt;0.65),"MEDIO",Tabla1[[#This Row],[Porcentaje de muertes]]&gt;0.65,"GRAVE")</f>
        <v>GRAVE</v>
      </c>
    </row>
    <row r="2733" spans="2:24" x14ac:dyDescent="0.3">
      <c r="B2733" s="9">
        <v>2732</v>
      </c>
      <c r="C2733" s="49">
        <v>27172</v>
      </c>
      <c r="D2733" s="9">
        <f>YEAR(Tabla1[[#This Row],[Date]])</f>
        <v>1974</v>
      </c>
      <c r="E2733" s="9" t="str" cm="1">
        <f t="array" ref="E2733">IFERROR(_xlfn.IFS(AND(D2733&lt;1980,D2733&gt;=1970),"70",AND(D2733&lt;1990,D2733&gt;=1980),"80",AND(D2733&lt;2000,D2733&gt;=1990),"90",AND(D2733&lt;2010,D2733&gt;=2000),"00",AND(D2733&lt;=2019,D2733&gt;=2010),"10"),"1908-1970")</f>
        <v>70</v>
      </c>
      <c r="F2733" s="3">
        <v>0.92013888888888884</v>
      </c>
      <c r="G2733" t="s">
        <v>16247</v>
      </c>
      <c r="H2733" t="s">
        <v>6541</v>
      </c>
      <c r="I2733" t="s">
        <v>17110</v>
      </c>
      <c r="J2733" t="s">
        <v>17111</v>
      </c>
      <c r="K2733" t="s">
        <v>15961</v>
      </c>
      <c r="L2733" s="7" t="s">
        <v>17112</v>
      </c>
      <c r="M2733">
        <v>9221122</v>
      </c>
      <c r="N2733">
        <v>29</v>
      </c>
      <c r="O2733">
        <v>25</v>
      </c>
      <c r="P2733">
        <v>4</v>
      </c>
      <c r="Q2733">
        <v>29</v>
      </c>
      <c r="R2733">
        <v>25</v>
      </c>
      <c r="S2733">
        <v>4</v>
      </c>
      <c r="T2733">
        <v>0</v>
      </c>
      <c r="U2733" t="s">
        <v>17113</v>
      </c>
      <c r="V2733">
        <f>Tabla1[[#This Row],[Aboard]]-Tabla1[[#This Row],[Fatalities]]</f>
        <v>0</v>
      </c>
      <c r="W2733" s="50">
        <f>IFERROR(Tabla1[[#This Row],[Fatalities]]/Tabla1[[#This Row],[Aboard]],0)</f>
        <v>1</v>
      </c>
      <c r="X2733" s="51" t="str" cm="1">
        <f t="array" ref="X2733">_xlfn.IFS(Tabla1[[#This Row],[Porcentaje de muertes]]&lt;0.35,"LEVE",AND(Tabla1[[#This Row],[Porcentaje de muertes]]&gt;0.35,Tabla1[[#This Row],[Porcentaje de muertes]]&lt;0.65),"MEDIO",Tabla1[[#This Row],[Porcentaje de muertes]]&gt;0.65,"GRAVE")</f>
        <v>GRAVE</v>
      </c>
    </row>
    <row r="2734" spans="2:24" x14ac:dyDescent="0.3">
      <c r="B2734" s="9">
        <v>2733</v>
      </c>
      <c r="C2734" s="49">
        <v>27180</v>
      </c>
      <c r="D2734" s="9">
        <f>YEAR(Tabla1[[#This Row],[Date]])</f>
        <v>1974</v>
      </c>
      <c r="E2734" s="9" t="str" cm="1">
        <f t="array" ref="E2734">IFERROR(_xlfn.IFS(AND(D2734&lt;1980,D2734&gt;=1970),"70",AND(D2734&lt;1990,D2734&gt;=1980),"80",AND(D2734&lt;2000,D2734&gt;=1990),"90",AND(D2734&lt;2010,D2734&gt;=2000),"00",AND(D2734&lt;=2019,D2734&gt;=2010),"10"),"1908-1970")</f>
        <v>70</v>
      </c>
      <c r="F2734" s="3" t="s">
        <v>28931</v>
      </c>
      <c r="G2734" t="s">
        <v>17114</v>
      </c>
      <c r="H2734" t="s">
        <v>17115</v>
      </c>
      <c r="I2734" t="s">
        <v>28931</v>
      </c>
      <c r="J2734" t="s">
        <v>17116</v>
      </c>
      <c r="K2734" t="s">
        <v>14976</v>
      </c>
      <c r="L2734" s="7" t="s">
        <v>17117</v>
      </c>
      <c r="M2734">
        <v>13078</v>
      </c>
      <c r="N2734">
        <v>2</v>
      </c>
      <c r="O2734">
        <v>0</v>
      </c>
      <c r="P2734">
        <v>2</v>
      </c>
      <c r="Q2734">
        <v>2</v>
      </c>
      <c r="R2734">
        <v>0</v>
      </c>
      <c r="S2734">
        <v>2</v>
      </c>
      <c r="T2734">
        <v>0</v>
      </c>
      <c r="U2734" t="s">
        <v>17118</v>
      </c>
      <c r="V2734">
        <f>Tabla1[[#This Row],[Aboard]]-Tabla1[[#This Row],[Fatalities]]</f>
        <v>0</v>
      </c>
      <c r="W2734" s="50">
        <f>IFERROR(Tabla1[[#This Row],[Fatalities]]/Tabla1[[#This Row],[Aboard]],0)</f>
        <v>1</v>
      </c>
      <c r="X2734" s="51" t="str" cm="1">
        <f t="array" ref="X2734">_xlfn.IFS(Tabla1[[#This Row],[Porcentaje de muertes]]&lt;0.35,"LEVE",AND(Tabla1[[#This Row],[Porcentaje de muertes]]&gt;0.35,Tabla1[[#This Row],[Porcentaje de muertes]]&lt;0.65),"MEDIO",Tabla1[[#This Row],[Porcentaje de muertes]]&gt;0.65,"GRAVE")</f>
        <v>GRAVE</v>
      </c>
    </row>
    <row r="2735" spans="2:24" x14ac:dyDescent="0.3">
      <c r="B2735" s="9">
        <v>2734</v>
      </c>
      <c r="C2735" s="49">
        <v>27247</v>
      </c>
      <c r="D2735" s="9">
        <f>YEAR(Tabla1[[#This Row],[Date]])</f>
        <v>1974</v>
      </c>
      <c r="E2735" s="9" t="str" cm="1">
        <f t="array" ref="E2735">IFERROR(_xlfn.IFS(AND(D2735&lt;1980,D2735&gt;=1970),"70",AND(D2735&lt;1990,D2735&gt;=1980),"80",AND(D2735&lt;2000,D2735&gt;=1990),"90",AND(D2735&lt;2010,D2735&gt;=2000),"00",AND(D2735&lt;=2019,D2735&gt;=2010),"10"),"1908-1970")</f>
        <v>70</v>
      </c>
      <c r="F2735" s="3">
        <v>0.72916666666666663</v>
      </c>
      <c r="G2735" t="s">
        <v>17119</v>
      </c>
      <c r="H2735" t="s">
        <v>14515</v>
      </c>
      <c r="I2735">
        <v>514</v>
      </c>
      <c r="J2735" t="s">
        <v>9947</v>
      </c>
      <c r="K2735" t="s">
        <v>14108</v>
      </c>
      <c r="L2735" s="7" t="s">
        <v>17120</v>
      </c>
      <c r="M2735">
        <v>380</v>
      </c>
      <c r="N2735">
        <v>44</v>
      </c>
      <c r="O2735">
        <v>38</v>
      </c>
      <c r="P2735">
        <v>6</v>
      </c>
      <c r="Q2735">
        <v>44</v>
      </c>
      <c r="R2735">
        <v>38</v>
      </c>
      <c r="S2735">
        <v>6</v>
      </c>
      <c r="T2735">
        <v>0</v>
      </c>
      <c r="U2735" t="s">
        <v>17121</v>
      </c>
      <c r="V2735">
        <f>Tabla1[[#This Row],[Aboard]]-Tabla1[[#This Row],[Fatalities]]</f>
        <v>0</v>
      </c>
      <c r="W2735" s="50">
        <f>IFERROR(Tabla1[[#This Row],[Fatalities]]/Tabla1[[#This Row],[Aboard]],0)</f>
        <v>1</v>
      </c>
      <c r="X2735" s="51" t="str" cm="1">
        <f t="array" ref="X2735">_xlfn.IFS(Tabla1[[#This Row],[Porcentaje de muertes]]&lt;0.35,"LEVE",AND(Tabla1[[#This Row],[Porcentaje de muertes]]&gt;0.35,Tabla1[[#This Row],[Porcentaje de muertes]]&lt;0.65),"MEDIO",Tabla1[[#This Row],[Porcentaje de muertes]]&gt;0.65,"GRAVE")</f>
        <v>GRAVE</v>
      </c>
    </row>
    <row r="2736" spans="2:24" x14ac:dyDescent="0.3">
      <c r="B2736" s="9">
        <v>2735</v>
      </c>
      <c r="C2736" s="49">
        <v>27207</v>
      </c>
      <c r="D2736" s="9">
        <f>YEAR(Tabla1[[#This Row],[Date]])</f>
        <v>1974</v>
      </c>
      <c r="E2736" s="9" t="str" cm="1">
        <f t="array" ref="E2736">IFERROR(_xlfn.IFS(AND(D2736&lt;1980,D2736&gt;=1970),"70",AND(D2736&lt;1990,D2736&gt;=1980),"80",AND(D2736&lt;2000,D2736&gt;=1990),"90",AND(D2736&lt;2010,D2736&gt;=2000),"00",AND(D2736&lt;=2019,D2736&gt;=2010),"10"),"1908-1970")</f>
        <v>70</v>
      </c>
      <c r="F2736" s="3" t="s">
        <v>28931</v>
      </c>
      <c r="G2736" t="s">
        <v>17122</v>
      </c>
      <c r="H2736" t="s">
        <v>16600</v>
      </c>
      <c r="I2736">
        <v>1999</v>
      </c>
      <c r="J2736" t="s">
        <v>17123</v>
      </c>
      <c r="K2736" t="s">
        <v>17124</v>
      </c>
      <c r="L2736" s="7" t="s">
        <v>17125</v>
      </c>
      <c r="M2736">
        <v>1999</v>
      </c>
      <c r="N2736">
        <v>39</v>
      </c>
      <c r="O2736">
        <v>33</v>
      </c>
      <c r="P2736">
        <v>6</v>
      </c>
      <c r="Q2736">
        <v>19</v>
      </c>
      <c r="R2736">
        <v>17</v>
      </c>
      <c r="S2736">
        <v>2</v>
      </c>
      <c r="T2736">
        <v>0</v>
      </c>
      <c r="U2736" t="s">
        <v>17126</v>
      </c>
      <c r="V2736">
        <f>Tabla1[[#This Row],[Aboard]]-Tabla1[[#This Row],[Fatalities]]</f>
        <v>20</v>
      </c>
      <c r="W2736" s="50">
        <f>IFERROR(Tabla1[[#This Row],[Fatalities]]/Tabla1[[#This Row],[Aboard]],0)</f>
        <v>0.48717948717948717</v>
      </c>
      <c r="X2736" s="51" t="str" cm="1">
        <f t="array" ref="X2736">_xlfn.IFS(Tabla1[[#This Row],[Porcentaje de muertes]]&lt;0.35,"LEVE",AND(Tabla1[[#This Row],[Porcentaje de muertes]]&gt;0.35,Tabla1[[#This Row],[Porcentaje de muertes]]&lt;0.65),"MEDIO",Tabla1[[#This Row],[Porcentaje de muertes]]&gt;0.65,"GRAVE")</f>
        <v>MEDIO</v>
      </c>
    </row>
    <row r="2737" spans="2:24" x14ac:dyDescent="0.3">
      <c r="B2737" s="9">
        <v>2736</v>
      </c>
      <c r="C2737" s="49">
        <v>27210</v>
      </c>
      <c r="D2737" s="9">
        <f>YEAR(Tabla1[[#This Row],[Date]])</f>
        <v>1974</v>
      </c>
      <c r="E2737" s="9" t="str" cm="1">
        <f t="array" ref="E2737">IFERROR(_xlfn.IFS(AND(D2737&lt;1980,D2737&gt;=1970),"70",AND(D2737&lt;1990,D2737&gt;=1980),"80",AND(D2737&lt;2000,D2737&gt;=1990),"90",AND(D2737&lt;2010,D2737&gt;=2000),"00",AND(D2737&lt;=2019,D2737&gt;=2010),"10"),"1908-1970")</f>
        <v>70</v>
      </c>
      <c r="F2737" s="3">
        <v>0.54166666666666663</v>
      </c>
      <c r="G2737" t="s">
        <v>17127</v>
      </c>
      <c r="H2737" t="s">
        <v>17128</v>
      </c>
      <c r="I2737" t="s">
        <v>28931</v>
      </c>
      <c r="J2737" t="s">
        <v>17129</v>
      </c>
      <c r="K2737" t="s">
        <v>17130</v>
      </c>
      <c r="L2737" s="7" t="s">
        <v>17131</v>
      </c>
      <c r="M2737" t="s">
        <v>28931</v>
      </c>
      <c r="N2737">
        <v>5</v>
      </c>
      <c r="O2737">
        <v>4</v>
      </c>
      <c r="P2737">
        <v>1</v>
      </c>
      <c r="Q2737">
        <v>5</v>
      </c>
      <c r="R2737">
        <v>4</v>
      </c>
      <c r="S2737">
        <v>1</v>
      </c>
      <c r="T2737">
        <v>0</v>
      </c>
      <c r="U2737" t="s">
        <v>17132</v>
      </c>
      <c r="V2737">
        <f>Tabla1[[#This Row],[Aboard]]-Tabla1[[#This Row],[Fatalities]]</f>
        <v>0</v>
      </c>
      <c r="W2737" s="50">
        <f>IFERROR(Tabla1[[#This Row],[Fatalities]]/Tabla1[[#This Row],[Aboard]],0)</f>
        <v>1</v>
      </c>
      <c r="X2737" s="51" t="str" cm="1">
        <f t="array" ref="X2737">_xlfn.IFS(Tabla1[[#This Row],[Porcentaje de muertes]]&lt;0.35,"LEVE",AND(Tabla1[[#This Row],[Porcentaje de muertes]]&gt;0.35,Tabla1[[#This Row],[Porcentaje de muertes]]&lt;0.65),"MEDIO",Tabla1[[#This Row],[Porcentaje de muertes]]&gt;0.65,"GRAVE")</f>
        <v>GRAVE</v>
      </c>
    </row>
    <row r="2738" spans="2:24" x14ac:dyDescent="0.3">
      <c r="B2738" s="9">
        <v>2737</v>
      </c>
      <c r="C2738" s="49">
        <v>27234</v>
      </c>
      <c r="D2738" s="9">
        <f>YEAR(Tabla1[[#This Row],[Date]])</f>
        <v>1974</v>
      </c>
      <c r="E2738" s="9" t="str" cm="1">
        <f t="array" ref="E2738">IFERROR(_xlfn.IFS(AND(D2738&lt;1980,D2738&gt;=1970),"70",AND(D2738&lt;1990,D2738&gt;=1980),"80",AND(D2738&lt;2000,D2738&gt;=1990),"90",AND(D2738&lt;2010,D2738&gt;=2000),"00",AND(D2738&lt;=2019,D2738&gt;=2010),"10"),"1908-1970")</f>
        <v>70</v>
      </c>
      <c r="F2738" s="3">
        <v>0.40625</v>
      </c>
      <c r="G2738" t="s">
        <v>10364</v>
      </c>
      <c r="H2738" t="s">
        <v>17133</v>
      </c>
      <c r="I2738" t="s">
        <v>28931</v>
      </c>
      <c r="J2738" t="s">
        <v>28931</v>
      </c>
      <c r="K2738" t="s">
        <v>8822</v>
      </c>
      <c r="L2738" s="7" t="s">
        <v>17134</v>
      </c>
      <c r="M2738">
        <v>10507</v>
      </c>
      <c r="N2738">
        <v>3</v>
      </c>
      <c r="O2738">
        <v>0</v>
      </c>
      <c r="P2738">
        <v>3</v>
      </c>
      <c r="Q2738">
        <v>3</v>
      </c>
      <c r="R2738">
        <v>0</v>
      </c>
      <c r="S2738">
        <v>3</v>
      </c>
      <c r="T2738">
        <v>0</v>
      </c>
      <c r="U2738" t="s">
        <v>17135</v>
      </c>
      <c r="V2738">
        <f>Tabla1[[#This Row],[Aboard]]-Tabla1[[#This Row],[Fatalities]]</f>
        <v>0</v>
      </c>
      <c r="W2738" s="50">
        <f>IFERROR(Tabla1[[#This Row],[Fatalities]]/Tabla1[[#This Row],[Aboard]],0)</f>
        <v>1</v>
      </c>
      <c r="X2738" s="51" t="str" cm="1">
        <f t="array" ref="X2738">_xlfn.IFS(Tabla1[[#This Row],[Porcentaje de muertes]]&lt;0.35,"LEVE",AND(Tabla1[[#This Row],[Porcentaje de muertes]]&gt;0.35,Tabla1[[#This Row],[Porcentaje de muertes]]&lt;0.65),"MEDIO",Tabla1[[#This Row],[Porcentaje de muertes]]&gt;0.65,"GRAVE")</f>
        <v>GRAVE</v>
      </c>
    </row>
    <row r="2739" spans="2:24" x14ac:dyDescent="0.3">
      <c r="B2739" s="9">
        <v>2738</v>
      </c>
      <c r="C2739" s="49">
        <v>27237</v>
      </c>
      <c r="D2739" s="9">
        <f>YEAR(Tabla1[[#This Row],[Date]])</f>
        <v>1974</v>
      </c>
      <c r="E2739" s="9" t="str" cm="1">
        <f t="array" ref="E2739">IFERROR(_xlfn.IFS(AND(D2739&lt;1980,D2739&gt;=1970),"70",AND(D2739&lt;1990,D2739&gt;=1980),"80",AND(D2739&lt;2000,D2739&gt;=1990),"90",AND(D2739&lt;2010,D2739&gt;=2000),"00",AND(D2739&lt;=2019,D2739&gt;=2010),"10"),"1908-1970")</f>
        <v>70</v>
      </c>
      <c r="F2739" s="3" t="s">
        <v>28931</v>
      </c>
      <c r="G2739" t="s">
        <v>17136</v>
      </c>
      <c r="H2739" t="s">
        <v>17137</v>
      </c>
      <c r="I2739" t="s">
        <v>28931</v>
      </c>
      <c r="J2739" t="s">
        <v>17138</v>
      </c>
      <c r="K2739" t="s">
        <v>15159</v>
      </c>
      <c r="L2739" s="7" t="s">
        <v>17139</v>
      </c>
      <c r="M2739">
        <v>20304</v>
      </c>
      <c r="N2739">
        <v>5</v>
      </c>
      <c r="O2739">
        <v>1</v>
      </c>
      <c r="P2739">
        <v>4</v>
      </c>
      <c r="Q2739">
        <v>5</v>
      </c>
      <c r="R2739">
        <v>1</v>
      </c>
      <c r="S2739">
        <v>4</v>
      </c>
      <c r="T2739">
        <v>0</v>
      </c>
      <c r="U2739" t="s">
        <v>17140</v>
      </c>
      <c r="V2739">
        <f>Tabla1[[#This Row],[Aboard]]-Tabla1[[#This Row],[Fatalities]]</f>
        <v>0</v>
      </c>
      <c r="W2739" s="50">
        <f>IFERROR(Tabla1[[#This Row],[Fatalities]]/Tabla1[[#This Row],[Aboard]],0)</f>
        <v>1</v>
      </c>
      <c r="X2739" s="51" t="str" cm="1">
        <f t="array" ref="X2739">_xlfn.IFS(Tabla1[[#This Row],[Porcentaje de muertes]]&lt;0.35,"LEVE",AND(Tabla1[[#This Row],[Porcentaje de muertes]]&gt;0.35,Tabla1[[#This Row],[Porcentaje de muertes]]&lt;0.65),"MEDIO",Tabla1[[#This Row],[Porcentaje de muertes]]&gt;0.65,"GRAVE")</f>
        <v>GRAVE</v>
      </c>
    </row>
    <row r="2740" spans="2:24" x14ac:dyDescent="0.3">
      <c r="B2740" s="9">
        <v>2739</v>
      </c>
      <c r="C2740" s="49">
        <v>27157</v>
      </c>
      <c r="D2740" s="9">
        <f>YEAR(Tabla1[[#This Row],[Date]])</f>
        <v>1974</v>
      </c>
      <c r="E2740" s="9" t="str" cm="1">
        <f t="array" ref="E2740">IFERROR(_xlfn.IFS(AND(D2740&lt;1980,D2740&gt;=1970),"70",AND(D2740&lt;1990,D2740&gt;=1980),"80",AND(D2740&lt;2000,D2740&gt;=1990),"90",AND(D2740&lt;2010,D2740&gt;=2000),"00",AND(D2740&lt;=2019,D2740&gt;=2010),"10"),"1908-1970")</f>
        <v>70</v>
      </c>
      <c r="F2740" s="3" t="s">
        <v>28931</v>
      </c>
      <c r="G2740" t="s">
        <v>17141</v>
      </c>
      <c r="H2740" t="s">
        <v>17142</v>
      </c>
      <c r="I2740" t="s">
        <v>28931</v>
      </c>
      <c r="J2740" t="s">
        <v>17143</v>
      </c>
      <c r="K2740" t="s">
        <v>7057</v>
      </c>
      <c r="L2740" s="7" t="s">
        <v>17144</v>
      </c>
      <c r="M2740">
        <v>11850</v>
      </c>
      <c r="N2740">
        <v>11</v>
      </c>
      <c r="O2740">
        <v>8</v>
      </c>
      <c r="P2740">
        <v>3</v>
      </c>
      <c r="Q2740">
        <v>5</v>
      </c>
      <c r="R2740">
        <v>2</v>
      </c>
      <c r="S2740">
        <v>3</v>
      </c>
      <c r="T2740">
        <v>0</v>
      </c>
      <c r="U2740" t="s">
        <v>17145</v>
      </c>
      <c r="V2740">
        <f>Tabla1[[#This Row],[Aboard]]-Tabla1[[#This Row],[Fatalities]]</f>
        <v>6</v>
      </c>
      <c r="W2740" s="50">
        <f>IFERROR(Tabla1[[#This Row],[Fatalities]]/Tabla1[[#This Row],[Aboard]],0)</f>
        <v>0.45454545454545453</v>
      </c>
      <c r="X2740" s="51" t="str" cm="1">
        <f t="array" ref="X2740">_xlfn.IFS(Tabla1[[#This Row],[Porcentaje de muertes]]&lt;0.35,"LEVE",AND(Tabla1[[#This Row],[Porcentaje de muertes]]&gt;0.35,Tabla1[[#This Row],[Porcentaje de muertes]]&lt;0.65),"MEDIO",Tabla1[[#This Row],[Porcentaje de muertes]]&gt;0.65,"GRAVE")</f>
        <v>MEDIO</v>
      </c>
    </row>
    <row r="2741" spans="2:24" x14ac:dyDescent="0.3">
      <c r="B2741" s="9">
        <v>2740</v>
      </c>
      <c r="C2741" s="49">
        <v>27341</v>
      </c>
      <c r="D2741" s="9">
        <f>YEAR(Tabla1[[#This Row],[Date]])</f>
        <v>1974</v>
      </c>
      <c r="E2741" s="9" t="str" cm="1">
        <f t="array" ref="E2741">IFERROR(_xlfn.IFS(AND(D2741&lt;1980,D2741&gt;=1970),"70",AND(D2741&lt;1990,D2741&gt;=1980),"80",AND(D2741&lt;2000,D2741&gt;=1990),"90",AND(D2741&lt;2010,D2741&gt;=2000),"00",AND(D2741&lt;=2019,D2741&gt;=2010),"10"),"1908-1970")</f>
        <v>70</v>
      </c>
      <c r="F2741" s="3" t="s">
        <v>28931</v>
      </c>
      <c r="G2741" t="s">
        <v>17146</v>
      </c>
      <c r="H2741" t="s">
        <v>17147</v>
      </c>
      <c r="I2741" t="s">
        <v>28931</v>
      </c>
      <c r="J2741" t="s">
        <v>17148</v>
      </c>
      <c r="K2741" t="s">
        <v>13035</v>
      </c>
      <c r="L2741" s="7" t="s">
        <v>17149</v>
      </c>
      <c r="M2741">
        <v>181003304</v>
      </c>
      <c r="N2741">
        <v>60</v>
      </c>
      <c r="O2741">
        <v>50</v>
      </c>
      <c r="P2741">
        <v>10</v>
      </c>
      <c r="Q2741">
        <v>47</v>
      </c>
      <c r="R2741">
        <v>39</v>
      </c>
      <c r="S2741">
        <v>8</v>
      </c>
      <c r="T2741">
        <v>0</v>
      </c>
      <c r="U2741" t="s">
        <v>17150</v>
      </c>
      <c r="V2741">
        <f>Tabla1[[#This Row],[Aboard]]-Tabla1[[#This Row],[Fatalities]]</f>
        <v>13</v>
      </c>
      <c r="W2741" s="50">
        <f>IFERROR(Tabla1[[#This Row],[Fatalities]]/Tabla1[[#This Row],[Aboard]],0)</f>
        <v>0.78333333333333333</v>
      </c>
      <c r="X2741" s="51" t="str" cm="1">
        <f t="array" ref="X2741">_xlfn.IFS(Tabla1[[#This Row],[Porcentaje de muertes]]&lt;0.35,"LEVE",AND(Tabla1[[#This Row],[Porcentaje de muertes]]&gt;0.35,Tabla1[[#This Row],[Porcentaje de muertes]]&lt;0.65),"MEDIO",Tabla1[[#This Row],[Porcentaje de muertes]]&gt;0.65,"GRAVE")</f>
        <v>GRAVE</v>
      </c>
    </row>
    <row r="2742" spans="2:24" x14ac:dyDescent="0.3">
      <c r="B2742" s="9">
        <v>2741</v>
      </c>
      <c r="C2742" s="49">
        <v>27371</v>
      </c>
      <c r="D2742" s="9">
        <f>YEAR(Tabla1[[#This Row],[Date]])</f>
        <v>1974</v>
      </c>
      <c r="E2742" s="9" t="str" cm="1">
        <f t="array" ref="E2742">IFERROR(_xlfn.IFS(AND(D2742&lt;1980,D2742&gt;=1970),"70",AND(D2742&lt;1990,D2742&gt;=1980),"80",AND(D2742&lt;2000,D2742&gt;=1990),"90",AND(D2742&lt;2010,D2742&gt;=2000),"00",AND(D2742&lt;=2019,D2742&gt;=2010),"10"),"1908-1970")</f>
        <v>70</v>
      </c>
      <c r="F2742" s="3">
        <v>0.61805555555555558</v>
      </c>
      <c r="G2742" t="s">
        <v>17151</v>
      </c>
      <c r="H2742" t="s">
        <v>8976</v>
      </c>
      <c r="I2742" t="s">
        <v>28931</v>
      </c>
      <c r="J2742" t="s">
        <v>17152</v>
      </c>
      <c r="K2742" t="s">
        <v>7934</v>
      </c>
      <c r="L2742" s="7" t="s">
        <v>17153</v>
      </c>
      <c r="M2742">
        <v>4527</v>
      </c>
      <c r="N2742">
        <v>27</v>
      </c>
      <c r="O2742">
        <v>24</v>
      </c>
      <c r="P2742">
        <v>3</v>
      </c>
      <c r="Q2742">
        <v>27</v>
      </c>
      <c r="R2742">
        <v>24</v>
      </c>
      <c r="S2742">
        <v>3</v>
      </c>
      <c r="T2742">
        <v>0</v>
      </c>
      <c r="U2742" t="s">
        <v>17154</v>
      </c>
      <c r="V2742">
        <f>Tabla1[[#This Row],[Aboard]]-Tabla1[[#This Row],[Fatalities]]</f>
        <v>0</v>
      </c>
      <c r="W2742" s="50">
        <f>IFERROR(Tabla1[[#This Row],[Fatalities]]/Tabla1[[#This Row],[Aboard]],0)</f>
        <v>1</v>
      </c>
      <c r="X2742" s="51" t="str" cm="1">
        <f t="array" ref="X2742">_xlfn.IFS(Tabla1[[#This Row],[Porcentaje de muertes]]&lt;0.35,"LEVE",AND(Tabla1[[#This Row],[Porcentaje de muertes]]&gt;0.35,Tabla1[[#This Row],[Porcentaje de muertes]]&lt;0.65),"MEDIO",Tabla1[[#This Row],[Porcentaje de muertes]]&gt;0.65,"GRAVE")</f>
        <v>GRAVE</v>
      </c>
    </row>
    <row r="2743" spans="2:24" x14ac:dyDescent="0.3">
      <c r="B2743" s="9">
        <v>2742</v>
      </c>
      <c r="C2743" s="49">
        <v>27255</v>
      </c>
      <c r="D2743" s="9">
        <f>YEAR(Tabla1[[#This Row],[Date]])</f>
        <v>1974</v>
      </c>
      <c r="E2743" s="9" t="str" cm="1">
        <f t="array" ref="E2743">IFERROR(_xlfn.IFS(AND(D2743&lt;1980,D2743&gt;=1970),"70",AND(D2743&lt;1990,D2743&gt;=1980),"80",AND(D2743&lt;2000,D2743&gt;=1990),"90",AND(D2743&lt;2010,D2743&gt;=2000),"00",AND(D2743&lt;=2019,D2743&gt;=2010),"10"),"1908-1970")</f>
        <v>70</v>
      </c>
      <c r="F2743" s="3">
        <v>0.3888888888888889</v>
      </c>
      <c r="G2743" t="s">
        <v>17155</v>
      </c>
      <c r="H2743" t="s">
        <v>9074</v>
      </c>
      <c r="I2743" t="s">
        <v>28931</v>
      </c>
      <c r="J2743" t="s">
        <v>17156</v>
      </c>
      <c r="K2743" t="s">
        <v>16104</v>
      </c>
      <c r="L2743" s="7" t="s">
        <v>17157</v>
      </c>
      <c r="M2743">
        <v>95</v>
      </c>
      <c r="N2743">
        <v>49</v>
      </c>
      <c r="O2743">
        <v>45</v>
      </c>
      <c r="P2743">
        <v>4</v>
      </c>
      <c r="Q2743">
        <v>49</v>
      </c>
      <c r="R2743">
        <v>45</v>
      </c>
      <c r="S2743">
        <v>4</v>
      </c>
      <c r="T2743">
        <v>0</v>
      </c>
      <c r="U2743" t="s">
        <v>17158</v>
      </c>
      <c r="V2743">
        <f>Tabla1[[#This Row],[Aboard]]-Tabla1[[#This Row],[Fatalities]]</f>
        <v>0</v>
      </c>
      <c r="W2743" s="50">
        <f>IFERROR(Tabla1[[#This Row],[Fatalities]]/Tabla1[[#This Row],[Aboard]],0)</f>
        <v>1</v>
      </c>
      <c r="X2743" s="51" t="str" cm="1">
        <f t="array" ref="X2743">_xlfn.IFS(Tabla1[[#This Row],[Porcentaje de muertes]]&lt;0.35,"LEVE",AND(Tabla1[[#This Row],[Porcentaje de muertes]]&gt;0.35,Tabla1[[#This Row],[Porcentaje de muertes]]&lt;0.65),"MEDIO",Tabla1[[#This Row],[Porcentaje de muertes]]&gt;0.65,"GRAVE")</f>
        <v>GRAVE</v>
      </c>
    </row>
    <row r="2744" spans="2:24" x14ac:dyDescent="0.3">
      <c r="B2744" s="9">
        <v>2743</v>
      </c>
      <c r="C2744" s="49">
        <v>27259</v>
      </c>
      <c r="D2744" s="9">
        <f>YEAR(Tabla1[[#This Row],[Date]])</f>
        <v>1974</v>
      </c>
      <c r="E2744" s="9" t="str" cm="1">
        <f t="array" ref="E2744">IFERROR(_xlfn.IFS(AND(D2744&lt;1980,D2744&gt;=1970),"70",AND(D2744&lt;1990,D2744&gt;=1980),"80",AND(D2744&lt;2000,D2744&gt;=1990),"90",AND(D2744&lt;2010,D2744&gt;=2000),"00",AND(D2744&lt;=2019,D2744&gt;=2010),"10"),"1908-1970")</f>
        <v>70</v>
      </c>
      <c r="F2744" s="3" t="s">
        <v>28931</v>
      </c>
      <c r="G2744" t="s">
        <v>17159</v>
      </c>
      <c r="H2744" t="s">
        <v>17160</v>
      </c>
      <c r="I2744" t="s">
        <v>28931</v>
      </c>
      <c r="J2744" t="s">
        <v>17161</v>
      </c>
      <c r="K2744" t="s">
        <v>17162</v>
      </c>
      <c r="L2744" s="7" t="s">
        <v>17163</v>
      </c>
      <c r="M2744">
        <v>4422</v>
      </c>
      <c r="N2744">
        <v>31</v>
      </c>
      <c r="O2744">
        <v>24</v>
      </c>
      <c r="P2744">
        <v>7</v>
      </c>
      <c r="Q2744">
        <v>31</v>
      </c>
      <c r="R2744">
        <v>24</v>
      </c>
      <c r="S2744">
        <v>7</v>
      </c>
      <c r="T2744">
        <v>0</v>
      </c>
      <c r="U2744" t="s">
        <v>17164</v>
      </c>
      <c r="V2744">
        <f>Tabla1[[#This Row],[Aboard]]-Tabla1[[#This Row],[Fatalities]]</f>
        <v>0</v>
      </c>
      <c r="W2744" s="50">
        <f>IFERROR(Tabla1[[#This Row],[Fatalities]]/Tabla1[[#This Row],[Aboard]],0)</f>
        <v>1</v>
      </c>
      <c r="X2744" s="51" t="str" cm="1">
        <f t="array" ref="X2744">_xlfn.IFS(Tabla1[[#This Row],[Porcentaje de muertes]]&lt;0.35,"LEVE",AND(Tabla1[[#This Row],[Porcentaje de muertes]]&gt;0.35,Tabla1[[#This Row],[Porcentaje de muertes]]&lt;0.65),"MEDIO",Tabla1[[#This Row],[Porcentaje de muertes]]&gt;0.65,"GRAVE")</f>
        <v>GRAVE</v>
      </c>
    </row>
    <row r="2745" spans="2:24" x14ac:dyDescent="0.3">
      <c r="B2745" s="9">
        <v>2744</v>
      </c>
      <c r="C2745" s="49">
        <v>27219</v>
      </c>
      <c r="D2745" s="9">
        <f>YEAR(Tabla1[[#This Row],[Date]])</f>
        <v>1974</v>
      </c>
      <c r="E2745" s="9" t="str" cm="1">
        <f t="array" ref="E2745">IFERROR(_xlfn.IFS(AND(D2745&lt;1980,D2745&gt;=1970),"70",AND(D2745&lt;1990,D2745&gt;=1980),"80",AND(D2745&lt;2000,D2745&gt;=1990),"90",AND(D2745&lt;2010,D2745&gt;=2000),"00",AND(D2745&lt;=2019,D2745&gt;=2010),"10"),"1908-1970")</f>
        <v>70</v>
      </c>
      <c r="F2745" s="3" t="s">
        <v>28931</v>
      </c>
      <c r="G2745" t="s">
        <v>17165</v>
      </c>
      <c r="H2745" t="s">
        <v>10225</v>
      </c>
      <c r="I2745" t="s">
        <v>28931</v>
      </c>
      <c r="J2745" t="s">
        <v>17166</v>
      </c>
      <c r="K2745" t="s">
        <v>15526</v>
      </c>
      <c r="L2745" s="7" t="s">
        <v>17167</v>
      </c>
      <c r="M2745">
        <v>10422</v>
      </c>
      <c r="N2745">
        <v>39</v>
      </c>
      <c r="O2745">
        <v>36</v>
      </c>
      <c r="P2745">
        <v>3</v>
      </c>
      <c r="Q2745">
        <v>36</v>
      </c>
      <c r="R2745">
        <v>33</v>
      </c>
      <c r="S2745">
        <v>3</v>
      </c>
      <c r="T2745">
        <v>0</v>
      </c>
      <c r="U2745" t="s">
        <v>17168</v>
      </c>
      <c r="V2745">
        <f>Tabla1[[#This Row],[Aboard]]-Tabla1[[#This Row],[Fatalities]]</f>
        <v>3</v>
      </c>
      <c r="W2745" s="50">
        <f>IFERROR(Tabla1[[#This Row],[Fatalities]]/Tabla1[[#This Row],[Aboard]],0)</f>
        <v>0.92307692307692313</v>
      </c>
      <c r="X2745" s="51" t="str" cm="1">
        <f t="array" ref="X2745">_xlfn.IFS(Tabla1[[#This Row],[Porcentaje de muertes]]&lt;0.35,"LEVE",AND(Tabla1[[#This Row],[Porcentaje de muertes]]&gt;0.35,Tabla1[[#This Row],[Porcentaje de muertes]]&lt;0.65),"MEDIO",Tabla1[[#This Row],[Porcentaje de muertes]]&gt;0.65,"GRAVE")</f>
        <v>GRAVE</v>
      </c>
    </row>
    <row r="2746" spans="2:24" x14ac:dyDescent="0.3">
      <c r="B2746" s="9">
        <v>2745</v>
      </c>
      <c r="C2746" s="49">
        <v>27250</v>
      </c>
      <c r="D2746" s="9">
        <f>YEAR(Tabla1[[#This Row],[Date]])</f>
        <v>1974</v>
      </c>
      <c r="E2746" s="9" t="str" cm="1">
        <f t="array" ref="E2746">IFERROR(_xlfn.IFS(AND(D2746&lt;1980,D2746&gt;=1970),"70",AND(D2746&lt;1990,D2746&gt;=1980),"80",AND(D2746&lt;2000,D2746&gt;=1990),"90",AND(D2746&lt;2010,D2746&gt;=2000),"00",AND(D2746&lt;=2019,D2746&gt;=2010),"10"),"1908-1970")</f>
        <v>70</v>
      </c>
      <c r="F2746" s="3">
        <v>0.4861111111111111</v>
      </c>
      <c r="G2746" t="s">
        <v>17169</v>
      </c>
      <c r="H2746" t="s">
        <v>10166</v>
      </c>
      <c r="I2746">
        <v>841</v>
      </c>
      <c r="J2746" t="s">
        <v>17170</v>
      </c>
      <c r="K2746" t="s">
        <v>16904</v>
      </c>
      <c r="L2746" s="7" t="s">
        <v>17171</v>
      </c>
      <c r="M2746" t="s">
        <v>17172</v>
      </c>
      <c r="N2746">
        <v>88</v>
      </c>
      <c r="O2746">
        <v>79</v>
      </c>
      <c r="P2746">
        <v>9</v>
      </c>
      <c r="Q2746">
        <v>88</v>
      </c>
      <c r="R2746">
        <v>79</v>
      </c>
      <c r="S2746">
        <v>9</v>
      </c>
      <c r="T2746">
        <v>0</v>
      </c>
      <c r="U2746" t="s">
        <v>17173</v>
      </c>
      <c r="V2746">
        <f>Tabla1[[#This Row],[Aboard]]-Tabla1[[#This Row],[Fatalities]]</f>
        <v>0</v>
      </c>
      <c r="W2746" s="50">
        <f>IFERROR(Tabla1[[#This Row],[Fatalities]]/Tabla1[[#This Row],[Aboard]],0)</f>
        <v>1</v>
      </c>
      <c r="X2746" s="51" t="str" cm="1">
        <f t="array" ref="X2746">_xlfn.IFS(Tabla1[[#This Row],[Porcentaje de muertes]]&lt;0.35,"LEVE",AND(Tabla1[[#This Row],[Porcentaje de muertes]]&gt;0.35,Tabla1[[#This Row],[Porcentaje de muertes]]&lt;0.65),"MEDIO",Tabla1[[#This Row],[Porcentaje de muertes]]&gt;0.65,"GRAVE")</f>
        <v>GRAVE</v>
      </c>
    </row>
    <row r="2747" spans="2:24" x14ac:dyDescent="0.3">
      <c r="B2747" s="9">
        <v>2746</v>
      </c>
      <c r="C2747" s="49">
        <v>27342</v>
      </c>
      <c r="D2747" s="9">
        <f>YEAR(Tabla1[[#This Row],[Date]])</f>
        <v>1974</v>
      </c>
      <c r="E2747" s="9" t="str" cm="1">
        <f t="array" ref="E2747">IFERROR(_xlfn.IFS(AND(D2747&lt;1980,D2747&gt;=1970),"70",AND(D2747&lt;1990,D2747&gt;=1980),"80",AND(D2747&lt;2000,D2747&gt;=1990),"90",AND(D2747&lt;2010,D2747&gt;=2000),"00",AND(D2747&lt;=2019,D2747&gt;=2010),"10"),"1908-1970")</f>
        <v>70</v>
      </c>
      <c r="F2747" s="3">
        <v>0.31527777777777777</v>
      </c>
      <c r="G2747" t="s">
        <v>17174</v>
      </c>
      <c r="H2747" t="s">
        <v>6941</v>
      </c>
      <c r="I2747">
        <v>212</v>
      </c>
      <c r="J2747" t="s">
        <v>17175</v>
      </c>
      <c r="K2747" t="s">
        <v>16014</v>
      </c>
      <c r="L2747" s="7" t="s">
        <v>17176</v>
      </c>
      <c r="M2747" t="s">
        <v>17177</v>
      </c>
      <c r="N2747">
        <v>82</v>
      </c>
      <c r="O2747">
        <v>78</v>
      </c>
      <c r="P2747">
        <v>4</v>
      </c>
      <c r="Q2747">
        <v>70</v>
      </c>
      <c r="R2747">
        <v>68</v>
      </c>
      <c r="S2747">
        <v>2</v>
      </c>
      <c r="T2747">
        <v>0</v>
      </c>
      <c r="U2747" t="s">
        <v>17178</v>
      </c>
      <c r="V2747">
        <f>Tabla1[[#This Row],[Aboard]]-Tabla1[[#This Row],[Fatalities]]</f>
        <v>12</v>
      </c>
      <c r="W2747" s="50">
        <f>IFERROR(Tabla1[[#This Row],[Fatalities]]/Tabla1[[#This Row],[Aboard]],0)</f>
        <v>0.85365853658536583</v>
      </c>
      <c r="X2747" s="51" t="str" cm="1">
        <f t="array" ref="X2747">_xlfn.IFS(Tabla1[[#This Row],[Porcentaje de muertes]]&lt;0.35,"LEVE",AND(Tabla1[[#This Row],[Porcentaje de muertes]]&gt;0.35,Tabla1[[#This Row],[Porcentaje de muertes]]&lt;0.65),"MEDIO",Tabla1[[#This Row],[Porcentaje de muertes]]&gt;0.65,"GRAVE")</f>
        <v>GRAVE</v>
      </c>
    </row>
    <row r="2748" spans="2:24" x14ac:dyDescent="0.3">
      <c r="B2748" s="9">
        <v>2747</v>
      </c>
      <c r="C2748" s="49">
        <v>27287</v>
      </c>
      <c r="D2748" s="9">
        <f>YEAR(Tabla1[[#This Row],[Date]])</f>
        <v>1974</v>
      </c>
      <c r="E2748" s="9" t="str" cm="1">
        <f t="array" ref="E2748">IFERROR(_xlfn.IFS(AND(D2748&lt;1980,D2748&gt;=1970),"70",AND(D2748&lt;1990,D2748&gt;=1980),"80",AND(D2748&lt;2000,D2748&gt;=1990),"90",AND(D2748&lt;2010,D2748&gt;=2000),"00",AND(D2748&lt;=2019,D2748&gt;=2010),"10"),"1908-1970")</f>
        <v>70</v>
      </c>
      <c r="F2748" s="3">
        <v>0.45833333333333331</v>
      </c>
      <c r="G2748" t="s">
        <v>17179</v>
      </c>
      <c r="H2748" t="s">
        <v>11339</v>
      </c>
      <c r="I2748">
        <v>706</v>
      </c>
      <c r="J2748" t="s">
        <v>17180</v>
      </c>
      <c r="K2748" t="s">
        <v>17181</v>
      </c>
      <c r="L2748" s="7" t="s">
        <v>17182</v>
      </c>
      <c r="M2748">
        <v>19819</v>
      </c>
      <c r="N2748">
        <v>75</v>
      </c>
      <c r="O2748">
        <v>67</v>
      </c>
      <c r="P2748">
        <v>8</v>
      </c>
      <c r="Q2748">
        <v>75</v>
      </c>
      <c r="R2748">
        <v>67</v>
      </c>
      <c r="S2748">
        <v>8</v>
      </c>
      <c r="T2748">
        <v>0</v>
      </c>
      <c r="U2748" t="s">
        <v>17183</v>
      </c>
      <c r="V2748">
        <f>Tabla1[[#This Row],[Aboard]]-Tabla1[[#This Row],[Fatalities]]</f>
        <v>0</v>
      </c>
      <c r="W2748" s="50">
        <f>IFERROR(Tabla1[[#This Row],[Fatalities]]/Tabla1[[#This Row],[Aboard]],0)</f>
        <v>1</v>
      </c>
      <c r="X2748" s="51" t="str" cm="1">
        <f t="array" ref="X2748">_xlfn.IFS(Tabla1[[#This Row],[Porcentaje de muertes]]&lt;0.35,"LEVE",AND(Tabla1[[#This Row],[Porcentaje de muertes]]&gt;0.35,Tabla1[[#This Row],[Porcentaje de muertes]]&lt;0.65),"MEDIO",Tabla1[[#This Row],[Porcentaje de muertes]]&gt;0.65,"GRAVE")</f>
        <v>GRAVE</v>
      </c>
    </row>
    <row r="2749" spans="2:24" x14ac:dyDescent="0.3">
      <c r="B2749" s="9">
        <v>2748</v>
      </c>
      <c r="C2749" s="49">
        <v>27321</v>
      </c>
      <c r="D2749" s="9">
        <f>YEAR(Tabla1[[#This Row],[Date]])</f>
        <v>1974</v>
      </c>
      <c r="E2749" s="9" t="str" cm="1">
        <f t="array" ref="E2749">IFERROR(_xlfn.IFS(AND(D2749&lt;1980,D2749&gt;=1970),"70",AND(D2749&lt;1990,D2749&gt;=1980),"80",AND(D2749&lt;2000,D2749&gt;=1990),"90",AND(D2749&lt;2010,D2749&gt;=2000),"00",AND(D2749&lt;=2019,D2749&gt;=2010),"10"),"1908-1970")</f>
        <v>70</v>
      </c>
      <c r="F2749" s="3">
        <v>0.46875</v>
      </c>
      <c r="G2749" t="s">
        <v>17184</v>
      </c>
      <c r="H2749" t="s">
        <v>17185</v>
      </c>
      <c r="I2749" t="s">
        <v>28931</v>
      </c>
      <c r="J2749" t="s">
        <v>17186</v>
      </c>
      <c r="K2749" t="s">
        <v>7057</v>
      </c>
      <c r="L2749" s="7" t="s">
        <v>17187</v>
      </c>
      <c r="M2749" t="s">
        <v>17188</v>
      </c>
      <c r="N2749">
        <v>8</v>
      </c>
      <c r="O2749">
        <v>4</v>
      </c>
      <c r="P2749">
        <v>4</v>
      </c>
      <c r="Q2749">
        <v>1</v>
      </c>
      <c r="R2749">
        <v>0</v>
      </c>
      <c r="S2749">
        <v>1</v>
      </c>
      <c r="T2749">
        <v>0</v>
      </c>
      <c r="U2749" t="s">
        <v>17189</v>
      </c>
      <c r="V2749">
        <f>Tabla1[[#This Row],[Aboard]]-Tabla1[[#This Row],[Fatalities]]</f>
        <v>7</v>
      </c>
      <c r="W2749" s="50">
        <f>IFERROR(Tabla1[[#This Row],[Fatalities]]/Tabla1[[#This Row],[Aboard]],0)</f>
        <v>0.125</v>
      </c>
      <c r="X2749" s="51" t="str" cm="1">
        <f t="array" ref="X2749">_xlfn.IFS(Tabla1[[#This Row],[Porcentaje de muertes]]&lt;0.35,"LEVE",AND(Tabla1[[#This Row],[Porcentaje de muertes]]&gt;0.35,Tabla1[[#This Row],[Porcentaje de muertes]]&lt;0.65),"MEDIO",Tabla1[[#This Row],[Porcentaje de muertes]]&gt;0.65,"GRAVE")</f>
        <v>LEVE</v>
      </c>
    </row>
    <row r="2750" spans="2:24" x14ac:dyDescent="0.3">
      <c r="B2750" s="9">
        <v>2749</v>
      </c>
      <c r="C2750" s="49">
        <v>27329</v>
      </c>
      <c r="D2750" s="9">
        <f>YEAR(Tabla1[[#This Row],[Date]])</f>
        <v>1974</v>
      </c>
      <c r="E2750" s="9" t="str" cm="1">
        <f t="array" ref="E2750">IFERROR(_xlfn.IFS(AND(D2750&lt;1980,D2750&gt;=1970),"70",AND(D2750&lt;1990,D2750&gt;=1980),"80",AND(D2750&lt;2000,D2750&gt;=1990),"90",AND(D2750&lt;2010,D2750&gt;=2000),"00",AND(D2750&lt;=2019,D2750&gt;=2010),"10"),"1908-1970")</f>
        <v>70</v>
      </c>
      <c r="F2750" s="3">
        <v>0.98333333333333339</v>
      </c>
      <c r="G2750" t="s">
        <v>17190</v>
      </c>
      <c r="H2750" t="s">
        <v>17191</v>
      </c>
      <c r="I2750" t="s">
        <v>28931</v>
      </c>
      <c r="J2750" t="s">
        <v>17192</v>
      </c>
      <c r="K2750" t="s">
        <v>15384</v>
      </c>
      <c r="L2750" s="7" t="s">
        <v>17193</v>
      </c>
      <c r="M2750">
        <v>4234</v>
      </c>
      <c r="N2750">
        <v>4</v>
      </c>
      <c r="O2750">
        <v>0</v>
      </c>
      <c r="P2750">
        <v>4</v>
      </c>
      <c r="Q2750">
        <v>4</v>
      </c>
      <c r="R2750">
        <v>0</v>
      </c>
      <c r="S2750">
        <v>4</v>
      </c>
      <c r="T2750">
        <v>0</v>
      </c>
      <c r="U2750" t="s">
        <v>17194</v>
      </c>
      <c r="V2750">
        <f>Tabla1[[#This Row],[Aboard]]-Tabla1[[#This Row],[Fatalities]]</f>
        <v>0</v>
      </c>
      <c r="W2750" s="50">
        <f>IFERROR(Tabla1[[#This Row],[Fatalities]]/Tabla1[[#This Row],[Aboard]],0)</f>
        <v>1</v>
      </c>
      <c r="X2750" s="51" t="str" cm="1">
        <f t="array" ref="X2750">_xlfn.IFS(Tabla1[[#This Row],[Porcentaje de muertes]]&lt;0.35,"LEVE",AND(Tabla1[[#This Row],[Porcentaje de muertes]]&gt;0.35,Tabla1[[#This Row],[Porcentaje de muertes]]&lt;0.65),"MEDIO",Tabla1[[#This Row],[Porcentaje de muertes]]&gt;0.65,"GRAVE")</f>
        <v>GRAVE</v>
      </c>
    </row>
    <row r="2751" spans="2:24" x14ac:dyDescent="0.3">
      <c r="B2751" s="9">
        <v>2750</v>
      </c>
      <c r="C2751" s="49">
        <v>27330</v>
      </c>
      <c r="D2751" s="9">
        <f>YEAR(Tabla1[[#This Row],[Date]])</f>
        <v>1974</v>
      </c>
      <c r="E2751" s="9" t="str" cm="1">
        <f t="array" ref="E2751">IFERROR(_xlfn.IFS(AND(D2751&lt;1980,D2751&gt;=1970),"70",AND(D2751&lt;1990,D2751&gt;=1980),"80",AND(D2751&lt;2000,D2751&gt;=1990),"90",AND(D2751&lt;2010,D2751&gt;=2000),"00",AND(D2751&lt;=2019,D2751&gt;=2010),"10"),"1908-1970")</f>
        <v>70</v>
      </c>
      <c r="F2751" s="3">
        <v>0.69791666666666663</v>
      </c>
      <c r="G2751" t="s">
        <v>17195</v>
      </c>
      <c r="H2751" t="s">
        <v>17196</v>
      </c>
      <c r="I2751" t="s">
        <v>28931</v>
      </c>
      <c r="J2751" t="s">
        <v>17197</v>
      </c>
      <c r="K2751" t="s">
        <v>17198</v>
      </c>
      <c r="L2751" s="7" t="s">
        <v>17199</v>
      </c>
      <c r="M2751" t="s">
        <v>28931</v>
      </c>
      <c r="N2751">
        <v>2</v>
      </c>
      <c r="O2751">
        <v>1</v>
      </c>
      <c r="P2751">
        <v>1</v>
      </c>
      <c r="Q2751">
        <v>2</v>
      </c>
      <c r="R2751">
        <v>1</v>
      </c>
      <c r="S2751">
        <v>1</v>
      </c>
      <c r="T2751">
        <v>0</v>
      </c>
      <c r="U2751" t="s">
        <v>17200</v>
      </c>
      <c r="V2751">
        <f>Tabla1[[#This Row],[Aboard]]-Tabla1[[#This Row],[Fatalities]]</f>
        <v>0</v>
      </c>
      <c r="W2751" s="50">
        <f>IFERROR(Tabla1[[#This Row],[Fatalities]]/Tabla1[[#This Row],[Aboard]],0)</f>
        <v>1</v>
      </c>
      <c r="X2751" s="51" t="str" cm="1">
        <f t="array" ref="X2751">_xlfn.IFS(Tabla1[[#This Row],[Porcentaje de muertes]]&lt;0.35,"LEVE",AND(Tabla1[[#This Row],[Porcentaje de muertes]]&gt;0.35,Tabla1[[#This Row],[Porcentaje de muertes]]&lt;0.65),"MEDIO",Tabla1[[#This Row],[Porcentaje de muertes]]&gt;0.65,"GRAVE")</f>
        <v>GRAVE</v>
      </c>
    </row>
    <row r="2752" spans="2:24" x14ac:dyDescent="0.3">
      <c r="B2752" s="9">
        <v>2751</v>
      </c>
      <c r="C2752" s="49">
        <v>27040</v>
      </c>
      <c r="D2752" s="9">
        <f>YEAR(Tabla1[[#This Row],[Date]])</f>
        <v>1974</v>
      </c>
      <c r="E2752" s="9" t="str" cm="1">
        <f t="array" ref="E2752">IFERROR(_xlfn.IFS(AND(D2752&lt;1980,D2752&gt;=1970),"70",AND(D2752&lt;1990,D2752&gt;=1980),"80",AND(D2752&lt;2000,D2752&gt;=1990),"90",AND(D2752&lt;2010,D2752&gt;=2000),"00",AND(D2752&lt;=2019,D2752&gt;=2010),"10"),"1908-1970")</f>
        <v>70</v>
      </c>
      <c r="F2752" s="3">
        <v>0.62222222222222223</v>
      </c>
      <c r="G2752" t="s">
        <v>17201</v>
      </c>
      <c r="H2752" t="s">
        <v>6541</v>
      </c>
      <c r="I2752">
        <v>662</v>
      </c>
      <c r="J2752" t="s">
        <v>17202</v>
      </c>
      <c r="K2752" t="s">
        <v>17203</v>
      </c>
      <c r="L2752" s="7" t="s">
        <v>17204</v>
      </c>
      <c r="M2752" t="s">
        <v>17205</v>
      </c>
      <c r="N2752">
        <v>38</v>
      </c>
      <c r="O2752">
        <v>32</v>
      </c>
      <c r="P2752">
        <v>6</v>
      </c>
      <c r="Q2752">
        <v>38</v>
      </c>
      <c r="R2752">
        <v>32</v>
      </c>
      <c r="S2752">
        <v>6</v>
      </c>
      <c r="T2752">
        <v>0</v>
      </c>
      <c r="U2752" t="s">
        <v>17206</v>
      </c>
      <c r="V2752">
        <f>Tabla1[[#This Row],[Aboard]]-Tabla1[[#This Row],[Fatalities]]</f>
        <v>0</v>
      </c>
      <c r="W2752" s="50">
        <f>IFERROR(Tabla1[[#This Row],[Fatalities]]/Tabla1[[#This Row],[Aboard]],0)</f>
        <v>1</v>
      </c>
      <c r="X2752" s="51" t="str" cm="1">
        <f t="array" ref="X2752">_xlfn.IFS(Tabla1[[#This Row],[Porcentaje de muertes]]&lt;0.35,"LEVE",AND(Tabla1[[#This Row],[Porcentaje de muertes]]&gt;0.35,Tabla1[[#This Row],[Porcentaje de muertes]]&lt;0.65),"MEDIO",Tabla1[[#This Row],[Porcentaje de muertes]]&gt;0.65,"GRAVE")</f>
        <v>GRAVE</v>
      </c>
    </row>
    <row r="2753" spans="2:24" x14ac:dyDescent="0.3">
      <c r="B2753" s="9">
        <v>2752</v>
      </c>
      <c r="C2753" s="49">
        <v>27348</v>
      </c>
      <c r="D2753" s="9">
        <f>YEAR(Tabla1[[#This Row],[Date]])</f>
        <v>1974</v>
      </c>
      <c r="E2753" s="9" t="str" cm="1">
        <f t="array" ref="E2753">IFERROR(_xlfn.IFS(AND(D2753&lt;1980,D2753&gt;=1970),"70",AND(D2753&lt;1990,D2753&gt;=1980),"80",AND(D2753&lt;2000,D2753&gt;=1990),"90",AND(D2753&lt;2010,D2753&gt;=2000),"00",AND(D2753&lt;=2019,D2753&gt;=2010),"10"),"1908-1970")</f>
        <v>70</v>
      </c>
      <c r="F2753" s="3" t="s">
        <v>28931</v>
      </c>
      <c r="G2753" t="s">
        <v>12372</v>
      </c>
      <c r="H2753" t="s">
        <v>17207</v>
      </c>
      <c r="I2753" t="s">
        <v>28931</v>
      </c>
      <c r="J2753" t="s">
        <v>28931</v>
      </c>
      <c r="K2753" t="s">
        <v>17208</v>
      </c>
      <c r="L2753" s="7" t="s">
        <v>17209</v>
      </c>
      <c r="M2753" t="s">
        <v>17210</v>
      </c>
      <c r="N2753">
        <v>8</v>
      </c>
      <c r="O2753">
        <v>5</v>
      </c>
      <c r="P2753">
        <v>3</v>
      </c>
      <c r="Q2753">
        <v>1</v>
      </c>
      <c r="R2753">
        <v>1</v>
      </c>
      <c r="S2753">
        <v>0</v>
      </c>
      <c r="T2753">
        <v>0</v>
      </c>
      <c r="U2753" t="s">
        <v>17211</v>
      </c>
      <c r="V2753">
        <f>Tabla1[[#This Row],[Aboard]]-Tabla1[[#This Row],[Fatalities]]</f>
        <v>7</v>
      </c>
      <c r="W2753" s="50">
        <f>IFERROR(Tabla1[[#This Row],[Fatalities]]/Tabla1[[#This Row],[Aboard]],0)</f>
        <v>0.125</v>
      </c>
      <c r="X2753" s="51" t="str" cm="1">
        <f t="array" ref="X2753">_xlfn.IFS(Tabla1[[#This Row],[Porcentaje de muertes]]&lt;0.35,"LEVE",AND(Tabla1[[#This Row],[Porcentaje de muertes]]&gt;0.35,Tabla1[[#This Row],[Porcentaje de muertes]]&lt;0.65),"MEDIO",Tabla1[[#This Row],[Porcentaje de muertes]]&gt;0.65,"GRAVE")</f>
        <v>LEVE</v>
      </c>
    </row>
    <row r="2754" spans="2:24" x14ac:dyDescent="0.3">
      <c r="B2754" s="9">
        <v>2753</v>
      </c>
      <c r="C2754" s="49">
        <v>27353</v>
      </c>
      <c r="D2754" s="9">
        <f>YEAR(Tabla1[[#This Row],[Date]])</f>
        <v>1974</v>
      </c>
      <c r="E2754" s="9" t="str" cm="1">
        <f t="array" ref="E2754">IFERROR(_xlfn.IFS(AND(D2754&lt;1980,D2754&gt;=1970),"70",AND(D2754&lt;1990,D2754&gt;=1980),"80",AND(D2754&lt;2000,D2754&gt;=1990),"90",AND(D2754&lt;2010,D2754&gt;=2000),"00",AND(D2754&lt;=2019,D2754&gt;=2010),"10"),"1908-1970")</f>
        <v>70</v>
      </c>
      <c r="F2754" s="3">
        <v>0.32916666666666666</v>
      </c>
      <c r="G2754" t="s">
        <v>13538</v>
      </c>
      <c r="H2754" t="s">
        <v>7110</v>
      </c>
      <c r="I2754">
        <v>540</v>
      </c>
      <c r="J2754" t="s">
        <v>17212</v>
      </c>
      <c r="K2754" t="s">
        <v>17213</v>
      </c>
      <c r="L2754" s="7" t="s">
        <v>17214</v>
      </c>
      <c r="M2754" t="s">
        <v>17215</v>
      </c>
      <c r="N2754">
        <v>157</v>
      </c>
      <c r="O2754">
        <v>144</v>
      </c>
      <c r="P2754">
        <v>13</v>
      </c>
      <c r="Q2754">
        <v>59</v>
      </c>
      <c r="R2754">
        <v>55</v>
      </c>
      <c r="S2754">
        <v>4</v>
      </c>
      <c r="T2754">
        <v>0</v>
      </c>
      <c r="U2754" t="s">
        <v>17216</v>
      </c>
      <c r="V2754">
        <f>Tabla1[[#This Row],[Aboard]]-Tabla1[[#This Row],[Fatalities]]</f>
        <v>98</v>
      </c>
      <c r="W2754" s="50">
        <f>IFERROR(Tabla1[[#This Row],[Fatalities]]/Tabla1[[#This Row],[Aboard]],0)</f>
        <v>0.37579617834394907</v>
      </c>
      <c r="X2754" s="51" t="str" cm="1">
        <f t="array" ref="X2754">_xlfn.IFS(Tabla1[[#This Row],[Porcentaje de muertes]]&lt;0.35,"LEVE",AND(Tabla1[[#This Row],[Porcentaje de muertes]]&gt;0.35,Tabla1[[#This Row],[Porcentaje de muertes]]&lt;0.65),"MEDIO",Tabla1[[#This Row],[Porcentaje de muertes]]&gt;0.65,"GRAVE")</f>
        <v>MEDIO</v>
      </c>
    </row>
    <row r="2755" spans="2:24" x14ac:dyDescent="0.3">
      <c r="B2755" s="9">
        <v>2754</v>
      </c>
      <c r="C2755" s="49">
        <v>27353</v>
      </c>
      <c r="D2755" s="9">
        <f>YEAR(Tabla1[[#This Row],[Date]])</f>
        <v>1974</v>
      </c>
      <c r="E2755" s="9" t="str" cm="1">
        <f t="array" ref="E2755">IFERROR(_xlfn.IFS(AND(D2755&lt;1980,D2755&gt;=1970),"70",AND(D2755&lt;1990,D2755&gt;=1980),"80",AND(D2755&lt;2000,D2755&gt;=1990),"90",AND(D2755&lt;2010,D2755&gt;=2000),"00",AND(D2755&lt;=2019,D2755&gt;=2010),"10"),"1908-1970")</f>
        <v>70</v>
      </c>
      <c r="F2755" s="3">
        <v>0.39583333333333331</v>
      </c>
      <c r="G2755" t="s">
        <v>17217</v>
      </c>
      <c r="H2755" t="s">
        <v>13000</v>
      </c>
      <c r="I2755" t="s">
        <v>28931</v>
      </c>
      <c r="J2755" t="s">
        <v>17218</v>
      </c>
      <c r="K2755" t="s">
        <v>7057</v>
      </c>
      <c r="L2755" s="7" t="s">
        <v>17219</v>
      </c>
      <c r="M2755">
        <v>9465</v>
      </c>
      <c r="N2755">
        <v>24</v>
      </c>
      <c r="O2755">
        <v>21</v>
      </c>
      <c r="P2755">
        <v>3</v>
      </c>
      <c r="Q2755">
        <v>2</v>
      </c>
      <c r="R2755">
        <v>0</v>
      </c>
      <c r="S2755">
        <v>2</v>
      </c>
      <c r="T2755">
        <v>0</v>
      </c>
      <c r="U2755" t="s">
        <v>17220</v>
      </c>
      <c r="V2755">
        <f>Tabla1[[#This Row],[Aboard]]-Tabla1[[#This Row],[Fatalities]]</f>
        <v>22</v>
      </c>
      <c r="W2755" s="50">
        <f>IFERROR(Tabla1[[#This Row],[Fatalities]]/Tabla1[[#This Row],[Aboard]],0)</f>
        <v>8.3333333333333329E-2</v>
      </c>
      <c r="X2755" s="51" t="str" cm="1">
        <f t="array" ref="X2755">_xlfn.IFS(Tabla1[[#This Row],[Porcentaje de muertes]]&lt;0.35,"LEVE",AND(Tabla1[[#This Row],[Porcentaje de muertes]]&gt;0.35,Tabla1[[#This Row],[Porcentaje de muertes]]&lt;0.65),"MEDIO",Tabla1[[#This Row],[Porcentaje de muertes]]&gt;0.65,"GRAVE")</f>
        <v>LEVE</v>
      </c>
    </row>
    <row r="2756" spans="2:24" x14ac:dyDescent="0.3">
      <c r="B2756" s="9">
        <v>2755</v>
      </c>
      <c r="C2756" s="49">
        <v>27355</v>
      </c>
      <c r="D2756" s="9">
        <f>YEAR(Tabla1[[#This Row],[Date]])</f>
        <v>1974</v>
      </c>
      <c r="E2756" s="9" t="str" cm="1">
        <f t="array" ref="E2756">IFERROR(_xlfn.IFS(AND(D2756&lt;1980,D2756&gt;=1970),"70",AND(D2756&lt;1990,D2756&gt;=1980),"80",AND(D2756&lt;2000,D2756&gt;=1990),"90",AND(D2756&lt;2010,D2756&gt;=2000),"00",AND(D2756&lt;=2019,D2756&gt;=2010),"10"),"1908-1970")</f>
        <v>70</v>
      </c>
      <c r="F2756" s="3" t="s">
        <v>28931</v>
      </c>
      <c r="G2756" t="s">
        <v>5181</v>
      </c>
      <c r="H2756" t="s">
        <v>17221</v>
      </c>
      <c r="I2756" t="s">
        <v>28931</v>
      </c>
      <c r="J2756" t="s">
        <v>28931</v>
      </c>
      <c r="K2756" t="s">
        <v>17222</v>
      </c>
      <c r="L2756" s="7" t="s">
        <v>17223</v>
      </c>
      <c r="M2756" t="s">
        <v>17224</v>
      </c>
      <c r="N2756">
        <v>4</v>
      </c>
      <c r="O2756">
        <v>0</v>
      </c>
      <c r="P2756">
        <v>4</v>
      </c>
      <c r="Q2756">
        <v>4</v>
      </c>
      <c r="R2756">
        <v>0</v>
      </c>
      <c r="S2756">
        <v>4</v>
      </c>
      <c r="T2756">
        <v>0</v>
      </c>
      <c r="U2756" t="s">
        <v>10178</v>
      </c>
      <c r="V2756">
        <f>Tabla1[[#This Row],[Aboard]]-Tabla1[[#This Row],[Fatalities]]</f>
        <v>0</v>
      </c>
      <c r="W2756" s="50">
        <f>IFERROR(Tabla1[[#This Row],[Fatalities]]/Tabla1[[#This Row],[Aboard]],0)</f>
        <v>1</v>
      </c>
      <c r="X2756" s="51" t="str" cm="1">
        <f t="array" ref="X2756">_xlfn.IFS(Tabla1[[#This Row],[Porcentaje de muertes]]&lt;0.35,"LEVE",AND(Tabla1[[#This Row],[Porcentaje de muertes]]&gt;0.35,Tabla1[[#This Row],[Porcentaje de muertes]]&lt;0.65),"MEDIO",Tabla1[[#This Row],[Porcentaje de muertes]]&gt;0.65,"GRAVE")</f>
        <v>GRAVE</v>
      </c>
    </row>
    <row r="2757" spans="2:24" x14ac:dyDescent="0.3">
      <c r="B2757" s="9">
        <v>2756</v>
      </c>
      <c r="C2757" s="49">
        <v>27041</v>
      </c>
      <c r="D2757" s="9">
        <f>YEAR(Tabla1[[#This Row],[Date]])</f>
        <v>1974</v>
      </c>
      <c r="E2757" s="9" t="str" cm="1">
        <f t="array" ref="E2757">IFERROR(_xlfn.IFS(AND(D2757&lt;1980,D2757&gt;=1970),"70",AND(D2757&lt;1990,D2757&gt;=1980),"80",AND(D2757&lt;2000,D2757&gt;=1990),"90",AND(D2757&lt;2010,D2757&gt;=2000),"00",AND(D2757&lt;=2019,D2757&gt;=2010),"10"),"1908-1970")</f>
        <v>70</v>
      </c>
      <c r="F2757" s="3">
        <v>0.46527777777777773</v>
      </c>
      <c r="G2757" t="s">
        <v>17225</v>
      </c>
      <c r="H2757" t="s">
        <v>10166</v>
      </c>
      <c r="I2757">
        <v>514</v>
      </c>
      <c r="J2757" t="s">
        <v>17226</v>
      </c>
      <c r="K2757" t="s">
        <v>17227</v>
      </c>
      <c r="L2757" s="7" t="s">
        <v>17228</v>
      </c>
      <c r="M2757" t="s">
        <v>17229</v>
      </c>
      <c r="N2757">
        <v>92</v>
      </c>
      <c r="O2757">
        <v>85</v>
      </c>
      <c r="P2757">
        <v>7</v>
      </c>
      <c r="Q2757">
        <v>92</v>
      </c>
      <c r="R2757">
        <v>85</v>
      </c>
      <c r="S2757">
        <v>7</v>
      </c>
      <c r="T2757">
        <v>0</v>
      </c>
      <c r="U2757" t="s">
        <v>17230</v>
      </c>
      <c r="V2757">
        <f>Tabla1[[#This Row],[Aboard]]-Tabla1[[#This Row],[Fatalities]]</f>
        <v>0</v>
      </c>
      <c r="W2757" s="50">
        <f>IFERROR(Tabla1[[#This Row],[Fatalities]]/Tabla1[[#This Row],[Aboard]],0)</f>
        <v>1</v>
      </c>
      <c r="X2757" s="51" t="str" cm="1">
        <f t="array" ref="X2757">_xlfn.IFS(Tabla1[[#This Row],[Porcentaje de muertes]]&lt;0.35,"LEVE",AND(Tabla1[[#This Row],[Porcentaje de muertes]]&gt;0.35,Tabla1[[#This Row],[Porcentaje de muertes]]&lt;0.65),"MEDIO",Tabla1[[#This Row],[Porcentaje de muertes]]&gt;0.65,"GRAVE")</f>
        <v>GRAVE</v>
      </c>
    </row>
    <row r="2758" spans="2:24" x14ac:dyDescent="0.3">
      <c r="B2758" s="9">
        <v>2757</v>
      </c>
      <c r="C2758" s="49">
        <v>27041</v>
      </c>
      <c r="D2758" s="9">
        <f>YEAR(Tabla1[[#This Row],[Date]])</f>
        <v>1974</v>
      </c>
      <c r="E2758" s="9" t="str" cm="1">
        <f t="array" ref="E2758">IFERROR(_xlfn.IFS(AND(D2758&lt;1980,D2758&gt;=1970),"70",AND(D2758&lt;1990,D2758&gt;=1980),"80",AND(D2758&lt;2000,D2758&gt;=1990),"90",AND(D2758&lt;2010,D2758&gt;=2000),"00",AND(D2758&lt;=2019,D2758&gt;=2010),"10"),"1908-1970")</f>
        <v>70</v>
      </c>
      <c r="F2758" s="3">
        <v>0.80972222222222223</v>
      </c>
      <c r="G2758" t="s">
        <v>17231</v>
      </c>
      <c r="H2758" t="s">
        <v>5769</v>
      </c>
      <c r="I2758">
        <v>6231</v>
      </c>
      <c r="J2758" t="s">
        <v>17232</v>
      </c>
      <c r="K2758" t="s">
        <v>17233</v>
      </c>
      <c r="L2758" s="7" t="s">
        <v>17234</v>
      </c>
      <c r="M2758">
        <v>20296</v>
      </c>
      <c r="N2758">
        <v>3</v>
      </c>
      <c r="O2758">
        <v>0</v>
      </c>
      <c r="P2758">
        <v>3</v>
      </c>
      <c r="Q2758">
        <v>3</v>
      </c>
      <c r="R2758">
        <v>0</v>
      </c>
      <c r="S2758">
        <v>3</v>
      </c>
      <c r="T2758">
        <v>0</v>
      </c>
      <c r="U2758" t="s">
        <v>17235</v>
      </c>
      <c r="V2758">
        <f>Tabla1[[#This Row],[Aboard]]-Tabla1[[#This Row],[Fatalities]]</f>
        <v>0</v>
      </c>
      <c r="W2758" s="50">
        <f>IFERROR(Tabla1[[#This Row],[Fatalities]]/Tabla1[[#This Row],[Aboard]],0)</f>
        <v>1</v>
      </c>
      <c r="X2758" s="51" t="str" cm="1">
        <f t="array" ref="X2758">_xlfn.IFS(Tabla1[[#This Row],[Porcentaje de muertes]]&lt;0.35,"LEVE",AND(Tabla1[[#This Row],[Porcentaje de muertes]]&gt;0.35,Tabla1[[#This Row],[Porcentaje de muertes]]&lt;0.65),"MEDIO",Tabla1[[#This Row],[Porcentaje de muertes]]&gt;0.65,"GRAVE")</f>
        <v>GRAVE</v>
      </c>
    </row>
    <row r="2759" spans="2:24" x14ac:dyDescent="0.3">
      <c r="B2759" s="9">
        <v>2758</v>
      </c>
      <c r="C2759" s="49">
        <v>27131</v>
      </c>
      <c r="D2759" s="9">
        <f>YEAR(Tabla1[[#This Row],[Date]])</f>
        <v>1974</v>
      </c>
      <c r="E2759" s="9" t="str" cm="1">
        <f t="array" ref="E2759">IFERROR(_xlfn.IFS(AND(D2759&lt;1980,D2759&gt;=1970),"70",AND(D2759&lt;1990,D2759&gt;=1980),"80",AND(D2759&lt;2000,D2759&gt;=1990),"90",AND(D2759&lt;2010,D2759&gt;=2000),"00",AND(D2759&lt;=2019,D2759&gt;=2010),"10"),"1908-1970")</f>
        <v>70</v>
      </c>
      <c r="F2759" s="3">
        <v>0.20694444444444446</v>
      </c>
      <c r="G2759" t="s">
        <v>11429</v>
      </c>
      <c r="H2759" t="s">
        <v>6541</v>
      </c>
      <c r="I2759" t="s">
        <v>28931</v>
      </c>
      <c r="J2759" t="s">
        <v>17236</v>
      </c>
      <c r="K2759" t="s">
        <v>17237</v>
      </c>
      <c r="L2759" s="7" t="s">
        <v>17238</v>
      </c>
      <c r="M2759" t="s">
        <v>17239</v>
      </c>
      <c r="N2759">
        <v>18</v>
      </c>
      <c r="O2759">
        <v>11</v>
      </c>
      <c r="P2759">
        <v>7</v>
      </c>
      <c r="Q2759">
        <v>13</v>
      </c>
      <c r="R2759">
        <v>11</v>
      </c>
      <c r="S2759">
        <v>2</v>
      </c>
      <c r="T2759">
        <v>0</v>
      </c>
      <c r="U2759" t="s">
        <v>17240</v>
      </c>
      <c r="V2759">
        <f>Tabla1[[#This Row],[Aboard]]-Tabla1[[#This Row],[Fatalities]]</f>
        <v>5</v>
      </c>
      <c r="W2759" s="50">
        <f>IFERROR(Tabla1[[#This Row],[Fatalities]]/Tabla1[[#This Row],[Aboard]],0)</f>
        <v>0.72222222222222221</v>
      </c>
      <c r="X2759" s="51" t="str" cm="1">
        <f t="array" ref="X2759">_xlfn.IFS(Tabla1[[#This Row],[Porcentaje de muertes]]&lt;0.35,"LEVE",AND(Tabla1[[#This Row],[Porcentaje de muertes]]&gt;0.35,Tabla1[[#This Row],[Porcentaje de muertes]]&lt;0.65),"MEDIO",Tabla1[[#This Row],[Porcentaje de muertes]]&gt;0.65,"GRAVE")</f>
        <v>GRAVE</v>
      </c>
    </row>
    <row r="2760" spans="2:24" x14ac:dyDescent="0.3">
      <c r="B2760" s="9">
        <v>2759</v>
      </c>
      <c r="C2760" s="49">
        <v>27131</v>
      </c>
      <c r="D2760" s="9">
        <f>YEAR(Tabla1[[#This Row],[Date]])</f>
        <v>1974</v>
      </c>
      <c r="E2760" s="9" t="str" cm="1">
        <f t="array" ref="E2760">IFERROR(_xlfn.IFS(AND(D2760&lt;1980,D2760&gt;=1970),"70",AND(D2760&lt;1990,D2760&gt;=1980),"80",AND(D2760&lt;2000,D2760&gt;=1990),"90",AND(D2760&lt;2010,D2760&gt;=2000),"00",AND(D2760&lt;=2019,D2760&gt;=2010),"10"),"1908-1970")</f>
        <v>70</v>
      </c>
      <c r="F2760" s="3">
        <v>0.92708333333333337</v>
      </c>
      <c r="G2760" t="s">
        <v>17241</v>
      </c>
      <c r="H2760" t="s">
        <v>17242</v>
      </c>
      <c r="I2760">
        <v>138</v>
      </c>
      <c r="J2760" t="s">
        <v>17243</v>
      </c>
      <c r="K2760" t="s">
        <v>17244</v>
      </c>
      <c r="L2760" s="7" t="s">
        <v>17245</v>
      </c>
      <c r="M2760" t="s">
        <v>17246</v>
      </c>
      <c r="N2760">
        <v>191</v>
      </c>
      <c r="O2760">
        <v>182</v>
      </c>
      <c r="P2760">
        <v>9</v>
      </c>
      <c r="Q2760">
        <v>191</v>
      </c>
      <c r="R2760">
        <v>182</v>
      </c>
      <c r="S2760">
        <v>9</v>
      </c>
      <c r="T2760">
        <v>0</v>
      </c>
      <c r="U2760" t="s">
        <v>17247</v>
      </c>
      <c r="V2760">
        <f>Tabla1[[#This Row],[Aboard]]-Tabla1[[#This Row],[Fatalities]]</f>
        <v>0</v>
      </c>
      <c r="W2760" s="50">
        <f>IFERROR(Tabla1[[#This Row],[Fatalities]]/Tabla1[[#This Row],[Aboard]],0)</f>
        <v>1</v>
      </c>
      <c r="X2760" s="51" t="str" cm="1">
        <f t="array" ref="X2760">_xlfn.IFS(Tabla1[[#This Row],[Porcentaje de muertes]]&lt;0.35,"LEVE",AND(Tabla1[[#This Row],[Porcentaje de muertes]]&gt;0.35,Tabla1[[#This Row],[Porcentaje de muertes]]&lt;0.65),"MEDIO",Tabla1[[#This Row],[Porcentaje de muertes]]&gt;0.65,"GRAVE")</f>
        <v>GRAVE</v>
      </c>
    </row>
    <row r="2761" spans="2:24" x14ac:dyDescent="0.3">
      <c r="B2761" s="9">
        <v>2760</v>
      </c>
      <c r="C2761" s="49">
        <v>27345</v>
      </c>
      <c r="D2761" s="9">
        <f>YEAR(Tabla1[[#This Row],[Date]])</f>
        <v>1974</v>
      </c>
      <c r="E2761" s="9" t="str" cm="1">
        <f t="array" ref="E2761">IFERROR(_xlfn.IFS(AND(D2761&lt;1980,D2761&gt;=1970),"70",AND(D2761&lt;1990,D2761&gt;=1980),"80",AND(D2761&lt;2000,D2761&gt;=1990),"90",AND(D2761&lt;2010,D2761&gt;=2000),"00",AND(D2761&lt;=2019,D2761&gt;=2010),"10"),"1908-1970")</f>
        <v>70</v>
      </c>
      <c r="F2761" s="3" t="s">
        <v>28931</v>
      </c>
      <c r="G2761" t="s">
        <v>17248</v>
      </c>
      <c r="H2761" t="s">
        <v>13419</v>
      </c>
      <c r="I2761" t="s">
        <v>28931</v>
      </c>
      <c r="J2761" t="s">
        <v>17249</v>
      </c>
      <c r="K2761" t="s">
        <v>17250</v>
      </c>
      <c r="L2761" s="7" t="s">
        <v>17251</v>
      </c>
      <c r="M2761">
        <v>1125</v>
      </c>
      <c r="N2761">
        <v>5</v>
      </c>
      <c r="O2761">
        <v>4</v>
      </c>
      <c r="P2761">
        <v>1</v>
      </c>
      <c r="Q2761">
        <v>5</v>
      </c>
      <c r="R2761">
        <v>4</v>
      </c>
      <c r="S2761">
        <v>1</v>
      </c>
      <c r="T2761">
        <v>0</v>
      </c>
      <c r="U2761" t="s">
        <v>8906</v>
      </c>
      <c r="V2761">
        <f>Tabla1[[#This Row],[Aboard]]-Tabla1[[#This Row],[Fatalities]]</f>
        <v>0</v>
      </c>
      <c r="W2761" s="50">
        <f>IFERROR(Tabla1[[#This Row],[Fatalities]]/Tabla1[[#This Row],[Aboard]],0)</f>
        <v>1</v>
      </c>
      <c r="X2761" s="51" t="str" cm="1">
        <f t="array" ref="X2761">_xlfn.IFS(Tabla1[[#This Row],[Porcentaje de muertes]]&lt;0.35,"LEVE",AND(Tabla1[[#This Row],[Porcentaje de muertes]]&gt;0.35,Tabla1[[#This Row],[Porcentaje de muertes]]&lt;0.65),"MEDIO",Tabla1[[#This Row],[Porcentaje de muertes]]&gt;0.65,"GRAVE")</f>
        <v>GRAVE</v>
      </c>
    </row>
    <row r="2762" spans="2:24" x14ac:dyDescent="0.3">
      <c r="B2762" s="9">
        <v>2761</v>
      </c>
      <c r="C2762" s="49">
        <v>27375</v>
      </c>
      <c r="D2762" s="9">
        <f>YEAR(Tabla1[[#This Row],[Date]])</f>
        <v>1974</v>
      </c>
      <c r="E2762" s="9" t="str" cm="1">
        <f t="array" ref="E2762">IFERROR(_xlfn.IFS(AND(D2762&lt;1980,D2762&gt;=1970),"70",AND(D2762&lt;1990,D2762&gt;=1980),"80",AND(D2762&lt;2000,D2762&gt;=1990),"90",AND(D2762&lt;2010,D2762&gt;=2000),"00",AND(D2762&lt;=2019,D2762&gt;=2010),"10"),"1908-1970")</f>
        <v>70</v>
      </c>
      <c r="F2762" s="3" t="s">
        <v>28931</v>
      </c>
      <c r="G2762" t="s">
        <v>17252</v>
      </c>
      <c r="H2762" t="s">
        <v>14253</v>
      </c>
      <c r="I2762" t="s">
        <v>28931</v>
      </c>
      <c r="J2762" t="s">
        <v>28931</v>
      </c>
      <c r="K2762" t="s">
        <v>16482</v>
      </c>
      <c r="L2762" s="7" t="s">
        <v>28931</v>
      </c>
      <c r="M2762" t="s">
        <v>28931</v>
      </c>
      <c r="N2762">
        <v>54</v>
      </c>
      <c r="O2762">
        <v>53</v>
      </c>
      <c r="P2762">
        <v>1</v>
      </c>
      <c r="Q2762">
        <v>54</v>
      </c>
      <c r="R2762">
        <v>53</v>
      </c>
      <c r="S2762">
        <v>1</v>
      </c>
      <c r="T2762">
        <v>0</v>
      </c>
      <c r="U2762" t="s">
        <v>17253</v>
      </c>
      <c r="V2762">
        <f>Tabla1[[#This Row],[Aboard]]-Tabla1[[#This Row],[Fatalities]]</f>
        <v>0</v>
      </c>
      <c r="W2762" s="50">
        <f>IFERROR(Tabla1[[#This Row],[Fatalities]]/Tabla1[[#This Row],[Aboard]],0)</f>
        <v>1</v>
      </c>
      <c r="X2762" s="51" t="str" cm="1">
        <f t="array" ref="X2762">_xlfn.IFS(Tabla1[[#This Row],[Porcentaje de muertes]]&lt;0.35,"LEVE",AND(Tabla1[[#This Row],[Porcentaje de muertes]]&gt;0.35,Tabla1[[#This Row],[Porcentaje de muertes]]&lt;0.65),"MEDIO",Tabla1[[#This Row],[Porcentaje de muertes]]&gt;0.65,"GRAVE")</f>
        <v>GRAVE</v>
      </c>
    </row>
    <row r="2763" spans="2:24" x14ac:dyDescent="0.3">
      <c r="B2763" s="9">
        <v>2762</v>
      </c>
      <c r="C2763" s="49">
        <v>27377</v>
      </c>
      <c r="D2763" s="9">
        <f>YEAR(Tabla1[[#This Row],[Date]])</f>
        <v>1974</v>
      </c>
      <c r="E2763" s="9" t="str" cm="1">
        <f t="array" ref="E2763">IFERROR(_xlfn.IFS(AND(D2763&lt;1980,D2763&gt;=1970),"70",AND(D2763&lt;1990,D2763&gt;=1980),"80",AND(D2763&lt;2000,D2763&gt;=1990),"90",AND(D2763&lt;2010,D2763&gt;=2000),"00",AND(D2763&lt;=2019,D2763&gt;=2010),"10"),"1908-1970")</f>
        <v>70</v>
      </c>
      <c r="F2763" s="3">
        <v>0.45902777777777781</v>
      </c>
      <c r="G2763" t="s">
        <v>17254</v>
      </c>
      <c r="H2763" t="s">
        <v>6541</v>
      </c>
      <c r="I2763">
        <v>124</v>
      </c>
      <c r="J2763" t="s">
        <v>17255</v>
      </c>
      <c r="K2763" t="s">
        <v>17256</v>
      </c>
      <c r="L2763" s="7" t="s">
        <v>17257</v>
      </c>
      <c r="M2763">
        <v>9131119</v>
      </c>
      <c r="N2763">
        <v>19</v>
      </c>
      <c r="O2763">
        <v>15</v>
      </c>
      <c r="P2763">
        <v>4</v>
      </c>
      <c r="Q2763">
        <v>7</v>
      </c>
      <c r="R2763">
        <v>7</v>
      </c>
      <c r="S2763">
        <v>0</v>
      </c>
      <c r="T2763">
        <v>0</v>
      </c>
      <c r="U2763" t="s">
        <v>17258</v>
      </c>
      <c r="V2763">
        <f>Tabla1[[#This Row],[Aboard]]-Tabla1[[#This Row],[Fatalities]]</f>
        <v>12</v>
      </c>
      <c r="W2763" s="50">
        <f>IFERROR(Tabla1[[#This Row],[Fatalities]]/Tabla1[[#This Row],[Aboard]],0)</f>
        <v>0.36842105263157893</v>
      </c>
      <c r="X2763" s="51" t="str" cm="1">
        <f t="array" ref="X2763">_xlfn.IFS(Tabla1[[#This Row],[Porcentaje de muertes]]&lt;0.35,"LEVE",AND(Tabla1[[#This Row],[Porcentaje de muertes]]&gt;0.35,Tabla1[[#This Row],[Porcentaje de muertes]]&lt;0.65),"MEDIO",Tabla1[[#This Row],[Porcentaje de muertes]]&gt;0.65,"GRAVE")</f>
        <v>MEDIO</v>
      </c>
    </row>
    <row r="2764" spans="2:24" x14ac:dyDescent="0.3">
      <c r="B2764" s="9">
        <v>2763</v>
      </c>
      <c r="C2764" s="49">
        <v>27385</v>
      </c>
      <c r="D2764" s="9">
        <f>YEAR(Tabla1[[#This Row],[Date]])</f>
        <v>1974</v>
      </c>
      <c r="E2764" s="9" t="str" cm="1">
        <f t="array" ref="E2764">IFERROR(_xlfn.IFS(AND(D2764&lt;1980,D2764&gt;=1970),"70",AND(D2764&lt;1990,D2764&gt;=1980),"80",AND(D2764&lt;2000,D2764&gt;=1990),"90",AND(D2764&lt;2010,D2764&gt;=2000),"00",AND(D2764&lt;=2019,D2764&gt;=2010),"10"),"1908-1970")</f>
        <v>70</v>
      </c>
      <c r="F2764" s="3">
        <v>0.5625</v>
      </c>
      <c r="G2764" t="s">
        <v>17259</v>
      </c>
      <c r="H2764" t="s">
        <v>17260</v>
      </c>
      <c r="I2764">
        <v>358</v>
      </c>
      <c r="J2764" t="s">
        <v>17261</v>
      </c>
      <c r="K2764" t="s">
        <v>14763</v>
      </c>
      <c r="L2764" s="7" t="s">
        <v>17262</v>
      </c>
      <c r="M2764" t="s">
        <v>17263</v>
      </c>
      <c r="N2764">
        <v>77</v>
      </c>
      <c r="O2764">
        <v>71</v>
      </c>
      <c r="P2764">
        <v>6</v>
      </c>
      <c r="Q2764">
        <v>77</v>
      </c>
      <c r="R2764">
        <v>71</v>
      </c>
      <c r="S2764">
        <v>6</v>
      </c>
      <c r="T2764">
        <v>0</v>
      </c>
      <c r="U2764" t="s">
        <v>17264</v>
      </c>
      <c r="V2764">
        <f>Tabla1[[#This Row],[Aboard]]-Tabla1[[#This Row],[Fatalities]]</f>
        <v>0</v>
      </c>
      <c r="W2764" s="50">
        <f>IFERROR(Tabla1[[#This Row],[Fatalities]]/Tabla1[[#This Row],[Aboard]],0)</f>
        <v>1</v>
      </c>
      <c r="X2764" s="51" t="str" cm="1">
        <f t="array" ref="X2764">_xlfn.IFS(Tabla1[[#This Row],[Porcentaje de muertes]]&lt;0.35,"LEVE",AND(Tabla1[[#This Row],[Porcentaje de muertes]]&gt;0.35,Tabla1[[#This Row],[Porcentaje de muertes]]&lt;0.65),"MEDIO",Tabla1[[#This Row],[Porcentaje de muertes]]&gt;0.65,"GRAVE")</f>
        <v>GRAVE</v>
      </c>
    </row>
    <row r="2765" spans="2:24" x14ac:dyDescent="0.3">
      <c r="B2765" s="9">
        <v>2764</v>
      </c>
      <c r="C2765" s="49">
        <v>27392</v>
      </c>
      <c r="D2765" s="9">
        <f>YEAR(Tabla1[[#This Row],[Date]])</f>
        <v>1974</v>
      </c>
      <c r="E2765" s="9" t="str" cm="1">
        <f t="array" ref="E2765">IFERROR(_xlfn.IFS(AND(D2765&lt;1980,D2765&gt;=1970),"70",AND(D2765&lt;1990,D2765&gt;=1980),"80",AND(D2765&lt;2000,D2765&gt;=1990),"90",AND(D2765&lt;2010,D2765&gt;=2000),"00",AND(D2765&lt;=2019,D2765&gt;=2010),"10"),"1908-1970")</f>
        <v>70</v>
      </c>
      <c r="F2765" s="3" t="s">
        <v>28931</v>
      </c>
      <c r="G2765" t="s">
        <v>14210</v>
      </c>
      <c r="H2765" t="s">
        <v>13884</v>
      </c>
      <c r="I2765" t="s">
        <v>28931</v>
      </c>
      <c r="J2765" t="s">
        <v>17265</v>
      </c>
      <c r="K2765" t="s">
        <v>17266</v>
      </c>
      <c r="L2765" s="7" t="s">
        <v>17267</v>
      </c>
      <c r="M2765">
        <v>27307606</v>
      </c>
      <c r="N2765">
        <v>33</v>
      </c>
      <c r="O2765">
        <v>28</v>
      </c>
      <c r="P2765">
        <v>5</v>
      </c>
      <c r="Q2765">
        <v>33</v>
      </c>
      <c r="R2765">
        <v>28</v>
      </c>
      <c r="S2765">
        <v>5</v>
      </c>
      <c r="T2765">
        <v>0</v>
      </c>
      <c r="U2765" t="s">
        <v>17268</v>
      </c>
      <c r="V2765">
        <f>Tabla1[[#This Row],[Aboard]]-Tabla1[[#This Row],[Fatalities]]</f>
        <v>0</v>
      </c>
      <c r="W2765" s="50">
        <f>IFERROR(Tabla1[[#This Row],[Fatalities]]/Tabla1[[#This Row],[Aboard]],0)</f>
        <v>1</v>
      </c>
      <c r="X2765" s="51" t="str" cm="1">
        <f t="array" ref="X2765">_xlfn.IFS(Tabla1[[#This Row],[Porcentaje de muertes]]&lt;0.35,"LEVE",AND(Tabla1[[#This Row],[Porcentaje de muertes]]&gt;0.35,Tabla1[[#This Row],[Porcentaje de muertes]]&lt;0.65),"MEDIO",Tabla1[[#This Row],[Porcentaje de muertes]]&gt;0.65,"GRAVE")</f>
        <v>GRAVE</v>
      </c>
    </row>
    <row r="2766" spans="2:24" x14ac:dyDescent="0.3">
      <c r="B2766" s="9">
        <v>2765</v>
      </c>
      <c r="C2766" s="49">
        <v>27392</v>
      </c>
      <c r="D2766" s="9">
        <f>YEAR(Tabla1[[#This Row],[Date]])</f>
        <v>1974</v>
      </c>
      <c r="E2766" s="9" t="str" cm="1">
        <f t="array" ref="E2766">IFERROR(_xlfn.IFS(AND(D2766&lt;1980,D2766&gt;=1970),"70",AND(D2766&lt;1990,D2766&gt;=1980),"80",AND(D2766&lt;2000,D2766&gt;=1990),"90",AND(D2766&lt;2010,D2766&gt;=2000),"00",AND(D2766&lt;=2019,D2766&gt;=2010),"10"),"1908-1970")</f>
        <v>70</v>
      </c>
      <c r="F2766" s="3" t="s">
        <v>28931</v>
      </c>
      <c r="G2766" t="s">
        <v>17269</v>
      </c>
      <c r="H2766" t="s">
        <v>17270</v>
      </c>
      <c r="I2766" t="s">
        <v>28931</v>
      </c>
      <c r="J2766" t="s">
        <v>17271</v>
      </c>
      <c r="K2766" t="s">
        <v>7671</v>
      </c>
      <c r="L2766" s="7" t="s">
        <v>17272</v>
      </c>
      <c r="M2766">
        <v>582</v>
      </c>
      <c r="N2766">
        <v>24</v>
      </c>
      <c r="O2766">
        <v>21</v>
      </c>
      <c r="P2766">
        <v>3</v>
      </c>
      <c r="Q2766">
        <v>24</v>
      </c>
      <c r="R2766">
        <v>213</v>
      </c>
      <c r="S2766">
        <v>3</v>
      </c>
      <c r="T2766">
        <v>0</v>
      </c>
      <c r="U2766" t="s">
        <v>17273</v>
      </c>
      <c r="V2766">
        <f>Tabla1[[#This Row],[Aboard]]-Tabla1[[#This Row],[Fatalities]]</f>
        <v>0</v>
      </c>
      <c r="W2766" s="50">
        <f>IFERROR(Tabla1[[#This Row],[Fatalities]]/Tabla1[[#This Row],[Aboard]],0)</f>
        <v>1</v>
      </c>
      <c r="X2766" s="51" t="str" cm="1">
        <f t="array" ref="X2766">_xlfn.IFS(Tabla1[[#This Row],[Porcentaje de muertes]]&lt;0.35,"LEVE",AND(Tabla1[[#This Row],[Porcentaje de muertes]]&gt;0.35,Tabla1[[#This Row],[Porcentaje de muertes]]&lt;0.65),"MEDIO",Tabla1[[#This Row],[Porcentaje de muertes]]&gt;0.65,"GRAVE")</f>
        <v>GRAVE</v>
      </c>
    </row>
    <row r="2767" spans="2:24" x14ac:dyDescent="0.3">
      <c r="B2767" s="9">
        <v>2766</v>
      </c>
      <c r="C2767" s="49">
        <v>27454</v>
      </c>
      <c r="D2767" s="9">
        <f>YEAR(Tabla1[[#This Row],[Date]])</f>
        <v>1975</v>
      </c>
      <c r="E2767" s="9" t="str" cm="1">
        <f t="array" ref="E2767">IFERROR(_xlfn.IFS(AND(D2767&lt;1980,D2767&gt;=1970),"70",AND(D2767&lt;1990,D2767&gt;=1980),"80",AND(D2767&lt;2000,D2767&gt;=1990),"90",AND(D2767&lt;2010,D2767&gt;=2000),"00",AND(D2767&lt;=2019,D2767&gt;=2010),"10"),"1908-1970")</f>
        <v>70</v>
      </c>
      <c r="F2767" s="3" t="s">
        <v>28931</v>
      </c>
      <c r="G2767" t="s">
        <v>17274</v>
      </c>
      <c r="H2767" t="s">
        <v>13917</v>
      </c>
      <c r="I2767" t="s">
        <v>28931</v>
      </c>
      <c r="J2767" t="s">
        <v>17275</v>
      </c>
      <c r="K2767" t="s">
        <v>15159</v>
      </c>
      <c r="L2767" s="7" t="s">
        <v>17276</v>
      </c>
      <c r="M2767">
        <v>20074</v>
      </c>
      <c r="N2767">
        <v>9</v>
      </c>
      <c r="O2767">
        <v>6</v>
      </c>
      <c r="P2767">
        <v>3</v>
      </c>
      <c r="Q2767">
        <v>9</v>
      </c>
      <c r="R2767">
        <v>6</v>
      </c>
      <c r="S2767">
        <v>3</v>
      </c>
      <c r="T2767">
        <v>0</v>
      </c>
      <c r="U2767" t="s">
        <v>17277</v>
      </c>
      <c r="V2767">
        <f>Tabla1[[#This Row],[Aboard]]-Tabla1[[#This Row],[Fatalities]]</f>
        <v>0</v>
      </c>
      <c r="W2767" s="50">
        <f>IFERROR(Tabla1[[#This Row],[Fatalities]]/Tabla1[[#This Row],[Aboard]],0)</f>
        <v>1</v>
      </c>
      <c r="X2767" s="51" t="str" cm="1">
        <f t="array" ref="X2767">_xlfn.IFS(Tabla1[[#This Row],[Porcentaje de muertes]]&lt;0.35,"LEVE",AND(Tabla1[[#This Row],[Porcentaje de muertes]]&gt;0.35,Tabla1[[#This Row],[Porcentaje de muertes]]&lt;0.65),"MEDIO",Tabla1[[#This Row],[Porcentaje de muertes]]&gt;0.65,"GRAVE")</f>
        <v>GRAVE</v>
      </c>
    </row>
    <row r="2768" spans="2:24" x14ac:dyDescent="0.3">
      <c r="B2768" s="9">
        <v>2767</v>
      </c>
      <c r="C2768" s="49">
        <v>27607</v>
      </c>
      <c r="D2768" s="9">
        <f>YEAR(Tabla1[[#This Row],[Date]])</f>
        <v>1975</v>
      </c>
      <c r="E2768" s="9" t="str" cm="1">
        <f t="array" ref="E2768">IFERROR(_xlfn.IFS(AND(D2768&lt;1980,D2768&gt;=1970),"70",AND(D2768&lt;1990,D2768&gt;=1980),"80",AND(D2768&lt;2000,D2768&gt;=1990),"90",AND(D2768&lt;2010,D2768&gt;=2000),"00",AND(D2768&lt;=2019,D2768&gt;=2010),"10"),"1908-1970")</f>
        <v>70</v>
      </c>
      <c r="F2768" s="3">
        <v>0.35416666666666669</v>
      </c>
      <c r="G2768" t="s">
        <v>17278</v>
      </c>
      <c r="H2768" t="s">
        <v>15622</v>
      </c>
      <c r="I2768" t="s">
        <v>28931</v>
      </c>
      <c r="J2768" t="s">
        <v>17279</v>
      </c>
      <c r="K2768" t="s">
        <v>7057</v>
      </c>
      <c r="L2768" s="7" t="s">
        <v>17280</v>
      </c>
      <c r="M2768" t="s">
        <v>28931</v>
      </c>
      <c r="N2768">
        <v>21</v>
      </c>
      <c r="O2768">
        <v>17</v>
      </c>
      <c r="P2768">
        <v>4</v>
      </c>
      <c r="Q2768">
        <v>21</v>
      </c>
      <c r="R2768">
        <v>17</v>
      </c>
      <c r="S2768">
        <v>4</v>
      </c>
      <c r="T2768">
        <v>0</v>
      </c>
      <c r="U2768" t="s">
        <v>17281</v>
      </c>
      <c r="V2768">
        <f>Tabla1[[#This Row],[Aboard]]-Tabla1[[#This Row],[Fatalities]]</f>
        <v>0</v>
      </c>
      <c r="W2768" s="50">
        <f>IFERROR(Tabla1[[#This Row],[Fatalities]]/Tabla1[[#This Row],[Aboard]],0)</f>
        <v>1</v>
      </c>
      <c r="X2768" s="51" t="str" cm="1">
        <f t="array" ref="X2768">_xlfn.IFS(Tabla1[[#This Row],[Porcentaje de muertes]]&lt;0.35,"LEVE",AND(Tabla1[[#This Row],[Porcentaje de muertes]]&gt;0.35,Tabla1[[#This Row],[Porcentaje de muertes]]&lt;0.65),"MEDIO",Tabla1[[#This Row],[Porcentaje de muertes]]&gt;0.65,"GRAVE")</f>
        <v>GRAVE</v>
      </c>
    </row>
    <row r="2769" spans="2:24" x14ac:dyDescent="0.3">
      <c r="B2769" s="9">
        <v>2768</v>
      </c>
      <c r="C2769" s="49">
        <v>27638</v>
      </c>
      <c r="D2769" s="9">
        <f>YEAR(Tabla1[[#This Row],[Date]])</f>
        <v>1975</v>
      </c>
      <c r="E2769" s="9" t="str" cm="1">
        <f t="array" ref="E2769">IFERROR(_xlfn.IFS(AND(D2769&lt;1980,D2769&gt;=1970),"70",AND(D2769&lt;1990,D2769&gt;=1980),"80",AND(D2769&lt;2000,D2769&gt;=1990),"90",AND(D2769&lt;2010,D2769&gt;=2000),"00",AND(D2769&lt;=2019,D2769&gt;=2010),"10"),"1908-1970")</f>
        <v>70</v>
      </c>
      <c r="F2769" s="3">
        <v>0.67152777777777783</v>
      </c>
      <c r="G2769" t="s">
        <v>17282</v>
      </c>
      <c r="H2769" t="s">
        <v>17283</v>
      </c>
      <c r="I2769">
        <v>261</v>
      </c>
      <c r="J2769" t="s">
        <v>17284</v>
      </c>
      <c r="K2769" t="s">
        <v>17285</v>
      </c>
      <c r="L2769" s="7" t="s">
        <v>17286</v>
      </c>
      <c r="M2769">
        <v>83</v>
      </c>
      <c r="N2769">
        <v>14</v>
      </c>
      <c r="O2769">
        <v>10</v>
      </c>
      <c r="P2769">
        <v>4</v>
      </c>
      <c r="Q2769">
        <v>14</v>
      </c>
      <c r="R2769">
        <v>10</v>
      </c>
      <c r="S2769">
        <v>4</v>
      </c>
      <c r="T2769">
        <v>0</v>
      </c>
      <c r="U2769" t="s">
        <v>17287</v>
      </c>
      <c r="V2769">
        <f>Tabla1[[#This Row],[Aboard]]-Tabla1[[#This Row],[Fatalities]]</f>
        <v>0</v>
      </c>
      <c r="W2769" s="50">
        <f>IFERROR(Tabla1[[#This Row],[Fatalities]]/Tabla1[[#This Row],[Aboard]],0)</f>
        <v>1</v>
      </c>
      <c r="X2769" s="51" t="str" cm="1">
        <f t="array" ref="X2769">_xlfn.IFS(Tabla1[[#This Row],[Porcentaje de muertes]]&lt;0.35,"LEVE",AND(Tabla1[[#This Row],[Porcentaje de muertes]]&gt;0.35,Tabla1[[#This Row],[Porcentaje de muertes]]&lt;0.65),"MEDIO",Tabla1[[#This Row],[Porcentaje de muertes]]&gt;0.65,"GRAVE")</f>
        <v>GRAVE</v>
      </c>
    </row>
    <row r="2770" spans="2:24" x14ac:dyDescent="0.3">
      <c r="B2770" s="9">
        <v>2769</v>
      </c>
      <c r="C2770" s="49">
        <v>27409</v>
      </c>
      <c r="D2770" s="9">
        <f>YEAR(Tabla1[[#This Row],[Date]])</f>
        <v>1975</v>
      </c>
      <c r="E2770" s="9" t="str" cm="1">
        <f t="array" ref="E2770">IFERROR(_xlfn.IFS(AND(D2770&lt;1980,D2770&gt;=1970),"70",AND(D2770&lt;1990,D2770&gt;=1980),"80",AND(D2770&lt;2000,D2770&gt;=1990),"90",AND(D2770&lt;2010,D2770&gt;=2000),"00",AND(D2770&lt;=2019,D2770&gt;=2010),"10"),"1908-1970")</f>
        <v>70</v>
      </c>
      <c r="F2770" s="3">
        <v>0.72291666666666676</v>
      </c>
      <c r="G2770" t="s">
        <v>17288</v>
      </c>
      <c r="H2770" t="s">
        <v>13288</v>
      </c>
      <c r="I2770" t="s">
        <v>28931</v>
      </c>
      <c r="J2770" t="s">
        <v>7587</v>
      </c>
      <c r="K2770" t="s">
        <v>13812</v>
      </c>
      <c r="L2770" s="7" t="s">
        <v>17289</v>
      </c>
      <c r="M2770">
        <v>184007104</v>
      </c>
      <c r="N2770">
        <v>9</v>
      </c>
      <c r="O2770">
        <v>0</v>
      </c>
      <c r="P2770">
        <v>9</v>
      </c>
      <c r="Q2770">
        <v>9</v>
      </c>
      <c r="R2770">
        <v>0</v>
      </c>
      <c r="S2770">
        <v>9</v>
      </c>
      <c r="T2770">
        <v>0</v>
      </c>
      <c r="U2770" t="s">
        <v>17290</v>
      </c>
      <c r="V2770">
        <f>Tabla1[[#This Row],[Aboard]]-Tabla1[[#This Row],[Fatalities]]</f>
        <v>0</v>
      </c>
      <c r="W2770" s="50">
        <f>IFERROR(Tabla1[[#This Row],[Fatalities]]/Tabla1[[#This Row],[Aboard]],0)</f>
        <v>1</v>
      </c>
      <c r="X2770" s="51" t="str" cm="1">
        <f t="array" ref="X2770">_xlfn.IFS(Tabla1[[#This Row],[Porcentaje de muertes]]&lt;0.35,"LEVE",AND(Tabla1[[#This Row],[Porcentaje de muertes]]&gt;0.35,Tabla1[[#This Row],[Porcentaje de muertes]]&lt;0.65),"MEDIO",Tabla1[[#This Row],[Porcentaje de muertes]]&gt;0.65,"GRAVE")</f>
        <v>GRAVE</v>
      </c>
    </row>
    <row r="2771" spans="2:24" x14ac:dyDescent="0.3">
      <c r="B2771" s="9">
        <v>2770</v>
      </c>
      <c r="C2771" s="49">
        <v>27410</v>
      </c>
      <c r="D2771" s="9">
        <f>YEAR(Tabla1[[#This Row],[Date]])</f>
        <v>1975</v>
      </c>
      <c r="E2771" s="9" t="str" cm="1">
        <f t="array" ref="E2771">IFERROR(_xlfn.IFS(AND(D2771&lt;1980,D2771&gt;=1970),"70",AND(D2771&lt;1990,D2771&gt;=1980),"80",AND(D2771&lt;2000,D2771&gt;=1990),"90",AND(D2771&lt;2010,D2771&gt;=2000),"00",AND(D2771&lt;=2019,D2771&gt;=2010),"10"),"1908-1970")</f>
        <v>70</v>
      </c>
      <c r="F2771" s="3" t="s">
        <v>28931</v>
      </c>
      <c r="G2771" t="s">
        <v>17291</v>
      </c>
      <c r="H2771" t="s">
        <v>6541</v>
      </c>
      <c r="I2771" t="s">
        <v>28931</v>
      </c>
      <c r="J2771" t="s">
        <v>17292</v>
      </c>
      <c r="K2771" t="s">
        <v>13992</v>
      </c>
      <c r="L2771" s="7" t="s">
        <v>17293</v>
      </c>
      <c r="M2771" t="s">
        <v>17294</v>
      </c>
      <c r="N2771">
        <v>16</v>
      </c>
      <c r="O2771">
        <v>14</v>
      </c>
      <c r="P2771">
        <v>2</v>
      </c>
      <c r="Q2771">
        <v>16</v>
      </c>
      <c r="R2771">
        <v>14</v>
      </c>
      <c r="S2771">
        <v>2</v>
      </c>
      <c r="T2771">
        <v>0</v>
      </c>
      <c r="U2771" t="s">
        <v>17295</v>
      </c>
      <c r="V2771">
        <f>Tabla1[[#This Row],[Aboard]]-Tabla1[[#This Row],[Fatalities]]</f>
        <v>0</v>
      </c>
      <c r="W2771" s="50">
        <f>IFERROR(Tabla1[[#This Row],[Fatalities]]/Tabla1[[#This Row],[Aboard]],0)</f>
        <v>1</v>
      </c>
      <c r="X2771" s="51" t="str" cm="1">
        <f t="array" ref="X2771">_xlfn.IFS(Tabla1[[#This Row],[Porcentaje de muertes]]&lt;0.35,"LEVE",AND(Tabla1[[#This Row],[Porcentaje de muertes]]&gt;0.35,Tabla1[[#This Row],[Porcentaje de muertes]]&lt;0.65),"MEDIO",Tabla1[[#This Row],[Porcentaje de muertes]]&gt;0.65,"GRAVE")</f>
        <v>GRAVE</v>
      </c>
    </row>
    <row r="2772" spans="2:24" x14ac:dyDescent="0.3">
      <c r="B2772" s="9">
        <v>2771</v>
      </c>
      <c r="C2772" s="49">
        <v>27424</v>
      </c>
      <c r="D2772" s="9">
        <f>YEAR(Tabla1[[#This Row],[Date]])</f>
        <v>1975</v>
      </c>
      <c r="E2772" s="9" t="str" cm="1">
        <f t="array" ref="E2772">IFERROR(_xlfn.IFS(AND(D2772&lt;1980,D2772&gt;=1970),"70",AND(D2772&lt;1990,D2772&gt;=1980),"80",AND(D2772&lt;2000,D2772&gt;=1990),"90",AND(D2772&lt;2010,D2772&gt;=2000),"00",AND(D2772&lt;=2019,D2772&gt;=2010),"10"),"1908-1970")</f>
        <v>70</v>
      </c>
      <c r="F2772" s="3">
        <v>0.78472222222222221</v>
      </c>
      <c r="G2772" t="s">
        <v>17296</v>
      </c>
      <c r="H2772" t="s">
        <v>12613</v>
      </c>
      <c r="I2772" t="s">
        <v>28931</v>
      </c>
      <c r="J2772" t="s">
        <v>17031</v>
      </c>
      <c r="K2772" t="s">
        <v>16685</v>
      </c>
      <c r="L2772" s="7" t="s">
        <v>17297</v>
      </c>
      <c r="M2772">
        <v>11058</v>
      </c>
      <c r="N2772">
        <v>42</v>
      </c>
      <c r="O2772">
        <v>38</v>
      </c>
      <c r="P2772">
        <v>4</v>
      </c>
      <c r="Q2772">
        <v>42</v>
      </c>
      <c r="R2772">
        <v>38</v>
      </c>
      <c r="S2772">
        <v>4</v>
      </c>
      <c r="T2772">
        <v>0</v>
      </c>
      <c r="U2772" t="s">
        <v>17298</v>
      </c>
      <c r="V2772">
        <f>Tabla1[[#This Row],[Aboard]]-Tabla1[[#This Row],[Fatalities]]</f>
        <v>0</v>
      </c>
      <c r="W2772" s="50">
        <f>IFERROR(Tabla1[[#This Row],[Fatalities]]/Tabla1[[#This Row],[Aboard]],0)</f>
        <v>1</v>
      </c>
      <c r="X2772" s="51" t="str" cm="1">
        <f t="array" ref="X2772">_xlfn.IFS(Tabla1[[#This Row],[Porcentaje de muertes]]&lt;0.35,"LEVE",AND(Tabla1[[#This Row],[Porcentaje de muertes]]&gt;0.35,Tabla1[[#This Row],[Porcentaje de muertes]]&lt;0.65),"MEDIO",Tabla1[[#This Row],[Porcentaje de muertes]]&gt;0.65,"GRAVE")</f>
        <v>GRAVE</v>
      </c>
    </row>
    <row r="2773" spans="2:24" x14ac:dyDescent="0.3">
      <c r="B2773" s="9">
        <v>2772</v>
      </c>
      <c r="C2773" s="49">
        <v>27424</v>
      </c>
      <c r="D2773" s="9">
        <f>YEAR(Tabla1[[#This Row],[Date]])</f>
        <v>1975</v>
      </c>
      <c r="E2773" s="9" t="str" cm="1">
        <f t="array" ref="E2773">IFERROR(_xlfn.IFS(AND(D2773&lt;1980,D2773&gt;=1970),"70",AND(D2773&lt;1990,D2773&gt;=1980),"80",AND(D2773&lt;2000,D2773&gt;=1990),"90",AND(D2773&lt;2010,D2773&gt;=2000),"00",AND(D2773&lt;=2019,D2773&gt;=2010),"10"),"1908-1970")</f>
        <v>70</v>
      </c>
      <c r="F2773" s="3" t="s">
        <v>28931</v>
      </c>
      <c r="G2773" t="s">
        <v>17299</v>
      </c>
      <c r="H2773" t="s">
        <v>17300</v>
      </c>
      <c r="I2773" t="s">
        <v>28931</v>
      </c>
      <c r="J2773" t="s">
        <v>17301</v>
      </c>
      <c r="K2773" t="s">
        <v>17302</v>
      </c>
      <c r="L2773" s="7" t="s">
        <v>17303</v>
      </c>
      <c r="M2773">
        <v>2189</v>
      </c>
      <c r="N2773">
        <v>30</v>
      </c>
      <c r="O2773">
        <v>27</v>
      </c>
      <c r="P2773">
        <v>3</v>
      </c>
      <c r="Q2773">
        <v>2</v>
      </c>
      <c r="R2773">
        <v>1</v>
      </c>
      <c r="S2773">
        <v>1</v>
      </c>
      <c r="T2773">
        <v>0</v>
      </c>
      <c r="U2773" t="s">
        <v>17304</v>
      </c>
      <c r="V2773">
        <f>Tabla1[[#This Row],[Aboard]]-Tabla1[[#This Row],[Fatalities]]</f>
        <v>28</v>
      </c>
      <c r="W2773" s="50">
        <f>IFERROR(Tabla1[[#This Row],[Fatalities]]/Tabla1[[#This Row],[Aboard]],0)</f>
        <v>6.6666666666666666E-2</v>
      </c>
      <c r="X2773" s="51" t="str" cm="1">
        <f t="array" ref="X2773">_xlfn.IFS(Tabla1[[#This Row],[Porcentaje de muertes]]&lt;0.35,"LEVE",AND(Tabla1[[#This Row],[Porcentaje de muertes]]&gt;0.35,Tabla1[[#This Row],[Porcentaje de muertes]]&lt;0.65),"MEDIO",Tabla1[[#This Row],[Porcentaje de muertes]]&gt;0.65,"GRAVE")</f>
        <v>LEVE</v>
      </c>
    </row>
    <row r="2774" spans="2:24" x14ac:dyDescent="0.3">
      <c r="B2774" s="9">
        <v>2773</v>
      </c>
      <c r="C2774" s="49">
        <v>27396</v>
      </c>
      <c r="D2774" s="9">
        <f>YEAR(Tabla1[[#This Row],[Date]])</f>
        <v>1975</v>
      </c>
      <c r="E2774" s="9" t="str" cm="1">
        <f t="array" ref="E2774">IFERROR(_xlfn.IFS(AND(D2774&lt;1980,D2774&gt;=1970),"70",AND(D2774&lt;1990,D2774&gt;=1980),"80",AND(D2774&lt;2000,D2774&gt;=1990),"90",AND(D2774&lt;2010,D2774&gt;=2000),"00",AND(D2774&lt;=2019,D2774&gt;=2010),"10"),"1908-1970")</f>
        <v>70</v>
      </c>
      <c r="F2774" s="3">
        <v>0.37361111111111112</v>
      </c>
      <c r="G2774" t="s">
        <v>17305</v>
      </c>
      <c r="H2774" t="s">
        <v>17306</v>
      </c>
      <c r="I2774" t="s">
        <v>28931</v>
      </c>
      <c r="J2774" t="s">
        <v>17307</v>
      </c>
      <c r="K2774" t="s">
        <v>9005</v>
      </c>
      <c r="L2774" s="7" t="s">
        <v>17308</v>
      </c>
      <c r="M2774">
        <v>43080</v>
      </c>
      <c r="N2774">
        <v>16</v>
      </c>
      <c r="O2774">
        <v>14</v>
      </c>
      <c r="P2774">
        <v>2</v>
      </c>
      <c r="Q2774">
        <v>5</v>
      </c>
      <c r="R2774">
        <v>3</v>
      </c>
      <c r="S2774">
        <v>2</v>
      </c>
      <c r="T2774">
        <v>0</v>
      </c>
      <c r="U2774" t="s">
        <v>17309</v>
      </c>
      <c r="V2774">
        <f>Tabla1[[#This Row],[Aboard]]-Tabla1[[#This Row],[Fatalities]]</f>
        <v>11</v>
      </c>
      <c r="W2774" s="50">
        <f>IFERROR(Tabla1[[#This Row],[Fatalities]]/Tabla1[[#This Row],[Aboard]],0)</f>
        <v>0.3125</v>
      </c>
      <c r="X2774" s="51" t="str" cm="1">
        <f t="array" ref="X2774">_xlfn.IFS(Tabla1[[#This Row],[Porcentaje de muertes]]&lt;0.35,"LEVE",AND(Tabla1[[#This Row],[Porcentaje de muertes]]&gt;0.35,Tabla1[[#This Row],[Porcentaje de muertes]]&lt;0.65),"MEDIO",Tabla1[[#This Row],[Porcentaje de muertes]]&gt;0.65,"GRAVE")</f>
        <v>LEVE</v>
      </c>
    </row>
    <row r="2775" spans="2:24" x14ac:dyDescent="0.3">
      <c r="B2775" s="9">
        <v>2774</v>
      </c>
      <c r="C2775" s="49">
        <v>27455</v>
      </c>
      <c r="D2775" s="9">
        <f>YEAR(Tabla1[[#This Row],[Date]])</f>
        <v>1975</v>
      </c>
      <c r="E2775" s="9" t="str" cm="1">
        <f t="array" ref="E2775">IFERROR(_xlfn.IFS(AND(D2775&lt;1980,D2775&gt;=1970),"70",AND(D2775&lt;1990,D2775&gt;=1980),"80",AND(D2775&lt;2000,D2775&gt;=1990),"90",AND(D2775&lt;2010,D2775&gt;=2000),"00",AND(D2775&lt;=2019,D2775&gt;=2010),"10"),"1908-1970")</f>
        <v>70</v>
      </c>
      <c r="F2775" s="3">
        <v>0.96527777777777779</v>
      </c>
      <c r="G2775" t="s">
        <v>12372</v>
      </c>
      <c r="H2775" t="s">
        <v>8992</v>
      </c>
      <c r="I2775" t="s">
        <v>28931</v>
      </c>
      <c r="J2775" t="s">
        <v>17310</v>
      </c>
      <c r="K2775" t="s">
        <v>17311</v>
      </c>
      <c r="L2775" s="7" t="s">
        <v>17312</v>
      </c>
      <c r="M2775">
        <v>1590</v>
      </c>
      <c r="N2775">
        <v>33</v>
      </c>
      <c r="O2775">
        <v>29</v>
      </c>
      <c r="P2775">
        <v>4</v>
      </c>
      <c r="Q2775">
        <v>33</v>
      </c>
      <c r="R2775">
        <v>29</v>
      </c>
      <c r="S2775">
        <v>4</v>
      </c>
      <c r="T2775">
        <v>0</v>
      </c>
      <c r="U2775" t="s">
        <v>17313</v>
      </c>
      <c r="V2775">
        <f>Tabla1[[#This Row],[Aboard]]-Tabla1[[#This Row],[Fatalities]]</f>
        <v>0</v>
      </c>
      <c r="W2775" s="50">
        <f>IFERROR(Tabla1[[#This Row],[Fatalities]]/Tabla1[[#This Row],[Aboard]],0)</f>
        <v>1</v>
      </c>
      <c r="X2775" s="51" t="str" cm="1">
        <f t="array" ref="X2775">_xlfn.IFS(Tabla1[[#This Row],[Porcentaje de muertes]]&lt;0.35,"LEVE",AND(Tabla1[[#This Row],[Porcentaje de muertes]]&gt;0.35,Tabla1[[#This Row],[Porcentaje de muertes]]&lt;0.65),"MEDIO",Tabla1[[#This Row],[Porcentaje de muertes]]&gt;0.65,"GRAVE")</f>
        <v>GRAVE</v>
      </c>
    </row>
    <row r="2776" spans="2:24" x14ac:dyDescent="0.3">
      <c r="B2776" s="9">
        <v>2775</v>
      </c>
      <c r="C2776" s="49">
        <v>27639</v>
      </c>
      <c r="D2776" s="9">
        <f>YEAR(Tabla1[[#This Row],[Date]])</f>
        <v>1975</v>
      </c>
      <c r="E2776" s="9" t="str" cm="1">
        <f t="array" ref="E2776">IFERROR(_xlfn.IFS(AND(D2776&lt;1980,D2776&gt;=1970),"70",AND(D2776&lt;1990,D2776&gt;=1980),"80",AND(D2776&lt;2000,D2776&gt;=1990),"90",AND(D2776&lt;2010,D2776&gt;=2000),"00",AND(D2776&lt;=2019,D2776&gt;=2010),"10"),"1908-1970")</f>
        <v>70</v>
      </c>
      <c r="F2776" s="3">
        <v>0.72916666666666663</v>
      </c>
      <c r="G2776" t="s">
        <v>17314</v>
      </c>
      <c r="H2776" t="s">
        <v>17315</v>
      </c>
      <c r="I2776" t="s">
        <v>28931</v>
      </c>
      <c r="J2776" t="s">
        <v>17316</v>
      </c>
      <c r="K2776" t="s">
        <v>17317</v>
      </c>
      <c r="L2776" s="7">
        <v>5063</v>
      </c>
      <c r="M2776" t="s">
        <v>17318</v>
      </c>
      <c r="N2776">
        <v>40</v>
      </c>
      <c r="O2776">
        <v>35</v>
      </c>
      <c r="P2776">
        <v>5</v>
      </c>
      <c r="Q2776">
        <v>40</v>
      </c>
      <c r="R2776">
        <v>35</v>
      </c>
      <c r="S2776">
        <v>5</v>
      </c>
      <c r="T2776">
        <v>0</v>
      </c>
      <c r="U2776" t="s">
        <v>17319</v>
      </c>
      <c r="V2776">
        <f>Tabla1[[#This Row],[Aboard]]-Tabla1[[#This Row],[Fatalities]]</f>
        <v>0</v>
      </c>
      <c r="W2776" s="50">
        <f>IFERROR(Tabla1[[#This Row],[Fatalities]]/Tabla1[[#This Row],[Aboard]],0)</f>
        <v>1</v>
      </c>
      <c r="X2776" s="51" t="str" cm="1">
        <f t="array" ref="X2776">_xlfn.IFS(Tabla1[[#This Row],[Porcentaje de muertes]]&lt;0.35,"LEVE",AND(Tabla1[[#This Row],[Porcentaje de muertes]]&gt;0.35,Tabla1[[#This Row],[Porcentaje de muertes]]&lt;0.65),"MEDIO",Tabla1[[#This Row],[Porcentaje de muertes]]&gt;0.65,"GRAVE")</f>
        <v>GRAVE</v>
      </c>
    </row>
    <row r="2777" spans="2:24" x14ac:dyDescent="0.3">
      <c r="B2777" s="9">
        <v>2776</v>
      </c>
      <c r="C2777" s="49">
        <v>27441</v>
      </c>
      <c r="D2777" s="9">
        <f>YEAR(Tabla1[[#This Row],[Date]])</f>
        <v>1975</v>
      </c>
      <c r="E2777" s="9" t="str" cm="1">
        <f t="array" ref="E2777">IFERROR(_xlfn.IFS(AND(D2777&lt;1980,D2777&gt;=1970),"70",AND(D2777&lt;1990,D2777&gt;=1980),"80",AND(D2777&lt;2000,D2777&gt;=1990),"90",AND(D2777&lt;2010,D2777&gt;=2000),"00",AND(D2777&lt;=2019,D2777&gt;=2010),"10"),"1908-1970")</f>
        <v>70</v>
      </c>
      <c r="F2777" s="3">
        <v>0.79166666666666663</v>
      </c>
      <c r="G2777" t="s">
        <v>17320</v>
      </c>
      <c r="H2777" t="s">
        <v>17321</v>
      </c>
      <c r="I2777" t="s">
        <v>28931</v>
      </c>
      <c r="J2777" t="s">
        <v>17322</v>
      </c>
      <c r="K2777" t="s">
        <v>17323</v>
      </c>
      <c r="L2777" s="7" t="s">
        <v>17324</v>
      </c>
      <c r="M2777" t="s">
        <v>17325</v>
      </c>
      <c r="N2777">
        <v>3</v>
      </c>
      <c r="O2777">
        <v>0</v>
      </c>
      <c r="P2777">
        <v>3</v>
      </c>
      <c r="Q2777">
        <v>3</v>
      </c>
      <c r="R2777">
        <v>0</v>
      </c>
      <c r="S2777">
        <v>3</v>
      </c>
      <c r="T2777">
        <v>0</v>
      </c>
      <c r="U2777" t="s">
        <v>17326</v>
      </c>
      <c r="V2777">
        <f>Tabla1[[#This Row],[Aboard]]-Tabla1[[#This Row],[Fatalities]]</f>
        <v>0</v>
      </c>
      <c r="W2777" s="50">
        <f>IFERROR(Tabla1[[#This Row],[Fatalities]]/Tabla1[[#This Row],[Aboard]],0)</f>
        <v>1</v>
      </c>
      <c r="X2777" s="51" t="str" cm="1">
        <f t="array" ref="X2777">_xlfn.IFS(Tabla1[[#This Row],[Porcentaje de muertes]]&lt;0.35,"LEVE",AND(Tabla1[[#This Row],[Porcentaje de muertes]]&gt;0.35,Tabla1[[#This Row],[Porcentaje de muertes]]&lt;0.65),"MEDIO",Tabla1[[#This Row],[Porcentaje de muertes]]&gt;0.65,"GRAVE")</f>
        <v>GRAVE</v>
      </c>
    </row>
    <row r="2778" spans="2:24" x14ac:dyDescent="0.3">
      <c r="B2778" s="9">
        <v>2777</v>
      </c>
      <c r="C2778" s="49">
        <v>27447</v>
      </c>
      <c r="D2778" s="9">
        <f>YEAR(Tabla1[[#This Row],[Date]])</f>
        <v>1975</v>
      </c>
      <c r="E2778" s="9" t="str" cm="1">
        <f t="array" ref="E2778">IFERROR(_xlfn.IFS(AND(D2778&lt;1980,D2778&gt;=1970),"70",AND(D2778&lt;1990,D2778&gt;=1980),"80",AND(D2778&lt;2000,D2778&gt;=1990),"90",AND(D2778&lt;2010,D2778&gt;=2000),"00",AND(D2778&lt;=2019,D2778&gt;=2010),"10"),"1908-1970")</f>
        <v>70</v>
      </c>
      <c r="F2778" s="3">
        <v>0.92499999999999993</v>
      </c>
      <c r="G2778" t="s">
        <v>6615</v>
      </c>
      <c r="H2778" t="s">
        <v>17327</v>
      </c>
      <c r="I2778" t="s">
        <v>28931</v>
      </c>
      <c r="J2778" t="s">
        <v>17328</v>
      </c>
      <c r="K2778" t="s">
        <v>17329</v>
      </c>
      <c r="L2778" s="7" t="s">
        <v>17330</v>
      </c>
      <c r="M2778" t="s">
        <v>28931</v>
      </c>
      <c r="N2778">
        <v>5</v>
      </c>
      <c r="O2778">
        <v>0</v>
      </c>
      <c r="P2778">
        <v>5</v>
      </c>
      <c r="Q2778">
        <v>5</v>
      </c>
      <c r="R2778">
        <v>0</v>
      </c>
      <c r="S2778">
        <v>5</v>
      </c>
      <c r="T2778">
        <v>0</v>
      </c>
      <c r="U2778" t="s">
        <v>17331</v>
      </c>
      <c r="V2778">
        <f>Tabla1[[#This Row],[Aboard]]-Tabla1[[#This Row],[Fatalities]]</f>
        <v>0</v>
      </c>
      <c r="W2778" s="50">
        <f>IFERROR(Tabla1[[#This Row],[Fatalities]]/Tabla1[[#This Row],[Aboard]],0)</f>
        <v>1</v>
      </c>
      <c r="X2778" s="51" t="str" cm="1">
        <f t="array" ref="X2778">_xlfn.IFS(Tabla1[[#This Row],[Porcentaje de muertes]]&lt;0.35,"LEVE",AND(Tabla1[[#This Row],[Porcentaje de muertes]]&gt;0.35,Tabla1[[#This Row],[Porcentaje de muertes]]&lt;0.65),"MEDIO",Tabla1[[#This Row],[Porcentaje de muertes]]&gt;0.65,"GRAVE")</f>
        <v>GRAVE</v>
      </c>
    </row>
    <row r="2779" spans="2:24" x14ac:dyDescent="0.3">
      <c r="B2779" s="9">
        <v>2778</v>
      </c>
      <c r="C2779" s="49">
        <v>27452</v>
      </c>
      <c r="D2779" s="9">
        <f>YEAR(Tabla1[[#This Row],[Date]])</f>
        <v>1975</v>
      </c>
      <c r="E2779" s="9" t="str" cm="1">
        <f t="array" ref="E2779">IFERROR(_xlfn.IFS(AND(D2779&lt;1980,D2779&gt;=1970),"70",AND(D2779&lt;1990,D2779&gt;=1980),"80",AND(D2779&lt;2000,D2779&gt;=1990),"90",AND(D2779&lt;2010,D2779&gt;=2000),"00",AND(D2779&lt;=2019,D2779&gt;=2010),"10"),"1908-1970")</f>
        <v>70</v>
      </c>
      <c r="F2779" s="3">
        <v>0.27291666666666664</v>
      </c>
      <c r="G2779" t="s">
        <v>7668</v>
      </c>
      <c r="H2779" t="s">
        <v>7581</v>
      </c>
      <c r="I2779" t="s">
        <v>28931</v>
      </c>
      <c r="J2779" t="s">
        <v>10731</v>
      </c>
      <c r="K2779" t="s">
        <v>17332</v>
      </c>
      <c r="L2779" s="7" t="s">
        <v>17333</v>
      </c>
      <c r="M2779">
        <v>110021</v>
      </c>
      <c r="N2779">
        <v>15</v>
      </c>
      <c r="O2779">
        <v>13</v>
      </c>
      <c r="P2779">
        <v>2</v>
      </c>
      <c r="Q2779">
        <v>15</v>
      </c>
      <c r="R2779">
        <v>13</v>
      </c>
      <c r="S2779">
        <v>2</v>
      </c>
      <c r="T2779">
        <v>0</v>
      </c>
      <c r="U2779" t="s">
        <v>17334</v>
      </c>
      <c r="V2779">
        <f>Tabla1[[#This Row],[Aboard]]-Tabla1[[#This Row],[Fatalities]]</f>
        <v>0</v>
      </c>
      <c r="W2779" s="50">
        <f>IFERROR(Tabla1[[#This Row],[Fatalities]]/Tabla1[[#This Row],[Aboard]],0)</f>
        <v>1</v>
      </c>
      <c r="X2779" s="51" t="str" cm="1">
        <f t="array" ref="X2779">_xlfn.IFS(Tabla1[[#This Row],[Porcentaje de muertes]]&lt;0.35,"LEVE",AND(Tabla1[[#This Row],[Porcentaje de muertes]]&gt;0.35,Tabla1[[#This Row],[Porcentaje de muertes]]&lt;0.65),"MEDIO",Tabla1[[#This Row],[Porcentaje de muertes]]&gt;0.65,"GRAVE")</f>
        <v>GRAVE</v>
      </c>
    </row>
    <row r="2780" spans="2:24" x14ac:dyDescent="0.3">
      <c r="B2780" s="9">
        <v>2779</v>
      </c>
      <c r="C2780" s="49">
        <v>27731</v>
      </c>
      <c r="D2780" s="9">
        <f>YEAR(Tabla1[[#This Row],[Date]])</f>
        <v>1975</v>
      </c>
      <c r="E2780" s="9" t="str" cm="1">
        <f t="array" ref="E2780">IFERROR(_xlfn.IFS(AND(D2780&lt;1980,D2780&gt;=1970),"70",AND(D2780&lt;1990,D2780&gt;=1980),"80",AND(D2780&lt;2000,D2780&gt;=1990),"90",AND(D2780&lt;2010,D2780&gt;=2000),"00",AND(D2780&lt;=2019,D2780&gt;=2010),"10"),"1908-1970")</f>
        <v>70</v>
      </c>
      <c r="F2780" s="3">
        <v>0.77083333333333337</v>
      </c>
      <c r="G2780" t="s">
        <v>17335</v>
      </c>
      <c r="H2780" t="s">
        <v>11339</v>
      </c>
      <c r="I2780" t="s">
        <v>28931</v>
      </c>
      <c r="J2780" t="s">
        <v>28931</v>
      </c>
      <c r="K2780" t="s">
        <v>8822</v>
      </c>
      <c r="L2780" s="7" t="s">
        <v>17336</v>
      </c>
      <c r="M2780">
        <v>10701</v>
      </c>
      <c r="N2780">
        <v>26</v>
      </c>
      <c r="O2780">
        <v>20</v>
      </c>
      <c r="P2780">
        <v>6</v>
      </c>
      <c r="Q2780">
        <v>26</v>
      </c>
      <c r="R2780">
        <v>20</v>
      </c>
      <c r="S2780">
        <v>6</v>
      </c>
      <c r="T2780">
        <v>0</v>
      </c>
      <c r="U2780" t="s">
        <v>17337</v>
      </c>
      <c r="V2780">
        <f>Tabla1[[#This Row],[Aboard]]-Tabla1[[#This Row],[Fatalities]]</f>
        <v>0</v>
      </c>
      <c r="W2780" s="50">
        <f>IFERROR(Tabla1[[#This Row],[Fatalities]]/Tabla1[[#This Row],[Aboard]],0)</f>
        <v>1</v>
      </c>
      <c r="X2780" s="51" t="str" cm="1">
        <f t="array" ref="X2780">_xlfn.IFS(Tabla1[[#This Row],[Porcentaje de muertes]]&lt;0.35,"LEVE",AND(Tabla1[[#This Row],[Porcentaje de muertes]]&gt;0.35,Tabla1[[#This Row],[Porcentaje de muertes]]&lt;0.65),"MEDIO",Tabla1[[#This Row],[Porcentaje de muertes]]&gt;0.65,"GRAVE")</f>
        <v>GRAVE</v>
      </c>
    </row>
    <row r="2781" spans="2:24" x14ac:dyDescent="0.3">
      <c r="B2781" s="9">
        <v>2780</v>
      </c>
      <c r="C2781" s="49">
        <v>27469</v>
      </c>
      <c r="D2781" s="9">
        <f>YEAR(Tabla1[[#This Row],[Date]])</f>
        <v>1975</v>
      </c>
      <c r="E2781" s="9" t="str" cm="1">
        <f t="array" ref="E2781">IFERROR(_xlfn.IFS(AND(D2781&lt;1980,D2781&gt;=1970),"70",AND(D2781&lt;1990,D2781&gt;=1980),"80",AND(D2781&lt;2000,D2781&gt;=1990),"90",AND(D2781&lt;2010,D2781&gt;=2000),"00",AND(D2781&lt;=2019,D2781&gt;=2010),"10"),"1908-1970")</f>
        <v>70</v>
      </c>
      <c r="F2781" s="3">
        <v>0.56944444444444442</v>
      </c>
      <c r="G2781" t="s">
        <v>17338</v>
      </c>
      <c r="H2781" t="s">
        <v>13144</v>
      </c>
      <c r="I2781" t="s">
        <v>28931</v>
      </c>
      <c r="J2781" t="s">
        <v>17339</v>
      </c>
      <c r="K2781" t="s">
        <v>15897</v>
      </c>
      <c r="L2781" s="7" t="s">
        <v>17340</v>
      </c>
      <c r="M2781">
        <v>10404</v>
      </c>
      <c r="N2781">
        <v>55</v>
      </c>
      <c r="O2781">
        <v>50</v>
      </c>
      <c r="P2781">
        <v>5</v>
      </c>
      <c r="Q2781">
        <v>55</v>
      </c>
      <c r="R2781">
        <v>50</v>
      </c>
      <c r="S2781">
        <v>5</v>
      </c>
      <c r="T2781">
        <v>0</v>
      </c>
      <c r="U2781" t="s">
        <v>17341</v>
      </c>
      <c r="V2781">
        <f>Tabla1[[#This Row],[Aboard]]-Tabla1[[#This Row],[Fatalities]]</f>
        <v>0</v>
      </c>
      <c r="W2781" s="50">
        <f>IFERROR(Tabla1[[#This Row],[Fatalities]]/Tabla1[[#This Row],[Aboard]],0)</f>
        <v>1</v>
      </c>
      <c r="X2781" s="51" t="str" cm="1">
        <f t="array" ref="X2781">_xlfn.IFS(Tabla1[[#This Row],[Porcentaje de muertes]]&lt;0.35,"LEVE",AND(Tabla1[[#This Row],[Porcentaje de muertes]]&gt;0.35,Tabla1[[#This Row],[Porcentaje de muertes]]&lt;0.65),"MEDIO",Tabla1[[#This Row],[Porcentaje de muertes]]&gt;0.65,"GRAVE")</f>
        <v>GRAVE</v>
      </c>
    </row>
    <row r="2782" spans="2:24" x14ac:dyDescent="0.3">
      <c r="B2782" s="9">
        <v>2781</v>
      </c>
      <c r="C2782" s="49">
        <v>27471</v>
      </c>
      <c r="D2782" s="9">
        <f>YEAR(Tabla1[[#This Row],[Date]])</f>
        <v>1975</v>
      </c>
      <c r="E2782" s="9" t="str" cm="1">
        <f t="array" ref="E2782">IFERROR(_xlfn.IFS(AND(D2782&lt;1980,D2782&gt;=1970),"70",AND(D2782&lt;1990,D2782&gt;=1980),"80",AND(D2782&lt;2000,D2782&gt;=1990),"90",AND(D2782&lt;2010,D2782&gt;=2000),"00",AND(D2782&lt;=2019,D2782&gt;=2010),"10"),"1908-1970")</f>
        <v>70</v>
      </c>
      <c r="F2782" s="3" t="s">
        <v>28931</v>
      </c>
      <c r="G2782" t="s">
        <v>17342</v>
      </c>
      <c r="H2782" t="s">
        <v>16326</v>
      </c>
      <c r="I2782" t="s">
        <v>28931</v>
      </c>
      <c r="J2782" t="s">
        <v>28931</v>
      </c>
      <c r="K2782" t="s">
        <v>14888</v>
      </c>
      <c r="L2782" s="7" t="s">
        <v>17343</v>
      </c>
      <c r="M2782">
        <v>85</v>
      </c>
      <c r="N2782">
        <v>6</v>
      </c>
      <c r="O2782">
        <v>4</v>
      </c>
      <c r="P2782">
        <v>2</v>
      </c>
      <c r="Q2782">
        <v>5</v>
      </c>
      <c r="R2782">
        <v>3</v>
      </c>
      <c r="S2782">
        <v>2</v>
      </c>
      <c r="T2782">
        <v>0</v>
      </c>
      <c r="U2782" t="s">
        <v>17344</v>
      </c>
      <c r="V2782">
        <f>Tabla1[[#This Row],[Aboard]]-Tabla1[[#This Row],[Fatalities]]</f>
        <v>1</v>
      </c>
      <c r="W2782" s="50">
        <f>IFERROR(Tabla1[[#This Row],[Fatalities]]/Tabla1[[#This Row],[Aboard]],0)</f>
        <v>0.83333333333333337</v>
      </c>
      <c r="X2782" s="51" t="str" cm="1">
        <f t="array" ref="X2782">_xlfn.IFS(Tabla1[[#This Row],[Porcentaje de muertes]]&lt;0.35,"LEVE",AND(Tabla1[[#This Row],[Porcentaje de muertes]]&gt;0.35,Tabla1[[#This Row],[Porcentaje de muertes]]&lt;0.65),"MEDIO",Tabla1[[#This Row],[Porcentaje de muertes]]&gt;0.65,"GRAVE")</f>
        <v>GRAVE</v>
      </c>
    </row>
    <row r="2783" spans="2:24" x14ac:dyDescent="0.3">
      <c r="B2783" s="9">
        <v>2782</v>
      </c>
      <c r="C2783" s="49">
        <v>27471</v>
      </c>
      <c r="D2783" s="9">
        <f>YEAR(Tabla1[[#This Row],[Date]])</f>
        <v>1975</v>
      </c>
      <c r="E2783" s="9" t="str" cm="1">
        <f t="array" ref="E2783">IFERROR(_xlfn.IFS(AND(D2783&lt;1980,D2783&gt;=1970),"70",AND(D2783&lt;1990,D2783&gt;=1980),"80",AND(D2783&lt;2000,D2783&gt;=1990),"90",AND(D2783&lt;2010,D2783&gt;=2000),"00",AND(D2783&lt;=2019,D2783&gt;=2010),"10"),"1908-1970")</f>
        <v>70</v>
      </c>
      <c r="F2783" s="3">
        <v>0.41944444444444445</v>
      </c>
      <c r="G2783" t="s">
        <v>17345</v>
      </c>
      <c r="H2783" t="s">
        <v>6541</v>
      </c>
      <c r="I2783" t="s">
        <v>28931</v>
      </c>
      <c r="J2783" t="s">
        <v>17346</v>
      </c>
      <c r="K2783" t="s">
        <v>17347</v>
      </c>
      <c r="L2783" s="7" t="s">
        <v>17348</v>
      </c>
      <c r="M2783" t="s">
        <v>28931</v>
      </c>
      <c r="N2783">
        <v>12</v>
      </c>
      <c r="O2783">
        <v>10</v>
      </c>
      <c r="P2783">
        <v>2</v>
      </c>
      <c r="Q2783">
        <v>7</v>
      </c>
      <c r="R2783">
        <v>6</v>
      </c>
      <c r="S2783">
        <v>1</v>
      </c>
      <c r="T2783">
        <v>0</v>
      </c>
      <c r="U2783" t="s">
        <v>17349</v>
      </c>
      <c r="V2783">
        <f>Tabla1[[#This Row],[Aboard]]-Tabla1[[#This Row],[Fatalities]]</f>
        <v>5</v>
      </c>
      <c r="W2783" s="50">
        <f>IFERROR(Tabla1[[#This Row],[Fatalities]]/Tabla1[[#This Row],[Aboard]],0)</f>
        <v>0.58333333333333337</v>
      </c>
      <c r="X2783" s="51" t="str" cm="1">
        <f t="array" ref="X2783">_xlfn.IFS(Tabla1[[#This Row],[Porcentaje de muertes]]&lt;0.35,"LEVE",AND(Tabla1[[#This Row],[Porcentaje de muertes]]&gt;0.35,Tabla1[[#This Row],[Porcentaje de muertes]]&lt;0.65),"MEDIO",Tabla1[[#This Row],[Porcentaje de muertes]]&gt;0.65,"GRAVE")</f>
        <v>MEDIO</v>
      </c>
    </row>
    <row r="2784" spans="2:24" x14ac:dyDescent="0.3">
      <c r="B2784" s="9">
        <v>2783</v>
      </c>
      <c r="C2784" s="49">
        <v>27473</v>
      </c>
      <c r="D2784" s="9">
        <f>YEAR(Tabla1[[#This Row],[Date]])</f>
        <v>1975</v>
      </c>
      <c r="E2784" s="9" t="str" cm="1">
        <f t="array" ref="E2784">IFERROR(_xlfn.IFS(AND(D2784&lt;1980,D2784&gt;=1970),"70",AND(D2784&lt;1990,D2784&gt;=1980),"80",AND(D2784&lt;2000,D2784&gt;=1990),"90",AND(D2784&lt;2010,D2784&gt;=2000),"00",AND(D2784&lt;=2019,D2784&gt;=2010),"10"),"1908-1970")</f>
        <v>70</v>
      </c>
      <c r="F2784" s="3">
        <v>0.96875</v>
      </c>
      <c r="G2784" t="s">
        <v>17350</v>
      </c>
      <c r="H2784" t="s">
        <v>7987</v>
      </c>
      <c r="I2784" t="s">
        <v>28931</v>
      </c>
      <c r="J2784" t="s">
        <v>17351</v>
      </c>
      <c r="K2784" t="s">
        <v>17352</v>
      </c>
      <c r="L2784" s="7" t="s">
        <v>17353</v>
      </c>
      <c r="M2784">
        <v>6054</v>
      </c>
      <c r="N2784">
        <v>16</v>
      </c>
      <c r="O2784">
        <v>12</v>
      </c>
      <c r="P2784">
        <v>4</v>
      </c>
      <c r="Q2784">
        <v>16</v>
      </c>
      <c r="R2784">
        <v>12</v>
      </c>
      <c r="S2784">
        <v>4</v>
      </c>
      <c r="T2784">
        <v>0</v>
      </c>
      <c r="U2784" t="s">
        <v>17354</v>
      </c>
      <c r="V2784">
        <f>Tabla1[[#This Row],[Aboard]]-Tabla1[[#This Row],[Fatalities]]</f>
        <v>0</v>
      </c>
      <c r="W2784" s="50">
        <f>IFERROR(Tabla1[[#This Row],[Fatalities]]/Tabla1[[#This Row],[Aboard]],0)</f>
        <v>1</v>
      </c>
      <c r="X2784" s="51" t="str" cm="1">
        <f t="array" ref="X2784">_xlfn.IFS(Tabla1[[#This Row],[Porcentaje de muertes]]&lt;0.35,"LEVE",AND(Tabla1[[#This Row],[Porcentaje de muertes]]&gt;0.35,Tabla1[[#This Row],[Porcentaje de muertes]]&lt;0.65),"MEDIO",Tabla1[[#This Row],[Porcentaje de muertes]]&gt;0.65,"GRAVE")</f>
        <v>GRAVE</v>
      </c>
    </row>
    <row r="2785" spans="2:24" x14ac:dyDescent="0.3">
      <c r="B2785" s="9">
        <v>2784</v>
      </c>
      <c r="C2785" s="49">
        <v>27488</v>
      </c>
      <c r="D2785" s="9">
        <f>YEAR(Tabla1[[#This Row],[Date]])</f>
        <v>1975</v>
      </c>
      <c r="E2785" s="9" t="str" cm="1">
        <f t="array" ref="E2785">IFERROR(_xlfn.IFS(AND(D2785&lt;1980,D2785&gt;=1970),"70",AND(D2785&lt;1990,D2785&gt;=1980),"80",AND(D2785&lt;2000,D2785&gt;=1990),"90",AND(D2785&lt;2010,D2785&gt;=2000),"00",AND(D2785&lt;=2019,D2785&gt;=2010),"10"),"1908-1970")</f>
        <v>70</v>
      </c>
      <c r="F2785" s="3">
        <v>0.6875</v>
      </c>
      <c r="G2785" t="s">
        <v>17355</v>
      </c>
      <c r="H2785" t="s">
        <v>7987</v>
      </c>
      <c r="I2785" t="s">
        <v>28931</v>
      </c>
      <c r="J2785" t="s">
        <v>17356</v>
      </c>
      <c r="K2785" t="s">
        <v>17357</v>
      </c>
      <c r="L2785" s="7" t="s">
        <v>17358</v>
      </c>
      <c r="M2785">
        <v>21</v>
      </c>
      <c r="N2785">
        <v>330</v>
      </c>
      <c r="O2785">
        <v>314</v>
      </c>
      <c r="P2785">
        <v>16</v>
      </c>
      <c r="Q2785">
        <v>155</v>
      </c>
      <c r="R2785">
        <v>150</v>
      </c>
      <c r="S2785">
        <v>5</v>
      </c>
      <c r="T2785">
        <v>0</v>
      </c>
      <c r="U2785" t="s">
        <v>17359</v>
      </c>
      <c r="V2785">
        <f>Tabla1[[#This Row],[Aboard]]-Tabla1[[#This Row],[Fatalities]]</f>
        <v>175</v>
      </c>
      <c r="W2785" s="50">
        <f>IFERROR(Tabla1[[#This Row],[Fatalities]]/Tabla1[[#This Row],[Aboard]],0)</f>
        <v>0.46969696969696972</v>
      </c>
      <c r="X2785" s="51" t="str" cm="1">
        <f t="array" ref="X2785">_xlfn.IFS(Tabla1[[#This Row],[Porcentaje de muertes]]&lt;0.35,"LEVE",AND(Tabla1[[#This Row],[Porcentaje de muertes]]&gt;0.35,Tabla1[[#This Row],[Porcentaje de muertes]]&lt;0.65),"MEDIO",Tabla1[[#This Row],[Porcentaje de muertes]]&gt;0.65,"GRAVE")</f>
        <v>MEDIO</v>
      </c>
    </row>
    <row r="2786" spans="2:24" x14ac:dyDescent="0.3">
      <c r="B2786" s="9">
        <v>2785</v>
      </c>
      <c r="C2786" s="49">
        <v>27527</v>
      </c>
      <c r="D2786" s="9">
        <f>YEAR(Tabla1[[#This Row],[Date]])</f>
        <v>1975</v>
      </c>
      <c r="E2786" s="9" t="str" cm="1">
        <f t="array" ref="E2786">IFERROR(_xlfn.IFS(AND(D2786&lt;1980,D2786&gt;=1970),"70",AND(D2786&lt;1990,D2786&gt;=1980),"80",AND(D2786&lt;2000,D2786&gt;=1990),"90",AND(D2786&lt;2010,D2786&gt;=2000),"00",AND(D2786&lt;=2019,D2786&gt;=2010),"10"),"1908-1970")</f>
        <v>70</v>
      </c>
      <c r="F2786" s="3">
        <v>0.88541666666666663</v>
      </c>
      <c r="G2786" t="s">
        <v>17360</v>
      </c>
      <c r="H2786" t="s">
        <v>7987</v>
      </c>
      <c r="I2786" t="s">
        <v>28931</v>
      </c>
      <c r="J2786" t="s">
        <v>17361</v>
      </c>
      <c r="K2786" t="s">
        <v>17362</v>
      </c>
      <c r="L2786" s="7" t="s">
        <v>17363</v>
      </c>
      <c r="M2786" t="s">
        <v>28931</v>
      </c>
      <c r="N2786">
        <v>23</v>
      </c>
      <c r="O2786">
        <v>19</v>
      </c>
      <c r="P2786">
        <v>4</v>
      </c>
      <c r="Q2786">
        <v>23</v>
      </c>
      <c r="R2786">
        <v>19</v>
      </c>
      <c r="S2786">
        <v>4</v>
      </c>
      <c r="T2786">
        <v>0</v>
      </c>
      <c r="U2786" t="s">
        <v>17364</v>
      </c>
      <c r="V2786">
        <f>Tabla1[[#This Row],[Aboard]]-Tabla1[[#This Row],[Fatalities]]</f>
        <v>0</v>
      </c>
      <c r="W2786" s="50">
        <f>IFERROR(Tabla1[[#This Row],[Fatalities]]/Tabla1[[#This Row],[Aboard]],0)</f>
        <v>1</v>
      </c>
      <c r="X2786" s="51" t="str" cm="1">
        <f t="array" ref="X2786">_xlfn.IFS(Tabla1[[#This Row],[Porcentaje de muertes]]&lt;0.35,"LEVE",AND(Tabla1[[#This Row],[Porcentaje de muertes]]&gt;0.35,Tabla1[[#This Row],[Porcentaje de muertes]]&lt;0.65),"MEDIO",Tabla1[[#This Row],[Porcentaje de muertes]]&gt;0.65,"GRAVE")</f>
        <v>GRAVE</v>
      </c>
    </row>
    <row r="2787" spans="2:24" x14ac:dyDescent="0.3">
      <c r="B2787" s="9">
        <v>2786</v>
      </c>
      <c r="C2787" s="49">
        <v>27459</v>
      </c>
      <c r="D2787" s="9">
        <f>YEAR(Tabla1[[#This Row],[Date]])</f>
        <v>1975</v>
      </c>
      <c r="E2787" s="9" t="str" cm="1">
        <f t="array" ref="E2787">IFERROR(_xlfn.IFS(AND(D2787&lt;1980,D2787&gt;=1970),"70",AND(D2787&lt;1990,D2787&gt;=1980),"80",AND(D2787&lt;2000,D2787&gt;=1990),"90",AND(D2787&lt;2010,D2787&gt;=2000),"00",AND(D2787&lt;=2019,D2787&gt;=2010),"10"),"1908-1970")</f>
        <v>70</v>
      </c>
      <c r="F2787" s="3" t="s">
        <v>28931</v>
      </c>
      <c r="G2787" t="s">
        <v>12372</v>
      </c>
      <c r="H2787" t="s">
        <v>8992</v>
      </c>
      <c r="I2787" t="s">
        <v>28931</v>
      </c>
      <c r="J2787" t="s">
        <v>17365</v>
      </c>
      <c r="K2787" t="s">
        <v>17366</v>
      </c>
      <c r="L2787" s="7" t="s">
        <v>17367</v>
      </c>
      <c r="M2787">
        <v>190</v>
      </c>
      <c r="N2787">
        <v>64</v>
      </c>
      <c r="O2787">
        <v>59</v>
      </c>
      <c r="P2787">
        <v>5</v>
      </c>
      <c r="Q2787">
        <v>1</v>
      </c>
      <c r="R2787">
        <v>1</v>
      </c>
      <c r="S2787">
        <v>0</v>
      </c>
      <c r="T2787">
        <v>0</v>
      </c>
      <c r="U2787" t="s">
        <v>17368</v>
      </c>
      <c r="V2787">
        <f>Tabla1[[#This Row],[Aboard]]-Tabla1[[#This Row],[Fatalities]]</f>
        <v>63</v>
      </c>
      <c r="W2787" s="50">
        <f>IFERROR(Tabla1[[#This Row],[Fatalities]]/Tabla1[[#This Row],[Aboard]],0)</f>
        <v>1.5625E-2</v>
      </c>
      <c r="X2787" s="51" t="str" cm="1">
        <f t="array" ref="X2787">_xlfn.IFS(Tabla1[[#This Row],[Porcentaje de muertes]]&lt;0.35,"LEVE",AND(Tabla1[[#This Row],[Porcentaje de muertes]]&gt;0.35,Tabla1[[#This Row],[Porcentaje de muertes]]&lt;0.65),"MEDIO",Tabla1[[#This Row],[Porcentaje de muertes]]&gt;0.65,"GRAVE")</f>
        <v>LEVE</v>
      </c>
    </row>
    <row r="2788" spans="2:24" x14ac:dyDescent="0.3">
      <c r="B2788" s="9">
        <v>2787</v>
      </c>
      <c r="C2788" s="49">
        <v>27562</v>
      </c>
      <c r="D2788" s="9">
        <f>YEAR(Tabla1[[#This Row],[Date]])</f>
        <v>1975</v>
      </c>
      <c r="E2788" s="9" t="str" cm="1">
        <f t="array" ref="E2788">IFERROR(_xlfn.IFS(AND(D2788&lt;1980,D2788&gt;=1970),"70",AND(D2788&lt;1990,D2788&gt;=1980),"80",AND(D2788&lt;2000,D2788&gt;=1990),"90",AND(D2788&lt;2010,D2788&gt;=2000),"00",AND(D2788&lt;=2019,D2788&gt;=2010),"10"),"1908-1970")</f>
        <v>70</v>
      </c>
      <c r="F2788" s="3" t="s">
        <v>28931</v>
      </c>
      <c r="G2788" t="s">
        <v>17369</v>
      </c>
      <c r="H2788" t="s">
        <v>8118</v>
      </c>
      <c r="I2788" t="s">
        <v>28931</v>
      </c>
      <c r="J2788" t="s">
        <v>17370</v>
      </c>
      <c r="K2788" t="s">
        <v>17371</v>
      </c>
      <c r="L2788" s="7" t="s">
        <v>17372</v>
      </c>
      <c r="M2788">
        <v>1625</v>
      </c>
      <c r="N2788">
        <v>15</v>
      </c>
      <c r="O2788">
        <v>11</v>
      </c>
      <c r="P2788">
        <v>4</v>
      </c>
      <c r="Q2788">
        <v>1</v>
      </c>
      <c r="R2788">
        <v>0</v>
      </c>
      <c r="S2788">
        <v>1</v>
      </c>
      <c r="T2788">
        <v>3</v>
      </c>
      <c r="U2788" t="s">
        <v>17373</v>
      </c>
      <c r="V2788">
        <f>Tabla1[[#This Row],[Aboard]]-Tabla1[[#This Row],[Fatalities]]</f>
        <v>14</v>
      </c>
      <c r="W2788" s="50">
        <f>IFERROR(Tabla1[[#This Row],[Fatalities]]/Tabla1[[#This Row],[Aboard]],0)</f>
        <v>6.6666666666666666E-2</v>
      </c>
      <c r="X2788" s="51" t="str" cm="1">
        <f t="array" ref="X2788">_xlfn.IFS(Tabla1[[#This Row],[Porcentaje de muertes]]&lt;0.35,"LEVE",AND(Tabla1[[#This Row],[Porcentaje de muertes]]&gt;0.35,Tabla1[[#This Row],[Porcentaje de muertes]]&lt;0.65),"MEDIO",Tabla1[[#This Row],[Porcentaje de muertes]]&gt;0.65,"GRAVE")</f>
        <v>LEVE</v>
      </c>
    </row>
    <row r="2789" spans="2:24" x14ac:dyDescent="0.3">
      <c r="B2789" s="9">
        <v>2788</v>
      </c>
      <c r="C2789" s="49">
        <v>27569</v>
      </c>
      <c r="D2789" s="9">
        <f>YEAR(Tabla1[[#This Row],[Date]])</f>
        <v>1975</v>
      </c>
      <c r="E2789" s="9" t="str" cm="1">
        <f t="array" ref="E2789">IFERROR(_xlfn.IFS(AND(D2789&lt;1980,D2789&gt;=1970),"70",AND(D2789&lt;1990,D2789&gt;=1980),"80",AND(D2789&lt;2000,D2789&gt;=1990),"90",AND(D2789&lt;2010,D2789&gt;=2000),"00",AND(D2789&lt;=2019,D2789&gt;=2010),"10"),"1908-1970")</f>
        <v>70</v>
      </c>
      <c r="F2789" s="3">
        <v>0.67013888888888884</v>
      </c>
      <c r="G2789" t="s">
        <v>17374</v>
      </c>
      <c r="H2789" t="s">
        <v>6941</v>
      </c>
      <c r="I2789">
        <v>66</v>
      </c>
      <c r="J2789" t="s">
        <v>17375</v>
      </c>
      <c r="K2789" t="s">
        <v>17376</v>
      </c>
      <c r="L2789" s="7" t="s">
        <v>17377</v>
      </c>
      <c r="M2789" t="s">
        <v>17378</v>
      </c>
      <c r="N2789">
        <v>124</v>
      </c>
      <c r="O2789">
        <v>116</v>
      </c>
      <c r="P2789">
        <v>8</v>
      </c>
      <c r="Q2789">
        <v>113</v>
      </c>
      <c r="R2789">
        <v>107</v>
      </c>
      <c r="S2789">
        <v>6</v>
      </c>
      <c r="T2789">
        <v>0</v>
      </c>
      <c r="U2789" t="s">
        <v>17379</v>
      </c>
      <c r="V2789">
        <f>Tabla1[[#This Row],[Aboard]]-Tabla1[[#This Row],[Fatalities]]</f>
        <v>11</v>
      </c>
      <c r="W2789" s="50">
        <f>IFERROR(Tabla1[[#This Row],[Fatalities]]/Tabla1[[#This Row],[Aboard]],0)</f>
        <v>0.91129032258064513</v>
      </c>
      <c r="X2789" s="51" t="str" cm="1">
        <f t="array" ref="X2789">_xlfn.IFS(Tabla1[[#This Row],[Porcentaje de muertes]]&lt;0.35,"LEVE",AND(Tabla1[[#This Row],[Porcentaje de muertes]]&gt;0.35,Tabla1[[#This Row],[Porcentaje de muertes]]&lt;0.65),"MEDIO",Tabla1[[#This Row],[Porcentaje de muertes]]&gt;0.65,"GRAVE")</f>
        <v>GRAVE</v>
      </c>
    </row>
    <row r="2790" spans="2:24" x14ac:dyDescent="0.3">
      <c r="B2790" s="9">
        <v>2789</v>
      </c>
      <c r="C2790" s="49">
        <v>27571</v>
      </c>
      <c r="D2790" s="9">
        <f>YEAR(Tabla1[[#This Row],[Date]])</f>
        <v>1975</v>
      </c>
      <c r="E2790" s="9" t="str" cm="1">
        <f t="array" ref="E2790">IFERROR(_xlfn.IFS(AND(D2790&lt;1980,D2790&gt;=1970),"70",AND(D2790&lt;1990,D2790&gt;=1980),"80",AND(D2790&lt;2000,D2790&gt;=1990),"90",AND(D2790&lt;2010,D2790&gt;=2000),"00",AND(D2790&lt;=2019,D2790&gt;=2010),"10"),"1908-1970")</f>
        <v>70</v>
      </c>
      <c r="F2790" s="3">
        <v>0.93611111111111101</v>
      </c>
      <c r="G2790" t="s">
        <v>13115</v>
      </c>
      <c r="H2790" t="s">
        <v>17380</v>
      </c>
      <c r="I2790" t="s">
        <v>28931</v>
      </c>
      <c r="J2790" t="s">
        <v>17381</v>
      </c>
      <c r="K2790" t="s">
        <v>16921</v>
      </c>
      <c r="L2790" s="7" t="s">
        <v>17382</v>
      </c>
      <c r="M2790" t="s">
        <v>28931</v>
      </c>
      <c r="N2790">
        <v>2</v>
      </c>
      <c r="O2790">
        <v>1</v>
      </c>
      <c r="P2790">
        <v>1</v>
      </c>
      <c r="Q2790">
        <v>2</v>
      </c>
      <c r="R2790">
        <v>1</v>
      </c>
      <c r="S2790">
        <v>1</v>
      </c>
      <c r="T2790">
        <v>0</v>
      </c>
      <c r="U2790" t="s">
        <v>17383</v>
      </c>
      <c r="V2790">
        <f>Tabla1[[#This Row],[Aboard]]-Tabla1[[#This Row],[Fatalities]]</f>
        <v>0</v>
      </c>
      <c r="W2790" s="50">
        <f>IFERROR(Tabla1[[#This Row],[Fatalities]]/Tabla1[[#This Row],[Aboard]],0)</f>
        <v>1</v>
      </c>
      <c r="X2790" s="51" t="str" cm="1">
        <f t="array" ref="X2790">_xlfn.IFS(Tabla1[[#This Row],[Porcentaje de muertes]]&lt;0.35,"LEVE",AND(Tabla1[[#This Row],[Porcentaje de muertes]]&gt;0.35,Tabla1[[#This Row],[Porcentaje de muertes]]&lt;0.65),"MEDIO",Tabla1[[#This Row],[Porcentaje de muertes]]&gt;0.65,"GRAVE")</f>
        <v>GRAVE</v>
      </c>
    </row>
    <row r="2791" spans="2:24" x14ac:dyDescent="0.3">
      <c r="B2791" s="9">
        <v>2790</v>
      </c>
      <c r="C2791" s="49">
        <v>27674</v>
      </c>
      <c r="D2791" s="9">
        <f>YEAR(Tabla1[[#This Row],[Date]])</f>
        <v>1975</v>
      </c>
      <c r="E2791" s="9" t="str" cm="1">
        <f t="array" ref="E2791">IFERROR(_xlfn.IFS(AND(D2791&lt;1980,D2791&gt;=1970),"70",AND(D2791&lt;1990,D2791&gt;=1980),"80",AND(D2791&lt;2000,D2791&gt;=1990),"90",AND(D2791&lt;2010,D2791&gt;=2000),"00",AND(D2791&lt;=2019,D2791&gt;=2010),"10"),"1908-1970")</f>
        <v>70</v>
      </c>
      <c r="F2791" s="3" t="s">
        <v>28931</v>
      </c>
      <c r="G2791" t="s">
        <v>10364</v>
      </c>
      <c r="H2791" t="s">
        <v>17384</v>
      </c>
      <c r="I2791" t="s">
        <v>28931</v>
      </c>
      <c r="J2791" t="s">
        <v>17385</v>
      </c>
      <c r="K2791" t="s">
        <v>17386</v>
      </c>
      <c r="L2791" s="7" t="s">
        <v>17387</v>
      </c>
      <c r="M2791">
        <v>1087</v>
      </c>
      <c r="N2791">
        <v>4</v>
      </c>
      <c r="O2791">
        <v>0</v>
      </c>
      <c r="P2791">
        <v>4</v>
      </c>
      <c r="Q2791">
        <v>2</v>
      </c>
      <c r="R2791">
        <v>0</v>
      </c>
      <c r="S2791">
        <v>2</v>
      </c>
      <c r="T2791">
        <v>0</v>
      </c>
      <c r="U2791" t="s">
        <v>17388</v>
      </c>
      <c r="V2791">
        <f>Tabla1[[#This Row],[Aboard]]-Tabla1[[#This Row],[Fatalities]]</f>
        <v>2</v>
      </c>
      <c r="W2791" s="50">
        <f>IFERROR(Tabla1[[#This Row],[Fatalities]]/Tabla1[[#This Row],[Aboard]],0)</f>
        <v>0.5</v>
      </c>
      <c r="X2791" s="51" t="str" cm="1">
        <f t="array" ref="X2791">_xlfn.IFS(Tabla1[[#This Row],[Porcentaje de muertes]]&lt;0.35,"LEVE",AND(Tabla1[[#This Row],[Porcentaje de muertes]]&gt;0.35,Tabla1[[#This Row],[Porcentaje de muertes]]&lt;0.65),"MEDIO",Tabla1[[#This Row],[Porcentaje de muertes]]&gt;0.65,"GRAVE")</f>
        <v>MEDIO</v>
      </c>
    </row>
    <row r="2792" spans="2:24" x14ac:dyDescent="0.3">
      <c r="B2792" s="9">
        <v>2791</v>
      </c>
      <c r="C2792" s="49">
        <v>27590</v>
      </c>
      <c r="D2792" s="9">
        <f>YEAR(Tabla1[[#This Row],[Date]])</f>
        <v>1975</v>
      </c>
      <c r="E2792" s="9" t="str" cm="1">
        <f t="array" ref="E2792">IFERROR(_xlfn.IFS(AND(D2792&lt;1980,D2792&gt;=1970),"70",AND(D2792&lt;1990,D2792&gt;=1980),"80",AND(D2792&lt;2000,D2792&gt;=1990),"90",AND(D2792&lt;2010,D2792&gt;=2000),"00",AND(D2792&lt;=2019,D2792&gt;=2010),"10"),"1908-1970")</f>
        <v>70</v>
      </c>
      <c r="F2792" s="3">
        <v>0.52361111111111114</v>
      </c>
      <c r="G2792" t="s">
        <v>17389</v>
      </c>
      <c r="H2792" t="s">
        <v>6541</v>
      </c>
      <c r="I2792" t="s">
        <v>17390</v>
      </c>
      <c r="J2792" t="s">
        <v>17391</v>
      </c>
      <c r="K2792" t="s">
        <v>15961</v>
      </c>
      <c r="L2792" s="7" t="s">
        <v>17392</v>
      </c>
      <c r="M2792">
        <v>9442037</v>
      </c>
      <c r="N2792">
        <v>40</v>
      </c>
      <c r="O2792">
        <v>35</v>
      </c>
      <c r="P2792">
        <v>5</v>
      </c>
      <c r="Q2792">
        <v>40</v>
      </c>
      <c r="R2792">
        <v>35</v>
      </c>
      <c r="S2792">
        <v>5</v>
      </c>
      <c r="T2792">
        <v>0</v>
      </c>
      <c r="U2792" t="s">
        <v>17393</v>
      </c>
      <c r="V2792">
        <f>Tabla1[[#This Row],[Aboard]]-Tabla1[[#This Row],[Fatalities]]</f>
        <v>0</v>
      </c>
      <c r="W2792" s="50">
        <f>IFERROR(Tabla1[[#This Row],[Fatalities]]/Tabla1[[#This Row],[Aboard]],0)</f>
        <v>1</v>
      </c>
      <c r="X2792" s="51" t="str" cm="1">
        <f t="array" ref="X2792">_xlfn.IFS(Tabla1[[#This Row],[Porcentaje de muertes]]&lt;0.35,"LEVE",AND(Tabla1[[#This Row],[Porcentaje de muertes]]&gt;0.35,Tabla1[[#This Row],[Porcentaje de muertes]]&lt;0.65),"MEDIO",Tabla1[[#This Row],[Porcentaje de muertes]]&gt;0.65,"GRAVE")</f>
        <v>GRAVE</v>
      </c>
    </row>
    <row r="2793" spans="2:24" x14ac:dyDescent="0.3">
      <c r="B2793" s="9">
        <v>2792</v>
      </c>
      <c r="C2793" s="49">
        <v>27606</v>
      </c>
      <c r="D2793" s="9">
        <f>YEAR(Tabla1[[#This Row],[Date]])</f>
        <v>1975</v>
      </c>
      <c r="E2793" s="9" t="str" cm="1">
        <f t="array" ref="E2793">IFERROR(_xlfn.IFS(AND(D2793&lt;1980,D2793&gt;=1970),"70",AND(D2793&lt;1990,D2793&gt;=1980),"80",AND(D2793&lt;2000,D2793&gt;=1990),"90",AND(D2793&lt;2010,D2793&gt;=2000),"00",AND(D2793&lt;=2019,D2793&gt;=2010),"10"),"1908-1970")</f>
        <v>70</v>
      </c>
      <c r="F2793" s="3" t="s">
        <v>28931</v>
      </c>
      <c r="G2793" t="s">
        <v>9664</v>
      </c>
      <c r="H2793" t="s">
        <v>8896</v>
      </c>
      <c r="I2793">
        <v>134</v>
      </c>
      <c r="J2793" t="s">
        <v>17394</v>
      </c>
      <c r="K2793" t="s">
        <v>17395</v>
      </c>
      <c r="L2793" s="7" t="s">
        <v>17396</v>
      </c>
      <c r="M2793">
        <v>439</v>
      </c>
      <c r="N2793">
        <v>75</v>
      </c>
      <c r="O2793">
        <v>70</v>
      </c>
      <c r="P2793">
        <v>5</v>
      </c>
      <c r="Q2793">
        <v>27</v>
      </c>
      <c r="R2793">
        <v>27</v>
      </c>
      <c r="S2793">
        <v>0</v>
      </c>
      <c r="T2793">
        <v>0</v>
      </c>
      <c r="U2793" t="s">
        <v>17397</v>
      </c>
      <c r="V2793">
        <f>Tabla1[[#This Row],[Aboard]]-Tabla1[[#This Row],[Fatalities]]</f>
        <v>48</v>
      </c>
      <c r="W2793" s="50">
        <f>IFERROR(Tabla1[[#This Row],[Fatalities]]/Tabla1[[#This Row],[Aboard]],0)</f>
        <v>0.36</v>
      </c>
      <c r="X2793" s="51" t="str" cm="1">
        <f t="array" ref="X2793">_xlfn.IFS(Tabla1[[#This Row],[Porcentaje de muertes]]&lt;0.35,"LEVE",AND(Tabla1[[#This Row],[Porcentaje de muertes]]&gt;0.35,Tabla1[[#This Row],[Porcentaje de muertes]]&lt;0.65),"MEDIO",Tabla1[[#This Row],[Porcentaje de muertes]]&gt;0.65,"GRAVE")</f>
        <v>MEDIO</v>
      </c>
    </row>
    <row r="2794" spans="2:24" x14ac:dyDescent="0.3">
      <c r="B2794" s="9">
        <v>2793</v>
      </c>
      <c r="C2794" s="49">
        <v>27461</v>
      </c>
      <c r="D2794" s="9">
        <f>YEAR(Tabla1[[#This Row],[Date]])</f>
        <v>1975</v>
      </c>
      <c r="E2794" s="9" t="str" cm="1">
        <f t="array" ref="E2794">IFERROR(_xlfn.IFS(AND(D2794&lt;1980,D2794&gt;=1970),"70",AND(D2794&lt;1990,D2794&gt;=1980),"80",AND(D2794&lt;2000,D2794&gt;=1990),"90",AND(D2794&lt;2010,D2794&gt;=2000),"00",AND(D2794&lt;=2019,D2794&gt;=2010),"10"),"1908-1970")</f>
        <v>70</v>
      </c>
      <c r="F2794" s="3">
        <v>0.1875</v>
      </c>
      <c r="G2794" t="s">
        <v>17398</v>
      </c>
      <c r="H2794" t="s">
        <v>14357</v>
      </c>
      <c r="I2794" t="s">
        <v>28931</v>
      </c>
      <c r="J2794" t="s">
        <v>17399</v>
      </c>
      <c r="K2794" t="s">
        <v>15237</v>
      </c>
      <c r="L2794" s="7" t="s">
        <v>17400</v>
      </c>
      <c r="M2794" t="s">
        <v>17401</v>
      </c>
      <c r="N2794">
        <v>188</v>
      </c>
      <c r="O2794">
        <v>181</v>
      </c>
      <c r="P2794">
        <v>7</v>
      </c>
      <c r="Q2794">
        <v>188</v>
      </c>
      <c r="R2794">
        <v>181</v>
      </c>
      <c r="S2794">
        <v>7</v>
      </c>
      <c r="T2794">
        <v>0</v>
      </c>
      <c r="U2794" t="s">
        <v>17402</v>
      </c>
      <c r="V2794">
        <f>Tabla1[[#This Row],[Aboard]]-Tabla1[[#This Row],[Fatalities]]</f>
        <v>0</v>
      </c>
      <c r="W2794" s="50">
        <f>IFERROR(Tabla1[[#This Row],[Fatalities]]/Tabla1[[#This Row],[Aboard]],0)</f>
        <v>1</v>
      </c>
      <c r="X2794" s="51" t="str" cm="1">
        <f t="array" ref="X2794">_xlfn.IFS(Tabla1[[#This Row],[Porcentaje de muertes]]&lt;0.35,"LEVE",AND(Tabla1[[#This Row],[Porcentaje de muertes]]&gt;0.35,Tabla1[[#This Row],[Porcentaje de muertes]]&lt;0.65),"MEDIO",Tabla1[[#This Row],[Porcentaje de muertes]]&gt;0.65,"GRAVE")</f>
        <v>GRAVE</v>
      </c>
    </row>
    <row r="2795" spans="2:24" x14ac:dyDescent="0.3">
      <c r="B2795" s="9">
        <v>2794</v>
      </c>
      <c r="C2795" s="49">
        <v>27461</v>
      </c>
      <c r="D2795" s="9">
        <f>YEAR(Tabla1[[#This Row],[Date]])</f>
        <v>1975</v>
      </c>
      <c r="E2795" s="9" t="str" cm="1">
        <f t="array" ref="E2795">IFERROR(_xlfn.IFS(AND(D2795&lt;1980,D2795&gt;=1970),"70",AND(D2795&lt;1990,D2795&gt;=1980),"80",AND(D2795&lt;2000,D2795&gt;=1990),"90",AND(D2795&lt;2010,D2795&gt;=2000),"00",AND(D2795&lt;=2019,D2795&gt;=2010),"10"),"1908-1970")</f>
        <v>70</v>
      </c>
      <c r="F2795" s="3">
        <v>0.8125</v>
      </c>
      <c r="G2795" t="s">
        <v>17403</v>
      </c>
      <c r="H2795" t="s">
        <v>17404</v>
      </c>
      <c r="I2795" t="s">
        <v>28931</v>
      </c>
      <c r="J2795" t="s">
        <v>17405</v>
      </c>
      <c r="K2795" t="s">
        <v>9101</v>
      </c>
      <c r="L2795" s="7">
        <v>412</v>
      </c>
      <c r="M2795" t="s">
        <v>28931</v>
      </c>
      <c r="N2795">
        <v>20</v>
      </c>
      <c r="O2795">
        <v>17</v>
      </c>
      <c r="P2795">
        <v>3</v>
      </c>
      <c r="Q2795">
        <v>20</v>
      </c>
      <c r="R2795">
        <v>17</v>
      </c>
      <c r="S2795">
        <v>3</v>
      </c>
      <c r="T2795">
        <v>0</v>
      </c>
      <c r="U2795" t="s">
        <v>17406</v>
      </c>
      <c r="V2795">
        <f>Tabla1[[#This Row],[Aboard]]-Tabla1[[#This Row],[Fatalities]]</f>
        <v>0</v>
      </c>
      <c r="W2795" s="50">
        <f>IFERROR(Tabla1[[#This Row],[Fatalities]]/Tabla1[[#This Row],[Aboard]],0)</f>
        <v>1</v>
      </c>
      <c r="X2795" s="51" t="str" cm="1">
        <f t="array" ref="X2795">_xlfn.IFS(Tabla1[[#This Row],[Porcentaje de muertes]]&lt;0.35,"LEVE",AND(Tabla1[[#This Row],[Porcentaje de muertes]]&gt;0.35,Tabla1[[#This Row],[Porcentaje de muertes]]&lt;0.65),"MEDIO",Tabla1[[#This Row],[Porcentaje de muertes]]&gt;0.65,"GRAVE")</f>
        <v>GRAVE</v>
      </c>
    </row>
    <row r="2796" spans="2:24" x14ac:dyDescent="0.3">
      <c r="B2796" s="9">
        <v>2795</v>
      </c>
      <c r="C2796" s="49">
        <v>27583</v>
      </c>
      <c r="D2796" s="9">
        <f>YEAR(Tabla1[[#This Row],[Date]])</f>
        <v>1975</v>
      </c>
      <c r="E2796" s="9" t="str" cm="1">
        <f t="array" ref="E2796">IFERROR(_xlfn.IFS(AND(D2796&lt;1980,D2796&gt;=1970),"70",AND(D2796&lt;1990,D2796&gt;=1980),"80",AND(D2796&lt;2000,D2796&gt;=1990),"90",AND(D2796&lt;2010,D2796&gt;=2000),"00",AND(D2796&lt;=2019,D2796&gt;=2010),"10"),"1908-1970")</f>
        <v>70</v>
      </c>
      <c r="F2796" s="3">
        <v>0.6743055555555556</v>
      </c>
      <c r="G2796" t="s">
        <v>9021</v>
      </c>
      <c r="H2796" t="s">
        <v>11843</v>
      </c>
      <c r="I2796">
        <v>426</v>
      </c>
      <c r="J2796" t="s">
        <v>17407</v>
      </c>
      <c r="K2796" t="s">
        <v>16742</v>
      </c>
      <c r="L2796" s="7" t="s">
        <v>17408</v>
      </c>
      <c r="M2796" t="s">
        <v>17409</v>
      </c>
      <c r="N2796">
        <v>131</v>
      </c>
      <c r="O2796">
        <v>124</v>
      </c>
      <c r="P2796">
        <v>7</v>
      </c>
      <c r="Q2796">
        <v>0</v>
      </c>
      <c r="R2796">
        <v>0</v>
      </c>
      <c r="S2796">
        <v>0</v>
      </c>
      <c r="T2796">
        <v>0</v>
      </c>
      <c r="U2796" t="s">
        <v>17410</v>
      </c>
      <c r="V2796">
        <f>Tabla1[[#This Row],[Aboard]]-Tabla1[[#This Row],[Fatalities]]</f>
        <v>131</v>
      </c>
      <c r="W2796" s="50">
        <f>IFERROR(Tabla1[[#This Row],[Fatalities]]/Tabla1[[#This Row],[Aboard]],0)</f>
        <v>0</v>
      </c>
      <c r="X2796" s="51" t="str" cm="1">
        <f t="array" ref="X2796">_xlfn.IFS(Tabla1[[#This Row],[Porcentaje de muertes]]&lt;0.35,"LEVE",AND(Tabla1[[#This Row],[Porcentaje de muertes]]&gt;0.35,Tabla1[[#This Row],[Porcentaje de muertes]]&lt;0.65),"MEDIO",Tabla1[[#This Row],[Porcentaje de muertes]]&gt;0.65,"GRAVE")</f>
        <v>LEVE</v>
      </c>
    </row>
    <row r="2797" spans="2:24" x14ac:dyDescent="0.3">
      <c r="B2797" s="9">
        <v>2796</v>
      </c>
      <c r="C2797" s="49">
        <v>27645</v>
      </c>
      <c r="D2797" s="9">
        <f>YEAR(Tabla1[[#This Row],[Date]])</f>
        <v>1975</v>
      </c>
      <c r="E2797" s="9" t="str" cm="1">
        <f t="array" ref="E2797">IFERROR(_xlfn.IFS(AND(D2797&lt;1980,D2797&gt;=1970),"70",AND(D2797&lt;1990,D2797&gt;=1980),"80",AND(D2797&lt;2000,D2797&gt;=1990),"90",AND(D2797&lt;2010,D2797&gt;=2000),"00",AND(D2797&lt;=2019,D2797&gt;=2010),"10"),"1908-1970")</f>
        <v>70</v>
      </c>
      <c r="F2797" s="3">
        <v>0.43541666666666662</v>
      </c>
      <c r="G2797" t="s">
        <v>17411</v>
      </c>
      <c r="H2797" t="s">
        <v>6541</v>
      </c>
      <c r="I2797" t="s">
        <v>28931</v>
      </c>
      <c r="J2797" t="s">
        <v>17412</v>
      </c>
      <c r="K2797" t="s">
        <v>17413</v>
      </c>
      <c r="L2797" s="7" t="s">
        <v>17414</v>
      </c>
      <c r="M2797">
        <v>7342804</v>
      </c>
      <c r="N2797">
        <v>11</v>
      </c>
      <c r="O2797">
        <v>6</v>
      </c>
      <c r="P2797">
        <v>5</v>
      </c>
      <c r="Q2797">
        <v>11</v>
      </c>
      <c r="R2797">
        <v>6</v>
      </c>
      <c r="S2797">
        <v>5</v>
      </c>
      <c r="T2797">
        <v>0</v>
      </c>
      <c r="U2797" t="s">
        <v>17415</v>
      </c>
      <c r="V2797">
        <f>Tabla1[[#This Row],[Aboard]]-Tabla1[[#This Row],[Fatalities]]</f>
        <v>0</v>
      </c>
      <c r="W2797" s="50">
        <f>IFERROR(Tabla1[[#This Row],[Fatalities]]/Tabla1[[#This Row],[Aboard]],0)</f>
        <v>1</v>
      </c>
      <c r="X2797" s="51" t="str" cm="1">
        <f t="array" ref="X2797">_xlfn.IFS(Tabla1[[#This Row],[Porcentaje de muertes]]&lt;0.35,"LEVE",AND(Tabla1[[#This Row],[Porcentaje de muertes]]&gt;0.35,Tabla1[[#This Row],[Porcentaje de muertes]]&lt;0.65),"MEDIO",Tabla1[[#This Row],[Porcentaje de muertes]]&gt;0.65,"GRAVE")</f>
        <v>GRAVE</v>
      </c>
    </row>
    <row r="2798" spans="2:24" x14ac:dyDescent="0.3">
      <c r="B2798" s="9">
        <v>2797</v>
      </c>
      <c r="C2798" s="49">
        <v>27621</v>
      </c>
      <c r="D2798" s="9">
        <f>YEAR(Tabla1[[#This Row],[Date]])</f>
        <v>1975</v>
      </c>
      <c r="E2798" s="9" t="str" cm="1">
        <f t="array" ref="E2798">IFERROR(_xlfn.IFS(AND(D2798&lt;1980,D2798&gt;=1970),"70",AND(D2798&lt;1990,D2798&gt;=1980),"80",AND(D2798&lt;2000,D2798&gt;=1990),"90",AND(D2798&lt;2010,D2798&gt;=2000),"00",AND(D2798&lt;=2019,D2798&gt;=2010),"10"),"1908-1970")</f>
        <v>70</v>
      </c>
      <c r="F2798" s="3">
        <v>0.91736111111111107</v>
      </c>
      <c r="G2798" t="s">
        <v>17416</v>
      </c>
      <c r="H2798" t="s">
        <v>6541</v>
      </c>
      <c r="I2798" t="s">
        <v>17417</v>
      </c>
      <c r="J2798" t="s">
        <v>28931</v>
      </c>
      <c r="K2798" t="s">
        <v>15961</v>
      </c>
      <c r="L2798" s="7" t="s">
        <v>17418</v>
      </c>
      <c r="M2798">
        <v>9330230</v>
      </c>
      <c r="N2798">
        <v>38</v>
      </c>
      <c r="O2798">
        <v>34</v>
      </c>
      <c r="P2798">
        <v>4</v>
      </c>
      <c r="Q2798">
        <v>23</v>
      </c>
      <c r="R2798">
        <v>21</v>
      </c>
      <c r="S2798">
        <v>2</v>
      </c>
      <c r="T2798">
        <v>0</v>
      </c>
      <c r="U2798" t="s">
        <v>17419</v>
      </c>
      <c r="V2798">
        <f>Tabla1[[#This Row],[Aboard]]-Tabla1[[#This Row],[Fatalities]]</f>
        <v>15</v>
      </c>
      <c r="W2798" s="50">
        <f>IFERROR(Tabla1[[#This Row],[Fatalities]]/Tabla1[[#This Row],[Aboard]],0)</f>
        <v>0.60526315789473684</v>
      </c>
      <c r="X2798" s="51" t="str" cm="1">
        <f t="array" ref="X2798">_xlfn.IFS(Tabla1[[#This Row],[Porcentaje de muertes]]&lt;0.35,"LEVE",AND(Tabla1[[#This Row],[Porcentaje de muertes]]&gt;0.35,Tabla1[[#This Row],[Porcentaje de muertes]]&lt;0.65),"MEDIO",Tabla1[[#This Row],[Porcentaje de muertes]]&gt;0.65,"GRAVE")</f>
        <v>MEDIO</v>
      </c>
    </row>
    <row r="2799" spans="2:24" x14ac:dyDescent="0.3">
      <c r="B2799" s="9">
        <v>2798</v>
      </c>
      <c r="C2799" s="49">
        <v>27626</v>
      </c>
      <c r="D2799" s="9">
        <f>YEAR(Tabla1[[#This Row],[Date]])</f>
        <v>1975</v>
      </c>
      <c r="E2799" s="9" t="str" cm="1">
        <f t="array" ref="E2799">IFERROR(_xlfn.IFS(AND(D2799&lt;1980,D2799&gt;=1970),"70",AND(D2799&lt;1990,D2799&gt;=1980),"80",AND(D2799&lt;2000,D2799&gt;=1990),"90",AND(D2799&lt;2010,D2799&gt;=2000),"00",AND(D2799&lt;=2019,D2799&gt;=2010),"10"),"1908-1970")</f>
        <v>70</v>
      </c>
      <c r="F2799" s="3">
        <v>5.2083333333333336E-2</v>
      </c>
      <c r="G2799" t="s">
        <v>14356</v>
      </c>
      <c r="H2799" t="s">
        <v>5951</v>
      </c>
      <c r="I2799">
        <v>542</v>
      </c>
      <c r="J2799" t="s">
        <v>17420</v>
      </c>
      <c r="K2799" t="s">
        <v>16546</v>
      </c>
      <c r="L2799" s="7" t="s">
        <v>17421</v>
      </c>
      <c r="M2799">
        <v>31502</v>
      </c>
      <c r="N2799">
        <v>128</v>
      </c>
      <c r="O2799">
        <v>117</v>
      </c>
      <c r="P2799">
        <v>11</v>
      </c>
      <c r="Q2799">
        <v>126</v>
      </c>
      <c r="R2799">
        <v>115</v>
      </c>
      <c r="S2799">
        <v>11</v>
      </c>
      <c r="T2799">
        <v>0</v>
      </c>
      <c r="U2799" t="s">
        <v>17422</v>
      </c>
      <c r="V2799">
        <f>Tabla1[[#This Row],[Aboard]]-Tabla1[[#This Row],[Fatalities]]</f>
        <v>2</v>
      </c>
      <c r="W2799" s="50">
        <f>IFERROR(Tabla1[[#This Row],[Fatalities]]/Tabla1[[#This Row],[Aboard]],0)</f>
        <v>0.984375</v>
      </c>
      <c r="X2799" s="51" t="str" cm="1">
        <f t="array" ref="X2799">_xlfn.IFS(Tabla1[[#This Row],[Porcentaje de muertes]]&lt;0.35,"LEVE",AND(Tabla1[[#This Row],[Porcentaje de muertes]]&gt;0.35,Tabla1[[#This Row],[Porcentaje de muertes]]&lt;0.65),"MEDIO",Tabla1[[#This Row],[Porcentaje de muertes]]&gt;0.65,"GRAVE")</f>
        <v>GRAVE</v>
      </c>
    </row>
    <row r="2800" spans="2:24" x14ac:dyDescent="0.3">
      <c r="B2800" s="9">
        <v>2799</v>
      </c>
      <c r="C2800" s="49">
        <v>27636</v>
      </c>
      <c r="D2800" s="9">
        <f>YEAR(Tabla1[[#This Row],[Date]])</f>
        <v>1975</v>
      </c>
      <c r="E2800" s="9" t="str" cm="1">
        <f t="array" ref="E2800">IFERROR(_xlfn.IFS(AND(D2800&lt;1980,D2800&gt;=1970),"70",AND(D2800&lt;1990,D2800&gt;=1980),"80",AND(D2800&lt;2000,D2800&gt;=1990),"90",AND(D2800&lt;2010,D2800&gt;=2000),"00",AND(D2800&lt;=2019,D2800&gt;=2010),"10"),"1908-1970")</f>
        <v>70</v>
      </c>
      <c r="F2800" s="3">
        <v>0.58124999999999993</v>
      </c>
      <c r="G2800" t="s">
        <v>17423</v>
      </c>
      <c r="H2800" t="s">
        <v>17424</v>
      </c>
      <c r="I2800">
        <v>99</v>
      </c>
      <c r="J2800" t="s">
        <v>17425</v>
      </c>
      <c r="K2800" t="s">
        <v>15371</v>
      </c>
      <c r="L2800" s="7" t="s">
        <v>17426</v>
      </c>
      <c r="M2800">
        <v>21</v>
      </c>
      <c r="N2800">
        <v>32</v>
      </c>
      <c r="O2800">
        <v>28</v>
      </c>
      <c r="P2800">
        <v>4</v>
      </c>
      <c r="Q2800">
        <v>10</v>
      </c>
      <c r="R2800">
        <v>7</v>
      </c>
      <c r="S2800">
        <v>3</v>
      </c>
      <c r="T2800">
        <v>0</v>
      </c>
      <c r="U2800" t="s">
        <v>17427</v>
      </c>
      <c r="V2800">
        <f>Tabla1[[#This Row],[Aboard]]-Tabla1[[#This Row],[Fatalities]]</f>
        <v>22</v>
      </c>
      <c r="W2800" s="50">
        <f>IFERROR(Tabla1[[#This Row],[Fatalities]]/Tabla1[[#This Row],[Aboard]],0)</f>
        <v>0.3125</v>
      </c>
      <c r="X2800" s="51" t="str" cm="1">
        <f t="array" ref="X2800">_xlfn.IFS(Tabla1[[#This Row],[Porcentaje de muertes]]&lt;0.35,"LEVE",AND(Tabla1[[#This Row],[Porcentaje de muertes]]&gt;0.35,Tabla1[[#This Row],[Porcentaje de muertes]]&lt;0.65),"MEDIO",Tabla1[[#This Row],[Porcentaje de muertes]]&gt;0.65,"GRAVE")</f>
        <v>LEVE</v>
      </c>
    </row>
    <row r="2801" spans="2:24" x14ac:dyDescent="0.3">
      <c r="B2801" s="9">
        <v>2800</v>
      </c>
      <c r="C2801" s="49">
        <v>27403</v>
      </c>
      <c r="D2801" s="9">
        <f>YEAR(Tabla1[[#This Row],[Date]])</f>
        <v>1975</v>
      </c>
      <c r="E2801" s="9" t="str" cm="1">
        <f t="array" ref="E2801">IFERROR(_xlfn.IFS(AND(D2801&lt;1980,D2801&gt;=1970),"70",AND(D2801&lt;1990,D2801&gt;=1980),"80",AND(D2801&lt;2000,D2801&gt;=1990),"90",AND(D2801&lt;2010,D2801&gt;=2000),"00",AND(D2801&lt;=2019,D2801&gt;=2010),"10"),"1908-1970")</f>
        <v>70</v>
      </c>
      <c r="F2801" s="3">
        <v>0.33333333333333331</v>
      </c>
      <c r="G2801" t="s">
        <v>17428</v>
      </c>
      <c r="H2801" t="s">
        <v>16544</v>
      </c>
      <c r="I2801" t="s">
        <v>28931</v>
      </c>
      <c r="J2801" t="s">
        <v>17429</v>
      </c>
      <c r="K2801" t="s">
        <v>17430</v>
      </c>
      <c r="L2801" s="7" t="s">
        <v>17431</v>
      </c>
      <c r="M2801">
        <v>9350702</v>
      </c>
      <c r="N2801">
        <v>34</v>
      </c>
      <c r="O2801">
        <v>28</v>
      </c>
      <c r="P2801">
        <v>6</v>
      </c>
      <c r="Q2801">
        <v>27</v>
      </c>
      <c r="R2801">
        <v>24</v>
      </c>
      <c r="S2801">
        <v>3</v>
      </c>
      <c r="T2801">
        <v>0</v>
      </c>
      <c r="U2801" t="s">
        <v>17432</v>
      </c>
      <c r="V2801">
        <f>Tabla1[[#This Row],[Aboard]]-Tabla1[[#This Row],[Fatalities]]</f>
        <v>7</v>
      </c>
      <c r="W2801" s="50">
        <f>IFERROR(Tabla1[[#This Row],[Fatalities]]/Tabla1[[#This Row],[Aboard]],0)</f>
        <v>0.79411764705882348</v>
      </c>
      <c r="X2801" s="51" t="str" cm="1">
        <f t="array" ref="X2801">_xlfn.IFS(Tabla1[[#This Row],[Porcentaje de muertes]]&lt;0.35,"LEVE",AND(Tabla1[[#This Row],[Porcentaje de muertes]]&gt;0.35,Tabla1[[#This Row],[Porcentaje de muertes]]&lt;0.65),"MEDIO",Tabla1[[#This Row],[Porcentaje de muertes]]&gt;0.65,"GRAVE")</f>
        <v>GRAVE</v>
      </c>
    </row>
    <row r="2802" spans="2:24" x14ac:dyDescent="0.3">
      <c r="B2802" s="9">
        <v>2801</v>
      </c>
      <c r="C2802" s="49">
        <v>27707</v>
      </c>
      <c r="D2802" s="9">
        <f>YEAR(Tabla1[[#This Row],[Date]])</f>
        <v>1975</v>
      </c>
      <c r="E2802" s="9" t="str" cm="1">
        <f t="array" ref="E2802">IFERROR(_xlfn.IFS(AND(D2802&lt;1980,D2802&gt;=1970),"70",AND(D2802&lt;1990,D2802&gt;=1980),"80",AND(D2802&lt;2000,D2802&gt;=1990),"90",AND(D2802&lt;2010,D2802&gt;=2000),"00",AND(D2802&lt;=2019,D2802&gt;=2010),"10"),"1908-1970")</f>
        <v>70</v>
      </c>
      <c r="F2802" s="3">
        <v>0.43055555555555558</v>
      </c>
      <c r="G2802" t="s">
        <v>17433</v>
      </c>
      <c r="H2802" t="s">
        <v>13000</v>
      </c>
      <c r="I2802" t="s">
        <v>28931</v>
      </c>
      <c r="J2802" t="s">
        <v>17434</v>
      </c>
      <c r="K2802" t="s">
        <v>7934</v>
      </c>
      <c r="L2802" s="7" t="s">
        <v>17435</v>
      </c>
      <c r="M2802">
        <v>4292</v>
      </c>
      <c r="N2802">
        <v>9</v>
      </c>
      <c r="O2802">
        <v>6</v>
      </c>
      <c r="P2802">
        <v>3</v>
      </c>
      <c r="Q2802">
        <v>1</v>
      </c>
      <c r="R2802">
        <v>1</v>
      </c>
      <c r="S2802">
        <v>0</v>
      </c>
      <c r="T2802">
        <v>0</v>
      </c>
      <c r="U2802" t="s">
        <v>17436</v>
      </c>
      <c r="V2802">
        <f>Tabla1[[#This Row],[Aboard]]-Tabla1[[#This Row],[Fatalities]]</f>
        <v>8</v>
      </c>
      <c r="W2802" s="50">
        <f>IFERROR(Tabla1[[#This Row],[Fatalities]]/Tabla1[[#This Row],[Aboard]],0)</f>
        <v>0.1111111111111111</v>
      </c>
      <c r="X2802" s="51" t="str" cm="1">
        <f t="array" ref="X2802">_xlfn.IFS(Tabla1[[#This Row],[Porcentaje de muertes]]&lt;0.35,"LEVE",AND(Tabla1[[#This Row],[Porcentaje de muertes]]&gt;0.35,Tabla1[[#This Row],[Porcentaje de muertes]]&lt;0.65),"MEDIO",Tabla1[[#This Row],[Porcentaje de muertes]]&gt;0.65,"GRAVE")</f>
        <v>LEVE</v>
      </c>
    </row>
    <row r="2803" spans="2:24" x14ac:dyDescent="0.3">
      <c r="B2803" s="9">
        <v>2802</v>
      </c>
      <c r="C2803" s="49">
        <v>27661</v>
      </c>
      <c r="D2803" s="9">
        <f>YEAR(Tabla1[[#This Row],[Date]])</f>
        <v>1975</v>
      </c>
      <c r="E2803" s="9" t="str" cm="1">
        <f t="array" ref="E2803">IFERROR(_xlfn.IFS(AND(D2803&lt;1980,D2803&gt;=1970),"70",AND(D2803&lt;1990,D2803&gt;=1980),"80",AND(D2803&lt;2000,D2803&gt;=1990),"90",AND(D2803&lt;2010,D2803&gt;=2000),"00",AND(D2803&lt;=2019,D2803&gt;=2010),"10"),"1908-1970")</f>
        <v>70</v>
      </c>
      <c r="F2803" s="3" t="s">
        <v>28931</v>
      </c>
      <c r="G2803" t="s">
        <v>17437</v>
      </c>
      <c r="H2803" t="s">
        <v>10225</v>
      </c>
      <c r="I2803">
        <v>150</v>
      </c>
      <c r="J2803" t="s">
        <v>17438</v>
      </c>
      <c r="K2803" t="s">
        <v>16685</v>
      </c>
      <c r="L2803" s="7" t="s">
        <v>17439</v>
      </c>
      <c r="M2803">
        <v>11039</v>
      </c>
      <c r="N2803">
        <v>61</v>
      </c>
      <c r="O2803">
        <v>57</v>
      </c>
      <c r="P2803">
        <v>4</v>
      </c>
      <c r="Q2803">
        <v>25</v>
      </c>
      <c r="R2803">
        <v>21</v>
      </c>
      <c r="S2803">
        <v>4</v>
      </c>
      <c r="T2803">
        <v>1</v>
      </c>
      <c r="U2803" t="s">
        <v>17440</v>
      </c>
      <c r="V2803">
        <f>Tabla1[[#This Row],[Aboard]]-Tabla1[[#This Row],[Fatalities]]</f>
        <v>36</v>
      </c>
      <c r="W2803" s="50">
        <f>IFERROR(Tabla1[[#This Row],[Fatalities]]/Tabla1[[#This Row],[Aboard]],0)</f>
        <v>0.4098360655737705</v>
      </c>
      <c r="X2803" s="51" t="str" cm="1">
        <f t="array" ref="X2803">_xlfn.IFS(Tabla1[[#This Row],[Porcentaje de muertes]]&lt;0.35,"LEVE",AND(Tabla1[[#This Row],[Porcentaje de muertes]]&gt;0.35,Tabla1[[#This Row],[Porcentaje de muertes]]&lt;0.65),"MEDIO",Tabla1[[#This Row],[Porcentaje de muertes]]&gt;0.65,"GRAVE")</f>
        <v>MEDIO</v>
      </c>
    </row>
    <row r="2804" spans="2:24" x14ac:dyDescent="0.3">
      <c r="B2804" s="9">
        <v>2803</v>
      </c>
      <c r="C2804" s="49">
        <v>27667</v>
      </c>
      <c r="D2804" s="9">
        <f>YEAR(Tabla1[[#This Row],[Date]])</f>
        <v>1975</v>
      </c>
      <c r="E2804" s="9" t="str" cm="1">
        <f t="array" ref="E2804">IFERROR(_xlfn.IFS(AND(D2804&lt;1980,D2804&gt;=1970),"70",AND(D2804&lt;1990,D2804&gt;=1980),"80",AND(D2804&lt;2000,D2804&gt;=1990),"90",AND(D2804&lt;2010,D2804&gt;=2000),"00",AND(D2804&lt;=2019,D2804&gt;=2010),"10"),"1908-1970")</f>
        <v>70</v>
      </c>
      <c r="F2804" s="3">
        <v>0.1111111111111111</v>
      </c>
      <c r="G2804" t="s">
        <v>17441</v>
      </c>
      <c r="H2804" t="s">
        <v>13288</v>
      </c>
      <c r="I2804" t="s">
        <v>28931</v>
      </c>
      <c r="J2804" t="s">
        <v>17442</v>
      </c>
      <c r="K2804" t="s">
        <v>17443</v>
      </c>
      <c r="L2804" s="7" t="s">
        <v>17444</v>
      </c>
      <c r="M2804">
        <v>53</v>
      </c>
      <c r="N2804">
        <v>60</v>
      </c>
      <c r="O2804">
        <v>50</v>
      </c>
      <c r="P2804">
        <v>10</v>
      </c>
      <c r="Q2804">
        <v>60</v>
      </c>
      <c r="R2804">
        <v>50</v>
      </c>
      <c r="S2804">
        <v>10</v>
      </c>
      <c r="T2804">
        <v>0</v>
      </c>
      <c r="U2804" t="s">
        <v>17445</v>
      </c>
      <c r="V2804">
        <f>Tabla1[[#This Row],[Aboard]]-Tabla1[[#This Row],[Fatalities]]</f>
        <v>0</v>
      </c>
      <c r="W2804" s="50">
        <f>IFERROR(Tabla1[[#This Row],[Fatalities]]/Tabla1[[#This Row],[Aboard]],0)</f>
        <v>1</v>
      </c>
      <c r="X2804" s="51" t="str" cm="1">
        <f t="array" ref="X2804">_xlfn.IFS(Tabla1[[#This Row],[Porcentaje de muertes]]&lt;0.35,"LEVE",AND(Tabla1[[#This Row],[Porcentaje de muertes]]&gt;0.35,Tabla1[[#This Row],[Porcentaje de muertes]]&lt;0.65),"MEDIO",Tabla1[[#This Row],[Porcentaje de muertes]]&gt;0.65,"GRAVE")</f>
        <v>GRAVE</v>
      </c>
    </row>
    <row r="2805" spans="2:24" x14ac:dyDescent="0.3">
      <c r="B2805" s="9">
        <v>2804</v>
      </c>
      <c r="C2805" s="49">
        <v>27667</v>
      </c>
      <c r="D2805" s="9">
        <f>YEAR(Tabla1[[#This Row],[Date]])</f>
        <v>1975</v>
      </c>
      <c r="E2805" s="9" t="str" cm="1">
        <f t="array" ref="E2805">IFERROR(_xlfn.IFS(AND(D2805&lt;1980,D2805&gt;=1970),"70",AND(D2805&lt;1990,D2805&gt;=1980),"80",AND(D2805&lt;2000,D2805&gt;=1990),"90",AND(D2805&lt;2010,D2805&gt;=2000),"00",AND(D2805&lt;=2019,D2805&gt;=2010),"10"),"1908-1970")</f>
        <v>70</v>
      </c>
      <c r="F2805" s="3" t="s">
        <v>28931</v>
      </c>
      <c r="G2805" t="s">
        <v>5337</v>
      </c>
      <c r="H2805" t="s">
        <v>8976</v>
      </c>
      <c r="I2805" t="s">
        <v>28931</v>
      </c>
      <c r="J2805" t="s">
        <v>9668</v>
      </c>
      <c r="K2805" t="s">
        <v>17446</v>
      </c>
      <c r="L2805" s="7" t="s">
        <v>17447</v>
      </c>
      <c r="M2805" t="s">
        <v>17448</v>
      </c>
      <c r="N2805">
        <v>4</v>
      </c>
      <c r="O2805">
        <v>0</v>
      </c>
      <c r="P2805">
        <v>4</v>
      </c>
      <c r="Q2805">
        <v>4</v>
      </c>
      <c r="R2805">
        <v>0</v>
      </c>
      <c r="S2805">
        <v>4</v>
      </c>
      <c r="T2805">
        <v>0</v>
      </c>
      <c r="U2805" t="s">
        <v>28927</v>
      </c>
      <c r="V2805">
        <f>Tabla1[[#This Row],[Aboard]]-Tabla1[[#This Row],[Fatalities]]</f>
        <v>0</v>
      </c>
      <c r="W2805" s="50">
        <f>IFERROR(Tabla1[[#This Row],[Fatalities]]/Tabla1[[#This Row],[Aboard]],0)</f>
        <v>1</v>
      </c>
      <c r="X2805" s="51" t="str" cm="1">
        <f t="array" ref="X2805">_xlfn.IFS(Tabla1[[#This Row],[Porcentaje de muertes]]&lt;0.35,"LEVE",AND(Tabla1[[#This Row],[Porcentaje de muertes]]&gt;0.35,Tabla1[[#This Row],[Porcentaje de muertes]]&lt;0.65),"MEDIO",Tabla1[[#This Row],[Porcentaje de muertes]]&gt;0.65,"GRAVE")</f>
        <v>GRAVE</v>
      </c>
    </row>
    <row r="2806" spans="2:24" x14ac:dyDescent="0.3">
      <c r="B2806" s="9">
        <v>2805</v>
      </c>
      <c r="C2806" s="49">
        <v>27689</v>
      </c>
      <c r="D2806" s="9">
        <f>YEAR(Tabla1[[#This Row],[Date]])</f>
        <v>1975</v>
      </c>
      <c r="E2806" s="9" t="str" cm="1">
        <f t="array" ref="E2806">IFERROR(_xlfn.IFS(AND(D2806&lt;1980,D2806&gt;=1970),"70",AND(D2806&lt;1990,D2806&gt;=1980),"80",AND(D2806&lt;2000,D2806&gt;=1990),"90",AND(D2806&lt;2010,D2806&gt;=2000),"00",AND(D2806&lt;=2019,D2806&gt;=2010),"10"),"1908-1970")</f>
        <v>70</v>
      </c>
      <c r="F2806" s="3">
        <v>0.70347222222222217</v>
      </c>
      <c r="G2806" t="s">
        <v>17449</v>
      </c>
      <c r="H2806" t="s">
        <v>6541</v>
      </c>
      <c r="I2806" t="s">
        <v>17450</v>
      </c>
      <c r="J2806" t="s">
        <v>17451</v>
      </c>
      <c r="K2806" t="s">
        <v>17452</v>
      </c>
      <c r="L2806" s="7" t="s">
        <v>17453</v>
      </c>
      <c r="M2806">
        <v>9431736</v>
      </c>
      <c r="N2806">
        <v>6</v>
      </c>
      <c r="O2806">
        <v>2</v>
      </c>
      <c r="P2806">
        <v>4</v>
      </c>
      <c r="Q2806">
        <v>6</v>
      </c>
      <c r="R2806">
        <v>2</v>
      </c>
      <c r="S2806">
        <v>4</v>
      </c>
      <c r="T2806">
        <v>5</v>
      </c>
      <c r="U2806" t="s">
        <v>17454</v>
      </c>
      <c r="V2806">
        <f>Tabla1[[#This Row],[Aboard]]-Tabla1[[#This Row],[Fatalities]]</f>
        <v>0</v>
      </c>
      <c r="W2806" s="50">
        <f>IFERROR(Tabla1[[#This Row],[Fatalities]]/Tabla1[[#This Row],[Aboard]],0)</f>
        <v>1</v>
      </c>
      <c r="X2806" s="51" t="str" cm="1">
        <f t="array" ref="X2806">_xlfn.IFS(Tabla1[[#This Row],[Porcentaje de muertes]]&lt;0.35,"LEVE",AND(Tabla1[[#This Row],[Porcentaje de muertes]]&gt;0.35,Tabla1[[#This Row],[Porcentaje de muertes]]&lt;0.65),"MEDIO",Tabla1[[#This Row],[Porcentaje de muertes]]&gt;0.65,"GRAVE")</f>
        <v>GRAVE</v>
      </c>
    </row>
    <row r="2807" spans="2:24" x14ac:dyDescent="0.3">
      <c r="B2807" s="9">
        <v>2806</v>
      </c>
      <c r="C2807" s="49">
        <v>27690</v>
      </c>
      <c r="D2807" s="9">
        <f>YEAR(Tabla1[[#This Row],[Date]])</f>
        <v>1975</v>
      </c>
      <c r="E2807" s="9" t="str" cm="1">
        <f t="array" ref="E2807">IFERROR(_xlfn.IFS(AND(D2807&lt;1980,D2807&gt;=1970),"70",AND(D2807&lt;1990,D2807&gt;=1980),"80",AND(D2807&lt;2000,D2807&gt;=1990),"90",AND(D2807&lt;2010,D2807&gt;=2000),"00",AND(D2807&lt;=2019,D2807&gt;=2010),"10"),"1908-1970")</f>
        <v>70</v>
      </c>
      <c r="F2807" s="3">
        <v>0.81111111111111101</v>
      </c>
      <c r="G2807" t="s">
        <v>17455</v>
      </c>
      <c r="H2807" t="s">
        <v>17456</v>
      </c>
      <c r="I2807" t="s">
        <v>28931</v>
      </c>
      <c r="J2807" t="s">
        <v>17457</v>
      </c>
      <c r="K2807" t="s">
        <v>17458</v>
      </c>
      <c r="L2807" s="7" t="s">
        <v>17459</v>
      </c>
      <c r="M2807">
        <v>14067</v>
      </c>
      <c r="N2807">
        <v>11</v>
      </c>
      <c r="O2807">
        <v>8</v>
      </c>
      <c r="P2807">
        <v>3</v>
      </c>
      <c r="Q2807">
        <v>11</v>
      </c>
      <c r="R2807">
        <v>8</v>
      </c>
      <c r="S2807">
        <v>3</v>
      </c>
      <c r="T2807">
        <v>0</v>
      </c>
      <c r="U2807" t="s">
        <v>17460</v>
      </c>
      <c r="V2807">
        <f>Tabla1[[#This Row],[Aboard]]-Tabla1[[#This Row],[Fatalities]]</f>
        <v>0</v>
      </c>
      <c r="W2807" s="50">
        <f>IFERROR(Tabla1[[#This Row],[Fatalities]]/Tabla1[[#This Row],[Aboard]],0)</f>
        <v>1</v>
      </c>
      <c r="X2807" s="51" t="str" cm="1">
        <f t="array" ref="X2807">_xlfn.IFS(Tabla1[[#This Row],[Porcentaje de muertes]]&lt;0.35,"LEVE",AND(Tabla1[[#This Row],[Porcentaje de muertes]]&gt;0.35,Tabla1[[#This Row],[Porcentaje de muertes]]&lt;0.65),"MEDIO",Tabla1[[#This Row],[Porcentaje de muertes]]&gt;0.65,"GRAVE")</f>
        <v>GRAVE</v>
      </c>
    </row>
    <row r="2808" spans="2:24" x14ac:dyDescent="0.3">
      <c r="B2808" s="9">
        <v>2807</v>
      </c>
      <c r="C2808" s="49">
        <v>27694</v>
      </c>
      <c r="D2808" s="9">
        <f>YEAR(Tabla1[[#This Row],[Date]])</f>
        <v>1975</v>
      </c>
      <c r="E2808" s="9" t="str" cm="1">
        <f t="array" ref="E2808">IFERROR(_xlfn.IFS(AND(D2808&lt;1980,D2808&gt;=1970),"70",AND(D2808&lt;1990,D2808&gt;=1980),"80",AND(D2808&lt;2000,D2808&gt;=1990),"90",AND(D2808&lt;2010,D2808&gt;=2000),"00",AND(D2808&lt;=2019,D2808&gt;=2010),"10"),"1908-1970")</f>
        <v>70</v>
      </c>
      <c r="F2808" s="3">
        <v>0.28125</v>
      </c>
      <c r="G2808" t="s">
        <v>17461</v>
      </c>
      <c r="H2808" t="s">
        <v>12245</v>
      </c>
      <c r="I2808" t="s">
        <v>28931</v>
      </c>
      <c r="J2808" t="s">
        <v>17462</v>
      </c>
      <c r="K2808" t="s">
        <v>17463</v>
      </c>
      <c r="L2808" s="7" t="s">
        <v>17464</v>
      </c>
      <c r="M2808">
        <v>328</v>
      </c>
      <c r="N2808">
        <v>67</v>
      </c>
      <c r="O2808">
        <v>63</v>
      </c>
      <c r="P2808">
        <v>4</v>
      </c>
      <c r="Q2808">
        <v>67</v>
      </c>
      <c r="R2808">
        <v>63</v>
      </c>
      <c r="S2808">
        <v>4</v>
      </c>
      <c r="T2808">
        <v>0</v>
      </c>
      <c r="U2808" t="s">
        <v>17465</v>
      </c>
      <c r="V2808">
        <f>Tabla1[[#This Row],[Aboard]]-Tabla1[[#This Row],[Fatalities]]</f>
        <v>0</v>
      </c>
      <c r="W2808" s="50">
        <f>IFERROR(Tabla1[[#This Row],[Fatalities]]/Tabla1[[#This Row],[Aboard]],0)</f>
        <v>1</v>
      </c>
      <c r="X2808" s="51" t="str" cm="1">
        <f t="array" ref="X2808">_xlfn.IFS(Tabla1[[#This Row],[Porcentaje de muertes]]&lt;0.35,"LEVE",AND(Tabla1[[#This Row],[Porcentaje de muertes]]&gt;0.35,Tabla1[[#This Row],[Porcentaje de muertes]]&lt;0.65),"MEDIO",Tabla1[[#This Row],[Porcentaje de muertes]]&gt;0.65,"GRAVE")</f>
        <v>GRAVE</v>
      </c>
    </row>
    <row r="2809" spans="2:24" x14ac:dyDescent="0.3">
      <c r="B2809" s="9">
        <v>2808</v>
      </c>
      <c r="C2809" s="49">
        <v>27697</v>
      </c>
      <c r="D2809" s="9">
        <f>YEAR(Tabla1[[#This Row],[Date]])</f>
        <v>1975</v>
      </c>
      <c r="E2809" s="9" t="str" cm="1">
        <f t="array" ref="E2809">IFERROR(_xlfn.IFS(AND(D2809&lt;1980,D2809&gt;=1970),"70",AND(D2809&lt;1990,D2809&gt;=1980),"80",AND(D2809&lt;2000,D2809&gt;=1990),"90",AND(D2809&lt;2010,D2809&gt;=2000),"00",AND(D2809&lt;=2019,D2809&gt;=2010),"10"),"1908-1970")</f>
        <v>70</v>
      </c>
      <c r="F2809" s="3">
        <v>0.3888888888888889</v>
      </c>
      <c r="G2809" t="s">
        <v>8607</v>
      </c>
      <c r="H2809" t="s">
        <v>17466</v>
      </c>
      <c r="I2809" t="s">
        <v>28931</v>
      </c>
      <c r="J2809" t="s">
        <v>17467</v>
      </c>
      <c r="K2809" t="s">
        <v>15468</v>
      </c>
      <c r="L2809" s="7" t="s">
        <v>17468</v>
      </c>
      <c r="M2809" t="s">
        <v>17469</v>
      </c>
      <c r="N2809">
        <v>120</v>
      </c>
      <c r="O2809">
        <v>115</v>
      </c>
      <c r="P2809">
        <v>5</v>
      </c>
      <c r="Q2809">
        <v>75</v>
      </c>
      <c r="R2809">
        <v>71</v>
      </c>
      <c r="S2809">
        <v>4</v>
      </c>
      <c r="T2809">
        <v>0</v>
      </c>
      <c r="U2809" t="s">
        <v>17470</v>
      </c>
      <c r="V2809">
        <f>Tabla1[[#This Row],[Aboard]]-Tabla1[[#This Row],[Fatalities]]</f>
        <v>45</v>
      </c>
      <c r="W2809" s="50">
        <f>IFERROR(Tabla1[[#This Row],[Fatalities]]/Tabla1[[#This Row],[Aboard]],0)</f>
        <v>0.625</v>
      </c>
      <c r="X2809" s="51" t="str" cm="1">
        <f t="array" ref="X2809">_xlfn.IFS(Tabla1[[#This Row],[Porcentaje de muertes]]&lt;0.35,"LEVE",AND(Tabla1[[#This Row],[Porcentaje de muertes]]&gt;0.35,Tabla1[[#This Row],[Porcentaje de muertes]]&lt;0.65),"MEDIO",Tabla1[[#This Row],[Porcentaje de muertes]]&gt;0.65,"GRAVE")</f>
        <v>MEDIO</v>
      </c>
    </row>
    <row r="2810" spans="2:24" x14ac:dyDescent="0.3">
      <c r="B2810" s="9">
        <v>2809</v>
      </c>
      <c r="C2810" s="49">
        <v>27464</v>
      </c>
      <c r="D2810" s="9">
        <f>YEAR(Tabla1[[#This Row],[Date]])</f>
        <v>1975</v>
      </c>
      <c r="E2810" s="9" t="str" cm="1">
        <f t="array" ref="E2810">IFERROR(_xlfn.IFS(AND(D2810&lt;1980,D2810&gt;=1970),"70",AND(D2810&lt;1990,D2810&gt;=1980),"80",AND(D2810&lt;2000,D2810&gt;=1990),"90",AND(D2810&lt;2010,D2810&gt;=2000),"00",AND(D2810&lt;=2019,D2810&gt;=2010),"10"),"1908-1970")</f>
        <v>70</v>
      </c>
      <c r="F2810" s="3">
        <v>0.41805555555555557</v>
      </c>
      <c r="G2810" t="s">
        <v>12806</v>
      </c>
      <c r="H2810" t="s">
        <v>14773</v>
      </c>
      <c r="I2810" t="s">
        <v>28931</v>
      </c>
      <c r="J2810" t="s">
        <v>28931</v>
      </c>
      <c r="K2810" t="s">
        <v>17471</v>
      </c>
      <c r="L2810" s="7" t="s">
        <v>17472</v>
      </c>
      <c r="M2810" t="s">
        <v>28931</v>
      </c>
      <c r="N2810">
        <v>9</v>
      </c>
      <c r="O2810">
        <v>8</v>
      </c>
      <c r="P2810">
        <v>1</v>
      </c>
      <c r="Q2810">
        <v>9</v>
      </c>
      <c r="R2810">
        <v>8</v>
      </c>
      <c r="S2810">
        <v>1</v>
      </c>
      <c r="T2810">
        <v>0</v>
      </c>
      <c r="U2810" t="s">
        <v>17473</v>
      </c>
      <c r="V2810">
        <f>Tabla1[[#This Row],[Aboard]]-Tabla1[[#This Row],[Fatalities]]</f>
        <v>0</v>
      </c>
      <c r="W2810" s="50">
        <f>IFERROR(Tabla1[[#This Row],[Fatalities]]/Tabla1[[#This Row],[Aboard]],0)</f>
        <v>1</v>
      </c>
      <c r="X2810" s="51" t="str" cm="1">
        <f t="array" ref="X2810">_xlfn.IFS(Tabla1[[#This Row],[Porcentaje de muertes]]&lt;0.35,"LEVE",AND(Tabla1[[#This Row],[Porcentaje de muertes]]&gt;0.35,Tabla1[[#This Row],[Porcentaje de muertes]]&lt;0.65),"MEDIO",Tabla1[[#This Row],[Porcentaje de muertes]]&gt;0.65,"GRAVE")</f>
        <v>GRAVE</v>
      </c>
    </row>
    <row r="2811" spans="2:24" x14ac:dyDescent="0.3">
      <c r="B2811" s="9">
        <v>2810</v>
      </c>
      <c r="C2811" s="49">
        <v>27715</v>
      </c>
      <c r="D2811" s="9">
        <f>YEAR(Tabla1[[#This Row],[Date]])</f>
        <v>1975</v>
      </c>
      <c r="E2811" s="9" t="str" cm="1">
        <f t="array" ref="E2811">IFERROR(_xlfn.IFS(AND(D2811&lt;1980,D2811&gt;=1970),"70",AND(D2811&lt;1990,D2811&gt;=1980),"80",AND(D2811&lt;2000,D2811&gt;=1990),"90",AND(D2811&lt;2010,D2811&gt;=2000),"00",AND(D2811&lt;=2019,D2811&gt;=2010),"10"),"1908-1970")</f>
        <v>70</v>
      </c>
      <c r="F2811" s="3">
        <v>0.92638888888888893</v>
      </c>
      <c r="G2811" t="s">
        <v>17474</v>
      </c>
      <c r="H2811" t="s">
        <v>6541</v>
      </c>
      <c r="I2811">
        <v>6274</v>
      </c>
      <c r="J2811" t="s">
        <v>17475</v>
      </c>
      <c r="K2811" t="s">
        <v>14340</v>
      </c>
      <c r="L2811" s="7" t="s">
        <v>17476</v>
      </c>
      <c r="M2811">
        <v>27307905</v>
      </c>
      <c r="N2811">
        <v>38</v>
      </c>
      <c r="O2811">
        <v>33</v>
      </c>
      <c r="P2811">
        <v>5</v>
      </c>
      <c r="Q2811">
        <v>38</v>
      </c>
      <c r="R2811">
        <v>33</v>
      </c>
      <c r="S2811">
        <v>5</v>
      </c>
      <c r="T2811">
        <v>0</v>
      </c>
      <c r="U2811" t="s">
        <v>17477</v>
      </c>
      <c r="V2811">
        <f>Tabla1[[#This Row],[Aboard]]-Tabla1[[#This Row],[Fatalities]]</f>
        <v>0</v>
      </c>
      <c r="W2811" s="50">
        <f>IFERROR(Tabla1[[#This Row],[Fatalities]]/Tabla1[[#This Row],[Aboard]],0)</f>
        <v>1</v>
      </c>
      <c r="X2811" s="51" t="str" cm="1">
        <f t="array" ref="X2811">_xlfn.IFS(Tabla1[[#This Row],[Porcentaje de muertes]]&lt;0.35,"LEVE",AND(Tabla1[[#This Row],[Porcentaje de muertes]]&gt;0.35,Tabla1[[#This Row],[Porcentaje de muertes]]&lt;0.65),"MEDIO",Tabla1[[#This Row],[Porcentaje de muertes]]&gt;0.65,"GRAVE")</f>
        <v>GRAVE</v>
      </c>
    </row>
    <row r="2812" spans="2:24" x14ac:dyDescent="0.3">
      <c r="B2812" s="9">
        <v>2811</v>
      </c>
      <c r="C2812" s="49">
        <v>27716</v>
      </c>
      <c r="D2812" s="9">
        <f>YEAR(Tabla1[[#This Row],[Date]])</f>
        <v>1975</v>
      </c>
      <c r="E2812" s="9" t="str" cm="1">
        <f t="array" ref="E2812">IFERROR(_xlfn.IFS(AND(D2812&lt;1980,D2812&gt;=1970),"70",AND(D2812&lt;1990,D2812&gt;=1980),"80",AND(D2812&lt;2000,D2812&gt;=1990),"90",AND(D2812&lt;2010,D2812&gt;=2000),"00",AND(D2812&lt;=2019,D2812&gt;=2010),"10"),"1908-1970")</f>
        <v>70</v>
      </c>
      <c r="F2812" s="3" t="s">
        <v>28931</v>
      </c>
      <c r="G2812" t="s">
        <v>17478</v>
      </c>
      <c r="H2812" t="s">
        <v>11155</v>
      </c>
      <c r="I2812" t="s">
        <v>28931</v>
      </c>
      <c r="J2812" t="s">
        <v>17479</v>
      </c>
      <c r="K2812" t="s">
        <v>7057</v>
      </c>
      <c r="L2812" s="7" t="s">
        <v>17480</v>
      </c>
      <c r="M2812">
        <v>6142</v>
      </c>
      <c r="N2812">
        <v>22</v>
      </c>
      <c r="O2812">
        <v>18</v>
      </c>
      <c r="P2812">
        <v>4</v>
      </c>
      <c r="Q2812">
        <v>15</v>
      </c>
      <c r="R2812">
        <v>11</v>
      </c>
      <c r="S2812">
        <v>4</v>
      </c>
      <c r="T2812">
        <v>0</v>
      </c>
      <c r="U2812" t="s">
        <v>17481</v>
      </c>
      <c r="V2812">
        <f>Tabla1[[#This Row],[Aboard]]-Tabla1[[#This Row],[Fatalities]]</f>
        <v>7</v>
      </c>
      <c r="W2812" s="50">
        <f>IFERROR(Tabla1[[#This Row],[Fatalities]]/Tabla1[[#This Row],[Aboard]],0)</f>
        <v>0.68181818181818177</v>
      </c>
      <c r="X2812" s="51" t="str" cm="1">
        <f t="array" ref="X2812">_xlfn.IFS(Tabla1[[#This Row],[Porcentaje de muertes]]&lt;0.35,"LEVE",AND(Tabla1[[#This Row],[Porcentaje de muertes]]&gt;0.35,Tabla1[[#This Row],[Porcentaje de muertes]]&lt;0.65),"MEDIO",Tabla1[[#This Row],[Porcentaje de muertes]]&gt;0.65,"GRAVE")</f>
        <v>GRAVE</v>
      </c>
    </row>
    <row r="2813" spans="2:24" x14ac:dyDescent="0.3">
      <c r="B2813" s="9">
        <v>2812</v>
      </c>
      <c r="C2813" s="49">
        <v>27718</v>
      </c>
      <c r="D2813" s="9">
        <f>YEAR(Tabla1[[#This Row],[Date]])</f>
        <v>1975</v>
      </c>
      <c r="E2813" s="9" t="str" cm="1">
        <f t="array" ref="E2813">IFERROR(_xlfn.IFS(AND(D2813&lt;1980,D2813&gt;=1970),"70",AND(D2813&lt;1990,D2813&gt;=1980),"80",AND(D2813&lt;2000,D2813&gt;=1990),"90",AND(D2813&lt;2010,D2813&gt;=2000),"00",AND(D2813&lt;=2019,D2813&gt;=2010),"10"),"1908-1970")</f>
        <v>70</v>
      </c>
      <c r="F2813" s="3">
        <v>0.81805555555555554</v>
      </c>
      <c r="G2813" t="s">
        <v>17482</v>
      </c>
      <c r="H2813" t="s">
        <v>6541</v>
      </c>
      <c r="I2813">
        <v>7950</v>
      </c>
      <c r="J2813" t="s">
        <v>17483</v>
      </c>
      <c r="K2813" t="s">
        <v>14340</v>
      </c>
      <c r="L2813" s="7" t="s">
        <v>17484</v>
      </c>
      <c r="M2813">
        <v>97305708</v>
      </c>
      <c r="N2813">
        <v>50</v>
      </c>
      <c r="O2813">
        <v>46</v>
      </c>
      <c r="P2813">
        <v>4</v>
      </c>
      <c r="Q2813">
        <v>19</v>
      </c>
      <c r="R2813">
        <v>18</v>
      </c>
      <c r="S2813">
        <v>1</v>
      </c>
      <c r="T2813">
        <v>0</v>
      </c>
      <c r="U2813" t="s">
        <v>17485</v>
      </c>
      <c r="V2813">
        <f>Tabla1[[#This Row],[Aboard]]-Tabla1[[#This Row],[Fatalities]]</f>
        <v>31</v>
      </c>
      <c r="W2813" s="50">
        <f>IFERROR(Tabla1[[#This Row],[Fatalities]]/Tabla1[[#This Row],[Aboard]],0)</f>
        <v>0.38</v>
      </c>
      <c r="X2813" s="51" t="str" cm="1">
        <f t="array" ref="X2813">_xlfn.IFS(Tabla1[[#This Row],[Porcentaje de muertes]]&lt;0.35,"LEVE",AND(Tabla1[[#This Row],[Porcentaje de muertes]]&gt;0.35,Tabla1[[#This Row],[Porcentaje de muertes]]&lt;0.65),"MEDIO",Tabla1[[#This Row],[Porcentaje de muertes]]&gt;0.65,"GRAVE")</f>
        <v>MEDIO</v>
      </c>
    </row>
    <row r="2814" spans="2:24" x14ac:dyDescent="0.3">
      <c r="B2814" s="9">
        <v>2813</v>
      </c>
      <c r="C2814" s="49">
        <v>27720</v>
      </c>
      <c r="D2814" s="9">
        <f>YEAR(Tabla1[[#This Row],[Date]])</f>
        <v>1975</v>
      </c>
      <c r="E2814" s="9" t="str" cm="1">
        <f t="array" ref="E2814">IFERROR(_xlfn.IFS(AND(D2814&lt;1980,D2814&gt;=1970),"70",AND(D2814&lt;1990,D2814&gt;=1980),"80",AND(D2814&lt;2000,D2814&gt;=1990),"90",AND(D2814&lt;2010,D2814&gt;=2000),"00",AND(D2814&lt;=2019,D2814&gt;=2010),"10"),"1908-1970")</f>
        <v>70</v>
      </c>
      <c r="F2814" s="3" t="s">
        <v>28931</v>
      </c>
      <c r="G2814" t="s">
        <v>13561</v>
      </c>
      <c r="H2814" t="s">
        <v>16075</v>
      </c>
      <c r="I2814" t="s">
        <v>28931</v>
      </c>
      <c r="J2814" t="s">
        <v>10850</v>
      </c>
      <c r="K2814" t="s">
        <v>14666</v>
      </c>
      <c r="L2814" s="7" t="s">
        <v>17486</v>
      </c>
      <c r="M2814">
        <v>67302707</v>
      </c>
      <c r="N2814">
        <v>48</v>
      </c>
      <c r="O2814">
        <v>45</v>
      </c>
      <c r="P2814">
        <v>3</v>
      </c>
      <c r="Q2814">
        <v>3</v>
      </c>
      <c r="R2814">
        <v>2</v>
      </c>
      <c r="S2814">
        <v>1</v>
      </c>
      <c r="T2814">
        <v>0</v>
      </c>
      <c r="U2814" t="s">
        <v>17487</v>
      </c>
      <c r="V2814">
        <f>Tabla1[[#This Row],[Aboard]]-Tabla1[[#This Row],[Fatalities]]</f>
        <v>45</v>
      </c>
      <c r="W2814" s="50">
        <f>IFERROR(Tabla1[[#This Row],[Fatalities]]/Tabla1[[#This Row],[Aboard]],0)</f>
        <v>6.25E-2</v>
      </c>
      <c r="X2814" s="51" t="str" cm="1">
        <f t="array" ref="X2814">_xlfn.IFS(Tabla1[[#This Row],[Porcentaje de muertes]]&lt;0.35,"LEVE",AND(Tabla1[[#This Row],[Porcentaje de muertes]]&gt;0.35,Tabla1[[#This Row],[Porcentaje de muertes]]&lt;0.65),"MEDIO",Tabla1[[#This Row],[Porcentaje de muertes]]&gt;0.65,"GRAVE")</f>
        <v>LEVE</v>
      </c>
    </row>
    <row r="2815" spans="2:24" x14ac:dyDescent="0.3">
      <c r="B2815" s="9">
        <v>2814</v>
      </c>
      <c r="C2815" s="49">
        <v>27723</v>
      </c>
      <c r="D2815" s="9">
        <f>YEAR(Tabla1[[#This Row],[Date]])</f>
        <v>1975</v>
      </c>
      <c r="E2815" s="9" t="str" cm="1">
        <f t="array" ref="E2815">IFERROR(_xlfn.IFS(AND(D2815&lt;1980,D2815&gt;=1970),"70",AND(D2815&lt;1990,D2815&gt;=1980),"80",AND(D2815&lt;2000,D2815&gt;=1990),"90",AND(D2815&lt;2010,D2815&gt;=2000),"00",AND(D2815&lt;=2019,D2815&gt;=2010),"10"),"1908-1970")</f>
        <v>70</v>
      </c>
      <c r="F2815" s="3">
        <v>0.78472222222222221</v>
      </c>
      <c r="G2815" t="s">
        <v>17488</v>
      </c>
      <c r="H2815" t="s">
        <v>17489</v>
      </c>
      <c r="I2815" t="s">
        <v>28931</v>
      </c>
      <c r="J2815" t="s">
        <v>28931</v>
      </c>
      <c r="K2815" t="s">
        <v>17490</v>
      </c>
      <c r="L2815" s="7">
        <v>11</v>
      </c>
      <c r="M2815" t="s">
        <v>28931</v>
      </c>
      <c r="N2815">
        <v>20</v>
      </c>
      <c r="O2815">
        <v>11</v>
      </c>
      <c r="P2815">
        <v>9</v>
      </c>
      <c r="Q2815">
        <v>20</v>
      </c>
      <c r="R2815">
        <v>11</v>
      </c>
      <c r="S2815">
        <v>9</v>
      </c>
      <c r="T2815">
        <v>0</v>
      </c>
      <c r="U2815" t="s">
        <v>17491</v>
      </c>
      <c r="V2815">
        <f>Tabla1[[#This Row],[Aboard]]-Tabla1[[#This Row],[Fatalities]]</f>
        <v>0</v>
      </c>
      <c r="W2815" s="50">
        <f>IFERROR(Tabla1[[#This Row],[Fatalities]]/Tabla1[[#This Row],[Aboard]],0)</f>
        <v>1</v>
      </c>
      <c r="X2815" s="51" t="str" cm="1">
        <f t="array" ref="X2815">_xlfn.IFS(Tabla1[[#This Row],[Porcentaje de muertes]]&lt;0.35,"LEVE",AND(Tabla1[[#This Row],[Porcentaje de muertes]]&gt;0.35,Tabla1[[#This Row],[Porcentaje de muertes]]&lt;0.65),"MEDIO",Tabla1[[#This Row],[Porcentaje de muertes]]&gt;0.65,"GRAVE")</f>
        <v>GRAVE</v>
      </c>
    </row>
    <row r="2816" spans="2:24" x14ac:dyDescent="0.3">
      <c r="B2816" s="9">
        <v>2815</v>
      </c>
      <c r="C2816" s="49">
        <v>27727</v>
      </c>
      <c r="D2816" s="9">
        <f>YEAR(Tabla1[[#This Row],[Date]])</f>
        <v>1975</v>
      </c>
      <c r="E2816" s="9" t="str" cm="1">
        <f t="array" ref="E2816">IFERROR(_xlfn.IFS(AND(D2816&lt;1980,D2816&gt;=1970),"70",AND(D2816&lt;1990,D2816&gt;=1980),"80",AND(D2816&lt;2000,D2816&gt;=1990),"90",AND(D2816&lt;2010,D2816&gt;=2000),"00",AND(D2816&lt;=2019,D2816&gt;=2010),"10"),"1908-1970")</f>
        <v>70</v>
      </c>
      <c r="F2816" s="3" t="s">
        <v>28931</v>
      </c>
      <c r="G2816" t="s">
        <v>17492</v>
      </c>
      <c r="H2816" t="s">
        <v>5032</v>
      </c>
      <c r="I2816" t="s">
        <v>28931</v>
      </c>
      <c r="J2816" t="s">
        <v>28931</v>
      </c>
      <c r="K2816" t="s">
        <v>17493</v>
      </c>
      <c r="L2816" s="7" t="s">
        <v>17494</v>
      </c>
      <c r="M2816" t="s">
        <v>17495</v>
      </c>
      <c r="N2816">
        <v>6</v>
      </c>
      <c r="O2816">
        <v>5</v>
      </c>
      <c r="P2816">
        <v>1</v>
      </c>
      <c r="Q2816">
        <v>6</v>
      </c>
      <c r="R2816">
        <v>5</v>
      </c>
      <c r="S2816">
        <v>1</v>
      </c>
      <c r="T2816">
        <v>0</v>
      </c>
      <c r="U2816" t="s">
        <v>17496</v>
      </c>
      <c r="V2816">
        <f>Tabla1[[#This Row],[Aboard]]-Tabla1[[#This Row],[Fatalities]]</f>
        <v>0</v>
      </c>
      <c r="W2816" s="50">
        <f>IFERROR(Tabla1[[#This Row],[Fatalities]]/Tabla1[[#This Row],[Aboard]],0)</f>
        <v>1</v>
      </c>
      <c r="X2816" s="51" t="str" cm="1">
        <f t="array" ref="X2816">_xlfn.IFS(Tabla1[[#This Row],[Porcentaje de muertes]]&lt;0.35,"LEVE",AND(Tabla1[[#This Row],[Porcentaje de muertes]]&gt;0.35,Tabla1[[#This Row],[Porcentaje de muertes]]&lt;0.65),"MEDIO",Tabla1[[#This Row],[Porcentaje de muertes]]&gt;0.65,"GRAVE")</f>
        <v>GRAVE</v>
      </c>
    </row>
    <row r="2817" spans="2:24" x14ac:dyDescent="0.3">
      <c r="B2817" s="9">
        <v>2816</v>
      </c>
      <c r="C2817" s="49">
        <v>27754</v>
      </c>
      <c r="D2817" s="9">
        <f>YEAR(Tabla1[[#This Row],[Date]])</f>
        <v>1975</v>
      </c>
      <c r="E2817" s="9" t="str" cm="1">
        <f t="array" ref="E2817">IFERROR(_xlfn.IFS(AND(D2817&lt;1980,D2817&gt;=1970),"70",AND(D2817&lt;1990,D2817&gt;=1980),"80",AND(D2817&lt;2000,D2817&gt;=1990),"90",AND(D2817&lt;2010,D2817&gt;=2000),"00",AND(D2817&lt;=2019,D2817&gt;=2010),"10"),"1908-1970")</f>
        <v>70</v>
      </c>
      <c r="F2817" s="3">
        <v>0.61736111111111114</v>
      </c>
      <c r="G2817" t="s">
        <v>17497</v>
      </c>
      <c r="H2817" t="s">
        <v>17498</v>
      </c>
      <c r="I2817" t="s">
        <v>28931</v>
      </c>
      <c r="J2817" t="s">
        <v>17499</v>
      </c>
      <c r="K2817" t="s">
        <v>17500</v>
      </c>
      <c r="L2817" s="7" t="s">
        <v>17501</v>
      </c>
      <c r="M2817" t="s">
        <v>28931</v>
      </c>
      <c r="N2817">
        <v>9</v>
      </c>
      <c r="O2817">
        <v>8</v>
      </c>
      <c r="P2817">
        <v>1</v>
      </c>
      <c r="Q2817">
        <v>9</v>
      </c>
      <c r="R2817">
        <v>8</v>
      </c>
      <c r="S2817">
        <v>1</v>
      </c>
      <c r="T2817">
        <v>0</v>
      </c>
      <c r="U2817" t="s">
        <v>17502</v>
      </c>
      <c r="V2817">
        <f>Tabla1[[#This Row],[Aboard]]-Tabla1[[#This Row],[Fatalities]]</f>
        <v>0</v>
      </c>
      <c r="W2817" s="50">
        <f>IFERROR(Tabla1[[#This Row],[Fatalities]]/Tabla1[[#This Row],[Aboard]],0)</f>
        <v>1</v>
      </c>
      <c r="X2817" s="51" t="str" cm="1">
        <f t="array" ref="X2817">_xlfn.IFS(Tabla1[[#This Row],[Porcentaje de muertes]]&lt;0.35,"LEVE",AND(Tabla1[[#This Row],[Porcentaje de muertes]]&gt;0.35,Tabla1[[#This Row],[Porcentaje de muertes]]&lt;0.65),"MEDIO",Tabla1[[#This Row],[Porcentaje de muertes]]&gt;0.65,"GRAVE")</f>
        <v>GRAVE</v>
      </c>
    </row>
    <row r="2818" spans="2:24" x14ac:dyDescent="0.3">
      <c r="B2818" s="9">
        <v>2817</v>
      </c>
      <c r="C2818" s="49">
        <v>27760</v>
      </c>
      <c r="D2818" s="9">
        <f>YEAR(Tabla1[[#This Row],[Date]])</f>
        <v>1976</v>
      </c>
      <c r="E2818" s="9" t="str" cm="1">
        <f t="array" ref="E2818">IFERROR(_xlfn.IFS(AND(D2818&lt;1980,D2818&gt;=1970),"70",AND(D2818&lt;1990,D2818&gt;=1980),"80",AND(D2818&lt;2000,D2818&gt;=1990),"90",AND(D2818&lt;2010,D2818&gt;=2000),"00",AND(D2818&lt;=2019,D2818&gt;=2010),"10"),"1908-1970")</f>
        <v>70</v>
      </c>
      <c r="F2818" s="3">
        <v>0.22916666666666666</v>
      </c>
      <c r="G2818" t="s">
        <v>17503</v>
      </c>
      <c r="H2818" t="s">
        <v>12479</v>
      </c>
      <c r="I2818">
        <v>438</v>
      </c>
      <c r="J2818" t="s">
        <v>17504</v>
      </c>
      <c r="K2818" t="s">
        <v>17505</v>
      </c>
      <c r="L2818" s="7" t="s">
        <v>17506</v>
      </c>
      <c r="M2818" t="s">
        <v>17507</v>
      </c>
      <c r="N2818">
        <v>82</v>
      </c>
      <c r="O2818">
        <v>67</v>
      </c>
      <c r="P2818">
        <v>15</v>
      </c>
      <c r="Q2818">
        <v>82</v>
      </c>
      <c r="R2818">
        <v>67</v>
      </c>
      <c r="S2818">
        <v>15</v>
      </c>
      <c r="T2818">
        <v>0</v>
      </c>
      <c r="U2818" t="s">
        <v>17508</v>
      </c>
      <c r="V2818">
        <f>Tabla1[[#This Row],[Aboard]]-Tabla1[[#This Row],[Fatalities]]</f>
        <v>0</v>
      </c>
      <c r="W2818" s="50">
        <f>IFERROR(Tabla1[[#This Row],[Fatalities]]/Tabla1[[#This Row],[Aboard]],0)</f>
        <v>1</v>
      </c>
      <c r="X2818" s="51" t="str" cm="1">
        <f t="array" ref="X2818">_xlfn.IFS(Tabla1[[#This Row],[Porcentaje de muertes]]&lt;0.35,"LEVE",AND(Tabla1[[#This Row],[Porcentaje de muertes]]&gt;0.35,Tabla1[[#This Row],[Porcentaje de muertes]]&lt;0.65),"MEDIO",Tabla1[[#This Row],[Porcentaje de muertes]]&gt;0.65,"GRAVE")</f>
        <v>GRAVE</v>
      </c>
    </row>
    <row r="2819" spans="2:24" x14ac:dyDescent="0.3">
      <c r="B2819" s="9">
        <v>2818</v>
      </c>
      <c r="C2819" s="49">
        <v>27820</v>
      </c>
      <c r="D2819" s="9">
        <f>YEAR(Tabla1[[#This Row],[Date]])</f>
        <v>1976</v>
      </c>
      <c r="E2819" s="9" t="str" cm="1">
        <f t="array" ref="E2819">IFERROR(_xlfn.IFS(AND(D2819&lt;1980,D2819&gt;=1970),"70",AND(D2819&lt;1990,D2819&gt;=1980),"80",AND(D2819&lt;2000,D2819&gt;=1990),"90",AND(D2819&lt;2010,D2819&gt;=2000),"00",AND(D2819&lt;=2019,D2819&gt;=2010),"10"),"1908-1970")</f>
        <v>70</v>
      </c>
      <c r="F2819" s="3">
        <v>0.74861111111111101</v>
      </c>
      <c r="G2819" t="s">
        <v>16022</v>
      </c>
      <c r="H2819" t="s">
        <v>17509</v>
      </c>
      <c r="I2819" t="s">
        <v>28931</v>
      </c>
      <c r="J2819" t="s">
        <v>17510</v>
      </c>
      <c r="K2819" t="s">
        <v>17511</v>
      </c>
      <c r="L2819" s="7" t="s">
        <v>17512</v>
      </c>
      <c r="M2819">
        <v>125</v>
      </c>
      <c r="N2819">
        <v>6</v>
      </c>
      <c r="O2819">
        <v>4</v>
      </c>
      <c r="P2819">
        <v>2</v>
      </c>
      <c r="Q2819">
        <v>6</v>
      </c>
      <c r="R2819">
        <v>4</v>
      </c>
      <c r="S2819">
        <v>2</v>
      </c>
      <c r="T2819">
        <v>0</v>
      </c>
      <c r="U2819" t="s">
        <v>17513</v>
      </c>
      <c r="V2819">
        <f>Tabla1[[#This Row],[Aboard]]-Tabla1[[#This Row],[Fatalities]]</f>
        <v>0</v>
      </c>
      <c r="W2819" s="50">
        <f>IFERROR(Tabla1[[#This Row],[Fatalities]]/Tabla1[[#This Row],[Aboard]],0)</f>
        <v>1</v>
      </c>
      <c r="X2819" s="51" t="str" cm="1">
        <f t="array" ref="X2819">_xlfn.IFS(Tabla1[[#This Row],[Porcentaje de muertes]]&lt;0.35,"LEVE",AND(Tabla1[[#This Row],[Porcentaje de muertes]]&gt;0.35,Tabla1[[#This Row],[Porcentaje de muertes]]&lt;0.65),"MEDIO",Tabla1[[#This Row],[Porcentaje de muertes]]&gt;0.65,"GRAVE")</f>
        <v>GRAVE</v>
      </c>
    </row>
    <row r="2820" spans="2:24" x14ac:dyDescent="0.3">
      <c r="B2820" s="9">
        <v>2819</v>
      </c>
      <c r="C2820" s="49">
        <v>27820</v>
      </c>
      <c r="D2820" s="9">
        <f>YEAR(Tabla1[[#This Row],[Date]])</f>
        <v>1976</v>
      </c>
      <c r="E2820" s="9" t="str" cm="1">
        <f t="array" ref="E2820">IFERROR(_xlfn.IFS(AND(D2820&lt;1980,D2820&gt;=1970),"70",AND(D2820&lt;1990,D2820&gt;=1980),"80",AND(D2820&lt;2000,D2820&gt;=1990),"90",AND(D2820&lt;2010,D2820&gt;=2000),"00",AND(D2820&lt;=2019,D2820&gt;=2010),"10"),"1908-1970")</f>
        <v>70</v>
      </c>
      <c r="F2820" s="3">
        <v>0.4201388888888889</v>
      </c>
      <c r="G2820" t="s">
        <v>10681</v>
      </c>
      <c r="H2820" t="s">
        <v>6541</v>
      </c>
      <c r="I2820">
        <v>2003</v>
      </c>
      <c r="J2820" t="s">
        <v>17514</v>
      </c>
      <c r="K2820" t="s">
        <v>14520</v>
      </c>
      <c r="L2820" s="7" t="s">
        <v>17515</v>
      </c>
      <c r="M2820">
        <v>3351001</v>
      </c>
      <c r="N2820">
        <v>61</v>
      </c>
      <c r="O2820">
        <v>56</v>
      </c>
      <c r="P2820">
        <v>5</v>
      </c>
      <c r="Q2820">
        <v>61</v>
      </c>
      <c r="R2820">
        <v>56</v>
      </c>
      <c r="S2820">
        <v>5</v>
      </c>
      <c r="T2820">
        <v>1</v>
      </c>
      <c r="U2820" t="s">
        <v>17516</v>
      </c>
      <c r="V2820">
        <f>Tabla1[[#This Row],[Aboard]]-Tabla1[[#This Row],[Fatalities]]</f>
        <v>0</v>
      </c>
      <c r="W2820" s="50">
        <f>IFERROR(Tabla1[[#This Row],[Fatalities]]/Tabla1[[#This Row],[Aboard]],0)</f>
        <v>1</v>
      </c>
      <c r="X2820" s="51" t="str" cm="1">
        <f t="array" ref="X2820">_xlfn.IFS(Tabla1[[#This Row],[Porcentaje de muertes]]&lt;0.35,"LEVE",AND(Tabla1[[#This Row],[Porcentaje de muertes]]&gt;0.35,Tabla1[[#This Row],[Porcentaje de muertes]]&lt;0.65),"MEDIO",Tabla1[[#This Row],[Porcentaje de muertes]]&gt;0.65,"GRAVE")</f>
        <v>GRAVE</v>
      </c>
    </row>
    <row r="2821" spans="2:24" x14ac:dyDescent="0.3">
      <c r="B2821" s="9">
        <v>2820</v>
      </c>
      <c r="C2821" s="49">
        <v>27973</v>
      </c>
      <c r="D2821" s="9">
        <f>YEAR(Tabla1[[#This Row],[Date]])</f>
        <v>1976</v>
      </c>
      <c r="E2821" s="9" t="str" cm="1">
        <f t="array" ref="E2821">IFERROR(_xlfn.IFS(AND(D2821&lt;1980,D2821&gt;=1970),"70",AND(D2821&lt;1990,D2821&gt;=1980),"80",AND(D2821&lt;2000,D2821&gt;=1990),"90",AND(D2821&lt;2010,D2821&gt;=2000),"00",AND(D2821&lt;=2019,D2821&gt;=2010),"10"),"1908-1970")</f>
        <v>70</v>
      </c>
      <c r="F2821" s="3" t="s">
        <v>28931</v>
      </c>
      <c r="G2821" t="s">
        <v>17517</v>
      </c>
      <c r="H2821" t="s">
        <v>17518</v>
      </c>
      <c r="I2821" t="s">
        <v>28931</v>
      </c>
      <c r="J2821" t="s">
        <v>28931</v>
      </c>
      <c r="K2821" t="s">
        <v>17519</v>
      </c>
      <c r="L2821" s="7" t="s">
        <v>17520</v>
      </c>
      <c r="M2821">
        <v>439</v>
      </c>
      <c r="N2821">
        <v>7</v>
      </c>
      <c r="O2821">
        <v>6</v>
      </c>
      <c r="P2821">
        <v>1</v>
      </c>
      <c r="Q2821">
        <v>7</v>
      </c>
      <c r="R2821">
        <v>6</v>
      </c>
      <c r="S2821">
        <v>1</v>
      </c>
      <c r="T2821">
        <v>0</v>
      </c>
      <c r="U2821" t="s">
        <v>5274</v>
      </c>
      <c r="V2821">
        <f>Tabla1[[#This Row],[Aboard]]-Tabla1[[#This Row],[Fatalities]]</f>
        <v>0</v>
      </c>
      <c r="W2821" s="50">
        <f>IFERROR(Tabla1[[#This Row],[Fatalities]]/Tabla1[[#This Row],[Aboard]],0)</f>
        <v>1</v>
      </c>
      <c r="X2821" s="51" t="str" cm="1">
        <f t="array" ref="X2821">_xlfn.IFS(Tabla1[[#This Row],[Porcentaje de muertes]]&lt;0.35,"LEVE",AND(Tabla1[[#This Row],[Porcentaje de muertes]]&gt;0.35,Tabla1[[#This Row],[Porcentaje de muertes]]&lt;0.65),"MEDIO",Tabla1[[#This Row],[Porcentaje de muertes]]&gt;0.65,"GRAVE")</f>
        <v>GRAVE</v>
      </c>
    </row>
    <row r="2822" spans="2:24" x14ac:dyDescent="0.3">
      <c r="B2822" s="9">
        <v>2821</v>
      </c>
      <c r="C2822" s="49">
        <v>27777</v>
      </c>
      <c r="D2822" s="9">
        <f>YEAR(Tabla1[[#This Row],[Date]])</f>
        <v>1976</v>
      </c>
      <c r="E2822" s="9" t="str" cm="1">
        <f t="array" ref="E2822">IFERROR(_xlfn.IFS(AND(D2822&lt;1980,D2822&gt;=1970),"70",AND(D2822&lt;1990,D2822&gt;=1980),"80",AND(D2822&lt;2000,D2822&gt;=1990),"90",AND(D2822&lt;2010,D2822&gt;=2000),"00",AND(D2822&lt;=2019,D2822&gt;=2010),"10"),"1908-1970")</f>
        <v>70</v>
      </c>
      <c r="F2822" s="3">
        <v>0.65555555555555556</v>
      </c>
      <c r="G2822" t="s">
        <v>17521</v>
      </c>
      <c r="H2822" t="s">
        <v>17522</v>
      </c>
      <c r="I2822" t="s">
        <v>28931</v>
      </c>
      <c r="J2822" t="s">
        <v>28931</v>
      </c>
      <c r="K2822" t="s">
        <v>7826</v>
      </c>
      <c r="L2822" s="7" t="s">
        <v>17523</v>
      </c>
      <c r="M2822">
        <v>4682</v>
      </c>
      <c r="N2822">
        <v>10</v>
      </c>
      <c r="O2822">
        <v>7</v>
      </c>
      <c r="P2822">
        <v>3</v>
      </c>
      <c r="Q2822">
        <v>7</v>
      </c>
      <c r="R2822">
        <v>4</v>
      </c>
      <c r="S2822">
        <v>3</v>
      </c>
      <c r="T2822">
        <v>0</v>
      </c>
      <c r="U2822" t="s">
        <v>17524</v>
      </c>
      <c r="V2822">
        <f>Tabla1[[#This Row],[Aboard]]-Tabla1[[#This Row],[Fatalities]]</f>
        <v>3</v>
      </c>
      <c r="W2822" s="50">
        <f>IFERROR(Tabla1[[#This Row],[Fatalities]]/Tabla1[[#This Row],[Aboard]],0)</f>
        <v>0.7</v>
      </c>
      <c r="X2822" s="51" t="str" cm="1">
        <f t="array" ref="X2822">_xlfn.IFS(Tabla1[[#This Row],[Porcentaje de muertes]]&lt;0.35,"LEVE",AND(Tabla1[[#This Row],[Porcentaje de muertes]]&gt;0.35,Tabla1[[#This Row],[Porcentaje de muertes]]&lt;0.65),"MEDIO",Tabla1[[#This Row],[Porcentaje de muertes]]&gt;0.65,"GRAVE")</f>
        <v>GRAVE</v>
      </c>
    </row>
    <row r="2823" spans="2:24" x14ac:dyDescent="0.3">
      <c r="B2823" s="9">
        <v>2822</v>
      </c>
      <c r="C2823" s="49">
        <v>27779</v>
      </c>
      <c r="D2823" s="9">
        <f>YEAR(Tabla1[[#This Row],[Date]])</f>
        <v>1976</v>
      </c>
      <c r="E2823" s="9" t="str" cm="1">
        <f t="array" ref="E2823">IFERROR(_xlfn.IFS(AND(D2823&lt;1980,D2823&gt;=1970),"70",AND(D2823&lt;1990,D2823&gt;=1980),"80",AND(D2823&lt;2000,D2823&gt;=1990),"90",AND(D2823&lt;2010,D2823&gt;=2000),"00",AND(D2823&lt;=2019,D2823&gt;=2010),"10"),"1908-1970")</f>
        <v>70</v>
      </c>
      <c r="F2823" s="3">
        <v>0.30208333333333331</v>
      </c>
      <c r="G2823" t="s">
        <v>17525</v>
      </c>
      <c r="H2823" t="s">
        <v>17526</v>
      </c>
      <c r="I2823" t="s">
        <v>28931</v>
      </c>
      <c r="J2823" t="s">
        <v>17527</v>
      </c>
      <c r="K2823" t="s">
        <v>17528</v>
      </c>
      <c r="L2823" s="7" t="s">
        <v>17529</v>
      </c>
      <c r="M2823">
        <v>1683</v>
      </c>
      <c r="N2823">
        <v>42</v>
      </c>
      <c r="O2823">
        <v>36</v>
      </c>
      <c r="P2823">
        <v>6</v>
      </c>
      <c r="Q2823">
        <v>34</v>
      </c>
      <c r="R2823">
        <v>28</v>
      </c>
      <c r="S2823">
        <v>6</v>
      </c>
      <c r="T2823">
        <v>0</v>
      </c>
      <c r="U2823" t="s">
        <v>17530</v>
      </c>
      <c r="V2823">
        <f>Tabla1[[#This Row],[Aboard]]-Tabla1[[#This Row],[Fatalities]]</f>
        <v>8</v>
      </c>
      <c r="W2823" s="50">
        <f>IFERROR(Tabla1[[#This Row],[Fatalities]]/Tabla1[[#This Row],[Aboard]],0)</f>
        <v>0.80952380952380953</v>
      </c>
      <c r="X2823" s="51" t="str" cm="1">
        <f t="array" ref="X2823">_xlfn.IFS(Tabla1[[#This Row],[Porcentaje de muertes]]&lt;0.35,"LEVE",AND(Tabla1[[#This Row],[Porcentaje de muertes]]&gt;0.35,Tabla1[[#This Row],[Porcentaje de muertes]]&lt;0.65),"MEDIO",Tabla1[[#This Row],[Porcentaje de muertes]]&gt;0.65,"GRAVE")</f>
        <v>GRAVE</v>
      </c>
    </row>
    <row r="2824" spans="2:24" x14ac:dyDescent="0.3">
      <c r="B2824" s="9">
        <v>2823</v>
      </c>
      <c r="C2824" s="49">
        <v>27780</v>
      </c>
      <c r="D2824" s="9">
        <f>YEAR(Tabla1[[#This Row],[Date]])</f>
        <v>1976</v>
      </c>
      <c r="E2824" s="9" t="str" cm="1">
        <f t="array" ref="E2824">IFERROR(_xlfn.IFS(AND(D2824&lt;1980,D2824&gt;=1970),"70",AND(D2824&lt;1990,D2824&gt;=1980),"80",AND(D2824&lt;2000,D2824&gt;=1990),"90",AND(D2824&lt;2010,D2824&gt;=2000),"00",AND(D2824&lt;=2019,D2824&gt;=2010),"10"),"1908-1970")</f>
        <v>70</v>
      </c>
      <c r="F2824" s="3" t="s">
        <v>28931</v>
      </c>
      <c r="G2824" t="s">
        <v>8923</v>
      </c>
      <c r="H2824" t="s">
        <v>17531</v>
      </c>
      <c r="I2824" t="s">
        <v>28931</v>
      </c>
      <c r="J2824" t="s">
        <v>17532</v>
      </c>
      <c r="K2824" t="s">
        <v>14340</v>
      </c>
      <c r="L2824" s="7" t="s">
        <v>17533</v>
      </c>
      <c r="M2824" t="s">
        <v>28931</v>
      </c>
      <c r="N2824">
        <v>40</v>
      </c>
      <c r="O2824">
        <v>36</v>
      </c>
      <c r="P2824">
        <v>4</v>
      </c>
      <c r="Q2824">
        <v>40</v>
      </c>
      <c r="R2824">
        <v>36</v>
      </c>
      <c r="S2824">
        <v>4</v>
      </c>
      <c r="T2824">
        <v>0</v>
      </c>
      <c r="U2824" t="s">
        <v>17534</v>
      </c>
      <c r="V2824">
        <f>Tabla1[[#This Row],[Aboard]]-Tabla1[[#This Row],[Fatalities]]</f>
        <v>0</v>
      </c>
      <c r="W2824" s="50">
        <f>IFERROR(Tabla1[[#This Row],[Fatalities]]/Tabla1[[#This Row],[Aboard]],0)</f>
        <v>1</v>
      </c>
      <c r="X2824" s="51" t="str" cm="1">
        <f t="array" ref="X2824">_xlfn.IFS(Tabla1[[#This Row],[Porcentaje de muertes]]&lt;0.35,"LEVE",AND(Tabla1[[#This Row],[Porcentaje de muertes]]&gt;0.35,Tabla1[[#This Row],[Porcentaje de muertes]]&lt;0.65),"MEDIO",Tabla1[[#This Row],[Porcentaje de muertes]]&gt;0.65,"GRAVE")</f>
        <v>GRAVE</v>
      </c>
    </row>
    <row r="2825" spans="2:24" x14ac:dyDescent="0.3">
      <c r="B2825" s="9">
        <v>2824</v>
      </c>
      <c r="C2825" s="49">
        <v>27781</v>
      </c>
      <c r="D2825" s="9">
        <f>YEAR(Tabla1[[#This Row],[Date]])</f>
        <v>1976</v>
      </c>
      <c r="E2825" s="9" t="str" cm="1">
        <f t="array" ref="E2825">IFERROR(_xlfn.IFS(AND(D2825&lt;1980,D2825&gt;=1970),"70",AND(D2825&lt;1990,D2825&gt;=1980),"80",AND(D2825&lt;2000,D2825&gt;=1990),"90",AND(D2825&lt;2010,D2825&gt;=2000),"00",AND(D2825&lt;=2019,D2825&gt;=2010),"10"),"1908-1970")</f>
        <v>70</v>
      </c>
      <c r="F2825" s="3" t="s">
        <v>28931</v>
      </c>
      <c r="G2825" t="s">
        <v>17535</v>
      </c>
      <c r="H2825" t="s">
        <v>17536</v>
      </c>
      <c r="I2825" t="s">
        <v>28931</v>
      </c>
      <c r="J2825" t="s">
        <v>17537</v>
      </c>
      <c r="K2825" t="s">
        <v>17332</v>
      </c>
      <c r="L2825" s="7" t="s">
        <v>17538</v>
      </c>
      <c r="M2825">
        <v>110011</v>
      </c>
      <c r="N2825">
        <v>11</v>
      </c>
      <c r="O2825">
        <v>9</v>
      </c>
      <c r="P2825">
        <v>2</v>
      </c>
      <c r="Q2825">
        <v>9</v>
      </c>
      <c r="R2825">
        <v>7</v>
      </c>
      <c r="S2825">
        <v>2</v>
      </c>
      <c r="T2825">
        <v>0</v>
      </c>
      <c r="U2825" t="s">
        <v>10178</v>
      </c>
      <c r="V2825">
        <f>Tabla1[[#This Row],[Aboard]]-Tabla1[[#This Row],[Fatalities]]</f>
        <v>2</v>
      </c>
      <c r="W2825" s="50">
        <f>IFERROR(Tabla1[[#This Row],[Fatalities]]/Tabla1[[#This Row],[Aboard]],0)</f>
        <v>0.81818181818181823</v>
      </c>
      <c r="X2825" s="51" t="str" cm="1">
        <f t="array" ref="X2825">_xlfn.IFS(Tabla1[[#This Row],[Porcentaje de muertes]]&lt;0.35,"LEVE",AND(Tabla1[[#This Row],[Porcentaje de muertes]]&gt;0.35,Tabla1[[#This Row],[Porcentaje de muertes]]&lt;0.65),"MEDIO",Tabla1[[#This Row],[Porcentaje de muertes]]&gt;0.65,"GRAVE")</f>
        <v>GRAVE</v>
      </c>
    </row>
    <row r="2826" spans="2:24" x14ac:dyDescent="0.3">
      <c r="B2826" s="9">
        <v>2825</v>
      </c>
      <c r="C2826" s="49">
        <v>27852</v>
      </c>
      <c r="D2826" s="9">
        <f>YEAR(Tabla1[[#This Row],[Date]])</f>
        <v>1976</v>
      </c>
      <c r="E2826" s="9" t="str" cm="1">
        <f t="array" ref="E2826">IFERROR(_xlfn.IFS(AND(D2826&lt;1980,D2826&gt;=1970),"70",AND(D2826&lt;1990,D2826&gt;=1980),"80",AND(D2826&lt;2000,D2826&gt;=1990),"90",AND(D2826&lt;2010,D2826&gt;=2000),"00",AND(D2826&lt;=2019,D2826&gt;=2010),"10"),"1908-1970")</f>
        <v>70</v>
      </c>
      <c r="F2826" s="3" t="s">
        <v>28931</v>
      </c>
      <c r="G2826" t="s">
        <v>17539</v>
      </c>
      <c r="H2826" t="s">
        <v>17540</v>
      </c>
      <c r="I2826" t="s">
        <v>28931</v>
      </c>
      <c r="J2826" t="s">
        <v>17541</v>
      </c>
      <c r="K2826" t="s">
        <v>11052</v>
      </c>
      <c r="L2826" s="7" t="s">
        <v>17542</v>
      </c>
      <c r="M2826" t="s">
        <v>17543</v>
      </c>
      <c r="N2826">
        <v>3</v>
      </c>
      <c r="O2826">
        <v>0</v>
      </c>
      <c r="P2826">
        <v>3</v>
      </c>
      <c r="Q2826">
        <v>3</v>
      </c>
      <c r="R2826">
        <v>0</v>
      </c>
      <c r="S2826">
        <v>3</v>
      </c>
      <c r="T2826">
        <v>0</v>
      </c>
      <c r="U2826" t="s">
        <v>17544</v>
      </c>
      <c r="V2826">
        <f>Tabla1[[#This Row],[Aboard]]-Tabla1[[#This Row],[Fatalities]]</f>
        <v>0</v>
      </c>
      <c r="W2826" s="50">
        <f>IFERROR(Tabla1[[#This Row],[Fatalities]]/Tabla1[[#This Row],[Aboard]],0)</f>
        <v>1</v>
      </c>
      <c r="X2826" s="51" t="str" cm="1">
        <f t="array" ref="X2826">_xlfn.IFS(Tabla1[[#This Row],[Porcentaje de muertes]]&lt;0.35,"LEVE",AND(Tabla1[[#This Row],[Porcentaje de muertes]]&gt;0.35,Tabla1[[#This Row],[Porcentaje de muertes]]&lt;0.65),"MEDIO",Tabla1[[#This Row],[Porcentaje de muertes]]&gt;0.65,"GRAVE")</f>
        <v>GRAVE</v>
      </c>
    </row>
    <row r="2827" spans="2:24" x14ac:dyDescent="0.3">
      <c r="B2827" s="9">
        <v>2826</v>
      </c>
      <c r="C2827" s="49">
        <v>27974</v>
      </c>
      <c r="D2827" s="9">
        <f>YEAR(Tabla1[[#This Row],[Date]])</f>
        <v>1976</v>
      </c>
      <c r="E2827" s="9" t="str" cm="1">
        <f t="array" ref="E2827">IFERROR(_xlfn.IFS(AND(D2827&lt;1980,D2827&gt;=1970),"70",AND(D2827&lt;1990,D2827&gt;=1980),"80",AND(D2827&lt;2000,D2827&gt;=1990),"90",AND(D2827&lt;2010,D2827&gt;=2000),"00",AND(D2827&lt;=2019,D2827&gt;=2010),"10"),"1908-1970")</f>
        <v>70</v>
      </c>
      <c r="F2827" s="3">
        <v>0.44722222222222219</v>
      </c>
      <c r="G2827" t="s">
        <v>8249</v>
      </c>
      <c r="H2827" t="s">
        <v>17545</v>
      </c>
      <c r="I2827" t="s">
        <v>28931</v>
      </c>
      <c r="J2827" t="s">
        <v>17546</v>
      </c>
      <c r="K2827" t="s">
        <v>9230</v>
      </c>
      <c r="L2827" s="7" t="s">
        <v>17547</v>
      </c>
      <c r="M2827">
        <v>36326</v>
      </c>
      <c r="N2827">
        <v>6</v>
      </c>
      <c r="O2827">
        <v>1</v>
      </c>
      <c r="P2827">
        <v>5</v>
      </c>
      <c r="Q2827">
        <v>3</v>
      </c>
      <c r="R2827">
        <v>1</v>
      </c>
      <c r="S2827">
        <v>2</v>
      </c>
      <c r="T2827">
        <v>0</v>
      </c>
      <c r="U2827" t="s">
        <v>17548</v>
      </c>
      <c r="V2827">
        <f>Tabla1[[#This Row],[Aboard]]-Tabla1[[#This Row],[Fatalities]]</f>
        <v>3</v>
      </c>
      <c r="W2827" s="50">
        <f>IFERROR(Tabla1[[#This Row],[Fatalities]]/Tabla1[[#This Row],[Aboard]],0)</f>
        <v>0.5</v>
      </c>
      <c r="X2827" s="51" t="str" cm="1">
        <f t="array" ref="X2827">_xlfn.IFS(Tabla1[[#This Row],[Porcentaje de muertes]]&lt;0.35,"LEVE",AND(Tabla1[[#This Row],[Porcentaje de muertes]]&gt;0.35,Tabla1[[#This Row],[Porcentaje de muertes]]&lt;0.65),"MEDIO",Tabla1[[#This Row],[Porcentaje de muertes]]&gt;0.65,"GRAVE")</f>
        <v>MEDIO</v>
      </c>
    </row>
    <row r="2828" spans="2:24" x14ac:dyDescent="0.3">
      <c r="B2828" s="9">
        <v>2827</v>
      </c>
      <c r="C2828" s="49">
        <v>28005</v>
      </c>
      <c r="D2828" s="9">
        <f>YEAR(Tabla1[[#This Row],[Date]])</f>
        <v>1976</v>
      </c>
      <c r="E2828" s="9" t="str" cm="1">
        <f t="array" ref="E2828">IFERROR(_xlfn.IFS(AND(D2828&lt;1980,D2828&gt;=1970),"70",AND(D2828&lt;1990,D2828&gt;=1980),"80",AND(D2828&lt;2000,D2828&gt;=1990),"90",AND(D2828&lt;2010,D2828&gt;=2000),"00",AND(D2828&lt;=2019,D2828&gt;=2010),"10"),"1908-1970")</f>
        <v>70</v>
      </c>
      <c r="F2828" s="3">
        <v>0.34375</v>
      </c>
      <c r="G2828" t="s">
        <v>11429</v>
      </c>
      <c r="H2828" t="s">
        <v>6541</v>
      </c>
      <c r="I2828">
        <v>3739</v>
      </c>
      <c r="J2828" t="s">
        <v>17549</v>
      </c>
      <c r="K2828" t="s">
        <v>12500</v>
      </c>
      <c r="L2828" s="7" t="s">
        <v>17550</v>
      </c>
      <c r="M2828">
        <v>66600201</v>
      </c>
      <c r="N2828">
        <v>124</v>
      </c>
      <c r="O2828">
        <v>104</v>
      </c>
      <c r="P2828">
        <v>10</v>
      </c>
      <c r="Q2828">
        <v>24</v>
      </c>
      <c r="R2828">
        <v>15</v>
      </c>
      <c r="S2828">
        <v>9</v>
      </c>
      <c r="T2828">
        <v>0</v>
      </c>
      <c r="U2828" t="s">
        <v>17551</v>
      </c>
      <c r="V2828">
        <f>Tabla1[[#This Row],[Aboard]]-Tabla1[[#This Row],[Fatalities]]</f>
        <v>100</v>
      </c>
      <c r="W2828" s="50">
        <f>IFERROR(Tabla1[[#This Row],[Fatalities]]/Tabla1[[#This Row],[Aboard]],0)</f>
        <v>0.19354838709677419</v>
      </c>
      <c r="X2828" s="51" t="str" cm="1">
        <f t="array" ref="X2828">_xlfn.IFS(Tabla1[[#This Row],[Porcentaje de muertes]]&lt;0.35,"LEVE",AND(Tabla1[[#This Row],[Porcentaje de muertes]]&gt;0.35,Tabla1[[#This Row],[Porcentaje de muertes]]&lt;0.65),"MEDIO",Tabla1[[#This Row],[Porcentaje de muertes]]&gt;0.65,"GRAVE")</f>
        <v>LEVE</v>
      </c>
    </row>
    <row r="2829" spans="2:24" x14ac:dyDescent="0.3">
      <c r="B2829" s="9">
        <v>2828</v>
      </c>
      <c r="C2829" s="49">
        <v>27811</v>
      </c>
      <c r="D2829" s="9">
        <f>YEAR(Tabla1[[#This Row],[Date]])</f>
        <v>1976</v>
      </c>
      <c r="E2829" s="9" t="str" cm="1">
        <f t="array" ref="E2829">IFERROR(_xlfn.IFS(AND(D2829&lt;1980,D2829&gt;=1970),"70",AND(D2829&lt;1990,D2829&gt;=1980),"80",AND(D2829&lt;2000,D2829&gt;=1990),"90",AND(D2829&lt;2010,D2829&gt;=2000),"00",AND(D2829&lt;=2019,D2829&gt;=2010),"10"),"1908-1970")</f>
        <v>70</v>
      </c>
      <c r="F2829" s="3">
        <v>0.68958333333333333</v>
      </c>
      <c r="G2829" t="s">
        <v>17552</v>
      </c>
      <c r="H2829" t="s">
        <v>17553</v>
      </c>
      <c r="I2829" t="s">
        <v>28931</v>
      </c>
      <c r="J2829" t="s">
        <v>17554</v>
      </c>
      <c r="K2829" t="s">
        <v>17555</v>
      </c>
      <c r="L2829" s="7" t="s">
        <v>17556</v>
      </c>
      <c r="M2829" t="s">
        <v>17557</v>
      </c>
      <c r="N2829">
        <v>11</v>
      </c>
      <c r="O2829">
        <v>10</v>
      </c>
      <c r="P2829">
        <v>1</v>
      </c>
      <c r="Q2829">
        <v>5</v>
      </c>
      <c r="R2829">
        <v>5</v>
      </c>
      <c r="S2829">
        <v>0</v>
      </c>
      <c r="T2829">
        <v>0</v>
      </c>
      <c r="U2829" t="s">
        <v>17558</v>
      </c>
      <c r="V2829">
        <f>Tabla1[[#This Row],[Aboard]]-Tabla1[[#This Row],[Fatalities]]</f>
        <v>6</v>
      </c>
      <c r="W2829" s="50">
        <f>IFERROR(Tabla1[[#This Row],[Fatalities]]/Tabla1[[#This Row],[Aboard]],0)</f>
        <v>0.45454545454545453</v>
      </c>
      <c r="X2829" s="51" t="str" cm="1">
        <f t="array" ref="X2829">_xlfn.IFS(Tabla1[[#This Row],[Porcentaje de muertes]]&lt;0.35,"LEVE",AND(Tabla1[[#This Row],[Porcentaje de muertes]]&gt;0.35,Tabla1[[#This Row],[Porcentaje de muertes]]&lt;0.65),"MEDIO",Tabla1[[#This Row],[Porcentaje de muertes]]&gt;0.65,"GRAVE")</f>
        <v>MEDIO</v>
      </c>
    </row>
    <row r="2830" spans="2:24" x14ac:dyDescent="0.3">
      <c r="B2830" s="9">
        <v>2829</v>
      </c>
      <c r="C2830" s="49">
        <v>27762</v>
      </c>
      <c r="D2830" s="9">
        <f>YEAR(Tabla1[[#This Row],[Date]])</f>
        <v>1976</v>
      </c>
      <c r="E2830" s="9" t="str" cm="1">
        <f t="array" ref="E2830">IFERROR(_xlfn.IFS(AND(D2830&lt;1980,D2830&gt;=1970),"70",AND(D2830&lt;1990,D2830&gt;=1980),"80",AND(D2830&lt;2000,D2830&gt;=1990),"90",AND(D2830&lt;2010,D2830&gt;=2000),"00",AND(D2830&lt;=2019,D2830&gt;=2010),"10"),"1908-1970")</f>
        <v>70</v>
      </c>
      <c r="F2830" s="3" t="s">
        <v>28931</v>
      </c>
      <c r="G2830" t="s">
        <v>17559</v>
      </c>
      <c r="H2830" t="s">
        <v>13884</v>
      </c>
      <c r="I2830" t="s">
        <v>28931</v>
      </c>
      <c r="J2830" t="s">
        <v>28931</v>
      </c>
      <c r="K2830" t="s">
        <v>17560</v>
      </c>
      <c r="L2830" s="7" t="s">
        <v>17561</v>
      </c>
      <c r="M2830">
        <v>14803061</v>
      </c>
      <c r="N2830">
        <v>9</v>
      </c>
      <c r="O2830">
        <v>5</v>
      </c>
      <c r="P2830">
        <v>4</v>
      </c>
      <c r="Q2830">
        <v>6</v>
      </c>
      <c r="R2830">
        <v>3</v>
      </c>
      <c r="S2830">
        <v>3</v>
      </c>
      <c r="T2830">
        <v>0</v>
      </c>
      <c r="U2830" t="s">
        <v>9882</v>
      </c>
      <c r="V2830">
        <f>Tabla1[[#This Row],[Aboard]]-Tabla1[[#This Row],[Fatalities]]</f>
        <v>3</v>
      </c>
      <c r="W2830" s="50">
        <f>IFERROR(Tabla1[[#This Row],[Fatalities]]/Tabla1[[#This Row],[Aboard]],0)</f>
        <v>0.66666666666666663</v>
      </c>
      <c r="X2830" s="51" t="str" cm="1">
        <f t="array" ref="X2830">_xlfn.IFS(Tabla1[[#This Row],[Porcentaje de muertes]]&lt;0.35,"LEVE",AND(Tabla1[[#This Row],[Porcentaje de muertes]]&gt;0.35,Tabla1[[#This Row],[Porcentaje de muertes]]&lt;0.65),"MEDIO",Tabla1[[#This Row],[Porcentaje de muertes]]&gt;0.65,"GRAVE")</f>
        <v>GRAVE</v>
      </c>
    </row>
    <row r="2831" spans="2:24" x14ac:dyDescent="0.3">
      <c r="B2831" s="9">
        <v>2830</v>
      </c>
      <c r="C2831" s="49">
        <v>27793</v>
      </c>
      <c r="D2831" s="9">
        <f>YEAR(Tabla1[[#This Row],[Date]])</f>
        <v>1976</v>
      </c>
      <c r="E2831" s="9" t="str" cm="1">
        <f t="array" ref="E2831">IFERROR(_xlfn.IFS(AND(D2831&lt;1980,D2831&gt;=1970),"70",AND(D2831&lt;1990,D2831&gt;=1980),"80",AND(D2831&lt;2000,D2831&gt;=1990),"90",AND(D2831&lt;2010,D2831&gt;=2000),"00",AND(D2831&lt;=2019,D2831&gt;=2010),"10"),"1908-1970")</f>
        <v>70</v>
      </c>
      <c r="F2831" s="3" t="s">
        <v>28931</v>
      </c>
      <c r="G2831" t="s">
        <v>17562</v>
      </c>
      <c r="H2831" t="s">
        <v>12245</v>
      </c>
      <c r="I2831" t="s">
        <v>28931</v>
      </c>
      <c r="J2831" t="s">
        <v>17563</v>
      </c>
      <c r="K2831" t="s">
        <v>17564</v>
      </c>
      <c r="L2831" s="7" t="s">
        <v>17565</v>
      </c>
      <c r="M2831">
        <v>24</v>
      </c>
      <c r="N2831">
        <v>22</v>
      </c>
      <c r="O2831">
        <v>18</v>
      </c>
      <c r="P2831">
        <v>4</v>
      </c>
      <c r="Q2831">
        <v>19</v>
      </c>
      <c r="R2831">
        <v>15</v>
      </c>
      <c r="S2831">
        <v>4</v>
      </c>
      <c r="T2831">
        <v>0</v>
      </c>
      <c r="U2831" t="s">
        <v>17566</v>
      </c>
      <c r="V2831">
        <f>Tabla1[[#This Row],[Aboard]]-Tabla1[[#This Row],[Fatalities]]</f>
        <v>3</v>
      </c>
      <c r="W2831" s="50">
        <f>IFERROR(Tabla1[[#This Row],[Fatalities]]/Tabla1[[#This Row],[Aboard]],0)</f>
        <v>0.86363636363636365</v>
      </c>
      <c r="X2831" s="51" t="str" cm="1">
        <f t="array" ref="X2831">_xlfn.IFS(Tabla1[[#This Row],[Porcentaje de muertes]]&lt;0.35,"LEVE",AND(Tabla1[[#This Row],[Porcentaje de muertes]]&gt;0.35,Tabla1[[#This Row],[Porcentaje de muertes]]&lt;0.65),"MEDIO",Tabla1[[#This Row],[Porcentaje de muertes]]&gt;0.65,"GRAVE")</f>
        <v>GRAVE</v>
      </c>
    </row>
    <row r="2832" spans="2:24" x14ac:dyDescent="0.3">
      <c r="B2832" s="9">
        <v>2831</v>
      </c>
      <c r="C2832" s="49">
        <v>27914</v>
      </c>
      <c r="D2832" s="9">
        <f>YEAR(Tabla1[[#This Row],[Date]])</f>
        <v>1976</v>
      </c>
      <c r="E2832" s="9" t="str" cm="1">
        <f t="array" ref="E2832">IFERROR(_xlfn.IFS(AND(D2832&lt;1980,D2832&gt;=1970),"70",AND(D2832&lt;1990,D2832&gt;=1980),"80",AND(D2832&lt;2000,D2832&gt;=1990),"90",AND(D2832&lt;2010,D2832&gt;=2000),"00",AND(D2832&lt;=2019,D2832&gt;=2010),"10"),"1908-1970")</f>
        <v>70</v>
      </c>
      <c r="F2832" s="3">
        <v>4.027777777777778E-2</v>
      </c>
      <c r="G2832" t="s">
        <v>11584</v>
      </c>
      <c r="H2832" t="s">
        <v>6541</v>
      </c>
      <c r="I2832">
        <v>909</v>
      </c>
      <c r="J2832" t="s">
        <v>17567</v>
      </c>
      <c r="K2832" t="s">
        <v>17568</v>
      </c>
      <c r="L2832" s="7" t="s">
        <v>17569</v>
      </c>
      <c r="M2832">
        <v>186009201</v>
      </c>
      <c r="N2832">
        <v>111</v>
      </c>
      <c r="O2832">
        <v>100</v>
      </c>
      <c r="P2832">
        <v>11</v>
      </c>
      <c r="Q2832">
        <v>111</v>
      </c>
      <c r="R2832">
        <v>100</v>
      </c>
      <c r="S2832">
        <v>11</v>
      </c>
      <c r="T2832">
        <v>7</v>
      </c>
      <c r="U2832" t="s">
        <v>17570</v>
      </c>
      <c r="V2832">
        <f>Tabla1[[#This Row],[Aboard]]-Tabla1[[#This Row],[Fatalities]]</f>
        <v>0</v>
      </c>
      <c r="W2832" s="50">
        <f>IFERROR(Tabla1[[#This Row],[Fatalities]]/Tabla1[[#This Row],[Aboard]],0)</f>
        <v>1</v>
      </c>
      <c r="X2832" s="51" t="str" cm="1">
        <f t="array" ref="X2832">_xlfn.IFS(Tabla1[[#This Row],[Porcentaje de muertes]]&lt;0.35,"LEVE",AND(Tabla1[[#This Row],[Porcentaje de muertes]]&gt;0.35,Tabla1[[#This Row],[Porcentaje de muertes]]&lt;0.65),"MEDIO",Tabla1[[#This Row],[Porcentaje de muertes]]&gt;0.65,"GRAVE")</f>
        <v>GRAVE</v>
      </c>
    </row>
    <row r="2833" spans="2:24" x14ac:dyDescent="0.3">
      <c r="B2833" s="9">
        <v>2832</v>
      </c>
      <c r="C2833" s="49">
        <v>27944</v>
      </c>
      <c r="D2833" s="9">
        <f>YEAR(Tabla1[[#This Row],[Date]])</f>
        <v>1976</v>
      </c>
      <c r="E2833" s="9" t="str" cm="1">
        <f t="array" ref="E2833">IFERROR(_xlfn.IFS(AND(D2833&lt;1980,D2833&gt;=1970),"70",AND(D2833&lt;1990,D2833&gt;=1980),"80",AND(D2833&lt;2000,D2833&gt;=1990),"90",AND(D2833&lt;2010,D2833&gt;=2000),"00",AND(D2833&lt;=2019,D2833&gt;=2010),"10"),"1908-1970")</f>
        <v>70</v>
      </c>
      <c r="F2833" s="3">
        <v>0.46319444444444446</v>
      </c>
      <c r="G2833" t="s">
        <v>17571</v>
      </c>
      <c r="H2833" t="s">
        <v>17572</v>
      </c>
      <c r="I2833" t="s">
        <v>28931</v>
      </c>
      <c r="J2833" t="s">
        <v>17573</v>
      </c>
      <c r="K2833" t="s">
        <v>17574</v>
      </c>
      <c r="L2833" s="7" t="s">
        <v>17575</v>
      </c>
      <c r="M2833">
        <v>20700089</v>
      </c>
      <c r="N2833">
        <v>4</v>
      </c>
      <c r="O2833">
        <v>3</v>
      </c>
      <c r="P2833">
        <v>1</v>
      </c>
      <c r="Q2833">
        <v>4</v>
      </c>
      <c r="R2833">
        <v>3</v>
      </c>
      <c r="S2833">
        <v>1</v>
      </c>
      <c r="T2833">
        <v>0</v>
      </c>
      <c r="U2833" t="s">
        <v>17576</v>
      </c>
      <c r="V2833">
        <f>Tabla1[[#This Row],[Aboard]]-Tabla1[[#This Row],[Fatalities]]</f>
        <v>0</v>
      </c>
      <c r="W2833" s="50">
        <f>IFERROR(Tabla1[[#This Row],[Fatalities]]/Tabla1[[#This Row],[Aboard]],0)</f>
        <v>1</v>
      </c>
      <c r="X2833" s="51" t="str" cm="1">
        <f t="array" ref="X2833">_xlfn.IFS(Tabla1[[#This Row],[Porcentaje de muertes]]&lt;0.35,"LEVE",AND(Tabla1[[#This Row],[Porcentaje de muertes]]&gt;0.35,Tabla1[[#This Row],[Porcentaje de muertes]]&lt;0.65),"MEDIO",Tabla1[[#This Row],[Porcentaje de muertes]]&gt;0.65,"GRAVE")</f>
        <v>GRAVE</v>
      </c>
    </row>
    <row r="2834" spans="2:24" x14ac:dyDescent="0.3">
      <c r="B2834" s="9">
        <v>2833</v>
      </c>
      <c r="C2834" s="49">
        <v>27794</v>
      </c>
      <c r="D2834" s="9">
        <f>YEAR(Tabla1[[#This Row],[Date]])</f>
        <v>1976</v>
      </c>
      <c r="E2834" s="9" t="str" cm="1">
        <f t="array" ref="E2834">IFERROR(_xlfn.IFS(AND(D2834&lt;1980,D2834&gt;=1970),"70",AND(D2834&lt;1990,D2834&gt;=1980),"80",AND(D2834&lt;2000,D2834&gt;=1990),"90",AND(D2834&lt;2010,D2834&gt;=2000),"00",AND(D2834&lt;=2019,D2834&gt;=2010),"10"),"1908-1970")</f>
        <v>70</v>
      </c>
      <c r="F2834" s="3" t="s">
        <v>28931</v>
      </c>
      <c r="G2834" t="s">
        <v>17577</v>
      </c>
      <c r="H2834" t="s">
        <v>15622</v>
      </c>
      <c r="I2834" t="s">
        <v>28931</v>
      </c>
      <c r="J2834" t="s">
        <v>17578</v>
      </c>
      <c r="K2834" t="s">
        <v>7057</v>
      </c>
      <c r="L2834" s="7" t="s">
        <v>17579</v>
      </c>
      <c r="M2834" t="s">
        <v>28931</v>
      </c>
      <c r="N2834">
        <v>16</v>
      </c>
      <c r="O2834">
        <v>14</v>
      </c>
      <c r="P2834">
        <v>2</v>
      </c>
      <c r="Q2834">
        <v>5</v>
      </c>
      <c r="R2834">
        <v>4</v>
      </c>
      <c r="S2834">
        <v>1</v>
      </c>
      <c r="T2834">
        <v>0</v>
      </c>
      <c r="U2834" t="s">
        <v>17580</v>
      </c>
      <c r="V2834">
        <f>Tabla1[[#This Row],[Aboard]]-Tabla1[[#This Row],[Fatalities]]</f>
        <v>11</v>
      </c>
      <c r="W2834" s="50">
        <f>IFERROR(Tabla1[[#This Row],[Fatalities]]/Tabla1[[#This Row],[Aboard]],0)</f>
        <v>0.3125</v>
      </c>
      <c r="X2834" s="51" t="str" cm="1">
        <f t="array" ref="X2834">_xlfn.IFS(Tabla1[[#This Row],[Porcentaje de muertes]]&lt;0.35,"LEVE",AND(Tabla1[[#This Row],[Porcentaje de muertes]]&gt;0.35,Tabla1[[#This Row],[Porcentaje de muertes]]&lt;0.65),"MEDIO",Tabla1[[#This Row],[Porcentaje de muertes]]&gt;0.65,"GRAVE")</f>
        <v>LEVE</v>
      </c>
    </row>
    <row r="2835" spans="2:24" x14ac:dyDescent="0.3">
      <c r="B2835" s="9">
        <v>2834</v>
      </c>
      <c r="C2835" s="49">
        <v>27884</v>
      </c>
      <c r="D2835" s="9">
        <f>YEAR(Tabla1[[#This Row],[Date]])</f>
        <v>1976</v>
      </c>
      <c r="E2835" s="9" t="str" cm="1">
        <f t="array" ref="E2835">IFERROR(_xlfn.IFS(AND(D2835&lt;1980,D2835&gt;=1970),"70",AND(D2835&lt;1990,D2835&gt;=1980),"80",AND(D2835&lt;2000,D2835&gt;=1990),"90",AND(D2835&lt;2010,D2835&gt;=2000),"00",AND(D2835&lt;=2019,D2835&gt;=2010),"10"),"1908-1970")</f>
        <v>70</v>
      </c>
      <c r="F2835" s="3">
        <v>0.34652777777777777</v>
      </c>
      <c r="G2835" t="s">
        <v>12831</v>
      </c>
      <c r="H2835" t="s">
        <v>9289</v>
      </c>
      <c r="I2835">
        <v>60</v>
      </c>
      <c r="J2835" t="s">
        <v>17581</v>
      </c>
      <c r="K2835" t="s">
        <v>14611</v>
      </c>
      <c r="L2835" s="7" t="s">
        <v>17582</v>
      </c>
      <c r="M2835">
        <v>18821</v>
      </c>
      <c r="N2835">
        <v>50</v>
      </c>
      <c r="O2835">
        <v>45</v>
      </c>
      <c r="P2835">
        <v>5</v>
      </c>
      <c r="Q2835">
        <v>1</v>
      </c>
      <c r="R2835">
        <v>1</v>
      </c>
      <c r="S2835">
        <v>0</v>
      </c>
      <c r="T2835">
        <v>0</v>
      </c>
      <c r="U2835" t="s">
        <v>17583</v>
      </c>
      <c r="V2835">
        <f>Tabla1[[#This Row],[Aboard]]-Tabla1[[#This Row],[Fatalities]]</f>
        <v>49</v>
      </c>
      <c r="W2835" s="50">
        <f>IFERROR(Tabla1[[#This Row],[Fatalities]]/Tabla1[[#This Row],[Aboard]],0)</f>
        <v>0.02</v>
      </c>
      <c r="X2835" s="51" t="str" cm="1">
        <f t="array" ref="X2835">_xlfn.IFS(Tabla1[[#This Row],[Porcentaje de muertes]]&lt;0.35,"LEVE",AND(Tabla1[[#This Row],[Porcentaje de muertes]]&gt;0.35,Tabla1[[#This Row],[Porcentaje de muertes]]&lt;0.65),"MEDIO",Tabla1[[#This Row],[Porcentaje de muertes]]&gt;0.65,"GRAVE")</f>
        <v>LEVE</v>
      </c>
    </row>
    <row r="2836" spans="2:24" x14ac:dyDescent="0.3">
      <c r="B2836" s="9">
        <v>2835</v>
      </c>
      <c r="C2836" s="49">
        <v>27864</v>
      </c>
      <c r="D2836" s="9">
        <f>YEAR(Tabla1[[#This Row],[Date]])</f>
        <v>1976</v>
      </c>
      <c r="E2836" s="9" t="str" cm="1">
        <f t="array" ref="E2836">IFERROR(_xlfn.IFS(AND(D2836&lt;1980,D2836&gt;=1970),"70",AND(D2836&lt;1990,D2836&gt;=1980),"80",AND(D2836&lt;2000,D2836&gt;=1990),"90",AND(D2836&lt;2010,D2836&gt;=2000),"00",AND(D2836&lt;=2019,D2836&gt;=2010),"10"),"1908-1970")</f>
        <v>70</v>
      </c>
      <c r="F2836" s="3" t="s">
        <v>28931</v>
      </c>
      <c r="G2836" t="s">
        <v>17584</v>
      </c>
      <c r="H2836" t="s">
        <v>17585</v>
      </c>
      <c r="I2836" t="s">
        <v>28931</v>
      </c>
      <c r="J2836" t="s">
        <v>28931</v>
      </c>
      <c r="K2836" t="s">
        <v>17311</v>
      </c>
      <c r="L2836" s="7" t="s">
        <v>17586</v>
      </c>
      <c r="M2836">
        <v>1540</v>
      </c>
      <c r="N2836">
        <v>34</v>
      </c>
      <c r="O2836">
        <v>31</v>
      </c>
      <c r="P2836">
        <v>3</v>
      </c>
      <c r="Q2836">
        <v>34</v>
      </c>
      <c r="R2836">
        <v>31</v>
      </c>
      <c r="S2836">
        <v>3</v>
      </c>
      <c r="T2836">
        <v>0</v>
      </c>
      <c r="U2836" t="s">
        <v>17587</v>
      </c>
      <c r="V2836">
        <f>Tabla1[[#This Row],[Aboard]]-Tabla1[[#This Row],[Fatalities]]</f>
        <v>0</v>
      </c>
      <c r="W2836" s="50">
        <f>IFERROR(Tabla1[[#This Row],[Fatalities]]/Tabla1[[#This Row],[Aboard]],0)</f>
        <v>1</v>
      </c>
      <c r="X2836" s="51" t="str" cm="1">
        <f t="array" ref="X2836">_xlfn.IFS(Tabla1[[#This Row],[Porcentaje de muertes]]&lt;0.35,"LEVE",AND(Tabla1[[#This Row],[Porcentaje de muertes]]&gt;0.35,Tabla1[[#This Row],[Porcentaje de muertes]]&lt;0.65),"MEDIO",Tabla1[[#This Row],[Porcentaje de muertes]]&gt;0.65,"GRAVE")</f>
        <v>GRAVE</v>
      </c>
    </row>
    <row r="2837" spans="2:24" x14ac:dyDescent="0.3">
      <c r="B2837" s="9">
        <v>2836</v>
      </c>
      <c r="C2837" s="49">
        <v>27873</v>
      </c>
      <c r="D2837" s="9">
        <f>YEAR(Tabla1[[#This Row],[Date]])</f>
        <v>1976</v>
      </c>
      <c r="E2837" s="9" t="str" cm="1">
        <f t="array" ref="E2837">IFERROR(_xlfn.IFS(AND(D2837&lt;1980,D2837&gt;=1970),"70",AND(D2837&lt;1990,D2837&gt;=1980),"80",AND(D2837&lt;2000,D2837&gt;=1990),"90",AND(D2837&lt;2010,D2837&gt;=2000),"00",AND(D2837&lt;=2019,D2837&gt;=2010),"10"),"1908-1970")</f>
        <v>70</v>
      </c>
      <c r="F2837" s="3">
        <v>0.33888888888888885</v>
      </c>
      <c r="G2837" t="s">
        <v>12806</v>
      </c>
      <c r="H2837" t="s">
        <v>14773</v>
      </c>
      <c r="I2837" t="s">
        <v>28931</v>
      </c>
      <c r="J2837" t="s">
        <v>28931</v>
      </c>
      <c r="K2837" t="s">
        <v>17588</v>
      </c>
      <c r="L2837" s="7" t="s">
        <v>17589</v>
      </c>
      <c r="M2837">
        <v>30090</v>
      </c>
      <c r="N2837">
        <v>12</v>
      </c>
      <c r="O2837">
        <v>11</v>
      </c>
      <c r="P2837">
        <v>1</v>
      </c>
      <c r="Q2837">
        <v>12</v>
      </c>
      <c r="R2837">
        <v>11</v>
      </c>
      <c r="S2837">
        <v>1</v>
      </c>
      <c r="T2837">
        <v>0</v>
      </c>
      <c r="U2837" t="s">
        <v>17590</v>
      </c>
      <c r="V2837">
        <f>Tabla1[[#This Row],[Aboard]]-Tabla1[[#This Row],[Fatalities]]</f>
        <v>0</v>
      </c>
      <c r="W2837" s="50">
        <f>IFERROR(Tabla1[[#This Row],[Fatalities]]/Tabla1[[#This Row],[Aboard]],0)</f>
        <v>1</v>
      </c>
      <c r="X2837" s="51" t="str" cm="1">
        <f t="array" ref="X2837">_xlfn.IFS(Tabla1[[#This Row],[Porcentaje de muertes]]&lt;0.35,"LEVE",AND(Tabla1[[#This Row],[Porcentaje de muertes]]&gt;0.35,Tabla1[[#This Row],[Porcentaje de muertes]]&lt;0.65),"MEDIO",Tabla1[[#This Row],[Porcentaje de muertes]]&gt;0.65,"GRAVE")</f>
        <v>GRAVE</v>
      </c>
    </row>
    <row r="2838" spans="2:24" x14ac:dyDescent="0.3">
      <c r="B2838" s="9">
        <v>2837</v>
      </c>
      <c r="C2838" s="49">
        <v>27877</v>
      </c>
      <c r="D2838" s="9">
        <f>YEAR(Tabla1[[#This Row],[Date]])</f>
        <v>1976</v>
      </c>
      <c r="E2838" s="9" t="str" cm="1">
        <f t="array" ref="E2838">IFERROR(_xlfn.IFS(AND(D2838&lt;1980,D2838&gt;=1970),"70",AND(D2838&lt;1990,D2838&gt;=1980),"80",AND(D2838&lt;2000,D2838&gt;=1990),"90",AND(D2838&lt;2010,D2838&gt;=2000),"00",AND(D2838&lt;=2019,D2838&gt;=2010),"10"),"1908-1970")</f>
        <v>70</v>
      </c>
      <c r="F2838" s="3">
        <v>0.63194444444444442</v>
      </c>
      <c r="G2838" t="s">
        <v>14417</v>
      </c>
      <c r="H2838" t="s">
        <v>6536</v>
      </c>
      <c r="I2838">
        <v>625</v>
      </c>
      <c r="J2838" t="s">
        <v>17591</v>
      </c>
      <c r="K2838" t="s">
        <v>17592</v>
      </c>
      <c r="L2838" s="7" t="s">
        <v>17593</v>
      </c>
      <c r="M2838" t="s">
        <v>17594</v>
      </c>
      <c r="N2838">
        <v>88</v>
      </c>
      <c r="O2838">
        <v>81</v>
      </c>
      <c r="P2838">
        <v>7</v>
      </c>
      <c r="Q2838">
        <v>37</v>
      </c>
      <c r="R2838">
        <v>35</v>
      </c>
      <c r="S2838">
        <v>2</v>
      </c>
      <c r="T2838">
        <v>0</v>
      </c>
      <c r="U2838" t="s">
        <v>17595</v>
      </c>
      <c r="V2838">
        <f>Tabla1[[#This Row],[Aboard]]-Tabla1[[#This Row],[Fatalities]]</f>
        <v>51</v>
      </c>
      <c r="W2838" s="50">
        <f>IFERROR(Tabla1[[#This Row],[Fatalities]]/Tabla1[[#This Row],[Aboard]],0)</f>
        <v>0.42045454545454547</v>
      </c>
      <c r="X2838" s="51" t="str" cm="1">
        <f t="array" ref="X2838">_xlfn.IFS(Tabla1[[#This Row],[Porcentaje de muertes]]&lt;0.35,"LEVE",AND(Tabla1[[#This Row],[Porcentaje de muertes]]&gt;0.35,Tabla1[[#This Row],[Porcentaje de muertes]]&lt;0.65),"MEDIO",Tabla1[[#This Row],[Porcentaje de muertes]]&gt;0.65,"GRAVE")</f>
        <v>MEDIO</v>
      </c>
    </row>
    <row r="2839" spans="2:24" x14ac:dyDescent="0.3">
      <c r="B2839" s="9">
        <v>2838</v>
      </c>
      <c r="C2839" s="49">
        <v>27885</v>
      </c>
      <c r="D2839" s="9">
        <f>YEAR(Tabla1[[#This Row],[Date]])</f>
        <v>1976</v>
      </c>
      <c r="E2839" s="9" t="str" cm="1">
        <f t="array" ref="E2839">IFERROR(_xlfn.IFS(AND(D2839&lt;1980,D2839&gt;=1970),"70",AND(D2839&lt;1990,D2839&gt;=1980),"80",AND(D2839&lt;2000,D2839&gt;=1990),"90",AND(D2839&lt;2010,D2839&gt;=2000),"00",AND(D2839&lt;=2019,D2839&gt;=2010),"10"),"1908-1970")</f>
        <v>70</v>
      </c>
      <c r="F2839" s="3" t="s">
        <v>28931</v>
      </c>
      <c r="G2839" t="s">
        <v>17596</v>
      </c>
      <c r="H2839" t="s">
        <v>17518</v>
      </c>
      <c r="I2839" t="s">
        <v>28931</v>
      </c>
      <c r="J2839" t="s">
        <v>28931</v>
      </c>
      <c r="K2839" t="s">
        <v>17519</v>
      </c>
      <c r="L2839" s="7" t="s">
        <v>17597</v>
      </c>
      <c r="M2839">
        <v>450</v>
      </c>
      <c r="N2839">
        <v>10</v>
      </c>
      <c r="O2839">
        <v>8</v>
      </c>
      <c r="P2839">
        <v>2</v>
      </c>
      <c r="Q2839">
        <v>4</v>
      </c>
      <c r="R2839">
        <v>4</v>
      </c>
      <c r="S2839">
        <v>0</v>
      </c>
      <c r="T2839">
        <v>0</v>
      </c>
      <c r="U2839" t="s">
        <v>17598</v>
      </c>
      <c r="V2839">
        <f>Tabla1[[#This Row],[Aboard]]-Tabla1[[#This Row],[Fatalities]]</f>
        <v>6</v>
      </c>
      <c r="W2839" s="50">
        <f>IFERROR(Tabla1[[#This Row],[Fatalities]]/Tabla1[[#This Row],[Aboard]],0)</f>
        <v>0.4</v>
      </c>
      <c r="X2839" s="51" t="str" cm="1">
        <f t="array" ref="X2839">_xlfn.IFS(Tabla1[[#This Row],[Porcentaje de muertes]]&lt;0.35,"LEVE",AND(Tabla1[[#This Row],[Porcentaje de muertes]]&gt;0.35,Tabla1[[#This Row],[Porcentaje de muertes]]&lt;0.65),"MEDIO",Tabla1[[#This Row],[Porcentaje de muertes]]&gt;0.65,"GRAVE")</f>
        <v>MEDIO</v>
      </c>
    </row>
    <row r="2840" spans="2:24" x14ac:dyDescent="0.3">
      <c r="B2840" s="9">
        <v>2839</v>
      </c>
      <c r="C2840" s="49">
        <v>28008</v>
      </c>
      <c r="D2840" s="9">
        <f>YEAR(Tabla1[[#This Row],[Date]])</f>
        <v>1976</v>
      </c>
      <c r="E2840" s="9" t="str" cm="1">
        <f t="array" ref="E2840">IFERROR(_xlfn.IFS(AND(D2840&lt;1980,D2840&gt;=1970),"70",AND(D2840&lt;1990,D2840&gt;=1980),"80",AND(D2840&lt;2000,D2840&gt;=1990),"90",AND(D2840&lt;2010,D2840&gt;=2000),"00",AND(D2840&lt;=2019,D2840&gt;=2010),"10"),"1908-1970")</f>
        <v>70</v>
      </c>
      <c r="F2840" s="3">
        <v>0.6875</v>
      </c>
      <c r="G2840" t="s">
        <v>17599</v>
      </c>
      <c r="H2840" t="s">
        <v>14917</v>
      </c>
      <c r="I2840">
        <v>228</v>
      </c>
      <c r="J2840" t="s">
        <v>17600</v>
      </c>
      <c r="K2840" t="s">
        <v>17601</v>
      </c>
      <c r="L2840" s="7" t="s">
        <v>17602</v>
      </c>
      <c r="M2840" t="s">
        <v>17603</v>
      </c>
      <c r="N2840">
        <v>17</v>
      </c>
      <c r="O2840">
        <v>7</v>
      </c>
      <c r="P2840">
        <v>10</v>
      </c>
      <c r="Q2840">
        <v>17</v>
      </c>
      <c r="R2840">
        <v>7</v>
      </c>
      <c r="S2840">
        <v>10</v>
      </c>
      <c r="T2840">
        <v>0</v>
      </c>
      <c r="U2840" t="s">
        <v>17604</v>
      </c>
      <c r="V2840">
        <f>Tabla1[[#This Row],[Aboard]]-Tabla1[[#This Row],[Fatalities]]</f>
        <v>0</v>
      </c>
      <c r="W2840" s="50">
        <f>IFERROR(Tabla1[[#This Row],[Fatalities]]/Tabla1[[#This Row],[Aboard]],0)</f>
        <v>1</v>
      </c>
      <c r="X2840" s="51" t="str" cm="1">
        <f t="array" ref="X2840">_xlfn.IFS(Tabla1[[#This Row],[Porcentaje de muertes]]&lt;0.35,"LEVE",AND(Tabla1[[#This Row],[Porcentaje de muertes]]&gt;0.35,Tabla1[[#This Row],[Porcentaje de muertes]]&lt;0.65),"MEDIO",Tabla1[[#This Row],[Porcentaje de muertes]]&gt;0.65,"GRAVE")</f>
        <v>GRAVE</v>
      </c>
    </row>
    <row r="2841" spans="2:24" x14ac:dyDescent="0.3">
      <c r="B2841" s="9">
        <v>2840</v>
      </c>
      <c r="C2841" s="49">
        <v>27895</v>
      </c>
      <c r="D2841" s="9">
        <f>YEAR(Tabla1[[#This Row],[Date]])</f>
        <v>1976</v>
      </c>
      <c r="E2841" s="9" t="str" cm="1">
        <f t="array" ref="E2841">IFERROR(_xlfn.IFS(AND(D2841&lt;1980,D2841&gt;=1970),"70",AND(D2841&lt;1990,D2841&gt;=1980),"80",AND(D2841&lt;2000,D2841&gt;=1990),"90",AND(D2841&lt;2010,D2841&gt;=2000),"00",AND(D2841&lt;=2019,D2841&gt;=2010),"10"),"1908-1970")</f>
        <v>70</v>
      </c>
      <c r="F2841" s="3">
        <v>0.45</v>
      </c>
      <c r="G2841" t="s">
        <v>17605</v>
      </c>
      <c r="H2841" t="s">
        <v>6541</v>
      </c>
      <c r="I2841">
        <v>1802</v>
      </c>
      <c r="J2841" t="s">
        <v>28931</v>
      </c>
      <c r="K2841" t="s">
        <v>14340</v>
      </c>
      <c r="L2841" s="7" t="s">
        <v>17606</v>
      </c>
      <c r="M2841">
        <v>57310108</v>
      </c>
      <c r="N2841">
        <v>52</v>
      </c>
      <c r="O2841">
        <v>46</v>
      </c>
      <c r="P2841">
        <v>6</v>
      </c>
      <c r="Q2841">
        <v>52</v>
      </c>
      <c r="R2841">
        <v>46</v>
      </c>
      <c r="S2841">
        <v>6</v>
      </c>
      <c r="T2841">
        <v>0</v>
      </c>
      <c r="U2841" t="s">
        <v>17607</v>
      </c>
      <c r="V2841">
        <f>Tabla1[[#This Row],[Aboard]]-Tabla1[[#This Row],[Fatalities]]</f>
        <v>0</v>
      </c>
      <c r="W2841" s="50">
        <f>IFERROR(Tabla1[[#This Row],[Fatalities]]/Tabla1[[#This Row],[Aboard]],0)</f>
        <v>1</v>
      </c>
      <c r="X2841" s="51" t="str" cm="1">
        <f t="array" ref="X2841">_xlfn.IFS(Tabla1[[#This Row],[Porcentaje de muertes]]&lt;0.35,"LEVE",AND(Tabla1[[#This Row],[Porcentaje de muertes]]&gt;0.35,Tabla1[[#This Row],[Porcentaje de muertes]]&lt;0.65),"MEDIO",Tabla1[[#This Row],[Porcentaje de muertes]]&gt;0.65,"GRAVE")</f>
        <v>GRAVE</v>
      </c>
    </row>
    <row r="2842" spans="2:24" x14ac:dyDescent="0.3">
      <c r="B2842" s="9">
        <v>2841</v>
      </c>
      <c r="C2842" s="49">
        <v>27903</v>
      </c>
      <c r="D2842" s="9">
        <f>YEAR(Tabla1[[#This Row],[Date]])</f>
        <v>1976</v>
      </c>
      <c r="E2842" s="9" t="str" cm="1">
        <f t="array" ref="E2842">IFERROR(_xlfn.IFS(AND(D2842&lt;1980,D2842&gt;=1970),"70",AND(D2842&lt;1990,D2842&gt;=1980),"80",AND(D2842&lt;2000,D2842&gt;=1990),"90",AND(D2842&lt;2010,D2842&gt;=2000),"00",AND(D2842&lt;=2019,D2842&gt;=2010),"10"),"1908-1970")</f>
        <v>70</v>
      </c>
      <c r="F2842" s="3">
        <v>0.52083333333333337</v>
      </c>
      <c r="G2842" t="s">
        <v>17608</v>
      </c>
      <c r="H2842" t="s">
        <v>8992</v>
      </c>
      <c r="I2842" t="s">
        <v>28931</v>
      </c>
      <c r="J2842" t="s">
        <v>17609</v>
      </c>
      <c r="K2842" t="s">
        <v>17610</v>
      </c>
      <c r="L2842" s="7" t="s">
        <v>17611</v>
      </c>
      <c r="M2842">
        <v>213</v>
      </c>
      <c r="N2842">
        <v>87</v>
      </c>
      <c r="O2842">
        <v>77</v>
      </c>
      <c r="P2842">
        <v>10</v>
      </c>
      <c r="Q2842">
        <v>14</v>
      </c>
      <c r="R2842">
        <v>14</v>
      </c>
      <c r="S2842">
        <v>0</v>
      </c>
      <c r="T2842">
        <v>3</v>
      </c>
      <c r="U2842" t="s">
        <v>17612</v>
      </c>
      <c r="V2842">
        <f>Tabla1[[#This Row],[Aboard]]-Tabla1[[#This Row],[Fatalities]]</f>
        <v>73</v>
      </c>
      <c r="W2842" s="50">
        <f>IFERROR(Tabla1[[#This Row],[Fatalities]]/Tabla1[[#This Row],[Aboard]],0)</f>
        <v>0.16091954022988506</v>
      </c>
      <c r="X2842" s="51" t="str" cm="1">
        <f t="array" ref="X2842">_xlfn.IFS(Tabla1[[#This Row],[Porcentaje de muertes]]&lt;0.35,"LEVE",AND(Tabla1[[#This Row],[Porcentaje de muertes]]&gt;0.35,Tabla1[[#This Row],[Porcentaje de muertes]]&lt;0.65),"MEDIO",Tabla1[[#This Row],[Porcentaje de muertes]]&gt;0.65,"GRAVE")</f>
        <v>LEVE</v>
      </c>
    </row>
    <row r="2843" spans="2:24" x14ac:dyDescent="0.3">
      <c r="B2843" s="9">
        <v>2842</v>
      </c>
      <c r="C2843" s="49">
        <v>27765</v>
      </c>
      <c r="D2843" s="9">
        <f>YEAR(Tabla1[[#This Row],[Date]])</f>
        <v>1976</v>
      </c>
      <c r="E2843" s="9" t="str" cm="1">
        <f t="array" ref="E2843">IFERROR(_xlfn.IFS(AND(D2843&lt;1980,D2843&gt;=1970),"70",AND(D2843&lt;1990,D2843&gt;=1980),"80",AND(D2843&lt;2000,D2843&gt;=1990),"90",AND(D2843&lt;2010,D2843&gt;=2000),"00",AND(D2843&lt;=2019,D2843&gt;=2010),"10"),"1908-1970")</f>
        <v>70</v>
      </c>
      <c r="F2843" s="3">
        <v>0.32500000000000001</v>
      </c>
      <c r="G2843" t="s">
        <v>17613</v>
      </c>
      <c r="H2843" t="s">
        <v>6541</v>
      </c>
      <c r="I2843" t="s">
        <v>17614</v>
      </c>
      <c r="J2843" t="s">
        <v>17615</v>
      </c>
      <c r="K2843" t="s">
        <v>17616</v>
      </c>
      <c r="L2843" s="7" t="s">
        <v>17617</v>
      </c>
      <c r="M2843">
        <v>102</v>
      </c>
      <c r="N2843">
        <v>45</v>
      </c>
      <c r="O2843">
        <v>35</v>
      </c>
      <c r="P2843">
        <v>10</v>
      </c>
      <c r="Q2843">
        <v>45</v>
      </c>
      <c r="R2843">
        <v>35</v>
      </c>
      <c r="S2843">
        <v>10</v>
      </c>
      <c r="T2843">
        <v>0</v>
      </c>
      <c r="U2843" t="s">
        <v>17618</v>
      </c>
      <c r="V2843">
        <f>Tabla1[[#This Row],[Aboard]]-Tabla1[[#This Row],[Fatalities]]</f>
        <v>0</v>
      </c>
      <c r="W2843" s="50">
        <f>IFERROR(Tabla1[[#This Row],[Fatalities]]/Tabla1[[#This Row],[Aboard]],0)</f>
        <v>1</v>
      </c>
      <c r="X2843" s="51" t="str" cm="1">
        <f t="array" ref="X2843">_xlfn.IFS(Tabla1[[#This Row],[Porcentaje de muertes]]&lt;0.35,"LEVE",AND(Tabla1[[#This Row],[Porcentaje de muertes]]&gt;0.35,Tabla1[[#This Row],[Porcentaje de muertes]]&lt;0.65),"MEDIO",Tabla1[[#This Row],[Porcentaje de muertes]]&gt;0.65,"GRAVE")</f>
        <v>GRAVE</v>
      </c>
    </row>
    <row r="2844" spans="2:24" x14ac:dyDescent="0.3">
      <c r="B2844" s="9">
        <v>2843</v>
      </c>
      <c r="C2844" s="49">
        <v>27856</v>
      </c>
      <c r="D2844" s="9">
        <f>YEAR(Tabla1[[#This Row],[Date]])</f>
        <v>1976</v>
      </c>
      <c r="E2844" s="9" t="str" cm="1">
        <f t="array" ref="E2844">IFERROR(_xlfn.IFS(AND(D2844&lt;1980,D2844&gt;=1970),"70",AND(D2844&lt;1990,D2844&gt;=1980),"80",AND(D2844&lt;2000,D2844&gt;=1990),"90",AND(D2844&lt;2010,D2844&gt;=2000),"00",AND(D2844&lt;=2019,D2844&gt;=2010),"10"),"1908-1970")</f>
        <v>70</v>
      </c>
      <c r="F2844" s="3">
        <v>3.2638888888888891E-2</v>
      </c>
      <c r="G2844" t="s">
        <v>17619</v>
      </c>
      <c r="H2844" t="s">
        <v>14559</v>
      </c>
      <c r="I2844">
        <v>702</v>
      </c>
      <c r="J2844" t="s">
        <v>17620</v>
      </c>
      <c r="K2844" t="s">
        <v>12770</v>
      </c>
      <c r="L2844" s="7" t="s">
        <v>17621</v>
      </c>
      <c r="M2844">
        <v>1007</v>
      </c>
      <c r="N2844">
        <v>45</v>
      </c>
      <c r="O2844">
        <v>33</v>
      </c>
      <c r="P2844">
        <v>12</v>
      </c>
      <c r="Q2844">
        <v>45</v>
      </c>
      <c r="R2844">
        <v>33</v>
      </c>
      <c r="S2844">
        <v>12</v>
      </c>
      <c r="T2844">
        <v>1</v>
      </c>
      <c r="U2844" t="s">
        <v>17622</v>
      </c>
      <c r="V2844">
        <f>Tabla1[[#This Row],[Aboard]]-Tabla1[[#This Row],[Fatalities]]</f>
        <v>0</v>
      </c>
      <c r="W2844" s="50">
        <f>IFERROR(Tabla1[[#This Row],[Fatalities]]/Tabla1[[#This Row],[Aboard]],0)</f>
        <v>1</v>
      </c>
      <c r="X2844" s="51" t="str" cm="1">
        <f t="array" ref="X2844">_xlfn.IFS(Tabla1[[#This Row],[Porcentaje de muertes]]&lt;0.35,"LEVE",AND(Tabla1[[#This Row],[Porcentaje de muertes]]&gt;0.35,Tabla1[[#This Row],[Porcentaje de muertes]]&lt;0.65),"MEDIO",Tabla1[[#This Row],[Porcentaje de muertes]]&gt;0.65,"GRAVE")</f>
        <v>GRAVE</v>
      </c>
    </row>
    <row r="2845" spans="2:24" x14ac:dyDescent="0.3">
      <c r="B2845" s="9">
        <v>2844</v>
      </c>
      <c r="C2845" s="49">
        <v>27917</v>
      </c>
      <c r="D2845" s="9">
        <f>YEAR(Tabla1[[#This Row],[Date]])</f>
        <v>1976</v>
      </c>
      <c r="E2845" s="9" t="str" cm="1">
        <f t="array" ref="E2845">IFERROR(_xlfn.IFS(AND(D2845&lt;1980,D2845&gt;=1970),"70",AND(D2845&lt;1990,D2845&gt;=1980),"80",AND(D2845&lt;2000,D2845&gt;=1990),"90",AND(D2845&lt;2010,D2845&gt;=2000),"00",AND(D2845&lt;=2019,D2845&gt;=2010),"10"),"1908-1970")</f>
        <v>70</v>
      </c>
      <c r="F2845" s="3">
        <v>0.65347222222222223</v>
      </c>
      <c r="G2845" t="s">
        <v>17623</v>
      </c>
      <c r="H2845" t="s">
        <v>17624</v>
      </c>
      <c r="I2845" t="s">
        <v>28931</v>
      </c>
      <c r="J2845" t="s">
        <v>17625</v>
      </c>
      <c r="K2845" t="s">
        <v>17626</v>
      </c>
      <c r="L2845" s="7" t="s">
        <v>17627</v>
      </c>
      <c r="M2845">
        <v>14</v>
      </c>
      <c r="N2845">
        <v>11</v>
      </c>
      <c r="O2845">
        <v>10</v>
      </c>
      <c r="P2845">
        <v>1</v>
      </c>
      <c r="Q2845">
        <v>11</v>
      </c>
      <c r="R2845">
        <v>10</v>
      </c>
      <c r="S2845">
        <v>1</v>
      </c>
      <c r="T2845">
        <v>0</v>
      </c>
      <c r="U2845" t="s">
        <v>17628</v>
      </c>
      <c r="V2845">
        <f>Tabla1[[#This Row],[Aboard]]-Tabla1[[#This Row],[Fatalities]]</f>
        <v>0</v>
      </c>
      <c r="W2845" s="50">
        <f>IFERROR(Tabla1[[#This Row],[Fatalities]]/Tabla1[[#This Row],[Aboard]],0)</f>
        <v>1</v>
      </c>
      <c r="X2845" s="51" t="str" cm="1">
        <f t="array" ref="X2845">_xlfn.IFS(Tabla1[[#This Row],[Porcentaje de muertes]]&lt;0.35,"LEVE",AND(Tabla1[[#This Row],[Porcentaje de muertes]]&gt;0.35,Tabla1[[#This Row],[Porcentaje de muertes]]&lt;0.65),"MEDIO",Tabla1[[#This Row],[Porcentaje de muertes]]&gt;0.65,"GRAVE")</f>
        <v>GRAVE</v>
      </c>
    </row>
    <row r="2846" spans="2:24" x14ac:dyDescent="0.3">
      <c r="B2846" s="9">
        <v>2845</v>
      </c>
      <c r="C2846" s="49">
        <v>27938</v>
      </c>
      <c r="D2846" s="9">
        <f>YEAR(Tabla1[[#This Row],[Date]])</f>
        <v>1976</v>
      </c>
      <c r="E2846" s="9" t="str" cm="1">
        <f t="array" ref="E2846">IFERROR(_xlfn.IFS(AND(D2846&lt;1980,D2846&gt;=1970),"70",AND(D2846&lt;1990,D2846&gt;=1980),"80",AND(D2846&lt;2000,D2846&gt;=1990),"90",AND(D2846&lt;2010,D2846&gt;=2000),"00",AND(D2846&lt;=2019,D2846&gt;=2010),"10"),"1908-1970")</f>
        <v>70</v>
      </c>
      <c r="F2846" s="3" t="s">
        <v>28931</v>
      </c>
      <c r="G2846" t="s">
        <v>17629</v>
      </c>
      <c r="H2846" t="s">
        <v>6375</v>
      </c>
      <c r="I2846">
        <v>139</v>
      </c>
      <c r="J2846" t="s">
        <v>17630</v>
      </c>
      <c r="K2846" t="s">
        <v>17631</v>
      </c>
      <c r="L2846" s="7" t="s">
        <v>17632</v>
      </c>
      <c r="M2846">
        <v>19</v>
      </c>
      <c r="N2846">
        <v>258</v>
      </c>
      <c r="O2846" t="s">
        <v>5038</v>
      </c>
      <c r="P2846" t="s">
        <v>5038</v>
      </c>
      <c r="Q2846">
        <v>7</v>
      </c>
      <c r="R2846" t="s">
        <v>5038</v>
      </c>
      <c r="S2846" t="s">
        <v>5038</v>
      </c>
      <c r="T2846">
        <v>0</v>
      </c>
      <c r="U2846" t="s">
        <v>17633</v>
      </c>
      <c r="V2846">
        <f>Tabla1[[#This Row],[Aboard]]-Tabla1[[#This Row],[Fatalities]]</f>
        <v>251</v>
      </c>
      <c r="W2846" s="50">
        <f>IFERROR(Tabla1[[#This Row],[Fatalities]]/Tabla1[[#This Row],[Aboard]],0)</f>
        <v>2.7131782945736434E-2</v>
      </c>
      <c r="X2846" s="51" t="str" cm="1">
        <f t="array" ref="X2846">_xlfn.IFS(Tabla1[[#This Row],[Porcentaje de muertes]]&lt;0.35,"LEVE",AND(Tabla1[[#This Row],[Porcentaje de muertes]]&gt;0.35,Tabla1[[#This Row],[Porcentaje de muertes]]&lt;0.65),"MEDIO",Tabla1[[#This Row],[Porcentaje de muertes]]&gt;0.65,"GRAVE")</f>
        <v>LEVE</v>
      </c>
    </row>
    <row r="2847" spans="2:24" x14ac:dyDescent="0.3">
      <c r="B2847" s="9">
        <v>2846</v>
      </c>
      <c r="C2847" s="49">
        <v>27887</v>
      </c>
      <c r="D2847" s="9">
        <f>YEAR(Tabla1[[#This Row],[Date]])</f>
        <v>1976</v>
      </c>
      <c r="E2847" s="9" t="str" cm="1">
        <f t="array" ref="E2847">IFERROR(_xlfn.IFS(AND(D2847&lt;1980,D2847&gt;=1970),"70",AND(D2847&lt;1990,D2847&gt;=1980),"80",AND(D2847&lt;2000,D2847&gt;=1990),"90",AND(D2847&lt;2010,D2847&gt;=2000),"00",AND(D2847&lt;=2019,D2847&gt;=2010),"10"),"1908-1970")</f>
        <v>70</v>
      </c>
      <c r="F2847" s="3" t="s">
        <v>28931</v>
      </c>
      <c r="G2847" t="s">
        <v>17634</v>
      </c>
      <c r="H2847" t="s">
        <v>17635</v>
      </c>
      <c r="I2847" t="s">
        <v>28931</v>
      </c>
      <c r="J2847" t="s">
        <v>28931</v>
      </c>
      <c r="K2847" t="s">
        <v>7826</v>
      </c>
      <c r="L2847" s="7" t="s">
        <v>28931</v>
      </c>
      <c r="M2847" t="s">
        <v>28931</v>
      </c>
      <c r="N2847">
        <v>17</v>
      </c>
      <c r="O2847" t="s">
        <v>5038</v>
      </c>
      <c r="P2847" t="s">
        <v>5038</v>
      </c>
      <c r="Q2847">
        <v>17</v>
      </c>
      <c r="R2847" t="s">
        <v>5038</v>
      </c>
      <c r="S2847" t="s">
        <v>5038</v>
      </c>
      <c r="T2847">
        <v>0</v>
      </c>
      <c r="U2847" t="s">
        <v>17636</v>
      </c>
      <c r="V2847">
        <f>Tabla1[[#This Row],[Aboard]]-Tabla1[[#This Row],[Fatalities]]</f>
        <v>0</v>
      </c>
      <c r="W2847" s="50">
        <f>IFERROR(Tabla1[[#This Row],[Fatalities]]/Tabla1[[#This Row],[Aboard]],0)</f>
        <v>1</v>
      </c>
      <c r="X2847" s="51" t="str" cm="1">
        <f t="array" ref="X2847">_xlfn.IFS(Tabla1[[#This Row],[Porcentaje de muertes]]&lt;0.35,"LEVE",AND(Tabla1[[#This Row],[Porcentaje de muertes]]&gt;0.35,Tabla1[[#This Row],[Porcentaje de muertes]]&lt;0.65),"MEDIO",Tabla1[[#This Row],[Porcentaje de muertes]]&gt;0.65,"GRAVE")</f>
        <v>GRAVE</v>
      </c>
    </row>
    <row r="2848" spans="2:24" x14ac:dyDescent="0.3">
      <c r="B2848" s="9">
        <v>2847</v>
      </c>
      <c r="C2848" s="49">
        <v>27969</v>
      </c>
      <c r="D2848" s="9">
        <f>YEAR(Tabla1[[#This Row],[Date]])</f>
        <v>1976</v>
      </c>
      <c r="E2848" s="9" t="str" cm="1">
        <f t="array" ref="E2848">IFERROR(_xlfn.IFS(AND(D2848&lt;1980,D2848&gt;=1970),"70",AND(D2848&lt;1990,D2848&gt;=1980),"80",AND(D2848&lt;2000,D2848&gt;=1990),"90",AND(D2848&lt;2010,D2848&gt;=2000),"00",AND(D2848&lt;=2019,D2848&gt;=2010),"10"),"1908-1970")</f>
        <v>70</v>
      </c>
      <c r="F2848" s="3">
        <v>0.40069444444444446</v>
      </c>
      <c r="G2848" t="s">
        <v>17637</v>
      </c>
      <c r="H2848" t="s">
        <v>5951</v>
      </c>
      <c r="I2848">
        <v>1</v>
      </c>
      <c r="J2848" t="s">
        <v>5952</v>
      </c>
      <c r="K2848" t="s">
        <v>17638</v>
      </c>
      <c r="L2848" s="7" t="s">
        <v>17639</v>
      </c>
      <c r="M2848">
        <v>189001605</v>
      </c>
      <c r="N2848">
        <v>79</v>
      </c>
      <c r="O2848">
        <v>73</v>
      </c>
      <c r="P2848">
        <v>6</v>
      </c>
      <c r="Q2848">
        <v>76</v>
      </c>
      <c r="R2848">
        <v>70</v>
      </c>
      <c r="S2848">
        <v>6</v>
      </c>
      <c r="T2848">
        <v>0</v>
      </c>
      <c r="U2848" t="s">
        <v>17640</v>
      </c>
      <c r="V2848">
        <f>Tabla1[[#This Row],[Aboard]]-Tabla1[[#This Row],[Fatalities]]</f>
        <v>3</v>
      </c>
      <c r="W2848" s="50">
        <f>IFERROR(Tabla1[[#This Row],[Fatalities]]/Tabla1[[#This Row],[Aboard]],0)</f>
        <v>0.96202531645569622</v>
      </c>
      <c r="X2848" s="51" t="str" cm="1">
        <f t="array" ref="X2848">_xlfn.IFS(Tabla1[[#This Row],[Porcentaje de muertes]]&lt;0.35,"LEVE",AND(Tabla1[[#This Row],[Porcentaje de muertes]]&gt;0.35,Tabla1[[#This Row],[Porcentaje de muertes]]&lt;0.65),"MEDIO",Tabla1[[#This Row],[Porcentaje de muertes]]&gt;0.65,"GRAVE")</f>
        <v>GRAVE</v>
      </c>
    </row>
    <row r="2849" spans="2:24" x14ac:dyDescent="0.3">
      <c r="B2849" s="9">
        <v>2848</v>
      </c>
      <c r="C2849" s="49">
        <v>27798</v>
      </c>
      <c r="D2849" s="9">
        <f>YEAR(Tabla1[[#This Row],[Date]])</f>
        <v>1976</v>
      </c>
      <c r="E2849" s="9" t="str" cm="1">
        <f t="array" ref="E2849">IFERROR(_xlfn.IFS(AND(D2849&lt;1980,D2849&gt;=1970),"70",AND(D2849&lt;1990,D2849&gt;=1980),"80",AND(D2849&lt;2000,D2849&gt;=1990),"90",AND(D2849&lt;2010,D2849&gt;=2000),"00",AND(D2849&lt;=2019,D2849&gt;=2010),"10"),"1908-1970")</f>
        <v>70</v>
      </c>
      <c r="F2849" s="3" t="s">
        <v>28931</v>
      </c>
      <c r="G2849" t="s">
        <v>17641</v>
      </c>
      <c r="H2849" t="s">
        <v>16097</v>
      </c>
      <c r="I2849" t="s">
        <v>28931</v>
      </c>
      <c r="J2849" t="s">
        <v>17642</v>
      </c>
      <c r="K2849" t="s">
        <v>17643</v>
      </c>
      <c r="L2849" s="7" t="s">
        <v>17644</v>
      </c>
      <c r="M2849" t="s">
        <v>17645</v>
      </c>
      <c r="N2849">
        <v>5</v>
      </c>
      <c r="O2849">
        <v>0</v>
      </c>
      <c r="P2849">
        <v>5</v>
      </c>
      <c r="Q2849">
        <v>5</v>
      </c>
      <c r="R2849">
        <v>0</v>
      </c>
      <c r="S2849">
        <v>5</v>
      </c>
      <c r="T2849">
        <v>0</v>
      </c>
      <c r="U2849" t="s">
        <v>17646</v>
      </c>
      <c r="V2849">
        <f>Tabla1[[#This Row],[Aboard]]-Tabla1[[#This Row],[Fatalities]]</f>
        <v>0</v>
      </c>
      <c r="W2849" s="50">
        <f>IFERROR(Tabla1[[#This Row],[Fatalities]]/Tabla1[[#This Row],[Aboard]],0)</f>
        <v>1</v>
      </c>
      <c r="X2849" s="51" t="str" cm="1">
        <f t="array" ref="X2849">_xlfn.IFS(Tabla1[[#This Row],[Porcentaje de muertes]]&lt;0.35,"LEVE",AND(Tabla1[[#This Row],[Porcentaje de muertes]]&gt;0.35,Tabla1[[#This Row],[Porcentaje de muertes]]&lt;0.65),"MEDIO",Tabla1[[#This Row],[Porcentaje de muertes]]&gt;0.65,"GRAVE")</f>
        <v>GRAVE</v>
      </c>
    </row>
    <row r="2850" spans="2:24" x14ac:dyDescent="0.3">
      <c r="B2850" s="9">
        <v>2849</v>
      </c>
      <c r="C2850" s="49">
        <v>28011</v>
      </c>
      <c r="D2850" s="9">
        <f>YEAR(Tabla1[[#This Row],[Date]])</f>
        <v>1976</v>
      </c>
      <c r="E2850" s="9" t="str" cm="1">
        <f t="array" ref="E2850">IFERROR(_xlfn.IFS(AND(D2850&lt;1980,D2850&gt;=1970),"70",AND(D2850&lt;1990,D2850&gt;=1980),"80",AND(D2850&lt;2000,D2850&gt;=1990),"90",AND(D2850&lt;2010,D2850&gt;=2000),"00",AND(D2850&lt;=2019,D2850&gt;=2010),"10"),"1908-1970")</f>
        <v>70</v>
      </c>
      <c r="F2850" s="3">
        <v>0.52083333333333337</v>
      </c>
      <c r="G2850" t="s">
        <v>17647</v>
      </c>
      <c r="H2850" t="s">
        <v>17648</v>
      </c>
      <c r="I2850" t="s">
        <v>28931</v>
      </c>
      <c r="J2850" t="s">
        <v>17649</v>
      </c>
      <c r="K2850" t="s">
        <v>17650</v>
      </c>
      <c r="L2850" s="7" t="s">
        <v>17651</v>
      </c>
      <c r="M2850">
        <v>27344</v>
      </c>
      <c r="N2850">
        <v>32</v>
      </c>
      <c r="O2850">
        <v>28</v>
      </c>
      <c r="P2850">
        <v>4</v>
      </c>
      <c r="Q2850">
        <v>12</v>
      </c>
      <c r="R2850">
        <v>12</v>
      </c>
      <c r="S2850">
        <v>0</v>
      </c>
      <c r="T2850">
        <v>0</v>
      </c>
      <c r="U2850" t="s">
        <v>17652</v>
      </c>
      <c r="V2850">
        <f>Tabla1[[#This Row],[Aboard]]-Tabla1[[#This Row],[Fatalities]]</f>
        <v>20</v>
      </c>
      <c r="W2850" s="50">
        <f>IFERROR(Tabla1[[#This Row],[Fatalities]]/Tabla1[[#This Row],[Aboard]],0)</f>
        <v>0.375</v>
      </c>
      <c r="X2850" s="51" t="str" cm="1">
        <f t="array" ref="X2850">_xlfn.IFS(Tabla1[[#This Row],[Porcentaje de muertes]]&lt;0.35,"LEVE",AND(Tabla1[[#This Row],[Porcentaje de muertes]]&gt;0.35,Tabla1[[#This Row],[Porcentaje de muertes]]&lt;0.65),"MEDIO",Tabla1[[#This Row],[Porcentaje de muertes]]&gt;0.65,"GRAVE")</f>
        <v>MEDIO</v>
      </c>
    </row>
    <row r="2851" spans="2:24" x14ac:dyDescent="0.3">
      <c r="B2851" s="9">
        <v>2850</v>
      </c>
      <c r="C2851" s="49">
        <v>27987</v>
      </c>
      <c r="D2851" s="9">
        <f>YEAR(Tabla1[[#This Row],[Date]])</f>
        <v>1976</v>
      </c>
      <c r="E2851" s="9" t="str" cm="1">
        <f t="array" ref="E2851">IFERROR(_xlfn.IFS(AND(D2851&lt;1980,D2851&gt;=1970),"70",AND(D2851&lt;1990,D2851&gt;=1980),"80",AND(D2851&lt;2000,D2851&gt;=1990),"90",AND(D2851&lt;2010,D2851&gt;=2000),"00",AND(D2851&lt;=2019,D2851&gt;=2010),"10"),"1908-1970")</f>
        <v>70</v>
      </c>
      <c r="F2851" s="3">
        <v>0.3576388888888889</v>
      </c>
      <c r="G2851" t="s">
        <v>17653</v>
      </c>
      <c r="H2851" t="s">
        <v>9883</v>
      </c>
      <c r="I2851">
        <v>232</v>
      </c>
      <c r="J2851" t="s">
        <v>17654</v>
      </c>
      <c r="K2851" t="s">
        <v>14108</v>
      </c>
      <c r="L2851" s="7" t="s">
        <v>17655</v>
      </c>
      <c r="M2851">
        <v>377</v>
      </c>
      <c r="N2851">
        <v>59</v>
      </c>
      <c r="O2851">
        <v>55</v>
      </c>
      <c r="P2851">
        <v>4</v>
      </c>
      <c r="Q2851">
        <v>59</v>
      </c>
      <c r="R2851">
        <v>55</v>
      </c>
      <c r="S2851">
        <v>4</v>
      </c>
      <c r="T2851">
        <v>0</v>
      </c>
      <c r="U2851" t="s">
        <v>17656</v>
      </c>
      <c r="V2851">
        <f>Tabla1[[#This Row],[Aboard]]-Tabla1[[#This Row],[Fatalities]]</f>
        <v>0</v>
      </c>
      <c r="W2851" s="50">
        <f>IFERROR(Tabla1[[#This Row],[Fatalities]]/Tabla1[[#This Row],[Aboard]],0)</f>
        <v>1</v>
      </c>
      <c r="X2851" s="51" t="str" cm="1">
        <f t="array" ref="X2851">_xlfn.IFS(Tabla1[[#This Row],[Porcentaje de muertes]]&lt;0.35,"LEVE",AND(Tabla1[[#This Row],[Porcentaje de muertes]]&gt;0.35,Tabla1[[#This Row],[Porcentaje de muertes]]&lt;0.65),"MEDIO",Tabla1[[#This Row],[Porcentaje de muertes]]&gt;0.65,"GRAVE")</f>
        <v>GRAVE</v>
      </c>
    </row>
    <row r="2852" spans="2:24" x14ac:dyDescent="0.3">
      <c r="B2852" s="9">
        <v>2851</v>
      </c>
      <c r="C2852" s="49">
        <v>28000</v>
      </c>
      <c r="D2852" s="9">
        <f>YEAR(Tabla1[[#This Row],[Date]])</f>
        <v>1976</v>
      </c>
      <c r="E2852" s="9" t="str" cm="1">
        <f t="array" ref="E2852">IFERROR(_xlfn.IFS(AND(D2852&lt;1980,D2852&gt;=1970),"70",AND(D2852&lt;1990,D2852&gt;=1980),"80",AND(D2852&lt;2000,D2852&gt;=1990),"90",AND(D2852&lt;2010,D2852&gt;=2000),"00",AND(D2852&lt;=2019,D2852&gt;=2010),"10"),"1908-1970")</f>
        <v>70</v>
      </c>
      <c r="F2852" s="3" t="s">
        <v>28931</v>
      </c>
      <c r="G2852" t="s">
        <v>17657</v>
      </c>
      <c r="H2852" t="s">
        <v>6375</v>
      </c>
      <c r="I2852" t="s">
        <v>28931</v>
      </c>
      <c r="J2852" t="s">
        <v>17658</v>
      </c>
      <c r="K2852" t="s">
        <v>17659</v>
      </c>
      <c r="L2852" s="7" t="s">
        <v>17660</v>
      </c>
      <c r="M2852">
        <v>83</v>
      </c>
      <c r="N2852">
        <v>20</v>
      </c>
      <c r="O2852">
        <v>15</v>
      </c>
      <c r="P2852">
        <v>5</v>
      </c>
      <c r="Q2852">
        <v>1</v>
      </c>
      <c r="R2852">
        <v>1</v>
      </c>
      <c r="S2852">
        <v>0</v>
      </c>
      <c r="T2852">
        <v>0</v>
      </c>
      <c r="U2852" t="s">
        <v>17661</v>
      </c>
      <c r="V2852">
        <f>Tabla1[[#This Row],[Aboard]]-Tabla1[[#This Row],[Fatalities]]</f>
        <v>19</v>
      </c>
      <c r="W2852" s="50">
        <f>IFERROR(Tabla1[[#This Row],[Fatalities]]/Tabla1[[#This Row],[Aboard]],0)</f>
        <v>0.05</v>
      </c>
      <c r="X2852" s="51" t="str" cm="1">
        <f t="array" ref="X2852">_xlfn.IFS(Tabla1[[#This Row],[Porcentaje de muertes]]&lt;0.35,"LEVE",AND(Tabla1[[#This Row],[Porcentaje de muertes]]&gt;0.35,Tabla1[[#This Row],[Porcentaje de muertes]]&lt;0.65),"MEDIO",Tabla1[[#This Row],[Porcentaje de muertes]]&gt;0.65,"GRAVE")</f>
        <v>LEVE</v>
      </c>
    </row>
    <row r="2853" spans="2:24" x14ac:dyDescent="0.3">
      <c r="B2853" s="9">
        <v>2852</v>
      </c>
      <c r="C2853" s="49">
        <v>28000</v>
      </c>
      <c r="D2853" s="9">
        <f>YEAR(Tabla1[[#This Row],[Date]])</f>
        <v>1976</v>
      </c>
      <c r="E2853" s="9" t="str" cm="1">
        <f t="array" ref="E2853">IFERROR(_xlfn.IFS(AND(D2853&lt;1980,D2853&gt;=1970),"70",AND(D2853&lt;1990,D2853&gt;=1980),"80",AND(D2853&lt;2000,D2853&gt;=1990),"90",AND(D2853&lt;2010,D2853&gt;=2000),"00",AND(D2853&lt;=2019,D2853&gt;=2010),"10"),"1908-1970")</f>
        <v>70</v>
      </c>
      <c r="F2853" s="3">
        <v>0.52777777777777779</v>
      </c>
      <c r="G2853" t="s">
        <v>17662</v>
      </c>
      <c r="H2853" t="s">
        <v>7987</v>
      </c>
      <c r="I2853" t="s">
        <v>28931</v>
      </c>
      <c r="J2853" t="s">
        <v>17663</v>
      </c>
      <c r="K2853" t="s">
        <v>17352</v>
      </c>
      <c r="L2853" s="7" t="s">
        <v>17664</v>
      </c>
      <c r="M2853">
        <v>6257</v>
      </c>
      <c r="N2853">
        <v>18</v>
      </c>
      <c r="O2853">
        <v>4</v>
      </c>
      <c r="P2853">
        <v>14</v>
      </c>
      <c r="Q2853">
        <v>18</v>
      </c>
      <c r="R2853">
        <v>4</v>
      </c>
      <c r="S2853">
        <v>14</v>
      </c>
      <c r="T2853">
        <v>0</v>
      </c>
      <c r="U2853" t="s">
        <v>17665</v>
      </c>
      <c r="V2853">
        <f>Tabla1[[#This Row],[Aboard]]-Tabla1[[#This Row],[Fatalities]]</f>
        <v>0</v>
      </c>
      <c r="W2853" s="50">
        <f>IFERROR(Tabla1[[#This Row],[Fatalities]]/Tabla1[[#This Row],[Aboard]],0)</f>
        <v>1</v>
      </c>
      <c r="X2853" s="51" t="str" cm="1">
        <f t="array" ref="X2853">_xlfn.IFS(Tabla1[[#This Row],[Porcentaje de muertes]]&lt;0.35,"LEVE",AND(Tabla1[[#This Row],[Porcentaje de muertes]]&gt;0.35,Tabla1[[#This Row],[Porcentaje de muertes]]&lt;0.65),"MEDIO",Tabla1[[#This Row],[Porcentaje de muertes]]&gt;0.65,"GRAVE")</f>
        <v>GRAVE</v>
      </c>
    </row>
    <row r="2854" spans="2:24" x14ac:dyDescent="0.3">
      <c r="B2854" s="9">
        <v>2853</v>
      </c>
      <c r="C2854" s="49">
        <v>27799</v>
      </c>
      <c r="D2854" s="9">
        <f>YEAR(Tabla1[[#This Row],[Date]])</f>
        <v>1976</v>
      </c>
      <c r="E2854" s="9" t="str" cm="1">
        <f t="array" ref="E2854">IFERROR(_xlfn.IFS(AND(D2854&lt;1980,D2854&gt;=1970),"70",AND(D2854&lt;1990,D2854&gt;=1980),"80",AND(D2854&lt;2000,D2854&gt;=1990),"90",AND(D2854&lt;2010,D2854&gt;=2000),"00",AND(D2854&lt;=2019,D2854&gt;=2010),"10"),"1908-1970")</f>
        <v>70</v>
      </c>
      <c r="F2854" s="3">
        <v>0.71875</v>
      </c>
      <c r="G2854" t="s">
        <v>17666</v>
      </c>
      <c r="H2854" t="s">
        <v>17667</v>
      </c>
      <c r="I2854" t="s">
        <v>28931</v>
      </c>
      <c r="J2854" t="s">
        <v>28931</v>
      </c>
      <c r="K2854" t="s">
        <v>17668</v>
      </c>
      <c r="L2854" s="7" t="s">
        <v>17669</v>
      </c>
      <c r="M2854" t="s">
        <v>28931</v>
      </c>
      <c r="N2854">
        <v>4</v>
      </c>
      <c r="O2854">
        <v>3</v>
      </c>
      <c r="P2854">
        <v>1</v>
      </c>
      <c r="Q2854">
        <v>3</v>
      </c>
      <c r="R2854">
        <v>2</v>
      </c>
      <c r="S2854">
        <v>1</v>
      </c>
      <c r="T2854">
        <v>0</v>
      </c>
      <c r="U2854" t="s">
        <v>17670</v>
      </c>
      <c r="V2854">
        <f>Tabla1[[#This Row],[Aboard]]-Tabla1[[#This Row],[Fatalities]]</f>
        <v>1</v>
      </c>
      <c r="W2854" s="50">
        <f>IFERROR(Tabla1[[#This Row],[Fatalities]]/Tabla1[[#This Row],[Aboard]],0)</f>
        <v>0.75</v>
      </c>
      <c r="X2854" s="51" t="str" cm="1">
        <f t="array" ref="X2854">_xlfn.IFS(Tabla1[[#This Row],[Porcentaje de muertes]]&lt;0.35,"LEVE",AND(Tabla1[[#This Row],[Porcentaje de muertes]]&gt;0.35,Tabla1[[#This Row],[Porcentaje de muertes]]&lt;0.65),"MEDIO",Tabla1[[#This Row],[Porcentaje de muertes]]&gt;0.65,"GRAVE")</f>
        <v>GRAVE</v>
      </c>
    </row>
    <row r="2855" spans="2:24" x14ac:dyDescent="0.3">
      <c r="B2855" s="9">
        <v>2854</v>
      </c>
      <c r="C2855" s="49">
        <v>27828</v>
      </c>
      <c r="D2855" s="9">
        <f>YEAR(Tabla1[[#This Row],[Date]])</f>
        <v>1976</v>
      </c>
      <c r="E2855" s="9" t="str" cm="1">
        <f t="array" ref="E2855">IFERROR(_xlfn.IFS(AND(D2855&lt;1980,D2855&gt;=1970),"70",AND(D2855&lt;1990,D2855&gt;=1980),"80",AND(D2855&lt;2000,D2855&gt;=1990),"90",AND(D2855&lt;2010,D2855&gt;=2000),"00",AND(D2855&lt;=2019,D2855&gt;=2010),"10"),"1908-1970")</f>
        <v>70</v>
      </c>
      <c r="F2855" s="3">
        <v>0.90625</v>
      </c>
      <c r="G2855" t="s">
        <v>17671</v>
      </c>
      <c r="H2855" t="s">
        <v>17672</v>
      </c>
      <c r="I2855" t="s">
        <v>28931</v>
      </c>
      <c r="J2855" t="s">
        <v>17673</v>
      </c>
      <c r="K2855" t="s">
        <v>17162</v>
      </c>
      <c r="L2855" s="7">
        <v>7772</v>
      </c>
      <c r="M2855">
        <v>4408</v>
      </c>
      <c r="N2855">
        <v>68</v>
      </c>
      <c r="O2855">
        <v>58</v>
      </c>
      <c r="P2855">
        <v>10</v>
      </c>
      <c r="Q2855">
        <v>68</v>
      </c>
      <c r="R2855">
        <v>58</v>
      </c>
      <c r="S2855">
        <v>10</v>
      </c>
      <c r="T2855">
        <v>0</v>
      </c>
      <c r="U2855" t="s">
        <v>17674</v>
      </c>
      <c r="V2855">
        <f>Tabla1[[#This Row],[Aboard]]-Tabla1[[#This Row],[Fatalities]]</f>
        <v>0</v>
      </c>
      <c r="W2855" s="50">
        <f>IFERROR(Tabla1[[#This Row],[Fatalities]]/Tabla1[[#This Row],[Aboard]],0)</f>
        <v>1</v>
      </c>
      <c r="X2855" s="51" t="str" cm="1">
        <f t="array" ref="X2855">_xlfn.IFS(Tabla1[[#This Row],[Porcentaje de muertes]]&lt;0.35,"LEVE",AND(Tabla1[[#This Row],[Porcentaje de muertes]]&gt;0.35,Tabla1[[#This Row],[Porcentaje de muertes]]&lt;0.65),"MEDIO",Tabla1[[#This Row],[Porcentaje de muertes]]&gt;0.65,"GRAVE")</f>
        <v>GRAVE</v>
      </c>
    </row>
    <row r="2856" spans="2:24" x14ac:dyDescent="0.3">
      <c r="B2856" s="9">
        <v>2855</v>
      </c>
      <c r="C2856" s="49">
        <v>28012</v>
      </c>
      <c r="D2856" s="9">
        <f>YEAR(Tabla1[[#This Row],[Date]])</f>
        <v>1976</v>
      </c>
      <c r="E2856" s="9" t="str" cm="1">
        <f t="array" ref="E2856">IFERROR(_xlfn.IFS(AND(D2856&lt;1980,D2856&gt;=1970),"70",AND(D2856&lt;1990,D2856&gt;=1980),"80",AND(D2856&lt;2000,D2856&gt;=1990),"90",AND(D2856&lt;2010,D2856&gt;=2000),"00",AND(D2856&lt;=2019,D2856&gt;=2010),"10"),"1908-1970")</f>
        <v>70</v>
      </c>
      <c r="F2856" s="3">
        <v>0.57708333333333328</v>
      </c>
      <c r="G2856" t="s">
        <v>17675</v>
      </c>
      <c r="H2856" t="s">
        <v>17676</v>
      </c>
      <c r="I2856" t="s">
        <v>17677</v>
      </c>
      <c r="J2856" t="s">
        <v>17678</v>
      </c>
      <c r="K2856" t="s">
        <v>17679</v>
      </c>
      <c r="L2856" s="7" t="s">
        <v>17680</v>
      </c>
      <c r="M2856" t="s">
        <v>17681</v>
      </c>
      <c r="N2856">
        <v>64</v>
      </c>
      <c r="O2856">
        <v>55</v>
      </c>
      <c r="P2856">
        <v>9</v>
      </c>
      <c r="Q2856">
        <v>64</v>
      </c>
      <c r="R2856">
        <v>55</v>
      </c>
      <c r="S2856">
        <v>9</v>
      </c>
      <c r="T2856">
        <v>0</v>
      </c>
      <c r="U2856" t="s">
        <v>17682</v>
      </c>
      <c r="V2856">
        <f>Tabla1[[#This Row],[Aboard]]-Tabla1[[#This Row],[Fatalities]]</f>
        <v>0</v>
      </c>
      <c r="W2856" s="50">
        <f>IFERROR(Tabla1[[#This Row],[Fatalities]]/Tabla1[[#This Row],[Aboard]],0)</f>
        <v>1</v>
      </c>
      <c r="X2856" s="51" t="str" cm="1">
        <f t="array" ref="X2856">_xlfn.IFS(Tabla1[[#This Row],[Porcentaje de muertes]]&lt;0.35,"LEVE",AND(Tabla1[[#This Row],[Porcentaje de muertes]]&gt;0.35,Tabla1[[#This Row],[Porcentaje de muertes]]&lt;0.65),"MEDIO",Tabla1[[#This Row],[Porcentaje de muertes]]&gt;0.65,"GRAVE")</f>
        <v>GRAVE</v>
      </c>
    </row>
    <row r="2857" spans="2:24" x14ac:dyDescent="0.3">
      <c r="B2857" s="9">
        <v>2856</v>
      </c>
      <c r="C2857" s="49">
        <v>28042</v>
      </c>
      <c r="D2857" s="9">
        <f>YEAR(Tabla1[[#This Row],[Date]])</f>
        <v>1976</v>
      </c>
      <c r="E2857" s="9" t="str" cm="1">
        <f t="array" ref="E2857">IFERROR(_xlfn.IFS(AND(D2857&lt;1980,D2857&gt;=1970),"70",AND(D2857&lt;1990,D2857&gt;=1980),"80",AND(D2857&lt;2000,D2857&gt;=1990),"90",AND(D2857&lt;2010,D2857&gt;=2000),"00",AND(D2857&lt;=2019,D2857&gt;=2010),"10"),"1908-1970")</f>
        <v>70</v>
      </c>
      <c r="F2857" s="3">
        <v>0.42708333333333331</v>
      </c>
      <c r="G2857" t="s">
        <v>17683</v>
      </c>
      <c r="H2857" t="s">
        <v>17684</v>
      </c>
      <c r="I2857" t="s">
        <v>17685</v>
      </c>
      <c r="J2857" t="s">
        <v>17686</v>
      </c>
      <c r="K2857" t="s">
        <v>17687</v>
      </c>
      <c r="L2857" s="7" t="s">
        <v>17688</v>
      </c>
      <c r="M2857" t="s">
        <v>17689</v>
      </c>
      <c r="N2857">
        <v>176</v>
      </c>
      <c r="O2857">
        <v>162</v>
      </c>
      <c r="P2857">
        <v>14</v>
      </c>
      <c r="Q2857">
        <v>176</v>
      </c>
      <c r="R2857">
        <v>162</v>
      </c>
      <c r="S2857">
        <v>14</v>
      </c>
      <c r="T2857">
        <v>0</v>
      </c>
      <c r="U2857" t="s">
        <v>17690</v>
      </c>
      <c r="V2857">
        <f>Tabla1[[#This Row],[Aboard]]-Tabla1[[#This Row],[Fatalities]]</f>
        <v>0</v>
      </c>
      <c r="W2857" s="50">
        <f>IFERROR(Tabla1[[#This Row],[Fatalities]]/Tabla1[[#This Row],[Aboard]],0)</f>
        <v>1</v>
      </c>
      <c r="X2857" s="51" t="str" cm="1">
        <f t="array" ref="X2857">_xlfn.IFS(Tabla1[[#This Row],[Porcentaje de muertes]]&lt;0.35,"LEVE",AND(Tabla1[[#This Row],[Porcentaje de muertes]]&gt;0.35,Tabla1[[#This Row],[Porcentaje de muertes]]&lt;0.65),"MEDIO",Tabla1[[#This Row],[Porcentaje de muertes]]&gt;0.65,"GRAVE")</f>
        <v>GRAVE</v>
      </c>
    </row>
    <row r="2858" spans="2:24" x14ac:dyDescent="0.3">
      <c r="B2858" s="9">
        <v>2857</v>
      </c>
      <c r="C2858" s="49">
        <v>28022</v>
      </c>
      <c r="D2858" s="9">
        <f>YEAR(Tabla1[[#This Row],[Date]])</f>
        <v>1976</v>
      </c>
      <c r="E2858" s="9" t="str" cm="1">
        <f t="array" ref="E2858">IFERROR(_xlfn.IFS(AND(D2858&lt;1980,D2858&gt;=1970),"70",AND(D2858&lt;1990,D2858&gt;=1980),"80",AND(D2858&lt;2000,D2858&gt;=1990),"90",AND(D2858&lt;2010,D2858&gt;=2000),"00",AND(D2858&lt;=2019,D2858&gt;=2010),"10"),"1908-1970")</f>
        <v>70</v>
      </c>
      <c r="F2858" s="3">
        <v>0.96875</v>
      </c>
      <c r="G2858" t="s">
        <v>17691</v>
      </c>
      <c r="H2858" t="s">
        <v>12613</v>
      </c>
      <c r="I2858">
        <v>452</v>
      </c>
      <c r="J2858" t="s">
        <v>17692</v>
      </c>
      <c r="K2858" t="s">
        <v>17693</v>
      </c>
      <c r="L2858" s="7" t="s">
        <v>17694</v>
      </c>
      <c r="M2858" t="s">
        <v>17695</v>
      </c>
      <c r="N2858">
        <v>154</v>
      </c>
      <c r="O2858">
        <v>146</v>
      </c>
      <c r="P2858">
        <v>8</v>
      </c>
      <c r="Q2858">
        <v>154</v>
      </c>
      <c r="R2858">
        <v>146</v>
      </c>
      <c r="S2858">
        <v>8</v>
      </c>
      <c r="T2858">
        <v>0</v>
      </c>
      <c r="U2858" t="s">
        <v>17696</v>
      </c>
      <c r="V2858">
        <f>Tabla1[[#This Row],[Aboard]]-Tabla1[[#This Row],[Fatalities]]</f>
        <v>0</v>
      </c>
      <c r="W2858" s="50">
        <f>IFERROR(Tabla1[[#This Row],[Fatalities]]/Tabla1[[#This Row],[Aboard]],0)</f>
        <v>1</v>
      </c>
      <c r="X2858" s="51" t="str" cm="1">
        <f t="array" ref="X2858">_xlfn.IFS(Tabla1[[#This Row],[Porcentaje de muertes]]&lt;0.35,"LEVE",AND(Tabla1[[#This Row],[Porcentaje de muertes]]&gt;0.35,Tabla1[[#This Row],[Porcentaje de muertes]]&lt;0.65),"MEDIO",Tabla1[[#This Row],[Porcentaje de muertes]]&gt;0.65,"GRAVE")</f>
        <v>GRAVE</v>
      </c>
    </row>
    <row r="2859" spans="2:24" x14ac:dyDescent="0.3">
      <c r="B2859" s="9">
        <v>2858</v>
      </c>
      <c r="C2859" s="49">
        <v>28029</v>
      </c>
      <c r="D2859" s="9">
        <f>YEAR(Tabla1[[#This Row],[Date]])</f>
        <v>1976</v>
      </c>
      <c r="E2859" s="9" t="str" cm="1">
        <f t="array" ref="E2859">IFERROR(_xlfn.IFS(AND(D2859&lt;1980,D2859&gt;=1970),"70",AND(D2859&lt;1990,D2859&gt;=1980),"80",AND(D2859&lt;2000,D2859&gt;=1990),"90",AND(D2859&lt;2010,D2859&gt;=2000),"00",AND(D2859&lt;=2019,D2859&gt;=2010),"10"),"1908-1970")</f>
        <v>70</v>
      </c>
      <c r="F2859" s="3">
        <v>0.35416666666666669</v>
      </c>
      <c r="G2859" t="s">
        <v>17697</v>
      </c>
      <c r="H2859" t="s">
        <v>7987</v>
      </c>
      <c r="I2859" t="s">
        <v>28931</v>
      </c>
      <c r="J2859" t="s">
        <v>17698</v>
      </c>
      <c r="K2859" t="s">
        <v>12399</v>
      </c>
      <c r="L2859" s="7" t="s">
        <v>17699</v>
      </c>
      <c r="M2859" t="s">
        <v>17700</v>
      </c>
      <c r="N2859">
        <v>20</v>
      </c>
      <c r="O2859">
        <v>15</v>
      </c>
      <c r="P2859">
        <v>5</v>
      </c>
      <c r="Q2859">
        <v>15</v>
      </c>
      <c r="R2859">
        <v>12</v>
      </c>
      <c r="S2859">
        <v>3</v>
      </c>
      <c r="T2859">
        <v>0</v>
      </c>
      <c r="U2859" t="s">
        <v>17701</v>
      </c>
      <c r="V2859">
        <f>Tabla1[[#This Row],[Aboard]]-Tabla1[[#This Row],[Fatalities]]</f>
        <v>5</v>
      </c>
      <c r="W2859" s="50">
        <f>IFERROR(Tabla1[[#This Row],[Fatalities]]/Tabla1[[#This Row],[Aboard]],0)</f>
        <v>0.75</v>
      </c>
      <c r="X2859" s="51" t="str" cm="1">
        <f t="array" ref="X2859">_xlfn.IFS(Tabla1[[#This Row],[Porcentaje de muertes]]&lt;0.35,"LEVE",AND(Tabla1[[#This Row],[Porcentaje de muertes]]&gt;0.35,Tabla1[[#This Row],[Porcentaje de muertes]]&lt;0.65),"MEDIO",Tabla1[[#This Row],[Porcentaje de muertes]]&gt;0.65,"GRAVE")</f>
        <v>GRAVE</v>
      </c>
    </row>
    <row r="2860" spans="2:24" x14ac:dyDescent="0.3">
      <c r="B2860" s="9">
        <v>2859</v>
      </c>
      <c r="C2860" s="49">
        <v>27860</v>
      </c>
      <c r="D2860" s="9">
        <f>YEAR(Tabla1[[#This Row],[Date]])</f>
        <v>1976</v>
      </c>
      <c r="E2860" s="9" t="str" cm="1">
        <f t="array" ref="E2860">IFERROR(_xlfn.IFS(AND(D2860&lt;1980,D2860&gt;=1970),"70",AND(D2860&lt;1990,D2860&gt;=1980),"80",AND(D2860&lt;2000,D2860&gt;=1990),"90",AND(D2860&lt;2010,D2860&gt;=2000),"00",AND(D2860&lt;=2019,D2860&gt;=2010),"10"),"1908-1970")</f>
        <v>70</v>
      </c>
      <c r="F2860" s="3" t="s">
        <v>28931</v>
      </c>
      <c r="G2860" t="s">
        <v>8234</v>
      </c>
      <c r="H2860" t="s">
        <v>17702</v>
      </c>
      <c r="I2860" t="s">
        <v>28931</v>
      </c>
      <c r="J2860" t="s">
        <v>17703</v>
      </c>
      <c r="K2860" t="s">
        <v>13866</v>
      </c>
      <c r="L2860" s="7" t="s">
        <v>17704</v>
      </c>
      <c r="M2860" t="s">
        <v>17705</v>
      </c>
      <c r="N2860">
        <v>4</v>
      </c>
      <c r="O2860">
        <v>0</v>
      </c>
      <c r="P2860">
        <v>4</v>
      </c>
      <c r="Q2860">
        <v>4</v>
      </c>
      <c r="R2860">
        <v>0</v>
      </c>
      <c r="S2860">
        <v>4</v>
      </c>
      <c r="T2860">
        <v>0</v>
      </c>
      <c r="U2860" t="s">
        <v>17706</v>
      </c>
      <c r="V2860">
        <f>Tabla1[[#This Row],[Aboard]]-Tabla1[[#This Row],[Fatalities]]</f>
        <v>0</v>
      </c>
      <c r="W2860" s="50">
        <f>IFERROR(Tabla1[[#This Row],[Fatalities]]/Tabla1[[#This Row],[Aboard]],0)</f>
        <v>1</v>
      </c>
      <c r="X2860" s="51" t="str" cm="1">
        <f t="array" ref="X2860">_xlfn.IFS(Tabla1[[#This Row],[Porcentaje de muertes]]&lt;0.35,"LEVE",AND(Tabla1[[#This Row],[Porcentaje de muertes]]&gt;0.35,Tabla1[[#This Row],[Porcentaje de muertes]]&lt;0.65),"MEDIO",Tabla1[[#This Row],[Porcentaje de muertes]]&gt;0.65,"GRAVE")</f>
        <v>GRAVE</v>
      </c>
    </row>
    <row r="2861" spans="2:24" x14ac:dyDescent="0.3">
      <c r="B2861" s="9">
        <v>2860</v>
      </c>
      <c r="C2861" s="49">
        <v>27921</v>
      </c>
      <c r="D2861" s="9">
        <f>YEAR(Tabla1[[#This Row],[Date]])</f>
        <v>1976</v>
      </c>
      <c r="E2861" s="9" t="str" cm="1">
        <f t="array" ref="E2861">IFERROR(_xlfn.IFS(AND(D2861&lt;1980,D2861&gt;=1970),"70",AND(D2861&lt;1990,D2861&gt;=1980),"80",AND(D2861&lt;2000,D2861&gt;=1990),"90",AND(D2861&lt;2010,D2861&gt;=2000),"00",AND(D2861&lt;=2019,D2861&gt;=2010),"10"),"1908-1970")</f>
        <v>70</v>
      </c>
      <c r="F2861" s="3">
        <v>0.55833333333333335</v>
      </c>
      <c r="G2861" t="s">
        <v>17707</v>
      </c>
      <c r="H2861" t="s">
        <v>6524</v>
      </c>
      <c r="I2861">
        <v>455</v>
      </c>
      <c r="J2861" t="s">
        <v>17708</v>
      </c>
      <c r="K2861" t="s">
        <v>13585</v>
      </c>
      <c r="L2861" s="7" t="s">
        <v>17709</v>
      </c>
      <c r="M2861" t="s">
        <v>17710</v>
      </c>
      <c r="N2861">
        <v>73</v>
      </c>
      <c r="O2861">
        <v>48</v>
      </c>
      <c r="P2861">
        <v>25</v>
      </c>
      <c r="Q2861">
        <v>73</v>
      </c>
      <c r="R2861">
        <v>48</v>
      </c>
      <c r="S2861">
        <v>25</v>
      </c>
      <c r="T2861">
        <v>0</v>
      </c>
      <c r="U2861" t="s">
        <v>17711</v>
      </c>
      <c r="V2861">
        <f>Tabla1[[#This Row],[Aboard]]-Tabla1[[#This Row],[Fatalities]]</f>
        <v>0</v>
      </c>
      <c r="W2861" s="50">
        <f>IFERROR(Tabla1[[#This Row],[Fatalities]]/Tabla1[[#This Row],[Aboard]],0)</f>
        <v>1</v>
      </c>
      <c r="X2861" s="51" t="str" cm="1">
        <f t="array" ref="X2861">_xlfn.IFS(Tabla1[[#This Row],[Porcentaje de muertes]]&lt;0.35,"LEVE",AND(Tabla1[[#This Row],[Porcentaje de muertes]]&gt;0.35,Tabla1[[#This Row],[Porcentaje de muertes]]&lt;0.65),"MEDIO",Tabla1[[#This Row],[Porcentaje de muertes]]&gt;0.65,"GRAVE")</f>
        <v>GRAVE</v>
      </c>
    </row>
    <row r="2862" spans="2:24" x14ac:dyDescent="0.3">
      <c r="B2862" s="9">
        <v>2861</v>
      </c>
      <c r="C2862" s="49">
        <v>28046</v>
      </c>
      <c r="D2862" s="9">
        <f>YEAR(Tabla1[[#This Row],[Date]])</f>
        <v>1976</v>
      </c>
      <c r="E2862" s="9" t="str" cm="1">
        <f t="array" ref="E2862">IFERROR(_xlfn.IFS(AND(D2862&lt;1980,D2862&gt;=1970),"70",AND(D2862&lt;1990,D2862&gt;=1980),"80",AND(D2862&lt;2000,D2862&gt;=1990),"90",AND(D2862&lt;2010,D2862&gt;=2000),"00",AND(D2862&lt;=2019,D2862&gt;=2010),"10"),"1908-1970")</f>
        <v>70</v>
      </c>
      <c r="F2862" s="3">
        <v>0.56388888888888888</v>
      </c>
      <c r="G2862" t="s">
        <v>17712</v>
      </c>
      <c r="H2862" t="s">
        <v>14048</v>
      </c>
      <c r="I2862" t="s">
        <v>28931</v>
      </c>
      <c r="J2862" t="s">
        <v>17713</v>
      </c>
      <c r="K2862" t="s">
        <v>17714</v>
      </c>
      <c r="L2862" s="7" t="s">
        <v>17715</v>
      </c>
      <c r="M2862" t="s">
        <v>17716</v>
      </c>
      <c r="N2862">
        <v>3</v>
      </c>
      <c r="O2862">
        <v>0</v>
      </c>
      <c r="P2862">
        <v>3</v>
      </c>
      <c r="Q2862">
        <v>3</v>
      </c>
      <c r="R2862">
        <v>0</v>
      </c>
      <c r="S2862">
        <v>3</v>
      </c>
      <c r="T2862">
        <v>113</v>
      </c>
      <c r="U2862" t="s">
        <v>17717</v>
      </c>
      <c r="V2862">
        <f>Tabla1[[#This Row],[Aboard]]-Tabla1[[#This Row],[Fatalities]]</f>
        <v>0</v>
      </c>
      <c r="W2862" s="50">
        <f>IFERROR(Tabla1[[#This Row],[Fatalities]]/Tabla1[[#This Row],[Aboard]],0)</f>
        <v>1</v>
      </c>
      <c r="X2862" s="51" t="str" cm="1">
        <f t="array" ref="X2862">_xlfn.IFS(Tabla1[[#This Row],[Porcentaje de muertes]]&lt;0.35,"LEVE",AND(Tabla1[[#This Row],[Porcentaje de muertes]]&gt;0.35,Tabla1[[#This Row],[Porcentaje de muertes]]&lt;0.65),"MEDIO",Tabla1[[#This Row],[Porcentaje de muertes]]&gt;0.65,"GRAVE")</f>
        <v>GRAVE</v>
      </c>
    </row>
    <row r="2863" spans="2:24" x14ac:dyDescent="0.3">
      <c r="B2863" s="9">
        <v>2862</v>
      </c>
      <c r="C2863" s="49">
        <v>28046</v>
      </c>
      <c r="D2863" s="9">
        <f>YEAR(Tabla1[[#This Row],[Date]])</f>
        <v>1976</v>
      </c>
      <c r="E2863" s="9" t="str" cm="1">
        <f t="array" ref="E2863">IFERROR(_xlfn.IFS(AND(D2863&lt;1980,D2863&gt;=1970),"70",AND(D2863&lt;1990,D2863&gt;=1980),"80",AND(D2863&lt;2000,D2863&gt;=1990),"90",AND(D2863&lt;2010,D2863&gt;=2000),"00",AND(D2863&lt;=2019,D2863&gt;=2010),"10"),"1908-1970")</f>
        <v>70</v>
      </c>
      <c r="F2863" s="3">
        <v>6.7361111111111108E-2</v>
      </c>
      <c r="G2863" t="s">
        <v>9841</v>
      </c>
      <c r="H2863" t="s">
        <v>11150</v>
      </c>
      <c r="I2863" t="s">
        <v>28931</v>
      </c>
      <c r="J2863" t="s">
        <v>17718</v>
      </c>
      <c r="K2863" t="s">
        <v>16987</v>
      </c>
      <c r="L2863" s="7" t="s">
        <v>17719</v>
      </c>
      <c r="M2863">
        <v>231</v>
      </c>
      <c r="N2863">
        <v>95</v>
      </c>
      <c r="O2863">
        <v>89</v>
      </c>
      <c r="P2863">
        <v>6</v>
      </c>
      <c r="Q2863">
        <v>95</v>
      </c>
      <c r="R2863">
        <v>89</v>
      </c>
      <c r="S2863">
        <v>6</v>
      </c>
      <c r="T2863">
        <v>0</v>
      </c>
      <c r="U2863" t="s">
        <v>17720</v>
      </c>
      <c r="V2863">
        <f>Tabla1[[#This Row],[Aboard]]-Tabla1[[#This Row],[Fatalities]]</f>
        <v>0</v>
      </c>
      <c r="W2863" s="50">
        <f>IFERROR(Tabla1[[#This Row],[Fatalities]]/Tabla1[[#This Row],[Aboard]],0)</f>
        <v>1</v>
      </c>
      <c r="X2863" s="51" t="str" cm="1">
        <f t="array" ref="X2863">_xlfn.IFS(Tabla1[[#This Row],[Porcentaje de muertes]]&lt;0.35,"LEVE",AND(Tabla1[[#This Row],[Porcentaje de muertes]]&gt;0.35,Tabla1[[#This Row],[Porcentaje de muertes]]&lt;0.65),"MEDIO",Tabla1[[#This Row],[Porcentaje de muertes]]&gt;0.65,"GRAVE")</f>
        <v>GRAVE</v>
      </c>
    </row>
    <row r="2864" spans="2:24" x14ac:dyDescent="0.3">
      <c r="B2864" s="9">
        <v>2863</v>
      </c>
      <c r="C2864" s="49">
        <v>28061</v>
      </c>
      <c r="D2864" s="9">
        <f>YEAR(Tabla1[[#This Row],[Date]])</f>
        <v>1976</v>
      </c>
      <c r="E2864" s="9" t="str" cm="1">
        <f t="array" ref="E2864">IFERROR(_xlfn.IFS(AND(D2864&lt;1980,D2864&gt;=1970),"70",AND(D2864&lt;1990,D2864&gt;=1980),"80",AND(D2864&lt;2000,D2864&gt;=1990),"90",AND(D2864&lt;2010,D2864&gt;=2000),"00",AND(D2864&lt;=2019,D2864&gt;=2010),"10"),"1908-1970")</f>
        <v>70</v>
      </c>
      <c r="F2864" s="3" t="s">
        <v>28931</v>
      </c>
      <c r="G2864" t="s">
        <v>17721</v>
      </c>
      <c r="H2864" t="s">
        <v>17722</v>
      </c>
      <c r="I2864" t="s">
        <v>28931</v>
      </c>
      <c r="J2864" t="s">
        <v>17723</v>
      </c>
      <c r="K2864" t="s">
        <v>17332</v>
      </c>
      <c r="L2864" s="7" t="s">
        <v>17724</v>
      </c>
      <c r="M2864">
        <v>110004</v>
      </c>
      <c r="N2864">
        <v>7</v>
      </c>
      <c r="O2864">
        <v>5</v>
      </c>
      <c r="P2864">
        <v>2</v>
      </c>
      <c r="Q2864">
        <v>2</v>
      </c>
      <c r="R2864">
        <v>0</v>
      </c>
      <c r="S2864">
        <v>2</v>
      </c>
      <c r="T2864">
        <v>0</v>
      </c>
      <c r="U2864" t="s">
        <v>17725</v>
      </c>
      <c r="V2864">
        <f>Tabla1[[#This Row],[Aboard]]-Tabla1[[#This Row],[Fatalities]]</f>
        <v>5</v>
      </c>
      <c r="W2864" s="50">
        <f>IFERROR(Tabla1[[#This Row],[Fatalities]]/Tabla1[[#This Row],[Aboard]],0)</f>
        <v>0.2857142857142857</v>
      </c>
      <c r="X2864" s="51" t="str" cm="1">
        <f t="array" ref="X2864">_xlfn.IFS(Tabla1[[#This Row],[Porcentaje de muertes]]&lt;0.35,"LEVE",AND(Tabla1[[#This Row],[Porcentaje de muertes]]&gt;0.35,Tabla1[[#This Row],[Porcentaje de muertes]]&lt;0.65),"MEDIO",Tabla1[[#This Row],[Porcentaje de muertes]]&gt;0.65,"GRAVE")</f>
        <v>LEVE</v>
      </c>
    </row>
    <row r="2865" spans="2:24" x14ac:dyDescent="0.3">
      <c r="B2865" s="9">
        <v>2864</v>
      </c>
      <c r="C2865" s="49">
        <v>27861</v>
      </c>
      <c r="D2865" s="9">
        <f>YEAR(Tabla1[[#This Row],[Date]])</f>
        <v>1976</v>
      </c>
      <c r="E2865" s="9" t="str" cm="1">
        <f t="array" ref="E2865">IFERROR(_xlfn.IFS(AND(D2865&lt;1980,D2865&gt;=1970),"70",AND(D2865&lt;1990,D2865&gt;=1980),"80",AND(D2865&lt;2000,D2865&gt;=1990),"90",AND(D2865&lt;2010,D2865&gt;=2000),"00",AND(D2865&lt;=2019,D2865&gt;=2010),"10"),"1908-1970")</f>
        <v>70</v>
      </c>
      <c r="F2865" s="3" t="s">
        <v>28931</v>
      </c>
      <c r="G2865" t="s">
        <v>17726</v>
      </c>
      <c r="H2865" t="s">
        <v>17727</v>
      </c>
      <c r="I2865" t="s">
        <v>28931</v>
      </c>
      <c r="J2865" t="s">
        <v>17728</v>
      </c>
      <c r="K2865" t="s">
        <v>12968</v>
      </c>
      <c r="L2865" s="7" t="s">
        <v>17729</v>
      </c>
      <c r="M2865">
        <v>10142</v>
      </c>
      <c r="N2865">
        <v>38</v>
      </c>
      <c r="O2865">
        <v>33</v>
      </c>
      <c r="P2865">
        <v>5</v>
      </c>
      <c r="Q2865">
        <v>29</v>
      </c>
      <c r="R2865">
        <v>25</v>
      </c>
      <c r="S2865">
        <v>4</v>
      </c>
      <c r="T2865">
        <v>0</v>
      </c>
      <c r="U2865" t="s">
        <v>17730</v>
      </c>
      <c r="V2865">
        <f>Tabla1[[#This Row],[Aboard]]-Tabla1[[#This Row],[Fatalities]]</f>
        <v>9</v>
      </c>
      <c r="W2865" s="50">
        <f>IFERROR(Tabla1[[#This Row],[Fatalities]]/Tabla1[[#This Row],[Aboard]],0)</f>
        <v>0.76315789473684215</v>
      </c>
      <c r="X2865" s="51" t="str" cm="1">
        <f t="array" ref="X2865">_xlfn.IFS(Tabla1[[#This Row],[Porcentaje de muertes]]&lt;0.35,"LEVE",AND(Tabla1[[#This Row],[Porcentaje de muertes]]&gt;0.35,Tabla1[[#This Row],[Porcentaje de muertes]]&lt;0.65),"MEDIO",Tabla1[[#This Row],[Porcentaje de muertes]]&gt;0.65,"GRAVE")</f>
        <v>GRAVE</v>
      </c>
    </row>
    <row r="2866" spans="2:24" x14ac:dyDescent="0.3">
      <c r="B2866" s="9">
        <v>2865</v>
      </c>
      <c r="C2866" s="49">
        <v>27891</v>
      </c>
      <c r="D2866" s="9">
        <f>YEAR(Tabla1[[#This Row],[Date]])</f>
        <v>1976</v>
      </c>
      <c r="E2866" s="9" t="str" cm="1">
        <f t="array" ref="E2866">IFERROR(_xlfn.IFS(AND(D2866&lt;1980,D2866&gt;=1970),"70",AND(D2866&lt;1990,D2866&gt;=1980),"80",AND(D2866&lt;2000,D2866&gt;=1990),"90",AND(D2866&lt;2010,D2866&gt;=2000),"00",AND(D2866&lt;=2019,D2866&gt;=2010),"10"),"1908-1970")</f>
        <v>70</v>
      </c>
      <c r="F2866" s="3" t="s">
        <v>28931</v>
      </c>
      <c r="G2866" t="s">
        <v>5497</v>
      </c>
      <c r="H2866" t="s">
        <v>17731</v>
      </c>
      <c r="I2866" t="s">
        <v>28931</v>
      </c>
      <c r="J2866" t="s">
        <v>17732</v>
      </c>
      <c r="K2866" t="s">
        <v>7057</v>
      </c>
      <c r="L2866" s="7" t="s">
        <v>17733</v>
      </c>
      <c r="M2866">
        <v>43073</v>
      </c>
      <c r="N2866">
        <v>2</v>
      </c>
      <c r="O2866">
        <v>0</v>
      </c>
      <c r="P2866">
        <v>2</v>
      </c>
      <c r="Q2866">
        <v>2</v>
      </c>
      <c r="R2866">
        <v>0</v>
      </c>
      <c r="S2866">
        <v>2</v>
      </c>
      <c r="T2866">
        <v>0</v>
      </c>
      <c r="U2866" t="s">
        <v>17734</v>
      </c>
      <c r="V2866">
        <f>Tabla1[[#This Row],[Aboard]]-Tabla1[[#This Row],[Fatalities]]</f>
        <v>0</v>
      </c>
      <c r="W2866" s="50">
        <f>IFERROR(Tabla1[[#This Row],[Fatalities]]/Tabla1[[#This Row],[Aboard]],0)</f>
        <v>1</v>
      </c>
      <c r="X2866" s="51" t="str" cm="1">
        <f t="array" ref="X2866">_xlfn.IFS(Tabla1[[#This Row],[Porcentaje de muertes]]&lt;0.35,"LEVE",AND(Tabla1[[#This Row],[Porcentaje de muertes]]&gt;0.35,Tabla1[[#This Row],[Porcentaje de muertes]]&lt;0.65),"MEDIO",Tabla1[[#This Row],[Porcentaje de muertes]]&gt;0.65,"GRAVE")</f>
        <v>GRAVE</v>
      </c>
    </row>
    <row r="2867" spans="2:24" x14ac:dyDescent="0.3">
      <c r="B2867" s="9">
        <v>2866</v>
      </c>
      <c r="C2867" s="49">
        <v>28087</v>
      </c>
      <c r="D2867" s="9">
        <f>YEAR(Tabla1[[#This Row],[Date]])</f>
        <v>1976</v>
      </c>
      <c r="E2867" s="9" t="str" cm="1">
        <f t="array" ref="E2867">IFERROR(_xlfn.IFS(AND(D2867&lt;1980,D2867&gt;=1970),"70",AND(D2867&lt;1990,D2867&gt;=1980),"80",AND(D2867&lt;2000,D2867&gt;=1990),"90",AND(D2867&lt;2010,D2867&gt;=2000),"00",AND(D2867&lt;=2019,D2867&gt;=2010),"10"),"1908-1970")</f>
        <v>70</v>
      </c>
      <c r="F2867" s="3">
        <v>0.40625</v>
      </c>
      <c r="G2867" t="s">
        <v>17735</v>
      </c>
      <c r="H2867" t="s">
        <v>12792</v>
      </c>
      <c r="I2867" t="s">
        <v>28931</v>
      </c>
      <c r="J2867" t="s">
        <v>17736</v>
      </c>
      <c r="K2867" t="s">
        <v>17737</v>
      </c>
      <c r="L2867" s="7" t="s">
        <v>17738</v>
      </c>
      <c r="M2867">
        <v>2156</v>
      </c>
      <c r="N2867">
        <v>50</v>
      </c>
      <c r="O2867">
        <v>46</v>
      </c>
      <c r="P2867">
        <v>4</v>
      </c>
      <c r="Q2867">
        <v>50</v>
      </c>
      <c r="R2867">
        <v>46</v>
      </c>
      <c r="S2867">
        <v>4</v>
      </c>
      <c r="T2867">
        <v>0</v>
      </c>
      <c r="U2867" t="s">
        <v>17739</v>
      </c>
      <c r="V2867">
        <f>Tabla1[[#This Row],[Aboard]]-Tabla1[[#This Row],[Fatalities]]</f>
        <v>0</v>
      </c>
      <c r="W2867" s="50">
        <f>IFERROR(Tabla1[[#This Row],[Fatalities]]/Tabla1[[#This Row],[Aboard]],0)</f>
        <v>1</v>
      </c>
      <c r="X2867" s="51" t="str" cm="1">
        <f t="array" ref="X2867">_xlfn.IFS(Tabla1[[#This Row],[Porcentaje de muertes]]&lt;0.35,"LEVE",AND(Tabla1[[#This Row],[Porcentaje de muertes]]&gt;0.35,Tabla1[[#This Row],[Porcentaje de muertes]]&lt;0.65),"MEDIO",Tabla1[[#This Row],[Porcentaje de muertes]]&gt;0.65,"GRAVE")</f>
        <v>GRAVE</v>
      </c>
    </row>
    <row r="2868" spans="2:24" x14ac:dyDescent="0.3">
      <c r="B2868" s="9">
        <v>2867</v>
      </c>
      <c r="C2868" s="49">
        <v>28092</v>
      </c>
      <c r="D2868" s="9">
        <f>YEAR(Tabla1[[#This Row],[Date]])</f>
        <v>1976</v>
      </c>
      <c r="E2868" s="9" t="str" cm="1">
        <f t="array" ref="E2868">IFERROR(_xlfn.IFS(AND(D2868&lt;1980,D2868&gt;=1970),"70",AND(D2868&lt;1990,D2868&gt;=1980),"80",AND(D2868&lt;2000,D2868&gt;=1990),"90",AND(D2868&lt;2010,D2868&gt;=2000),"00",AND(D2868&lt;=2019,D2868&gt;=2010),"10"),"1908-1970")</f>
        <v>70</v>
      </c>
      <c r="F2868" s="3">
        <v>0.78888888888888886</v>
      </c>
      <c r="G2868" t="s">
        <v>10681</v>
      </c>
      <c r="H2868" t="s">
        <v>6541</v>
      </c>
      <c r="I2868">
        <v>2415</v>
      </c>
      <c r="J2868" t="s">
        <v>17740</v>
      </c>
      <c r="K2868" t="s">
        <v>13269</v>
      </c>
      <c r="L2868" s="7" t="s">
        <v>17741</v>
      </c>
      <c r="M2868">
        <v>21204</v>
      </c>
      <c r="N2868">
        <v>73</v>
      </c>
      <c r="O2868">
        <v>67</v>
      </c>
      <c r="P2868">
        <v>6</v>
      </c>
      <c r="Q2868">
        <v>73</v>
      </c>
      <c r="R2868">
        <v>67</v>
      </c>
      <c r="S2868">
        <v>6</v>
      </c>
      <c r="T2868">
        <v>0</v>
      </c>
      <c r="U2868" t="s">
        <v>17742</v>
      </c>
      <c r="V2868">
        <f>Tabla1[[#This Row],[Aboard]]-Tabla1[[#This Row],[Fatalities]]</f>
        <v>0</v>
      </c>
      <c r="W2868" s="50">
        <f>IFERROR(Tabla1[[#This Row],[Fatalities]]/Tabla1[[#This Row],[Aboard]],0)</f>
        <v>1</v>
      </c>
      <c r="X2868" s="51" t="str" cm="1">
        <f t="array" ref="X2868">_xlfn.IFS(Tabla1[[#This Row],[Porcentaje de muertes]]&lt;0.35,"LEVE",AND(Tabla1[[#This Row],[Porcentaje de muertes]]&gt;0.35,Tabla1[[#This Row],[Porcentaje de muertes]]&lt;0.65),"MEDIO",Tabla1[[#This Row],[Porcentaje de muertes]]&gt;0.65,"GRAVE")</f>
        <v>GRAVE</v>
      </c>
    </row>
    <row r="2869" spans="2:24" x14ac:dyDescent="0.3">
      <c r="B2869" s="9">
        <v>2868</v>
      </c>
      <c r="C2869" s="49">
        <v>28106</v>
      </c>
      <c r="D2869" s="9">
        <f>YEAR(Tabla1[[#This Row],[Date]])</f>
        <v>1976</v>
      </c>
      <c r="E2869" s="9" t="str" cm="1">
        <f t="array" ref="E2869">IFERROR(_xlfn.IFS(AND(D2869&lt;1980,D2869&gt;=1970),"70",AND(D2869&lt;1990,D2869&gt;=1980),"80",AND(D2869&lt;2000,D2869&gt;=1990),"90",AND(D2869&lt;2010,D2869&gt;=2000),"00",AND(D2869&lt;=2019,D2869&gt;=2010),"10"),"1908-1970")</f>
        <v>70</v>
      </c>
      <c r="F2869" s="3">
        <v>0.97638888888888886</v>
      </c>
      <c r="G2869" t="s">
        <v>17743</v>
      </c>
      <c r="H2869" t="s">
        <v>17744</v>
      </c>
      <c r="I2869">
        <v>977</v>
      </c>
      <c r="J2869" t="s">
        <v>17745</v>
      </c>
      <c r="K2869" t="s">
        <v>16680</v>
      </c>
      <c r="L2869" s="7" t="s">
        <v>17746</v>
      </c>
      <c r="M2869">
        <v>262</v>
      </c>
      <c r="N2869">
        <v>10</v>
      </c>
      <c r="O2869">
        <v>8</v>
      </c>
      <c r="P2869">
        <v>2</v>
      </c>
      <c r="Q2869">
        <v>3</v>
      </c>
      <c r="R2869">
        <v>3</v>
      </c>
      <c r="S2869">
        <v>1</v>
      </c>
      <c r="T2869">
        <v>0</v>
      </c>
      <c r="U2869" t="s">
        <v>17747</v>
      </c>
      <c r="V2869">
        <f>Tabla1[[#This Row],[Aboard]]-Tabla1[[#This Row],[Fatalities]]</f>
        <v>7</v>
      </c>
      <c r="W2869" s="50">
        <f>IFERROR(Tabla1[[#This Row],[Fatalities]]/Tabla1[[#This Row],[Aboard]],0)</f>
        <v>0.3</v>
      </c>
      <c r="X2869" s="51" t="str" cm="1">
        <f t="array" ref="X2869">_xlfn.IFS(Tabla1[[#This Row],[Porcentaje de muertes]]&lt;0.35,"LEVE",AND(Tabla1[[#This Row],[Porcentaje de muertes]]&gt;0.35,Tabla1[[#This Row],[Porcentaje de muertes]]&lt;0.65),"MEDIO",Tabla1[[#This Row],[Porcentaje de muertes]]&gt;0.65,"GRAVE")</f>
        <v>LEVE</v>
      </c>
    </row>
    <row r="2870" spans="2:24" x14ac:dyDescent="0.3">
      <c r="B2870" s="9">
        <v>2869</v>
      </c>
      <c r="C2870" s="49">
        <v>28111</v>
      </c>
      <c r="D2870" s="9">
        <f>YEAR(Tabla1[[#This Row],[Date]])</f>
        <v>1976</v>
      </c>
      <c r="E2870" s="9" t="str" cm="1">
        <f t="array" ref="E2870">IFERROR(_xlfn.IFS(AND(D2870&lt;1980,D2870&gt;=1970),"70",AND(D2870&lt;1990,D2870&gt;=1980),"80",AND(D2870&lt;2000,D2870&gt;=1990),"90",AND(D2870&lt;2010,D2870&gt;=2000),"00",AND(D2870&lt;=2019,D2870&gt;=2010),"10"),"1908-1970")</f>
        <v>70</v>
      </c>
      <c r="F2870" s="3">
        <v>0.81944444444444453</v>
      </c>
      <c r="G2870" t="s">
        <v>17748</v>
      </c>
      <c r="H2870" t="s">
        <v>6541</v>
      </c>
      <c r="I2870" t="s">
        <v>28931</v>
      </c>
      <c r="J2870" t="s">
        <v>17749</v>
      </c>
      <c r="K2870" t="s">
        <v>17256</v>
      </c>
      <c r="L2870" s="7" t="s">
        <v>17750</v>
      </c>
      <c r="M2870" t="s">
        <v>17751</v>
      </c>
      <c r="N2870">
        <v>7</v>
      </c>
      <c r="O2870">
        <v>4</v>
      </c>
      <c r="P2870">
        <v>3</v>
      </c>
      <c r="Q2870">
        <v>7</v>
      </c>
      <c r="R2870">
        <v>4</v>
      </c>
      <c r="S2870">
        <v>3</v>
      </c>
      <c r="T2870">
        <v>0</v>
      </c>
      <c r="U2870" t="s">
        <v>17752</v>
      </c>
      <c r="V2870">
        <f>Tabla1[[#This Row],[Aboard]]-Tabla1[[#This Row],[Fatalities]]</f>
        <v>0</v>
      </c>
      <c r="W2870" s="50">
        <f>IFERROR(Tabla1[[#This Row],[Fatalities]]/Tabla1[[#This Row],[Aboard]],0)</f>
        <v>1</v>
      </c>
      <c r="X2870" s="51" t="str" cm="1">
        <f t="array" ref="X2870">_xlfn.IFS(Tabla1[[#This Row],[Porcentaje de muertes]]&lt;0.35,"LEVE",AND(Tabla1[[#This Row],[Porcentaje de muertes]]&gt;0.35,Tabla1[[#This Row],[Porcentaje de muertes]]&lt;0.65),"MEDIO",Tabla1[[#This Row],[Porcentaje de muertes]]&gt;0.65,"GRAVE")</f>
        <v>GRAVE</v>
      </c>
    </row>
    <row r="2871" spans="2:24" x14ac:dyDescent="0.3">
      <c r="B2871" s="9">
        <v>2870</v>
      </c>
      <c r="C2871" s="49">
        <v>28111</v>
      </c>
      <c r="D2871" s="9">
        <f>YEAR(Tabla1[[#This Row],[Date]])</f>
        <v>1976</v>
      </c>
      <c r="E2871" s="9" t="str" cm="1">
        <f t="array" ref="E2871">IFERROR(_xlfn.IFS(AND(D2871&lt;1980,D2871&gt;=1970),"70",AND(D2871&lt;1990,D2871&gt;=1980),"80",AND(D2871&lt;2000,D2871&gt;=1990),"90",AND(D2871&lt;2010,D2871&gt;=2000),"00",AND(D2871&lt;=2019,D2871&gt;=2010),"10"),"1908-1970")</f>
        <v>70</v>
      </c>
      <c r="F2871" s="3">
        <v>0.89583333333333337</v>
      </c>
      <c r="G2871" t="s">
        <v>17753</v>
      </c>
      <c r="H2871" t="s">
        <v>6541</v>
      </c>
      <c r="I2871" t="s">
        <v>17754</v>
      </c>
      <c r="J2871" t="s">
        <v>17755</v>
      </c>
      <c r="K2871" t="s">
        <v>17266</v>
      </c>
      <c r="L2871" s="7" t="s">
        <v>17756</v>
      </c>
      <c r="M2871">
        <v>47309604</v>
      </c>
      <c r="N2871">
        <v>55</v>
      </c>
      <c r="O2871">
        <v>50</v>
      </c>
      <c r="P2871">
        <v>5</v>
      </c>
      <c r="Q2871">
        <v>48</v>
      </c>
      <c r="R2871">
        <v>44</v>
      </c>
      <c r="S2871">
        <v>4</v>
      </c>
      <c r="T2871">
        <v>0</v>
      </c>
      <c r="U2871" t="s">
        <v>17757</v>
      </c>
      <c r="V2871">
        <f>Tabla1[[#This Row],[Aboard]]-Tabla1[[#This Row],[Fatalities]]</f>
        <v>7</v>
      </c>
      <c r="W2871" s="50">
        <f>IFERROR(Tabla1[[#This Row],[Fatalities]]/Tabla1[[#This Row],[Aboard]],0)</f>
        <v>0.87272727272727268</v>
      </c>
      <c r="X2871" s="51" t="str" cm="1">
        <f t="array" ref="X2871">_xlfn.IFS(Tabla1[[#This Row],[Porcentaje de muertes]]&lt;0.35,"LEVE",AND(Tabla1[[#This Row],[Porcentaje de muertes]]&gt;0.35,Tabla1[[#This Row],[Porcentaje de muertes]]&lt;0.65),"MEDIO",Tabla1[[#This Row],[Porcentaje de muertes]]&gt;0.65,"GRAVE")</f>
        <v>GRAVE</v>
      </c>
    </row>
    <row r="2872" spans="2:24" x14ac:dyDescent="0.3">
      <c r="B2872" s="9">
        <v>2871</v>
      </c>
      <c r="C2872" s="49">
        <v>28112</v>
      </c>
      <c r="D2872" s="9">
        <f>YEAR(Tabla1[[#This Row],[Date]])</f>
        <v>1976</v>
      </c>
      <c r="E2872" s="9" t="str" cm="1">
        <f t="array" ref="E2872">IFERROR(_xlfn.IFS(AND(D2872&lt;1980,D2872&gt;=1970),"70",AND(D2872&lt;1990,D2872&gt;=1980),"80",AND(D2872&lt;2000,D2872&gt;=1990),"90",AND(D2872&lt;2010,D2872&gt;=2000),"00",AND(D2872&lt;=2019,D2872&gt;=2010),"10"),"1908-1970")</f>
        <v>70</v>
      </c>
      <c r="F2872" s="3">
        <v>0.7055555555555556</v>
      </c>
      <c r="G2872" t="s">
        <v>17758</v>
      </c>
      <c r="H2872" t="s">
        <v>6541</v>
      </c>
      <c r="I2872" t="s">
        <v>28931</v>
      </c>
      <c r="J2872" t="s">
        <v>17759</v>
      </c>
      <c r="K2872" t="s">
        <v>17760</v>
      </c>
      <c r="L2872" s="7" t="s">
        <v>17761</v>
      </c>
      <c r="M2872">
        <v>147001247</v>
      </c>
      <c r="N2872">
        <v>8</v>
      </c>
      <c r="O2872">
        <v>3</v>
      </c>
      <c r="P2872">
        <v>5</v>
      </c>
      <c r="Q2872">
        <v>8</v>
      </c>
      <c r="R2872">
        <v>3</v>
      </c>
      <c r="S2872">
        <v>5</v>
      </c>
      <c r="T2872">
        <v>0</v>
      </c>
      <c r="U2872" t="s">
        <v>17762</v>
      </c>
      <c r="V2872">
        <f>Tabla1[[#This Row],[Aboard]]-Tabla1[[#This Row],[Fatalities]]</f>
        <v>0</v>
      </c>
      <c r="W2872" s="50">
        <f>IFERROR(Tabla1[[#This Row],[Fatalities]]/Tabla1[[#This Row],[Aboard]],0)</f>
        <v>1</v>
      </c>
      <c r="X2872" s="51" t="str" cm="1">
        <f t="array" ref="X2872">_xlfn.IFS(Tabla1[[#This Row],[Porcentaje de muertes]]&lt;0.35,"LEVE",AND(Tabla1[[#This Row],[Porcentaje de muertes]]&gt;0.35,Tabla1[[#This Row],[Porcentaje de muertes]]&lt;0.65),"MEDIO",Tabla1[[#This Row],[Porcentaje de muertes]]&gt;0.65,"GRAVE")</f>
        <v>GRAVE</v>
      </c>
    </row>
    <row r="2873" spans="2:24" x14ac:dyDescent="0.3">
      <c r="B2873" s="9">
        <v>2872</v>
      </c>
      <c r="C2873" s="49">
        <v>28119</v>
      </c>
      <c r="D2873" s="9">
        <f>YEAR(Tabla1[[#This Row],[Date]])</f>
        <v>1976</v>
      </c>
      <c r="E2873" s="9" t="str" cm="1">
        <f t="array" ref="E2873">IFERROR(_xlfn.IFS(AND(D2873&lt;1980,D2873&gt;=1970),"70",AND(D2873&lt;1990,D2873&gt;=1980),"80",AND(D2873&lt;2000,D2873&gt;=1990),"90",AND(D2873&lt;2010,D2873&gt;=2000),"00",AND(D2873&lt;=2019,D2873&gt;=2010),"10"),"1908-1970")</f>
        <v>70</v>
      </c>
      <c r="F2873" s="3">
        <v>0.15625</v>
      </c>
      <c r="G2873" t="s">
        <v>13601</v>
      </c>
      <c r="H2873" t="s">
        <v>17763</v>
      </c>
      <c r="I2873">
        <v>864</v>
      </c>
      <c r="J2873" t="s">
        <v>17764</v>
      </c>
      <c r="K2873" t="s">
        <v>17765</v>
      </c>
      <c r="L2873" s="7" t="s">
        <v>17766</v>
      </c>
      <c r="M2873">
        <v>20763</v>
      </c>
      <c r="N2873">
        <v>53</v>
      </c>
      <c r="O2873">
        <v>44</v>
      </c>
      <c r="P2873">
        <v>9</v>
      </c>
      <c r="Q2873">
        <v>53</v>
      </c>
      <c r="R2873">
        <v>44</v>
      </c>
      <c r="S2873">
        <v>9</v>
      </c>
      <c r="T2873">
        <v>19</v>
      </c>
      <c r="U2873" t="s">
        <v>17767</v>
      </c>
      <c r="V2873">
        <f>Tabla1[[#This Row],[Aboard]]-Tabla1[[#This Row],[Fatalities]]</f>
        <v>0</v>
      </c>
      <c r="W2873" s="50">
        <f>IFERROR(Tabla1[[#This Row],[Fatalities]]/Tabla1[[#This Row],[Aboard]],0)</f>
        <v>1</v>
      </c>
      <c r="X2873" s="51" t="str" cm="1">
        <f t="array" ref="X2873">_xlfn.IFS(Tabla1[[#This Row],[Porcentaje de muertes]]&lt;0.35,"LEVE",AND(Tabla1[[#This Row],[Porcentaje de muertes]]&gt;0.35,Tabla1[[#This Row],[Porcentaje de muertes]]&lt;0.65),"MEDIO",Tabla1[[#This Row],[Porcentaje de muertes]]&gt;0.65,"GRAVE")</f>
        <v>GRAVE</v>
      </c>
    </row>
    <row r="2874" spans="2:24" x14ac:dyDescent="0.3">
      <c r="B2874" s="9">
        <v>2873</v>
      </c>
      <c r="C2874" s="49">
        <v>28125</v>
      </c>
      <c r="D2874" s="9">
        <f>YEAR(Tabla1[[#This Row],[Date]])</f>
        <v>1976</v>
      </c>
      <c r="E2874" s="9" t="str" cm="1">
        <f t="array" ref="E2874">IFERROR(_xlfn.IFS(AND(D2874&lt;1980,D2874&gt;=1970),"70",AND(D2874&lt;1990,D2874&gt;=1980),"80",AND(D2874&lt;2000,D2874&gt;=1990),"90",AND(D2874&lt;2010,D2874&gt;=2000),"00",AND(D2874&lt;=2019,D2874&gt;=2010),"10"),"1908-1970")</f>
        <v>70</v>
      </c>
      <c r="F2874" s="3" t="s">
        <v>28931</v>
      </c>
      <c r="G2874" t="s">
        <v>17768</v>
      </c>
      <c r="H2874" t="s">
        <v>8477</v>
      </c>
      <c r="I2874" t="s">
        <v>28931</v>
      </c>
      <c r="J2874" t="s">
        <v>17769</v>
      </c>
      <c r="K2874" t="s">
        <v>9915</v>
      </c>
      <c r="L2874" s="7" t="s">
        <v>17770</v>
      </c>
      <c r="M2874">
        <v>7462</v>
      </c>
      <c r="N2874">
        <v>19</v>
      </c>
      <c r="O2874">
        <v>14</v>
      </c>
      <c r="P2874">
        <v>5</v>
      </c>
      <c r="Q2874">
        <v>19</v>
      </c>
      <c r="R2874">
        <v>14</v>
      </c>
      <c r="S2874">
        <v>5</v>
      </c>
      <c r="T2874">
        <v>0</v>
      </c>
      <c r="U2874" t="s">
        <v>17771</v>
      </c>
      <c r="V2874">
        <f>Tabla1[[#This Row],[Aboard]]-Tabla1[[#This Row],[Fatalities]]</f>
        <v>0</v>
      </c>
      <c r="W2874" s="50">
        <f>IFERROR(Tabla1[[#This Row],[Fatalities]]/Tabla1[[#This Row],[Aboard]],0)</f>
        <v>1</v>
      </c>
      <c r="X2874" s="51" t="str" cm="1">
        <f t="array" ref="X2874">_xlfn.IFS(Tabla1[[#This Row],[Porcentaje de muertes]]&lt;0.35,"LEVE",AND(Tabla1[[#This Row],[Porcentaje de muertes]]&gt;0.35,Tabla1[[#This Row],[Porcentaje de muertes]]&lt;0.65),"MEDIO",Tabla1[[#This Row],[Porcentaje de muertes]]&gt;0.65,"GRAVE")</f>
        <v>GRAVE</v>
      </c>
    </row>
    <row r="2875" spans="2:24" x14ac:dyDescent="0.3">
      <c r="B2875" s="9">
        <v>2874</v>
      </c>
      <c r="C2875" s="49">
        <v>28277</v>
      </c>
      <c r="D2875" s="9">
        <f>YEAR(Tabla1[[#This Row],[Date]])</f>
        <v>1977</v>
      </c>
      <c r="E2875" s="9" t="str" cm="1">
        <f t="array" ref="E2875">IFERROR(_xlfn.IFS(AND(D2875&lt;1980,D2875&gt;=1970),"70",AND(D2875&lt;1990,D2875&gt;=1980),"80",AND(D2875&lt;2000,D2875&gt;=1990),"90",AND(D2875&lt;2010,D2875&gt;=2000),"00",AND(D2875&lt;=2019,D2875&gt;=2010),"10"),"1908-1970")</f>
        <v>70</v>
      </c>
      <c r="F2875" s="3">
        <v>0.71180555555555547</v>
      </c>
      <c r="G2875" t="s">
        <v>14527</v>
      </c>
      <c r="H2875" t="s">
        <v>17772</v>
      </c>
      <c r="I2875" t="s">
        <v>28931</v>
      </c>
      <c r="J2875" t="s">
        <v>17773</v>
      </c>
      <c r="K2875" t="s">
        <v>17774</v>
      </c>
      <c r="L2875" s="7" t="s">
        <v>17775</v>
      </c>
      <c r="M2875" t="s">
        <v>17776</v>
      </c>
      <c r="N2875">
        <v>4</v>
      </c>
      <c r="O2875">
        <v>2</v>
      </c>
      <c r="P2875">
        <v>2</v>
      </c>
      <c r="Q2875">
        <v>4</v>
      </c>
      <c r="R2875">
        <v>2</v>
      </c>
      <c r="S2875">
        <v>2</v>
      </c>
      <c r="T2875">
        <v>0</v>
      </c>
      <c r="U2875" t="s">
        <v>17777</v>
      </c>
      <c r="V2875">
        <f>Tabla1[[#This Row],[Aboard]]-Tabla1[[#This Row],[Fatalities]]</f>
        <v>0</v>
      </c>
      <c r="W2875" s="50">
        <f>IFERROR(Tabla1[[#This Row],[Fatalities]]/Tabla1[[#This Row],[Aboard]],0)</f>
        <v>1</v>
      </c>
      <c r="X2875" s="51" t="str" cm="1">
        <f t="array" ref="X2875">_xlfn.IFS(Tabla1[[#This Row],[Porcentaje de muertes]]&lt;0.35,"LEVE",AND(Tabla1[[#This Row],[Porcentaje de muertes]]&gt;0.35,Tabla1[[#This Row],[Porcentaje de muertes]]&lt;0.65),"MEDIO",Tabla1[[#This Row],[Porcentaje de muertes]]&gt;0.65,"GRAVE")</f>
        <v>GRAVE</v>
      </c>
    </row>
    <row r="2876" spans="2:24" x14ac:dyDescent="0.3">
      <c r="B2876" s="9">
        <v>2875</v>
      </c>
      <c r="C2876" s="49">
        <v>28138</v>
      </c>
      <c r="D2876" s="9">
        <f>YEAR(Tabla1[[#This Row],[Date]])</f>
        <v>1977</v>
      </c>
      <c r="E2876" s="9" t="str" cm="1">
        <f t="array" ref="E2876">IFERROR(_xlfn.IFS(AND(D2876&lt;1980,D2876&gt;=1970),"70",AND(D2876&lt;1990,D2876&gt;=1980),"80",AND(D2876&lt;2000,D2876&gt;=1990),"90",AND(D2876&lt;2010,D2876&gt;=2000),"00",AND(D2876&lt;=2019,D2876&gt;=2010),"10"),"1908-1970")</f>
        <v>70</v>
      </c>
      <c r="F2876" s="3">
        <v>0.27499999999999997</v>
      </c>
      <c r="G2876" t="s">
        <v>16022</v>
      </c>
      <c r="H2876" t="s">
        <v>10695</v>
      </c>
      <c r="I2876" t="s">
        <v>28931</v>
      </c>
      <c r="J2876" t="s">
        <v>17778</v>
      </c>
      <c r="K2876" t="s">
        <v>17779</v>
      </c>
      <c r="L2876" s="7" t="s">
        <v>17780</v>
      </c>
      <c r="M2876" t="s">
        <v>17781</v>
      </c>
      <c r="N2876">
        <v>5</v>
      </c>
      <c r="O2876">
        <v>0</v>
      </c>
      <c r="P2876">
        <v>5</v>
      </c>
      <c r="Q2876">
        <v>5</v>
      </c>
      <c r="R2876">
        <v>0</v>
      </c>
      <c r="S2876">
        <v>5</v>
      </c>
      <c r="T2876">
        <v>0</v>
      </c>
      <c r="U2876" t="s">
        <v>17782</v>
      </c>
      <c r="V2876">
        <f>Tabla1[[#This Row],[Aboard]]-Tabla1[[#This Row],[Fatalities]]</f>
        <v>0</v>
      </c>
      <c r="W2876" s="50">
        <f>IFERROR(Tabla1[[#This Row],[Fatalities]]/Tabla1[[#This Row],[Aboard]],0)</f>
        <v>1</v>
      </c>
      <c r="X2876" s="51" t="str" cm="1">
        <f t="array" ref="X2876">_xlfn.IFS(Tabla1[[#This Row],[Porcentaje de muertes]]&lt;0.35,"LEVE",AND(Tabla1[[#This Row],[Porcentaje de muertes]]&gt;0.35,Tabla1[[#This Row],[Porcentaje de muertes]]&lt;0.65),"MEDIO",Tabla1[[#This Row],[Porcentaje de muertes]]&gt;0.65,"GRAVE")</f>
        <v>GRAVE</v>
      </c>
    </row>
    <row r="2877" spans="2:24" x14ac:dyDescent="0.3">
      <c r="B2877" s="9">
        <v>2876</v>
      </c>
      <c r="C2877" s="49">
        <v>28138</v>
      </c>
      <c r="D2877" s="9">
        <f>YEAR(Tabla1[[#This Row],[Date]])</f>
        <v>1977</v>
      </c>
      <c r="E2877" s="9" t="str" cm="1">
        <f t="array" ref="E2877">IFERROR(_xlfn.IFS(AND(D2877&lt;1980,D2877&gt;=1970),"70",AND(D2877&lt;1990,D2877&gt;=1980),"80",AND(D2877&lt;2000,D2877&gt;=1990),"90",AND(D2877&lt;2010,D2877&gt;=2000),"00",AND(D2877&lt;=2019,D2877&gt;=2010),"10"),"1908-1970")</f>
        <v>70</v>
      </c>
      <c r="F2877" s="3">
        <v>0.7597222222222223</v>
      </c>
      <c r="G2877" t="s">
        <v>17783</v>
      </c>
      <c r="H2877" t="s">
        <v>6541</v>
      </c>
      <c r="I2877">
        <v>3843</v>
      </c>
      <c r="J2877" t="s">
        <v>17784</v>
      </c>
      <c r="K2877" t="s">
        <v>12500</v>
      </c>
      <c r="L2877" s="7" t="s">
        <v>17785</v>
      </c>
      <c r="M2877">
        <v>86601203</v>
      </c>
      <c r="N2877">
        <v>90</v>
      </c>
      <c r="O2877">
        <v>82</v>
      </c>
      <c r="P2877">
        <v>8</v>
      </c>
      <c r="Q2877">
        <v>90</v>
      </c>
      <c r="R2877">
        <v>82</v>
      </c>
      <c r="S2877">
        <v>8</v>
      </c>
      <c r="T2877">
        <v>0</v>
      </c>
      <c r="U2877" t="s">
        <v>17786</v>
      </c>
      <c r="V2877">
        <f>Tabla1[[#This Row],[Aboard]]-Tabla1[[#This Row],[Fatalities]]</f>
        <v>0</v>
      </c>
      <c r="W2877" s="50">
        <f>IFERROR(Tabla1[[#This Row],[Fatalities]]/Tabla1[[#This Row],[Aboard]],0)</f>
        <v>1</v>
      </c>
      <c r="X2877" s="51" t="str" cm="1">
        <f t="array" ref="X2877">_xlfn.IFS(Tabla1[[#This Row],[Porcentaje de muertes]]&lt;0.35,"LEVE",AND(Tabla1[[#This Row],[Porcentaje de muertes]]&gt;0.35,Tabla1[[#This Row],[Porcentaje de muertes]]&lt;0.65),"MEDIO",Tabla1[[#This Row],[Porcentaje de muertes]]&gt;0.65,"GRAVE")</f>
        <v>GRAVE</v>
      </c>
    </row>
    <row r="2878" spans="2:24" x14ac:dyDescent="0.3">
      <c r="B2878" s="9">
        <v>2877</v>
      </c>
      <c r="C2878" s="49">
        <v>28139</v>
      </c>
      <c r="D2878" s="9">
        <f>YEAR(Tabla1[[#This Row],[Date]])</f>
        <v>1977</v>
      </c>
      <c r="E2878" s="9" t="str" cm="1">
        <f t="array" ref="E2878">IFERROR(_xlfn.IFS(AND(D2878&lt;1980,D2878&gt;=1970),"70",AND(D2878&lt;1990,D2878&gt;=1980),"80",AND(D2878&lt;2000,D2878&gt;=1990),"90",AND(D2878&lt;2010,D2878&gt;=2000),"00",AND(D2878&lt;=2019,D2878&gt;=2010),"10"),"1908-1970")</f>
        <v>70</v>
      </c>
      <c r="F2878" s="3" t="s">
        <v>28931</v>
      </c>
      <c r="G2878" t="s">
        <v>17787</v>
      </c>
      <c r="H2878" t="s">
        <v>17788</v>
      </c>
      <c r="I2878" t="s">
        <v>28931</v>
      </c>
      <c r="J2878" t="s">
        <v>17789</v>
      </c>
      <c r="K2878" t="s">
        <v>16680</v>
      </c>
      <c r="L2878" s="7" t="s">
        <v>17790</v>
      </c>
      <c r="M2878">
        <v>463</v>
      </c>
      <c r="N2878">
        <v>12</v>
      </c>
      <c r="O2878">
        <v>9</v>
      </c>
      <c r="P2878">
        <v>3</v>
      </c>
      <c r="Q2878">
        <v>12</v>
      </c>
      <c r="R2878">
        <v>9</v>
      </c>
      <c r="S2878">
        <v>3</v>
      </c>
      <c r="T2878">
        <v>0</v>
      </c>
      <c r="U2878" t="s">
        <v>17791</v>
      </c>
      <c r="V2878">
        <f>Tabla1[[#This Row],[Aboard]]-Tabla1[[#This Row],[Fatalities]]</f>
        <v>0</v>
      </c>
      <c r="W2878" s="50">
        <f>IFERROR(Tabla1[[#This Row],[Fatalities]]/Tabla1[[#This Row],[Aboard]],0)</f>
        <v>1</v>
      </c>
      <c r="X2878" s="51" t="str" cm="1">
        <f t="array" ref="X2878">_xlfn.IFS(Tabla1[[#This Row],[Porcentaje de muertes]]&lt;0.35,"LEVE",AND(Tabla1[[#This Row],[Porcentaje de muertes]]&gt;0.35,Tabla1[[#This Row],[Porcentaje de muertes]]&lt;0.65),"MEDIO",Tabla1[[#This Row],[Porcentaje de muertes]]&gt;0.65,"GRAVE")</f>
        <v>GRAVE</v>
      </c>
    </row>
    <row r="2879" spans="2:24" x14ac:dyDescent="0.3">
      <c r="B2879" s="9">
        <v>2878</v>
      </c>
      <c r="C2879" s="49">
        <v>28140</v>
      </c>
      <c r="D2879" s="9">
        <f>YEAR(Tabla1[[#This Row],[Date]])</f>
        <v>1977</v>
      </c>
      <c r="E2879" s="9" t="str" cm="1">
        <f t="array" ref="E2879">IFERROR(_xlfn.IFS(AND(D2879&lt;1980,D2879&gt;=1970),"70",AND(D2879&lt;1990,D2879&gt;=1980),"80",AND(D2879&lt;2000,D2879&gt;=1990),"90",AND(D2879&lt;2010,D2879&gt;=2000),"00",AND(D2879&lt;=2019,D2879&gt;=2010),"10"),"1908-1970")</f>
        <v>70</v>
      </c>
      <c r="F2879" s="3">
        <v>0.37847222222222227</v>
      </c>
      <c r="G2879" t="s">
        <v>17792</v>
      </c>
      <c r="H2879" t="s">
        <v>17793</v>
      </c>
      <c r="I2879" t="s">
        <v>28931</v>
      </c>
      <c r="J2879" t="s">
        <v>17794</v>
      </c>
      <c r="K2879" t="s">
        <v>17795</v>
      </c>
      <c r="L2879" s="7" t="s">
        <v>17796</v>
      </c>
      <c r="M2879">
        <v>372</v>
      </c>
      <c r="N2879">
        <v>22</v>
      </c>
      <c r="O2879">
        <v>19</v>
      </c>
      <c r="P2879">
        <v>3</v>
      </c>
      <c r="Q2879">
        <v>22</v>
      </c>
      <c r="R2879">
        <v>19</v>
      </c>
      <c r="S2879">
        <v>3</v>
      </c>
      <c r="T2879">
        <v>0</v>
      </c>
      <c r="U2879" t="s">
        <v>17797</v>
      </c>
      <c r="V2879">
        <f>Tabla1[[#This Row],[Aboard]]-Tabla1[[#This Row],[Fatalities]]</f>
        <v>0</v>
      </c>
      <c r="W2879" s="50">
        <f>IFERROR(Tabla1[[#This Row],[Fatalities]]/Tabla1[[#This Row],[Aboard]],0)</f>
        <v>1</v>
      </c>
      <c r="X2879" s="51" t="str" cm="1">
        <f t="array" ref="X2879">_xlfn.IFS(Tabla1[[#This Row],[Porcentaje de muertes]]&lt;0.35,"LEVE",AND(Tabla1[[#This Row],[Porcentaje de muertes]]&gt;0.35,Tabla1[[#This Row],[Porcentaje de muertes]]&lt;0.65),"MEDIO",Tabla1[[#This Row],[Porcentaje de muertes]]&gt;0.65,"GRAVE")</f>
        <v>GRAVE</v>
      </c>
    </row>
    <row r="2880" spans="2:24" x14ac:dyDescent="0.3">
      <c r="B2880" s="9">
        <v>2879</v>
      </c>
      <c r="C2880" s="49">
        <v>28145</v>
      </c>
      <c r="D2880" s="9">
        <f>YEAR(Tabla1[[#This Row],[Date]])</f>
        <v>1977</v>
      </c>
      <c r="E2880" s="9" t="str" cm="1">
        <f t="array" ref="E2880">IFERROR(_xlfn.IFS(AND(D2880&lt;1980,D2880&gt;=1970),"70",AND(D2880&lt;1990,D2880&gt;=1980),"80",AND(D2880&lt;2000,D2880&gt;=1990),"90",AND(D2880&lt;2010,D2880&gt;=2000),"00",AND(D2880&lt;=2019,D2880&gt;=2010),"10"),"1908-1970")</f>
        <v>70</v>
      </c>
      <c r="F2880" s="3" t="s">
        <v>28931</v>
      </c>
      <c r="H2880" t="s">
        <v>17798</v>
      </c>
      <c r="I2880" t="s">
        <v>28931</v>
      </c>
      <c r="J2880" t="s">
        <v>28931</v>
      </c>
      <c r="K2880" t="s">
        <v>13359</v>
      </c>
      <c r="L2880" s="7" t="s">
        <v>17799</v>
      </c>
      <c r="M2880">
        <v>13253</v>
      </c>
      <c r="N2880">
        <v>2</v>
      </c>
      <c r="O2880">
        <v>0</v>
      </c>
      <c r="P2880">
        <v>2</v>
      </c>
      <c r="Q2880">
        <v>1</v>
      </c>
      <c r="R2880">
        <v>0</v>
      </c>
      <c r="S2880">
        <v>1</v>
      </c>
      <c r="T2880">
        <v>0</v>
      </c>
      <c r="U2880" t="s">
        <v>17800</v>
      </c>
      <c r="V2880">
        <f>Tabla1[[#This Row],[Aboard]]-Tabla1[[#This Row],[Fatalities]]</f>
        <v>1</v>
      </c>
      <c r="W2880" s="50">
        <f>IFERROR(Tabla1[[#This Row],[Fatalities]]/Tabla1[[#This Row],[Aboard]],0)</f>
        <v>0.5</v>
      </c>
      <c r="X2880" s="51" t="str" cm="1">
        <f t="array" ref="X2880">_xlfn.IFS(Tabla1[[#This Row],[Porcentaje de muertes]]&lt;0.35,"LEVE",AND(Tabla1[[#This Row],[Porcentaje de muertes]]&gt;0.35,Tabla1[[#This Row],[Porcentaje de muertes]]&lt;0.65),"MEDIO",Tabla1[[#This Row],[Porcentaje de muertes]]&gt;0.65,"GRAVE")</f>
        <v>MEDIO</v>
      </c>
    </row>
    <row r="2881" spans="2:24" x14ac:dyDescent="0.3">
      <c r="B2881" s="9">
        <v>2880</v>
      </c>
      <c r="C2881" s="49">
        <v>28431</v>
      </c>
      <c r="D2881" s="9">
        <f>YEAR(Tabla1[[#This Row],[Date]])</f>
        <v>1977</v>
      </c>
      <c r="E2881" s="9" t="str" cm="1">
        <f t="array" ref="E2881">IFERROR(_xlfn.IFS(AND(D2881&lt;1980,D2881&gt;=1970),"70",AND(D2881&lt;1990,D2881&gt;=1980),"80",AND(D2881&lt;2000,D2881&gt;=1990),"90",AND(D2881&lt;2010,D2881&gt;=2000),"00",AND(D2881&lt;=2019,D2881&gt;=2010),"10"),"1908-1970")</f>
        <v>70</v>
      </c>
      <c r="F2881" s="3" t="s">
        <v>28931</v>
      </c>
      <c r="G2881" t="s">
        <v>11406</v>
      </c>
      <c r="H2881" t="s">
        <v>11407</v>
      </c>
      <c r="I2881" t="s">
        <v>28931</v>
      </c>
      <c r="J2881" t="s">
        <v>28931</v>
      </c>
      <c r="K2881" t="s">
        <v>17801</v>
      </c>
      <c r="L2881" s="7" t="s">
        <v>17802</v>
      </c>
      <c r="M2881">
        <v>190013167</v>
      </c>
      <c r="N2881">
        <v>5</v>
      </c>
      <c r="O2881">
        <v>2</v>
      </c>
      <c r="P2881">
        <v>3</v>
      </c>
      <c r="Q2881">
        <v>4</v>
      </c>
      <c r="R2881">
        <v>2</v>
      </c>
      <c r="S2881">
        <v>2</v>
      </c>
      <c r="T2881">
        <v>0</v>
      </c>
      <c r="U2881" t="s">
        <v>17803</v>
      </c>
      <c r="V2881">
        <f>Tabla1[[#This Row],[Aboard]]-Tabla1[[#This Row],[Fatalities]]</f>
        <v>1</v>
      </c>
      <c r="W2881" s="50">
        <f>IFERROR(Tabla1[[#This Row],[Fatalities]]/Tabla1[[#This Row],[Aboard]],0)</f>
        <v>0.8</v>
      </c>
      <c r="X2881" s="51" t="str" cm="1">
        <f t="array" ref="X2881">_xlfn.IFS(Tabla1[[#This Row],[Porcentaje de muertes]]&lt;0.35,"LEVE",AND(Tabla1[[#This Row],[Porcentaje de muertes]]&gt;0.35,Tabla1[[#This Row],[Porcentaje de muertes]]&lt;0.65),"MEDIO",Tabla1[[#This Row],[Porcentaje de muertes]]&gt;0.65,"GRAVE")</f>
        <v>GRAVE</v>
      </c>
    </row>
    <row r="2882" spans="2:24" x14ac:dyDescent="0.3">
      <c r="B2882" s="9">
        <v>2881</v>
      </c>
      <c r="C2882" s="49">
        <v>28171</v>
      </c>
      <c r="D2882" s="9">
        <f>YEAR(Tabla1[[#This Row],[Date]])</f>
        <v>1977</v>
      </c>
      <c r="E2882" s="9" t="str" cm="1">
        <f t="array" ref="E2882">IFERROR(_xlfn.IFS(AND(D2882&lt;1980,D2882&gt;=1970),"70",AND(D2882&lt;1990,D2882&gt;=1980),"80",AND(D2882&lt;2000,D2882&gt;=1990),"90",AND(D2882&lt;2010,D2882&gt;=2000),"00",AND(D2882&lt;=2019,D2882&gt;=2010),"10"),"1908-1970")</f>
        <v>70</v>
      </c>
      <c r="F2882" s="3">
        <v>0.97013888888888899</v>
      </c>
      <c r="G2882" t="s">
        <v>17804</v>
      </c>
      <c r="H2882" t="s">
        <v>6541</v>
      </c>
      <c r="I2882">
        <v>5003</v>
      </c>
      <c r="J2882" t="s">
        <v>17805</v>
      </c>
      <c r="K2882" t="s">
        <v>13812</v>
      </c>
      <c r="L2882" s="7" t="s">
        <v>17806</v>
      </c>
      <c r="M2882">
        <v>183006703</v>
      </c>
      <c r="N2882">
        <v>98</v>
      </c>
      <c r="O2882">
        <v>92</v>
      </c>
      <c r="P2882">
        <v>6</v>
      </c>
      <c r="Q2882">
        <v>77</v>
      </c>
      <c r="R2882">
        <v>76</v>
      </c>
      <c r="S2882">
        <v>1</v>
      </c>
      <c r="T2882">
        <v>0</v>
      </c>
      <c r="U2882" t="s">
        <v>17807</v>
      </c>
      <c r="V2882">
        <f>Tabla1[[#This Row],[Aboard]]-Tabla1[[#This Row],[Fatalities]]</f>
        <v>21</v>
      </c>
      <c r="W2882" s="50">
        <f>IFERROR(Tabla1[[#This Row],[Fatalities]]/Tabla1[[#This Row],[Aboard]],0)</f>
        <v>0.7857142857142857</v>
      </c>
      <c r="X2882" s="51" t="str" cm="1">
        <f t="array" ref="X2882">_xlfn.IFS(Tabla1[[#This Row],[Porcentaje de muertes]]&lt;0.35,"LEVE",AND(Tabla1[[#This Row],[Porcentaje de muertes]]&gt;0.35,Tabla1[[#This Row],[Porcentaje de muertes]]&lt;0.65),"MEDIO",Tabla1[[#This Row],[Porcentaje de muertes]]&gt;0.65,"GRAVE")</f>
        <v>GRAVE</v>
      </c>
    </row>
    <row r="2883" spans="2:24" x14ac:dyDescent="0.3">
      <c r="B2883" s="9">
        <v>2882</v>
      </c>
      <c r="C2883" s="49">
        <v>28184</v>
      </c>
      <c r="D2883" s="9">
        <f>YEAR(Tabla1[[#This Row],[Date]])</f>
        <v>1977</v>
      </c>
      <c r="E2883" s="9" t="str" cm="1">
        <f t="array" ref="E2883">IFERROR(_xlfn.IFS(AND(D2883&lt;1980,D2883&gt;=1970),"70",AND(D2883&lt;1990,D2883&gt;=1980),"80",AND(D2883&lt;2000,D2883&gt;=1990),"90",AND(D2883&lt;2010,D2883&gt;=2000),"00",AND(D2883&lt;=2019,D2883&gt;=2010),"10"),"1908-1970")</f>
        <v>70</v>
      </c>
      <c r="F2883" s="3" t="s">
        <v>28931</v>
      </c>
      <c r="G2883" t="s">
        <v>17808</v>
      </c>
      <c r="H2883" t="s">
        <v>17809</v>
      </c>
      <c r="I2883" t="s">
        <v>28931</v>
      </c>
      <c r="J2883" t="s">
        <v>28931</v>
      </c>
      <c r="K2883" t="s">
        <v>7057</v>
      </c>
      <c r="L2883" s="7" t="s">
        <v>17810</v>
      </c>
      <c r="M2883">
        <v>13154</v>
      </c>
      <c r="N2883">
        <v>10</v>
      </c>
      <c r="O2883">
        <v>7</v>
      </c>
      <c r="P2883">
        <v>3</v>
      </c>
      <c r="Q2883">
        <v>4</v>
      </c>
      <c r="R2883">
        <v>2</v>
      </c>
      <c r="S2883">
        <v>2</v>
      </c>
      <c r="T2883">
        <v>0</v>
      </c>
      <c r="U2883" t="s">
        <v>17811</v>
      </c>
      <c r="V2883">
        <f>Tabla1[[#This Row],[Aboard]]-Tabla1[[#This Row],[Fatalities]]</f>
        <v>6</v>
      </c>
      <c r="W2883" s="50">
        <f>IFERROR(Tabla1[[#This Row],[Fatalities]]/Tabla1[[#This Row],[Aboard]],0)</f>
        <v>0.4</v>
      </c>
      <c r="X2883" s="51" t="str" cm="1">
        <f t="array" ref="X2883">_xlfn.IFS(Tabla1[[#This Row],[Porcentaje de muertes]]&lt;0.35,"LEVE",AND(Tabla1[[#This Row],[Porcentaje de muertes]]&gt;0.35,Tabla1[[#This Row],[Porcentaje de muertes]]&lt;0.65),"MEDIO",Tabla1[[#This Row],[Porcentaje de muertes]]&gt;0.65,"GRAVE")</f>
        <v>MEDIO</v>
      </c>
    </row>
    <row r="2884" spans="2:24" x14ac:dyDescent="0.3">
      <c r="B2884" s="9">
        <v>2883</v>
      </c>
      <c r="C2884" s="49">
        <v>28128</v>
      </c>
      <c r="D2884" s="9">
        <f>YEAR(Tabla1[[#This Row],[Date]])</f>
        <v>1977</v>
      </c>
      <c r="E2884" s="9" t="str" cm="1">
        <f t="array" ref="E2884">IFERROR(_xlfn.IFS(AND(D2884&lt;1980,D2884&gt;=1970),"70",AND(D2884&lt;1990,D2884&gt;=1980),"80",AND(D2884&lt;2000,D2884&gt;=1990),"90",AND(D2884&lt;2010,D2884&gt;=2000),"00",AND(D2884&lt;=2019,D2884&gt;=2010),"10"),"1908-1970")</f>
        <v>70</v>
      </c>
      <c r="F2884" s="3" t="s">
        <v>28931</v>
      </c>
      <c r="G2884" t="s">
        <v>17812</v>
      </c>
      <c r="H2884" t="s">
        <v>17813</v>
      </c>
      <c r="I2884" t="s">
        <v>28931</v>
      </c>
      <c r="J2884" t="s">
        <v>17814</v>
      </c>
      <c r="K2884" t="s">
        <v>7057</v>
      </c>
      <c r="L2884" s="7" t="s">
        <v>17815</v>
      </c>
      <c r="M2884">
        <v>13475</v>
      </c>
      <c r="N2884">
        <v>21</v>
      </c>
      <c r="O2884">
        <v>17</v>
      </c>
      <c r="P2884">
        <v>3</v>
      </c>
      <c r="Q2884">
        <v>19</v>
      </c>
      <c r="R2884">
        <v>16</v>
      </c>
      <c r="S2884">
        <v>3</v>
      </c>
      <c r="T2884">
        <v>0</v>
      </c>
      <c r="U2884" t="s">
        <v>17816</v>
      </c>
      <c r="V2884">
        <f>Tabla1[[#This Row],[Aboard]]-Tabla1[[#This Row],[Fatalities]]</f>
        <v>2</v>
      </c>
      <c r="W2884" s="50">
        <f>IFERROR(Tabla1[[#This Row],[Fatalities]]/Tabla1[[#This Row],[Aboard]],0)</f>
        <v>0.90476190476190477</v>
      </c>
      <c r="X2884" s="51" t="str" cm="1">
        <f t="array" ref="X2884">_xlfn.IFS(Tabla1[[#This Row],[Porcentaje de muertes]]&lt;0.35,"LEVE",AND(Tabla1[[#This Row],[Porcentaje de muertes]]&gt;0.35,Tabla1[[#This Row],[Porcentaje de muertes]]&lt;0.65),"MEDIO",Tabla1[[#This Row],[Porcentaje de muertes]]&gt;0.65,"GRAVE")</f>
        <v>GRAVE</v>
      </c>
    </row>
    <row r="2885" spans="2:24" x14ac:dyDescent="0.3">
      <c r="B2885" s="9">
        <v>2884</v>
      </c>
      <c r="C2885" s="49">
        <v>28187</v>
      </c>
      <c r="D2885" s="9">
        <f>YEAR(Tabla1[[#This Row],[Date]])</f>
        <v>1977</v>
      </c>
      <c r="E2885" s="9" t="str" cm="1">
        <f t="array" ref="E2885">IFERROR(_xlfn.IFS(AND(D2885&lt;1980,D2885&gt;=1970),"70",AND(D2885&lt;1990,D2885&gt;=1980),"80",AND(D2885&lt;2000,D2885&gt;=1990),"90",AND(D2885&lt;2010,D2885&gt;=2000),"00",AND(D2885&lt;=2019,D2885&gt;=2010),"10"),"1908-1970")</f>
        <v>70</v>
      </c>
      <c r="F2885" s="3">
        <v>0.625</v>
      </c>
      <c r="G2885" t="s">
        <v>17817</v>
      </c>
      <c r="H2885" t="s">
        <v>15840</v>
      </c>
      <c r="I2885" t="s">
        <v>28931</v>
      </c>
      <c r="J2885" t="s">
        <v>6190</v>
      </c>
      <c r="K2885" t="s">
        <v>17162</v>
      </c>
      <c r="L2885" s="7" t="s">
        <v>17818</v>
      </c>
      <c r="M2885">
        <v>4491</v>
      </c>
      <c r="N2885">
        <v>44</v>
      </c>
      <c r="O2885">
        <v>38</v>
      </c>
      <c r="P2885">
        <v>6</v>
      </c>
      <c r="Q2885">
        <v>44</v>
      </c>
      <c r="R2885">
        <v>38</v>
      </c>
      <c r="S2885">
        <v>6</v>
      </c>
      <c r="T2885">
        <v>0</v>
      </c>
      <c r="U2885" t="s">
        <v>17819</v>
      </c>
      <c r="V2885">
        <f>Tabla1[[#This Row],[Aboard]]-Tabla1[[#This Row],[Fatalities]]</f>
        <v>0</v>
      </c>
      <c r="W2885" s="50">
        <f>IFERROR(Tabla1[[#This Row],[Fatalities]]/Tabla1[[#This Row],[Aboard]],0)</f>
        <v>1</v>
      </c>
      <c r="X2885" s="51" t="str" cm="1">
        <f t="array" ref="X2885">_xlfn.IFS(Tabla1[[#This Row],[Porcentaje de muertes]]&lt;0.35,"LEVE",AND(Tabla1[[#This Row],[Porcentaje de muertes]]&gt;0.35,Tabla1[[#This Row],[Porcentaje de muertes]]&lt;0.65),"MEDIO",Tabla1[[#This Row],[Porcentaje de muertes]]&gt;0.65,"GRAVE")</f>
        <v>GRAVE</v>
      </c>
    </row>
    <row r="2886" spans="2:24" x14ac:dyDescent="0.3">
      <c r="B2886" s="9">
        <v>2885</v>
      </c>
      <c r="C2886" s="49">
        <v>28218</v>
      </c>
      <c r="D2886" s="9">
        <f>YEAR(Tabla1[[#This Row],[Date]])</f>
        <v>1977</v>
      </c>
      <c r="E2886" s="9" t="str" cm="1">
        <f t="array" ref="E2886">IFERROR(_xlfn.IFS(AND(D2886&lt;1980,D2886&gt;=1970),"70",AND(D2886&lt;1990,D2886&gt;=1980),"80",AND(D2886&lt;2000,D2886&gt;=1990),"90",AND(D2886&lt;2010,D2886&gt;=2000),"00",AND(D2886&lt;=2019,D2886&gt;=2010),"10"),"1908-1970")</f>
        <v>70</v>
      </c>
      <c r="F2886" s="3">
        <v>0.14930555555555555</v>
      </c>
      <c r="G2886" t="s">
        <v>17820</v>
      </c>
      <c r="H2886" t="s">
        <v>17821</v>
      </c>
      <c r="I2886" t="s">
        <v>28931</v>
      </c>
      <c r="J2886" t="s">
        <v>17822</v>
      </c>
      <c r="K2886" t="s">
        <v>15966</v>
      </c>
      <c r="L2886" s="7" t="s">
        <v>17823</v>
      </c>
      <c r="M2886" t="s">
        <v>17824</v>
      </c>
      <c r="N2886">
        <v>4</v>
      </c>
      <c r="O2886">
        <v>0</v>
      </c>
      <c r="P2886">
        <v>4</v>
      </c>
      <c r="Q2886">
        <v>2</v>
      </c>
      <c r="R2886">
        <v>0</v>
      </c>
      <c r="S2886">
        <v>2</v>
      </c>
      <c r="T2886">
        <v>0</v>
      </c>
      <c r="U2886" t="s">
        <v>17825</v>
      </c>
      <c r="V2886">
        <f>Tabla1[[#This Row],[Aboard]]-Tabla1[[#This Row],[Fatalities]]</f>
        <v>2</v>
      </c>
      <c r="W2886" s="50">
        <f>IFERROR(Tabla1[[#This Row],[Fatalities]]/Tabla1[[#This Row],[Aboard]],0)</f>
        <v>0.5</v>
      </c>
      <c r="X2886" s="51" t="str" cm="1">
        <f t="array" ref="X2886">_xlfn.IFS(Tabla1[[#This Row],[Porcentaje de muertes]]&lt;0.35,"LEVE",AND(Tabla1[[#This Row],[Porcentaje de muertes]]&gt;0.35,Tabla1[[#This Row],[Porcentaje de muertes]]&lt;0.65),"MEDIO",Tabla1[[#This Row],[Porcentaje de muertes]]&gt;0.65,"GRAVE")</f>
        <v>MEDIO</v>
      </c>
    </row>
    <row r="2887" spans="2:24" x14ac:dyDescent="0.3">
      <c r="B2887" s="9">
        <v>2886</v>
      </c>
      <c r="C2887" s="49">
        <v>28211</v>
      </c>
      <c r="D2887" s="9">
        <f>YEAR(Tabla1[[#This Row],[Date]])</f>
        <v>1977</v>
      </c>
      <c r="E2887" s="9" t="str" cm="1">
        <f t="array" ref="E2887">IFERROR(_xlfn.IFS(AND(D2887&lt;1980,D2887&gt;=1970),"70",AND(D2887&lt;1990,D2887&gt;=1980),"80",AND(D2887&lt;2000,D2887&gt;=1990),"90",AND(D2887&lt;2010,D2887&gt;=2000),"00",AND(D2887&lt;=2019,D2887&gt;=2010),"10"),"1908-1970")</f>
        <v>70</v>
      </c>
      <c r="F2887" s="3">
        <v>0.71319444444444446</v>
      </c>
      <c r="G2887" t="s">
        <v>14548</v>
      </c>
      <c r="H2887" t="s">
        <v>17826</v>
      </c>
      <c r="I2887" t="s">
        <v>17827</v>
      </c>
      <c r="J2887" t="s">
        <v>17828</v>
      </c>
      <c r="K2887" t="s">
        <v>17829</v>
      </c>
      <c r="L2887" s="7" t="s">
        <v>17830</v>
      </c>
      <c r="M2887" t="s">
        <v>17831</v>
      </c>
      <c r="N2887">
        <v>644</v>
      </c>
      <c r="O2887">
        <v>614</v>
      </c>
      <c r="P2887">
        <v>30</v>
      </c>
      <c r="Q2887">
        <v>583</v>
      </c>
      <c r="R2887">
        <v>560</v>
      </c>
      <c r="S2887">
        <v>23</v>
      </c>
      <c r="T2887">
        <v>0</v>
      </c>
      <c r="U2887" t="s">
        <v>17832</v>
      </c>
      <c r="V2887">
        <f>Tabla1[[#This Row],[Aboard]]-Tabla1[[#This Row],[Fatalities]]</f>
        <v>61</v>
      </c>
      <c r="W2887" s="50">
        <f>IFERROR(Tabla1[[#This Row],[Fatalities]]/Tabla1[[#This Row],[Aboard]],0)</f>
        <v>0.90527950310559002</v>
      </c>
      <c r="X2887" s="51" t="str" cm="1">
        <f t="array" ref="X2887">_xlfn.IFS(Tabla1[[#This Row],[Porcentaje de muertes]]&lt;0.35,"LEVE",AND(Tabla1[[#This Row],[Porcentaje de muertes]]&gt;0.35,Tabla1[[#This Row],[Porcentaje de muertes]]&lt;0.65),"MEDIO",Tabla1[[#This Row],[Porcentaje de muertes]]&gt;0.65,"GRAVE")</f>
        <v>GRAVE</v>
      </c>
    </row>
    <row r="2888" spans="2:24" x14ac:dyDescent="0.3">
      <c r="B2888" s="9">
        <v>2887</v>
      </c>
      <c r="C2888" s="49">
        <v>28213</v>
      </c>
      <c r="D2888" s="9">
        <f>YEAR(Tabla1[[#This Row],[Date]])</f>
        <v>1977</v>
      </c>
      <c r="E2888" s="9" t="str" cm="1">
        <f t="array" ref="E2888">IFERROR(_xlfn.IFS(AND(D2888&lt;1980,D2888&gt;=1970),"70",AND(D2888&lt;1990,D2888&gt;=1980),"80",AND(D2888&lt;2000,D2888&gt;=1990),"90",AND(D2888&lt;2010,D2888&gt;=2000),"00",AND(D2888&lt;=2019,D2888&gt;=2010),"10"),"1908-1970")</f>
        <v>70</v>
      </c>
      <c r="F2888" s="3" t="s">
        <v>28931</v>
      </c>
      <c r="G2888" t="s">
        <v>17833</v>
      </c>
      <c r="H2888" t="s">
        <v>16296</v>
      </c>
      <c r="I2888" t="s">
        <v>28931</v>
      </c>
      <c r="J2888" t="s">
        <v>17834</v>
      </c>
      <c r="K2888" t="s">
        <v>16680</v>
      </c>
      <c r="L2888" s="7" t="s">
        <v>17835</v>
      </c>
      <c r="M2888">
        <v>486</v>
      </c>
      <c r="N2888">
        <v>23</v>
      </c>
      <c r="O2888">
        <v>20</v>
      </c>
      <c r="P2888">
        <v>3</v>
      </c>
      <c r="Q2888">
        <v>15</v>
      </c>
      <c r="R2888">
        <v>13</v>
      </c>
      <c r="S2888">
        <v>2</v>
      </c>
      <c r="T2888">
        <v>0</v>
      </c>
      <c r="U2888" t="s">
        <v>17836</v>
      </c>
      <c r="V2888">
        <f>Tabla1[[#This Row],[Aboard]]-Tabla1[[#This Row],[Fatalities]]</f>
        <v>8</v>
      </c>
      <c r="W2888" s="50">
        <f>IFERROR(Tabla1[[#This Row],[Fatalities]]/Tabla1[[#This Row],[Aboard]],0)</f>
        <v>0.65217391304347827</v>
      </c>
      <c r="X2888" s="51" t="str" cm="1">
        <f t="array" ref="X2888">_xlfn.IFS(Tabla1[[#This Row],[Porcentaje de muertes]]&lt;0.35,"LEVE",AND(Tabla1[[#This Row],[Porcentaje de muertes]]&gt;0.35,Tabla1[[#This Row],[Porcentaje de muertes]]&lt;0.65),"MEDIO",Tabla1[[#This Row],[Porcentaje de muertes]]&gt;0.65,"GRAVE")</f>
        <v>GRAVE</v>
      </c>
    </row>
    <row r="2889" spans="2:24" x14ac:dyDescent="0.3">
      <c r="B2889" s="9">
        <v>2888</v>
      </c>
      <c r="C2889" s="49">
        <v>28214</v>
      </c>
      <c r="D2889" s="9">
        <f>YEAR(Tabla1[[#This Row],[Date]])</f>
        <v>1977</v>
      </c>
      <c r="E2889" s="9" t="str" cm="1">
        <f t="array" ref="E2889">IFERROR(_xlfn.IFS(AND(D2889&lt;1980,D2889&gt;=1970),"70",AND(D2889&lt;1990,D2889&gt;=1980),"80",AND(D2889&lt;2000,D2889&gt;=1990),"90",AND(D2889&lt;2010,D2889&gt;=2000),"00",AND(D2889&lt;=2019,D2889&gt;=2010),"10"),"1908-1970")</f>
        <v>70</v>
      </c>
      <c r="F2889" s="3">
        <v>0.36041666666666666</v>
      </c>
      <c r="G2889" t="s">
        <v>17837</v>
      </c>
      <c r="H2889" t="s">
        <v>6541</v>
      </c>
      <c r="I2889" t="s">
        <v>17838</v>
      </c>
      <c r="J2889" t="s">
        <v>17839</v>
      </c>
      <c r="K2889" t="s">
        <v>15961</v>
      </c>
      <c r="L2889" s="7" t="s">
        <v>17840</v>
      </c>
      <c r="M2889">
        <v>9010310</v>
      </c>
      <c r="N2889">
        <v>27</v>
      </c>
      <c r="O2889">
        <v>23</v>
      </c>
      <c r="P2889">
        <v>4</v>
      </c>
      <c r="Q2889">
        <v>8</v>
      </c>
      <c r="R2889">
        <v>5</v>
      </c>
      <c r="S2889">
        <v>3</v>
      </c>
      <c r="T2889">
        <v>0</v>
      </c>
      <c r="U2889" t="s">
        <v>17841</v>
      </c>
      <c r="V2889">
        <f>Tabla1[[#This Row],[Aboard]]-Tabla1[[#This Row],[Fatalities]]</f>
        <v>19</v>
      </c>
      <c r="W2889" s="50">
        <f>IFERROR(Tabla1[[#This Row],[Fatalities]]/Tabla1[[#This Row],[Aboard]],0)</f>
        <v>0.29629629629629628</v>
      </c>
      <c r="X2889" s="51" t="str" cm="1">
        <f t="array" ref="X2889">_xlfn.IFS(Tabla1[[#This Row],[Porcentaje de muertes]]&lt;0.35,"LEVE",AND(Tabla1[[#This Row],[Porcentaje de muertes]]&gt;0.35,Tabla1[[#This Row],[Porcentaje de muertes]]&lt;0.65),"MEDIO",Tabla1[[#This Row],[Porcentaje de muertes]]&gt;0.65,"GRAVE")</f>
        <v>LEVE</v>
      </c>
    </row>
    <row r="2890" spans="2:24" x14ac:dyDescent="0.3">
      <c r="B2890" s="9">
        <v>2889</v>
      </c>
      <c r="C2890" s="49">
        <v>28219</v>
      </c>
      <c r="D2890" s="9">
        <f>YEAR(Tabla1[[#This Row],[Date]])</f>
        <v>1977</v>
      </c>
      <c r="E2890" s="9" t="str" cm="1">
        <f t="array" ref="E2890">IFERROR(_xlfn.IFS(AND(D2890&lt;1980,D2890&gt;=1970),"70",AND(D2890&lt;1990,D2890&gt;=1980),"80",AND(D2890&lt;2000,D2890&gt;=1990),"90",AND(D2890&lt;2010,D2890&gt;=2000),"00",AND(D2890&lt;=2019,D2890&gt;=2010),"10"),"1908-1970")</f>
        <v>70</v>
      </c>
      <c r="F2890" s="3">
        <v>0.67986111111111114</v>
      </c>
      <c r="G2890" t="s">
        <v>17842</v>
      </c>
      <c r="H2890" t="s">
        <v>16012</v>
      </c>
      <c r="I2890">
        <v>242</v>
      </c>
      <c r="J2890" t="s">
        <v>17843</v>
      </c>
      <c r="K2890" t="s">
        <v>16014</v>
      </c>
      <c r="L2890" s="7" t="s">
        <v>17844</v>
      </c>
      <c r="M2890" t="s">
        <v>17845</v>
      </c>
      <c r="N2890">
        <v>85</v>
      </c>
      <c r="O2890">
        <v>81</v>
      </c>
      <c r="P2890">
        <v>4</v>
      </c>
      <c r="Q2890">
        <v>62</v>
      </c>
      <c r="R2890">
        <v>60</v>
      </c>
      <c r="S2890">
        <v>2</v>
      </c>
      <c r="T2890">
        <v>8</v>
      </c>
      <c r="U2890" t="s">
        <v>17846</v>
      </c>
      <c r="V2890">
        <f>Tabla1[[#This Row],[Aboard]]-Tabla1[[#This Row],[Fatalities]]</f>
        <v>23</v>
      </c>
      <c r="W2890" s="50">
        <f>IFERROR(Tabla1[[#This Row],[Fatalities]]/Tabla1[[#This Row],[Aboard]],0)</f>
        <v>0.72941176470588232</v>
      </c>
      <c r="X2890" s="51" t="str" cm="1">
        <f t="array" ref="X2890">_xlfn.IFS(Tabla1[[#This Row],[Porcentaje de muertes]]&lt;0.35,"LEVE",AND(Tabla1[[#This Row],[Porcentaje de muertes]]&gt;0.35,Tabla1[[#This Row],[Porcentaje de muertes]]&lt;0.65),"MEDIO",Tabla1[[#This Row],[Porcentaje de muertes]]&gt;0.65,"GRAVE")</f>
        <v>GRAVE</v>
      </c>
    </row>
    <row r="2891" spans="2:24" x14ac:dyDescent="0.3">
      <c r="B2891" s="9">
        <v>2890</v>
      </c>
      <c r="C2891" s="49">
        <v>28402</v>
      </c>
      <c r="D2891" s="9">
        <f>YEAR(Tabla1[[#This Row],[Date]])</f>
        <v>1977</v>
      </c>
      <c r="E2891" s="9" t="str" cm="1">
        <f t="array" ref="E2891">IFERROR(_xlfn.IFS(AND(D2891&lt;1980,D2891&gt;=1970),"70",AND(D2891&lt;1990,D2891&gt;=1980),"80",AND(D2891&lt;2000,D2891&gt;=1990),"90",AND(D2891&lt;2010,D2891&gt;=2000),"00",AND(D2891&lt;=2019,D2891&gt;=2010),"10"),"1908-1970")</f>
        <v>70</v>
      </c>
      <c r="F2891" s="3" t="s">
        <v>28931</v>
      </c>
      <c r="G2891" t="s">
        <v>17847</v>
      </c>
      <c r="H2891" t="s">
        <v>17848</v>
      </c>
      <c r="I2891" t="s">
        <v>28931</v>
      </c>
      <c r="J2891" t="s">
        <v>9057</v>
      </c>
      <c r="K2891" t="s">
        <v>17849</v>
      </c>
      <c r="L2891" s="7" t="s">
        <v>17850</v>
      </c>
      <c r="M2891">
        <v>4958</v>
      </c>
      <c r="N2891">
        <v>35</v>
      </c>
      <c r="O2891">
        <v>31</v>
      </c>
      <c r="P2891">
        <v>4</v>
      </c>
      <c r="Q2891">
        <v>35</v>
      </c>
      <c r="R2891">
        <v>31</v>
      </c>
      <c r="S2891">
        <v>4</v>
      </c>
      <c r="T2891">
        <v>0</v>
      </c>
      <c r="U2891" t="s">
        <v>17851</v>
      </c>
      <c r="V2891">
        <f>Tabla1[[#This Row],[Aboard]]-Tabla1[[#This Row],[Fatalities]]</f>
        <v>0</v>
      </c>
      <c r="W2891" s="50">
        <f>IFERROR(Tabla1[[#This Row],[Fatalities]]/Tabla1[[#This Row],[Aboard]],0)</f>
        <v>1</v>
      </c>
      <c r="X2891" s="51" t="str" cm="1">
        <f t="array" ref="X2891">_xlfn.IFS(Tabla1[[#This Row],[Porcentaje de muertes]]&lt;0.35,"LEVE",AND(Tabla1[[#This Row],[Porcentaje de muertes]]&gt;0.35,Tabla1[[#This Row],[Porcentaje de muertes]]&lt;0.65),"MEDIO",Tabla1[[#This Row],[Porcentaje de muertes]]&gt;0.65,"GRAVE")</f>
        <v>GRAVE</v>
      </c>
    </row>
    <row r="2892" spans="2:24" x14ac:dyDescent="0.3">
      <c r="B2892" s="9">
        <v>2891</v>
      </c>
      <c r="C2892" s="49">
        <v>28234</v>
      </c>
      <c r="D2892" s="9">
        <f>YEAR(Tabla1[[#This Row],[Date]])</f>
        <v>1977</v>
      </c>
      <c r="E2892" s="9" t="str" cm="1">
        <f t="array" ref="E2892">IFERROR(_xlfn.IFS(AND(D2892&lt;1980,D2892&gt;=1970),"70",AND(D2892&lt;1990,D2892&gt;=1980),"80",AND(D2892&lt;2000,D2892&gt;=1990),"90",AND(D2892&lt;2010,D2892&gt;=2000),"00",AND(D2892&lt;=2019,D2892&gt;=2010),"10"),"1908-1970")</f>
        <v>70</v>
      </c>
      <c r="F2892" s="3" t="s">
        <v>28931</v>
      </c>
      <c r="G2892" t="s">
        <v>17852</v>
      </c>
      <c r="H2892" t="s">
        <v>9999</v>
      </c>
      <c r="I2892" t="s">
        <v>28931</v>
      </c>
      <c r="J2892" t="s">
        <v>17853</v>
      </c>
      <c r="K2892" t="s">
        <v>17063</v>
      </c>
      <c r="L2892" s="7" t="s">
        <v>28931</v>
      </c>
      <c r="M2892" t="s">
        <v>28931</v>
      </c>
      <c r="N2892">
        <v>21</v>
      </c>
      <c r="O2892">
        <v>15</v>
      </c>
      <c r="P2892">
        <v>6</v>
      </c>
      <c r="Q2892">
        <v>21</v>
      </c>
      <c r="R2892">
        <v>15</v>
      </c>
      <c r="S2892">
        <v>6</v>
      </c>
      <c r="T2892">
        <v>0</v>
      </c>
      <c r="U2892" t="s">
        <v>17854</v>
      </c>
      <c r="V2892">
        <f>Tabla1[[#This Row],[Aboard]]-Tabla1[[#This Row],[Fatalities]]</f>
        <v>0</v>
      </c>
      <c r="W2892" s="50">
        <f>IFERROR(Tabla1[[#This Row],[Fatalities]]/Tabla1[[#This Row],[Aboard]],0)</f>
        <v>1</v>
      </c>
      <c r="X2892" s="51" t="str" cm="1">
        <f t="array" ref="X2892">_xlfn.IFS(Tabla1[[#This Row],[Porcentaje de muertes]]&lt;0.35,"LEVE",AND(Tabla1[[#This Row],[Porcentaje de muertes]]&gt;0.35,Tabla1[[#This Row],[Porcentaje de muertes]]&lt;0.65),"MEDIO",Tabla1[[#This Row],[Porcentaje de muertes]]&gt;0.65,"GRAVE")</f>
        <v>GRAVE</v>
      </c>
    </row>
    <row r="2893" spans="2:24" x14ac:dyDescent="0.3">
      <c r="B2893" s="9">
        <v>2892</v>
      </c>
      <c r="C2893" s="49">
        <v>28242</v>
      </c>
      <c r="D2893" s="9">
        <f>YEAR(Tabla1[[#This Row],[Date]])</f>
        <v>1977</v>
      </c>
      <c r="E2893" s="9" t="str" cm="1">
        <f t="array" ref="E2893">IFERROR(_xlfn.IFS(AND(D2893&lt;1980,D2893&gt;=1970),"70",AND(D2893&lt;1990,D2893&gt;=1980),"80",AND(D2893&lt;2000,D2893&gt;=1990),"90",AND(D2893&lt;2010,D2893&gt;=2000),"00",AND(D2893&lt;=2019,D2893&gt;=2010),"10"),"1908-1970")</f>
        <v>70</v>
      </c>
      <c r="F2893" s="3" t="s">
        <v>28931</v>
      </c>
      <c r="G2893" t="s">
        <v>11790</v>
      </c>
      <c r="H2893" t="s">
        <v>11155</v>
      </c>
      <c r="I2893" t="s">
        <v>28931</v>
      </c>
      <c r="J2893" t="s">
        <v>28931</v>
      </c>
      <c r="K2893" t="s">
        <v>14237</v>
      </c>
      <c r="L2893" s="7" t="s">
        <v>17855</v>
      </c>
      <c r="M2893">
        <v>143</v>
      </c>
      <c r="N2893">
        <v>28</v>
      </c>
      <c r="O2893">
        <v>22</v>
      </c>
      <c r="P2893">
        <v>6</v>
      </c>
      <c r="Q2893">
        <v>28</v>
      </c>
      <c r="R2893">
        <v>22</v>
      </c>
      <c r="S2893">
        <v>6</v>
      </c>
      <c r="T2893">
        <v>0</v>
      </c>
      <c r="U2893" t="s">
        <v>17856</v>
      </c>
      <c r="V2893">
        <f>Tabla1[[#This Row],[Aboard]]-Tabla1[[#This Row],[Fatalities]]</f>
        <v>0</v>
      </c>
      <c r="W2893" s="50">
        <f>IFERROR(Tabla1[[#This Row],[Fatalities]]/Tabla1[[#This Row],[Aboard]],0)</f>
        <v>1</v>
      </c>
      <c r="X2893" s="51" t="str" cm="1">
        <f t="array" ref="X2893">_xlfn.IFS(Tabla1[[#This Row],[Porcentaje de muertes]]&lt;0.35,"LEVE",AND(Tabla1[[#This Row],[Porcentaje de muertes]]&gt;0.35,Tabla1[[#This Row],[Porcentaje de muertes]]&lt;0.65),"MEDIO",Tabla1[[#This Row],[Porcentaje de muertes]]&gt;0.65,"GRAVE")</f>
        <v>GRAVE</v>
      </c>
    </row>
    <row r="2894" spans="2:24" x14ac:dyDescent="0.3">
      <c r="B2894" s="9">
        <v>2893</v>
      </c>
      <c r="C2894" s="49">
        <v>28403</v>
      </c>
      <c r="D2894" s="9">
        <f>YEAR(Tabla1[[#This Row],[Date]])</f>
        <v>1977</v>
      </c>
      <c r="E2894" s="9" t="str" cm="1">
        <f t="array" ref="E2894">IFERROR(_xlfn.IFS(AND(D2894&lt;1980,D2894&gt;=1970),"70",AND(D2894&lt;1990,D2894&gt;=1980),"80",AND(D2894&lt;2000,D2894&gt;=1990),"90",AND(D2894&lt;2010,D2894&gt;=2000),"00",AND(D2894&lt;=2019,D2894&gt;=2010),"10"),"1908-1970")</f>
        <v>70</v>
      </c>
      <c r="F2894" s="3">
        <v>0.85416666666666663</v>
      </c>
      <c r="G2894" t="s">
        <v>17857</v>
      </c>
      <c r="H2894" t="s">
        <v>17858</v>
      </c>
      <c r="I2894" t="s">
        <v>28931</v>
      </c>
      <c r="J2894" t="s">
        <v>28931</v>
      </c>
      <c r="K2894" t="s">
        <v>16526</v>
      </c>
      <c r="L2894" s="7">
        <v>360</v>
      </c>
      <c r="M2894" t="s">
        <v>28931</v>
      </c>
      <c r="N2894">
        <v>54</v>
      </c>
      <c r="O2894">
        <v>50</v>
      </c>
      <c r="P2894">
        <v>4</v>
      </c>
      <c r="Q2894">
        <v>54</v>
      </c>
      <c r="R2894">
        <v>50</v>
      </c>
      <c r="S2894">
        <v>4</v>
      </c>
      <c r="T2894">
        <v>0</v>
      </c>
      <c r="U2894" t="s">
        <v>17859</v>
      </c>
      <c r="V2894">
        <f>Tabla1[[#This Row],[Aboard]]-Tabla1[[#This Row],[Fatalities]]</f>
        <v>0</v>
      </c>
      <c r="W2894" s="50">
        <f>IFERROR(Tabla1[[#This Row],[Fatalities]]/Tabla1[[#This Row],[Aboard]],0)</f>
        <v>1</v>
      </c>
      <c r="X2894" s="51" t="str" cm="1">
        <f t="array" ref="X2894">_xlfn.IFS(Tabla1[[#This Row],[Porcentaje de muertes]]&lt;0.35,"LEVE",AND(Tabla1[[#This Row],[Porcentaje de muertes]]&gt;0.35,Tabla1[[#This Row],[Porcentaje de muertes]]&lt;0.65),"MEDIO",Tabla1[[#This Row],[Porcentaje de muertes]]&gt;0.65,"GRAVE")</f>
        <v>GRAVE</v>
      </c>
    </row>
    <row r="2895" spans="2:24" x14ac:dyDescent="0.3">
      <c r="B2895" s="9">
        <v>2894</v>
      </c>
      <c r="C2895" s="49">
        <v>28258</v>
      </c>
      <c r="D2895" s="9">
        <f>YEAR(Tabla1[[#This Row],[Date]])</f>
        <v>1977</v>
      </c>
      <c r="E2895" s="9" t="str" cm="1">
        <f t="array" ref="E2895">IFERROR(_xlfn.IFS(AND(D2895&lt;1980,D2895&gt;=1970),"70",AND(D2895&lt;1990,D2895&gt;=1980),"80",AND(D2895&lt;2000,D2895&gt;=1990),"90",AND(D2895&lt;2010,D2895&gt;=2000),"00",AND(D2895&lt;=2019,D2895&gt;=2010),"10"),"1908-1970")</f>
        <v>70</v>
      </c>
      <c r="F2895" s="3">
        <v>0.36458333333333331</v>
      </c>
      <c r="G2895" t="s">
        <v>17860</v>
      </c>
      <c r="H2895" t="s">
        <v>7237</v>
      </c>
      <c r="I2895" t="s">
        <v>28931</v>
      </c>
      <c r="J2895" t="s">
        <v>17861</v>
      </c>
      <c r="K2895" t="s">
        <v>17862</v>
      </c>
      <c r="L2895" s="7" t="s">
        <v>17863</v>
      </c>
      <c r="M2895">
        <v>6344307</v>
      </c>
      <c r="N2895">
        <v>9</v>
      </c>
      <c r="O2895">
        <v>0</v>
      </c>
      <c r="P2895">
        <v>9</v>
      </c>
      <c r="Q2895">
        <v>9</v>
      </c>
      <c r="R2895">
        <v>0</v>
      </c>
      <c r="S2895">
        <v>9</v>
      </c>
      <c r="T2895">
        <v>0</v>
      </c>
      <c r="U2895" t="s">
        <v>17864</v>
      </c>
      <c r="V2895">
        <f>Tabla1[[#This Row],[Aboard]]-Tabla1[[#This Row],[Fatalities]]</f>
        <v>0</v>
      </c>
      <c r="W2895" s="50">
        <f>IFERROR(Tabla1[[#This Row],[Fatalities]]/Tabla1[[#This Row],[Aboard]],0)</f>
        <v>1</v>
      </c>
      <c r="X2895" s="51" t="str" cm="1">
        <f t="array" ref="X2895">_xlfn.IFS(Tabla1[[#This Row],[Porcentaje de muertes]]&lt;0.35,"LEVE",AND(Tabla1[[#This Row],[Porcentaje de muertes]]&gt;0.35,Tabla1[[#This Row],[Porcentaje de muertes]]&lt;0.65),"MEDIO",Tabla1[[#This Row],[Porcentaje de muertes]]&gt;0.65,"GRAVE")</f>
        <v>GRAVE</v>
      </c>
    </row>
    <row r="2896" spans="2:24" x14ac:dyDescent="0.3">
      <c r="B2896" s="9">
        <v>2895</v>
      </c>
      <c r="C2896" s="49">
        <v>28259</v>
      </c>
      <c r="D2896" s="9">
        <f>YEAR(Tabla1[[#This Row],[Date]])</f>
        <v>1977</v>
      </c>
      <c r="E2896" s="9" t="str" cm="1">
        <f t="array" ref="E2896">IFERROR(_xlfn.IFS(AND(D2896&lt;1980,D2896&gt;=1970),"70",AND(D2896&lt;1990,D2896&gt;=1980),"80",AND(D2896&lt;2000,D2896&gt;=1990),"90",AND(D2896&lt;2010,D2896&gt;=2000),"00",AND(D2896&lt;=2019,D2896&gt;=2010),"10"),"1908-1970")</f>
        <v>70</v>
      </c>
      <c r="F2896" s="3">
        <v>0.3979166666666667</v>
      </c>
      <c r="G2896" t="s">
        <v>17865</v>
      </c>
      <c r="H2896" t="s">
        <v>17866</v>
      </c>
      <c r="I2896" t="s">
        <v>28931</v>
      </c>
      <c r="J2896" t="s">
        <v>17867</v>
      </c>
      <c r="K2896" t="s">
        <v>16698</v>
      </c>
      <c r="L2896" s="7" t="s">
        <v>17868</v>
      </c>
      <c r="M2896" t="s">
        <v>17869</v>
      </c>
      <c r="N2896">
        <v>6</v>
      </c>
      <c r="O2896">
        <v>1</v>
      </c>
      <c r="P2896">
        <v>5</v>
      </c>
      <c r="Q2896">
        <v>6</v>
      </c>
      <c r="R2896">
        <v>1</v>
      </c>
      <c r="S2896">
        <v>5</v>
      </c>
      <c r="T2896">
        <v>0</v>
      </c>
      <c r="U2896" t="s">
        <v>17870</v>
      </c>
      <c r="V2896">
        <f>Tabla1[[#This Row],[Aboard]]-Tabla1[[#This Row],[Fatalities]]</f>
        <v>0</v>
      </c>
      <c r="W2896" s="50">
        <f>IFERROR(Tabla1[[#This Row],[Fatalities]]/Tabla1[[#This Row],[Aboard]],0)</f>
        <v>1</v>
      </c>
      <c r="X2896" s="51" t="str" cm="1">
        <f t="array" ref="X2896">_xlfn.IFS(Tabla1[[#This Row],[Porcentaje de muertes]]&lt;0.35,"LEVE",AND(Tabla1[[#This Row],[Porcentaje de muertes]]&gt;0.35,Tabla1[[#This Row],[Porcentaje de muertes]]&lt;0.65),"MEDIO",Tabla1[[#This Row],[Porcentaje de muertes]]&gt;0.65,"GRAVE")</f>
        <v>GRAVE</v>
      </c>
    </row>
    <row r="2897" spans="2:24" x14ac:dyDescent="0.3">
      <c r="B2897" s="9">
        <v>2896</v>
      </c>
      <c r="C2897" s="49">
        <v>28261</v>
      </c>
      <c r="D2897" s="9">
        <f>YEAR(Tabla1[[#This Row],[Date]])</f>
        <v>1977</v>
      </c>
      <c r="E2897" s="9" t="str" cm="1">
        <f t="array" ref="E2897">IFERROR(_xlfn.IFS(AND(D2897&lt;1980,D2897&gt;=1970),"70",AND(D2897&lt;1990,D2897&gt;=1980),"80",AND(D2897&lt;2000,D2897&gt;=1990),"90",AND(D2897&lt;2010,D2897&gt;=2000),"00",AND(D2897&lt;=2019,D2897&gt;=2010),"10"),"1908-1970")</f>
        <v>70</v>
      </c>
      <c r="F2897" s="3">
        <v>0.73263888888888884</v>
      </c>
      <c r="G2897" t="s">
        <v>5425</v>
      </c>
      <c r="H2897" t="s">
        <v>17871</v>
      </c>
      <c r="I2897" t="s">
        <v>28931</v>
      </c>
      <c r="J2897" t="s">
        <v>17872</v>
      </c>
      <c r="K2897" t="s">
        <v>17873</v>
      </c>
      <c r="L2897" s="7" t="s">
        <v>17874</v>
      </c>
      <c r="M2897">
        <v>61427</v>
      </c>
      <c r="N2897">
        <v>25</v>
      </c>
      <c r="O2897">
        <v>22</v>
      </c>
      <c r="P2897">
        <v>3</v>
      </c>
      <c r="Q2897">
        <v>4</v>
      </c>
      <c r="R2897">
        <v>4</v>
      </c>
      <c r="S2897">
        <v>0</v>
      </c>
      <c r="T2897">
        <v>1</v>
      </c>
      <c r="U2897" t="s">
        <v>17875</v>
      </c>
      <c r="V2897">
        <f>Tabla1[[#This Row],[Aboard]]-Tabla1[[#This Row],[Fatalities]]</f>
        <v>21</v>
      </c>
      <c r="W2897" s="50">
        <f>IFERROR(Tabla1[[#This Row],[Fatalities]]/Tabla1[[#This Row],[Aboard]],0)</f>
        <v>0.16</v>
      </c>
      <c r="X2897" s="51" t="str" cm="1">
        <f t="array" ref="X2897">_xlfn.IFS(Tabla1[[#This Row],[Porcentaje de muertes]]&lt;0.35,"LEVE",AND(Tabla1[[#This Row],[Porcentaje de muertes]]&gt;0.35,Tabla1[[#This Row],[Porcentaje de muertes]]&lt;0.65),"MEDIO",Tabla1[[#This Row],[Porcentaje de muertes]]&gt;0.65,"GRAVE")</f>
        <v>LEVE</v>
      </c>
    </row>
    <row r="2898" spans="2:24" x14ac:dyDescent="0.3">
      <c r="B2898" s="9">
        <v>2897</v>
      </c>
      <c r="C2898" s="49">
        <v>28272</v>
      </c>
      <c r="D2898" s="9">
        <f>YEAR(Tabla1[[#This Row],[Date]])</f>
        <v>1977</v>
      </c>
      <c r="E2898" s="9" t="str" cm="1">
        <f t="array" ref="E2898">IFERROR(_xlfn.IFS(AND(D2898&lt;1980,D2898&gt;=1970),"70",AND(D2898&lt;1990,D2898&gt;=1980),"80",AND(D2898&lt;2000,D2898&gt;=1990),"90",AND(D2898&lt;2010,D2898&gt;=2000),"00",AND(D2898&lt;=2019,D2898&gt;=2010),"10"),"1908-1970")</f>
        <v>70</v>
      </c>
      <c r="F2898" s="3">
        <v>0.36458333333333331</v>
      </c>
      <c r="G2898" t="s">
        <v>17876</v>
      </c>
      <c r="H2898" t="s">
        <v>6541</v>
      </c>
      <c r="I2898" t="s">
        <v>17877</v>
      </c>
      <c r="J2898" t="s">
        <v>17878</v>
      </c>
      <c r="K2898" t="s">
        <v>17879</v>
      </c>
      <c r="L2898" s="7" t="s">
        <v>17880</v>
      </c>
      <c r="M2898">
        <v>51903</v>
      </c>
      <c r="N2898">
        <v>69</v>
      </c>
      <c r="O2898">
        <v>59</v>
      </c>
      <c r="P2898">
        <v>10</v>
      </c>
      <c r="Q2898">
        <v>67</v>
      </c>
      <c r="R2898">
        <v>57</v>
      </c>
      <c r="S2898">
        <v>10</v>
      </c>
      <c r="T2898">
        <v>0</v>
      </c>
      <c r="U2898" t="s">
        <v>17881</v>
      </c>
      <c r="V2898">
        <f>Tabla1[[#This Row],[Aboard]]-Tabla1[[#This Row],[Fatalities]]</f>
        <v>2</v>
      </c>
      <c r="W2898" s="50">
        <f>IFERROR(Tabla1[[#This Row],[Fatalities]]/Tabla1[[#This Row],[Aboard]],0)</f>
        <v>0.97101449275362317</v>
      </c>
      <c r="X2898" s="51" t="str" cm="1">
        <f t="array" ref="X2898">_xlfn.IFS(Tabla1[[#This Row],[Porcentaje de muertes]]&lt;0.35,"LEVE",AND(Tabla1[[#This Row],[Porcentaje de muertes]]&gt;0.35,Tabla1[[#This Row],[Porcentaje de muertes]]&lt;0.65),"MEDIO",Tabla1[[#This Row],[Porcentaje de muertes]]&gt;0.65,"GRAVE")</f>
        <v>GRAVE</v>
      </c>
    </row>
    <row r="2899" spans="2:24" x14ac:dyDescent="0.3">
      <c r="B2899" s="9">
        <v>2898</v>
      </c>
      <c r="C2899" s="49">
        <v>28190</v>
      </c>
      <c r="D2899" s="9">
        <f>YEAR(Tabla1[[#This Row],[Date]])</f>
        <v>1977</v>
      </c>
      <c r="E2899" s="9" t="str" cm="1">
        <f t="array" ref="E2899">IFERROR(_xlfn.IFS(AND(D2899&lt;1980,D2899&gt;=1970),"70",AND(D2899&lt;1990,D2899&gt;=1980),"80",AND(D2899&lt;2000,D2899&gt;=1990),"90",AND(D2899&lt;2010,D2899&gt;=2000),"00",AND(D2899&lt;=2019,D2899&gt;=2010),"10"),"1908-1970")</f>
        <v>70</v>
      </c>
      <c r="F2899" s="3" t="s">
        <v>28931</v>
      </c>
      <c r="G2899" t="s">
        <v>17882</v>
      </c>
      <c r="H2899" t="s">
        <v>9398</v>
      </c>
      <c r="I2899" t="s">
        <v>28931</v>
      </c>
      <c r="J2899" t="s">
        <v>28931</v>
      </c>
      <c r="K2899" t="s">
        <v>17883</v>
      </c>
      <c r="L2899" s="7" t="s">
        <v>17884</v>
      </c>
      <c r="M2899">
        <v>110057</v>
      </c>
      <c r="N2899">
        <v>18</v>
      </c>
      <c r="O2899">
        <v>16</v>
      </c>
      <c r="P2899">
        <v>2</v>
      </c>
      <c r="Q2899">
        <v>18</v>
      </c>
      <c r="R2899">
        <v>16</v>
      </c>
      <c r="S2899">
        <v>2</v>
      </c>
      <c r="T2899">
        <v>0</v>
      </c>
      <c r="U2899" t="s">
        <v>28927</v>
      </c>
      <c r="V2899">
        <f>Tabla1[[#This Row],[Aboard]]-Tabla1[[#This Row],[Fatalities]]</f>
        <v>0</v>
      </c>
      <c r="W2899" s="50">
        <f>IFERROR(Tabla1[[#This Row],[Fatalities]]/Tabla1[[#This Row],[Aboard]],0)</f>
        <v>1</v>
      </c>
      <c r="X2899" s="51" t="str" cm="1">
        <f t="array" ref="X2899">_xlfn.IFS(Tabla1[[#This Row],[Porcentaje de muertes]]&lt;0.35,"LEVE",AND(Tabla1[[#This Row],[Porcentaje de muertes]]&gt;0.35,Tabla1[[#This Row],[Porcentaje de muertes]]&lt;0.65),"MEDIO",Tabla1[[#This Row],[Porcentaje de muertes]]&gt;0.65,"GRAVE")</f>
        <v>GRAVE</v>
      </c>
    </row>
    <row r="2900" spans="2:24" x14ac:dyDescent="0.3">
      <c r="B2900" s="9">
        <v>2899</v>
      </c>
      <c r="C2900" s="49">
        <v>28296</v>
      </c>
      <c r="D2900" s="9">
        <f>YEAR(Tabla1[[#This Row],[Date]])</f>
        <v>1977</v>
      </c>
      <c r="E2900" s="9" t="str" cm="1">
        <f t="array" ref="E2900">IFERROR(_xlfn.IFS(AND(D2900&lt;1980,D2900&gt;=1970),"70",AND(D2900&lt;1990,D2900&gt;=1980),"80",AND(D2900&lt;2000,D2900&gt;=1990),"90",AND(D2900&lt;2010,D2900&gt;=2000),"00",AND(D2900&lt;=2019,D2900&gt;=2010),"10"),"1908-1970")</f>
        <v>70</v>
      </c>
      <c r="F2900" s="3" t="s">
        <v>28931</v>
      </c>
      <c r="G2900" t="s">
        <v>17885</v>
      </c>
      <c r="H2900" t="s">
        <v>17886</v>
      </c>
      <c r="I2900" t="s">
        <v>28931</v>
      </c>
      <c r="J2900" t="s">
        <v>17887</v>
      </c>
      <c r="K2900" t="s">
        <v>17332</v>
      </c>
      <c r="L2900" s="7" t="s">
        <v>17888</v>
      </c>
      <c r="M2900">
        <v>110083</v>
      </c>
      <c r="N2900">
        <v>15</v>
      </c>
      <c r="O2900">
        <v>13</v>
      </c>
      <c r="P2900">
        <v>2</v>
      </c>
      <c r="Q2900">
        <v>12</v>
      </c>
      <c r="R2900">
        <v>10</v>
      </c>
      <c r="S2900">
        <v>2</v>
      </c>
      <c r="T2900">
        <v>0</v>
      </c>
      <c r="U2900" t="s">
        <v>17889</v>
      </c>
      <c r="V2900">
        <f>Tabla1[[#This Row],[Aboard]]-Tabla1[[#This Row],[Fatalities]]</f>
        <v>3</v>
      </c>
      <c r="W2900" s="50">
        <f>IFERROR(Tabla1[[#This Row],[Fatalities]]/Tabla1[[#This Row],[Aboard]],0)</f>
        <v>0.8</v>
      </c>
      <c r="X2900" s="51" t="str" cm="1">
        <f t="array" ref="X2900">_xlfn.IFS(Tabla1[[#This Row],[Porcentaje de muertes]]&lt;0.35,"LEVE",AND(Tabla1[[#This Row],[Porcentaje de muertes]]&gt;0.35,Tabla1[[#This Row],[Porcentaje de muertes]]&lt;0.65),"MEDIO",Tabla1[[#This Row],[Porcentaje de muertes]]&gt;0.65,"GRAVE")</f>
        <v>GRAVE</v>
      </c>
    </row>
    <row r="2901" spans="2:24" x14ac:dyDescent="0.3">
      <c r="B2901" s="9">
        <v>2900</v>
      </c>
      <c r="C2901" s="49">
        <v>28297</v>
      </c>
      <c r="D2901" s="9">
        <f>YEAR(Tabla1[[#This Row],[Date]])</f>
        <v>1977</v>
      </c>
      <c r="E2901" s="9" t="str" cm="1">
        <f t="array" ref="E2901">IFERROR(_xlfn.IFS(AND(D2901&lt;1980,D2901&gt;=1970),"70",AND(D2901&lt;1990,D2901&gt;=1980),"80",AND(D2901&lt;2000,D2901&gt;=1990),"90",AND(D2901&lt;2010,D2901&gt;=2000),"00",AND(D2901&lt;=2019,D2901&gt;=2010),"10"),"1908-1970")</f>
        <v>70</v>
      </c>
      <c r="F2901" s="3">
        <v>0.9375</v>
      </c>
      <c r="G2901" t="s">
        <v>17890</v>
      </c>
      <c r="H2901" t="s">
        <v>5027</v>
      </c>
      <c r="I2901" t="s">
        <v>28931</v>
      </c>
      <c r="J2901" t="s">
        <v>17891</v>
      </c>
      <c r="K2901" t="s">
        <v>17892</v>
      </c>
      <c r="L2901" s="7">
        <v>156176</v>
      </c>
      <c r="M2901">
        <v>4280</v>
      </c>
      <c r="N2901">
        <v>16</v>
      </c>
      <c r="O2901">
        <v>0</v>
      </c>
      <c r="P2901">
        <v>16</v>
      </c>
      <c r="Q2901">
        <v>16</v>
      </c>
      <c r="R2901">
        <v>0</v>
      </c>
      <c r="S2901">
        <v>16</v>
      </c>
      <c r="T2901">
        <v>0</v>
      </c>
      <c r="U2901" t="s">
        <v>17893</v>
      </c>
      <c r="V2901">
        <f>Tabla1[[#This Row],[Aboard]]-Tabla1[[#This Row],[Fatalities]]</f>
        <v>0</v>
      </c>
      <c r="W2901" s="50">
        <f>IFERROR(Tabla1[[#This Row],[Fatalities]]/Tabla1[[#This Row],[Aboard]],0)</f>
        <v>1</v>
      </c>
      <c r="X2901" s="51" t="str" cm="1">
        <f t="array" ref="X2901">_xlfn.IFS(Tabla1[[#This Row],[Porcentaje de muertes]]&lt;0.35,"LEVE",AND(Tabla1[[#This Row],[Porcentaje de muertes]]&gt;0.35,Tabla1[[#This Row],[Porcentaje de muertes]]&lt;0.65),"MEDIO",Tabla1[[#This Row],[Porcentaje de muertes]]&gt;0.65,"GRAVE")</f>
        <v>GRAVE</v>
      </c>
    </row>
    <row r="2902" spans="2:24" x14ac:dyDescent="0.3">
      <c r="B2902" s="9">
        <v>2901</v>
      </c>
      <c r="C2902" s="49">
        <v>28283</v>
      </c>
      <c r="D2902" s="9">
        <f>YEAR(Tabla1[[#This Row],[Date]])</f>
        <v>1977</v>
      </c>
      <c r="E2902" s="9" t="str" cm="1">
        <f t="array" ref="E2902">IFERROR(_xlfn.IFS(AND(D2902&lt;1980,D2902&gt;=1970),"70",AND(D2902&lt;1990,D2902&gt;=1980),"80",AND(D2902&lt;2000,D2902&gt;=1990),"90",AND(D2902&lt;2010,D2902&gt;=2000),"00",AND(D2902&lt;=2019,D2902&gt;=2010),"10"),"1908-1970")</f>
        <v>70</v>
      </c>
      <c r="F2902" s="3">
        <v>0.97916666666666663</v>
      </c>
      <c r="G2902" t="s">
        <v>17894</v>
      </c>
      <c r="H2902" t="s">
        <v>17895</v>
      </c>
      <c r="I2902" t="s">
        <v>28931</v>
      </c>
      <c r="J2902" t="s">
        <v>17896</v>
      </c>
      <c r="K2902" t="s">
        <v>17386</v>
      </c>
      <c r="L2902" s="7" t="s">
        <v>17897</v>
      </c>
      <c r="M2902">
        <v>1076</v>
      </c>
      <c r="N2902">
        <v>3</v>
      </c>
      <c r="O2902">
        <v>0</v>
      </c>
      <c r="P2902">
        <v>3</v>
      </c>
      <c r="Q2902">
        <v>3</v>
      </c>
      <c r="R2902">
        <v>0</v>
      </c>
      <c r="S2902">
        <v>3</v>
      </c>
      <c r="T2902">
        <v>0</v>
      </c>
      <c r="U2902" t="s">
        <v>17898</v>
      </c>
      <c r="V2902">
        <f>Tabla1[[#This Row],[Aboard]]-Tabla1[[#This Row],[Fatalities]]</f>
        <v>0</v>
      </c>
      <c r="W2902" s="50">
        <f>IFERROR(Tabla1[[#This Row],[Fatalities]]/Tabla1[[#This Row],[Aboard]],0)</f>
        <v>1</v>
      </c>
      <c r="X2902" s="51" t="str" cm="1">
        <f t="array" ref="X2902">_xlfn.IFS(Tabla1[[#This Row],[Porcentaje de muertes]]&lt;0.35,"LEVE",AND(Tabla1[[#This Row],[Porcentaje de muertes]]&gt;0.35,Tabla1[[#This Row],[Porcentaje de muertes]]&lt;0.65),"MEDIO",Tabla1[[#This Row],[Porcentaje de muertes]]&gt;0.65,"GRAVE")</f>
        <v>GRAVE</v>
      </c>
    </row>
    <row r="2903" spans="2:24" x14ac:dyDescent="0.3">
      <c r="B2903" s="9">
        <v>2902</v>
      </c>
      <c r="C2903" s="49">
        <v>28344</v>
      </c>
      <c r="D2903" s="9">
        <f>YEAR(Tabla1[[#This Row],[Date]])</f>
        <v>1977</v>
      </c>
      <c r="E2903" s="9" t="str" cm="1">
        <f t="array" ref="E2903">IFERROR(_xlfn.IFS(AND(D2903&lt;1980,D2903&gt;=1970),"70",AND(D2903&lt;1990,D2903&gt;=1980),"80",AND(D2903&lt;2000,D2903&gt;=1990),"90",AND(D2903&lt;2010,D2903&gt;=2000),"00",AND(D2903&lt;=2019,D2903&gt;=2010),"10"),"1908-1970")</f>
        <v>70</v>
      </c>
      <c r="F2903" s="3" t="s">
        <v>28931</v>
      </c>
      <c r="G2903" t="s">
        <v>17899</v>
      </c>
      <c r="H2903" t="s">
        <v>6541</v>
      </c>
      <c r="I2903" t="s">
        <v>28931</v>
      </c>
      <c r="J2903" t="s">
        <v>28931</v>
      </c>
      <c r="K2903" t="s">
        <v>14340</v>
      </c>
      <c r="L2903" s="7" t="s">
        <v>17900</v>
      </c>
      <c r="M2903">
        <v>27307505</v>
      </c>
      <c r="N2903">
        <v>7</v>
      </c>
      <c r="O2903" t="s">
        <v>5038</v>
      </c>
      <c r="P2903" t="s">
        <v>5038</v>
      </c>
      <c r="Q2903">
        <v>6</v>
      </c>
      <c r="R2903" t="s">
        <v>5038</v>
      </c>
      <c r="S2903" t="s">
        <v>5038</v>
      </c>
      <c r="T2903">
        <v>0</v>
      </c>
      <c r="U2903" t="s">
        <v>17901</v>
      </c>
      <c r="V2903">
        <f>Tabla1[[#This Row],[Aboard]]-Tabla1[[#This Row],[Fatalities]]</f>
        <v>1</v>
      </c>
      <c r="W2903" s="50">
        <f>IFERROR(Tabla1[[#This Row],[Fatalities]]/Tabla1[[#This Row],[Aboard]],0)</f>
        <v>0.8571428571428571</v>
      </c>
      <c r="X2903" s="51" t="str" cm="1">
        <f t="array" ref="X2903">_xlfn.IFS(Tabla1[[#This Row],[Porcentaje de muertes]]&lt;0.35,"LEVE",AND(Tabla1[[#This Row],[Porcentaje de muertes]]&gt;0.35,Tabla1[[#This Row],[Porcentaje de muertes]]&lt;0.65),"MEDIO",Tabla1[[#This Row],[Porcentaje de muertes]]&gt;0.65,"GRAVE")</f>
        <v>GRAVE</v>
      </c>
    </row>
    <row r="2904" spans="2:24" x14ac:dyDescent="0.3">
      <c r="B2904" s="9">
        <v>2903</v>
      </c>
      <c r="C2904" s="49">
        <v>28320</v>
      </c>
      <c r="D2904" s="9">
        <f>YEAR(Tabla1[[#This Row],[Date]])</f>
        <v>1977</v>
      </c>
      <c r="E2904" s="9" t="str" cm="1">
        <f t="array" ref="E2904">IFERROR(_xlfn.IFS(AND(D2904&lt;1980,D2904&gt;=1970),"70",AND(D2904&lt;1990,D2904&gt;=1980),"80",AND(D2904&lt;2000,D2904&gt;=1990),"90",AND(D2904&lt;2010,D2904&gt;=2000),"00",AND(D2904&lt;=2019,D2904&gt;=2010),"10"),"1908-1970")</f>
        <v>70</v>
      </c>
      <c r="F2904" s="3">
        <v>0.52083333333333337</v>
      </c>
      <c r="G2904" t="s">
        <v>17902</v>
      </c>
      <c r="H2904" t="s">
        <v>17903</v>
      </c>
      <c r="I2904" t="s">
        <v>28931</v>
      </c>
      <c r="J2904" t="s">
        <v>28931</v>
      </c>
      <c r="K2904" t="s">
        <v>17904</v>
      </c>
      <c r="L2904" s="7" t="s">
        <v>28931</v>
      </c>
      <c r="M2904" t="s">
        <v>28931</v>
      </c>
      <c r="N2904">
        <v>30</v>
      </c>
      <c r="O2904">
        <v>25</v>
      </c>
      <c r="P2904">
        <v>5</v>
      </c>
      <c r="Q2904">
        <v>30</v>
      </c>
      <c r="R2904">
        <v>25</v>
      </c>
      <c r="S2904">
        <v>5</v>
      </c>
      <c r="T2904">
        <v>0</v>
      </c>
      <c r="U2904" t="s">
        <v>17905</v>
      </c>
      <c r="V2904">
        <f>Tabla1[[#This Row],[Aboard]]-Tabla1[[#This Row],[Fatalities]]</f>
        <v>0</v>
      </c>
      <c r="W2904" s="50">
        <f>IFERROR(Tabla1[[#This Row],[Fatalities]]/Tabla1[[#This Row],[Aboard]],0)</f>
        <v>1</v>
      </c>
      <c r="X2904" s="51" t="str" cm="1">
        <f t="array" ref="X2904">_xlfn.IFS(Tabla1[[#This Row],[Porcentaje de muertes]]&lt;0.35,"LEVE",AND(Tabla1[[#This Row],[Porcentaje de muertes]]&gt;0.35,Tabla1[[#This Row],[Porcentaje de muertes]]&lt;0.65),"MEDIO",Tabla1[[#This Row],[Porcentaje de muertes]]&gt;0.65,"GRAVE")</f>
        <v>GRAVE</v>
      </c>
    </row>
    <row r="2905" spans="2:24" x14ac:dyDescent="0.3">
      <c r="B2905" s="9">
        <v>2904</v>
      </c>
      <c r="C2905" s="49">
        <v>28326</v>
      </c>
      <c r="D2905" s="9">
        <f>YEAR(Tabla1[[#This Row],[Date]])</f>
        <v>1977</v>
      </c>
      <c r="E2905" s="9" t="str" cm="1">
        <f t="array" ref="E2905">IFERROR(_xlfn.IFS(AND(D2905&lt;1980,D2905&gt;=1970),"70",AND(D2905&lt;1990,D2905&gt;=1980),"80",AND(D2905&lt;2000,D2905&gt;=1990),"90",AND(D2905&lt;2010,D2905&gt;=2000),"00",AND(D2905&lt;=2019,D2905&gt;=2010),"10"),"1908-1970")</f>
        <v>70</v>
      </c>
      <c r="F2905" s="3" t="s">
        <v>28931</v>
      </c>
      <c r="G2905" t="s">
        <v>17906</v>
      </c>
      <c r="H2905" t="s">
        <v>6541</v>
      </c>
      <c r="I2905" t="s">
        <v>17907</v>
      </c>
      <c r="J2905" t="s">
        <v>17908</v>
      </c>
      <c r="K2905" t="s">
        <v>17413</v>
      </c>
      <c r="L2905" s="7" t="s">
        <v>17909</v>
      </c>
      <c r="M2905">
        <v>86806109</v>
      </c>
      <c r="N2905">
        <v>40</v>
      </c>
      <c r="O2905">
        <v>34</v>
      </c>
      <c r="P2905">
        <v>6</v>
      </c>
      <c r="Q2905">
        <v>40</v>
      </c>
      <c r="R2905">
        <v>34</v>
      </c>
      <c r="S2905">
        <v>6</v>
      </c>
      <c r="T2905">
        <v>0</v>
      </c>
      <c r="U2905" t="s">
        <v>17910</v>
      </c>
      <c r="V2905">
        <f>Tabla1[[#This Row],[Aboard]]-Tabla1[[#This Row],[Fatalities]]</f>
        <v>0</v>
      </c>
      <c r="W2905" s="50">
        <f>IFERROR(Tabla1[[#This Row],[Fatalities]]/Tabla1[[#This Row],[Aboard]],0)</f>
        <v>1</v>
      </c>
      <c r="X2905" s="51" t="str" cm="1">
        <f t="array" ref="X2905">_xlfn.IFS(Tabla1[[#This Row],[Porcentaje de muertes]]&lt;0.35,"LEVE",AND(Tabla1[[#This Row],[Porcentaje de muertes]]&gt;0.35,Tabla1[[#This Row],[Porcentaje de muertes]]&lt;0.65),"MEDIO",Tabla1[[#This Row],[Porcentaje de muertes]]&gt;0.65,"GRAVE")</f>
        <v>GRAVE</v>
      </c>
    </row>
    <row r="2906" spans="2:24" x14ac:dyDescent="0.3">
      <c r="B2906" s="9">
        <v>2905</v>
      </c>
      <c r="C2906" s="49">
        <v>28326</v>
      </c>
      <c r="D2906" s="9">
        <f>YEAR(Tabla1[[#This Row],[Date]])</f>
        <v>1977</v>
      </c>
      <c r="E2906" s="9" t="str" cm="1">
        <f t="array" ref="E2906">IFERROR(_xlfn.IFS(AND(D2906&lt;1980,D2906&gt;=1970),"70",AND(D2906&lt;1990,D2906&gt;=1980),"80",AND(D2906&lt;2000,D2906&gt;=1990),"90",AND(D2906&lt;2010,D2906&gt;=2000),"00",AND(D2906&lt;=2019,D2906&gt;=2010),"10"),"1908-1970")</f>
        <v>70</v>
      </c>
      <c r="F2906" s="3">
        <v>0.72916666666666663</v>
      </c>
      <c r="G2906" t="s">
        <v>17911</v>
      </c>
      <c r="H2906" t="s">
        <v>13000</v>
      </c>
      <c r="I2906" t="s">
        <v>28931</v>
      </c>
      <c r="J2906" t="s">
        <v>17912</v>
      </c>
      <c r="K2906" t="s">
        <v>7057</v>
      </c>
      <c r="L2906" s="7" t="s">
        <v>17913</v>
      </c>
      <c r="M2906">
        <v>6069</v>
      </c>
      <c r="N2906">
        <v>5</v>
      </c>
      <c r="O2906">
        <v>2</v>
      </c>
      <c r="P2906">
        <v>3</v>
      </c>
      <c r="Q2906">
        <v>5</v>
      </c>
      <c r="R2906">
        <v>2</v>
      </c>
      <c r="S2906">
        <v>3</v>
      </c>
      <c r="T2906">
        <v>0</v>
      </c>
      <c r="U2906" t="s">
        <v>17914</v>
      </c>
      <c r="V2906">
        <f>Tabla1[[#This Row],[Aboard]]-Tabla1[[#This Row],[Fatalities]]</f>
        <v>0</v>
      </c>
      <c r="W2906" s="50">
        <f>IFERROR(Tabla1[[#This Row],[Fatalities]]/Tabla1[[#This Row],[Aboard]],0)</f>
        <v>1</v>
      </c>
      <c r="X2906" s="51" t="str" cm="1">
        <f t="array" ref="X2906">_xlfn.IFS(Tabla1[[#This Row],[Porcentaje de muertes]]&lt;0.35,"LEVE",AND(Tabla1[[#This Row],[Porcentaje de muertes]]&gt;0.35,Tabla1[[#This Row],[Porcentaje de muertes]]&lt;0.65),"MEDIO",Tabla1[[#This Row],[Porcentaje de muertes]]&gt;0.65,"GRAVE")</f>
        <v>GRAVE</v>
      </c>
    </row>
    <row r="2907" spans="2:24" x14ac:dyDescent="0.3">
      <c r="B2907" s="9">
        <v>2906</v>
      </c>
      <c r="C2907" s="49">
        <v>28330</v>
      </c>
      <c r="D2907" s="9">
        <f>YEAR(Tabla1[[#This Row],[Date]])</f>
        <v>1977</v>
      </c>
      <c r="E2907" s="9" t="str" cm="1">
        <f t="array" ref="E2907">IFERROR(_xlfn.IFS(AND(D2907&lt;1980,D2907&gt;=1970),"70",AND(D2907&lt;1990,D2907&gt;=1980),"80",AND(D2907&lt;2000,D2907&gt;=1990),"90",AND(D2907&lt;2010,D2907&gt;=2000),"00",AND(D2907&lt;=2019,D2907&gt;=2010),"10"),"1908-1970")</f>
        <v>70</v>
      </c>
      <c r="F2907" s="3">
        <v>0.79166666666666663</v>
      </c>
      <c r="G2907" t="s">
        <v>17915</v>
      </c>
      <c r="H2907" t="s">
        <v>13879</v>
      </c>
      <c r="I2907" t="s">
        <v>28931</v>
      </c>
      <c r="J2907" t="s">
        <v>17916</v>
      </c>
      <c r="K2907" t="s">
        <v>10428</v>
      </c>
      <c r="L2907" s="7" t="s">
        <v>17917</v>
      </c>
      <c r="M2907">
        <v>45534</v>
      </c>
      <c r="N2907">
        <v>82</v>
      </c>
      <c r="O2907">
        <v>75</v>
      </c>
      <c r="P2907">
        <v>7</v>
      </c>
      <c r="Q2907">
        <v>38</v>
      </c>
      <c r="R2907">
        <v>31</v>
      </c>
      <c r="S2907">
        <v>7</v>
      </c>
      <c r="T2907">
        <v>0</v>
      </c>
      <c r="U2907" t="s">
        <v>17918</v>
      </c>
      <c r="V2907">
        <f>Tabla1[[#This Row],[Aboard]]-Tabla1[[#This Row],[Fatalities]]</f>
        <v>44</v>
      </c>
      <c r="W2907" s="50">
        <f>IFERROR(Tabla1[[#This Row],[Fatalities]]/Tabla1[[#This Row],[Aboard]],0)</f>
        <v>0.46341463414634149</v>
      </c>
      <c r="X2907" s="51" t="str" cm="1">
        <f t="array" ref="X2907">_xlfn.IFS(Tabla1[[#This Row],[Porcentaje de muertes]]&lt;0.35,"LEVE",AND(Tabla1[[#This Row],[Porcentaje de muertes]]&gt;0.35,Tabla1[[#This Row],[Porcentaje de muertes]]&lt;0.65),"MEDIO",Tabla1[[#This Row],[Porcentaje de muertes]]&gt;0.65,"GRAVE")</f>
        <v>MEDIO</v>
      </c>
    </row>
    <row r="2908" spans="2:24" x14ac:dyDescent="0.3">
      <c r="B2908" s="9">
        <v>2907</v>
      </c>
      <c r="C2908" s="49">
        <v>28331</v>
      </c>
      <c r="D2908" s="9">
        <f>YEAR(Tabla1[[#This Row],[Date]])</f>
        <v>1977</v>
      </c>
      <c r="E2908" s="9" t="str" cm="1">
        <f t="array" ref="E2908">IFERROR(_xlfn.IFS(AND(D2908&lt;1980,D2908&gt;=1970),"70",AND(D2908&lt;1990,D2908&gt;=1980),"80",AND(D2908&lt;2000,D2908&gt;=1990),"90",AND(D2908&lt;2010,D2908&gt;=2000),"00",AND(D2908&lt;=2019,D2908&gt;=2010),"10"),"1908-1970")</f>
        <v>70</v>
      </c>
      <c r="F2908" s="3">
        <v>0.33333333333333331</v>
      </c>
      <c r="G2908" t="s">
        <v>17919</v>
      </c>
      <c r="H2908" t="s">
        <v>17920</v>
      </c>
      <c r="I2908" t="s">
        <v>28931</v>
      </c>
      <c r="J2908" t="s">
        <v>17921</v>
      </c>
      <c r="K2908" t="s">
        <v>7826</v>
      </c>
      <c r="L2908" s="7" t="s">
        <v>17922</v>
      </c>
      <c r="M2908">
        <v>6096</v>
      </c>
      <c r="N2908">
        <v>40</v>
      </c>
      <c r="O2908">
        <v>36</v>
      </c>
      <c r="P2908">
        <v>4</v>
      </c>
      <c r="Q2908">
        <v>25</v>
      </c>
      <c r="R2908" t="s">
        <v>5038</v>
      </c>
      <c r="S2908" t="s">
        <v>5038</v>
      </c>
      <c r="T2908">
        <v>0</v>
      </c>
      <c r="U2908" t="s">
        <v>17923</v>
      </c>
      <c r="V2908">
        <f>Tabla1[[#This Row],[Aboard]]-Tabla1[[#This Row],[Fatalities]]</f>
        <v>15</v>
      </c>
      <c r="W2908" s="50">
        <f>IFERROR(Tabla1[[#This Row],[Fatalities]]/Tabla1[[#This Row],[Aboard]],0)</f>
        <v>0.625</v>
      </c>
      <c r="X2908" s="51" t="str" cm="1">
        <f t="array" ref="X2908">_xlfn.IFS(Tabla1[[#This Row],[Porcentaje de muertes]]&lt;0.35,"LEVE",AND(Tabla1[[#This Row],[Porcentaje de muertes]]&gt;0.35,Tabla1[[#This Row],[Porcentaje de muertes]]&lt;0.65),"MEDIO",Tabla1[[#This Row],[Porcentaje de muertes]]&gt;0.65,"GRAVE")</f>
        <v>MEDIO</v>
      </c>
    </row>
    <row r="2909" spans="2:24" x14ac:dyDescent="0.3">
      <c r="B2909" s="9">
        <v>2908</v>
      </c>
      <c r="C2909" s="49">
        <v>28133</v>
      </c>
      <c r="D2909" s="9">
        <f>YEAR(Tabla1[[#This Row],[Date]])</f>
        <v>1977</v>
      </c>
      <c r="E2909" s="9" t="str" cm="1">
        <f t="array" ref="E2909">IFERROR(_xlfn.IFS(AND(D2909&lt;1980,D2909&gt;=1970),"70",AND(D2909&lt;1990,D2909&gt;=1980),"80",AND(D2909&lt;2000,D2909&gt;=1990),"90",AND(D2909&lt;2010,D2909&gt;=2000),"00",AND(D2909&lt;=2019,D2909&gt;=2010),"10"),"1908-1970")</f>
        <v>70</v>
      </c>
      <c r="F2909" s="3">
        <v>0.52500000000000002</v>
      </c>
      <c r="G2909" t="s">
        <v>17924</v>
      </c>
      <c r="H2909" t="s">
        <v>17925</v>
      </c>
      <c r="I2909" t="s">
        <v>28931</v>
      </c>
      <c r="J2909" t="s">
        <v>17926</v>
      </c>
      <c r="K2909" t="s">
        <v>17927</v>
      </c>
      <c r="L2909" s="7" t="s">
        <v>17928</v>
      </c>
      <c r="M2909" t="s">
        <v>28931</v>
      </c>
      <c r="N2909">
        <v>2</v>
      </c>
      <c r="O2909">
        <v>1</v>
      </c>
      <c r="P2909">
        <v>1</v>
      </c>
      <c r="Q2909">
        <v>2</v>
      </c>
      <c r="R2909">
        <v>1</v>
      </c>
      <c r="S2909">
        <v>1</v>
      </c>
      <c r="T2909">
        <v>0</v>
      </c>
      <c r="U2909" t="s">
        <v>17929</v>
      </c>
      <c r="V2909">
        <f>Tabla1[[#This Row],[Aboard]]-Tabla1[[#This Row],[Fatalities]]</f>
        <v>0</v>
      </c>
      <c r="W2909" s="50">
        <f>IFERROR(Tabla1[[#This Row],[Fatalities]]/Tabla1[[#This Row],[Aboard]],0)</f>
        <v>1</v>
      </c>
      <c r="X2909" s="51" t="str" cm="1">
        <f t="array" ref="X2909">_xlfn.IFS(Tabla1[[#This Row],[Porcentaje de muertes]]&lt;0.35,"LEVE",AND(Tabla1[[#This Row],[Porcentaje de muertes]]&gt;0.35,Tabla1[[#This Row],[Porcentaje de muertes]]&lt;0.65),"MEDIO",Tabla1[[#This Row],[Porcentaje de muertes]]&gt;0.65,"GRAVE")</f>
        <v>GRAVE</v>
      </c>
    </row>
    <row r="2910" spans="2:24" x14ac:dyDescent="0.3">
      <c r="B2910" s="9">
        <v>2909</v>
      </c>
      <c r="C2910" s="49">
        <v>28357</v>
      </c>
      <c r="D2910" s="9">
        <f>YEAR(Tabla1[[#This Row],[Date]])</f>
        <v>1977</v>
      </c>
      <c r="E2910" s="9" t="str" cm="1">
        <f t="array" ref="E2910">IFERROR(_xlfn.IFS(AND(D2910&lt;1980,D2910&gt;=1970),"70",AND(D2910&lt;1990,D2910&gt;=1980),"80",AND(D2910&lt;2000,D2910&gt;=1990),"90",AND(D2910&lt;2010,D2910&gt;=2000),"00",AND(D2910&lt;=2019,D2910&gt;=2010),"10"),"1908-1970")</f>
        <v>70</v>
      </c>
      <c r="F2910" s="3">
        <v>0.87916666666666676</v>
      </c>
      <c r="G2910" t="s">
        <v>8874</v>
      </c>
      <c r="H2910" t="s">
        <v>17930</v>
      </c>
      <c r="I2910" t="s">
        <v>28931</v>
      </c>
      <c r="J2910" t="s">
        <v>17931</v>
      </c>
      <c r="K2910" t="s">
        <v>12958</v>
      </c>
      <c r="L2910" s="7" t="s">
        <v>17932</v>
      </c>
      <c r="M2910" t="s">
        <v>28931</v>
      </c>
      <c r="N2910">
        <v>3</v>
      </c>
      <c r="O2910">
        <v>0</v>
      </c>
      <c r="P2910">
        <v>3</v>
      </c>
      <c r="Q2910">
        <v>3</v>
      </c>
      <c r="R2910">
        <v>0</v>
      </c>
      <c r="S2910">
        <v>3</v>
      </c>
      <c r="T2910">
        <v>0</v>
      </c>
      <c r="U2910" t="s">
        <v>17933</v>
      </c>
      <c r="V2910">
        <f>Tabla1[[#This Row],[Aboard]]-Tabla1[[#This Row],[Fatalities]]</f>
        <v>0</v>
      </c>
      <c r="W2910" s="50">
        <f>IFERROR(Tabla1[[#This Row],[Fatalities]]/Tabla1[[#This Row],[Aboard]],0)</f>
        <v>1</v>
      </c>
      <c r="X2910" s="51" t="str" cm="1">
        <f t="array" ref="X2910">_xlfn.IFS(Tabla1[[#This Row],[Porcentaje de muertes]]&lt;0.35,"LEVE",AND(Tabla1[[#This Row],[Porcentaje de muertes]]&gt;0.35,Tabla1[[#This Row],[Porcentaje de muertes]]&lt;0.65),"MEDIO",Tabla1[[#This Row],[Porcentaje de muertes]]&gt;0.65,"GRAVE")</f>
        <v>GRAVE</v>
      </c>
    </row>
    <row r="2911" spans="2:24" x14ac:dyDescent="0.3">
      <c r="B2911" s="9">
        <v>2910</v>
      </c>
      <c r="C2911" s="49">
        <v>28362</v>
      </c>
      <c r="D2911" s="9">
        <f>YEAR(Tabla1[[#This Row],[Date]])</f>
        <v>1977</v>
      </c>
      <c r="E2911" s="9" t="str" cm="1">
        <f t="array" ref="E2911">IFERROR(_xlfn.IFS(AND(D2911&lt;1980,D2911&gt;=1970),"70",AND(D2911&lt;1990,D2911&gt;=1980),"80",AND(D2911&lt;2000,D2911&gt;=1990),"90",AND(D2911&lt;2010,D2911&gt;=2000),"00",AND(D2911&lt;=2019,D2911&gt;=2010),"10"),"1908-1970")</f>
        <v>70</v>
      </c>
      <c r="F2911" s="3">
        <v>0.23611111111111113</v>
      </c>
      <c r="G2911" t="s">
        <v>17934</v>
      </c>
      <c r="H2911" t="s">
        <v>17935</v>
      </c>
      <c r="I2911" t="s">
        <v>28931</v>
      </c>
      <c r="J2911" t="s">
        <v>17936</v>
      </c>
      <c r="K2911" t="s">
        <v>17937</v>
      </c>
      <c r="L2911" s="7" t="s">
        <v>17938</v>
      </c>
      <c r="M2911" t="s">
        <v>17939</v>
      </c>
      <c r="N2911">
        <v>2</v>
      </c>
      <c r="O2911">
        <v>0</v>
      </c>
      <c r="P2911">
        <v>2</v>
      </c>
      <c r="Q2911">
        <v>2</v>
      </c>
      <c r="R2911">
        <v>0</v>
      </c>
      <c r="S2911">
        <v>2</v>
      </c>
      <c r="T2911">
        <v>0</v>
      </c>
      <c r="U2911" t="s">
        <v>17940</v>
      </c>
      <c r="V2911">
        <f>Tabla1[[#This Row],[Aboard]]-Tabla1[[#This Row],[Fatalities]]</f>
        <v>0</v>
      </c>
      <c r="W2911" s="50">
        <f>IFERROR(Tabla1[[#This Row],[Fatalities]]/Tabla1[[#This Row],[Aboard]],0)</f>
        <v>1</v>
      </c>
      <c r="X2911" s="51" t="str" cm="1">
        <f t="array" ref="X2911">_xlfn.IFS(Tabla1[[#This Row],[Porcentaje de muertes]]&lt;0.35,"LEVE",AND(Tabla1[[#This Row],[Porcentaje de muertes]]&gt;0.35,Tabla1[[#This Row],[Porcentaje de muertes]]&lt;0.65),"MEDIO",Tabla1[[#This Row],[Porcentaje de muertes]]&gt;0.65,"GRAVE")</f>
        <v>GRAVE</v>
      </c>
    </row>
    <row r="2912" spans="2:24" x14ac:dyDescent="0.3">
      <c r="B2912" s="9">
        <v>2911</v>
      </c>
      <c r="C2912" s="49">
        <v>28165</v>
      </c>
      <c r="D2912" s="9">
        <f>YEAR(Tabla1[[#This Row],[Date]])</f>
        <v>1977</v>
      </c>
      <c r="E2912" s="9" t="str" cm="1">
        <f t="array" ref="E2912">IFERROR(_xlfn.IFS(AND(D2912&lt;1980,D2912&gt;=1970),"70",AND(D2912&lt;1990,D2912&gt;=1980),"80",AND(D2912&lt;2000,D2912&gt;=1990),"90",AND(D2912&lt;2010,D2912&gt;=2000),"00",AND(D2912&lt;=2019,D2912&gt;=2010),"10"),"1908-1970")</f>
        <v>70</v>
      </c>
      <c r="F2912" s="3">
        <v>0.35972222222222222</v>
      </c>
      <c r="G2912" t="s">
        <v>17941</v>
      </c>
      <c r="H2912" t="s">
        <v>17942</v>
      </c>
      <c r="I2912">
        <v>3751</v>
      </c>
      <c r="J2912" t="s">
        <v>17943</v>
      </c>
      <c r="K2912" t="s">
        <v>17944</v>
      </c>
      <c r="L2912" s="7" t="s">
        <v>17945</v>
      </c>
      <c r="M2912">
        <v>21</v>
      </c>
      <c r="N2912">
        <v>4</v>
      </c>
      <c r="O2912">
        <v>0</v>
      </c>
      <c r="P2912">
        <v>4</v>
      </c>
      <c r="Q2912">
        <v>4</v>
      </c>
      <c r="R2912">
        <v>0</v>
      </c>
      <c r="S2912">
        <v>4</v>
      </c>
      <c r="T2912">
        <v>0</v>
      </c>
      <c r="U2912" t="s">
        <v>17946</v>
      </c>
      <c r="V2912">
        <f>Tabla1[[#This Row],[Aboard]]-Tabla1[[#This Row],[Fatalities]]</f>
        <v>0</v>
      </c>
      <c r="W2912" s="50">
        <f>IFERROR(Tabla1[[#This Row],[Fatalities]]/Tabla1[[#This Row],[Aboard]],0)</f>
        <v>1</v>
      </c>
      <c r="X2912" s="51" t="str" cm="1">
        <f t="array" ref="X2912">_xlfn.IFS(Tabla1[[#This Row],[Porcentaje de muertes]]&lt;0.35,"LEVE",AND(Tabla1[[#This Row],[Porcentaje de muertes]]&gt;0.35,Tabla1[[#This Row],[Porcentaje de muertes]]&lt;0.65),"MEDIO",Tabla1[[#This Row],[Porcentaje de muertes]]&gt;0.65,"GRAVE")</f>
        <v>GRAVE</v>
      </c>
    </row>
    <row r="2913" spans="2:24" x14ac:dyDescent="0.3">
      <c r="B2913" s="9">
        <v>2912</v>
      </c>
      <c r="C2913" s="49">
        <v>28224</v>
      </c>
      <c r="D2913" s="9">
        <f>YEAR(Tabla1[[#This Row],[Date]])</f>
        <v>1977</v>
      </c>
      <c r="E2913" s="9" t="str" cm="1">
        <f t="array" ref="E2913">IFERROR(_xlfn.IFS(AND(D2913&lt;1980,D2913&gt;=1970),"70",AND(D2913&lt;1990,D2913&gt;=1980),"80",AND(D2913&lt;2000,D2913&gt;=1990),"90",AND(D2913&lt;2010,D2913&gt;=2000),"00",AND(D2913&lt;=2019,D2913&gt;=2010),"10"),"1908-1970")</f>
        <v>70</v>
      </c>
      <c r="F2913" s="3" t="s">
        <v>28931</v>
      </c>
      <c r="G2913" t="s">
        <v>17947</v>
      </c>
      <c r="H2913" t="s">
        <v>17948</v>
      </c>
      <c r="I2913" t="s">
        <v>28931</v>
      </c>
      <c r="J2913" t="s">
        <v>8701</v>
      </c>
      <c r="K2913" t="s">
        <v>17949</v>
      </c>
      <c r="L2913" s="7" t="s">
        <v>17950</v>
      </c>
      <c r="M2913">
        <v>185</v>
      </c>
      <c r="N2913">
        <v>33</v>
      </c>
      <c r="O2913">
        <v>29</v>
      </c>
      <c r="P2913">
        <v>4</v>
      </c>
      <c r="Q2913">
        <v>33</v>
      </c>
      <c r="R2913">
        <v>29</v>
      </c>
      <c r="S2913">
        <v>4</v>
      </c>
      <c r="T2913">
        <v>0</v>
      </c>
      <c r="U2913" t="s">
        <v>17951</v>
      </c>
      <c r="V2913">
        <f>Tabla1[[#This Row],[Aboard]]-Tabla1[[#This Row],[Fatalities]]</f>
        <v>0</v>
      </c>
      <c r="W2913" s="50">
        <f>IFERROR(Tabla1[[#This Row],[Fatalities]]/Tabla1[[#This Row],[Aboard]],0)</f>
        <v>1</v>
      </c>
      <c r="X2913" s="51" t="str" cm="1">
        <f t="array" ref="X2913">_xlfn.IFS(Tabla1[[#This Row],[Porcentaje de muertes]]&lt;0.35,"LEVE",AND(Tabla1[[#This Row],[Porcentaje de muertes]]&gt;0.35,Tabla1[[#This Row],[Porcentaje de muertes]]&lt;0.65),"MEDIO",Tabla1[[#This Row],[Porcentaje de muertes]]&gt;0.65,"GRAVE")</f>
        <v>GRAVE</v>
      </c>
    </row>
    <row r="2914" spans="2:24" x14ac:dyDescent="0.3">
      <c r="B2914" s="9">
        <v>2913</v>
      </c>
      <c r="C2914" s="49">
        <v>28285</v>
      </c>
      <c r="D2914" s="9">
        <f>YEAR(Tabla1[[#This Row],[Date]])</f>
        <v>1977</v>
      </c>
      <c r="E2914" s="9" t="str" cm="1">
        <f t="array" ref="E2914">IFERROR(_xlfn.IFS(AND(D2914&lt;1980,D2914&gt;=1970),"70",AND(D2914&lt;1990,D2914&gt;=1980),"80",AND(D2914&lt;2000,D2914&gt;=1990),"90",AND(D2914&lt;2010,D2914&gt;=2000),"00",AND(D2914&lt;=2019,D2914&gt;=2010),"10"),"1908-1970")</f>
        <v>70</v>
      </c>
      <c r="F2914" s="3">
        <v>0.61944444444444446</v>
      </c>
      <c r="G2914" t="s">
        <v>17952</v>
      </c>
      <c r="H2914" t="s">
        <v>17953</v>
      </c>
      <c r="I2914">
        <v>302</v>
      </c>
      <c r="J2914" t="s">
        <v>17954</v>
      </c>
      <c r="K2914" t="s">
        <v>15361</v>
      </c>
      <c r="L2914" s="7" t="s">
        <v>17955</v>
      </c>
      <c r="M2914">
        <v>196</v>
      </c>
      <c r="N2914">
        <v>13</v>
      </c>
      <c r="O2914">
        <v>11</v>
      </c>
      <c r="P2914">
        <v>2</v>
      </c>
      <c r="Q2914">
        <v>13</v>
      </c>
      <c r="R2914">
        <v>11</v>
      </c>
      <c r="S2914">
        <v>2</v>
      </c>
      <c r="T2914">
        <v>0</v>
      </c>
      <c r="U2914" t="s">
        <v>17956</v>
      </c>
      <c r="V2914">
        <f>Tabla1[[#This Row],[Aboard]]-Tabla1[[#This Row],[Fatalities]]</f>
        <v>0</v>
      </c>
      <c r="W2914" s="50">
        <f>IFERROR(Tabla1[[#This Row],[Fatalities]]/Tabla1[[#This Row],[Aboard]],0)</f>
        <v>1</v>
      </c>
      <c r="X2914" s="51" t="str" cm="1">
        <f t="array" ref="X2914">_xlfn.IFS(Tabla1[[#This Row],[Porcentaje de muertes]]&lt;0.35,"LEVE",AND(Tabla1[[#This Row],[Porcentaje de muertes]]&gt;0.35,Tabla1[[#This Row],[Porcentaje de muertes]]&lt;0.65),"MEDIO",Tabla1[[#This Row],[Porcentaje de muertes]]&gt;0.65,"GRAVE")</f>
        <v>GRAVE</v>
      </c>
    </row>
    <row r="2915" spans="2:24" x14ac:dyDescent="0.3">
      <c r="B2915" s="9">
        <v>2914</v>
      </c>
      <c r="C2915" s="49">
        <v>28346</v>
      </c>
      <c r="D2915" s="9">
        <f>YEAR(Tabla1[[#This Row],[Date]])</f>
        <v>1977</v>
      </c>
      <c r="E2915" s="9" t="str" cm="1">
        <f t="array" ref="E2915">IFERROR(_xlfn.IFS(AND(D2915&lt;1980,D2915&gt;=1970),"70",AND(D2915&lt;1990,D2915&gt;=1980),"80",AND(D2915&lt;2000,D2915&gt;=1990),"90",AND(D2915&lt;2010,D2915&gt;=2000),"00",AND(D2915&lt;=2019,D2915&gt;=2010),"10"),"1908-1970")</f>
        <v>70</v>
      </c>
      <c r="F2915" s="3" t="s">
        <v>28931</v>
      </c>
      <c r="G2915" t="s">
        <v>17957</v>
      </c>
      <c r="H2915" t="s">
        <v>16549</v>
      </c>
      <c r="I2915" t="s">
        <v>28931</v>
      </c>
      <c r="J2915" t="s">
        <v>17958</v>
      </c>
      <c r="K2915" t="s">
        <v>16680</v>
      </c>
      <c r="L2915" s="7" t="s">
        <v>17959</v>
      </c>
      <c r="M2915">
        <v>540</v>
      </c>
      <c r="N2915">
        <v>19</v>
      </c>
      <c r="O2915">
        <v>16</v>
      </c>
      <c r="P2915">
        <v>3</v>
      </c>
      <c r="Q2915">
        <v>19</v>
      </c>
      <c r="R2915">
        <v>16</v>
      </c>
      <c r="S2915">
        <v>3</v>
      </c>
      <c r="T2915">
        <v>0</v>
      </c>
      <c r="U2915" t="s">
        <v>17960</v>
      </c>
      <c r="V2915">
        <f>Tabla1[[#This Row],[Aboard]]-Tabla1[[#This Row],[Fatalities]]</f>
        <v>0</v>
      </c>
      <c r="W2915" s="50">
        <f>IFERROR(Tabla1[[#This Row],[Fatalities]]/Tabla1[[#This Row],[Aboard]],0)</f>
        <v>1</v>
      </c>
      <c r="X2915" s="51" t="str" cm="1">
        <f t="array" ref="X2915">_xlfn.IFS(Tabla1[[#This Row],[Porcentaje de muertes]]&lt;0.35,"LEVE",AND(Tabla1[[#This Row],[Porcentaje de muertes]]&gt;0.35,Tabla1[[#This Row],[Porcentaje de muertes]]&lt;0.65),"MEDIO",Tabla1[[#This Row],[Porcentaje de muertes]]&gt;0.65,"GRAVE")</f>
        <v>GRAVE</v>
      </c>
    </row>
    <row r="2916" spans="2:24" x14ac:dyDescent="0.3">
      <c r="B2916" s="9">
        <v>2915</v>
      </c>
      <c r="C2916" s="49">
        <v>28468</v>
      </c>
      <c r="D2916" s="9">
        <f>YEAR(Tabla1[[#This Row],[Date]])</f>
        <v>1977</v>
      </c>
      <c r="E2916" s="9" t="str" cm="1">
        <f t="array" ref="E2916">IFERROR(_xlfn.IFS(AND(D2916&lt;1980,D2916&gt;=1970),"70",AND(D2916&lt;1990,D2916&gt;=1980),"80",AND(D2916&lt;2000,D2916&gt;=1990),"90",AND(D2916&lt;2010,D2916&gt;=2000),"00",AND(D2916&lt;=2019,D2916&gt;=2010),"10"),"1908-1970")</f>
        <v>70</v>
      </c>
      <c r="F2916" s="3">
        <v>8.3333333333333332E-3</v>
      </c>
      <c r="G2916" t="s">
        <v>9274</v>
      </c>
      <c r="H2916" t="s">
        <v>17961</v>
      </c>
      <c r="I2916" t="s">
        <v>28931</v>
      </c>
      <c r="J2916" t="s">
        <v>17962</v>
      </c>
      <c r="K2916" t="s">
        <v>17963</v>
      </c>
      <c r="L2916" s="7" t="s">
        <v>17964</v>
      </c>
      <c r="M2916" t="s">
        <v>17965</v>
      </c>
      <c r="N2916">
        <v>4</v>
      </c>
      <c r="O2916">
        <v>0</v>
      </c>
      <c r="P2916">
        <v>4</v>
      </c>
      <c r="Q2916">
        <v>4</v>
      </c>
      <c r="R2916">
        <v>0</v>
      </c>
      <c r="S2916">
        <v>4</v>
      </c>
      <c r="T2916">
        <v>0</v>
      </c>
      <c r="U2916" t="s">
        <v>17966</v>
      </c>
      <c r="V2916">
        <f>Tabla1[[#This Row],[Aboard]]-Tabla1[[#This Row],[Fatalities]]</f>
        <v>0</v>
      </c>
      <c r="W2916" s="50">
        <f>IFERROR(Tabla1[[#This Row],[Fatalities]]/Tabla1[[#This Row],[Aboard]],0)</f>
        <v>1</v>
      </c>
      <c r="X2916" s="51" t="str" cm="1">
        <f t="array" ref="X2916">_xlfn.IFS(Tabla1[[#This Row],[Porcentaje de muertes]]&lt;0.35,"LEVE",AND(Tabla1[[#This Row],[Porcentaje de muertes]]&gt;0.35,Tabla1[[#This Row],[Porcentaje de muertes]]&lt;0.65),"MEDIO",Tabla1[[#This Row],[Porcentaje de muertes]]&gt;0.65,"GRAVE")</f>
        <v>GRAVE</v>
      </c>
    </row>
    <row r="2917" spans="2:24" x14ac:dyDescent="0.3">
      <c r="B2917" s="9">
        <v>2916</v>
      </c>
      <c r="C2917" s="49">
        <v>28382</v>
      </c>
      <c r="D2917" s="9">
        <f>YEAR(Tabla1[[#This Row],[Date]])</f>
        <v>1977</v>
      </c>
      <c r="E2917" s="9" t="str" cm="1">
        <f t="array" ref="E2917">IFERROR(_xlfn.IFS(AND(D2917&lt;1980,D2917&gt;=1970),"70",AND(D2917&lt;1990,D2917&gt;=1980),"80",AND(D2917&lt;2000,D2917&gt;=1990),"90",AND(D2917&lt;2010,D2917&gt;=2000),"00",AND(D2917&lt;=2019,D2917&gt;=2010),"10"),"1908-1970")</f>
        <v>70</v>
      </c>
      <c r="F2917" s="3">
        <v>0.9916666666666667</v>
      </c>
      <c r="G2917" t="s">
        <v>10390</v>
      </c>
      <c r="H2917" t="s">
        <v>7987</v>
      </c>
      <c r="I2917" t="s">
        <v>28931</v>
      </c>
      <c r="J2917" t="s">
        <v>17967</v>
      </c>
      <c r="K2917" t="s">
        <v>17968</v>
      </c>
      <c r="L2917" s="7" t="s">
        <v>17969</v>
      </c>
      <c r="M2917" t="s">
        <v>28931</v>
      </c>
      <c r="N2917">
        <v>20</v>
      </c>
      <c r="O2917">
        <v>0</v>
      </c>
      <c r="P2917">
        <v>20</v>
      </c>
      <c r="Q2917">
        <v>20</v>
      </c>
      <c r="R2917">
        <v>0</v>
      </c>
      <c r="S2917">
        <v>20</v>
      </c>
      <c r="T2917">
        <v>0</v>
      </c>
      <c r="U2917" t="s">
        <v>17970</v>
      </c>
      <c r="V2917">
        <f>Tabla1[[#This Row],[Aboard]]-Tabla1[[#This Row],[Fatalities]]</f>
        <v>0</v>
      </c>
      <c r="W2917" s="50">
        <f>IFERROR(Tabla1[[#This Row],[Fatalities]]/Tabla1[[#This Row],[Aboard]],0)</f>
        <v>1</v>
      </c>
      <c r="X2917" s="51" t="str" cm="1">
        <f t="array" ref="X2917">_xlfn.IFS(Tabla1[[#This Row],[Porcentaje de muertes]]&lt;0.35,"LEVE",AND(Tabla1[[#This Row],[Porcentaje de muertes]]&gt;0.35,Tabla1[[#This Row],[Porcentaje de muertes]]&lt;0.65),"MEDIO",Tabla1[[#This Row],[Porcentaje de muertes]]&gt;0.65,"GRAVE")</f>
        <v>GRAVE</v>
      </c>
    </row>
    <row r="2918" spans="2:24" x14ac:dyDescent="0.3">
      <c r="B2918" s="9">
        <v>2917</v>
      </c>
      <c r="C2918" s="49">
        <v>28390</v>
      </c>
      <c r="D2918" s="9">
        <f>YEAR(Tabla1[[#This Row],[Date]])</f>
        <v>1977</v>
      </c>
      <c r="E2918" s="9" t="str" cm="1">
        <f t="array" ref="E2918">IFERROR(_xlfn.IFS(AND(D2918&lt;1980,D2918&gt;=1970),"70",AND(D2918&lt;1990,D2918&gt;=1980),"80",AND(D2918&lt;2000,D2918&gt;=1990),"90",AND(D2918&lt;2010,D2918&gt;=2000),"00",AND(D2918&lt;=2019,D2918&gt;=2010),"10"),"1908-1970")</f>
        <v>70</v>
      </c>
      <c r="F2918" s="3">
        <v>0.70763888888888893</v>
      </c>
      <c r="G2918" t="s">
        <v>5303</v>
      </c>
      <c r="H2918" t="s">
        <v>13288</v>
      </c>
      <c r="I2918" t="s">
        <v>28931</v>
      </c>
      <c r="J2918" t="s">
        <v>17971</v>
      </c>
      <c r="K2918" t="s">
        <v>17430</v>
      </c>
      <c r="L2918" s="7" t="s">
        <v>17972</v>
      </c>
      <c r="M2918">
        <v>8350605</v>
      </c>
      <c r="N2918">
        <v>53</v>
      </c>
      <c r="O2918">
        <v>45</v>
      </c>
      <c r="P2918">
        <v>8</v>
      </c>
      <c r="Q2918">
        <v>29</v>
      </c>
      <c r="R2918">
        <v>21</v>
      </c>
      <c r="S2918">
        <v>8</v>
      </c>
      <c r="T2918">
        <v>0</v>
      </c>
      <c r="U2918" t="s">
        <v>17973</v>
      </c>
      <c r="V2918">
        <f>Tabla1[[#This Row],[Aboard]]-Tabla1[[#This Row],[Fatalities]]</f>
        <v>24</v>
      </c>
      <c r="W2918" s="50">
        <f>IFERROR(Tabla1[[#This Row],[Fatalities]]/Tabla1[[#This Row],[Aboard]],0)</f>
        <v>0.54716981132075471</v>
      </c>
      <c r="X2918" s="51" t="str" cm="1">
        <f t="array" ref="X2918">_xlfn.IFS(Tabla1[[#This Row],[Porcentaje de muertes]]&lt;0.35,"LEVE",AND(Tabla1[[#This Row],[Porcentaje de muertes]]&gt;0.35,Tabla1[[#This Row],[Porcentaje de muertes]]&lt;0.65),"MEDIO",Tabla1[[#This Row],[Porcentaje de muertes]]&gt;0.65,"GRAVE")</f>
        <v>MEDIO</v>
      </c>
    </row>
    <row r="2919" spans="2:24" x14ac:dyDescent="0.3">
      <c r="B2919" s="9">
        <v>2918</v>
      </c>
      <c r="C2919" s="49">
        <v>28395</v>
      </c>
      <c r="D2919" s="9">
        <f>YEAR(Tabla1[[#This Row],[Date]])</f>
        <v>1977</v>
      </c>
      <c r="E2919" s="9" t="str" cm="1">
        <f t="array" ref="E2919">IFERROR(_xlfn.IFS(AND(D2919&lt;1980,D2919&gt;=1970),"70",AND(D2919&lt;1990,D2919&gt;=1980),"80",AND(D2919&lt;2000,D2919&gt;=1990),"90",AND(D2919&lt;2010,D2919&gt;=2000),"00",AND(D2919&lt;=2019,D2919&gt;=2010),"10"),"1908-1970")</f>
        <v>70</v>
      </c>
      <c r="F2919" s="3" t="s">
        <v>28931</v>
      </c>
      <c r="G2919" t="s">
        <v>17974</v>
      </c>
      <c r="H2919" t="s">
        <v>10695</v>
      </c>
      <c r="I2919">
        <v>715</v>
      </c>
      <c r="J2919" t="s">
        <v>17975</v>
      </c>
      <c r="K2919" t="s">
        <v>17976</v>
      </c>
      <c r="L2919" s="7" t="s">
        <v>17977</v>
      </c>
      <c r="M2919" t="s">
        <v>17978</v>
      </c>
      <c r="N2919">
        <v>79</v>
      </c>
      <c r="O2919">
        <v>69</v>
      </c>
      <c r="P2919">
        <v>10</v>
      </c>
      <c r="Q2919">
        <v>34</v>
      </c>
      <c r="R2919">
        <v>26</v>
      </c>
      <c r="S2919">
        <v>8</v>
      </c>
      <c r="T2919">
        <v>0</v>
      </c>
      <c r="U2919" t="s">
        <v>17979</v>
      </c>
      <c r="V2919">
        <f>Tabla1[[#This Row],[Aboard]]-Tabla1[[#This Row],[Fatalities]]</f>
        <v>45</v>
      </c>
      <c r="W2919" s="50">
        <f>IFERROR(Tabla1[[#This Row],[Fatalities]]/Tabla1[[#This Row],[Aboard]],0)</f>
        <v>0.43037974683544306</v>
      </c>
      <c r="X2919" s="51" t="str" cm="1">
        <f t="array" ref="X2919">_xlfn.IFS(Tabla1[[#This Row],[Porcentaje de muertes]]&lt;0.35,"LEVE",AND(Tabla1[[#This Row],[Porcentaje de muertes]]&gt;0.35,Tabla1[[#This Row],[Porcentaje de muertes]]&lt;0.65),"MEDIO",Tabla1[[#This Row],[Porcentaje de muertes]]&gt;0.65,"GRAVE")</f>
        <v>MEDIO</v>
      </c>
    </row>
    <row r="2920" spans="2:24" x14ac:dyDescent="0.3">
      <c r="B2920" s="9">
        <v>2919</v>
      </c>
      <c r="C2920" s="49">
        <v>28418</v>
      </c>
      <c r="D2920" s="9">
        <f>YEAR(Tabla1[[#This Row],[Date]])</f>
        <v>1977</v>
      </c>
      <c r="E2920" s="9" t="str" cm="1">
        <f t="array" ref="E2920">IFERROR(_xlfn.IFS(AND(D2920&lt;1980,D2920&gt;=1970),"70",AND(D2920&lt;1990,D2920&gt;=1980),"80",AND(D2920&lt;2000,D2920&gt;=1990),"90",AND(D2920&lt;2010,D2920&gt;=2000),"00",AND(D2920&lt;=2019,D2920&gt;=2010),"10"),"1908-1970")</f>
        <v>70</v>
      </c>
      <c r="F2920" s="3">
        <v>0.78611111111111109</v>
      </c>
      <c r="G2920" t="s">
        <v>17980</v>
      </c>
      <c r="H2920" t="s">
        <v>17981</v>
      </c>
      <c r="I2920" t="s">
        <v>28931</v>
      </c>
      <c r="J2920" t="s">
        <v>17982</v>
      </c>
      <c r="K2920" t="s">
        <v>17983</v>
      </c>
      <c r="L2920" s="7" t="s">
        <v>17984</v>
      </c>
      <c r="M2920">
        <v>3</v>
      </c>
      <c r="N2920">
        <v>26</v>
      </c>
      <c r="O2920">
        <v>24</v>
      </c>
      <c r="P2920">
        <v>2</v>
      </c>
      <c r="Q2920">
        <v>6</v>
      </c>
      <c r="R2920">
        <v>4</v>
      </c>
      <c r="S2920">
        <v>2</v>
      </c>
      <c r="T2920">
        <v>0</v>
      </c>
      <c r="U2920" t="s">
        <v>17985</v>
      </c>
      <c r="V2920">
        <f>Tabla1[[#This Row],[Aboard]]-Tabla1[[#This Row],[Fatalities]]</f>
        <v>20</v>
      </c>
      <c r="W2920" s="50">
        <f>IFERROR(Tabla1[[#This Row],[Fatalities]]/Tabla1[[#This Row],[Aboard]],0)</f>
        <v>0.23076923076923078</v>
      </c>
      <c r="X2920" s="51" t="str" cm="1">
        <f t="array" ref="X2920">_xlfn.IFS(Tabla1[[#This Row],[Porcentaje de muertes]]&lt;0.35,"LEVE",AND(Tabla1[[#This Row],[Porcentaje de muertes]]&gt;0.35,Tabla1[[#This Row],[Porcentaje de muertes]]&lt;0.65),"MEDIO",Tabla1[[#This Row],[Porcentaje de muertes]]&gt;0.65,"GRAVE")</f>
        <v>LEVE</v>
      </c>
    </row>
    <row r="2921" spans="2:24" x14ac:dyDescent="0.3">
      <c r="B2921" s="9">
        <v>2920</v>
      </c>
      <c r="C2921" s="49">
        <v>28419</v>
      </c>
      <c r="D2921" s="9">
        <f>YEAR(Tabla1[[#This Row],[Date]])</f>
        <v>1977</v>
      </c>
      <c r="E2921" s="9" t="str" cm="1">
        <f t="array" ref="E2921">IFERROR(_xlfn.IFS(AND(D2921&lt;1980,D2921&gt;=1970),"70",AND(D2921&lt;1990,D2921&gt;=1980),"80",AND(D2921&lt;2000,D2921&gt;=1990),"90",AND(D2921&lt;2010,D2921&gt;=2000),"00",AND(D2921&lt;=2019,D2921&gt;=2010),"10"),"1908-1970")</f>
        <v>70</v>
      </c>
      <c r="F2921" s="3">
        <v>0.4375</v>
      </c>
      <c r="G2921" t="s">
        <v>17986</v>
      </c>
      <c r="H2921" t="s">
        <v>8891</v>
      </c>
      <c r="I2921" t="s">
        <v>28931</v>
      </c>
      <c r="J2921" t="s">
        <v>28931</v>
      </c>
      <c r="K2921" t="s">
        <v>17987</v>
      </c>
      <c r="L2921" s="7">
        <v>157139</v>
      </c>
      <c r="M2921" t="s">
        <v>28931</v>
      </c>
      <c r="N2921">
        <v>37</v>
      </c>
      <c r="O2921">
        <v>33</v>
      </c>
      <c r="P2921">
        <v>4</v>
      </c>
      <c r="Q2921">
        <v>24</v>
      </c>
      <c r="R2921" t="s">
        <v>5038</v>
      </c>
      <c r="S2921" t="s">
        <v>5038</v>
      </c>
      <c r="T2921">
        <v>0</v>
      </c>
      <c r="U2921" t="s">
        <v>17988</v>
      </c>
      <c r="V2921">
        <f>Tabla1[[#This Row],[Aboard]]-Tabla1[[#This Row],[Fatalities]]</f>
        <v>13</v>
      </c>
      <c r="W2921" s="50">
        <f>IFERROR(Tabla1[[#This Row],[Fatalities]]/Tabla1[[#This Row],[Aboard]],0)</f>
        <v>0.64864864864864868</v>
      </c>
      <c r="X2921" s="51" t="str" cm="1">
        <f t="array" ref="X2921">_xlfn.IFS(Tabla1[[#This Row],[Porcentaje de muertes]]&lt;0.35,"LEVE",AND(Tabla1[[#This Row],[Porcentaje de muertes]]&gt;0.35,Tabla1[[#This Row],[Porcentaje de muertes]]&lt;0.65),"MEDIO",Tabla1[[#This Row],[Porcentaje de muertes]]&gt;0.65,"GRAVE")</f>
        <v>MEDIO</v>
      </c>
    </row>
    <row r="2922" spans="2:24" x14ac:dyDescent="0.3">
      <c r="B2922" s="9">
        <v>2921</v>
      </c>
      <c r="C2922" s="49">
        <v>28195</v>
      </c>
      <c r="D2922" s="9">
        <f>YEAR(Tabla1[[#This Row],[Date]])</f>
        <v>1977</v>
      </c>
      <c r="E2922" s="9" t="str" cm="1">
        <f t="array" ref="E2922">IFERROR(_xlfn.IFS(AND(D2922&lt;1980,D2922&gt;=1970),"70",AND(D2922&lt;1990,D2922&gt;=1980),"80",AND(D2922&lt;2000,D2922&gt;=1990),"90",AND(D2922&lt;2010,D2922&gt;=2000),"00",AND(D2922&lt;=2019,D2922&gt;=2010),"10"),"1908-1970")</f>
        <v>70</v>
      </c>
      <c r="F2922" s="3" t="s">
        <v>28931</v>
      </c>
      <c r="G2922" t="s">
        <v>17989</v>
      </c>
      <c r="H2922" t="s">
        <v>17990</v>
      </c>
      <c r="I2922" t="s">
        <v>28931</v>
      </c>
      <c r="J2922" t="s">
        <v>17991</v>
      </c>
      <c r="K2922" t="s">
        <v>17992</v>
      </c>
      <c r="L2922" s="7" t="s">
        <v>17993</v>
      </c>
      <c r="M2922">
        <v>388</v>
      </c>
      <c r="N2922">
        <v>13</v>
      </c>
      <c r="O2922">
        <v>12</v>
      </c>
      <c r="P2922">
        <v>1</v>
      </c>
      <c r="Q2922">
        <v>13</v>
      </c>
      <c r="R2922">
        <v>12</v>
      </c>
      <c r="S2922">
        <v>1</v>
      </c>
      <c r="T2922">
        <v>0</v>
      </c>
      <c r="U2922" t="s">
        <v>17994</v>
      </c>
      <c r="V2922">
        <f>Tabla1[[#This Row],[Aboard]]-Tabla1[[#This Row],[Fatalities]]</f>
        <v>0</v>
      </c>
      <c r="W2922" s="50">
        <f>IFERROR(Tabla1[[#This Row],[Fatalities]]/Tabla1[[#This Row],[Aboard]],0)</f>
        <v>1</v>
      </c>
      <c r="X2922" s="51" t="str" cm="1">
        <f t="array" ref="X2922">_xlfn.IFS(Tabla1[[#This Row],[Porcentaje de muertes]]&lt;0.35,"LEVE",AND(Tabla1[[#This Row],[Porcentaje de muertes]]&gt;0.35,Tabla1[[#This Row],[Porcentaje de muertes]]&lt;0.65),"MEDIO",Tabla1[[#This Row],[Porcentaje de muertes]]&gt;0.65,"GRAVE")</f>
        <v>GRAVE</v>
      </c>
    </row>
    <row r="2923" spans="2:24" x14ac:dyDescent="0.3">
      <c r="B2923" s="9">
        <v>2922</v>
      </c>
      <c r="C2923" s="49">
        <v>28448</v>
      </c>
      <c r="D2923" s="9">
        <f>YEAR(Tabla1[[#This Row],[Date]])</f>
        <v>1977</v>
      </c>
      <c r="E2923" s="9" t="str" cm="1">
        <f t="array" ref="E2923">IFERROR(_xlfn.IFS(AND(D2923&lt;1980,D2923&gt;=1970),"70",AND(D2923&lt;1990,D2923&gt;=1980),"80",AND(D2923&lt;2000,D2923&gt;=1990),"90",AND(D2923&lt;2010,D2923&gt;=2000),"00",AND(D2923&lt;=2019,D2923&gt;=2010),"10"),"1908-1970")</f>
        <v>70</v>
      </c>
      <c r="F2923" s="3">
        <v>0.17500000000000002</v>
      </c>
      <c r="G2923" t="s">
        <v>7654</v>
      </c>
      <c r="H2923" t="s">
        <v>13000</v>
      </c>
      <c r="I2923" t="s">
        <v>28931</v>
      </c>
      <c r="J2923" t="s">
        <v>17995</v>
      </c>
      <c r="K2923" t="s">
        <v>17996</v>
      </c>
      <c r="L2923" s="7" t="s">
        <v>17997</v>
      </c>
      <c r="M2923" t="s">
        <v>17998</v>
      </c>
      <c r="N2923">
        <v>5</v>
      </c>
      <c r="O2923">
        <v>2</v>
      </c>
      <c r="P2923">
        <v>3</v>
      </c>
      <c r="Q2923">
        <v>5</v>
      </c>
      <c r="R2923">
        <v>2</v>
      </c>
      <c r="S2923">
        <v>3</v>
      </c>
      <c r="T2923">
        <v>0</v>
      </c>
      <c r="U2923" t="s">
        <v>17999</v>
      </c>
      <c r="V2923">
        <f>Tabla1[[#This Row],[Aboard]]-Tabla1[[#This Row],[Fatalities]]</f>
        <v>0</v>
      </c>
      <c r="W2923" s="50">
        <f>IFERROR(Tabla1[[#This Row],[Fatalities]]/Tabla1[[#This Row],[Aboard]],0)</f>
        <v>1</v>
      </c>
      <c r="X2923" s="51" t="str" cm="1">
        <f t="array" ref="X2923">_xlfn.IFS(Tabla1[[#This Row],[Porcentaje de muertes]]&lt;0.35,"LEVE",AND(Tabla1[[#This Row],[Porcentaje de muertes]]&gt;0.35,Tabla1[[#This Row],[Porcentaje de muertes]]&lt;0.65),"MEDIO",Tabla1[[#This Row],[Porcentaje de muertes]]&gt;0.65,"GRAVE")</f>
        <v>GRAVE</v>
      </c>
    </row>
    <row r="2924" spans="2:24" x14ac:dyDescent="0.3">
      <c r="B2924" s="9">
        <v>2923</v>
      </c>
      <c r="C2924" s="49">
        <v>28448</v>
      </c>
      <c r="D2924" s="9">
        <f>YEAR(Tabla1[[#This Row],[Date]])</f>
        <v>1977</v>
      </c>
      <c r="E2924" s="9" t="str" cm="1">
        <f t="array" ref="E2924">IFERROR(_xlfn.IFS(AND(D2924&lt;1980,D2924&gt;=1970),"70",AND(D2924&lt;1990,D2924&gt;=1980),"80",AND(D2924&lt;2000,D2924&gt;=1990),"90",AND(D2924&lt;2010,D2924&gt;=2000),"00",AND(D2924&lt;=2019,D2924&gt;=2010),"10"),"1908-1970")</f>
        <v>70</v>
      </c>
      <c r="F2924" s="3">
        <v>0.90833333333333333</v>
      </c>
      <c r="G2924" t="s">
        <v>18000</v>
      </c>
      <c r="H2924" t="s">
        <v>18001</v>
      </c>
      <c r="I2924">
        <v>425</v>
      </c>
      <c r="J2924" t="s">
        <v>18002</v>
      </c>
      <c r="K2924" t="s">
        <v>18003</v>
      </c>
      <c r="L2924" s="7" t="s">
        <v>18004</v>
      </c>
      <c r="M2924" t="s">
        <v>18005</v>
      </c>
      <c r="N2924">
        <v>164</v>
      </c>
      <c r="O2924">
        <v>156</v>
      </c>
      <c r="P2924">
        <v>8</v>
      </c>
      <c r="Q2924">
        <v>131</v>
      </c>
      <c r="R2924">
        <v>125</v>
      </c>
      <c r="S2924">
        <v>6</v>
      </c>
      <c r="T2924">
        <v>0</v>
      </c>
      <c r="U2924" t="s">
        <v>18006</v>
      </c>
      <c r="V2924">
        <f>Tabla1[[#This Row],[Aboard]]-Tabla1[[#This Row],[Fatalities]]</f>
        <v>33</v>
      </c>
      <c r="W2924" s="50">
        <f>IFERROR(Tabla1[[#This Row],[Fatalities]]/Tabla1[[#This Row],[Aboard]],0)</f>
        <v>0.79878048780487809</v>
      </c>
      <c r="X2924" s="51" t="str" cm="1">
        <f t="array" ref="X2924">_xlfn.IFS(Tabla1[[#This Row],[Porcentaje de muertes]]&lt;0.35,"LEVE",AND(Tabla1[[#This Row],[Porcentaje de muertes]]&gt;0.35,Tabla1[[#This Row],[Porcentaje de muertes]]&lt;0.65),"MEDIO",Tabla1[[#This Row],[Porcentaje de muertes]]&gt;0.65,"GRAVE")</f>
        <v>GRAVE</v>
      </c>
    </row>
    <row r="2925" spans="2:24" x14ac:dyDescent="0.3">
      <c r="B2925" s="9">
        <v>2924</v>
      </c>
      <c r="C2925" s="49">
        <v>28450</v>
      </c>
      <c r="D2925" s="9">
        <f>YEAR(Tabla1[[#This Row],[Date]])</f>
        <v>1977</v>
      </c>
      <c r="E2925" s="9" t="str" cm="1">
        <f t="array" ref="E2925">IFERROR(_xlfn.IFS(AND(D2925&lt;1980,D2925&gt;=1970),"70",AND(D2925&lt;1990,D2925&gt;=1980),"80",AND(D2925&lt;2000,D2925&gt;=1990),"90",AND(D2925&lt;2010,D2925&gt;=2000),"00",AND(D2925&lt;=2019,D2925&gt;=2010),"10"),"1908-1970")</f>
        <v>70</v>
      </c>
      <c r="F2925" s="3">
        <v>0.41944444444444445</v>
      </c>
      <c r="G2925" t="s">
        <v>18007</v>
      </c>
      <c r="H2925" t="s">
        <v>12575</v>
      </c>
      <c r="I2925" t="s">
        <v>28931</v>
      </c>
      <c r="J2925" t="s">
        <v>18008</v>
      </c>
      <c r="K2925" t="s">
        <v>18009</v>
      </c>
      <c r="L2925" s="7" t="s">
        <v>18010</v>
      </c>
      <c r="M2925">
        <v>155</v>
      </c>
      <c r="N2925">
        <v>79</v>
      </c>
      <c r="O2925">
        <v>74</v>
      </c>
      <c r="P2925">
        <v>5</v>
      </c>
      <c r="Q2925">
        <v>46</v>
      </c>
      <c r="R2925">
        <v>41</v>
      </c>
      <c r="S2925">
        <v>5</v>
      </c>
      <c r="T2925">
        <v>0</v>
      </c>
      <c r="U2925" t="s">
        <v>18011</v>
      </c>
      <c r="V2925">
        <f>Tabla1[[#This Row],[Aboard]]-Tabla1[[#This Row],[Fatalities]]</f>
        <v>33</v>
      </c>
      <c r="W2925" s="50">
        <f>IFERROR(Tabla1[[#This Row],[Fatalities]]/Tabla1[[#This Row],[Aboard]],0)</f>
        <v>0.58227848101265822</v>
      </c>
      <c r="X2925" s="51" t="str" cm="1">
        <f t="array" ref="X2925">_xlfn.IFS(Tabla1[[#This Row],[Porcentaje de muertes]]&lt;0.35,"LEVE",AND(Tabla1[[#This Row],[Porcentaje de muertes]]&gt;0.35,Tabla1[[#This Row],[Porcentaje de muertes]]&lt;0.65),"MEDIO",Tabla1[[#This Row],[Porcentaje de muertes]]&gt;0.65,"GRAVE")</f>
        <v>MEDIO</v>
      </c>
    </row>
    <row r="2926" spans="2:24" x14ac:dyDescent="0.3">
      <c r="B2926" s="9">
        <v>2925</v>
      </c>
      <c r="C2926" s="49">
        <v>28455</v>
      </c>
      <c r="D2926" s="9">
        <f>YEAR(Tabla1[[#This Row],[Date]])</f>
        <v>1977</v>
      </c>
      <c r="E2926" s="9" t="str" cm="1">
        <f t="array" ref="E2926">IFERROR(_xlfn.IFS(AND(D2926&lt;1980,D2926&gt;=1970),"70",AND(D2926&lt;1990,D2926&gt;=1980),"80",AND(D2926&lt;2000,D2926&gt;=1990),"90",AND(D2926&lt;2010,D2926&gt;=2000),"00",AND(D2926&lt;=2019,D2926&gt;=2010),"10"),"1908-1970")</f>
        <v>70</v>
      </c>
      <c r="F2926" s="3">
        <v>0.10416666666666667</v>
      </c>
      <c r="G2926" t="s">
        <v>18012</v>
      </c>
      <c r="H2926" t="s">
        <v>13495</v>
      </c>
      <c r="I2926" t="s">
        <v>28931</v>
      </c>
      <c r="J2926" t="s">
        <v>18013</v>
      </c>
      <c r="K2926" t="s">
        <v>12638</v>
      </c>
      <c r="L2926" s="7">
        <v>182</v>
      </c>
      <c r="M2926">
        <v>182</v>
      </c>
      <c r="N2926">
        <v>32</v>
      </c>
      <c r="O2926">
        <v>28</v>
      </c>
      <c r="P2926">
        <v>4</v>
      </c>
      <c r="Q2926">
        <v>32</v>
      </c>
      <c r="R2926">
        <v>28</v>
      </c>
      <c r="S2926">
        <v>4</v>
      </c>
      <c r="T2926">
        <v>0</v>
      </c>
      <c r="U2926" t="s">
        <v>18014</v>
      </c>
      <c r="V2926">
        <f>Tabla1[[#This Row],[Aboard]]-Tabla1[[#This Row],[Fatalities]]</f>
        <v>0</v>
      </c>
      <c r="W2926" s="50">
        <f>IFERROR(Tabla1[[#This Row],[Fatalities]]/Tabla1[[#This Row],[Aboard]],0)</f>
        <v>1</v>
      </c>
      <c r="X2926" s="51" t="str" cm="1">
        <f t="array" ref="X2926">_xlfn.IFS(Tabla1[[#This Row],[Porcentaje de muertes]]&lt;0.35,"LEVE",AND(Tabla1[[#This Row],[Porcentaje de muertes]]&gt;0.35,Tabla1[[#This Row],[Porcentaje de muertes]]&lt;0.65),"MEDIO",Tabla1[[#This Row],[Porcentaje de muertes]]&gt;0.65,"GRAVE")</f>
        <v>GRAVE</v>
      </c>
    </row>
    <row r="2927" spans="2:24" x14ac:dyDescent="0.3">
      <c r="B2927" s="9">
        <v>2926</v>
      </c>
      <c r="C2927" s="49">
        <v>28168</v>
      </c>
      <c r="D2927" s="9">
        <f>YEAR(Tabla1[[#This Row],[Date]])</f>
        <v>1977</v>
      </c>
      <c r="E2927" s="9" t="str" cm="1">
        <f t="array" ref="E2927">IFERROR(_xlfn.IFS(AND(D2927&lt;1980,D2927&gt;=1970),"70",AND(D2927&lt;1990,D2927&gt;=1980),"80",AND(D2927&lt;2000,D2927&gt;=1990),"90",AND(D2927&lt;2010,D2927&gt;=2000),"00",AND(D2927&lt;=2019,D2927&gt;=2010),"10"),"1908-1970")</f>
        <v>70</v>
      </c>
      <c r="F2927" s="3" t="s">
        <v>28931</v>
      </c>
      <c r="G2927" t="s">
        <v>18015</v>
      </c>
      <c r="H2927" t="s">
        <v>16075</v>
      </c>
      <c r="I2927" t="s">
        <v>28931</v>
      </c>
      <c r="J2927" t="s">
        <v>18016</v>
      </c>
      <c r="K2927" t="s">
        <v>17443</v>
      </c>
      <c r="L2927" s="7" t="s">
        <v>18017</v>
      </c>
      <c r="M2927">
        <v>54</v>
      </c>
      <c r="N2927">
        <v>165</v>
      </c>
      <c r="O2927">
        <v>159</v>
      </c>
      <c r="P2927">
        <v>6</v>
      </c>
      <c r="Q2927">
        <v>59</v>
      </c>
      <c r="R2927">
        <v>59</v>
      </c>
      <c r="S2927">
        <v>0</v>
      </c>
      <c r="T2927">
        <v>0</v>
      </c>
      <c r="U2927" t="s">
        <v>18018</v>
      </c>
      <c r="V2927">
        <f>Tabla1[[#This Row],[Aboard]]-Tabla1[[#This Row],[Fatalities]]</f>
        <v>106</v>
      </c>
      <c r="W2927" s="50">
        <f>IFERROR(Tabla1[[#This Row],[Fatalities]]/Tabla1[[#This Row],[Aboard]],0)</f>
        <v>0.3575757575757576</v>
      </c>
      <c r="X2927" s="51" t="str" cm="1">
        <f t="array" ref="X2927">_xlfn.IFS(Tabla1[[#This Row],[Porcentaje de muertes]]&lt;0.35,"LEVE",AND(Tabla1[[#This Row],[Porcentaje de muertes]]&gt;0.35,Tabla1[[#This Row],[Porcentaje de muertes]]&lt;0.65),"MEDIO",Tabla1[[#This Row],[Porcentaje de muertes]]&gt;0.65,"GRAVE")</f>
        <v>MEDIO</v>
      </c>
    </row>
    <row r="2928" spans="2:24" x14ac:dyDescent="0.3">
      <c r="B2928" s="9">
        <v>2927</v>
      </c>
      <c r="C2928" s="49">
        <v>28227</v>
      </c>
      <c r="D2928" s="9">
        <f>YEAR(Tabla1[[#This Row],[Date]])</f>
        <v>1977</v>
      </c>
      <c r="E2928" s="9" t="str" cm="1">
        <f t="array" ref="E2928">IFERROR(_xlfn.IFS(AND(D2928&lt;1980,D2928&gt;=1970),"70",AND(D2928&lt;1990,D2928&gt;=1980),"80",AND(D2928&lt;2000,D2928&gt;=1990),"90",AND(D2928&lt;2010,D2928&gt;=2000),"00",AND(D2928&lt;=2019,D2928&gt;=2010),"10"),"1908-1970")</f>
        <v>70</v>
      </c>
      <c r="F2928" s="3">
        <v>0.85833333333333339</v>
      </c>
      <c r="G2928" t="s">
        <v>18019</v>
      </c>
      <c r="H2928" t="s">
        <v>18020</v>
      </c>
      <c r="I2928">
        <v>653</v>
      </c>
      <c r="J2928" t="s">
        <v>18021</v>
      </c>
      <c r="K2928" t="s">
        <v>18022</v>
      </c>
      <c r="L2928" s="7" t="s">
        <v>18023</v>
      </c>
      <c r="M2928" t="s">
        <v>18024</v>
      </c>
      <c r="N2928">
        <v>100</v>
      </c>
      <c r="O2928">
        <v>93</v>
      </c>
      <c r="P2928">
        <v>7</v>
      </c>
      <c r="Q2928">
        <v>100</v>
      </c>
      <c r="R2928">
        <v>93</v>
      </c>
      <c r="S2928">
        <v>7</v>
      </c>
      <c r="T2928">
        <v>0</v>
      </c>
      <c r="U2928" t="s">
        <v>18025</v>
      </c>
      <c r="V2928">
        <f>Tabla1[[#This Row],[Aboard]]-Tabla1[[#This Row],[Fatalities]]</f>
        <v>0</v>
      </c>
      <c r="W2928" s="50">
        <f>IFERROR(Tabla1[[#This Row],[Fatalities]]/Tabla1[[#This Row],[Aboard]],0)</f>
        <v>1</v>
      </c>
      <c r="X2928" s="51" t="str" cm="1">
        <f t="array" ref="X2928">_xlfn.IFS(Tabla1[[#This Row],[Porcentaje de muertes]]&lt;0.35,"LEVE",AND(Tabla1[[#This Row],[Porcentaje de muertes]]&gt;0.35,Tabla1[[#This Row],[Porcentaje de muertes]]&lt;0.65),"MEDIO",Tabla1[[#This Row],[Porcentaje de muertes]]&gt;0.65,"GRAVE")</f>
        <v>GRAVE</v>
      </c>
    </row>
    <row r="2929" spans="2:24" x14ac:dyDescent="0.3">
      <c r="B2929" s="9">
        <v>2928</v>
      </c>
      <c r="C2929" s="49">
        <v>28349</v>
      </c>
      <c r="D2929" s="9">
        <f>YEAR(Tabla1[[#This Row],[Date]])</f>
        <v>1977</v>
      </c>
      <c r="E2929" s="9" t="str" cm="1">
        <f t="array" ref="E2929">IFERROR(_xlfn.IFS(AND(D2929&lt;1980,D2929&gt;=1970),"70",AND(D2929&lt;1990,D2929&gt;=1980),"80",AND(D2929&lt;2000,D2929&gt;=1990),"90",AND(D2929&lt;2010,D2929&gt;=2000),"00",AND(D2929&lt;=2019,D2929&gt;=2010),"10"),"1908-1970")</f>
        <v>70</v>
      </c>
      <c r="F2929" s="3">
        <v>0.5</v>
      </c>
      <c r="G2929" t="s">
        <v>18026</v>
      </c>
      <c r="H2929" t="s">
        <v>14773</v>
      </c>
      <c r="I2929" t="s">
        <v>28931</v>
      </c>
      <c r="J2929" t="s">
        <v>28931</v>
      </c>
      <c r="K2929" t="s">
        <v>18027</v>
      </c>
      <c r="L2929" s="7" t="s">
        <v>18028</v>
      </c>
      <c r="M2929" t="s">
        <v>28931</v>
      </c>
      <c r="N2929">
        <v>19</v>
      </c>
      <c r="O2929">
        <v>18</v>
      </c>
      <c r="P2929">
        <v>1</v>
      </c>
      <c r="Q2929">
        <v>17</v>
      </c>
      <c r="R2929">
        <v>16</v>
      </c>
      <c r="S2929">
        <v>1</v>
      </c>
      <c r="T2929">
        <v>0</v>
      </c>
      <c r="U2929" t="s">
        <v>18029</v>
      </c>
      <c r="V2929">
        <f>Tabla1[[#This Row],[Aboard]]-Tabla1[[#This Row],[Fatalities]]</f>
        <v>2</v>
      </c>
      <c r="W2929" s="50">
        <f>IFERROR(Tabla1[[#This Row],[Fatalities]]/Tabla1[[#This Row],[Aboard]],0)</f>
        <v>0.89473684210526316</v>
      </c>
      <c r="X2929" s="51" t="str" cm="1">
        <f t="array" ref="X2929">_xlfn.IFS(Tabla1[[#This Row],[Porcentaje de muertes]]&lt;0.35,"LEVE",AND(Tabla1[[#This Row],[Porcentaje de muertes]]&gt;0.35,Tabla1[[#This Row],[Porcentaje de muertes]]&lt;0.65),"MEDIO",Tabla1[[#This Row],[Porcentaje de muertes]]&gt;0.65,"GRAVE")</f>
        <v>GRAVE</v>
      </c>
    </row>
    <row r="2930" spans="2:24" x14ac:dyDescent="0.3">
      <c r="B2930" s="9">
        <v>2929</v>
      </c>
      <c r="C2930" s="49">
        <v>28380</v>
      </c>
      <c r="D2930" s="9">
        <f>YEAR(Tabla1[[#This Row],[Date]])</f>
        <v>1977</v>
      </c>
      <c r="E2930" s="9" t="str" cm="1">
        <f t="array" ref="E2930">IFERROR(_xlfn.IFS(AND(D2930&lt;1980,D2930&gt;=1970),"70",AND(D2930&lt;1990,D2930&gt;=1980),"80",AND(D2930&lt;2000,D2930&gt;=1990),"90",AND(D2930&lt;2010,D2930&gt;=2000),"00",AND(D2930&lt;=2019,D2930&gt;=2010),"10"),"1908-1970")</f>
        <v>70</v>
      </c>
      <c r="F2930" s="3">
        <v>0.80902777777777779</v>
      </c>
      <c r="G2930" t="s">
        <v>18030</v>
      </c>
      <c r="H2930" t="s">
        <v>6541</v>
      </c>
      <c r="I2930">
        <v>134</v>
      </c>
      <c r="J2930" t="s">
        <v>18031</v>
      </c>
      <c r="K2930" t="s">
        <v>14340</v>
      </c>
      <c r="L2930" s="7" t="s">
        <v>18032</v>
      </c>
      <c r="M2930">
        <v>27307602</v>
      </c>
      <c r="N2930">
        <v>23</v>
      </c>
      <c r="O2930">
        <v>18</v>
      </c>
      <c r="P2930">
        <v>5</v>
      </c>
      <c r="Q2930">
        <v>17</v>
      </c>
      <c r="R2930">
        <v>13</v>
      </c>
      <c r="S2930">
        <v>4</v>
      </c>
      <c r="T2930">
        <v>0</v>
      </c>
      <c r="U2930" t="s">
        <v>18033</v>
      </c>
      <c r="V2930">
        <f>Tabla1[[#This Row],[Aboard]]-Tabla1[[#This Row],[Fatalities]]</f>
        <v>6</v>
      </c>
      <c r="W2930" s="50">
        <f>IFERROR(Tabla1[[#This Row],[Fatalities]]/Tabla1[[#This Row],[Aboard]],0)</f>
        <v>0.73913043478260865</v>
      </c>
      <c r="X2930" s="51" t="str" cm="1">
        <f t="array" ref="X2930">_xlfn.IFS(Tabla1[[#This Row],[Porcentaje de muertes]]&lt;0.35,"LEVE",AND(Tabla1[[#This Row],[Porcentaje de muertes]]&gt;0.35,Tabla1[[#This Row],[Porcentaje de muertes]]&lt;0.65),"MEDIO",Tabla1[[#This Row],[Porcentaje de muertes]]&gt;0.65,"GRAVE")</f>
        <v>GRAVE</v>
      </c>
    </row>
    <row r="2931" spans="2:24" x14ac:dyDescent="0.3">
      <c r="B2931" s="9">
        <v>2930</v>
      </c>
      <c r="C2931" s="49">
        <v>28441</v>
      </c>
      <c r="D2931" s="9">
        <f>YEAR(Tabla1[[#This Row],[Date]])</f>
        <v>1977</v>
      </c>
      <c r="E2931" s="9" t="str" cm="1">
        <f t="array" ref="E2931">IFERROR(_xlfn.IFS(AND(D2931&lt;1980,D2931&gt;=1970),"70",AND(D2931&lt;1990,D2931&gt;=1980),"80",AND(D2931&lt;2000,D2931&gt;=1990),"90",AND(D2931&lt;2010,D2931&gt;=2000),"00",AND(D2931&lt;=2019,D2931&gt;=2010),"10"),"1908-1970")</f>
        <v>70</v>
      </c>
      <c r="F2931" s="3">
        <v>0.47222222222222227</v>
      </c>
      <c r="G2931" t="s">
        <v>18034</v>
      </c>
      <c r="H2931" t="s">
        <v>5027</v>
      </c>
      <c r="I2931" t="s">
        <v>28931</v>
      </c>
      <c r="J2931" t="s">
        <v>18035</v>
      </c>
      <c r="K2931" t="s">
        <v>18036</v>
      </c>
      <c r="L2931" s="7">
        <v>153428</v>
      </c>
      <c r="M2931" t="s">
        <v>18037</v>
      </c>
      <c r="N2931">
        <v>13</v>
      </c>
      <c r="O2931">
        <v>0</v>
      </c>
      <c r="P2931">
        <v>13</v>
      </c>
      <c r="Q2931">
        <v>13</v>
      </c>
      <c r="R2931">
        <v>0</v>
      </c>
      <c r="S2931">
        <v>13</v>
      </c>
      <c r="T2931">
        <v>0</v>
      </c>
      <c r="U2931" t="s">
        <v>18038</v>
      </c>
      <c r="V2931">
        <f>Tabla1[[#This Row],[Aboard]]-Tabla1[[#This Row],[Fatalities]]</f>
        <v>0</v>
      </c>
      <c r="W2931" s="50">
        <f>IFERROR(Tabla1[[#This Row],[Fatalities]]/Tabla1[[#This Row],[Aboard]],0)</f>
        <v>1</v>
      </c>
      <c r="X2931" s="51" t="str" cm="1">
        <f t="array" ref="X2931">_xlfn.IFS(Tabla1[[#This Row],[Porcentaje de muertes]]&lt;0.35,"LEVE",AND(Tabla1[[#This Row],[Porcentaje de muertes]]&gt;0.35,Tabla1[[#This Row],[Porcentaje de muertes]]&lt;0.65),"MEDIO",Tabla1[[#This Row],[Porcentaje de muertes]]&gt;0.65,"GRAVE")</f>
        <v>GRAVE</v>
      </c>
    </row>
    <row r="2932" spans="2:24" x14ac:dyDescent="0.3">
      <c r="B2932" s="9">
        <v>2931</v>
      </c>
      <c r="C2932" s="49">
        <v>28472</v>
      </c>
      <c r="D2932" s="9">
        <f>YEAR(Tabla1[[#This Row],[Date]])</f>
        <v>1977</v>
      </c>
      <c r="E2932" s="9" t="str" cm="1">
        <f t="array" ref="E2932">IFERROR(_xlfn.IFS(AND(D2932&lt;1980,D2932&gt;=1970),"70",AND(D2932&lt;1990,D2932&gt;=1980),"80",AND(D2932&lt;2000,D2932&gt;=1990),"90",AND(D2932&lt;2010,D2932&gt;=2000),"00",AND(D2932&lt;=2019,D2932&gt;=2010),"10"),"1908-1970")</f>
        <v>70</v>
      </c>
      <c r="F2932" s="3">
        <v>0.80694444444444446</v>
      </c>
      <c r="G2932" t="s">
        <v>18039</v>
      </c>
      <c r="H2932" t="s">
        <v>18040</v>
      </c>
      <c r="I2932">
        <v>216</v>
      </c>
      <c r="J2932" t="s">
        <v>18041</v>
      </c>
      <c r="K2932" t="s">
        <v>7057</v>
      </c>
      <c r="L2932" s="7" t="s">
        <v>18042</v>
      </c>
      <c r="M2932">
        <v>4837</v>
      </c>
      <c r="N2932">
        <v>29</v>
      </c>
      <c r="O2932">
        <v>26</v>
      </c>
      <c r="P2932">
        <v>3</v>
      </c>
      <c r="Q2932">
        <v>29</v>
      </c>
      <c r="R2932">
        <v>26</v>
      </c>
      <c r="S2932">
        <v>3</v>
      </c>
      <c r="T2932">
        <v>0</v>
      </c>
      <c r="U2932" t="s">
        <v>18043</v>
      </c>
      <c r="V2932">
        <f>Tabla1[[#This Row],[Aboard]]-Tabla1[[#This Row],[Fatalities]]</f>
        <v>0</v>
      </c>
      <c r="W2932" s="50">
        <f>IFERROR(Tabla1[[#This Row],[Fatalities]]/Tabla1[[#This Row],[Aboard]],0)</f>
        <v>1</v>
      </c>
      <c r="X2932" s="51" t="str" cm="1">
        <f t="array" ref="X2932">_xlfn.IFS(Tabla1[[#This Row],[Porcentaje de muertes]]&lt;0.35,"LEVE",AND(Tabla1[[#This Row],[Porcentaje de muertes]]&gt;0.35,Tabla1[[#This Row],[Porcentaje de muertes]]&lt;0.65),"MEDIO",Tabla1[[#This Row],[Porcentaje de muertes]]&gt;0.65,"GRAVE")</f>
        <v>GRAVE</v>
      </c>
    </row>
    <row r="2933" spans="2:24" x14ac:dyDescent="0.3">
      <c r="B2933" s="9">
        <v>2932</v>
      </c>
      <c r="C2933" s="49">
        <v>28477</v>
      </c>
      <c r="D2933" s="9">
        <f>YEAR(Tabla1[[#This Row],[Date]])</f>
        <v>1977</v>
      </c>
      <c r="E2933" s="9" t="str" cm="1">
        <f t="array" ref="E2933">IFERROR(_xlfn.IFS(AND(D2933&lt;1980,D2933&gt;=1970),"70",AND(D2933&lt;1990,D2933&gt;=1980),"80",AND(D2933&lt;2000,D2933&gt;=1990),"90",AND(D2933&lt;2010,D2933&gt;=2000),"00",AND(D2933&lt;=2019,D2933&gt;=2010),"10"),"1908-1970")</f>
        <v>70</v>
      </c>
      <c r="F2933" s="3">
        <v>6.805555555555555E-2</v>
      </c>
      <c r="G2933" t="s">
        <v>6414</v>
      </c>
      <c r="H2933" t="s">
        <v>6369</v>
      </c>
      <c r="I2933">
        <v>2860</v>
      </c>
      <c r="J2933" t="s">
        <v>18044</v>
      </c>
      <c r="K2933" t="s">
        <v>14949</v>
      </c>
      <c r="L2933" s="7" t="s">
        <v>18045</v>
      </c>
      <c r="M2933" t="s">
        <v>18046</v>
      </c>
      <c r="N2933">
        <v>3</v>
      </c>
      <c r="O2933">
        <v>0</v>
      </c>
      <c r="P2933">
        <v>3</v>
      </c>
      <c r="Q2933">
        <v>3</v>
      </c>
      <c r="R2933">
        <v>0</v>
      </c>
      <c r="S2933">
        <v>3</v>
      </c>
      <c r="T2933">
        <v>0</v>
      </c>
      <c r="U2933" t="s">
        <v>18047</v>
      </c>
      <c r="V2933">
        <f>Tabla1[[#This Row],[Aboard]]-Tabla1[[#This Row],[Fatalities]]</f>
        <v>0</v>
      </c>
      <c r="W2933" s="50">
        <f>IFERROR(Tabla1[[#This Row],[Fatalities]]/Tabla1[[#This Row],[Aboard]],0)</f>
        <v>1</v>
      </c>
      <c r="X2933" s="51" t="str" cm="1">
        <f t="array" ref="X2933">_xlfn.IFS(Tabla1[[#This Row],[Porcentaje de muertes]]&lt;0.35,"LEVE",AND(Tabla1[[#This Row],[Porcentaje de muertes]]&gt;0.35,Tabla1[[#This Row],[Porcentaje de muertes]]&lt;0.65),"MEDIO",Tabla1[[#This Row],[Porcentaje de muertes]]&gt;0.65,"GRAVE")</f>
        <v>GRAVE</v>
      </c>
    </row>
    <row r="2934" spans="2:24" x14ac:dyDescent="0.3">
      <c r="B2934" s="9">
        <v>2933</v>
      </c>
      <c r="C2934" s="49">
        <v>28477</v>
      </c>
      <c r="D2934" s="9">
        <f>YEAR(Tabla1[[#This Row],[Date]])</f>
        <v>1977</v>
      </c>
      <c r="E2934" s="9" t="str" cm="1">
        <f t="array" ref="E2934">IFERROR(_xlfn.IFS(AND(D2934&lt;1980,D2934&gt;=1970),"70",AND(D2934&lt;1990,D2934&gt;=1980),"80",AND(D2934&lt;2000,D2934&gt;=1990),"90",AND(D2934&lt;2010,D2934&gt;=2000),"00",AND(D2934&lt;=2019,D2934&gt;=2010),"10"),"1908-1970")</f>
        <v>70</v>
      </c>
      <c r="F2934" s="3">
        <v>0.84305555555555556</v>
      </c>
      <c r="G2934" t="s">
        <v>18048</v>
      </c>
      <c r="H2934" t="s">
        <v>18049</v>
      </c>
      <c r="I2934">
        <v>730</v>
      </c>
      <c r="J2934" t="s">
        <v>18050</v>
      </c>
      <c r="K2934" t="s">
        <v>18051</v>
      </c>
      <c r="L2934" s="7" t="s">
        <v>18052</v>
      </c>
      <c r="M2934">
        <v>200</v>
      </c>
      <c r="N2934">
        <v>57</v>
      </c>
      <c r="O2934">
        <v>52</v>
      </c>
      <c r="P2934">
        <v>5</v>
      </c>
      <c r="Q2934">
        <v>36</v>
      </c>
      <c r="R2934">
        <v>35</v>
      </c>
      <c r="S2934">
        <v>1</v>
      </c>
      <c r="T2934">
        <v>0</v>
      </c>
      <c r="U2934" t="s">
        <v>18053</v>
      </c>
      <c r="V2934">
        <f>Tabla1[[#This Row],[Aboard]]-Tabla1[[#This Row],[Fatalities]]</f>
        <v>21</v>
      </c>
      <c r="W2934" s="50">
        <f>IFERROR(Tabla1[[#This Row],[Fatalities]]/Tabla1[[#This Row],[Aboard]],0)</f>
        <v>0.63157894736842102</v>
      </c>
      <c r="X2934" s="51" t="str" cm="1">
        <f t="array" ref="X2934">_xlfn.IFS(Tabla1[[#This Row],[Porcentaje de muertes]]&lt;0.35,"LEVE",AND(Tabla1[[#This Row],[Porcentaje de muertes]]&gt;0.35,Tabla1[[#This Row],[Porcentaje de muertes]]&lt;0.65),"MEDIO",Tabla1[[#This Row],[Porcentaje de muertes]]&gt;0.65,"GRAVE")</f>
        <v>MEDIO</v>
      </c>
    </row>
    <row r="2935" spans="2:24" x14ac:dyDescent="0.3">
      <c r="B2935" s="9">
        <v>2934</v>
      </c>
      <c r="C2935" s="49">
        <v>28478</v>
      </c>
      <c r="D2935" s="9">
        <f>YEAR(Tabla1[[#This Row],[Date]])</f>
        <v>1977</v>
      </c>
      <c r="E2935" s="9" t="str" cm="1">
        <f t="array" ref="E2935">IFERROR(_xlfn.IFS(AND(D2935&lt;1980,D2935&gt;=1970),"70",AND(D2935&lt;1990,D2935&gt;=1980),"80",AND(D2935&lt;2000,D2935&gt;=1990),"90",AND(D2935&lt;2010,D2935&gt;=2000),"00",AND(D2935&lt;=2019,D2935&gt;=2010),"10"),"1908-1970")</f>
        <v>70</v>
      </c>
      <c r="F2935" s="3">
        <v>0.32500000000000001</v>
      </c>
      <c r="G2935" t="s">
        <v>18054</v>
      </c>
      <c r="H2935" t="s">
        <v>18055</v>
      </c>
      <c r="I2935" t="s">
        <v>28931</v>
      </c>
      <c r="J2935" t="s">
        <v>18056</v>
      </c>
      <c r="K2935" t="s">
        <v>15949</v>
      </c>
      <c r="L2935" s="7" t="s">
        <v>18057</v>
      </c>
      <c r="M2935">
        <v>184</v>
      </c>
      <c r="N2935">
        <v>10</v>
      </c>
      <c r="O2935">
        <v>9</v>
      </c>
      <c r="P2935">
        <v>1</v>
      </c>
      <c r="Q2935">
        <v>5</v>
      </c>
      <c r="R2935">
        <v>5</v>
      </c>
      <c r="S2935">
        <v>0</v>
      </c>
      <c r="T2935">
        <v>0</v>
      </c>
      <c r="U2935" t="s">
        <v>18058</v>
      </c>
      <c r="V2935">
        <f>Tabla1[[#This Row],[Aboard]]-Tabla1[[#This Row],[Fatalities]]</f>
        <v>5</v>
      </c>
      <c r="W2935" s="50">
        <f>IFERROR(Tabla1[[#This Row],[Fatalities]]/Tabla1[[#This Row],[Aboard]],0)</f>
        <v>0.5</v>
      </c>
      <c r="X2935" s="51" t="str" cm="1">
        <f t="array" ref="X2935">_xlfn.IFS(Tabla1[[#This Row],[Porcentaje de muertes]]&lt;0.35,"LEVE",AND(Tabla1[[#This Row],[Porcentaje de muertes]]&gt;0.35,Tabla1[[#This Row],[Porcentaje de muertes]]&lt;0.65),"MEDIO",Tabla1[[#This Row],[Porcentaje de muertes]]&gt;0.65,"GRAVE")</f>
        <v>MEDIO</v>
      </c>
    </row>
    <row r="2936" spans="2:24" x14ac:dyDescent="0.3">
      <c r="B2936" s="9">
        <v>2935</v>
      </c>
      <c r="C2936" s="49">
        <v>28483</v>
      </c>
      <c r="D2936" s="9">
        <f>YEAR(Tabla1[[#This Row],[Date]])</f>
        <v>1977</v>
      </c>
      <c r="E2936" s="9" t="str" cm="1">
        <f t="array" ref="E2936">IFERROR(_xlfn.IFS(AND(D2936&lt;1980,D2936&gt;=1970),"70",AND(D2936&lt;1990,D2936&gt;=1980),"80",AND(D2936&lt;2000,D2936&gt;=1990),"90",AND(D2936&lt;2010,D2936&gt;=2000),"00",AND(D2936&lt;=2019,D2936&gt;=2010),"10"),"1908-1970")</f>
        <v>70</v>
      </c>
      <c r="F2936" s="3" t="s">
        <v>28931</v>
      </c>
      <c r="G2936" t="s">
        <v>18059</v>
      </c>
      <c r="H2936" t="s">
        <v>18060</v>
      </c>
      <c r="I2936" t="s">
        <v>28931</v>
      </c>
      <c r="J2936" t="s">
        <v>18061</v>
      </c>
      <c r="K2936" t="s">
        <v>18062</v>
      </c>
      <c r="L2936" s="7" t="s">
        <v>18063</v>
      </c>
      <c r="M2936" t="s">
        <v>18064</v>
      </c>
      <c r="N2936">
        <v>10</v>
      </c>
      <c r="O2936">
        <v>8</v>
      </c>
      <c r="P2936">
        <v>2</v>
      </c>
      <c r="Q2936">
        <v>10</v>
      </c>
      <c r="R2936">
        <v>8</v>
      </c>
      <c r="S2936">
        <v>2</v>
      </c>
      <c r="T2936">
        <v>0</v>
      </c>
      <c r="U2936" t="s">
        <v>28927</v>
      </c>
      <c r="V2936">
        <f>Tabla1[[#This Row],[Aboard]]-Tabla1[[#This Row],[Fatalities]]</f>
        <v>0</v>
      </c>
      <c r="W2936" s="50">
        <f>IFERROR(Tabla1[[#This Row],[Fatalities]]/Tabla1[[#This Row],[Aboard]],0)</f>
        <v>1</v>
      </c>
      <c r="X2936" s="51" t="str" cm="1">
        <f t="array" ref="X2936">_xlfn.IFS(Tabla1[[#This Row],[Porcentaje de muertes]]&lt;0.35,"LEVE",AND(Tabla1[[#This Row],[Porcentaje de muertes]]&gt;0.35,Tabla1[[#This Row],[Porcentaje de muertes]]&lt;0.65),"MEDIO",Tabla1[[#This Row],[Porcentaje de muertes]]&gt;0.65,"GRAVE")</f>
        <v>GRAVE</v>
      </c>
    </row>
    <row r="2937" spans="2:24" x14ac:dyDescent="0.3">
      <c r="B2937" s="9">
        <v>2936</v>
      </c>
      <c r="C2937" s="49">
        <v>28488</v>
      </c>
      <c r="D2937" s="9">
        <f>YEAR(Tabla1[[#This Row],[Date]])</f>
        <v>1977</v>
      </c>
      <c r="E2937" s="9" t="str" cm="1">
        <f t="array" ref="E2937">IFERROR(_xlfn.IFS(AND(D2937&lt;1980,D2937&gt;=1970),"70",AND(D2937&lt;1990,D2937&gt;=1980),"80",AND(D2937&lt;2000,D2937&gt;=1990),"90",AND(D2937&lt;2010,D2937&gt;=2000),"00",AND(D2937&lt;=2019,D2937&gt;=2010),"10"),"1908-1970")</f>
        <v>70</v>
      </c>
      <c r="F2937" s="3" t="s">
        <v>28931</v>
      </c>
      <c r="G2937" t="s">
        <v>8699</v>
      </c>
      <c r="H2937" t="s">
        <v>18065</v>
      </c>
      <c r="I2937" t="s">
        <v>28931</v>
      </c>
      <c r="J2937" t="s">
        <v>8701</v>
      </c>
      <c r="K2937" t="s">
        <v>18066</v>
      </c>
      <c r="L2937" s="7" t="s">
        <v>18067</v>
      </c>
      <c r="M2937">
        <v>183</v>
      </c>
      <c r="N2937">
        <v>24</v>
      </c>
      <c r="O2937">
        <v>20</v>
      </c>
      <c r="P2937">
        <v>4</v>
      </c>
      <c r="Q2937">
        <v>24</v>
      </c>
      <c r="R2937">
        <v>20</v>
      </c>
      <c r="S2937">
        <v>4</v>
      </c>
      <c r="T2937">
        <v>0</v>
      </c>
      <c r="U2937" t="s">
        <v>18068</v>
      </c>
      <c r="V2937">
        <f>Tabla1[[#This Row],[Aboard]]-Tabla1[[#This Row],[Fatalities]]</f>
        <v>0</v>
      </c>
      <c r="W2937" s="50">
        <f>IFERROR(Tabla1[[#This Row],[Fatalities]]/Tabla1[[#This Row],[Aboard]],0)</f>
        <v>1</v>
      </c>
      <c r="X2937" s="51" t="str" cm="1">
        <f t="array" ref="X2937">_xlfn.IFS(Tabla1[[#This Row],[Porcentaje de muertes]]&lt;0.35,"LEVE",AND(Tabla1[[#This Row],[Porcentaje de muertes]]&gt;0.35,Tabla1[[#This Row],[Porcentaje de muertes]]&lt;0.65),"MEDIO",Tabla1[[#This Row],[Porcentaje de muertes]]&gt;0.65,"GRAVE")</f>
        <v>GRAVE</v>
      </c>
    </row>
    <row r="2938" spans="2:24" x14ac:dyDescent="0.3">
      <c r="B2938" s="9">
        <v>2937</v>
      </c>
      <c r="C2938" s="49">
        <v>28491</v>
      </c>
      <c r="D2938" s="9">
        <f>YEAR(Tabla1[[#This Row],[Date]])</f>
        <v>1978</v>
      </c>
      <c r="E2938" s="9" t="str" cm="1">
        <f t="array" ref="E2938">IFERROR(_xlfn.IFS(AND(D2938&lt;1980,D2938&gt;=1970),"70",AND(D2938&lt;1990,D2938&gt;=1980),"80",AND(D2938&lt;2000,D2938&gt;=1990),"90",AND(D2938&lt;2010,D2938&gt;=2000),"00",AND(D2938&lt;=2019,D2938&gt;=2010),"10"),"1908-1970")</f>
        <v>70</v>
      </c>
      <c r="F2938" s="3">
        <v>0.8618055555555556</v>
      </c>
      <c r="G2938" t="s">
        <v>13920</v>
      </c>
      <c r="H2938" t="s">
        <v>9312</v>
      </c>
      <c r="I2938">
        <v>855</v>
      </c>
      <c r="J2938" t="s">
        <v>18069</v>
      </c>
      <c r="K2938" t="s">
        <v>18070</v>
      </c>
      <c r="L2938" s="7" t="s">
        <v>18071</v>
      </c>
      <c r="M2938" t="s">
        <v>18072</v>
      </c>
      <c r="N2938">
        <v>213</v>
      </c>
      <c r="O2938">
        <v>190</v>
      </c>
      <c r="P2938">
        <v>23</v>
      </c>
      <c r="Q2938">
        <v>213</v>
      </c>
      <c r="R2938">
        <v>190</v>
      </c>
      <c r="S2938">
        <v>23</v>
      </c>
      <c r="T2938">
        <v>0</v>
      </c>
      <c r="U2938" t="s">
        <v>18073</v>
      </c>
      <c r="V2938">
        <f>Tabla1[[#This Row],[Aboard]]-Tabla1[[#This Row],[Fatalities]]</f>
        <v>0</v>
      </c>
      <c r="W2938" s="50">
        <f>IFERROR(Tabla1[[#This Row],[Fatalities]]/Tabla1[[#This Row],[Aboard]],0)</f>
        <v>1</v>
      </c>
      <c r="X2938" s="51" t="str" cm="1">
        <f t="array" ref="X2938">_xlfn.IFS(Tabla1[[#This Row],[Porcentaje de muertes]]&lt;0.35,"LEVE",AND(Tabla1[[#This Row],[Porcentaje de muertes]]&gt;0.35,Tabla1[[#This Row],[Porcentaje de muertes]]&lt;0.65),"MEDIO",Tabla1[[#This Row],[Porcentaje de muertes]]&gt;0.65,"GRAVE")</f>
        <v>GRAVE</v>
      </c>
    </row>
    <row r="2939" spans="2:24" x14ac:dyDescent="0.3">
      <c r="B2939" s="9">
        <v>2938</v>
      </c>
      <c r="C2939" s="49">
        <v>28517</v>
      </c>
      <c r="D2939" s="9">
        <f>YEAR(Tabla1[[#This Row],[Date]])</f>
        <v>1978</v>
      </c>
      <c r="E2939" s="9" t="str" cm="1">
        <f t="array" ref="E2939">IFERROR(_xlfn.IFS(AND(D2939&lt;1980,D2939&gt;=1970),"70",AND(D2939&lt;1990,D2939&gt;=1980),"80",AND(D2939&lt;2000,D2939&gt;=1990),"90",AND(D2939&lt;2010,D2939&gt;=2000),"00",AND(D2939&lt;=2019,D2939&gt;=2010),"10"),"1908-1970")</f>
        <v>70</v>
      </c>
      <c r="F2939" s="3">
        <v>0.57986111111111105</v>
      </c>
      <c r="G2939" t="s">
        <v>18074</v>
      </c>
      <c r="H2939" t="s">
        <v>18075</v>
      </c>
      <c r="I2939" t="s">
        <v>28931</v>
      </c>
      <c r="J2939" t="s">
        <v>18076</v>
      </c>
      <c r="K2939" t="s">
        <v>7057</v>
      </c>
      <c r="L2939" s="7" t="s">
        <v>18077</v>
      </c>
      <c r="M2939">
        <v>42958</v>
      </c>
      <c r="N2939">
        <v>14</v>
      </c>
      <c r="O2939">
        <v>10</v>
      </c>
      <c r="P2939">
        <v>4</v>
      </c>
      <c r="Q2939">
        <v>14</v>
      </c>
      <c r="R2939">
        <v>10</v>
      </c>
      <c r="S2939">
        <v>4</v>
      </c>
      <c r="T2939">
        <v>0</v>
      </c>
      <c r="U2939" t="s">
        <v>18078</v>
      </c>
      <c r="V2939">
        <f>Tabla1[[#This Row],[Aboard]]-Tabla1[[#This Row],[Fatalities]]</f>
        <v>0</v>
      </c>
      <c r="W2939" s="50">
        <f>IFERROR(Tabla1[[#This Row],[Fatalities]]/Tabla1[[#This Row],[Aboard]],0)</f>
        <v>1</v>
      </c>
      <c r="X2939" s="51" t="str" cm="1">
        <f t="array" ref="X2939">_xlfn.IFS(Tabla1[[#This Row],[Porcentaje de muertes]]&lt;0.35,"LEVE",AND(Tabla1[[#This Row],[Porcentaje de muertes]]&gt;0.35,Tabla1[[#This Row],[Porcentaje de muertes]]&lt;0.65),"MEDIO",Tabla1[[#This Row],[Porcentaje de muertes]]&gt;0.65,"GRAVE")</f>
        <v>GRAVE</v>
      </c>
    </row>
    <row r="2940" spans="2:24" x14ac:dyDescent="0.3">
      <c r="B2940" s="9">
        <v>2939</v>
      </c>
      <c r="C2940" s="49">
        <v>28521</v>
      </c>
      <c r="D2940" s="9">
        <f>YEAR(Tabla1[[#This Row],[Date]])</f>
        <v>1978</v>
      </c>
      <c r="E2940" s="9" t="str" cm="1">
        <f t="array" ref="E2940">IFERROR(_xlfn.IFS(AND(D2940&lt;1980,D2940&gt;=1970),"70",AND(D2940&lt;1990,D2940&gt;=1980),"80",AND(D2940&lt;2000,D2940&gt;=1990),"90",AND(D2940&lt;2010,D2940&gt;=2000),"00",AND(D2940&lt;=2019,D2940&gt;=2010),"10"),"1908-1970")</f>
        <v>70</v>
      </c>
      <c r="F2940" s="3" t="s">
        <v>28931</v>
      </c>
      <c r="G2940" t="s">
        <v>18079</v>
      </c>
      <c r="H2940" t="s">
        <v>18080</v>
      </c>
      <c r="I2940" t="s">
        <v>28931</v>
      </c>
      <c r="J2940" t="s">
        <v>28931</v>
      </c>
      <c r="K2940" t="s">
        <v>18081</v>
      </c>
      <c r="L2940" s="7" t="s">
        <v>18082</v>
      </c>
      <c r="M2940">
        <v>110128</v>
      </c>
      <c r="N2940">
        <v>14</v>
      </c>
      <c r="O2940">
        <v>12</v>
      </c>
      <c r="P2940">
        <v>2</v>
      </c>
      <c r="Q2940">
        <v>2</v>
      </c>
      <c r="R2940">
        <v>0</v>
      </c>
      <c r="S2940">
        <v>2</v>
      </c>
      <c r="T2940">
        <v>0</v>
      </c>
      <c r="U2940" t="s">
        <v>10178</v>
      </c>
      <c r="V2940">
        <f>Tabla1[[#This Row],[Aboard]]-Tabla1[[#This Row],[Fatalities]]</f>
        <v>12</v>
      </c>
      <c r="W2940" s="50">
        <f>IFERROR(Tabla1[[#This Row],[Fatalities]]/Tabla1[[#This Row],[Aboard]],0)</f>
        <v>0.14285714285714285</v>
      </c>
      <c r="X2940" s="51" t="str" cm="1">
        <f t="array" ref="X2940">_xlfn.IFS(Tabla1[[#This Row],[Porcentaje de muertes]]&lt;0.35,"LEVE",AND(Tabla1[[#This Row],[Porcentaje de muertes]]&gt;0.35,Tabla1[[#This Row],[Porcentaje de muertes]]&lt;0.65),"MEDIO",Tabla1[[#This Row],[Porcentaje de muertes]]&gt;0.65,"GRAVE")</f>
        <v>LEVE</v>
      </c>
    </row>
    <row r="2941" spans="2:24" x14ac:dyDescent="0.3">
      <c r="B2941" s="9">
        <v>2940</v>
      </c>
      <c r="C2941" s="49">
        <v>28765</v>
      </c>
      <c r="D2941" s="9">
        <f>YEAR(Tabla1[[#This Row],[Date]])</f>
        <v>1978</v>
      </c>
      <c r="E2941" s="9" t="str" cm="1">
        <f t="array" ref="E2941">IFERROR(_xlfn.IFS(AND(D2941&lt;1980,D2941&gt;=1970),"70",AND(D2941&lt;1990,D2941&gt;=1980),"80",AND(D2941&lt;2000,D2941&gt;=1990),"90",AND(D2941&lt;2010,D2941&gt;=2000),"00",AND(D2941&lt;=2019,D2941&gt;=2010),"10"),"1908-1970")</f>
        <v>70</v>
      </c>
      <c r="F2941" s="3">
        <v>0.47222222222222227</v>
      </c>
      <c r="G2941" t="s">
        <v>18083</v>
      </c>
      <c r="H2941" t="s">
        <v>18084</v>
      </c>
      <c r="I2941" t="s">
        <v>28931</v>
      </c>
      <c r="J2941" t="s">
        <v>18085</v>
      </c>
      <c r="K2941" t="s">
        <v>7953</v>
      </c>
      <c r="L2941" s="7" t="s">
        <v>18086</v>
      </c>
      <c r="M2941">
        <v>19301</v>
      </c>
      <c r="N2941">
        <v>44</v>
      </c>
      <c r="O2941">
        <v>40</v>
      </c>
      <c r="P2941">
        <v>4</v>
      </c>
      <c r="Q2941">
        <v>44</v>
      </c>
      <c r="R2941">
        <v>40</v>
      </c>
      <c r="S2941">
        <v>4</v>
      </c>
      <c r="T2941">
        <v>0</v>
      </c>
      <c r="U2941" t="s">
        <v>18087</v>
      </c>
      <c r="V2941">
        <f>Tabla1[[#This Row],[Aboard]]-Tabla1[[#This Row],[Fatalities]]</f>
        <v>0</v>
      </c>
      <c r="W2941" s="50">
        <f>IFERROR(Tabla1[[#This Row],[Fatalities]]/Tabla1[[#This Row],[Aboard]],0)</f>
        <v>1</v>
      </c>
      <c r="X2941" s="51" t="str" cm="1">
        <f t="array" ref="X2941">_xlfn.IFS(Tabla1[[#This Row],[Porcentaje de muertes]]&lt;0.35,"LEVE",AND(Tabla1[[#This Row],[Porcentaje de muertes]]&gt;0.35,Tabla1[[#This Row],[Porcentaje de muertes]]&lt;0.65),"MEDIO",Tabla1[[#This Row],[Porcentaje de muertes]]&gt;0.65,"GRAVE")</f>
        <v>GRAVE</v>
      </c>
    </row>
    <row r="2942" spans="2:24" x14ac:dyDescent="0.3">
      <c r="B2942" s="9">
        <v>2941</v>
      </c>
      <c r="C2942" s="49">
        <v>28765</v>
      </c>
      <c r="D2942" s="9">
        <f>YEAR(Tabla1[[#This Row],[Date]])</f>
        <v>1978</v>
      </c>
      <c r="E2942" s="9" t="str" cm="1">
        <f t="array" ref="E2942">IFERROR(_xlfn.IFS(AND(D2942&lt;1980,D2942&gt;=1970),"70",AND(D2942&lt;1990,D2942&gt;=1980),"80",AND(D2942&lt;2000,D2942&gt;=1990),"90",AND(D2942&lt;2010,D2942&gt;=2000),"00",AND(D2942&lt;=2019,D2942&gt;=2010),"10"),"1908-1970")</f>
        <v>70</v>
      </c>
      <c r="F2942" s="3">
        <v>0.70138888888888884</v>
      </c>
      <c r="G2942" t="s">
        <v>18088</v>
      </c>
      <c r="H2942" t="s">
        <v>18089</v>
      </c>
      <c r="I2942">
        <v>23</v>
      </c>
      <c r="J2942" t="s">
        <v>18090</v>
      </c>
      <c r="K2942" t="s">
        <v>17091</v>
      </c>
      <c r="L2942" s="7" t="s">
        <v>18091</v>
      </c>
      <c r="M2942" t="s">
        <v>18092</v>
      </c>
      <c r="N2942">
        <v>17</v>
      </c>
      <c r="O2942">
        <v>15</v>
      </c>
      <c r="P2942">
        <v>2</v>
      </c>
      <c r="Q2942">
        <v>17</v>
      </c>
      <c r="R2942">
        <v>15</v>
      </c>
      <c r="S2942">
        <v>2</v>
      </c>
      <c r="T2942">
        <v>0</v>
      </c>
      <c r="U2942" t="s">
        <v>18093</v>
      </c>
      <c r="V2942">
        <f>Tabla1[[#This Row],[Aboard]]-Tabla1[[#This Row],[Fatalities]]</f>
        <v>0</v>
      </c>
      <c r="W2942" s="50">
        <f>IFERROR(Tabla1[[#This Row],[Fatalities]]/Tabla1[[#This Row],[Aboard]],0)</f>
        <v>1</v>
      </c>
      <c r="X2942" s="51" t="str" cm="1">
        <f t="array" ref="X2942">_xlfn.IFS(Tabla1[[#This Row],[Porcentaje de muertes]]&lt;0.35,"LEVE",AND(Tabla1[[#This Row],[Porcentaje de muertes]]&gt;0.35,Tabla1[[#This Row],[Porcentaje de muertes]]&lt;0.65),"MEDIO",Tabla1[[#This Row],[Porcentaje de muertes]]&gt;0.65,"GRAVE")</f>
        <v>GRAVE</v>
      </c>
    </row>
    <row r="2943" spans="2:24" x14ac:dyDescent="0.3">
      <c r="B2943" s="9">
        <v>2942</v>
      </c>
      <c r="C2943" s="49">
        <v>28796</v>
      </c>
      <c r="D2943" s="9">
        <f>YEAR(Tabla1[[#This Row],[Date]])</f>
        <v>1978</v>
      </c>
      <c r="E2943" s="9" t="str" cm="1">
        <f t="array" ref="E2943">IFERROR(_xlfn.IFS(AND(D2943&lt;1980,D2943&gt;=1970),"70",AND(D2943&lt;1990,D2943&gt;=1980),"80",AND(D2943&lt;2000,D2943&gt;=1990),"90",AND(D2943&lt;2010,D2943&gt;=2000),"00",AND(D2943&lt;=2019,D2943&gt;=2010),"10"),"1908-1970")</f>
        <v>70</v>
      </c>
      <c r="F2943" s="3">
        <v>0.53819444444444442</v>
      </c>
      <c r="G2943" t="s">
        <v>18094</v>
      </c>
      <c r="H2943" t="s">
        <v>11615</v>
      </c>
      <c r="I2943">
        <v>314</v>
      </c>
      <c r="J2943" t="s">
        <v>18095</v>
      </c>
      <c r="K2943" t="s">
        <v>18096</v>
      </c>
      <c r="L2943" s="7" t="s">
        <v>18097</v>
      </c>
      <c r="M2943" t="s">
        <v>18098</v>
      </c>
      <c r="N2943">
        <v>49</v>
      </c>
      <c r="O2943">
        <v>44</v>
      </c>
      <c r="P2943">
        <v>5</v>
      </c>
      <c r="Q2943">
        <v>42</v>
      </c>
      <c r="R2943">
        <v>38</v>
      </c>
      <c r="S2943">
        <v>4</v>
      </c>
      <c r="T2943">
        <v>0</v>
      </c>
      <c r="U2943" t="s">
        <v>18099</v>
      </c>
      <c r="V2943">
        <f>Tabla1[[#This Row],[Aboard]]-Tabla1[[#This Row],[Fatalities]]</f>
        <v>7</v>
      </c>
      <c r="W2943" s="50">
        <f>IFERROR(Tabla1[[#This Row],[Fatalities]]/Tabla1[[#This Row],[Aboard]],0)</f>
        <v>0.8571428571428571</v>
      </c>
      <c r="X2943" s="51" t="str" cm="1">
        <f t="array" ref="X2943">_xlfn.IFS(Tabla1[[#This Row],[Porcentaje de muertes]]&lt;0.35,"LEVE",AND(Tabla1[[#This Row],[Porcentaje de muertes]]&gt;0.35,Tabla1[[#This Row],[Porcentaje de muertes]]&lt;0.65),"MEDIO",Tabla1[[#This Row],[Porcentaje de muertes]]&gt;0.65,"GRAVE")</f>
        <v>GRAVE</v>
      </c>
    </row>
    <row r="2944" spans="2:24" x14ac:dyDescent="0.3">
      <c r="B2944" s="9">
        <v>2943</v>
      </c>
      <c r="C2944" s="49">
        <v>28549</v>
      </c>
      <c r="D2944" s="9">
        <f>YEAR(Tabla1[[#This Row],[Date]])</f>
        <v>1978</v>
      </c>
      <c r="E2944" s="9" t="str" cm="1">
        <f t="array" ref="E2944">IFERROR(_xlfn.IFS(AND(D2944&lt;1980,D2944&gt;=1970),"70",AND(D2944&lt;1990,D2944&gt;=1980),"80",AND(D2944&lt;2000,D2944&gt;=1990),"90",AND(D2944&lt;2010,D2944&gt;=2000),"00",AND(D2944&lt;=2019,D2944&gt;=2010),"10"),"1908-1970")</f>
        <v>70</v>
      </c>
      <c r="F2944" s="3">
        <v>0.4375</v>
      </c>
      <c r="G2944" t="s">
        <v>18100</v>
      </c>
      <c r="H2944" t="s">
        <v>18101</v>
      </c>
      <c r="I2944" t="s">
        <v>28931</v>
      </c>
      <c r="J2944" t="s">
        <v>18102</v>
      </c>
      <c r="K2944" t="s">
        <v>18103</v>
      </c>
      <c r="L2944" s="7" t="s">
        <v>18104</v>
      </c>
      <c r="M2944" t="s">
        <v>18105</v>
      </c>
      <c r="N2944">
        <v>7</v>
      </c>
      <c r="O2944">
        <v>4</v>
      </c>
      <c r="P2944">
        <v>3</v>
      </c>
      <c r="Q2944">
        <v>7</v>
      </c>
      <c r="R2944">
        <v>4</v>
      </c>
      <c r="S2944">
        <v>3</v>
      </c>
      <c r="T2944">
        <v>0</v>
      </c>
      <c r="U2944" t="s">
        <v>18106</v>
      </c>
      <c r="V2944">
        <f>Tabla1[[#This Row],[Aboard]]-Tabla1[[#This Row],[Fatalities]]</f>
        <v>0</v>
      </c>
      <c r="W2944" s="50">
        <f>IFERROR(Tabla1[[#This Row],[Fatalities]]/Tabla1[[#This Row],[Aboard]],0)</f>
        <v>1</v>
      </c>
      <c r="X2944" s="51" t="str" cm="1">
        <f t="array" ref="X2944">_xlfn.IFS(Tabla1[[#This Row],[Porcentaje de muertes]]&lt;0.35,"LEVE",AND(Tabla1[[#This Row],[Porcentaje de muertes]]&gt;0.35,Tabla1[[#This Row],[Porcentaje de muertes]]&lt;0.65),"MEDIO",Tabla1[[#This Row],[Porcentaje de muertes]]&gt;0.65,"GRAVE")</f>
        <v>GRAVE</v>
      </c>
    </row>
    <row r="2945" spans="2:24" x14ac:dyDescent="0.3">
      <c r="B2945" s="9">
        <v>2944</v>
      </c>
      <c r="C2945" s="49">
        <v>28493</v>
      </c>
      <c r="D2945" s="9">
        <f>YEAR(Tabla1[[#This Row],[Date]])</f>
        <v>1978</v>
      </c>
      <c r="E2945" s="9" t="str" cm="1">
        <f t="array" ref="E2945">IFERROR(_xlfn.IFS(AND(D2945&lt;1980,D2945&gt;=1970),"70",AND(D2945&lt;1990,D2945&gt;=1980),"80",AND(D2945&lt;2000,D2945&gt;=1990),"90",AND(D2945&lt;2010,D2945&gt;=2000),"00",AND(D2945&lt;=2019,D2945&gt;=2010),"10"),"1908-1970")</f>
        <v>70</v>
      </c>
      <c r="F2945" s="3">
        <v>0.3923611111111111</v>
      </c>
      <c r="G2945" t="s">
        <v>18107</v>
      </c>
      <c r="H2945" t="s">
        <v>11843</v>
      </c>
      <c r="I2945">
        <v>603</v>
      </c>
      <c r="J2945" t="s">
        <v>18108</v>
      </c>
      <c r="K2945" t="s">
        <v>16963</v>
      </c>
      <c r="L2945" s="7" t="s">
        <v>18109</v>
      </c>
      <c r="M2945">
        <v>46904</v>
      </c>
      <c r="N2945">
        <v>200</v>
      </c>
      <c r="O2945">
        <v>186</v>
      </c>
      <c r="P2945">
        <v>14</v>
      </c>
      <c r="Q2945">
        <v>2</v>
      </c>
      <c r="R2945">
        <v>2</v>
      </c>
      <c r="S2945">
        <v>0</v>
      </c>
      <c r="T2945">
        <v>0</v>
      </c>
      <c r="U2945" t="s">
        <v>18110</v>
      </c>
      <c r="V2945">
        <f>Tabla1[[#This Row],[Aboard]]-Tabla1[[#This Row],[Fatalities]]</f>
        <v>198</v>
      </c>
      <c r="W2945" s="50">
        <f>IFERROR(Tabla1[[#This Row],[Fatalities]]/Tabla1[[#This Row],[Aboard]],0)</f>
        <v>0.01</v>
      </c>
      <c r="X2945" s="51" t="str" cm="1">
        <f t="array" ref="X2945">_xlfn.IFS(Tabla1[[#This Row],[Porcentaje de muertes]]&lt;0.35,"LEVE",AND(Tabla1[[#This Row],[Porcentaje de muertes]]&gt;0.35,Tabla1[[#This Row],[Porcentaje de muertes]]&lt;0.65),"MEDIO",Tabla1[[#This Row],[Porcentaje de muertes]]&gt;0.65,"GRAVE")</f>
        <v>LEVE</v>
      </c>
    </row>
    <row r="2946" spans="2:24" x14ac:dyDescent="0.3">
      <c r="B2946" s="9">
        <v>2945</v>
      </c>
      <c r="C2946" s="49">
        <v>28524</v>
      </c>
      <c r="D2946" s="9">
        <f>YEAR(Tabla1[[#This Row],[Date]])</f>
        <v>1978</v>
      </c>
      <c r="E2946" s="9" t="str" cm="1">
        <f t="array" ref="E2946">IFERROR(_xlfn.IFS(AND(D2946&lt;1980,D2946&gt;=1970),"70",AND(D2946&lt;1990,D2946&gt;=1980),"80",AND(D2946&lt;2000,D2946&gt;=1990),"90",AND(D2946&lt;2010,D2946&gt;=2000),"00",AND(D2946&lt;=2019,D2946&gt;=2010),"10"),"1908-1970")</f>
        <v>70</v>
      </c>
      <c r="F2946" s="3">
        <v>0.52986111111111112</v>
      </c>
      <c r="G2946" t="s">
        <v>11803</v>
      </c>
      <c r="H2946" t="s">
        <v>15690</v>
      </c>
      <c r="I2946" t="s">
        <v>28931</v>
      </c>
      <c r="J2946" t="s">
        <v>18111</v>
      </c>
      <c r="K2946" t="s">
        <v>18112</v>
      </c>
      <c r="L2946" s="7" t="s">
        <v>18113</v>
      </c>
      <c r="M2946">
        <v>11993</v>
      </c>
      <c r="N2946">
        <v>18</v>
      </c>
      <c r="O2946">
        <v>11</v>
      </c>
      <c r="P2946">
        <v>7</v>
      </c>
      <c r="Q2946">
        <v>18</v>
      </c>
      <c r="R2946">
        <v>11</v>
      </c>
      <c r="S2946">
        <v>7</v>
      </c>
      <c r="T2946">
        <v>0</v>
      </c>
      <c r="U2946" t="s">
        <v>18114</v>
      </c>
      <c r="V2946">
        <f>Tabla1[[#This Row],[Aboard]]-Tabla1[[#This Row],[Fatalities]]</f>
        <v>0</v>
      </c>
      <c r="W2946" s="50">
        <f>IFERROR(Tabla1[[#This Row],[Fatalities]]/Tabla1[[#This Row],[Aboard]],0)</f>
        <v>1</v>
      </c>
      <c r="X2946" s="51" t="str" cm="1">
        <f t="array" ref="X2946">_xlfn.IFS(Tabla1[[#This Row],[Porcentaje de muertes]]&lt;0.35,"LEVE",AND(Tabla1[[#This Row],[Porcentaje de muertes]]&gt;0.35,Tabla1[[#This Row],[Porcentaje de muertes]]&lt;0.65),"MEDIO",Tabla1[[#This Row],[Porcentaje de muertes]]&gt;0.65,"GRAVE")</f>
        <v>GRAVE</v>
      </c>
    </row>
    <row r="2947" spans="2:24" x14ac:dyDescent="0.3">
      <c r="B2947" s="9">
        <v>2946</v>
      </c>
      <c r="C2947" s="49">
        <v>28552</v>
      </c>
      <c r="D2947" s="9">
        <f>YEAR(Tabla1[[#This Row],[Date]])</f>
        <v>1978</v>
      </c>
      <c r="E2947" s="9" t="str" cm="1">
        <f t="array" ref="E2947">IFERROR(_xlfn.IFS(AND(D2947&lt;1980,D2947&gt;=1970),"70",AND(D2947&lt;1990,D2947&gt;=1980),"80",AND(D2947&lt;2000,D2947&gt;=1990),"90",AND(D2947&lt;2010,D2947&gt;=2000),"00",AND(D2947&lt;=2019,D2947&gt;=2010),"10"),"1908-1970")</f>
        <v>70</v>
      </c>
      <c r="F2947" s="3" t="s">
        <v>28931</v>
      </c>
      <c r="G2947" t="s">
        <v>10863</v>
      </c>
      <c r="H2947" t="s">
        <v>18115</v>
      </c>
      <c r="I2947" t="s">
        <v>28931</v>
      </c>
      <c r="J2947" t="s">
        <v>18116</v>
      </c>
      <c r="K2947" t="s">
        <v>18117</v>
      </c>
      <c r="L2947" s="7" t="s">
        <v>18118</v>
      </c>
      <c r="M2947">
        <v>1744</v>
      </c>
      <c r="N2947">
        <v>47</v>
      </c>
      <c r="O2947">
        <v>43</v>
      </c>
      <c r="P2947">
        <v>4</v>
      </c>
      <c r="Q2947">
        <v>47</v>
      </c>
      <c r="R2947">
        <v>43</v>
      </c>
      <c r="S2947">
        <v>4</v>
      </c>
      <c r="T2947">
        <v>0</v>
      </c>
      <c r="U2947" t="s">
        <v>18119</v>
      </c>
      <c r="V2947">
        <f>Tabla1[[#This Row],[Aboard]]-Tabla1[[#This Row],[Fatalities]]</f>
        <v>0</v>
      </c>
      <c r="W2947" s="50">
        <f>IFERROR(Tabla1[[#This Row],[Fatalities]]/Tabla1[[#This Row],[Aboard]],0)</f>
        <v>1</v>
      </c>
      <c r="X2947" s="51" t="str" cm="1">
        <f t="array" ref="X2947">_xlfn.IFS(Tabla1[[#This Row],[Porcentaje de muertes]]&lt;0.35,"LEVE",AND(Tabla1[[#This Row],[Porcentaje de muertes]]&gt;0.35,Tabla1[[#This Row],[Porcentaje de muertes]]&lt;0.65),"MEDIO",Tabla1[[#This Row],[Porcentaje de muertes]]&gt;0.65,"GRAVE")</f>
        <v>GRAVE</v>
      </c>
    </row>
    <row r="2948" spans="2:24" x14ac:dyDescent="0.3">
      <c r="B2948" s="9">
        <v>2947</v>
      </c>
      <c r="C2948" s="49">
        <v>28565</v>
      </c>
      <c r="D2948" s="9">
        <f>YEAR(Tabla1[[#This Row],[Date]])</f>
        <v>1978</v>
      </c>
      <c r="E2948" s="9" t="str" cm="1">
        <f t="array" ref="E2948">IFERROR(_xlfn.IFS(AND(D2948&lt;1980,D2948&gt;=1970),"70",AND(D2948&lt;1990,D2948&gt;=1980),"80",AND(D2948&lt;2000,D2948&gt;=1990),"90",AND(D2948&lt;2010,D2948&gt;=2000),"00",AND(D2948&lt;=2019,D2948&gt;=2010),"10"),"1908-1970")</f>
        <v>70</v>
      </c>
      <c r="F2948" s="3">
        <v>0.54166666666666663</v>
      </c>
      <c r="G2948" t="s">
        <v>18120</v>
      </c>
      <c r="H2948" t="s">
        <v>16075</v>
      </c>
      <c r="I2948" t="s">
        <v>28931</v>
      </c>
      <c r="J2948" t="s">
        <v>18121</v>
      </c>
      <c r="K2948" t="s">
        <v>17430</v>
      </c>
      <c r="L2948" s="7" t="s">
        <v>18122</v>
      </c>
      <c r="M2948">
        <v>8350501</v>
      </c>
      <c r="N2948">
        <v>73</v>
      </c>
      <c r="O2948">
        <v>66</v>
      </c>
      <c r="P2948">
        <v>7</v>
      </c>
      <c r="Q2948">
        <v>73</v>
      </c>
      <c r="R2948">
        <v>66</v>
      </c>
      <c r="S2948">
        <v>7</v>
      </c>
      <c r="T2948">
        <v>0</v>
      </c>
      <c r="U2948" t="s">
        <v>18123</v>
      </c>
      <c r="V2948">
        <f>Tabla1[[#This Row],[Aboard]]-Tabla1[[#This Row],[Fatalities]]</f>
        <v>0</v>
      </c>
      <c r="W2948" s="50">
        <f>IFERROR(Tabla1[[#This Row],[Fatalities]]/Tabla1[[#This Row],[Aboard]],0)</f>
        <v>1</v>
      </c>
      <c r="X2948" s="51" t="str" cm="1">
        <f t="array" ref="X2948">_xlfn.IFS(Tabla1[[#This Row],[Porcentaje de muertes]]&lt;0.35,"LEVE",AND(Tabla1[[#This Row],[Porcentaje de muertes]]&gt;0.35,Tabla1[[#This Row],[Porcentaje de muertes]]&lt;0.65),"MEDIO",Tabla1[[#This Row],[Porcentaje de muertes]]&gt;0.65,"GRAVE")</f>
        <v>GRAVE</v>
      </c>
    </row>
    <row r="2949" spans="2:24" x14ac:dyDescent="0.3">
      <c r="B2949" s="9">
        <v>2948</v>
      </c>
      <c r="C2949" s="49">
        <v>28571</v>
      </c>
      <c r="D2949" s="9">
        <f>YEAR(Tabla1[[#This Row],[Date]])</f>
        <v>1978</v>
      </c>
      <c r="E2949" s="9" t="str" cm="1">
        <f t="array" ref="E2949">IFERROR(_xlfn.IFS(AND(D2949&lt;1980,D2949&gt;=1970),"70",AND(D2949&lt;1990,D2949&gt;=1980),"80",AND(D2949&lt;2000,D2949&gt;=1990),"90",AND(D2949&lt;2010,D2949&gt;=2000),"00",AND(D2949&lt;=2019,D2949&gt;=2010),"10"),"1908-1970")</f>
        <v>70</v>
      </c>
      <c r="F2949" s="3">
        <v>0.86249999999999993</v>
      </c>
      <c r="G2949" t="s">
        <v>18124</v>
      </c>
      <c r="H2949" t="s">
        <v>18125</v>
      </c>
      <c r="I2949" t="s">
        <v>28931</v>
      </c>
      <c r="J2949" t="s">
        <v>18126</v>
      </c>
      <c r="K2949" t="s">
        <v>18127</v>
      </c>
      <c r="L2949" s="7" t="s">
        <v>18128</v>
      </c>
      <c r="M2949" t="s">
        <v>28931</v>
      </c>
      <c r="N2949">
        <v>6</v>
      </c>
      <c r="O2949">
        <v>5</v>
      </c>
      <c r="P2949">
        <v>1</v>
      </c>
      <c r="Q2949">
        <v>6</v>
      </c>
      <c r="R2949">
        <v>5</v>
      </c>
      <c r="S2949">
        <v>1</v>
      </c>
      <c r="T2949">
        <v>0</v>
      </c>
      <c r="U2949" t="s">
        <v>18129</v>
      </c>
      <c r="V2949">
        <f>Tabla1[[#This Row],[Aboard]]-Tabla1[[#This Row],[Fatalities]]</f>
        <v>0</v>
      </c>
      <c r="W2949" s="50">
        <f>IFERROR(Tabla1[[#This Row],[Fatalities]]/Tabla1[[#This Row],[Aboard]],0)</f>
        <v>1</v>
      </c>
      <c r="X2949" s="51" t="str" cm="1">
        <f t="array" ref="X2949">_xlfn.IFS(Tabla1[[#This Row],[Porcentaje de muertes]]&lt;0.35,"LEVE",AND(Tabla1[[#This Row],[Porcentaje de muertes]]&gt;0.35,Tabla1[[#This Row],[Porcentaje de muertes]]&lt;0.65),"MEDIO",Tabla1[[#This Row],[Porcentaje de muertes]]&gt;0.65,"GRAVE")</f>
        <v>GRAVE</v>
      </c>
    </row>
    <row r="2950" spans="2:24" x14ac:dyDescent="0.3">
      <c r="B2950" s="9">
        <v>2949</v>
      </c>
      <c r="C2950" s="49">
        <v>28574</v>
      </c>
      <c r="D2950" s="9">
        <f>YEAR(Tabla1[[#This Row],[Date]])</f>
        <v>1978</v>
      </c>
      <c r="E2950" s="9" t="str" cm="1">
        <f t="array" ref="E2950">IFERROR(_xlfn.IFS(AND(D2950&lt;1980,D2950&gt;=1970),"70",AND(D2950&lt;1990,D2950&gt;=1980),"80",AND(D2950&lt;2000,D2950&gt;=1990),"90",AND(D2950&lt;2010,D2950&gt;=2000),"00",AND(D2950&lt;=2019,D2950&gt;=2010),"10"),"1908-1970")</f>
        <v>70</v>
      </c>
      <c r="F2950" s="3">
        <v>0.28819444444444448</v>
      </c>
      <c r="G2950" t="s">
        <v>18130</v>
      </c>
      <c r="H2950" t="s">
        <v>16549</v>
      </c>
      <c r="I2950" t="s">
        <v>28931</v>
      </c>
      <c r="J2950" t="s">
        <v>18131</v>
      </c>
      <c r="K2950" t="s">
        <v>14481</v>
      </c>
      <c r="L2950" s="7" t="s">
        <v>18132</v>
      </c>
      <c r="M2950">
        <v>10235</v>
      </c>
      <c r="N2950">
        <v>48</v>
      </c>
      <c r="O2950">
        <v>44</v>
      </c>
      <c r="P2950">
        <v>4</v>
      </c>
      <c r="Q2950">
        <v>48</v>
      </c>
      <c r="R2950">
        <v>44</v>
      </c>
      <c r="S2950">
        <v>4</v>
      </c>
      <c r="T2950">
        <v>0</v>
      </c>
      <c r="U2950" t="s">
        <v>18133</v>
      </c>
      <c r="V2950">
        <f>Tabla1[[#This Row],[Aboard]]-Tabla1[[#This Row],[Fatalities]]</f>
        <v>0</v>
      </c>
      <c r="W2950" s="50">
        <f>IFERROR(Tabla1[[#This Row],[Fatalities]]/Tabla1[[#This Row],[Aboard]],0)</f>
        <v>1</v>
      </c>
      <c r="X2950" s="51" t="str" cm="1">
        <f t="array" ref="X2950">_xlfn.IFS(Tabla1[[#This Row],[Porcentaje de muertes]]&lt;0.35,"LEVE",AND(Tabla1[[#This Row],[Porcentaje de muertes]]&gt;0.35,Tabla1[[#This Row],[Porcentaje de muertes]]&lt;0.65),"MEDIO",Tabla1[[#This Row],[Porcentaje de muertes]]&gt;0.65,"GRAVE")</f>
        <v>GRAVE</v>
      </c>
    </row>
    <row r="2951" spans="2:24" x14ac:dyDescent="0.3">
      <c r="B2951" s="9">
        <v>2950</v>
      </c>
      <c r="C2951" s="49">
        <v>28584</v>
      </c>
      <c r="D2951" s="9">
        <f>YEAR(Tabla1[[#This Row],[Date]])</f>
        <v>1978</v>
      </c>
      <c r="E2951" s="9" t="str" cm="1">
        <f t="array" ref="E2951">IFERROR(_xlfn.IFS(AND(D2951&lt;1980,D2951&gt;=1970),"70",AND(D2951&lt;1990,D2951&gt;=1980),"80",AND(D2951&lt;2000,D2951&gt;=1990),"90",AND(D2951&lt;2010,D2951&gt;=2000),"00",AND(D2951&lt;=2019,D2951&gt;=2010),"10"),"1908-1970")</f>
        <v>70</v>
      </c>
      <c r="F2951" s="3">
        <v>0.97222222222222221</v>
      </c>
      <c r="G2951" t="s">
        <v>8003</v>
      </c>
      <c r="H2951" t="s">
        <v>18134</v>
      </c>
      <c r="I2951" t="s">
        <v>28931</v>
      </c>
      <c r="J2951" t="s">
        <v>28931</v>
      </c>
      <c r="K2951" t="s">
        <v>17471</v>
      </c>
      <c r="L2951" s="7" t="s">
        <v>18135</v>
      </c>
      <c r="M2951" t="s">
        <v>28931</v>
      </c>
      <c r="N2951">
        <v>6</v>
      </c>
      <c r="O2951">
        <v>4</v>
      </c>
      <c r="P2951">
        <v>2</v>
      </c>
      <c r="Q2951">
        <v>3</v>
      </c>
      <c r="R2951">
        <v>3</v>
      </c>
      <c r="S2951">
        <v>0</v>
      </c>
      <c r="T2951">
        <v>0</v>
      </c>
      <c r="U2951" t="s">
        <v>18136</v>
      </c>
      <c r="V2951">
        <f>Tabla1[[#This Row],[Aboard]]-Tabla1[[#This Row],[Fatalities]]</f>
        <v>3</v>
      </c>
      <c r="W2951" s="50">
        <f>IFERROR(Tabla1[[#This Row],[Fatalities]]/Tabla1[[#This Row],[Aboard]],0)</f>
        <v>0.5</v>
      </c>
      <c r="X2951" s="51" t="str" cm="1">
        <f t="array" ref="X2951">_xlfn.IFS(Tabla1[[#This Row],[Porcentaje de muertes]]&lt;0.35,"LEVE",AND(Tabla1[[#This Row],[Porcentaje de muertes]]&gt;0.35,Tabla1[[#This Row],[Porcentaje de muertes]]&lt;0.65),"MEDIO",Tabla1[[#This Row],[Porcentaje de muertes]]&gt;0.65,"GRAVE")</f>
        <v>MEDIO</v>
      </c>
    </row>
    <row r="2952" spans="2:24" x14ac:dyDescent="0.3">
      <c r="B2952" s="9">
        <v>2951</v>
      </c>
      <c r="C2952" s="49">
        <v>28614</v>
      </c>
      <c r="D2952" s="9">
        <f>YEAR(Tabla1[[#This Row],[Date]])</f>
        <v>1978</v>
      </c>
      <c r="E2952" s="9" t="str" cm="1">
        <f t="array" ref="E2952">IFERROR(_xlfn.IFS(AND(D2952&lt;1980,D2952&gt;=1970),"70",AND(D2952&lt;1990,D2952&gt;=1980),"80",AND(D2952&lt;2000,D2952&gt;=1990),"90",AND(D2952&lt;2010,D2952&gt;=2000),"00",AND(D2952&lt;=2019,D2952&gt;=2010),"10"),"1908-1970")</f>
        <v>70</v>
      </c>
      <c r="F2952" s="3">
        <v>0.69791666666666663</v>
      </c>
      <c r="G2952" t="s">
        <v>14417</v>
      </c>
      <c r="H2952" t="s">
        <v>17553</v>
      </c>
      <c r="I2952" t="s">
        <v>28931</v>
      </c>
      <c r="J2952" t="s">
        <v>18137</v>
      </c>
      <c r="K2952" t="s">
        <v>17250</v>
      </c>
      <c r="L2952" s="7" t="s">
        <v>18138</v>
      </c>
      <c r="M2952">
        <v>1152</v>
      </c>
      <c r="N2952">
        <v>9</v>
      </c>
      <c r="O2952">
        <v>7</v>
      </c>
      <c r="P2952">
        <v>2</v>
      </c>
      <c r="Q2952">
        <v>2</v>
      </c>
      <c r="R2952">
        <v>0</v>
      </c>
      <c r="S2952">
        <v>2</v>
      </c>
      <c r="T2952">
        <v>0</v>
      </c>
      <c r="U2952" t="s">
        <v>18139</v>
      </c>
      <c r="V2952">
        <f>Tabla1[[#This Row],[Aboard]]-Tabla1[[#This Row],[Fatalities]]</f>
        <v>7</v>
      </c>
      <c r="W2952" s="50">
        <f>IFERROR(Tabla1[[#This Row],[Fatalities]]/Tabla1[[#This Row],[Aboard]],0)</f>
        <v>0.22222222222222221</v>
      </c>
      <c r="X2952" s="51" t="str" cm="1">
        <f t="array" ref="X2952">_xlfn.IFS(Tabla1[[#This Row],[Porcentaje de muertes]]&lt;0.35,"LEVE",AND(Tabla1[[#This Row],[Porcentaje de muertes]]&gt;0.35,Tabla1[[#This Row],[Porcentaje de muertes]]&lt;0.65),"MEDIO",Tabla1[[#This Row],[Porcentaje de muertes]]&gt;0.65,"GRAVE")</f>
        <v>LEVE</v>
      </c>
    </row>
    <row r="2953" spans="2:24" x14ac:dyDescent="0.3">
      <c r="B2953" s="9">
        <v>2952</v>
      </c>
      <c r="C2953" s="49">
        <v>28600</v>
      </c>
      <c r="D2953" s="9">
        <f>YEAR(Tabla1[[#This Row],[Date]])</f>
        <v>1978</v>
      </c>
      <c r="E2953" s="9" t="str" cm="1">
        <f t="array" ref="E2953">IFERROR(_xlfn.IFS(AND(D2953&lt;1980,D2953&gt;=1970),"70",AND(D2953&lt;1990,D2953&gt;=1980),"80",AND(D2953&lt;2000,D2953&gt;=1990),"90",AND(D2953&lt;2010,D2953&gt;=2000),"00",AND(D2953&lt;=2019,D2953&gt;=2010),"10"),"1908-1970")</f>
        <v>70</v>
      </c>
      <c r="F2953" s="3">
        <v>0.92847222222222225</v>
      </c>
      <c r="G2953" t="s">
        <v>15762</v>
      </c>
      <c r="H2953" t="s">
        <v>16097</v>
      </c>
      <c r="I2953">
        <v>902</v>
      </c>
      <c r="J2953" t="s">
        <v>18140</v>
      </c>
      <c r="K2953" t="s">
        <v>14394</v>
      </c>
      <c r="L2953" s="7" t="s">
        <v>18141</v>
      </c>
      <c r="M2953" t="s">
        <v>18142</v>
      </c>
      <c r="N2953">
        <v>109</v>
      </c>
      <c r="O2953">
        <v>97</v>
      </c>
      <c r="P2953">
        <v>12</v>
      </c>
      <c r="Q2953">
        <v>2</v>
      </c>
      <c r="R2953">
        <v>2</v>
      </c>
      <c r="S2953">
        <v>0</v>
      </c>
      <c r="T2953">
        <v>0</v>
      </c>
      <c r="U2953" t="s">
        <v>18143</v>
      </c>
      <c r="V2953">
        <f>Tabla1[[#This Row],[Aboard]]-Tabla1[[#This Row],[Fatalities]]</f>
        <v>107</v>
      </c>
      <c r="W2953" s="50">
        <f>IFERROR(Tabla1[[#This Row],[Fatalities]]/Tabla1[[#This Row],[Aboard]],0)</f>
        <v>1.834862385321101E-2</v>
      </c>
      <c r="X2953" s="51" t="str" cm="1">
        <f t="array" ref="X2953">_xlfn.IFS(Tabla1[[#This Row],[Porcentaje de muertes]]&lt;0.35,"LEVE",AND(Tabla1[[#This Row],[Porcentaje de muertes]]&gt;0.35,Tabla1[[#This Row],[Porcentaje de muertes]]&lt;0.65),"MEDIO",Tabla1[[#This Row],[Porcentaje de muertes]]&gt;0.65,"GRAVE")</f>
        <v>LEVE</v>
      </c>
    </row>
    <row r="2954" spans="2:24" x14ac:dyDescent="0.3">
      <c r="B2954" s="9">
        <v>2953</v>
      </c>
      <c r="C2954" s="49">
        <v>28609</v>
      </c>
      <c r="D2954" s="9">
        <f>YEAR(Tabla1[[#This Row],[Date]])</f>
        <v>1978</v>
      </c>
      <c r="E2954" s="9" t="str" cm="1">
        <f t="array" ref="E2954">IFERROR(_xlfn.IFS(AND(D2954&lt;1980,D2954&gt;=1970),"70",AND(D2954&lt;1990,D2954&gt;=1980),"80",AND(D2954&lt;2000,D2954&gt;=1990),"90",AND(D2954&lt;2010,D2954&gt;=2000),"00",AND(D2954&lt;=2019,D2954&gt;=2010),"10"),"1908-1970")</f>
        <v>70</v>
      </c>
      <c r="F2954" s="3" t="s">
        <v>28931</v>
      </c>
      <c r="G2954" t="s">
        <v>10364</v>
      </c>
      <c r="H2954" t="s">
        <v>17540</v>
      </c>
      <c r="I2954" t="s">
        <v>28931</v>
      </c>
      <c r="J2954" t="s">
        <v>9668</v>
      </c>
      <c r="K2954" t="s">
        <v>11822</v>
      </c>
      <c r="L2954" s="7" t="s">
        <v>18144</v>
      </c>
      <c r="M2954" t="s">
        <v>18145</v>
      </c>
      <c r="N2954">
        <v>12</v>
      </c>
      <c r="O2954">
        <v>9</v>
      </c>
      <c r="P2954">
        <v>3</v>
      </c>
      <c r="Q2954">
        <v>8</v>
      </c>
      <c r="R2954">
        <v>5</v>
      </c>
      <c r="S2954">
        <v>3</v>
      </c>
      <c r="T2954">
        <v>0</v>
      </c>
      <c r="U2954" t="s">
        <v>18146</v>
      </c>
      <c r="V2954">
        <f>Tabla1[[#This Row],[Aboard]]-Tabla1[[#This Row],[Fatalities]]</f>
        <v>4</v>
      </c>
      <c r="W2954" s="50">
        <f>IFERROR(Tabla1[[#This Row],[Fatalities]]/Tabla1[[#This Row],[Aboard]],0)</f>
        <v>0.66666666666666663</v>
      </c>
      <c r="X2954" s="51" t="str" cm="1">
        <f t="array" ref="X2954">_xlfn.IFS(Tabla1[[#This Row],[Porcentaje de muertes]]&lt;0.35,"LEVE",AND(Tabla1[[#This Row],[Porcentaje de muertes]]&gt;0.35,Tabla1[[#This Row],[Porcentaje de muertes]]&lt;0.65),"MEDIO",Tabla1[[#This Row],[Porcentaje de muertes]]&gt;0.65,"GRAVE")</f>
        <v>GRAVE</v>
      </c>
    </row>
    <row r="2955" spans="2:24" x14ac:dyDescent="0.3">
      <c r="B2955" s="9">
        <v>2954</v>
      </c>
      <c r="C2955" s="49">
        <v>28707</v>
      </c>
      <c r="D2955" s="9">
        <f>YEAR(Tabla1[[#This Row],[Date]])</f>
        <v>1978</v>
      </c>
      <c r="E2955" s="9" t="str" cm="1">
        <f t="array" ref="E2955">IFERROR(_xlfn.IFS(AND(D2955&lt;1980,D2955&gt;=1970),"70",AND(D2955&lt;1990,D2955&gt;=1980),"80",AND(D2955&lt;2000,D2955&gt;=1990),"90",AND(D2955&lt;2010,D2955&gt;=2000),"00",AND(D2955&lt;=2019,D2955&gt;=2010),"10"),"1908-1970")</f>
        <v>70</v>
      </c>
      <c r="F2955" s="3">
        <v>0.88888888888888884</v>
      </c>
      <c r="G2955" t="s">
        <v>18147</v>
      </c>
      <c r="H2955" t="s">
        <v>8437</v>
      </c>
      <c r="I2955">
        <v>193</v>
      </c>
      <c r="J2955" t="s">
        <v>18148</v>
      </c>
      <c r="K2955" t="s">
        <v>18149</v>
      </c>
      <c r="L2955" s="7" t="s">
        <v>18150</v>
      </c>
      <c r="M2955">
        <v>19464</v>
      </c>
      <c r="N2955">
        <v>58</v>
      </c>
      <c r="O2955">
        <v>52</v>
      </c>
      <c r="P2955">
        <v>6</v>
      </c>
      <c r="Q2955">
        <v>3</v>
      </c>
      <c r="R2955">
        <v>3</v>
      </c>
      <c r="S2955">
        <v>0</v>
      </c>
      <c r="T2955">
        <v>0</v>
      </c>
      <c r="U2955" t="s">
        <v>18151</v>
      </c>
      <c r="V2955">
        <f>Tabla1[[#This Row],[Aboard]]-Tabla1[[#This Row],[Fatalities]]</f>
        <v>55</v>
      </c>
      <c r="W2955" s="50">
        <f>IFERROR(Tabla1[[#This Row],[Fatalities]]/Tabla1[[#This Row],[Aboard]],0)</f>
        <v>5.1724137931034482E-2</v>
      </c>
      <c r="X2955" s="51" t="str" cm="1">
        <f t="array" ref="X2955">_xlfn.IFS(Tabla1[[#This Row],[Porcentaje de muertes]]&lt;0.35,"LEVE",AND(Tabla1[[#This Row],[Porcentaje de muertes]]&gt;0.35,Tabla1[[#This Row],[Porcentaje de muertes]]&lt;0.65),"MEDIO",Tabla1[[#This Row],[Porcentaje de muertes]]&gt;0.65,"GRAVE")</f>
        <v>LEVE</v>
      </c>
    </row>
    <row r="2956" spans="2:24" x14ac:dyDescent="0.3">
      <c r="B2956" s="9">
        <v>2955</v>
      </c>
      <c r="C2956" s="49">
        <v>28629</v>
      </c>
      <c r="D2956" s="9">
        <f>YEAR(Tabla1[[#This Row],[Date]])</f>
        <v>1978</v>
      </c>
      <c r="E2956" s="9" t="str" cm="1">
        <f t="array" ref="E2956">IFERROR(_xlfn.IFS(AND(D2956&lt;1980,D2956&gt;=1970),"70",AND(D2956&lt;1990,D2956&gt;=1980),"80",AND(D2956&lt;2000,D2956&gt;=1990),"90",AND(D2956&lt;2010,D2956&gt;=2000),"00",AND(D2956&lt;=2019,D2956&gt;=2010),"10"),"1908-1970")</f>
        <v>70</v>
      </c>
      <c r="F2956" s="3">
        <v>0.56388888888888888</v>
      </c>
      <c r="G2956" t="s">
        <v>18152</v>
      </c>
      <c r="H2956" t="s">
        <v>6541</v>
      </c>
      <c r="I2956">
        <v>6709</v>
      </c>
      <c r="J2956" t="s">
        <v>18153</v>
      </c>
      <c r="K2956" t="s">
        <v>17443</v>
      </c>
      <c r="L2956" s="7" t="s">
        <v>18154</v>
      </c>
      <c r="M2956" t="s">
        <v>18155</v>
      </c>
      <c r="N2956">
        <v>134</v>
      </c>
      <c r="O2956">
        <v>126</v>
      </c>
      <c r="P2956">
        <v>8</v>
      </c>
      <c r="Q2956">
        <v>4</v>
      </c>
      <c r="R2956">
        <v>4</v>
      </c>
      <c r="S2956">
        <v>0</v>
      </c>
      <c r="T2956">
        <v>0</v>
      </c>
      <c r="U2956" t="s">
        <v>18156</v>
      </c>
      <c r="V2956">
        <f>Tabla1[[#This Row],[Aboard]]-Tabla1[[#This Row],[Fatalities]]</f>
        <v>130</v>
      </c>
      <c r="W2956" s="50">
        <f>IFERROR(Tabla1[[#This Row],[Fatalities]]/Tabla1[[#This Row],[Aboard]],0)</f>
        <v>2.9850746268656716E-2</v>
      </c>
      <c r="X2956" s="51" t="str" cm="1">
        <f t="array" ref="X2956">_xlfn.IFS(Tabla1[[#This Row],[Porcentaje de muertes]]&lt;0.35,"LEVE",AND(Tabla1[[#This Row],[Porcentaje de muertes]]&gt;0.35,Tabla1[[#This Row],[Porcentaje de muertes]]&lt;0.65),"MEDIO",Tabla1[[#This Row],[Porcentaje de muertes]]&gt;0.65,"GRAVE")</f>
        <v>LEVE</v>
      </c>
    </row>
    <row r="2957" spans="2:24" x14ac:dyDescent="0.3">
      <c r="B2957" s="9">
        <v>2956</v>
      </c>
      <c r="C2957" s="49">
        <v>28664</v>
      </c>
      <c r="D2957" s="9">
        <f>YEAR(Tabla1[[#This Row],[Date]])</f>
        <v>1978</v>
      </c>
      <c r="E2957" s="9" t="str" cm="1">
        <f t="array" ref="E2957">IFERROR(_xlfn.IFS(AND(D2957&lt;1980,D2957&gt;=1970),"70",AND(D2957&lt;1990,D2957&gt;=1980),"80",AND(D2957&lt;2000,D2957&gt;=1990),"90",AND(D2957&lt;2010,D2957&gt;=2000),"00",AND(D2957&lt;=2019,D2957&gt;=2010),"10"),"1908-1970")</f>
        <v>70</v>
      </c>
      <c r="F2957" s="3" t="s">
        <v>28931</v>
      </c>
      <c r="G2957" t="s">
        <v>18157</v>
      </c>
      <c r="H2957" t="s">
        <v>18158</v>
      </c>
      <c r="I2957" t="s">
        <v>28931</v>
      </c>
      <c r="J2957" t="s">
        <v>18159</v>
      </c>
      <c r="K2957" t="s">
        <v>18160</v>
      </c>
      <c r="L2957" s="7" t="s">
        <v>18161</v>
      </c>
      <c r="M2957" t="s">
        <v>18162</v>
      </c>
      <c r="N2957">
        <v>10</v>
      </c>
      <c r="O2957">
        <v>8</v>
      </c>
      <c r="P2957">
        <v>2</v>
      </c>
      <c r="Q2957">
        <v>10</v>
      </c>
      <c r="R2957">
        <v>8</v>
      </c>
      <c r="S2957">
        <v>2</v>
      </c>
      <c r="T2957">
        <v>0</v>
      </c>
      <c r="U2957" t="s">
        <v>18163</v>
      </c>
      <c r="V2957">
        <f>Tabla1[[#This Row],[Aboard]]-Tabla1[[#This Row],[Fatalities]]</f>
        <v>0</v>
      </c>
      <c r="W2957" s="50">
        <f>IFERROR(Tabla1[[#This Row],[Fatalities]]/Tabla1[[#This Row],[Aboard]],0)</f>
        <v>1</v>
      </c>
      <c r="X2957" s="51" t="str" cm="1">
        <f t="array" ref="X2957">_xlfn.IFS(Tabla1[[#This Row],[Porcentaje de muertes]]&lt;0.35,"LEVE",AND(Tabla1[[#This Row],[Porcentaje de muertes]]&gt;0.35,Tabla1[[#This Row],[Porcentaje de muertes]]&lt;0.65),"MEDIO",Tabla1[[#This Row],[Porcentaje de muertes]]&gt;0.65,"GRAVE")</f>
        <v>GRAVE</v>
      </c>
    </row>
    <row r="2958" spans="2:24" x14ac:dyDescent="0.3">
      <c r="B2958" s="9">
        <v>2957</v>
      </c>
      <c r="C2958" s="49">
        <v>28667</v>
      </c>
      <c r="D2958" s="9">
        <f>YEAR(Tabla1[[#This Row],[Date]])</f>
        <v>1978</v>
      </c>
      <c r="E2958" s="9" t="str" cm="1">
        <f t="array" ref="E2958">IFERROR(_xlfn.IFS(AND(D2958&lt;1980,D2958&gt;=1970),"70",AND(D2958&lt;1990,D2958&gt;=1980),"80",AND(D2958&lt;2000,D2958&gt;=1990),"90",AND(D2958&lt;2010,D2958&gt;=2000),"00",AND(D2958&lt;=2019,D2958&gt;=2010),"10"),"1908-1970")</f>
        <v>70</v>
      </c>
      <c r="F2958" s="3" t="s">
        <v>28931</v>
      </c>
      <c r="G2958" t="s">
        <v>18164</v>
      </c>
      <c r="H2958" t="s">
        <v>18165</v>
      </c>
      <c r="I2958" t="s">
        <v>28931</v>
      </c>
      <c r="J2958" t="s">
        <v>18166</v>
      </c>
      <c r="K2958" t="s">
        <v>18167</v>
      </c>
      <c r="L2958" s="7" t="s">
        <v>18168</v>
      </c>
      <c r="M2958" t="s">
        <v>28931</v>
      </c>
      <c r="N2958">
        <v>18</v>
      </c>
      <c r="O2958">
        <v>16</v>
      </c>
      <c r="P2958">
        <v>2</v>
      </c>
      <c r="Q2958">
        <v>18</v>
      </c>
      <c r="R2958">
        <v>16</v>
      </c>
      <c r="S2958">
        <v>2</v>
      </c>
      <c r="T2958">
        <v>0</v>
      </c>
      <c r="U2958" t="s">
        <v>18169</v>
      </c>
      <c r="V2958">
        <f>Tabla1[[#This Row],[Aboard]]-Tabla1[[#This Row],[Fatalities]]</f>
        <v>0</v>
      </c>
      <c r="W2958" s="50">
        <f>IFERROR(Tabla1[[#This Row],[Fatalities]]/Tabla1[[#This Row],[Aboard]],0)</f>
        <v>1</v>
      </c>
      <c r="X2958" s="51" t="str" cm="1">
        <f t="array" ref="X2958">_xlfn.IFS(Tabla1[[#This Row],[Porcentaje de muertes]]&lt;0.35,"LEVE",AND(Tabla1[[#This Row],[Porcentaje de muertes]]&gt;0.35,Tabla1[[#This Row],[Porcentaje de muertes]]&lt;0.65),"MEDIO",Tabla1[[#This Row],[Porcentaje de muertes]]&gt;0.65,"GRAVE")</f>
        <v>GRAVE</v>
      </c>
    </row>
    <row r="2959" spans="2:24" x14ac:dyDescent="0.3">
      <c r="B2959" s="9">
        <v>2958</v>
      </c>
      <c r="C2959" s="49">
        <v>28667</v>
      </c>
      <c r="D2959" s="9">
        <f>YEAR(Tabla1[[#This Row],[Date]])</f>
        <v>1978</v>
      </c>
      <c r="E2959" s="9" t="str" cm="1">
        <f t="array" ref="E2959">IFERROR(_xlfn.IFS(AND(D2959&lt;1980,D2959&gt;=1970),"70",AND(D2959&lt;1990,D2959&gt;=1980),"80",AND(D2959&lt;2000,D2959&gt;=1990),"90",AND(D2959&lt;2010,D2959&gt;=2000),"00",AND(D2959&lt;=2019,D2959&gt;=2010),"10"),"1908-1970")</f>
        <v>70</v>
      </c>
      <c r="F2959" s="3">
        <v>0.33888888888888885</v>
      </c>
      <c r="G2959" t="s">
        <v>15910</v>
      </c>
      <c r="H2959" t="s">
        <v>14947</v>
      </c>
      <c r="I2959">
        <v>189</v>
      </c>
      <c r="J2959" t="s">
        <v>7627</v>
      </c>
      <c r="K2959" t="s">
        <v>15468</v>
      </c>
      <c r="L2959" s="7" t="s">
        <v>18170</v>
      </c>
      <c r="M2959" t="s">
        <v>18171</v>
      </c>
      <c r="N2959">
        <v>107</v>
      </c>
      <c r="O2959">
        <v>102</v>
      </c>
      <c r="P2959">
        <v>5</v>
      </c>
      <c r="Q2959">
        <v>2</v>
      </c>
      <c r="R2959">
        <v>2</v>
      </c>
      <c r="S2959">
        <v>0</v>
      </c>
      <c r="T2959">
        <v>0</v>
      </c>
      <c r="U2959" t="s">
        <v>18172</v>
      </c>
      <c r="V2959">
        <f>Tabla1[[#This Row],[Aboard]]-Tabla1[[#This Row],[Fatalities]]</f>
        <v>105</v>
      </c>
      <c r="W2959" s="50">
        <f>IFERROR(Tabla1[[#This Row],[Fatalities]]/Tabla1[[#This Row],[Aboard]],0)</f>
        <v>1.8691588785046728E-2</v>
      </c>
      <c r="X2959" s="51" t="str" cm="1">
        <f t="array" ref="X2959">_xlfn.IFS(Tabla1[[#This Row],[Porcentaje de muertes]]&lt;0.35,"LEVE",AND(Tabla1[[#This Row],[Porcentaje de muertes]]&gt;0.35,Tabla1[[#This Row],[Porcentaje de muertes]]&lt;0.65),"MEDIO",Tabla1[[#This Row],[Porcentaje de muertes]]&gt;0.65,"GRAVE")</f>
        <v>LEVE</v>
      </c>
    </row>
    <row r="2960" spans="2:24" x14ac:dyDescent="0.3">
      <c r="B2960" s="9">
        <v>2959</v>
      </c>
      <c r="C2960" s="49">
        <v>28716</v>
      </c>
      <c r="D2960" s="9">
        <f>YEAR(Tabla1[[#This Row],[Date]])</f>
        <v>1978</v>
      </c>
      <c r="E2960" s="9" t="str" cm="1">
        <f t="array" ref="E2960">IFERROR(_xlfn.IFS(AND(D2960&lt;1980,D2960&gt;=1970),"70",AND(D2960&lt;1990,D2960&gt;=1980),"80",AND(D2960&lt;2000,D2960&gt;=1990),"90",AND(D2960&lt;2010,D2960&gt;=2000),"00",AND(D2960&lt;=2019,D2960&gt;=2010),"10"),"1908-1970")</f>
        <v>70</v>
      </c>
      <c r="F2960" s="3" t="s">
        <v>28931</v>
      </c>
      <c r="G2960" t="s">
        <v>18173</v>
      </c>
      <c r="H2960" t="s">
        <v>18174</v>
      </c>
      <c r="I2960" t="s">
        <v>28931</v>
      </c>
      <c r="J2960" t="s">
        <v>18175</v>
      </c>
      <c r="K2960" t="s">
        <v>8697</v>
      </c>
      <c r="L2960" s="7" t="s">
        <v>18176</v>
      </c>
      <c r="M2960">
        <v>22557</v>
      </c>
      <c r="N2960">
        <v>18</v>
      </c>
      <c r="O2960">
        <v>15</v>
      </c>
      <c r="P2960">
        <v>3</v>
      </c>
      <c r="Q2960">
        <v>18</v>
      </c>
      <c r="R2960">
        <v>15</v>
      </c>
      <c r="S2960">
        <v>3</v>
      </c>
      <c r="T2960">
        <v>0</v>
      </c>
      <c r="U2960" t="s">
        <v>18177</v>
      </c>
      <c r="V2960">
        <f>Tabla1[[#This Row],[Aboard]]-Tabla1[[#This Row],[Fatalities]]</f>
        <v>0</v>
      </c>
      <c r="W2960" s="50">
        <f>IFERROR(Tabla1[[#This Row],[Fatalities]]/Tabla1[[#This Row],[Aboard]],0)</f>
        <v>1</v>
      </c>
      <c r="X2960" s="51" t="str" cm="1">
        <f t="array" ref="X2960">_xlfn.IFS(Tabla1[[#This Row],[Porcentaje de muertes]]&lt;0.35,"LEVE",AND(Tabla1[[#This Row],[Porcentaje de muertes]]&gt;0.35,Tabla1[[#This Row],[Porcentaje de muertes]]&lt;0.65),"MEDIO",Tabla1[[#This Row],[Porcentaje de muertes]]&gt;0.65,"GRAVE")</f>
        <v>GRAVE</v>
      </c>
    </row>
    <row r="2961" spans="2:24" x14ac:dyDescent="0.3">
      <c r="B2961" s="9">
        <v>2960</v>
      </c>
      <c r="C2961" s="49">
        <v>28728</v>
      </c>
      <c r="D2961" s="9">
        <f>YEAR(Tabla1[[#This Row],[Date]])</f>
        <v>1978</v>
      </c>
      <c r="E2961" s="9" t="str" cm="1">
        <f t="array" ref="E2961">IFERROR(_xlfn.IFS(AND(D2961&lt;1980,D2961&gt;=1970),"70",AND(D2961&lt;1990,D2961&gt;=1980),"80",AND(D2961&lt;2000,D2961&gt;=1990),"90",AND(D2961&lt;2010,D2961&gt;=2000),"00",AND(D2961&lt;=2019,D2961&gt;=2010),"10"),"1908-1970")</f>
        <v>70</v>
      </c>
      <c r="F2961" s="3" t="s">
        <v>28931</v>
      </c>
      <c r="G2961" t="s">
        <v>18178</v>
      </c>
      <c r="H2961" t="s">
        <v>16549</v>
      </c>
      <c r="I2961" t="s">
        <v>28931</v>
      </c>
      <c r="J2961" t="s">
        <v>18179</v>
      </c>
      <c r="K2961" t="s">
        <v>16680</v>
      </c>
      <c r="L2961" s="7" t="s">
        <v>18180</v>
      </c>
      <c r="M2961">
        <v>541</v>
      </c>
      <c r="N2961">
        <v>14</v>
      </c>
      <c r="O2961">
        <v>11</v>
      </c>
      <c r="P2961">
        <v>3</v>
      </c>
      <c r="Q2961">
        <v>14</v>
      </c>
      <c r="R2961">
        <v>11</v>
      </c>
      <c r="S2961">
        <v>3</v>
      </c>
      <c r="T2961">
        <v>0</v>
      </c>
      <c r="U2961" t="s">
        <v>18181</v>
      </c>
      <c r="V2961">
        <f>Tabla1[[#This Row],[Aboard]]-Tabla1[[#This Row],[Fatalities]]</f>
        <v>0</v>
      </c>
      <c r="W2961" s="50">
        <f>IFERROR(Tabla1[[#This Row],[Fatalities]]/Tabla1[[#This Row],[Aboard]],0)</f>
        <v>1</v>
      </c>
      <c r="X2961" s="51" t="str" cm="1">
        <f t="array" ref="X2961">_xlfn.IFS(Tabla1[[#This Row],[Porcentaje de muertes]]&lt;0.35,"LEVE",AND(Tabla1[[#This Row],[Porcentaje de muertes]]&gt;0.35,Tabla1[[#This Row],[Porcentaje de muertes]]&lt;0.65),"MEDIO",Tabla1[[#This Row],[Porcentaje de muertes]]&gt;0.65,"GRAVE")</f>
        <v>GRAVE</v>
      </c>
    </row>
    <row r="2962" spans="2:24" x14ac:dyDescent="0.3">
      <c r="B2962" s="9">
        <v>2961</v>
      </c>
      <c r="C2962" s="49">
        <v>28732</v>
      </c>
      <c r="D2962" s="9">
        <f>YEAR(Tabla1[[#This Row],[Date]])</f>
        <v>1978</v>
      </c>
      <c r="E2962" s="9" t="str" cm="1">
        <f t="array" ref="E2962">IFERROR(_xlfn.IFS(AND(D2962&lt;1980,D2962&gt;=1970),"70",AND(D2962&lt;1990,D2962&gt;=1980),"80",AND(D2962&lt;2000,D2962&gt;=1990),"90",AND(D2962&lt;2010,D2962&gt;=2000),"00",AND(D2962&lt;=2019,D2962&gt;=2010),"10"),"1908-1970")</f>
        <v>70</v>
      </c>
      <c r="F2962" s="3">
        <v>0.32430555555555557</v>
      </c>
      <c r="G2962" t="s">
        <v>14225</v>
      </c>
      <c r="H2962" t="s">
        <v>18182</v>
      </c>
      <c r="I2962" t="s">
        <v>28931</v>
      </c>
      <c r="J2962" t="s">
        <v>18183</v>
      </c>
      <c r="K2962" t="s">
        <v>18184</v>
      </c>
      <c r="L2962" s="7" t="s">
        <v>18185</v>
      </c>
      <c r="M2962" t="s">
        <v>28931</v>
      </c>
      <c r="N2962">
        <v>10</v>
      </c>
      <c r="O2962">
        <v>9</v>
      </c>
      <c r="P2962">
        <v>1</v>
      </c>
      <c r="Q2962">
        <v>10</v>
      </c>
      <c r="R2962">
        <v>9</v>
      </c>
      <c r="S2962">
        <v>1</v>
      </c>
      <c r="T2962">
        <v>0</v>
      </c>
      <c r="U2962" t="s">
        <v>18186</v>
      </c>
      <c r="V2962">
        <f>Tabla1[[#This Row],[Aboard]]-Tabla1[[#This Row],[Fatalities]]</f>
        <v>0</v>
      </c>
      <c r="W2962" s="50">
        <f>IFERROR(Tabla1[[#This Row],[Fatalities]]/Tabla1[[#This Row],[Aboard]],0)</f>
        <v>1</v>
      </c>
      <c r="X2962" s="51" t="str" cm="1">
        <f t="array" ref="X2962">_xlfn.IFS(Tabla1[[#This Row],[Porcentaje de muertes]]&lt;0.35,"LEVE",AND(Tabla1[[#This Row],[Porcentaje de muertes]]&gt;0.35,Tabla1[[#This Row],[Porcentaje de muertes]]&lt;0.65),"MEDIO",Tabla1[[#This Row],[Porcentaje de muertes]]&gt;0.65,"GRAVE")</f>
        <v>GRAVE</v>
      </c>
    </row>
    <row r="2963" spans="2:24" x14ac:dyDescent="0.3">
      <c r="B2963" s="9">
        <v>2962</v>
      </c>
      <c r="C2963" s="49">
        <v>28558</v>
      </c>
      <c r="D2963" s="9">
        <f>YEAR(Tabla1[[#This Row],[Date]])</f>
        <v>1978</v>
      </c>
      <c r="E2963" s="9" t="str" cm="1">
        <f t="array" ref="E2963">IFERROR(_xlfn.IFS(AND(D2963&lt;1980,D2963&gt;=1970),"70",AND(D2963&lt;1990,D2963&gt;=1980),"80",AND(D2963&lt;2000,D2963&gt;=1990),"90",AND(D2963&lt;2010,D2963&gt;=2000),"00",AND(D2963&lt;=2019,D2963&gt;=2010),"10"),"1908-1970")</f>
        <v>70</v>
      </c>
      <c r="F2963" s="3" t="s">
        <v>28931</v>
      </c>
      <c r="G2963" t="s">
        <v>18187</v>
      </c>
      <c r="H2963" t="s">
        <v>18188</v>
      </c>
      <c r="I2963" t="s">
        <v>28931</v>
      </c>
      <c r="J2963" t="s">
        <v>18189</v>
      </c>
      <c r="K2963" t="s">
        <v>12828</v>
      </c>
      <c r="L2963" s="7" t="s">
        <v>18190</v>
      </c>
      <c r="M2963">
        <v>187009803</v>
      </c>
      <c r="N2963">
        <v>17</v>
      </c>
      <c r="O2963">
        <v>9</v>
      </c>
      <c r="P2963">
        <v>8</v>
      </c>
      <c r="Q2963">
        <v>15</v>
      </c>
      <c r="R2963">
        <v>8</v>
      </c>
      <c r="S2963">
        <v>7</v>
      </c>
      <c r="T2963">
        <v>0</v>
      </c>
      <c r="U2963" t="s">
        <v>18191</v>
      </c>
      <c r="V2963">
        <f>Tabla1[[#This Row],[Aboard]]-Tabla1[[#This Row],[Fatalities]]</f>
        <v>2</v>
      </c>
      <c r="W2963" s="50">
        <f>IFERROR(Tabla1[[#This Row],[Fatalities]]/Tabla1[[#This Row],[Aboard]],0)</f>
        <v>0.88235294117647056</v>
      </c>
      <c r="X2963" s="51" t="str" cm="1">
        <f t="array" ref="X2963">_xlfn.IFS(Tabla1[[#This Row],[Porcentaje de muertes]]&lt;0.35,"LEVE",AND(Tabla1[[#This Row],[Porcentaje de muertes]]&gt;0.35,Tabla1[[#This Row],[Porcentaje de muertes]]&lt;0.65),"MEDIO",Tabla1[[#This Row],[Porcentaje de muertes]]&gt;0.65,"GRAVE")</f>
        <v>GRAVE</v>
      </c>
    </row>
    <row r="2964" spans="2:24" x14ac:dyDescent="0.3">
      <c r="B2964" s="9">
        <v>2963</v>
      </c>
      <c r="C2964" s="49">
        <v>28558</v>
      </c>
      <c r="D2964" s="9">
        <f>YEAR(Tabla1[[#This Row],[Date]])</f>
        <v>1978</v>
      </c>
      <c r="E2964" s="9" t="str" cm="1">
        <f t="array" ref="E2964">IFERROR(_xlfn.IFS(AND(D2964&lt;1980,D2964&gt;=1970),"70",AND(D2964&lt;1990,D2964&gt;=1980),"80",AND(D2964&lt;2000,D2964&gt;=1990),"90",AND(D2964&lt;2010,D2964&gt;=2000),"00",AND(D2964&lt;=2019,D2964&gt;=2010),"10"),"1908-1970")</f>
        <v>70</v>
      </c>
      <c r="F2964" s="3" t="s">
        <v>28931</v>
      </c>
      <c r="G2964" t="s">
        <v>18192</v>
      </c>
      <c r="H2964" t="s">
        <v>18193</v>
      </c>
      <c r="I2964" t="s">
        <v>28931</v>
      </c>
      <c r="J2964" t="s">
        <v>18194</v>
      </c>
      <c r="K2964" t="s">
        <v>18195</v>
      </c>
      <c r="L2964" s="7" t="s">
        <v>18196</v>
      </c>
      <c r="M2964">
        <v>215</v>
      </c>
      <c r="N2964">
        <v>13</v>
      </c>
      <c r="O2964">
        <v>11</v>
      </c>
      <c r="P2964">
        <v>2</v>
      </c>
      <c r="Q2964">
        <v>11</v>
      </c>
      <c r="R2964">
        <v>9</v>
      </c>
      <c r="S2964">
        <v>2</v>
      </c>
      <c r="T2964">
        <v>0</v>
      </c>
      <c r="U2964" t="s">
        <v>18197</v>
      </c>
      <c r="V2964">
        <f>Tabla1[[#This Row],[Aboard]]-Tabla1[[#This Row],[Fatalities]]</f>
        <v>2</v>
      </c>
      <c r="W2964" s="50">
        <f>IFERROR(Tabla1[[#This Row],[Fatalities]]/Tabla1[[#This Row],[Aboard]],0)</f>
        <v>0.84615384615384615</v>
      </c>
      <c r="X2964" s="51" t="str" cm="1">
        <f t="array" ref="X2964">_xlfn.IFS(Tabla1[[#This Row],[Porcentaje de muertes]]&lt;0.35,"LEVE",AND(Tabla1[[#This Row],[Porcentaje de muertes]]&gt;0.35,Tabla1[[#This Row],[Porcentaje de muertes]]&lt;0.65),"MEDIO",Tabla1[[#This Row],[Porcentaje de muertes]]&gt;0.65,"GRAVE")</f>
        <v>GRAVE</v>
      </c>
    </row>
    <row r="2965" spans="2:24" x14ac:dyDescent="0.3">
      <c r="B2965" s="9">
        <v>2964</v>
      </c>
      <c r="C2965" s="49">
        <v>28558</v>
      </c>
      <c r="D2965" s="9">
        <f>YEAR(Tabla1[[#This Row],[Date]])</f>
        <v>1978</v>
      </c>
      <c r="E2965" s="9" t="str" cm="1">
        <f t="array" ref="E2965">IFERROR(_xlfn.IFS(AND(D2965&lt;1980,D2965&gt;=1970),"70",AND(D2965&lt;1990,D2965&gt;=1980),"80",AND(D2965&lt;2000,D2965&gt;=1990),"90",AND(D2965&lt;2010,D2965&gt;=2000),"00",AND(D2965&lt;=2019,D2965&gt;=2010),"10"),"1908-1970")</f>
        <v>70</v>
      </c>
      <c r="F2965" s="3">
        <v>0.72916666666666663</v>
      </c>
      <c r="G2965" t="s">
        <v>18198</v>
      </c>
      <c r="H2965" t="s">
        <v>18199</v>
      </c>
      <c r="I2965">
        <v>825</v>
      </c>
      <c r="J2965" t="s">
        <v>18200</v>
      </c>
      <c r="K2965" t="s">
        <v>18201</v>
      </c>
      <c r="L2965" s="7" t="s">
        <v>18202</v>
      </c>
      <c r="M2965">
        <v>297</v>
      </c>
      <c r="N2965">
        <v>56</v>
      </c>
      <c r="O2965">
        <v>52</v>
      </c>
      <c r="P2965">
        <v>4</v>
      </c>
      <c r="Q2965">
        <v>38</v>
      </c>
      <c r="R2965">
        <v>34</v>
      </c>
      <c r="S2965">
        <v>4</v>
      </c>
      <c r="T2965">
        <v>0</v>
      </c>
      <c r="U2965" t="s">
        <v>18203</v>
      </c>
      <c r="V2965">
        <f>Tabla1[[#This Row],[Aboard]]-Tabla1[[#This Row],[Fatalities]]</f>
        <v>18</v>
      </c>
      <c r="W2965" s="50">
        <f>IFERROR(Tabla1[[#This Row],[Fatalities]]/Tabla1[[#This Row],[Aboard]],0)</f>
        <v>0.6785714285714286</v>
      </c>
      <c r="X2965" s="51" t="str" cm="1">
        <f t="array" ref="X2965">_xlfn.IFS(Tabla1[[#This Row],[Porcentaje de muertes]]&lt;0.35,"LEVE",AND(Tabla1[[#This Row],[Porcentaje de muertes]]&gt;0.35,Tabla1[[#This Row],[Porcentaje de muertes]]&lt;0.65),"MEDIO",Tabla1[[#This Row],[Porcentaje de muertes]]&gt;0.65,"GRAVE")</f>
        <v>GRAVE</v>
      </c>
    </row>
    <row r="2966" spans="2:24" x14ac:dyDescent="0.3">
      <c r="B2966" s="9">
        <v>2965</v>
      </c>
      <c r="C2966" s="49">
        <v>28742</v>
      </c>
      <c r="D2966" s="9">
        <f>YEAR(Tabla1[[#This Row],[Date]])</f>
        <v>1978</v>
      </c>
      <c r="E2966" s="9" t="str" cm="1">
        <f t="array" ref="E2966">IFERROR(_xlfn.IFS(AND(D2966&lt;1980,D2966&gt;=1970),"70",AND(D2966&lt;1990,D2966&gt;=1980),"80",AND(D2966&lt;2000,D2966&gt;=1990),"90",AND(D2966&lt;2010,D2966&gt;=2000),"00",AND(D2966&lt;=2019,D2966&gt;=2010),"10"),"1908-1970")</f>
        <v>70</v>
      </c>
      <c r="F2966" s="3">
        <v>0.61597222222222225</v>
      </c>
      <c r="G2966" t="s">
        <v>18204</v>
      </c>
      <c r="H2966" t="s">
        <v>18205</v>
      </c>
      <c r="I2966" t="s">
        <v>28931</v>
      </c>
      <c r="J2966" t="s">
        <v>18206</v>
      </c>
      <c r="K2966" t="s">
        <v>18207</v>
      </c>
      <c r="L2966" s="7" t="s">
        <v>18208</v>
      </c>
      <c r="M2966" t="s">
        <v>28931</v>
      </c>
      <c r="N2966">
        <v>3</v>
      </c>
      <c r="O2966">
        <v>2</v>
      </c>
      <c r="P2966">
        <v>1</v>
      </c>
      <c r="Q2966">
        <v>3</v>
      </c>
      <c r="R2966">
        <v>2</v>
      </c>
      <c r="S2966">
        <v>1</v>
      </c>
      <c r="T2966">
        <v>0</v>
      </c>
      <c r="U2966" t="s">
        <v>18209</v>
      </c>
      <c r="V2966">
        <f>Tabla1[[#This Row],[Aboard]]-Tabla1[[#This Row],[Fatalities]]</f>
        <v>0</v>
      </c>
      <c r="W2966" s="50">
        <f>IFERROR(Tabla1[[#This Row],[Fatalities]]/Tabla1[[#This Row],[Aboard]],0)</f>
        <v>1</v>
      </c>
      <c r="X2966" s="51" t="str" cm="1">
        <f t="array" ref="X2966">_xlfn.IFS(Tabla1[[#This Row],[Porcentaje de muertes]]&lt;0.35,"LEVE",AND(Tabla1[[#This Row],[Porcentaje de muertes]]&gt;0.35,Tabla1[[#This Row],[Porcentaje de muertes]]&lt;0.65),"MEDIO",Tabla1[[#This Row],[Porcentaje de muertes]]&gt;0.65,"GRAVE")</f>
        <v>GRAVE</v>
      </c>
    </row>
    <row r="2967" spans="2:24" x14ac:dyDescent="0.3">
      <c r="B2967" s="9">
        <v>2966</v>
      </c>
      <c r="C2967" s="49">
        <v>28742</v>
      </c>
      <c r="D2967" s="9">
        <f>YEAR(Tabla1[[#This Row],[Date]])</f>
        <v>1978</v>
      </c>
      <c r="E2967" s="9" t="str" cm="1">
        <f t="array" ref="E2967">IFERROR(_xlfn.IFS(AND(D2967&lt;1980,D2967&gt;=1970),"70",AND(D2967&lt;1990,D2967&gt;=1980),"80",AND(D2967&lt;2000,D2967&gt;=1990),"90",AND(D2967&lt;2010,D2967&gt;=2000),"00",AND(D2967&lt;=2019,D2967&gt;=2010),"10"),"1908-1970")</f>
        <v>70</v>
      </c>
      <c r="F2967" s="3" t="s">
        <v>28931</v>
      </c>
      <c r="G2967" t="s">
        <v>14837</v>
      </c>
      <c r="H2967" t="s">
        <v>18210</v>
      </c>
      <c r="I2967" t="s">
        <v>28931</v>
      </c>
      <c r="J2967" t="s">
        <v>18211</v>
      </c>
      <c r="K2967" t="s">
        <v>14888</v>
      </c>
      <c r="L2967" s="7" t="s">
        <v>18212</v>
      </c>
      <c r="M2967">
        <v>18</v>
      </c>
      <c r="N2967">
        <v>21</v>
      </c>
      <c r="O2967">
        <v>19</v>
      </c>
      <c r="P2967">
        <v>2</v>
      </c>
      <c r="Q2967">
        <v>18</v>
      </c>
      <c r="R2967">
        <v>17</v>
      </c>
      <c r="S2967">
        <v>1</v>
      </c>
      <c r="T2967">
        <v>0</v>
      </c>
      <c r="U2967" t="s">
        <v>10072</v>
      </c>
      <c r="V2967">
        <f>Tabla1[[#This Row],[Aboard]]-Tabla1[[#This Row],[Fatalities]]</f>
        <v>3</v>
      </c>
      <c r="W2967" s="50">
        <f>IFERROR(Tabla1[[#This Row],[Fatalities]]/Tabla1[[#This Row],[Aboard]],0)</f>
        <v>0.8571428571428571</v>
      </c>
      <c r="X2967" s="51" t="str" cm="1">
        <f t="array" ref="X2967">_xlfn.IFS(Tabla1[[#This Row],[Porcentaje de muertes]]&lt;0.35,"LEVE",AND(Tabla1[[#This Row],[Porcentaje de muertes]]&gt;0.35,Tabla1[[#This Row],[Porcentaje de muertes]]&lt;0.65),"MEDIO",Tabla1[[#This Row],[Porcentaje de muertes]]&gt;0.65,"GRAVE")</f>
        <v>GRAVE</v>
      </c>
    </row>
    <row r="2968" spans="2:24" x14ac:dyDescent="0.3">
      <c r="B2968" s="9">
        <v>2967</v>
      </c>
      <c r="C2968" s="49">
        <v>28746</v>
      </c>
      <c r="D2968" s="9">
        <f>YEAR(Tabla1[[#This Row],[Date]])</f>
        <v>1978</v>
      </c>
      <c r="E2968" s="9" t="str" cm="1">
        <f t="array" ref="E2968">IFERROR(_xlfn.IFS(AND(D2968&lt;1980,D2968&gt;=1970),"70",AND(D2968&lt;1990,D2968&gt;=1980),"80",AND(D2968&lt;2000,D2968&gt;=1990),"90",AND(D2968&lt;2010,D2968&gt;=2000),"00",AND(D2968&lt;=2019,D2968&gt;=2010),"10"),"1908-1970")</f>
        <v>70</v>
      </c>
      <c r="F2968" s="3">
        <v>0.47916666666666669</v>
      </c>
      <c r="G2968" t="s">
        <v>18213</v>
      </c>
      <c r="H2968" t="s">
        <v>18214</v>
      </c>
      <c r="I2968" t="s">
        <v>28931</v>
      </c>
      <c r="J2968" t="s">
        <v>18215</v>
      </c>
      <c r="K2968" t="s">
        <v>18216</v>
      </c>
      <c r="L2968" s="7" t="s">
        <v>18217</v>
      </c>
      <c r="M2968">
        <v>269</v>
      </c>
      <c r="N2968">
        <v>6</v>
      </c>
      <c r="O2968">
        <v>5</v>
      </c>
      <c r="P2968">
        <v>1</v>
      </c>
      <c r="Q2968">
        <v>6</v>
      </c>
      <c r="R2968">
        <v>5</v>
      </c>
      <c r="S2968">
        <v>1</v>
      </c>
      <c r="T2968">
        <v>0</v>
      </c>
      <c r="U2968" t="s">
        <v>18218</v>
      </c>
      <c r="V2968">
        <f>Tabla1[[#This Row],[Aboard]]-Tabla1[[#This Row],[Fatalities]]</f>
        <v>0</v>
      </c>
      <c r="W2968" s="50">
        <f>IFERROR(Tabla1[[#This Row],[Fatalities]]/Tabla1[[#This Row],[Aboard]],0)</f>
        <v>1</v>
      </c>
      <c r="X2968" s="51" t="str" cm="1">
        <f t="array" ref="X2968">_xlfn.IFS(Tabla1[[#This Row],[Porcentaje de muertes]]&lt;0.35,"LEVE",AND(Tabla1[[#This Row],[Porcentaje de muertes]]&gt;0.35,Tabla1[[#This Row],[Porcentaje de muertes]]&lt;0.65),"MEDIO",Tabla1[[#This Row],[Porcentaje de muertes]]&gt;0.65,"GRAVE")</f>
        <v>GRAVE</v>
      </c>
    </row>
    <row r="2969" spans="2:24" x14ac:dyDescent="0.3">
      <c r="B2969" s="9">
        <v>2968</v>
      </c>
      <c r="C2969" s="49">
        <v>28747</v>
      </c>
      <c r="D2969" s="9">
        <f>YEAR(Tabla1[[#This Row],[Date]])</f>
        <v>1978</v>
      </c>
      <c r="E2969" s="9" t="str" cm="1">
        <f t="array" ref="E2969">IFERROR(_xlfn.IFS(AND(D2969&lt;1980,D2969&gt;=1970),"70",AND(D2969&lt;1990,D2969&gt;=1980),"80",AND(D2969&lt;2000,D2969&gt;=1990),"90",AND(D2969&lt;2010,D2969&gt;=2000),"00",AND(D2969&lt;=2019,D2969&gt;=2010),"10"),"1908-1970")</f>
        <v>70</v>
      </c>
      <c r="F2969" s="3">
        <v>0.61805555555555558</v>
      </c>
      <c r="G2969" t="s">
        <v>18219</v>
      </c>
      <c r="H2969" t="s">
        <v>18220</v>
      </c>
      <c r="I2969" t="s">
        <v>28931</v>
      </c>
      <c r="J2969" t="s">
        <v>18221</v>
      </c>
      <c r="K2969" t="s">
        <v>14481</v>
      </c>
      <c r="L2969" s="7" t="s">
        <v>18222</v>
      </c>
      <c r="M2969">
        <v>10328</v>
      </c>
      <c r="N2969">
        <v>28</v>
      </c>
      <c r="O2969">
        <v>24</v>
      </c>
      <c r="P2969">
        <v>4</v>
      </c>
      <c r="Q2969">
        <v>21</v>
      </c>
      <c r="R2969">
        <v>17</v>
      </c>
      <c r="S2969">
        <v>4</v>
      </c>
      <c r="T2969">
        <v>12</v>
      </c>
      <c r="U2969" t="s">
        <v>18223</v>
      </c>
      <c r="V2969">
        <f>Tabla1[[#This Row],[Aboard]]-Tabla1[[#This Row],[Fatalities]]</f>
        <v>7</v>
      </c>
      <c r="W2969" s="50">
        <f>IFERROR(Tabla1[[#This Row],[Fatalities]]/Tabla1[[#This Row],[Aboard]],0)</f>
        <v>0.75</v>
      </c>
      <c r="X2969" s="51" t="str" cm="1">
        <f t="array" ref="X2969">_xlfn.IFS(Tabla1[[#This Row],[Porcentaje de muertes]]&lt;0.35,"LEVE",AND(Tabla1[[#This Row],[Porcentaje de muertes]]&gt;0.35,Tabla1[[#This Row],[Porcentaje de muertes]]&lt;0.65),"MEDIO",Tabla1[[#This Row],[Porcentaje de muertes]]&gt;0.65,"GRAVE")</f>
        <v>GRAVE</v>
      </c>
    </row>
    <row r="2970" spans="2:24" x14ac:dyDescent="0.3">
      <c r="B2970" s="9">
        <v>2969</v>
      </c>
      <c r="C2970" s="49">
        <v>28758</v>
      </c>
      <c r="D2970" s="9">
        <f>YEAR(Tabla1[[#This Row],[Date]])</f>
        <v>1978</v>
      </c>
      <c r="E2970" s="9" t="str" cm="1">
        <f t="array" ref="E2970">IFERROR(_xlfn.IFS(AND(D2970&lt;1980,D2970&gt;=1970),"70",AND(D2970&lt;1990,D2970&gt;=1980),"80",AND(D2970&lt;2000,D2970&gt;=1990),"90",AND(D2970&lt;2010,D2970&gt;=2000),"00",AND(D2970&lt;=2019,D2970&gt;=2010),"10"),"1908-1970")</f>
        <v>70</v>
      </c>
      <c r="F2970" s="3">
        <v>0.37638888888888888</v>
      </c>
      <c r="G2970" t="s">
        <v>5732</v>
      </c>
      <c r="H2970" t="s">
        <v>18224</v>
      </c>
      <c r="I2970">
        <v>182</v>
      </c>
      <c r="J2970" t="s">
        <v>18225</v>
      </c>
      <c r="K2970" t="s">
        <v>18226</v>
      </c>
      <c r="L2970" s="7" t="s">
        <v>18227</v>
      </c>
      <c r="M2970" t="s">
        <v>18228</v>
      </c>
      <c r="N2970">
        <v>137</v>
      </c>
      <c r="O2970">
        <v>128</v>
      </c>
      <c r="P2970">
        <v>9</v>
      </c>
      <c r="Q2970">
        <v>137</v>
      </c>
      <c r="R2970">
        <v>128</v>
      </c>
      <c r="S2970">
        <v>9</v>
      </c>
      <c r="T2970">
        <v>7</v>
      </c>
      <c r="U2970" t="s">
        <v>18229</v>
      </c>
      <c r="V2970">
        <f>Tabla1[[#This Row],[Aboard]]-Tabla1[[#This Row],[Fatalities]]</f>
        <v>0</v>
      </c>
      <c r="W2970" s="50">
        <f>IFERROR(Tabla1[[#This Row],[Fatalities]]/Tabla1[[#This Row],[Aboard]],0)</f>
        <v>1</v>
      </c>
      <c r="X2970" s="51" t="str" cm="1">
        <f t="array" ref="X2970">_xlfn.IFS(Tabla1[[#This Row],[Porcentaje de muertes]]&lt;0.35,"LEVE",AND(Tabla1[[#This Row],[Porcentaje de muertes]]&gt;0.35,Tabla1[[#This Row],[Porcentaje de muertes]]&lt;0.65),"MEDIO",Tabla1[[#This Row],[Porcentaje de muertes]]&gt;0.65,"GRAVE")</f>
        <v>GRAVE</v>
      </c>
    </row>
    <row r="2971" spans="2:24" x14ac:dyDescent="0.3">
      <c r="B2971" s="9">
        <v>2970</v>
      </c>
      <c r="C2971" s="49">
        <v>28559</v>
      </c>
      <c r="D2971" s="9">
        <f>YEAR(Tabla1[[#This Row],[Date]])</f>
        <v>1978</v>
      </c>
      <c r="E2971" s="9" t="str" cm="1">
        <f t="array" ref="E2971">IFERROR(_xlfn.IFS(AND(D2971&lt;1980,D2971&gt;=1970),"70",AND(D2971&lt;1990,D2971&gt;=1980),"80",AND(D2971&lt;2000,D2971&gt;=1990),"90",AND(D2971&lt;2010,D2971&gt;=2000),"00",AND(D2971&lt;=2019,D2971&gt;=2010),"10"),"1908-1970")</f>
        <v>70</v>
      </c>
      <c r="F2971" s="3" t="s">
        <v>28931</v>
      </c>
      <c r="G2971" t="s">
        <v>18230</v>
      </c>
      <c r="H2971" t="s">
        <v>18231</v>
      </c>
      <c r="I2971" t="s">
        <v>28931</v>
      </c>
      <c r="J2971" t="s">
        <v>18232</v>
      </c>
      <c r="K2971" t="s">
        <v>8957</v>
      </c>
      <c r="L2971" s="7" t="s">
        <v>18233</v>
      </c>
      <c r="M2971">
        <v>12050</v>
      </c>
      <c r="N2971">
        <v>15</v>
      </c>
      <c r="O2971">
        <v>12</v>
      </c>
      <c r="P2971">
        <v>3</v>
      </c>
      <c r="Q2971">
        <v>15</v>
      </c>
      <c r="R2971">
        <v>12</v>
      </c>
      <c r="S2971">
        <v>3</v>
      </c>
      <c r="T2971">
        <v>0</v>
      </c>
      <c r="U2971" t="s">
        <v>18234</v>
      </c>
      <c r="V2971">
        <f>Tabla1[[#This Row],[Aboard]]-Tabla1[[#This Row],[Fatalities]]</f>
        <v>0</v>
      </c>
      <c r="W2971" s="50">
        <f>IFERROR(Tabla1[[#This Row],[Fatalities]]/Tabla1[[#This Row],[Aboard]],0)</f>
        <v>1</v>
      </c>
      <c r="X2971" s="51" t="str" cm="1">
        <f t="array" ref="X2971">_xlfn.IFS(Tabla1[[#This Row],[Porcentaje de muertes]]&lt;0.35,"LEVE",AND(Tabla1[[#This Row],[Porcentaje de muertes]]&gt;0.35,Tabla1[[#This Row],[Porcentaje de muertes]]&lt;0.65),"MEDIO",Tabla1[[#This Row],[Porcentaje de muertes]]&gt;0.65,"GRAVE")</f>
        <v>GRAVE</v>
      </c>
    </row>
    <row r="2972" spans="2:24" x14ac:dyDescent="0.3">
      <c r="B2972" s="9">
        <v>2971</v>
      </c>
      <c r="C2972" s="49">
        <v>28559</v>
      </c>
      <c r="D2972" s="9">
        <f>YEAR(Tabla1[[#This Row],[Date]])</f>
        <v>1978</v>
      </c>
      <c r="E2972" s="9" t="str" cm="1">
        <f t="array" ref="E2972">IFERROR(_xlfn.IFS(AND(D2972&lt;1980,D2972&gt;=1970),"70",AND(D2972&lt;1990,D2972&gt;=1980),"80",AND(D2972&lt;2000,D2972&gt;=1990),"90",AND(D2972&lt;2010,D2972&gt;=2000),"00",AND(D2972&lt;=2019,D2972&gt;=2010),"10"),"1908-1970")</f>
        <v>70</v>
      </c>
      <c r="F2972" s="3" t="s">
        <v>28931</v>
      </c>
      <c r="G2972" t="s">
        <v>18235</v>
      </c>
      <c r="H2972" t="s">
        <v>16549</v>
      </c>
      <c r="I2972" t="s">
        <v>28931</v>
      </c>
      <c r="J2972" t="s">
        <v>28931</v>
      </c>
      <c r="K2972" t="s">
        <v>15526</v>
      </c>
      <c r="L2972" s="7" t="s">
        <v>18236</v>
      </c>
      <c r="M2972">
        <v>10572</v>
      </c>
      <c r="N2972">
        <v>44</v>
      </c>
      <c r="O2972">
        <v>40</v>
      </c>
      <c r="P2972">
        <v>4</v>
      </c>
      <c r="Q2972">
        <v>2</v>
      </c>
      <c r="R2972">
        <v>1</v>
      </c>
      <c r="S2972">
        <v>1</v>
      </c>
      <c r="T2972">
        <v>0</v>
      </c>
      <c r="U2972" t="s">
        <v>18237</v>
      </c>
      <c r="V2972">
        <f>Tabla1[[#This Row],[Aboard]]-Tabla1[[#This Row],[Fatalities]]</f>
        <v>42</v>
      </c>
      <c r="W2972" s="50">
        <f>IFERROR(Tabla1[[#This Row],[Fatalities]]/Tabla1[[#This Row],[Aboard]],0)</f>
        <v>4.5454545454545456E-2</v>
      </c>
      <c r="X2972" s="51" t="str" cm="1">
        <f t="array" ref="X2972">_xlfn.IFS(Tabla1[[#This Row],[Porcentaje de muertes]]&lt;0.35,"LEVE",AND(Tabla1[[#This Row],[Porcentaje de muertes]]&gt;0.35,Tabla1[[#This Row],[Porcentaje de muertes]]&lt;0.65),"MEDIO",Tabla1[[#This Row],[Porcentaje de muertes]]&gt;0.65,"GRAVE")</f>
        <v>LEVE</v>
      </c>
    </row>
    <row r="2973" spans="2:24" x14ac:dyDescent="0.3">
      <c r="B2973" s="9">
        <v>2972</v>
      </c>
      <c r="C2973" s="49">
        <v>28651</v>
      </c>
      <c r="D2973" s="9">
        <f>YEAR(Tabla1[[#This Row],[Date]])</f>
        <v>1978</v>
      </c>
      <c r="E2973" s="9" t="str" cm="1">
        <f t="array" ref="E2973">IFERROR(_xlfn.IFS(AND(D2973&lt;1980,D2973&gt;=1970),"70",AND(D2973&lt;1990,D2973&gt;=1980),"80",AND(D2973&lt;2000,D2973&gt;=1990),"90",AND(D2973&lt;2010,D2973&gt;=2000),"00",AND(D2973&lt;=2019,D2973&gt;=2010),"10"),"1908-1970")</f>
        <v>70</v>
      </c>
      <c r="F2973" s="3" t="s">
        <v>28931</v>
      </c>
      <c r="G2973" t="s">
        <v>18238</v>
      </c>
      <c r="H2973" t="s">
        <v>7957</v>
      </c>
      <c r="I2973" t="s">
        <v>28931</v>
      </c>
      <c r="J2973" t="s">
        <v>18239</v>
      </c>
      <c r="K2973" t="s">
        <v>18240</v>
      </c>
      <c r="L2973" s="7">
        <v>131618</v>
      </c>
      <c r="M2973" t="s">
        <v>18241</v>
      </c>
      <c r="N2973">
        <v>18</v>
      </c>
      <c r="O2973" t="s">
        <v>5038</v>
      </c>
      <c r="P2973" t="s">
        <v>5038</v>
      </c>
      <c r="Q2973">
        <v>18</v>
      </c>
      <c r="R2973" t="s">
        <v>5038</v>
      </c>
      <c r="S2973" t="s">
        <v>5038</v>
      </c>
      <c r="T2973" t="s">
        <v>5038</v>
      </c>
      <c r="U2973" t="s">
        <v>18242</v>
      </c>
      <c r="V2973">
        <f>Tabla1[[#This Row],[Aboard]]-Tabla1[[#This Row],[Fatalities]]</f>
        <v>0</v>
      </c>
      <c r="W2973" s="50">
        <f>IFERROR(Tabla1[[#This Row],[Fatalities]]/Tabla1[[#This Row],[Aboard]],0)</f>
        <v>1</v>
      </c>
      <c r="X2973" s="51" t="str" cm="1">
        <f t="array" ref="X2973">_xlfn.IFS(Tabla1[[#This Row],[Porcentaje de muertes]]&lt;0.35,"LEVE",AND(Tabla1[[#This Row],[Porcentaje de muertes]]&gt;0.35,Tabla1[[#This Row],[Porcentaje de muertes]]&lt;0.65),"MEDIO",Tabla1[[#This Row],[Porcentaje de muertes]]&gt;0.65,"GRAVE")</f>
        <v>GRAVE</v>
      </c>
    </row>
    <row r="2974" spans="2:24" x14ac:dyDescent="0.3">
      <c r="B2974" s="9">
        <v>2973</v>
      </c>
      <c r="C2974" s="49">
        <v>28681</v>
      </c>
      <c r="D2974" s="9">
        <f>YEAR(Tabla1[[#This Row],[Date]])</f>
        <v>1978</v>
      </c>
      <c r="E2974" s="9" t="str" cm="1">
        <f t="array" ref="E2974">IFERROR(_xlfn.IFS(AND(D2974&lt;1980,D2974&gt;=1970),"70",AND(D2974&lt;1990,D2974&gt;=1980),"80",AND(D2974&lt;2000,D2974&gt;=1990),"90",AND(D2974&lt;2010,D2974&gt;=2000),"00",AND(D2974&lt;=2019,D2974&gt;=2010),"10"),"1908-1970")</f>
        <v>70</v>
      </c>
      <c r="F2974" s="3" t="s">
        <v>28931</v>
      </c>
      <c r="G2974" t="s">
        <v>9998</v>
      </c>
      <c r="H2974" t="s">
        <v>6541</v>
      </c>
      <c r="I2974" t="s">
        <v>28931</v>
      </c>
      <c r="J2974" t="s">
        <v>18243</v>
      </c>
      <c r="K2974" t="s">
        <v>15961</v>
      </c>
      <c r="L2974" s="7" t="s">
        <v>18244</v>
      </c>
      <c r="M2974">
        <v>9431335</v>
      </c>
      <c r="N2974">
        <v>38</v>
      </c>
      <c r="O2974">
        <v>34</v>
      </c>
      <c r="P2974">
        <v>4</v>
      </c>
      <c r="Q2974">
        <v>38</v>
      </c>
      <c r="R2974">
        <v>34</v>
      </c>
      <c r="S2974">
        <v>4</v>
      </c>
      <c r="T2974">
        <v>0</v>
      </c>
      <c r="U2974" t="s">
        <v>18245</v>
      </c>
      <c r="V2974">
        <f>Tabla1[[#This Row],[Aboard]]-Tabla1[[#This Row],[Fatalities]]</f>
        <v>0</v>
      </c>
      <c r="W2974" s="50">
        <f>IFERROR(Tabla1[[#This Row],[Fatalities]]/Tabla1[[#This Row],[Aboard]],0)</f>
        <v>1</v>
      </c>
      <c r="X2974" s="51" t="str" cm="1">
        <f t="array" ref="X2974">_xlfn.IFS(Tabla1[[#This Row],[Porcentaje de muertes]]&lt;0.35,"LEVE",AND(Tabla1[[#This Row],[Porcentaje de muertes]]&gt;0.35,Tabla1[[#This Row],[Porcentaje de muertes]]&lt;0.65),"MEDIO",Tabla1[[#This Row],[Porcentaje de muertes]]&gt;0.65,"GRAVE")</f>
        <v>GRAVE</v>
      </c>
    </row>
    <row r="2975" spans="2:24" x14ac:dyDescent="0.3">
      <c r="B2975" s="9">
        <v>2974</v>
      </c>
      <c r="C2975" s="49">
        <v>28712</v>
      </c>
      <c r="D2975" s="9">
        <f>YEAR(Tabla1[[#This Row],[Date]])</f>
        <v>1978</v>
      </c>
      <c r="E2975" s="9" t="str" cm="1">
        <f t="array" ref="E2975">IFERROR(_xlfn.IFS(AND(D2975&lt;1980,D2975&gt;=1970),"70",AND(D2975&lt;1990,D2975&gt;=1980),"80",AND(D2975&lt;2000,D2975&gt;=1990),"90",AND(D2975&lt;2010,D2975&gt;=2000),"00",AND(D2975&lt;=2019,D2975&gt;=2010),"10"),"1908-1970")</f>
        <v>70</v>
      </c>
      <c r="F2975" s="3">
        <v>0.3923611111111111</v>
      </c>
      <c r="G2975" t="s">
        <v>18246</v>
      </c>
      <c r="H2975" t="s">
        <v>18247</v>
      </c>
      <c r="I2975" t="s">
        <v>28931</v>
      </c>
      <c r="J2975" t="s">
        <v>18248</v>
      </c>
      <c r="K2975" t="s">
        <v>18249</v>
      </c>
      <c r="L2975" s="7" t="s">
        <v>18250</v>
      </c>
      <c r="M2975" t="s">
        <v>28931</v>
      </c>
      <c r="N2975">
        <v>7</v>
      </c>
      <c r="O2975">
        <v>6</v>
      </c>
      <c r="P2975">
        <v>1</v>
      </c>
      <c r="Q2975">
        <v>2</v>
      </c>
      <c r="R2975">
        <v>2</v>
      </c>
      <c r="S2975">
        <v>0</v>
      </c>
      <c r="T2975">
        <v>0</v>
      </c>
      <c r="U2975" t="s">
        <v>18251</v>
      </c>
      <c r="V2975">
        <f>Tabla1[[#This Row],[Aboard]]-Tabla1[[#This Row],[Fatalities]]</f>
        <v>5</v>
      </c>
      <c r="W2975" s="50">
        <f>IFERROR(Tabla1[[#This Row],[Fatalities]]/Tabla1[[#This Row],[Aboard]],0)</f>
        <v>0.2857142857142857</v>
      </c>
      <c r="X2975" s="51" t="str" cm="1">
        <f t="array" ref="X2975">_xlfn.IFS(Tabla1[[#This Row],[Porcentaje de muertes]]&lt;0.35,"LEVE",AND(Tabla1[[#This Row],[Porcentaje de muertes]]&gt;0.35,Tabla1[[#This Row],[Porcentaje de muertes]]&lt;0.65),"MEDIO",Tabla1[[#This Row],[Porcentaje de muertes]]&gt;0.65,"GRAVE")</f>
        <v>LEVE</v>
      </c>
    </row>
    <row r="2976" spans="2:24" x14ac:dyDescent="0.3">
      <c r="B2976" s="9">
        <v>2975</v>
      </c>
      <c r="C2976" s="49">
        <v>28785</v>
      </c>
      <c r="D2976" s="9">
        <f>YEAR(Tabla1[[#This Row],[Date]])</f>
        <v>1978</v>
      </c>
      <c r="E2976" s="9" t="str" cm="1">
        <f t="array" ref="E2976">IFERROR(_xlfn.IFS(AND(D2976&lt;1980,D2976&gt;=1970),"70",AND(D2976&lt;1990,D2976&gt;=1980),"80",AND(D2976&lt;2000,D2976&gt;=1990),"90",AND(D2976&lt;2010,D2976&gt;=2000),"00",AND(D2976&lt;=2019,D2976&gt;=2010),"10"),"1908-1970")</f>
        <v>70</v>
      </c>
      <c r="F2976" s="3" t="s">
        <v>28931</v>
      </c>
      <c r="G2976" t="s">
        <v>18252</v>
      </c>
      <c r="H2976" t="s">
        <v>18253</v>
      </c>
      <c r="I2976" t="s">
        <v>28931</v>
      </c>
      <c r="J2976" t="s">
        <v>28931</v>
      </c>
      <c r="K2976" t="s">
        <v>18254</v>
      </c>
      <c r="L2976" s="7" t="s">
        <v>18255</v>
      </c>
      <c r="M2976">
        <v>613</v>
      </c>
      <c r="N2976">
        <v>11</v>
      </c>
      <c r="O2976" t="s">
        <v>5038</v>
      </c>
      <c r="P2976" t="s">
        <v>5038</v>
      </c>
      <c r="Q2976">
        <v>11</v>
      </c>
      <c r="R2976" t="s">
        <v>5038</v>
      </c>
      <c r="S2976" t="s">
        <v>5038</v>
      </c>
      <c r="T2976">
        <v>0</v>
      </c>
      <c r="U2976" t="s">
        <v>28927</v>
      </c>
      <c r="V2976">
        <f>Tabla1[[#This Row],[Aboard]]-Tabla1[[#This Row],[Fatalities]]</f>
        <v>0</v>
      </c>
      <c r="W2976" s="50">
        <f>IFERROR(Tabla1[[#This Row],[Fatalities]]/Tabla1[[#This Row],[Aboard]],0)</f>
        <v>1</v>
      </c>
      <c r="X2976" s="51" t="str" cm="1">
        <f t="array" ref="X2976">_xlfn.IFS(Tabla1[[#This Row],[Porcentaje de muertes]]&lt;0.35,"LEVE",AND(Tabla1[[#This Row],[Porcentaje de muertes]]&gt;0.35,Tabla1[[#This Row],[Porcentaje de muertes]]&lt;0.65),"MEDIO",Tabla1[[#This Row],[Porcentaje de muertes]]&gt;0.65,"GRAVE")</f>
        <v>GRAVE</v>
      </c>
    </row>
    <row r="2977" spans="2:24" x14ac:dyDescent="0.3">
      <c r="B2977" s="9">
        <v>2976</v>
      </c>
      <c r="C2977" s="49">
        <v>28786</v>
      </c>
      <c r="D2977" s="9">
        <f>YEAR(Tabla1[[#This Row],[Date]])</f>
        <v>1978</v>
      </c>
      <c r="E2977" s="9" t="str" cm="1">
        <f t="array" ref="E2977">IFERROR(_xlfn.IFS(AND(D2977&lt;1980,D2977&gt;=1970),"70",AND(D2977&lt;1990,D2977&gt;=1980),"80",AND(D2977&lt;2000,D2977&gt;=1990),"90",AND(D2977&lt;2010,D2977&gt;=2000),"00",AND(D2977&lt;=2019,D2977&gt;=2010),"10"),"1908-1970")</f>
        <v>70</v>
      </c>
      <c r="F2977" s="3">
        <v>0.82013888888888886</v>
      </c>
      <c r="G2977" t="s">
        <v>18256</v>
      </c>
      <c r="H2977" t="s">
        <v>6541</v>
      </c>
      <c r="I2977">
        <v>6515</v>
      </c>
      <c r="J2977" t="s">
        <v>18257</v>
      </c>
      <c r="K2977" t="s">
        <v>14666</v>
      </c>
      <c r="L2977" s="7" t="s">
        <v>18258</v>
      </c>
      <c r="M2977">
        <v>97305504</v>
      </c>
      <c r="N2977">
        <v>26</v>
      </c>
      <c r="O2977">
        <v>21</v>
      </c>
      <c r="P2977">
        <v>5</v>
      </c>
      <c r="Q2977">
        <v>26</v>
      </c>
      <c r="R2977">
        <v>21</v>
      </c>
      <c r="S2977">
        <v>5</v>
      </c>
      <c r="T2977">
        <v>0</v>
      </c>
      <c r="U2977" t="s">
        <v>18259</v>
      </c>
      <c r="V2977">
        <f>Tabla1[[#This Row],[Aboard]]-Tabla1[[#This Row],[Fatalities]]</f>
        <v>0</v>
      </c>
      <c r="W2977" s="50">
        <f>IFERROR(Tabla1[[#This Row],[Fatalities]]/Tabla1[[#This Row],[Aboard]],0)</f>
        <v>1</v>
      </c>
      <c r="X2977" s="51" t="str" cm="1">
        <f t="array" ref="X2977">_xlfn.IFS(Tabla1[[#This Row],[Porcentaje de muertes]]&lt;0.35,"LEVE",AND(Tabla1[[#This Row],[Porcentaje de muertes]]&gt;0.35,Tabla1[[#This Row],[Porcentaje de muertes]]&lt;0.65),"MEDIO",Tabla1[[#This Row],[Porcentaje de muertes]]&gt;0.65,"GRAVE")</f>
        <v>GRAVE</v>
      </c>
    </row>
    <row r="2978" spans="2:24" x14ac:dyDescent="0.3">
      <c r="B2978" s="9">
        <v>2977</v>
      </c>
      <c r="C2978" s="49">
        <v>28621</v>
      </c>
      <c r="D2978" s="9">
        <f>YEAR(Tabla1[[#This Row],[Date]])</f>
        <v>1978</v>
      </c>
      <c r="E2978" s="9" t="str" cm="1">
        <f t="array" ref="E2978">IFERROR(_xlfn.IFS(AND(D2978&lt;1980,D2978&gt;=1970),"70",AND(D2978&lt;1990,D2978&gt;=1980),"80",AND(D2978&lt;2000,D2978&gt;=1990),"90",AND(D2978&lt;2010,D2978&gt;=2000),"00",AND(D2978&lt;=2019,D2978&gt;=2010),"10"),"1908-1970")</f>
        <v>70</v>
      </c>
      <c r="F2978" s="3" t="s">
        <v>28931</v>
      </c>
      <c r="G2978" t="s">
        <v>6734</v>
      </c>
      <c r="H2978" t="s">
        <v>18260</v>
      </c>
      <c r="I2978" t="s">
        <v>28931</v>
      </c>
      <c r="J2978" t="s">
        <v>28931</v>
      </c>
      <c r="K2978" t="s">
        <v>7057</v>
      </c>
      <c r="L2978" s="7" t="s">
        <v>18261</v>
      </c>
      <c r="M2978" t="s">
        <v>28931</v>
      </c>
      <c r="N2978">
        <v>18</v>
      </c>
      <c r="O2978" t="s">
        <v>5038</v>
      </c>
      <c r="P2978" t="s">
        <v>5038</v>
      </c>
      <c r="Q2978">
        <v>18</v>
      </c>
      <c r="R2978" t="s">
        <v>5038</v>
      </c>
      <c r="S2978" t="s">
        <v>5038</v>
      </c>
      <c r="T2978">
        <v>0</v>
      </c>
      <c r="U2978" t="s">
        <v>18262</v>
      </c>
      <c r="V2978">
        <f>Tabla1[[#This Row],[Aboard]]-Tabla1[[#This Row],[Fatalities]]</f>
        <v>0</v>
      </c>
      <c r="W2978" s="50">
        <f>IFERROR(Tabla1[[#This Row],[Fatalities]]/Tabla1[[#This Row],[Aboard]],0)</f>
        <v>1</v>
      </c>
      <c r="X2978" s="51" t="str" cm="1">
        <f t="array" ref="X2978">_xlfn.IFS(Tabla1[[#This Row],[Porcentaje de muertes]]&lt;0.35,"LEVE",AND(Tabla1[[#This Row],[Porcentaje de muertes]]&gt;0.35,Tabla1[[#This Row],[Porcentaje de muertes]]&lt;0.65),"MEDIO",Tabla1[[#This Row],[Porcentaje de muertes]]&gt;0.65,"GRAVE")</f>
        <v>GRAVE</v>
      </c>
    </row>
    <row r="2979" spans="2:24" x14ac:dyDescent="0.3">
      <c r="B2979" s="9">
        <v>2978</v>
      </c>
      <c r="C2979" s="49">
        <v>28809</v>
      </c>
      <c r="D2979" s="9">
        <f>YEAR(Tabla1[[#This Row],[Date]])</f>
        <v>1978</v>
      </c>
      <c r="E2979" s="9" t="str" cm="1">
        <f t="array" ref="E2979">IFERROR(_xlfn.IFS(AND(D2979&lt;1980,D2979&gt;=1970),"70",AND(D2979&lt;1990,D2979&gt;=1980),"80",AND(D2979&lt;2000,D2979&gt;=1990),"90",AND(D2979&lt;2010,D2979&gt;=2000),"00",AND(D2979&lt;=2019,D2979&gt;=2010),"10"),"1908-1970")</f>
        <v>70</v>
      </c>
      <c r="F2979" s="3">
        <v>0.97916666666666663</v>
      </c>
      <c r="G2979" t="s">
        <v>18263</v>
      </c>
      <c r="H2979" t="s">
        <v>9411</v>
      </c>
      <c r="I2979">
        <v>1</v>
      </c>
      <c r="J2979" t="s">
        <v>18264</v>
      </c>
      <c r="K2979" t="s">
        <v>18265</v>
      </c>
      <c r="L2979" s="7" t="s">
        <v>18266</v>
      </c>
      <c r="M2979" t="s">
        <v>18267</v>
      </c>
      <c r="N2979">
        <v>262</v>
      </c>
      <c r="O2979">
        <v>249</v>
      </c>
      <c r="P2979">
        <v>13</v>
      </c>
      <c r="Q2979">
        <v>183</v>
      </c>
      <c r="R2979">
        <v>175</v>
      </c>
      <c r="S2979">
        <v>8</v>
      </c>
      <c r="T2979">
        <v>0</v>
      </c>
      <c r="U2979" t="s">
        <v>18268</v>
      </c>
      <c r="V2979">
        <f>Tabla1[[#This Row],[Aboard]]-Tabla1[[#This Row],[Fatalities]]</f>
        <v>79</v>
      </c>
      <c r="W2979" s="50">
        <f>IFERROR(Tabla1[[#This Row],[Fatalities]]/Tabla1[[#This Row],[Aboard]],0)</f>
        <v>0.69847328244274809</v>
      </c>
      <c r="X2979" s="51" t="str" cm="1">
        <f t="array" ref="X2979">_xlfn.IFS(Tabla1[[#This Row],[Porcentaje de muertes]]&lt;0.35,"LEVE",AND(Tabla1[[#This Row],[Porcentaje de muertes]]&gt;0.35,Tabla1[[#This Row],[Porcentaje de muertes]]&lt;0.65),"MEDIO",Tabla1[[#This Row],[Porcentaje de muertes]]&gt;0.65,"GRAVE")</f>
        <v>GRAVE</v>
      </c>
    </row>
    <row r="2980" spans="2:24" x14ac:dyDescent="0.3">
      <c r="B2980" s="9">
        <v>2979</v>
      </c>
      <c r="C2980" s="49">
        <v>28812</v>
      </c>
      <c r="D2980" s="9">
        <f>YEAR(Tabla1[[#This Row],[Date]])</f>
        <v>1978</v>
      </c>
      <c r="E2980" s="9" t="str" cm="1">
        <f t="array" ref="E2980">IFERROR(_xlfn.IFS(AND(D2980&lt;1980,D2980&gt;=1970),"70",AND(D2980&lt;1990,D2980&gt;=1980),"80",AND(D2980&lt;2000,D2980&gt;=1990),"90",AND(D2980&lt;2010,D2980&gt;=2000),"00",AND(D2980&lt;=2019,D2980&gt;=2010),"10"),"1908-1970")</f>
        <v>70</v>
      </c>
      <c r="F2980" s="3" t="s">
        <v>28931</v>
      </c>
      <c r="G2980" t="s">
        <v>18269</v>
      </c>
      <c r="H2980" t="s">
        <v>16678</v>
      </c>
      <c r="I2980" t="s">
        <v>28931</v>
      </c>
      <c r="J2980" t="s">
        <v>28931</v>
      </c>
      <c r="K2980" t="s">
        <v>16680</v>
      </c>
      <c r="L2980" s="7" t="s">
        <v>18270</v>
      </c>
      <c r="M2980">
        <v>469</v>
      </c>
      <c r="N2980">
        <v>20</v>
      </c>
      <c r="O2980">
        <v>19</v>
      </c>
      <c r="P2980">
        <v>1</v>
      </c>
      <c r="Q2980">
        <v>15</v>
      </c>
      <c r="R2980">
        <v>14</v>
      </c>
      <c r="S2980">
        <v>1</v>
      </c>
      <c r="T2980">
        <v>0</v>
      </c>
      <c r="U2980" t="s">
        <v>18271</v>
      </c>
      <c r="V2980">
        <f>Tabla1[[#This Row],[Aboard]]-Tabla1[[#This Row],[Fatalities]]</f>
        <v>5</v>
      </c>
      <c r="W2980" s="50">
        <f>IFERROR(Tabla1[[#This Row],[Fatalities]]/Tabla1[[#This Row],[Aboard]],0)</f>
        <v>0.75</v>
      </c>
      <c r="X2980" s="51" t="str" cm="1">
        <f t="array" ref="X2980">_xlfn.IFS(Tabla1[[#This Row],[Porcentaje de muertes]]&lt;0.35,"LEVE",AND(Tabla1[[#This Row],[Porcentaje de muertes]]&gt;0.35,Tabla1[[#This Row],[Porcentaje de muertes]]&lt;0.65),"MEDIO",Tabla1[[#This Row],[Porcentaje de muertes]]&gt;0.65,"GRAVE")</f>
        <v>GRAVE</v>
      </c>
    </row>
    <row r="2981" spans="2:24" x14ac:dyDescent="0.3">
      <c r="B2981" s="9">
        <v>2980</v>
      </c>
      <c r="C2981" s="49">
        <v>28813</v>
      </c>
      <c r="D2981" s="9">
        <f>YEAR(Tabla1[[#This Row],[Date]])</f>
        <v>1978</v>
      </c>
      <c r="E2981" s="9" t="str" cm="1">
        <f t="array" ref="E2981">IFERROR(_xlfn.IFS(AND(D2981&lt;1980,D2981&gt;=1970),"70",AND(D2981&lt;1990,D2981&gt;=1980),"80",AND(D2981&lt;2000,D2981&gt;=1990),"90",AND(D2981&lt;2010,D2981&gt;=2000),"00",AND(D2981&lt;=2019,D2981&gt;=2010),"10"),"1908-1970")</f>
        <v>70</v>
      </c>
      <c r="F2981" s="3">
        <v>0.45833333333333331</v>
      </c>
      <c r="G2981" t="s">
        <v>18272</v>
      </c>
      <c r="H2981" t="s">
        <v>8036</v>
      </c>
      <c r="I2981" t="s">
        <v>28931</v>
      </c>
      <c r="J2981" t="s">
        <v>18273</v>
      </c>
      <c r="K2981" t="s">
        <v>18274</v>
      </c>
      <c r="L2981" s="7" t="s">
        <v>28931</v>
      </c>
      <c r="M2981" t="s">
        <v>28931</v>
      </c>
      <c r="N2981">
        <v>77</v>
      </c>
      <c r="O2981">
        <v>70</v>
      </c>
      <c r="P2981">
        <v>7</v>
      </c>
      <c r="Q2981">
        <v>77</v>
      </c>
      <c r="R2981">
        <v>70</v>
      </c>
      <c r="S2981">
        <v>7</v>
      </c>
      <c r="T2981">
        <v>1</v>
      </c>
      <c r="U2981" t="s">
        <v>18275</v>
      </c>
      <c r="V2981">
        <f>Tabla1[[#This Row],[Aboard]]-Tabla1[[#This Row],[Fatalities]]</f>
        <v>0</v>
      </c>
      <c r="W2981" s="50">
        <f>IFERROR(Tabla1[[#This Row],[Fatalities]]/Tabla1[[#This Row],[Aboard]],0)</f>
        <v>1</v>
      </c>
      <c r="X2981" s="51" t="str" cm="1">
        <f t="array" ref="X2981">_xlfn.IFS(Tabla1[[#This Row],[Porcentaje de muertes]]&lt;0.35,"LEVE",AND(Tabla1[[#This Row],[Porcentaje de muertes]]&gt;0.35,Tabla1[[#This Row],[Porcentaje de muertes]]&lt;0.65),"MEDIO",Tabla1[[#This Row],[Porcentaje de muertes]]&gt;0.65,"GRAVE")</f>
        <v>GRAVE</v>
      </c>
    </row>
    <row r="2982" spans="2:24" x14ac:dyDescent="0.3">
      <c r="B2982" s="9">
        <v>2981</v>
      </c>
      <c r="C2982" s="49">
        <v>28815</v>
      </c>
      <c r="D2982" s="9">
        <f>YEAR(Tabla1[[#This Row],[Date]])</f>
        <v>1978</v>
      </c>
      <c r="E2982" s="9" t="str" cm="1">
        <f t="array" ref="E2982">IFERROR(_xlfn.IFS(AND(D2982&lt;1980,D2982&gt;=1970),"70",AND(D2982&lt;1990,D2982&gt;=1980),"80",AND(D2982&lt;2000,D2982&gt;=1990),"90",AND(D2982&lt;2010,D2982&gt;=2000),"00",AND(D2982&lt;=2019,D2982&gt;=2010),"10"),"1908-1970")</f>
        <v>70</v>
      </c>
      <c r="F2982" s="3" t="s">
        <v>28931</v>
      </c>
      <c r="G2982" t="s">
        <v>18276</v>
      </c>
      <c r="H2982" t="s">
        <v>18277</v>
      </c>
      <c r="I2982" t="s">
        <v>28931</v>
      </c>
      <c r="J2982" t="s">
        <v>18278</v>
      </c>
      <c r="K2982" t="s">
        <v>8105</v>
      </c>
      <c r="L2982" s="7" t="s">
        <v>18279</v>
      </c>
      <c r="M2982">
        <v>19053</v>
      </c>
      <c r="N2982">
        <v>27</v>
      </c>
      <c r="O2982">
        <v>24</v>
      </c>
      <c r="P2982">
        <v>3</v>
      </c>
      <c r="Q2982">
        <v>27</v>
      </c>
      <c r="R2982">
        <v>24</v>
      </c>
      <c r="S2982">
        <v>3</v>
      </c>
      <c r="T2982">
        <v>0</v>
      </c>
      <c r="U2982" t="s">
        <v>18280</v>
      </c>
      <c r="V2982">
        <f>Tabla1[[#This Row],[Aboard]]-Tabla1[[#This Row],[Fatalities]]</f>
        <v>0</v>
      </c>
      <c r="W2982" s="50">
        <f>IFERROR(Tabla1[[#This Row],[Fatalities]]/Tabla1[[#This Row],[Aboard]],0)</f>
        <v>1</v>
      </c>
      <c r="X2982" s="51" t="str" cm="1">
        <f t="array" ref="X2982">_xlfn.IFS(Tabla1[[#This Row],[Porcentaje de muertes]]&lt;0.35,"LEVE",AND(Tabla1[[#This Row],[Porcentaje de muertes]]&gt;0.35,Tabla1[[#This Row],[Porcentaje de muertes]]&lt;0.65),"MEDIO",Tabla1[[#This Row],[Porcentaje de muertes]]&gt;0.65,"GRAVE")</f>
        <v>GRAVE</v>
      </c>
    </row>
    <row r="2983" spans="2:24" x14ac:dyDescent="0.3">
      <c r="B2983" s="9">
        <v>2982</v>
      </c>
      <c r="C2983" s="49">
        <v>28819</v>
      </c>
      <c r="D2983" s="9">
        <f>YEAR(Tabla1[[#This Row],[Date]])</f>
        <v>1978</v>
      </c>
      <c r="E2983" s="9" t="str" cm="1">
        <f t="array" ref="E2983">IFERROR(_xlfn.IFS(AND(D2983&lt;1980,D2983&gt;=1970),"70",AND(D2983&lt;1990,D2983&gt;=1980),"80",AND(D2983&lt;2000,D2983&gt;=1990),"90",AND(D2983&lt;2010,D2983&gt;=2000),"00",AND(D2983&lt;=2019,D2983&gt;=2010),"10"),"1908-1970")</f>
        <v>70</v>
      </c>
      <c r="F2983" s="3">
        <v>0.66319444444444442</v>
      </c>
      <c r="G2983" t="s">
        <v>18281</v>
      </c>
      <c r="H2983" t="s">
        <v>18282</v>
      </c>
      <c r="I2983" t="s">
        <v>28931</v>
      </c>
      <c r="J2983" t="s">
        <v>18283</v>
      </c>
      <c r="K2983" t="s">
        <v>18216</v>
      </c>
      <c r="L2983" s="7" t="s">
        <v>18284</v>
      </c>
      <c r="M2983">
        <v>600</v>
      </c>
      <c r="N2983">
        <v>5</v>
      </c>
      <c r="O2983">
        <v>4</v>
      </c>
      <c r="P2983">
        <v>1</v>
      </c>
      <c r="Q2983">
        <v>5</v>
      </c>
      <c r="R2983">
        <v>4</v>
      </c>
      <c r="S2983">
        <v>1</v>
      </c>
      <c r="T2983">
        <v>0</v>
      </c>
      <c r="U2983" t="s">
        <v>18285</v>
      </c>
      <c r="V2983">
        <f>Tabla1[[#This Row],[Aboard]]-Tabla1[[#This Row],[Fatalities]]</f>
        <v>0</v>
      </c>
      <c r="W2983" s="50">
        <f>IFERROR(Tabla1[[#This Row],[Fatalities]]/Tabla1[[#This Row],[Aboard]],0)</f>
        <v>1</v>
      </c>
      <c r="X2983" s="51" t="str" cm="1">
        <f t="array" ref="X2983">_xlfn.IFS(Tabla1[[#This Row],[Porcentaje de muertes]]&lt;0.35,"LEVE",AND(Tabla1[[#This Row],[Porcentaje de muertes]]&gt;0.35,Tabla1[[#This Row],[Porcentaje de muertes]]&lt;0.65),"MEDIO",Tabla1[[#This Row],[Porcentaje de muertes]]&gt;0.65,"GRAVE")</f>
        <v>GRAVE</v>
      </c>
    </row>
    <row r="2984" spans="2:24" x14ac:dyDescent="0.3">
      <c r="B2984" s="9">
        <v>2983</v>
      </c>
      <c r="C2984" s="49">
        <v>28592</v>
      </c>
      <c r="D2984" s="9">
        <f>YEAR(Tabla1[[#This Row],[Date]])</f>
        <v>1978</v>
      </c>
      <c r="E2984" s="9" t="str" cm="1">
        <f t="array" ref="E2984">IFERROR(_xlfn.IFS(AND(D2984&lt;1980,D2984&gt;=1970),"70",AND(D2984&lt;1990,D2984&gt;=1980),"80",AND(D2984&lt;2000,D2984&gt;=1990),"90",AND(D2984&lt;2010,D2984&gt;=2000),"00",AND(D2984&lt;=2019,D2984&gt;=2010),"10"),"1908-1970")</f>
        <v>70</v>
      </c>
      <c r="F2984" s="3">
        <v>0.82291666666666663</v>
      </c>
      <c r="G2984" t="s">
        <v>18286</v>
      </c>
      <c r="H2984" t="s">
        <v>18287</v>
      </c>
      <c r="I2984">
        <v>217</v>
      </c>
      <c r="J2984" t="s">
        <v>18288</v>
      </c>
      <c r="K2984" t="s">
        <v>16680</v>
      </c>
      <c r="L2984" s="7" t="s">
        <v>18289</v>
      </c>
      <c r="M2984">
        <v>387</v>
      </c>
      <c r="N2984">
        <v>22</v>
      </c>
      <c r="O2984">
        <v>20</v>
      </c>
      <c r="P2984">
        <v>2</v>
      </c>
      <c r="Q2984">
        <v>2</v>
      </c>
      <c r="R2984">
        <v>1</v>
      </c>
      <c r="S2984">
        <v>1</v>
      </c>
      <c r="T2984">
        <v>0</v>
      </c>
      <c r="U2984" t="s">
        <v>18290</v>
      </c>
      <c r="V2984">
        <f>Tabla1[[#This Row],[Aboard]]-Tabla1[[#This Row],[Fatalities]]</f>
        <v>20</v>
      </c>
      <c r="W2984" s="50">
        <f>IFERROR(Tabla1[[#This Row],[Fatalities]]/Tabla1[[#This Row],[Aboard]],0)</f>
        <v>9.0909090909090912E-2</v>
      </c>
      <c r="X2984" s="51" t="str" cm="1">
        <f t="array" ref="X2984">_xlfn.IFS(Tabla1[[#This Row],[Porcentaje de muertes]]&lt;0.35,"LEVE",AND(Tabla1[[#This Row],[Porcentaje de muertes]]&gt;0.35,Tabla1[[#This Row],[Porcentaje de muertes]]&lt;0.65),"MEDIO",Tabla1[[#This Row],[Porcentaje de muertes]]&gt;0.65,"GRAVE")</f>
        <v>LEVE</v>
      </c>
    </row>
    <row r="2985" spans="2:24" x14ac:dyDescent="0.3">
      <c r="B2985" s="9">
        <v>2984</v>
      </c>
      <c r="C2985" s="49">
        <v>28840</v>
      </c>
      <c r="D2985" s="9">
        <f>YEAR(Tabla1[[#This Row],[Date]])</f>
        <v>1978</v>
      </c>
      <c r="E2985" s="9" t="str" cm="1">
        <f t="array" ref="E2985">IFERROR(_xlfn.IFS(AND(D2985&lt;1980,D2985&gt;=1970),"70",AND(D2985&lt;1990,D2985&gt;=1980),"80",AND(D2985&lt;2000,D2985&gt;=1990),"90",AND(D2985&lt;2010,D2985&gt;=2000),"00",AND(D2985&lt;=2019,D2985&gt;=2010),"10"),"1908-1970")</f>
        <v>70</v>
      </c>
      <c r="F2985" s="3" t="s">
        <v>28931</v>
      </c>
      <c r="G2985" t="s">
        <v>18291</v>
      </c>
      <c r="H2985" t="s">
        <v>18292</v>
      </c>
      <c r="I2985" t="s">
        <v>28931</v>
      </c>
      <c r="J2985" t="s">
        <v>28931</v>
      </c>
      <c r="K2985" t="s">
        <v>18293</v>
      </c>
      <c r="L2985" s="7" t="s">
        <v>18294</v>
      </c>
      <c r="M2985" t="s">
        <v>28931</v>
      </c>
      <c r="N2985">
        <v>10</v>
      </c>
      <c r="O2985">
        <v>9</v>
      </c>
      <c r="P2985">
        <v>1</v>
      </c>
      <c r="Q2985">
        <v>10</v>
      </c>
      <c r="R2985">
        <v>9</v>
      </c>
      <c r="S2985">
        <v>1</v>
      </c>
      <c r="T2985">
        <v>0</v>
      </c>
      <c r="U2985" t="s">
        <v>28927</v>
      </c>
      <c r="V2985">
        <f>Tabla1[[#This Row],[Aboard]]-Tabla1[[#This Row],[Fatalities]]</f>
        <v>0</v>
      </c>
      <c r="W2985" s="50">
        <f>IFERROR(Tabla1[[#This Row],[Fatalities]]/Tabla1[[#This Row],[Aboard]],0)</f>
        <v>1</v>
      </c>
      <c r="X2985" s="51" t="str" cm="1">
        <f t="array" ref="X2985">_xlfn.IFS(Tabla1[[#This Row],[Porcentaje de muertes]]&lt;0.35,"LEVE",AND(Tabla1[[#This Row],[Porcentaje de muertes]]&gt;0.35,Tabla1[[#This Row],[Porcentaje de muertes]]&lt;0.65),"MEDIO",Tabla1[[#This Row],[Porcentaje de muertes]]&gt;0.65,"GRAVE")</f>
        <v>GRAVE</v>
      </c>
    </row>
    <row r="2986" spans="2:24" x14ac:dyDescent="0.3">
      <c r="B2986" s="9">
        <v>2985</v>
      </c>
      <c r="C2986" s="49">
        <v>28841</v>
      </c>
      <c r="D2986" s="9">
        <f>YEAR(Tabla1[[#This Row],[Date]])</f>
        <v>1978</v>
      </c>
      <c r="E2986" s="9" t="str" cm="1">
        <f t="array" ref="E2986">IFERROR(_xlfn.IFS(AND(D2986&lt;1980,D2986&gt;=1970),"70",AND(D2986&lt;1990,D2986&gt;=1980),"80",AND(D2986&lt;2000,D2986&gt;=1990),"90",AND(D2986&lt;2010,D2986&gt;=2000),"00",AND(D2986&lt;=2019,D2986&gt;=2010),"10"),"1908-1970")</f>
        <v>70</v>
      </c>
      <c r="F2986" s="3" t="s">
        <v>28931</v>
      </c>
      <c r="G2986" t="s">
        <v>16768</v>
      </c>
      <c r="H2986" t="s">
        <v>11150</v>
      </c>
      <c r="I2986" t="s">
        <v>28931</v>
      </c>
      <c r="J2986" t="s">
        <v>28931</v>
      </c>
      <c r="K2986" t="s">
        <v>16809</v>
      </c>
      <c r="L2986" s="7" t="s">
        <v>18295</v>
      </c>
      <c r="M2986" t="s">
        <v>18296</v>
      </c>
      <c r="N2986">
        <v>132</v>
      </c>
      <c r="O2986">
        <v>126</v>
      </c>
      <c r="P2986">
        <v>6</v>
      </c>
      <c r="Q2986">
        <v>1</v>
      </c>
      <c r="R2986">
        <v>1</v>
      </c>
      <c r="S2986">
        <v>0</v>
      </c>
      <c r="T2986">
        <v>3</v>
      </c>
      <c r="U2986" t="s">
        <v>18297</v>
      </c>
      <c r="V2986">
        <f>Tabla1[[#This Row],[Aboard]]-Tabla1[[#This Row],[Fatalities]]</f>
        <v>131</v>
      </c>
      <c r="W2986" s="50">
        <f>IFERROR(Tabla1[[#This Row],[Fatalities]]/Tabla1[[#This Row],[Aboard]],0)</f>
        <v>7.575757575757576E-3</v>
      </c>
      <c r="X2986" s="51" t="str" cm="1">
        <f t="array" ref="X2986">_xlfn.IFS(Tabla1[[#This Row],[Porcentaje de muertes]]&lt;0.35,"LEVE",AND(Tabla1[[#This Row],[Porcentaje de muertes]]&gt;0.35,Tabla1[[#This Row],[Porcentaje de muertes]]&lt;0.65),"MEDIO",Tabla1[[#This Row],[Porcentaje de muertes]]&gt;0.65,"GRAVE")</f>
        <v>LEVE</v>
      </c>
    </row>
    <row r="2987" spans="2:24" x14ac:dyDescent="0.3">
      <c r="B2987" s="9">
        <v>2986</v>
      </c>
      <c r="C2987" s="49">
        <v>28847</v>
      </c>
      <c r="D2987" s="9">
        <f>YEAR(Tabla1[[#This Row],[Date]])</f>
        <v>1978</v>
      </c>
      <c r="E2987" s="9" t="str" cm="1">
        <f t="array" ref="E2987">IFERROR(_xlfn.IFS(AND(D2987&lt;1980,D2987&gt;=1970),"70",AND(D2987&lt;1990,D2987&gt;=1980),"80",AND(D2987&lt;2000,D2987&gt;=1990),"90",AND(D2987&lt;2010,D2987&gt;=2000),"00",AND(D2987&lt;=2019,D2987&gt;=2010),"10"),"1908-1970")</f>
        <v>70</v>
      </c>
      <c r="F2987" s="3">
        <v>2.7083333333333334E-2</v>
      </c>
      <c r="G2987" t="s">
        <v>18298</v>
      </c>
      <c r="H2987" t="s">
        <v>10299</v>
      </c>
      <c r="I2987">
        <v>4128</v>
      </c>
      <c r="J2987" t="s">
        <v>16431</v>
      </c>
      <c r="K2987" t="s">
        <v>15468</v>
      </c>
      <c r="L2987" s="7" t="s">
        <v>18299</v>
      </c>
      <c r="M2987" t="s">
        <v>18300</v>
      </c>
      <c r="N2987">
        <v>129</v>
      </c>
      <c r="O2987">
        <v>124</v>
      </c>
      <c r="P2987">
        <v>5</v>
      </c>
      <c r="Q2987">
        <v>108</v>
      </c>
      <c r="R2987">
        <v>103</v>
      </c>
      <c r="S2987">
        <v>5</v>
      </c>
      <c r="T2987">
        <v>0</v>
      </c>
      <c r="U2987" t="s">
        <v>18301</v>
      </c>
      <c r="V2987">
        <f>Tabla1[[#This Row],[Aboard]]-Tabla1[[#This Row],[Fatalities]]</f>
        <v>21</v>
      </c>
      <c r="W2987" s="50">
        <f>IFERROR(Tabla1[[#This Row],[Fatalities]]/Tabla1[[#This Row],[Aboard]],0)</f>
        <v>0.83720930232558144</v>
      </c>
      <c r="X2987" s="51" t="str" cm="1">
        <f t="array" ref="X2987">_xlfn.IFS(Tabla1[[#This Row],[Porcentaje de muertes]]&lt;0.35,"LEVE",AND(Tabla1[[#This Row],[Porcentaje de muertes]]&gt;0.35,Tabla1[[#This Row],[Porcentaje de muertes]]&lt;0.65),"MEDIO",Tabla1[[#This Row],[Porcentaje de muertes]]&gt;0.65,"GRAVE")</f>
        <v>GRAVE</v>
      </c>
    </row>
    <row r="2988" spans="2:24" x14ac:dyDescent="0.3">
      <c r="B2988" s="9">
        <v>2987</v>
      </c>
      <c r="C2988" s="49">
        <v>28852</v>
      </c>
      <c r="D2988" s="9">
        <f>YEAR(Tabla1[[#This Row],[Date]])</f>
        <v>1978</v>
      </c>
      <c r="E2988" s="9" t="str" cm="1">
        <f t="array" ref="E2988">IFERROR(_xlfn.IFS(AND(D2988&lt;1980,D2988&gt;=1970),"70",AND(D2988&lt;1990,D2988&gt;=1980),"80",AND(D2988&lt;2000,D2988&gt;=1990),"90",AND(D2988&lt;2010,D2988&gt;=2000),"00",AND(D2988&lt;=2019,D2988&gt;=2010),"10"),"1908-1970")</f>
        <v>70</v>
      </c>
      <c r="F2988" s="3">
        <v>0.76041666666666663</v>
      </c>
      <c r="G2988" t="s">
        <v>6217</v>
      </c>
      <c r="H2988" t="s">
        <v>6369</v>
      </c>
      <c r="I2988">
        <v>173</v>
      </c>
      <c r="J2988" t="s">
        <v>11648</v>
      </c>
      <c r="K2988" t="s">
        <v>18302</v>
      </c>
      <c r="L2988" s="7" t="s">
        <v>18303</v>
      </c>
      <c r="M2988" t="s">
        <v>18304</v>
      </c>
      <c r="N2988">
        <v>189</v>
      </c>
      <c r="O2988">
        <v>181</v>
      </c>
      <c r="P2988">
        <v>8</v>
      </c>
      <c r="Q2988">
        <v>10</v>
      </c>
      <c r="R2988">
        <v>8</v>
      </c>
      <c r="S2988">
        <v>2</v>
      </c>
      <c r="T2988">
        <v>0</v>
      </c>
      <c r="U2988" t="s">
        <v>18305</v>
      </c>
      <c r="V2988">
        <f>Tabla1[[#This Row],[Aboard]]-Tabla1[[#This Row],[Fatalities]]</f>
        <v>179</v>
      </c>
      <c r="W2988" s="50">
        <f>IFERROR(Tabla1[[#This Row],[Fatalities]]/Tabla1[[#This Row],[Aboard]],0)</f>
        <v>5.2910052910052907E-2</v>
      </c>
      <c r="X2988" s="51" t="str" cm="1">
        <f t="array" ref="X2988">_xlfn.IFS(Tabla1[[#This Row],[Porcentaje de muertes]]&lt;0.35,"LEVE",AND(Tabla1[[#This Row],[Porcentaje de muertes]]&gt;0.35,Tabla1[[#This Row],[Porcentaje de muertes]]&lt;0.65),"MEDIO",Tabla1[[#This Row],[Porcentaje de muertes]]&gt;0.65,"GRAVE")</f>
        <v>LEVE</v>
      </c>
    </row>
    <row r="2989" spans="2:24" x14ac:dyDescent="0.3">
      <c r="B2989" s="9">
        <v>2988</v>
      </c>
      <c r="C2989" s="49">
        <v>28870</v>
      </c>
      <c r="D2989" s="9">
        <f>YEAR(Tabla1[[#This Row],[Date]])</f>
        <v>1979</v>
      </c>
      <c r="E2989" s="9" t="str" cm="1">
        <f t="array" ref="E2989">IFERROR(_xlfn.IFS(AND(D2989&lt;1980,D2989&gt;=1970),"70",AND(D2989&lt;1990,D2989&gt;=1980),"80",AND(D2989&lt;2000,D2989&gt;=1990),"90",AND(D2989&lt;2010,D2989&gt;=2000),"00",AND(D2989&lt;=2019,D2989&gt;=2010),"10"),"1908-1970")</f>
        <v>70</v>
      </c>
      <c r="F2989" s="3">
        <v>0.54513888888888895</v>
      </c>
      <c r="G2989" t="s">
        <v>18306</v>
      </c>
      <c r="H2989" t="s">
        <v>6541</v>
      </c>
      <c r="I2989">
        <v>7502</v>
      </c>
      <c r="J2989" t="s">
        <v>18307</v>
      </c>
      <c r="K2989" t="s">
        <v>18308</v>
      </c>
      <c r="L2989" s="7" t="s">
        <v>18309</v>
      </c>
      <c r="M2989">
        <v>67302207</v>
      </c>
      <c r="N2989">
        <v>13</v>
      </c>
      <c r="O2989">
        <v>9</v>
      </c>
      <c r="P2989">
        <v>5</v>
      </c>
      <c r="Q2989">
        <v>13</v>
      </c>
      <c r="R2989">
        <v>8</v>
      </c>
      <c r="S2989">
        <v>5</v>
      </c>
      <c r="T2989">
        <v>0</v>
      </c>
      <c r="U2989" t="s">
        <v>18310</v>
      </c>
      <c r="V2989">
        <f>Tabla1[[#This Row],[Aboard]]-Tabla1[[#This Row],[Fatalities]]</f>
        <v>0</v>
      </c>
      <c r="W2989" s="50">
        <f>IFERROR(Tabla1[[#This Row],[Fatalities]]/Tabla1[[#This Row],[Aboard]],0)</f>
        <v>1</v>
      </c>
      <c r="X2989" s="51" t="str" cm="1">
        <f t="array" ref="X2989">_xlfn.IFS(Tabla1[[#This Row],[Porcentaje de muertes]]&lt;0.35,"LEVE",AND(Tabla1[[#This Row],[Porcentaje de muertes]]&gt;0.35,Tabla1[[#This Row],[Porcentaje de muertes]]&lt;0.65),"MEDIO",Tabla1[[#This Row],[Porcentaje de muertes]]&gt;0.65,"GRAVE")</f>
        <v>GRAVE</v>
      </c>
    </row>
    <row r="2990" spans="2:24" x14ac:dyDescent="0.3">
      <c r="B2990" s="9">
        <v>2989</v>
      </c>
      <c r="C2990" s="49">
        <v>28879</v>
      </c>
      <c r="D2990" s="9">
        <f>YEAR(Tabla1[[#This Row],[Date]])</f>
        <v>1979</v>
      </c>
      <c r="E2990" s="9" t="str" cm="1">
        <f t="array" ref="E2990">IFERROR(_xlfn.IFS(AND(D2990&lt;1980,D2990&gt;=1970),"70",AND(D2990&lt;1990,D2990&gt;=1980),"80",AND(D2990&lt;2000,D2990&gt;=1990),"90",AND(D2990&lt;2010,D2990&gt;=2000),"00",AND(D2990&lt;=2019,D2990&gt;=2010),"10"),"1908-1970")</f>
        <v>70</v>
      </c>
      <c r="F2990" s="3">
        <v>0.81944444444444453</v>
      </c>
      <c r="G2990" t="s">
        <v>18311</v>
      </c>
      <c r="H2990" t="s">
        <v>14912</v>
      </c>
      <c r="I2990" t="s">
        <v>28931</v>
      </c>
      <c r="J2990" t="s">
        <v>28931</v>
      </c>
      <c r="K2990" t="s">
        <v>18312</v>
      </c>
      <c r="L2990" s="7" t="s">
        <v>18313</v>
      </c>
      <c r="M2990">
        <v>19</v>
      </c>
      <c r="N2990">
        <v>23</v>
      </c>
      <c r="O2990">
        <v>20</v>
      </c>
      <c r="P2990">
        <v>3</v>
      </c>
      <c r="Q2990">
        <v>14</v>
      </c>
      <c r="R2990">
        <v>14</v>
      </c>
      <c r="S2990">
        <v>0</v>
      </c>
      <c r="T2990">
        <v>0</v>
      </c>
      <c r="U2990" t="s">
        <v>18314</v>
      </c>
      <c r="V2990">
        <f>Tabla1[[#This Row],[Aboard]]-Tabla1[[#This Row],[Fatalities]]</f>
        <v>9</v>
      </c>
      <c r="W2990" s="50">
        <f>IFERROR(Tabla1[[#This Row],[Fatalities]]/Tabla1[[#This Row],[Aboard]],0)</f>
        <v>0.60869565217391308</v>
      </c>
      <c r="X2990" s="51" t="str" cm="1">
        <f t="array" ref="X2990">_xlfn.IFS(Tabla1[[#This Row],[Porcentaje de muertes]]&lt;0.35,"LEVE",AND(Tabla1[[#This Row],[Porcentaje de muertes]]&gt;0.35,Tabla1[[#This Row],[Porcentaje de muertes]]&lt;0.65),"MEDIO",Tabla1[[#This Row],[Porcentaje de muertes]]&gt;0.65,"GRAVE")</f>
        <v>MEDIO</v>
      </c>
    </row>
    <row r="2991" spans="2:24" x14ac:dyDescent="0.3">
      <c r="B2991" s="9">
        <v>2990</v>
      </c>
      <c r="C2991" s="49">
        <v>28882</v>
      </c>
      <c r="D2991" s="9">
        <f>YEAR(Tabla1[[#This Row],[Date]])</f>
        <v>1979</v>
      </c>
      <c r="E2991" s="9" t="str" cm="1">
        <f t="array" ref="E2991">IFERROR(_xlfn.IFS(AND(D2991&lt;1980,D2991&gt;=1970),"70",AND(D2991&lt;1990,D2991&gt;=1980),"80",AND(D2991&lt;2000,D2991&gt;=1990),"90",AND(D2991&lt;2010,D2991&gt;=2000),"00",AND(D2991&lt;=2019,D2991&gt;=2010),"10"),"1908-1970")</f>
        <v>70</v>
      </c>
      <c r="F2991" s="3">
        <v>0.72638888888888886</v>
      </c>
      <c r="G2991" t="s">
        <v>18315</v>
      </c>
      <c r="H2991" t="s">
        <v>18316</v>
      </c>
      <c r="I2991" t="s">
        <v>28931</v>
      </c>
      <c r="J2991" t="s">
        <v>28931</v>
      </c>
      <c r="K2991" t="s">
        <v>16099</v>
      </c>
      <c r="L2991" s="7" t="s">
        <v>18317</v>
      </c>
      <c r="M2991">
        <v>10570</v>
      </c>
      <c r="N2991">
        <v>6</v>
      </c>
      <c r="O2991">
        <v>4</v>
      </c>
      <c r="P2991">
        <v>2</v>
      </c>
      <c r="Q2991">
        <v>5</v>
      </c>
      <c r="R2991">
        <v>3</v>
      </c>
      <c r="S2991">
        <v>2</v>
      </c>
      <c r="T2991">
        <v>0</v>
      </c>
      <c r="U2991" t="s">
        <v>18318</v>
      </c>
      <c r="V2991">
        <f>Tabla1[[#This Row],[Aboard]]-Tabla1[[#This Row],[Fatalities]]</f>
        <v>1</v>
      </c>
      <c r="W2991" s="50">
        <f>IFERROR(Tabla1[[#This Row],[Fatalities]]/Tabla1[[#This Row],[Aboard]],0)</f>
        <v>0.83333333333333337</v>
      </c>
      <c r="X2991" s="51" t="str" cm="1">
        <f t="array" ref="X2991">_xlfn.IFS(Tabla1[[#This Row],[Porcentaje de muertes]]&lt;0.35,"LEVE",AND(Tabla1[[#This Row],[Porcentaje de muertes]]&gt;0.35,Tabla1[[#This Row],[Porcentaje de muertes]]&lt;0.65),"MEDIO",Tabla1[[#This Row],[Porcentaje de muertes]]&gt;0.65,"GRAVE")</f>
        <v>GRAVE</v>
      </c>
    </row>
    <row r="2992" spans="2:24" x14ac:dyDescent="0.3">
      <c r="B2992" s="9">
        <v>2991</v>
      </c>
      <c r="C2992" s="49">
        <v>28885</v>
      </c>
      <c r="D2992" s="9">
        <f>YEAR(Tabla1[[#This Row],[Date]])</f>
        <v>1979</v>
      </c>
      <c r="E2992" s="9" t="str" cm="1">
        <f t="array" ref="E2992">IFERROR(_xlfn.IFS(AND(D2992&lt;1980,D2992&gt;=1970),"70",AND(D2992&lt;1990,D2992&gt;=1980),"80",AND(D2992&lt;2000,D2992&gt;=1990),"90",AND(D2992&lt;2010,D2992&gt;=2000),"00",AND(D2992&lt;=2019,D2992&gt;=2010),"10"),"1908-1970")</f>
        <v>70</v>
      </c>
      <c r="F2992" s="3" t="s">
        <v>28931</v>
      </c>
      <c r="G2992" t="s">
        <v>18319</v>
      </c>
      <c r="H2992" t="s">
        <v>8118</v>
      </c>
      <c r="I2992" t="s">
        <v>28931</v>
      </c>
      <c r="J2992" t="s">
        <v>18320</v>
      </c>
      <c r="K2992" t="s">
        <v>18321</v>
      </c>
      <c r="L2992" s="7" t="s">
        <v>18322</v>
      </c>
      <c r="M2992" t="s">
        <v>18323</v>
      </c>
      <c r="N2992">
        <v>6</v>
      </c>
      <c r="O2992">
        <v>0</v>
      </c>
      <c r="P2992">
        <v>6</v>
      </c>
      <c r="Q2992">
        <v>6</v>
      </c>
      <c r="R2992">
        <v>0</v>
      </c>
      <c r="S2992">
        <v>6</v>
      </c>
      <c r="T2992">
        <v>0</v>
      </c>
      <c r="U2992" t="s">
        <v>18324</v>
      </c>
      <c r="V2992">
        <f>Tabla1[[#This Row],[Aboard]]-Tabla1[[#This Row],[Fatalities]]</f>
        <v>0</v>
      </c>
      <c r="W2992" s="50">
        <f>IFERROR(Tabla1[[#This Row],[Fatalities]]/Tabla1[[#This Row],[Aboard]],0)</f>
        <v>1</v>
      </c>
      <c r="X2992" s="51" t="str" cm="1">
        <f t="array" ref="X2992">_xlfn.IFS(Tabla1[[#This Row],[Porcentaje de muertes]]&lt;0.35,"LEVE",AND(Tabla1[[#This Row],[Porcentaje de muertes]]&gt;0.35,Tabla1[[#This Row],[Porcentaje de muertes]]&lt;0.65),"MEDIO",Tabla1[[#This Row],[Porcentaje de muertes]]&gt;0.65,"GRAVE")</f>
        <v>GRAVE</v>
      </c>
    </row>
    <row r="2993" spans="2:24" x14ac:dyDescent="0.3">
      <c r="B2993" s="9">
        <v>2992</v>
      </c>
      <c r="C2993" s="49">
        <v>29069</v>
      </c>
      <c r="D2993" s="9">
        <f>YEAR(Tabla1[[#This Row],[Date]])</f>
        <v>1979</v>
      </c>
      <c r="E2993" s="9" t="str" cm="1">
        <f t="array" ref="E2993">IFERROR(_xlfn.IFS(AND(D2993&lt;1980,D2993&gt;=1970),"70",AND(D2993&lt;1990,D2993&gt;=1980),"80",AND(D2993&lt;2000,D2993&gt;=1990),"90",AND(D2993&lt;2010,D2993&gt;=2000),"00",AND(D2993&lt;=2019,D2993&gt;=2010),"10"),"1908-1970")</f>
        <v>70</v>
      </c>
      <c r="F2993" s="3" t="s">
        <v>28931</v>
      </c>
      <c r="G2993" t="s">
        <v>18325</v>
      </c>
      <c r="H2993" t="s">
        <v>18326</v>
      </c>
      <c r="I2993" t="s">
        <v>28931</v>
      </c>
      <c r="J2993" t="s">
        <v>18327</v>
      </c>
      <c r="K2993" t="s">
        <v>17332</v>
      </c>
      <c r="L2993" s="7" t="s">
        <v>18328</v>
      </c>
      <c r="M2993" t="s">
        <v>18329</v>
      </c>
      <c r="N2993">
        <v>18</v>
      </c>
      <c r="O2993">
        <v>16</v>
      </c>
      <c r="P2993">
        <v>2</v>
      </c>
      <c r="Q2993">
        <v>18</v>
      </c>
      <c r="R2993">
        <v>16</v>
      </c>
      <c r="S2993">
        <v>2</v>
      </c>
      <c r="T2993">
        <v>0</v>
      </c>
      <c r="U2993" t="s">
        <v>18330</v>
      </c>
      <c r="V2993">
        <f>Tabla1[[#This Row],[Aboard]]-Tabla1[[#This Row],[Fatalities]]</f>
        <v>0</v>
      </c>
      <c r="W2993" s="50">
        <f>IFERROR(Tabla1[[#This Row],[Fatalities]]/Tabla1[[#This Row],[Aboard]],0)</f>
        <v>1</v>
      </c>
      <c r="X2993" s="51" t="str" cm="1">
        <f t="array" ref="X2993">_xlfn.IFS(Tabla1[[#This Row],[Porcentaje de muertes]]&lt;0.35,"LEVE",AND(Tabla1[[#This Row],[Porcentaje de muertes]]&gt;0.35,Tabla1[[#This Row],[Porcentaje de muertes]]&lt;0.65),"MEDIO",Tabla1[[#This Row],[Porcentaje de muertes]]&gt;0.65,"GRAVE")</f>
        <v>GRAVE</v>
      </c>
    </row>
    <row r="2994" spans="2:24" x14ac:dyDescent="0.3">
      <c r="B2994" s="9">
        <v>2993</v>
      </c>
      <c r="C2994" s="49">
        <v>29191</v>
      </c>
      <c r="D2994" s="9">
        <f>YEAR(Tabla1[[#This Row],[Date]])</f>
        <v>1979</v>
      </c>
      <c r="E2994" s="9" t="str" cm="1">
        <f t="array" ref="E2994">IFERROR(_xlfn.IFS(AND(D2994&lt;1980,D2994&gt;=1970),"70",AND(D2994&lt;1990,D2994&gt;=1980),"80",AND(D2994&lt;2000,D2994&gt;=1990),"90",AND(D2994&lt;2010,D2994&gt;=2000),"00",AND(D2994&lt;=2019,D2994&gt;=2010),"10"),"1908-1970")</f>
        <v>70</v>
      </c>
      <c r="F2994" s="3">
        <v>0.70833333333333337</v>
      </c>
      <c r="G2994" t="s">
        <v>18331</v>
      </c>
      <c r="H2994" t="s">
        <v>18199</v>
      </c>
      <c r="I2994" t="s">
        <v>28931</v>
      </c>
      <c r="J2994" t="s">
        <v>18200</v>
      </c>
      <c r="K2994" t="s">
        <v>12407</v>
      </c>
      <c r="L2994" s="7" t="s">
        <v>18332</v>
      </c>
      <c r="M2994">
        <v>101</v>
      </c>
      <c r="N2994">
        <v>59</v>
      </c>
      <c r="O2994">
        <v>54</v>
      </c>
      <c r="P2994">
        <v>5</v>
      </c>
      <c r="Q2994">
        <v>59</v>
      </c>
      <c r="R2994">
        <v>54</v>
      </c>
      <c r="S2994">
        <v>5</v>
      </c>
      <c r="T2994">
        <v>0</v>
      </c>
      <c r="U2994" t="s">
        <v>18333</v>
      </c>
      <c r="V2994">
        <f>Tabla1[[#This Row],[Aboard]]-Tabla1[[#This Row],[Fatalities]]</f>
        <v>0</v>
      </c>
      <c r="W2994" s="50">
        <f>IFERROR(Tabla1[[#This Row],[Fatalities]]/Tabla1[[#This Row],[Aboard]],0)</f>
        <v>1</v>
      </c>
      <c r="X2994" s="51" t="str" cm="1">
        <f t="array" ref="X2994">_xlfn.IFS(Tabla1[[#This Row],[Porcentaje de muertes]]&lt;0.35,"LEVE",AND(Tabla1[[#This Row],[Porcentaje de muertes]]&gt;0.35,Tabla1[[#This Row],[Porcentaje de muertes]]&lt;0.65),"MEDIO",Tabla1[[#This Row],[Porcentaje de muertes]]&gt;0.65,"GRAVE")</f>
        <v>GRAVE</v>
      </c>
    </row>
    <row r="2995" spans="2:24" x14ac:dyDescent="0.3">
      <c r="B2995" s="9">
        <v>2994</v>
      </c>
      <c r="C2995" s="49">
        <v>29191</v>
      </c>
      <c r="D2995" s="9">
        <f>YEAR(Tabla1[[#This Row],[Date]])</f>
        <v>1979</v>
      </c>
      <c r="E2995" s="9" t="str" cm="1">
        <f t="array" ref="E2995">IFERROR(_xlfn.IFS(AND(D2995&lt;1980,D2995&gt;=1970),"70",AND(D2995&lt;1990,D2995&gt;=1980),"80",AND(D2995&lt;2000,D2995&gt;=1990),"90",AND(D2995&lt;2010,D2995&gt;=2000),"00",AND(D2995&lt;=2019,D2995&gt;=2010),"10"),"1908-1970")</f>
        <v>70</v>
      </c>
      <c r="F2995" s="3">
        <v>0.54166666666666663</v>
      </c>
      <c r="G2995" t="s">
        <v>18334</v>
      </c>
      <c r="H2995" t="s">
        <v>12818</v>
      </c>
      <c r="I2995">
        <v>561</v>
      </c>
      <c r="J2995" t="s">
        <v>18335</v>
      </c>
      <c r="K2995" t="s">
        <v>18336</v>
      </c>
      <c r="L2995" s="7" t="s">
        <v>18337</v>
      </c>
      <c r="M2995">
        <v>48</v>
      </c>
      <c r="N2995">
        <v>25</v>
      </c>
      <c r="O2995">
        <v>22</v>
      </c>
      <c r="P2995">
        <v>3</v>
      </c>
      <c r="Q2995">
        <v>2</v>
      </c>
      <c r="R2995">
        <v>1</v>
      </c>
      <c r="S2995">
        <v>1</v>
      </c>
      <c r="T2995">
        <v>0</v>
      </c>
      <c r="U2995" t="s">
        <v>18338</v>
      </c>
      <c r="V2995">
        <f>Tabla1[[#This Row],[Aboard]]-Tabla1[[#This Row],[Fatalities]]</f>
        <v>23</v>
      </c>
      <c r="W2995" s="50">
        <f>IFERROR(Tabla1[[#This Row],[Fatalities]]/Tabla1[[#This Row],[Aboard]],0)</f>
        <v>0.08</v>
      </c>
      <c r="X2995" s="51" t="str" cm="1">
        <f t="array" ref="X2995">_xlfn.IFS(Tabla1[[#This Row],[Porcentaje de muertes]]&lt;0.35,"LEVE",AND(Tabla1[[#This Row],[Porcentaje de muertes]]&gt;0.35,Tabla1[[#This Row],[Porcentaje de muertes]]&lt;0.65),"MEDIO",Tabla1[[#This Row],[Porcentaje de muertes]]&gt;0.65,"GRAVE")</f>
        <v>LEVE</v>
      </c>
    </row>
    <row r="2996" spans="2:24" x14ac:dyDescent="0.3">
      <c r="B2996" s="9">
        <v>2995</v>
      </c>
      <c r="C2996" s="49">
        <v>28903</v>
      </c>
      <c r="D2996" s="9">
        <f>YEAR(Tabla1[[#This Row],[Date]])</f>
        <v>1979</v>
      </c>
      <c r="E2996" s="9" t="str" cm="1">
        <f t="array" ref="E2996">IFERROR(_xlfn.IFS(AND(D2996&lt;1980,D2996&gt;=1970),"70",AND(D2996&lt;1990,D2996&gt;=1980),"80",AND(D2996&lt;2000,D2996&gt;=1990),"90",AND(D2996&lt;2010,D2996&gt;=2000),"00",AND(D2996&lt;=2019,D2996&gt;=2010),"10"),"1908-1970")</f>
        <v>70</v>
      </c>
      <c r="F2996" s="3">
        <v>0.54513888888888895</v>
      </c>
      <c r="G2996" t="s">
        <v>18339</v>
      </c>
      <c r="H2996" t="s">
        <v>14696</v>
      </c>
      <c r="I2996" t="s">
        <v>28931</v>
      </c>
      <c r="J2996" t="s">
        <v>18340</v>
      </c>
      <c r="K2996" t="s">
        <v>16099</v>
      </c>
      <c r="L2996" s="7" t="s">
        <v>18341</v>
      </c>
      <c r="M2996">
        <v>10456</v>
      </c>
      <c r="N2996">
        <v>4</v>
      </c>
      <c r="O2996">
        <v>2</v>
      </c>
      <c r="P2996">
        <v>2</v>
      </c>
      <c r="Q2996">
        <v>2</v>
      </c>
      <c r="R2996">
        <v>1</v>
      </c>
      <c r="S2996">
        <v>1</v>
      </c>
      <c r="T2996">
        <v>0</v>
      </c>
      <c r="U2996" t="s">
        <v>18342</v>
      </c>
      <c r="V2996">
        <f>Tabla1[[#This Row],[Aboard]]-Tabla1[[#This Row],[Fatalities]]</f>
        <v>2</v>
      </c>
      <c r="W2996" s="50">
        <f>IFERROR(Tabla1[[#This Row],[Fatalities]]/Tabla1[[#This Row],[Aboard]],0)</f>
        <v>0.5</v>
      </c>
      <c r="X2996" s="51" t="str" cm="1">
        <f t="array" ref="X2996">_xlfn.IFS(Tabla1[[#This Row],[Porcentaje de muertes]]&lt;0.35,"LEVE",AND(Tabla1[[#This Row],[Porcentaje de muertes]]&gt;0.35,Tabla1[[#This Row],[Porcentaje de muertes]]&lt;0.65),"MEDIO",Tabla1[[#This Row],[Porcentaje de muertes]]&gt;0.65,"GRAVE")</f>
        <v>MEDIO</v>
      </c>
    </row>
    <row r="2997" spans="2:24" x14ac:dyDescent="0.3">
      <c r="B2997" s="9">
        <v>2996</v>
      </c>
      <c r="C2997" s="49">
        <v>28905</v>
      </c>
      <c r="D2997" s="9">
        <f>YEAR(Tabla1[[#This Row],[Date]])</f>
        <v>1979</v>
      </c>
      <c r="E2997" s="9" t="str" cm="1">
        <f t="array" ref="E2997">IFERROR(_xlfn.IFS(AND(D2997&lt;1980,D2997&gt;=1970),"70",AND(D2997&lt;1990,D2997&gt;=1980),"80",AND(D2997&lt;2000,D2997&gt;=1990),"90",AND(D2997&lt;2010,D2997&gt;=2000),"00",AND(D2997&lt;=2019,D2997&gt;=2010),"10"),"1908-1970")</f>
        <v>70</v>
      </c>
      <c r="F2997" s="3" t="s">
        <v>28931</v>
      </c>
      <c r="G2997" t="s">
        <v>18343</v>
      </c>
      <c r="H2997" t="s">
        <v>13000</v>
      </c>
      <c r="I2997" t="s">
        <v>28931</v>
      </c>
      <c r="J2997" t="s">
        <v>28931</v>
      </c>
      <c r="K2997" t="s">
        <v>7057</v>
      </c>
      <c r="L2997" s="7" t="s">
        <v>18344</v>
      </c>
      <c r="M2997" t="s">
        <v>18345</v>
      </c>
      <c r="N2997">
        <v>5</v>
      </c>
      <c r="O2997">
        <v>2</v>
      </c>
      <c r="P2997">
        <v>3</v>
      </c>
      <c r="Q2997">
        <v>5</v>
      </c>
      <c r="R2997">
        <v>2</v>
      </c>
      <c r="S2997">
        <v>3</v>
      </c>
      <c r="T2997">
        <v>0</v>
      </c>
      <c r="U2997" t="s">
        <v>18346</v>
      </c>
      <c r="V2997">
        <f>Tabla1[[#This Row],[Aboard]]-Tabla1[[#This Row],[Fatalities]]</f>
        <v>0</v>
      </c>
      <c r="W2997" s="50">
        <f>IFERROR(Tabla1[[#This Row],[Fatalities]]/Tabla1[[#This Row],[Aboard]],0)</f>
        <v>1</v>
      </c>
      <c r="X2997" s="51" t="str" cm="1">
        <f t="array" ref="X2997">_xlfn.IFS(Tabla1[[#This Row],[Porcentaje de muertes]]&lt;0.35,"LEVE",AND(Tabla1[[#This Row],[Porcentaje de muertes]]&gt;0.35,Tabla1[[#This Row],[Porcentaje de muertes]]&lt;0.65),"MEDIO",Tabla1[[#This Row],[Porcentaje de muertes]]&gt;0.65,"GRAVE")</f>
        <v>GRAVE</v>
      </c>
    </row>
    <row r="2998" spans="2:24" x14ac:dyDescent="0.3">
      <c r="B2998" s="9">
        <v>2997</v>
      </c>
      <c r="C2998" s="49">
        <v>28858</v>
      </c>
      <c r="D2998" s="9">
        <f>YEAR(Tabla1[[#This Row],[Date]])</f>
        <v>1979</v>
      </c>
      <c r="E2998" s="9" t="str" cm="1">
        <f t="array" ref="E2998">IFERROR(_xlfn.IFS(AND(D2998&lt;1980,D2998&gt;=1970),"70",AND(D2998&lt;1990,D2998&gt;=1980),"80",AND(D2998&lt;2000,D2998&gt;=1990),"90",AND(D2998&lt;2010,D2998&gt;=2000),"00",AND(D2998&lt;=2019,D2998&gt;=2010),"10"),"1908-1970")</f>
        <v>70</v>
      </c>
      <c r="F2998" s="3">
        <v>0.62777777777777777</v>
      </c>
      <c r="G2998" t="s">
        <v>18347</v>
      </c>
      <c r="H2998" t="s">
        <v>18348</v>
      </c>
      <c r="I2998" t="s">
        <v>28931</v>
      </c>
      <c r="J2998" t="s">
        <v>18349</v>
      </c>
      <c r="K2998" t="s">
        <v>18350</v>
      </c>
      <c r="L2998" s="7" t="s">
        <v>18351</v>
      </c>
      <c r="M2998" t="s">
        <v>18352</v>
      </c>
      <c r="N2998">
        <v>8</v>
      </c>
      <c r="O2998">
        <v>7</v>
      </c>
      <c r="P2998">
        <v>1</v>
      </c>
      <c r="Q2998">
        <v>8</v>
      </c>
      <c r="R2998">
        <v>7</v>
      </c>
      <c r="S2998">
        <v>1</v>
      </c>
      <c r="T2998">
        <v>0</v>
      </c>
      <c r="U2998" t="s">
        <v>18353</v>
      </c>
      <c r="V2998">
        <f>Tabla1[[#This Row],[Aboard]]-Tabla1[[#This Row],[Fatalities]]</f>
        <v>0</v>
      </c>
      <c r="W2998" s="50">
        <f>IFERROR(Tabla1[[#This Row],[Fatalities]]/Tabla1[[#This Row],[Aboard]],0)</f>
        <v>1</v>
      </c>
      <c r="X2998" s="51" t="str" cm="1">
        <f t="array" ref="X2998">_xlfn.IFS(Tabla1[[#This Row],[Porcentaje de muertes]]&lt;0.35,"LEVE",AND(Tabla1[[#This Row],[Porcentaje de muertes]]&gt;0.35,Tabla1[[#This Row],[Porcentaje de muertes]]&lt;0.65),"MEDIO",Tabla1[[#This Row],[Porcentaje de muertes]]&gt;0.65,"GRAVE")</f>
        <v>GRAVE</v>
      </c>
    </row>
    <row r="2999" spans="2:24" x14ac:dyDescent="0.3">
      <c r="B2999" s="9">
        <v>2998</v>
      </c>
      <c r="C2999" s="49">
        <v>29131</v>
      </c>
      <c r="D2999" s="9">
        <f>YEAR(Tabla1[[#This Row],[Date]])</f>
        <v>1979</v>
      </c>
      <c r="E2999" s="9" t="str" cm="1">
        <f t="array" ref="E2999">IFERROR(_xlfn.IFS(AND(D2999&lt;1980,D2999&gt;=1970),"70",AND(D2999&lt;1990,D2999&gt;=1980),"80",AND(D2999&lt;2000,D2999&gt;=1990),"90",AND(D2999&lt;2010,D2999&gt;=2000),"00",AND(D2999&lt;=2019,D2999&gt;=2010),"10"),"1908-1970")</f>
        <v>70</v>
      </c>
      <c r="F2999" s="3">
        <v>0.74444444444444446</v>
      </c>
      <c r="G2999" t="s">
        <v>18354</v>
      </c>
      <c r="H2999" t="s">
        <v>18355</v>
      </c>
      <c r="I2999">
        <v>235</v>
      </c>
      <c r="J2999" t="s">
        <v>18356</v>
      </c>
      <c r="K2999" t="s">
        <v>18357</v>
      </c>
      <c r="L2999" s="7" t="s">
        <v>18358</v>
      </c>
      <c r="M2999">
        <v>41</v>
      </c>
      <c r="N2999">
        <v>7</v>
      </c>
      <c r="O2999">
        <v>4</v>
      </c>
      <c r="P2999">
        <v>3</v>
      </c>
      <c r="Q2999">
        <v>3</v>
      </c>
      <c r="R2999">
        <v>1</v>
      </c>
      <c r="S2999">
        <v>2</v>
      </c>
      <c r="T2999">
        <v>0</v>
      </c>
      <c r="U2999" t="s">
        <v>18359</v>
      </c>
      <c r="V2999">
        <f>Tabla1[[#This Row],[Aboard]]-Tabla1[[#This Row],[Fatalities]]</f>
        <v>4</v>
      </c>
      <c r="W2999" s="50">
        <f>IFERROR(Tabla1[[#This Row],[Fatalities]]/Tabla1[[#This Row],[Aboard]],0)</f>
        <v>0.42857142857142855</v>
      </c>
      <c r="X2999" s="51" t="str" cm="1">
        <f t="array" ref="X2999">_xlfn.IFS(Tabla1[[#This Row],[Porcentaje de muertes]]&lt;0.35,"LEVE",AND(Tabla1[[#This Row],[Porcentaje de muertes]]&gt;0.35,Tabla1[[#This Row],[Porcentaje de muertes]]&lt;0.65),"MEDIO",Tabla1[[#This Row],[Porcentaje de muertes]]&gt;0.65,"GRAVE")</f>
        <v>MEDIO</v>
      </c>
    </row>
    <row r="3000" spans="2:24" x14ac:dyDescent="0.3">
      <c r="B3000" s="9">
        <v>2999</v>
      </c>
      <c r="C3000" s="49">
        <v>28928</v>
      </c>
      <c r="D3000" s="9">
        <f>YEAR(Tabla1[[#This Row],[Date]])</f>
        <v>1979</v>
      </c>
      <c r="E3000" s="9" t="str" cm="1">
        <f t="array" ref="E3000">IFERROR(_xlfn.IFS(AND(D3000&lt;1980,D3000&gt;=1970),"70",AND(D3000&lt;1990,D3000&gt;=1980),"80",AND(D3000&lt;2000,D3000&gt;=1990),"90",AND(D3000&lt;2010,D3000&gt;=2000),"00",AND(D3000&lt;=2019,D3000&gt;=2010),"10"),"1908-1970")</f>
        <v>70</v>
      </c>
      <c r="F3000" s="3">
        <v>0.36944444444444446</v>
      </c>
      <c r="G3000" t="s">
        <v>18360</v>
      </c>
      <c r="H3000" t="s">
        <v>17531</v>
      </c>
      <c r="I3000" t="s">
        <v>28931</v>
      </c>
      <c r="J3000" t="s">
        <v>28931</v>
      </c>
      <c r="K3000" t="s">
        <v>18361</v>
      </c>
      <c r="L3000" s="7" t="s">
        <v>18362</v>
      </c>
      <c r="M3000">
        <v>2172</v>
      </c>
      <c r="N3000">
        <v>12</v>
      </c>
      <c r="O3000">
        <v>0</v>
      </c>
      <c r="P3000">
        <v>12</v>
      </c>
      <c r="Q3000">
        <v>12</v>
      </c>
      <c r="R3000">
        <v>0</v>
      </c>
      <c r="S3000">
        <v>12</v>
      </c>
      <c r="T3000">
        <v>32</v>
      </c>
      <c r="U3000" t="s">
        <v>18363</v>
      </c>
      <c r="V3000">
        <f>Tabla1[[#This Row],[Aboard]]-Tabla1[[#This Row],[Fatalities]]</f>
        <v>0</v>
      </c>
      <c r="W3000" s="50">
        <f>IFERROR(Tabla1[[#This Row],[Fatalities]]/Tabla1[[#This Row],[Aboard]],0)</f>
        <v>1</v>
      </c>
      <c r="X3000" s="51" t="str" cm="1">
        <f t="array" ref="X3000">_xlfn.IFS(Tabla1[[#This Row],[Porcentaje de muertes]]&lt;0.35,"LEVE",AND(Tabla1[[#This Row],[Porcentaje de muertes]]&gt;0.35,Tabla1[[#This Row],[Porcentaje de muertes]]&lt;0.65),"MEDIO",Tabla1[[#This Row],[Porcentaje de muertes]]&gt;0.65,"GRAVE")</f>
        <v>GRAVE</v>
      </c>
    </row>
    <row r="3001" spans="2:24" x14ac:dyDescent="0.3">
      <c r="B3001" s="9">
        <v>3000</v>
      </c>
      <c r="C3001" s="49">
        <v>28928</v>
      </c>
      <c r="D3001" s="9">
        <f>YEAR(Tabla1[[#This Row],[Date]])</f>
        <v>1979</v>
      </c>
      <c r="E3001" s="9" t="str" cm="1">
        <f t="array" ref="E3001">IFERROR(_xlfn.IFS(AND(D3001&lt;1980,D3001&gt;=1970),"70",AND(D3001&lt;1990,D3001&gt;=1980),"80",AND(D3001&lt;2000,D3001&gt;=1990),"90",AND(D3001&lt;2010,D3001&gt;=2000),"00",AND(D3001&lt;=2019,D3001&gt;=2010),"10"),"1908-1970")</f>
        <v>70</v>
      </c>
      <c r="F3001" s="3">
        <v>0.98611111111111116</v>
      </c>
      <c r="G3001" t="s">
        <v>18364</v>
      </c>
      <c r="H3001" t="s">
        <v>14357</v>
      </c>
      <c r="I3001">
        <v>600</v>
      </c>
      <c r="J3001" t="s">
        <v>18365</v>
      </c>
      <c r="K3001" t="s">
        <v>18366</v>
      </c>
      <c r="L3001" s="7" t="s">
        <v>18367</v>
      </c>
      <c r="M3001" t="s">
        <v>18368</v>
      </c>
      <c r="N3001">
        <v>64</v>
      </c>
      <c r="O3001">
        <v>49</v>
      </c>
      <c r="P3001">
        <v>15</v>
      </c>
      <c r="Q3001">
        <v>45</v>
      </c>
      <c r="R3001">
        <v>41</v>
      </c>
      <c r="S3001">
        <v>4</v>
      </c>
      <c r="T3001">
        <v>0</v>
      </c>
      <c r="U3001" t="s">
        <v>18369</v>
      </c>
      <c r="V3001">
        <f>Tabla1[[#This Row],[Aboard]]-Tabla1[[#This Row],[Fatalities]]</f>
        <v>19</v>
      </c>
      <c r="W3001" s="50">
        <f>IFERROR(Tabla1[[#This Row],[Fatalities]]/Tabla1[[#This Row],[Aboard]],0)</f>
        <v>0.703125</v>
      </c>
      <c r="X3001" s="51" t="str" cm="1">
        <f t="array" ref="X3001">_xlfn.IFS(Tabla1[[#This Row],[Porcentaje de muertes]]&lt;0.35,"LEVE",AND(Tabla1[[#This Row],[Porcentaje de muertes]]&gt;0.35,Tabla1[[#This Row],[Porcentaje de muertes]]&lt;0.65),"MEDIO",Tabla1[[#This Row],[Porcentaje de muertes]]&gt;0.65,"GRAVE")</f>
        <v>GRAVE</v>
      </c>
    </row>
    <row r="3002" spans="2:24" x14ac:dyDescent="0.3">
      <c r="B3002" s="9">
        <v>3001</v>
      </c>
      <c r="C3002" s="49">
        <v>28931</v>
      </c>
      <c r="D3002" s="9">
        <f>YEAR(Tabla1[[#This Row],[Date]])</f>
        <v>1979</v>
      </c>
      <c r="E3002" s="9" t="str" cm="1">
        <f t="array" ref="E3002">IFERROR(_xlfn.IFS(AND(D3002&lt;1980,D3002&gt;=1970),"70",AND(D3002&lt;1990,D3002&gt;=1980),"80",AND(D3002&lt;2000,D3002&gt;=1990),"90",AND(D3002&lt;2010,D3002&gt;=2000),"00",AND(D3002&lt;=2019,D3002&gt;=2010),"10"),"1908-1970")</f>
        <v>70</v>
      </c>
      <c r="F3002" s="3">
        <v>0.8222222222222223</v>
      </c>
      <c r="G3002" t="s">
        <v>6590</v>
      </c>
      <c r="H3002" t="s">
        <v>6541</v>
      </c>
      <c r="I3002">
        <v>1691</v>
      </c>
      <c r="J3002" t="s">
        <v>18370</v>
      </c>
      <c r="K3002" t="s">
        <v>13269</v>
      </c>
      <c r="L3002" s="7" t="s">
        <v>18371</v>
      </c>
      <c r="M3002">
        <v>921001</v>
      </c>
      <c r="N3002">
        <v>119</v>
      </c>
      <c r="O3002">
        <v>113</v>
      </c>
      <c r="P3002">
        <v>6</v>
      </c>
      <c r="Q3002">
        <v>58</v>
      </c>
      <c r="R3002">
        <v>57</v>
      </c>
      <c r="S3002">
        <v>1</v>
      </c>
      <c r="T3002">
        <v>0</v>
      </c>
      <c r="U3002" t="s">
        <v>18372</v>
      </c>
      <c r="V3002">
        <f>Tabla1[[#This Row],[Aboard]]-Tabla1[[#This Row],[Fatalities]]</f>
        <v>61</v>
      </c>
      <c r="W3002" s="50">
        <f>IFERROR(Tabla1[[#This Row],[Fatalities]]/Tabla1[[#This Row],[Aboard]],0)</f>
        <v>0.48739495798319327</v>
      </c>
      <c r="X3002" s="51" t="str" cm="1">
        <f t="array" ref="X3002">_xlfn.IFS(Tabla1[[#This Row],[Porcentaje de muertes]]&lt;0.35,"LEVE",AND(Tabla1[[#This Row],[Porcentaje de muertes]]&gt;0.35,Tabla1[[#This Row],[Porcentaje de muertes]]&lt;0.65),"MEDIO",Tabla1[[#This Row],[Porcentaje de muertes]]&gt;0.65,"GRAVE")</f>
        <v>MEDIO</v>
      </c>
    </row>
    <row r="3003" spans="2:24" x14ac:dyDescent="0.3">
      <c r="B3003" s="9">
        <v>3002</v>
      </c>
      <c r="C3003" s="49">
        <v>28940</v>
      </c>
      <c r="D3003" s="9">
        <f>YEAR(Tabla1[[#This Row],[Date]])</f>
        <v>1979</v>
      </c>
      <c r="E3003" s="9" t="str" cm="1">
        <f t="array" ref="E3003">IFERROR(_xlfn.IFS(AND(D3003&lt;1980,D3003&gt;=1970),"70",AND(D3003&lt;1990,D3003&gt;=1980),"80",AND(D3003&lt;2000,D3003&gt;=1990),"90",AND(D3003&lt;2010,D3003&gt;=2000),"00",AND(D3003&lt;=2019,D3003&gt;=2010),"10"),"1908-1970")</f>
        <v>70</v>
      </c>
      <c r="F3003" s="3" t="s">
        <v>28931</v>
      </c>
      <c r="G3003" t="s">
        <v>18373</v>
      </c>
      <c r="H3003" t="s">
        <v>16544</v>
      </c>
      <c r="I3003" t="s">
        <v>28931</v>
      </c>
      <c r="J3003" t="s">
        <v>18374</v>
      </c>
      <c r="K3003" t="s">
        <v>13704</v>
      </c>
      <c r="L3003" s="7" t="s">
        <v>18375</v>
      </c>
      <c r="M3003">
        <v>186009402</v>
      </c>
      <c r="N3003">
        <v>10</v>
      </c>
      <c r="O3003">
        <v>6</v>
      </c>
      <c r="P3003">
        <v>4</v>
      </c>
      <c r="Q3003">
        <v>10</v>
      </c>
      <c r="R3003">
        <v>6</v>
      </c>
      <c r="S3003">
        <v>4</v>
      </c>
      <c r="T3003">
        <v>0</v>
      </c>
      <c r="U3003" t="s">
        <v>18376</v>
      </c>
      <c r="V3003">
        <f>Tabla1[[#This Row],[Aboard]]-Tabla1[[#This Row],[Fatalities]]</f>
        <v>0</v>
      </c>
      <c r="W3003" s="50">
        <f>IFERROR(Tabla1[[#This Row],[Fatalities]]/Tabla1[[#This Row],[Aboard]],0)</f>
        <v>1</v>
      </c>
      <c r="X3003" s="51" t="str" cm="1">
        <f t="array" ref="X3003">_xlfn.IFS(Tabla1[[#This Row],[Porcentaje de muertes]]&lt;0.35,"LEVE",AND(Tabla1[[#This Row],[Porcentaje de muertes]]&gt;0.35,Tabla1[[#This Row],[Porcentaje de muertes]]&lt;0.65),"MEDIO",Tabla1[[#This Row],[Porcentaje de muertes]]&gt;0.65,"GRAVE")</f>
        <v>GRAVE</v>
      </c>
    </row>
    <row r="3004" spans="2:24" x14ac:dyDescent="0.3">
      <c r="B3004" s="9">
        <v>3003</v>
      </c>
      <c r="C3004" s="49">
        <v>28943</v>
      </c>
      <c r="D3004" s="9">
        <f>YEAR(Tabla1[[#This Row],[Date]])</f>
        <v>1979</v>
      </c>
      <c r="E3004" s="9" t="str" cm="1">
        <f t="array" ref="E3004">IFERROR(_xlfn.IFS(AND(D3004&lt;1980,D3004&gt;=1970),"70",AND(D3004&lt;1990,D3004&gt;=1980),"80",AND(D3004&lt;2000,D3004&gt;=1990),"90",AND(D3004&lt;2010,D3004&gt;=2000),"00",AND(D3004&lt;=2019,D3004&gt;=2010),"10"),"1908-1970")</f>
        <v>70</v>
      </c>
      <c r="F3004" s="3" t="s">
        <v>28931</v>
      </c>
      <c r="G3004" t="s">
        <v>18377</v>
      </c>
      <c r="H3004" t="s">
        <v>11694</v>
      </c>
      <c r="I3004">
        <v>255</v>
      </c>
      <c r="J3004" t="s">
        <v>18378</v>
      </c>
      <c r="K3004" t="s">
        <v>13450</v>
      </c>
      <c r="L3004" s="7" t="s">
        <v>18379</v>
      </c>
      <c r="M3004">
        <v>47</v>
      </c>
      <c r="N3004">
        <v>24</v>
      </c>
      <c r="O3004">
        <v>21</v>
      </c>
      <c r="P3004">
        <v>3</v>
      </c>
      <c r="Q3004">
        <v>17</v>
      </c>
      <c r="R3004">
        <v>14</v>
      </c>
      <c r="S3004">
        <v>3</v>
      </c>
      <c r="T3004">
        <v>0</v>
      </c>
      <c r="U3004" t="s">
        <v>18380</v>
      </c>
      <c r="V3004">
        <f>Tabla1[[#This Row],[Aboard]]-Tabla1[[#This Row],[Fatalities]]</f>
        <v>7</v>
      </c>
      <c r="W3004" s="50">
        <f>IFERROR(Tabla1[[#This Row],[Fatalities]]/Tabla1[[#This Row],[Aboard]],0)</f>
        <v>0.70833333333333337</v>
      </c>
      <c r="X3004" s="51" t="str" cm="1">
        <f t="array" ref="X3004">_xlfn.IFS(Tabla1[[#This Row],[Porcentaje de muertes]]&lt;0.35,"LEVE",AND(Tabla1[[#This Row],[Porcentaje de muertes]]&gt;0.35,Tabla1[[#This Row],[Porcentaje de muertes]]&lt;0.65),"MEDIO",Tabla1[[#This Row],[Porcentaje de muertes]]&gt;0.65,"GRAVE")</f>
        <v>GRAVE</v>
      </c>
    </row>
    <row r="3005" spans="2:24" x14ac:dyDescent="0.3">
      <c r="B3005" s="9">
        <v>3004</v>
      </c>
      <c r="C3005" s="49">
        <v>28959</v>
      </c>
      <c r="D3005" s="9">
        <f>YEAR(Tabla1[[#This Row],[Date]])</f>
        <v>1979</v>
      </c>
      <c r="E3005" s="9" t="str" cm="1">
        <f t="array" ref="E3005">IFERROR(_xlfn.IFS(AND(D3005&lt;1980,D3005&gt;=1970),"70",AND(D3005&lt;1990,D3005&gt;=1980),"80",AND(D3005&lt;2000,D3005&gt;=1990),"90",AND(D3005&lt;2010,D3005&gt;=2000),"00",AND(D3005&lt;=2019,D3005&gt;=2010),"10"),"1908-1970")</f>
        <v>70</v>
      </c>
      <c r="F3005" s="3" t="s">
        <v>28931</v>
      </c>
      <c r="G3005" t="s">
        <v>18381</v>
      </c>
      <c r="H3005" t="s">
        <v>18382</v>
      </c>
      <c r="I3005" t="s">
        <v>28931</v>
      </c>
      <c r="J3005" t="s">
        <v>18383</v>
      </c>
      <c r="K3005" t="s">
        <v>7730</v>
      </c>
      <c r="L3005" s="7" t="s">
        <v>18384</v>
      </c>
      <c r="M3005">
        <v>1166</v>
      </c>
      <c r="N3005">
        <v>11</v>
      </c>
      <c r="O3005">
        <v>10</v>
      </c>
      <c r="P3005">
        <v>1</v>
      </c>
      <c r="Q3005">
        <v>1</v>
      </c>
      <c r="R3005">
        <v>1</v>
      </c>
      <c r="S3005">
        <v>0</v>
      </c>
      <c r="T3005">
        <v>0</v>
      </c>
      <c r="U3005" t="s">
        <v>18385</v>
      </c>
      <c r="V3005">
        <f>Tabla1[[#This Row],[Aboard]]-Tabla1[[#This Row],[Fatalities]]</f>
        <v>10</v>
      </c>
      <c r="W3005" s="50">
        <f>IFERROR(Tabla1[[#This Row],[Fatalities]]/Tabla1[[#This Row],[Aboard]],0)</f>
        <v>9.0909090909090912E-2</v>
      </c>
      <c r="X3005" s="51" t="str" cm="1">
        <f t="array" ref="X3005">_xlfn.IFS(Tabla1[[#This Row],[Porcentaje de muertes]]&lt;0.35,"LEVE",AND(Tabla1[[#This Row],[Porcentaje de muertes]]&gt;0.35,Tabla1[[#This Row],[Porcentaje de muertes]]&lt;0.65),"MEDIO",Tabla1[[#This Row],[Porcentaje de muertes]]&gt;0.65,"GRAVE")</f>
        <v>LEVE</v>
      </c>
    </row>
    <row r="3006" spans="2:24" x14ac:dyDescent="0.3">
      <c r="B3006" s="9">
        <v>3005</v>
      </c>
      <c r="C3006" s="49">
        <v>28963</v>
      </c>
      <c r="D3006" s="9">
        <f>YEAR(Tabla1[[#This Row],[Date]])</f>
        <v>1979</v>
      </c>
      <c r="E3006" s="9" t="str" cm="1">
        <f t="array" ref="E3006">IFERROR(_xlfn.IFS(AND(D3006&lt;1980,D3006&gt;=1970),"70",AND(D3006&lt;1990,D3006&gt;=1980),"80",AND(D3006&lt;2000,D3006&gt;=1990),"90",AND(D3006&lt;2010,D3006&gt;=2000),"00",AND(D3006&lt;=2019,D3006&gt;=2010),"10"),"1908-1970")</f>
        <v>70</v>
      </c>
      <c r="F3006" s="3">
        <v>0.76597222222222217</v>
      </c>
      <c r="G3006" t="s">
        <v>5132</v>
      </c>
      <c r="H3006" t="s">
        <v>13985</v>
      </c>
      <c r="I3006" t="s">
        <v>28931</v>
      </c>
      <c r="J3006" t="s">
        <v>18386</v>
      </c>
      <c r="K3006" t="s">
        <v>18387</v>
      </c>
      <c r="L3006" s="7" t="s">
        <v>18388</v>
      </c>
      <c r="M3006">
        <v>61426</v>
      </c>
      <c r="N3006">
        <v>18</v>
      </c>
      <c r="O3006">
        <v>15</v>
      </c>
      <c r="P3006">
        <v>3</v>
      </c>
      <c r="Q3006">
        <v>3</v>
      </c>
      <c r="R3006">
        <v>3</v>
      </c>
      <c r="S3006">
        <v>0</v>
      </c>
      <c r="T3006">
        <v>0</v>
      </c>
      <c r="U3006" t="s">
        <v>18389</v>
      </c>
      <c r="V3006">
        <f>Tabla1[[#This Row],[Aboard]]-Tabla1[[#This Row],[Fatalities]]</f>
        <v>15</v>
      </c>
      <c r="W3006" s="50">
        <f>IFERROR(Tabla1[[#This Row],[Fatalities]]/Tabla1[[#This Row],[Aboard]],0)</f>
        <v>0.16666666666666666</v>
      </c>
      <c r="X3006" s="51" t="str" cm="1">
        <f t="array" ref="X3006">_xlfn.IFS(Tabla1[[#This Row],[Porcentaje de muertes]]&lt;0.35,"LEVE",AND(Tabla1[[#This Row],[Porcentaje de muertes]]&gt;0.35,Tabla1[[#This Row],[Porcentaje de muertes]]&lt;0.65),"MEDIO",Tabla1[[#This Row],[Porcentaje de muertes]]&gt;0.65,"GRAVE")</f>
        <v>LEVE</v>
      </c>
    </row>
    <row r="3007" spans="2:24" x14ac:dyDescent="0.3">
      <c r="B3007" s="9">
        <v>3006</v>
      </c>
      <c r="C3007" s="49">
        <v>28968</v>
      </c>
      <c r="D3007" s="9">
        <f>YEAR(Tabla1[[#This Row],[Date]])</f>
        <v>1979</v>
      </c>
      <c r="E3007" s="9" t="str" cm="1">
        <f t="array" ref="E3007">IFERROR(_xlfn.IFS(AND(D3007&lt;1980,D3007&gt;=1970),"70",AND(D3007&lt;1990,D3007&gt;=1980),"80",AND(D3007&lt;2000,D3007&gt;=1990),"90",AND(D3007&lt;2010,D3007&gt;=2000),"00",AND(D3007&lt;=2019,D3007&gt;=2010),"10"),"1908-1970")</f>
        <v>70</v>
      </c>
      <c r="F3007" s="3" t="s">
        <v>28931</v>
      </c>
      <c r="G3007" t="s">
        <v>17947</v>
      </c>
      <c r="H3007" t="s">
        <v>9883</v>
      </c>
      <c r="I3007" t="s">
        <v>28931</v>
      </c>
      <c r="J3007" t="s">
        <v>17654</v>
      </c>
      <c r="K3007" t="s">
        <v>14108</v>
      </c>
      <c r="L3007" s="7" t="s">
        <v>18390</v>
      </c>
      <c r="M3007">
        <v>329</v>
      </c>
      <c r="N3007">
        <v>57</v>
      </c>
      <c r="O3007">
        <v>52</v>
      </c>
      <c r="P3007">
        <v>5</v>
      </c>
      <c r="Q3007">
        <v>57</v>
      </c>
      <c r="R3007">
        <v>52</v>
      </c>
      <c r="S3007">
        <v>5</v>
      </c>
      <c r="T3007">
        <v>0</v>
      </c>
      <c r="U3007" t="s">
        <v>18391</v>
      </c>
      <c r="V3007">
        <f>Tabla1[[#This Row],[Aboard]]-Tabla1[[#This Row],[Fatalities]]</f>
        <v>0</v>
      </c>
      <c r="W3007" s="50">
        <f>IFERROR(Tabla1[[#This Row],[Fatalities]]/Tabla1[[#This Row],[Aboard]],0)</f>
        <v>1</v>
      </c>
      <c r="X3007" s="51" t="str" cm="1">
        <f t="array" ref="X3007">_xlfn.IFS(Tabla1[[#This Row],[Porcentaje de muertes]]&lt;0.35,"LEVE",AND(Tabla1[[#This Row],[Porcentaje de muertes]]&gt;0.35,Tabla1[[#This Row],[Porcentaje de muertes]]&lt;0.65),"MEDIO",Tabla1[[#This Row],[Porcentaje de muertes]]&gt;0.65,"GRAVE")</f>
        <v>GRAVE</v>
      </c>
    </row>
    <row r="3008" spans="2:24" x14ac:dyDescent="0.3">
      <c r="B3008" s="9">
        <v>3007</v>
      </c>
      <c r="C3008" s="49">
        <v>29000</v>
      </c>
      <c r="D3008" s="9">
        <f>YEAR(Tabla1[[#This Row],[Date]])</f>
        <v>1979</v>
      </c>
      <c r="E3008" s="9" t="str" cm="1">
        <f t="array" ref="E3008">IFERROR(_xlfn.IFS(AND(D3008&lt;1980,D3008&gt;=1970),"70",AND(D3008&lt;1990,D3008&gt;=1980),"80",AND(D3008&lt;2000,D3008&gt;=1990),"90",AND(D3008&lt;2010,D3008&gt;=2000),"00",AND(D3008&lt;=2019,D3008&gt;=2010),"10"),"1908-1970")</f>
        <v>70</v>
      </c>
      <c r="F3008" s="3">
        <v>0.86111111111111116</v>
      </c>
      <c r="G3008" t="s">
        <v>18392</v>
      </c>
      <c r="H3008" t="s">
        <v>18393</v>
      </c>
      <c r="I3008" t="s">
        <v>28931</v>
      </c>
      <c r="J3008" t="s">
        <v>18394</v>
      </c>
      <c r="K3008" t="s">
        <v>18395</v>
      </c>
      <c r="L3008" s="7" t="s">
        <v>18396</v>
      </c>
      <c r="M3008">
        <v>253</v>
      </c>
      <c r="N3008">
        <v>3</v>
      </c>
      <c r="O3008">
        <v>0</v>
      </c>
      <c r="P3008">
        <v>3</v>
      </c>
      <c r="Q3008">
        <v>3</v>
      </c>
      <c r="R3008">
        <v>0</v>
      </c>
      <c r="S3008">
        <v>3</v>
      </c>
      <c r="T3008">
        <v>0</v>
      </c>
      <c r="U3008" t="s">
        <v>18397</v>
      </c>
      <c r="V3008">
        <f>Tabla1[[#This Row],[Aboard]]-Tabla1[[#This Row],[Fatalities]]</f>
        <v>0</v>
      </c>
      <c r="W3008" s="50">
        <f>IFERROR(Tabla1[[#This Row],[Fatalities]]/Tabla1[[#This Row],[Aboard]],0)</f>
        <v>1</v>
      </c>
      <c r="X3008" s="51" t="str" cm="1">
        <f t="array" ref="X3008">_xlfn.IFS(Tabla1[[#This Row],[Porcentaje de muertes]]&lt;0.35,"LEVE",AND(Tabla1[[#This Row],[Porcentaje de muertes]]&gt;0.35,Tabla1[[#This Row],[Porcentaje de muertes]]&lt;0.65),"MEDIO",Tabla1[[#This Row],[Porcentaje de muertes]]&gt;0.65,"GRAVE")</f>
        <v>GRAVE</v>
      </c>
    </row>
    <row r="3009" spans="2:24" x14ac:dyDescent="0.3">
      <c r="B3009" s="9">
        <v>3008</v>
      </c>
      <c r="C3009" s="49">
        <v>29000</v>
      </c>
      <c r="D3009" s="9">
        <f>YEAR(Tabla1[[#This Row],[Date]])</f>
        <v>1979</v>
      </c>
      <c r="E3009" s="9" t="str" cm="1">
        <f t="array" ref="E3009">IFERROR(_xlfn.IFS(AND(D3009&lt;1980,D3009&gt;=1970),"70",AND(D3009&lt;1990,D3009&gt;=1980),"80",AND(D3009&lt;2000,D3009&gt;=1990),"90",AND(D3009&lt;2010,D3009&gt;=2000),"00",AND(D3009&lt;=2019,D3009&gt;=2010),"10"),"1908-1970")</f>
        <v>70</v>
      </c>
      <c r="F3009" s="3">
        <v>0.62777777777777777</v>
      </c>
      <c r="G3009" t="s">
        <v>18398</v>
      </c>
      <c r="H3009" t="s">
        <v>6536</v>
      </c>
      <c r="I3009">
        <v>191</v>
      </c>
      <c r="J3009" t="s">
        <v>18399</v>
      </c>
      <c r="K3009" t="s">
        <v>16963</v>
      </c>
      <c r="L3009" s="7" t="s">
        <v>18400</v>
      </c>
      <c r="M3009" t="s">
        <v>18401</v>
      </c>
      <c r="N3009">
        <v>271</v>
      </c>
      <c r="O3009">
        <v>258</v>
      </c>
      <c r="P3009">
        <v>13</v>
      </c>
      <c r="Q3009">
        <v>271</v>
      </c>
      <c r="R3009">
        <v>258</v>
      </c>
      <c r="S3009">
        <v>13</v>
      </c>
      <c r="T3009">
        <v>2</v>
      </c>
      <c r="U3009" t="s">
        <v>18402</v>
      </c>
      <c r="V3009">
        <f>Tabla1[[#This Row],[Aboard]]-Tabla1[[#This Row],[Fatalities]]</f>
        <v>0</v>
      </c>
      <c r="W3009" s="50">
        <f>IFERROR(Tabla1[[#This Row],[Fatalities]]/Tabla1[[#This Row],[Aboard]],0)</f>
        <v>1</v>
      </c>
      <c r="X3009" s="51" t="str" cm="1">
        <f t="array" ref="X3009">_xlfn.IFS(Tabla1[[#This Row],[Porcentaje de muertes]]&lt;0.35,"LEVE",AND(Tabla1[[#This Row],[Porcentaje de muertes]]&gt;0.35,Tabla1[[#This Row],[Porcentaje de muertes]]&lt;0.65),"MEDIO",Tabla1[[#This Row],[Porcentaje de muertes]]&gt;0.65,"GRAVE")</f>
        <v>GRAVE</v>
      </c>
    </row>
    <row r="3010" spans="2:24" x14ac:dyDescent="0.3">
      <c r="B3010" s="9">
        <v>3009</v>
      </c>
      <c r="C3010" s="49">
        <v>29002</v>
      </c>
      <c r="D3010" s="9">
        <f>YEAR(Tabla1[[#This Row],[Date]])</f>
        <v>1979</v>
      </c>
      <c r="E3010" s="9" t="str" cm="1">
        <f t="array" ref="E3010">IFERROR(_xlfn.IFS(AND(D3010&lt;1980,D3010&gt;=1970),"70",AND(D3010&lt;1990,D3010&gt;=1980),"80",AND(D3010&lt;2000,D3010&gt;=1990),"90",AND(D3010&lt;2010,D3010&gt;=2000),"00",AND(D3010&lt;=2019,D3010&gt;=2010),"10"),"1908-1970")</f>
        <v>70</v>
      </c>
      <c r="F3010" s="3" t="s">
        <v>28931</v>
      </c>
      <c r="G3010" t="s">
        <v>9078</v>
      </c>
      <c r="H3010" t="s">
        <v>18403</v>
      </c>
      <c r="I3010" t="s">
        <v>28931</v>
      </c>
      <c r="J3010" t="s">
        <v>18404</v>
      </c>
      <c r="K3010" t="s">
        <v>18405</v>
      </c>
      <c r="L3010" s="7" t="s">
        <v>18406</v>
      </c>
      <c r="M3010">
        <v>88</v>
      </c>
      <c r="N3010">
        <v>12</v>
      </c>
      <c r="O3010">
        <v>7</v>
      </c>
      <c r="P3010">
        <v>5</v>
      </c>
      <c r="Q3010">
        <v>12</v>
      </c>
      <c r="R3010">
        <v>7</v>
      </c>
      <c r="S3010">
        <v>5</v>
      </c>
      <c r="T3010">
        <v>0</v>
      </c>
      <c r="U3010" t="s">
        <v>18407</v>
      </c>
      <c r="V3010">
        <f>Tabla1[[#This Row],[Aboard]]-Tabla1[[#This Row],[Fatalities]]</f>
        <v>0</v>
      </c>
      <c r="W3010" s="50">
        <f>IFERROR(Tabla1[[#This Row],[Fatalities]]/Tabla1[[#This Row],[Aboard]],0)</f>
        <v>1</v>
      </c>
      <c r="X3010" s="51" t="str" cm="1">
        <f t="array" ref="X3010">_xlfn.IFS(Tabla1[[#This Row],[Porcentaje de muertes]]&lt;0.35,"LEVE",AND(Tabla1[[#This Row],[Porcentaje de muertes]]&gt;0.35,Tabla1[[#This Row],[Porcentaje de muertes]]&lt;0.65),"MEDIO",Tabla1[[#This Row],[Porcentaje de muertes]]&gt;0.65,"GRAVE")</f>
        <v>GRAVE</v>
      </c>
    </row>
    <row r="3011" spans="2:24" x14ac:dyDescent="0.3">
      <c r="B3011" s="9">
        <v>3010</v>
      </c>
      <c r="C3011" s="49">
        <v>29005</v>
      </c>
      <c r="D3011" s="9">
        <f>YEAR(Tabla1[[#This Row],[Date]])</f>
        <v>1979</v>
      </c>
      <c r="E3011" s="9" t="str" cm="1">
        <f t="array" ref="E3011">IFERROR(_xlfn.IFS(AND(D3011&lt;1980,D3011&gt;=1970),"70",AND(D3011&lt;1990,D3011&gt;=1980),"80",AND(D3011&lt;2000,D3011&gt;=1990),"90",AND(D3011&lt;2010,D3011&gt;=2000),"00",AND(D3011&lt;=2019,D3011&gt;=2010),"10"),"1908-1970")</f>
        <v>70</v>
      </c>
      <c r="F3011" s="3">
        <v>0.87152777777777779</v>
      </c>
      <c r="G3011" t="s">
        <v>18408</v>
      </c>
      <c r="H3011" t="s">
        <v>16224</v>
      </c>
      <c r="I3011">
        <v>46</v>
      </c>
      <c r="J3011" t="s">
        <v>18409</v>
      </c>
      <c r="K3011" t="s">
        <v>18410</v>
      </c>
      <c r="L3011" s="7" t="s">
        <v>18411</v>
      </c>
      <c r="M3011">
        <v>229</v>
      </c>
      <c r="N3011">
        <v>18</v>
      </c>
      <c r="O3011">
        <v>16</v>
      </c>
      <c r="P3011">
        <v>2</v>
      </c>
      <c r="Q3011">
        <v>17</v>
      </c>
      <c r="R3011">
        <v>15</v>
      </c>
      <c r="S3011">
        <v>2</v>
      </c>
      <c r="T3011">
        <v>0</v>
      </c>
      <c r="U3011" t="s">
        <v>18412</v>
      </c>
      <c r="V3011">
        <f>Tabla1[[#This Row],[Aboard]]-Tabla1[[#This Row],[Fatalities]]</f>
        <v>1</v>
      </c>
      <c r="W3011" s="50">
        <f>IFERROR(Tabla1[[#This Row],[Fatalities]]/Tabla1[[#This Row],[Aboard]],0)</f>
        <v>0.94444444444444442</v>
      </c>
      <c r="X3011" s="51" t="str" cm="1">
        <f t="array" ref="X3011">_xlfn.IFS(Tabla1[[#This Row],[Porcentaje de muertes]]&lt;0.35,"LEVE",AND(Tabla1[[#This Row],[Porcentaje de muertes]]&gt;0.35,Tabla1[[#This Row],[Porcentaje de muertes]]&lt;0.65),"MEDIO",Tabla1[[#This Row],[Porcentaje de muertes]]&gt;0.65,"GRAVE")</f>
        <v>GRAVE</v>
      </c>
    </row>
    <row r="3012" spans="2:24" x14ac:dyDescent="0.3">
      <c r="B3012" s="9">
        <v>3011</v>
      </c>
      <c r="C3012" s="49">
        <v>29042</v>
      </c>
      <c r="D3012" s="9">
        <f>YEAR(Tabla1[[#This Row],[Date]])</f>
        <v>1979</v>
      </c>
      <c r="E3012" s="9" t="str" cm="1">
        <f t="array" ref="E3012">IFERROR(_xlfn.IFS(AND(D3012&lt;1980,D3012&gt;=1970),"70",AND(D3012&lt;1990,D3012&gt;=1980),"80",AND(D3012&lt;2000,D3012&gt;=1990),"90",AND(D3012&lt;2010,D3012&gt;=2000),"00",AND(D3012&lt;=2019,D3012&gt;=2010),"10"),"1908-1970")</f>
        <v>70</v>
      </c>
      <c r="F3012" s="3">
        <v>0.45833333333333331</v>
      </c>
      <c r="G3012" t="s">
        <v>18272</v>
      </c>
      <c r="H3012" t="s">
        <v>8036</v>
      </c>
      <c r="I3012" t="s">
        <v>28931</v>
      </c>
      <c r="J3012" t="s">
        <v>28931</v>
      </c>
      <c r="K3012" t="s">
        <v>18413</v>
      </c>
      <c r="L3012" s="7" t="s">
        <v>18414</v>
      </c>
      <c r="M3012">
        <v>572</v>
      </c>
      <c r="N3012">
        <v>27</v>
      </c>
      <c r="O3012">
        <v>0</v>
      </c>
      <c r="P3012">
        <v>27</v>
      </c>
      <c r="Q3012">
        <v>27</v>
      </c>
      <c r="R3012">
        <v>0</v>
      </c>
      <c r="S3012">
        <v>27</v>
      </c>
      <c r="T3012">
        <v>0</v>
      </c>
      <c r="U3012" t="s">
        <v>18415</v>
      </c>
      <c r="V3012">
        <f>Tabla1[[#This Row],[Aboard]]-Tabla1[[#This Row],[Fatalities]]</f>
        <v>0</v>
      </c>
      <c r="W3012" s="50">
        <f>IFERROR(Tabla1[[#This Row],[Fatalities]]/Tabla1[[#This Row],[Aboard]],0)</f>
        <v>1</v>
      </c>
      <c r="X3012" s="51" t="str" cm="1">
        <f t="array" ref="X3012">_xlfn.IFS(Tabla1[[#This Row],[Porcentaje de muertes]]&lt;0.35,"LEVE",AND(Tabla1[[#This Row],[Porcentaje de muertes]]&gt;0.35,Tabla1[[#This Row],[Porcentaje de muertes]]&lt;0.65),"MEDIO",Tabla1[[#This Row],[Porcentaje de muertes]]&gt;0.65,"GRAVE")</f>
        <v>GRAVE</v>
      </c>
    </row>
    <row r="3013" spans="2:24" x14ac:dyDescent="0.3">
      <c r="B3013" s="9">
        <v>3012</v>
      </c>
      <c r="C3013" s="49">
        <v>29023</v>
      </c>
      <c r="D3013" s="9">
        <f>YEAR(Tabla1[[#This Row],[Date]])</f>
        <v>1979</v>
      </c>
      <c r="E3013" s="9" t="str" cm="1">
        <f t="array" ref="E3013">IFERROR(_xlfn.IFS(AND(D3013&lt;1980,D3013&gt;=1970),"70",AND(D3013&lt;1990,D3013&gt;=1980),"80",AND(D3013&lt;2000,D3013&gt;=1990),"90",AND(D3013&lt;2010,D3013&gt;=2000),"00",AND(D3013&lt;=2019,D3013&gt;=2010),"10"),"1908-1970")</f>
        <v>70</v>
      </c>
      <c r="F3013" s="3">
        <v>0.95000000000000007</v>
      </c>
      <c r="G3013" t="s">
        <v>18416</v>
      </c>
      <c r="H3013" t="s">
        <v>18417</v>
      </c>
      <c r="I3013">
        <v>248</v>
      </c>
      <c r="J3013" t="s">
        <v>18418</v>
      </c>
      <c r="K3013" t="s">
        <v>16680</v>
      </c>
      <c r="L3013" s="7" t="s">
        <v>18419</v>
      </c>
      <c r="M3013">
        <v>245</v>
      </c>
      <c r="N3013">
        <v>10</v>
      </c>
      <c r="O3013">
        <v>8</v>
      </c>
      <c r="P3013">
        <v>2</v>
      </c>
      <c r="Q3013">
        <v>1</v>
      </c>
      <c r="R3013">
        <v>0</v>
      </c>
      <c r="S3013">
        <v>1</v>
      </c>
      <c r="T3013">
        <v>0</v>
      </c>
      <c r="U3013" t="s">
        <v>18420</v>
      </c>
      <c r="V3013">
        <f>Tabla1[[#This Row],[Aboard]]-Tabla1[[#This Row],[Fatalities]]</f>
        <v>9</v>
      </c>
      <c r="W3013" s="50">
        <f>IFERROR(Tabla1[[#This Row],[Fatalities]]/Tabla1[[#This Row],[Aboard]],0)</f>
        <v>0.1</v>
      </c>
      <c r="X3013" s="51" t="str" cm="1">
        <f t="array" ref="X3013">_xlfn.IFS(Tabla1[[#This Row],[Porcentaje de muertes]]&lt;0.35,"LEVE",AND(Tabla1[[#This Row],[Porcentaje de muertes]]&gt;0.35,Tabla1[[#This Row],[Porcentaje de muertes]]&lt;0.65),"MEDIO",Tabla1[[#This Row],[Porcentaje de muertes]]&gt;0.65,"GRAVE")</f>
        <v>LEVE</v>
      </c>
    </row>
    <row r="3014" spans="2:24" x14ac:dyDescent="0.3">
      <c r="B3014" s="9">
        <v>3013</v>
      </c>
      <c r="C3014" s="49">
        <v>29166</v>
      </c>
      <c r="D3014" s="9">
        <f>YEAR(Tabla1[[#This Row],[Date]])</f>
        <v>1979</v>
      </c>
      <c r="E3014" s="9" t="str" cm="1">
        <f t="array" ref="E3014">IFERROR(_xlfn.IFS(AND(D3014&lt;1980,D3014&gt;=1970),"70",AND(D3014&lt;1990,D3014&gt;=1980),"80",AND(D3014&lt;2000,D3014&gt;=1990),"90",AND(D3014&lt;2010,D3014&gt;=2000),"00",AND(D3014&lt;=2019,D3014&gt;=2010),"10"),"1908-1970")</f>
        <v>70</v>
      </c>
      <c r="F3014" s="3">
        <v>0.79166666666666663</v>
      </c>
      <c r="G3014" t="s">
        <v>18421</v>
      </c>
      <c r="H3014" t="s">
        <v>10225</v>
      </c>
      <c r="I3014" t="s">
        <v>28931</v>
      </c>
      <c r="J3014" t="s">
        <v>18422</v>
      </c>
      <c r="K3014" t="s">
        <v>16685</v>
      </c>
      <c r="L3014" s="7" t="s">
        <v>18423</v>
      </c>
      <c r="M3014">
        <v>11055</v>
      </c>
      <c r="N3014">
        <v>61</v>
      </c>
      <c r="O3014">
        <v>57</v>
      </c>
      <c r="P3014">
        <v>4</v>
      </c>
      <c r="Q3014">
        <v>61</v>
      </c>
      <c r="R3014">
        <v>57</v>
      </c>
      <c r="S3014">
        <v>4</v>
      </c>
      <c r="T3014">
        <v>0</v>
      </c>
      <c r="U3014" t="s">
        <v>18424</v>
      </c>
      <c r="V3014">
        <f>Tabla1[[#This Row],[Aboard]]-Tabla1[[#This Row],[Fatalities]]</f>
        <v>0</v>
      </c>
      <c r="W3014" s="50">
        <f>IFERROR(Tabla1[[#This Row],[Fatalities]]/Tabla1[[#This Row],[Aboard]],0)</f>
        <v>1</v>
      </c>
      <c r="X3014" s="51" t="str" cm="1">
        <f t="array" ref="X3014">_xlfn.IFS(Tabla1[[#This Row],[Porcentaje de muertes]]&lt;0.35,"LEVE",AND(Tabla1[[#This Row],[Porcentaje de muertes]]&gt;0.35,Tabla1[[#This Row],[Porcentaje de muertes]]&lt;0.65),"MEDIO",Tabla1[[#This Row],[Porcentaje de muertes]]&gt;0.65,"GRAVE")</f>
        <v>GRAVE</v>
      </c>
    </row>
    <row r="3015" spans="2:24" x14ac:dyDescent="0.3">
      <c r="B3015" s="9">
        <v>3014</v>
      </c>
      <c r="C3015" s="49">
        <v>29196</v>
      </c>
      <c r="D3015" s="9">
        <f>YEAR(Tabla1[[#This Row],[Date]])</f>
        <v>1979</v>
      </c>
      <c r="E3015" s="9" t="str" cm="1">
        <f t="array" ref="E3015">IFERROR(_xlfn.IFS(AND(D3015&lt;1980,D3015&gt;=1970),"70",AND(D3015&lt;1990,D3015&gt;=1980),"80",AND(D3015&lt;2000,D3015&gt;=1990),"90",AND(D3015&lt;2010,D3015&gt;=2000),"00",AND(D3015&lt;=2019,D3015&gt;=2010),"10"),"1908-1970")</f>
        <v>70</v>
      </c>
      <c r="F3015" s="3">
        <v>0.43055555555555558</v>
      </c>
      <c r="G3015" t="s">
        <v>18425</v>
      </c>
      <c r="H3015" t="s">
        <v>18426</v>
      </c>
      <c r="I3015" t="s">
        <v>28931</v>
      </c>
      <c r="J3015" t="s">
        <v>18427</v>
      </c>
      <c r="K3015" t="s">
        <v>18254</v>
      </c>
      <c r="L3015" s="7" t="s">
        <v>18428</v>
      </c>
      <c r="M3015">
        <v>195</v>
      </c>
      <c r="N3015">
        <v>9</v>
      </c>
      <c r="O3015">
        <v>8</v>
      </c>
      <c r="P3015">
        <v>1</v>
      </c>
      <c r="Q3015">
        <v>9</v>
      </c>
      <c r="R3015">
        <v>8</v>
      </c>
      <c r="S3015">
        <v>1</v>
      </c>
      <c r="T3015">
        <v>0</v>
      </c>
      <c r="U3015" t="s">
        <v>18429</v>
      </c>
      <c r="V3015">
        <f>Tabla1[[#This Row],[Aboard]]-Tabla1[[#This Row],[Fatalities]]</f>
        <v>0</v>
      </c>
      <c r="W3015" s="50">
        <f>IFERROR(Tabla1[[#This Row],[Fatalities]]/Tabla1[[#This Row],[Aboard]],0)</f>
        <v>1</v>
      </c>
      <c r="X3015" s="51" t="str" cm="1">
        <f t="array" ref="X3015">_xlfn.IFS(Tabla1[[#This Row],[Porcentaje de muertes]]&lt;0.35,"LEVE",AND(Tabla1[[#This Row],[Porcentaje de muertes]]&gt;0.35,Tabla1[[#This Row],[Porcentaje de muertes]]&lt;0.65),"MEDIO",Tabla1[[#This Row],[Porcentaje de muertes]]&gt;0.65,"GRAVE")</f>
        <v>GRAVE</v>
      </c>
    </row>
    <row r="3016" spans="2:24" x14ac:dyDescent="0.3">
      <c r="B3016" s="9">
        <v>3015</v>
      </c>
      <c r="C3016" s="49">
        <v>29196</v>
      </c>
      <c r="D3016" s="9">
        <f>YEAR(Tabla1[[#This Row],[Date]])</f>
        <v>1979</v>
      </c>
      <c r="E3016" s="9" t="str" cm="1">
        <f t="array" ref="E3016">IFERROR(_xlfn.IFS(AND(D3016&lt;1980,D3016&gt;=1970),"70",AND(D3016&lt;1990,D3016&gt;=1980),"80",AND(D3016&lt;2000,D3016&gt;=1990),"90",AND(D3016&lt;2010,D3016&gt;=2000),"00",AND(D3016&lt;=2019,D3016&gt;=2010),"10"),"1908-1970")</f>
        <v>70</v>
      </c>
      <c r="F3016" s="3">
        <v>0.3972222222222222</v>
      </c>
      <c r="G3016" t="s">
        <v>16022</v>
      </c>
      <c r="H3016" t="s">
        <v>18430</v>
      </c>
      <c r="I3016" t="s">
        <v>28931</v>
      </c>
      <c r="J3016" t="s">
        <v>18431</v>
      </c>
      <c r="K3016" t="s">
        <v>18432</v>
      </c>
      <c r="L3016" s="7" t="s">
        <v>18433</v>
      </c>
      <c r="M3016" t="s">
        <v>18434</v>
      </c>
      <c r="N3016">
        <v>7</v>
      </c>
      <c r="O3016">
        <v>6</v>
      </c>
      <c r="P3016">
        <v>1</v>
      </c>
      <c r="Q3016">
        <v>7</v>
      </c>
      <c r="R3016">
        <v>6</v>
      </c>
      <c r="S3016">
        <v>1</v>
      </c>
      <c r="T3016">
        <v>0</v>
      </c>
      <c r="U3016" t="s">
        <v>18435</v>
      </c>
      <c r="V3016">
        <f>Tabla1[[#This Row],[Aboard]]-Tabla1[[#This Row],[Fatalities]]</f>
        <v>0</v>
      </c>
      <c r="W3016" s="50">
        <f>IFERROR(Tabla1[[#This Row],[Fatalities]]/Tabla1[[#This Row],[Aboard]],0)</f>
        <v>1</v>
      </c>
      <c r="X3016" s="51" t="str" cm="1">
        <f t="array" ref="X3016">_xlfn.IFS(Tabla1[[#This Row],[Porcentaje de muertes]]&lt;0.35,"LEVE",AND(Tabla1[[#This Row],[Porcentaje de muertes]]&gt;0.35,Tabla1[[#This Row],[Porcentaje de muertes]]&lt;0.65),"MEDIO",Tabla1[[#This Row],[Porcentaje de muertes]]&gt;0.65,"GRAVE")</f>
        <v>GRAVE</v>
      </c>
    </row>
    <row r="3017" spans="2:24" x14ac:dyDescent="0.3">
      <c r="B3017" s="9">
        <v>3016</v>
      </c>
      <c r="C3017" s="49">
        <v>29059</v>
      </c>
      <c r="D3017" s="9">
        <f>YEAR(Tabla1[[#This Row],[Date]])</f>
        <v>1979</v>
      </c>
      <c r="E3017" s="9" t="str" cm="1">
        <f t="array" ref="E3017">IFERROR(_xlfn.IFS(AND(D3017&lt;1980,D3017&gt;=1970),"70",AND(D3017&lt;1990,D3017&gt;=1980),"80",AND(D3017&lt;2000,D3017&gt;=1990),"90",AND(D3017&lt;2010,D3017&gt;=2000),"00",AND(D3017&lt;=2019,D3017&gt;=2010),"10"),"1908-1970")</f>
        <v>70</v>
      </c>
      <c r="F3017" s="3" t="s">
        <v>28931</v>
      </c>
      <c r="G3017" t="s">
        <v>12151</v>
      </c>
      <c r="H3017" t="s">
        <v>13590</v>
      </c>
      <c r="I3017" t="s">
        <v>28931</v>
      </c>
      <c r="J3017" t="s">
        <v>6190</v>
      </c>
      <c r="K3017" t="s">
        <v>16822</v>
      </c>
      <c r="L3017" s="7" t="s">
        <v>18436</v>
      </c>
      <c r="M3017" t="s">
        <v>18437</v>
      </c>
      <c r="N3017">
        <v>6</v>
      </c>
      <c r="O3017">
        <v>0</v>
      </c>
      <c r="P3017">
        <v>6</v>
      </c>
      <c r="Q3017">
        <v>6</v>
      </c>
      <c r="R3017">
        <v>0</v>
      </c>
      <c r="S3017">
        <v>6</v>
      </c>
      <c r="T3017">
        <v>0</v>
      </c>
      <c r="U3017" t="s">
        <v>18438</v>
      </c>
      <c r="V3017">
        <f>Tabla1[[#This Row],[Aboard]]-Tabla1[[#This Row],[Fatalities]]</f>
        <v>0</v>
      </c>
      <c r="W3017" s="50">
        <f>IFERROR(Tabla1[[#This Row],[Fatalities]]/Tabla1[[#This Row],[Aboard]],0)</f>
        <v>1</v>
      </c>
      <c r="X3017" s="51" t="str" cm="1">
        <f t="array" ref="X3017">_xlfn.IFS(Tabla1[[#This Row],[Porcentaje de muertes]]&lt;0.35,"LEVE",AND(Tabla1[[#This Row],[Porcentaje de muertes]]&gt;0.35,Tabla1[[#This Row],[Porcentaje de muertes]]&lt;0.65),"MEDIO",Tabla1[[#This Row],[Porcentaje de muertes]]&gt;0.65,"GRAVE")</f>
        <v>GRAVE</v>
      </c>
    </row>
    <row r="3018" spans="2:24" x14ac:dyDescent="0.3">
      <c r="B3018" s="9">
        <v>3017</v>
      </c>
      <c r="C3018" s="49">
        <v>29060</v>
      </c>
      <c r="D3018" s="9">
        <f>YEAR(Tabla1[[#This Row],[Date]])</f>
        <v>1979</v>
      </c>
      <c r="E3018" s="9" t="str" cm="1">
        <f t="array" ref="E3018">IFERROR(_xlfn.IFS(AND(D3018&lt;1980,D3018&gt;=1970),"70",AND(D3018&lt;1990,D3018&gt;=1980),"80",AND(D3018&lt;2000,D3018&gt;=1990),"90",AND(D3018&lt;2010,D3018&gt;=2000),"00",AND(D3018&lt;=2019,D3018&gt;=2010),"10"),"1908-1970")</f>
        <v>70</v>
      </c>
      <c r="F3018" s="3">
        <v>0.39027777777777778</v>
      </c>
      <c r="G3018" t="s">
        <v>17552</v>
      </c>
      <c r="H3018" t="s">
        <v>15452</v>
      </c>
      <c r="I3018">
        <v>610</v>
      </c>
      <c r="J3018" t="s">
        <v>18439</v>
      </c>
      <c r="K3018" t="s">
        <v>12143</v>
      </c>
      <c r="L3018" s="7" t="s">
        <v>18440</v>
      </c>
      <c r="M3018">
        <v>14125</v>
      </c>
      <c r="N3018">
        <v>21</v>
      </c>
      <c r="O3018">
        <v>19</v>
      </c>
      <c r="P3018">
        <v>2</v>
      </c>
      <c r="Q3018">
        <v>8</v>
      </c>
      <c r="R3018">
        <v>7</v>
      </c>
      <c r="S3018">
        <v>1</v>
      </c>
      <c r="T3018">
        <v>0</v>
      </c>
      <c r="U3018" t="s">
        <v>18441</v>
      </c>
      <c r="V3018">
        <f>Tabla1[[#This Row],[Aboard]]-Tabla1[[#This Row],[Fatalities]]</f>
        <v>13</v>
      </c>
      <c r="W3018" s="50">
        <f>IFERROR(Tabla1[[#This Row],[Fatalities]]/Tabla1[[#This Row],[Aboard]],0)</f>
        <v>0.38095238095238093</v>
      </c>
      <c r="X3018" s="51" t="str" cm="1">
        <f t="array" ref="X3018">_xlfn.IFS(Tabla1[[#This Row],[Porcentaje de muertes]]&lt;0.35,"LEVE",AND(Tabla1[[#This Row],[Porcentaje de muertes]]&gt;0.35,Tabla1[[#This Row],[Porcentaje de muertes]]&lt;0.65),"MEDIO",Tabla1[[#This Row],[Porcentaje de muertes]]&gt;0.65,"GRAVE")</f>
        <v>MEDIO</v>
      </c>
    </row>
    <row r="3019" spans="2:24" x14ac:dyDescent="0.3">
      <c r="B3019" s="9">
        <v>3018</v>
      </c>
      <c r="C3019" s="49">
        <v>29067</v>
      </c>
      <c r="D3019" s="9">
        <f>YEAR(Tabla1[[#This Row],[Date]])</f>
        <v>1979</v>
      </c>
      <c r="E3019" s="9" t="str" cm="1">
        <f t="array" ref="E3019">IFERROR(_xlfn.IFS(AND(D3019&lt;1980,D3019&gt;=1970),"70",AND(D3019&lt;1990,D3019&gt;=1980),"80",AND(D3019&lt;2000,D3019&gt;=1990),"90",AND(D3019&lt;2010,D3019&gt;=2000),"00",AND(D3019&lt;=2019,D3019&gt;=2010),"10"),"1908-1970")</f>
        <v>70</v>
      </c>
      <c r="F3019" s="3">
        <v>0.66736111111111107</v>
      </c>
      <c r="G3019" t="s">
        <v>18442</v>
      </c>
      <c r="H3019" t="s">
        <v>15906</v>
      </c>
      <c r="I3019" t="s">
        <v>28931</v>
      </c>
      <c r="J3019" t="s">
        <v>28931</v>
      </c>
      <c r="K3019" t="s">
        <v>18443</v>
      </c>
      <c r="L3019" s="7" t="s">
        <v>18444</v>
      </c>
      <c r="M3019">
        <v>1542</v>
      </c>
      <c r="N3019">
        <v>47</v>
      </c>
      <c r="O3019">
        <v>44</v>
      </c>
      <c r="P3019">
        <v>3</v>
      </c>
      <c r="Q3019">
        <v>17</v>
      </c>
      <c r="R3019">
        <v>15</v>
      </c>
      <c r="S3019">
        <v>2</v>
      </c>
      <c r="T3019">
        <v>0</v>
      </c>
      <c r="U3019" t="s">
        <v>18445</v>
      </c>
      <c r="V3019">
        <f>Tabla1[[#This Row],[Aboard]]-Tabla1[[#This Row],[Fatalities]]</f>
        <v>30</v>
      </c>
      <c r="W3019" s="50">
        <f>IFERROR(Tabla1[[#This Row],[Fatalities]]/Tabla1[[#This Row],[Aboard]],0)</f>
        <v>0.36170212765957449</v>
      </c>
      <c r="X3019" s="51" t="str" cm="1">
        <f t="array" ref="X3019">_xlfn.IFS(Tabla1[[#This Row],[Porcentaje de muertes]]&lt;0.35,"LEVE",AND(Tabla1[[#This Row],[Porcentaje de muertes]]&gt;0.35,Tabla1[[#This Row],[Porcentaje de muertes]]&lt;0.65),"MEDIO",Tabla1[[#This Row],[Porcentaje de muertes]]&gt;0.65,"GRAVE")</f>
        <v>MEDIO</v>
      </c>
    </row>
    <row r="3020" spans="2:24" x14ac:dyDescent="0.3">
      <c r="B3020" s="9">
        <v>3019</v>
      </c>
      <c r="C3020" s="49">
        <v>28894</v>
      </c>
      <c r="D3020" s="9">
        <f>YEAR(Tabla1[[#This Row],[Date]])</f>
        <v>1979</v>
      </c>
      <c r="E3020" s="9" t="str" cm="1">
        <f t="array" ref="E3020">IFERROR(_xlfn.IFS(AND(D3020&lt;1980,D3020&gt;=1970),"70",AND(D3020&lt;1990,D3020&gt;=1980),"80",AND(D3020&lt;2000,D3020&gt;=1990),"90",AND(D3020&lt;2010,D3020&gt;=2000),"00",AND(D3020&lt;=2019,D3020&gt;=2010),"10"),"1908-1970")</f>
        <v>70</v>
      </c>
      <c r="F3020" s="3" t="s">
        <v>28931</v>
      </c>
      <c r="G3020" t="s">
        <v>18446</v>
      </c>
      <c r="H3020" t="s">
        <v>5032</v>
      </c>
      <c r="I3020" t="s">
        <v>28931</v>
      </c>
      <c r="J3020" t="s">
        <v>28931</v>
      </c>
      <c r="K3020" t="s">
        <v>21415</v>
      </c>
      <c r="L3020" s="7" t="s">
        <v>18447</v>
      </c>
      <c r="M3020">
        <v>110</v>
      </c>
      <c r="N3020">
        <v>3</v>
      </c>
      <c r="O3020">
        <v>2</v>
      </c>
      <c r="P3020">
        <v>1</v>
      </c>
      <c r="Q3020">
        <v>1</v>
      </c>
      <c r="R3020">
        <v>0</v>
      </c>
      <c r="S3020">
        <v>1</v>
      </c>
      <c r="T3020">
        <v>0</v>
      </c>
      <c r="U3020" t="s">
        <v>18448</v>
      </c>
      <c r="V3020">
        <f>Tabla1[[#This Row],[Aboard]]-Tabla1[[#This Row],[Fatalities]]</f>
        <v>2</v>
      </c>
      <c r="W3020" s="50">
        <f>IFERROR(Tabla1[[#This Row],[Fatalities]]/Tabla1[[#This Row],[Aboard]],0)</f>
        <v>0.33333333333333331</v>
      </c>
      <c r="X3020" s="51" t="str" cm="1">
        <f t="array" ref="X3020">_xlfn.IFS(Tabla1[[#This Row],[Porcentaje de muertes]]&lt;0.35,"LEVE",AND(Tabla1[[#This Row],[Porcentaje de muertes]]&gt;0.35,Tabla1[[#This Row],[Porcentaje de muertes]]&lt;0.65),"MEDIO",Tabla1[[#This Row],[Porcentaje de muertes]]&gt;0.65,"GRAVE")</f>
        <v>LEVE</v>
      </c>
    </row>
    <row r="3021" spans="2:24" x14ac:dyDescent="0.3">
      <c r="B3021" s="9">
        <v>3020</v>
      </c>
      <c r="C3021" s="49">
        <v>28922</v>
      </c>
      <c r="D3021" s="9">
        <f>YEAR(Tabla1[[#This Row],[Date]])</f>
        <v>1979</v>
      </c>
      <c r="E3021" s="9" t="str" cm="1">
        <f t="array" ref="E3021">IFERROR(_xlfn.IFS(AND(D3021&lt;1980,D3021&gt;=1970),"70",AND(D3021&lt;1990,D3021&gt;=1980),"80",AND(D3021&lt;2000,D3021&gt;=1990),"90",AND(D3021&lt;2010,D3021&gt;=2000),"00",AND(D3021&lt;=2019,D3021&gt;=2010),"10"),"1908-1970")</f>
        <v>70</v>
      </c>
      <c r="F3021" s="3" t="s">
        <v>28931</v>
      </c>
      <c r="G3021" t="s">
        <v>16060</v>
      </c>
      <c r="H3021" t="s">
        <v>6541</v>
      </c>
      <c r="I3021" t="s">
        <v>28931</v>
      </c>
      <c r="J3021" t="s">
        <v>18449</v>
      </c>
      <c r="K3021" t="s">
        <v>18450</v>
      </c>
      <c r="L3021" s="7" t="s">
        <v>18451</v>
      </c>
      <c r="M3021">
        <v>760509</v>
      </c>
      <c r="N3021">
        <v>14</v>
      </c>
      <c r="O3021">
        <v>12</v>
      </c>
      <c r="P3021">
        <v>2</v>
      </c>
      <c r="Q3021">
        <v>14</v>
      </c>
      <c r="R3021">
        <v>12</v>
      </c>
      <c r="S3021">
        <v>2</v>
      </c>
      <c r="T3021">
        <v>0</v>
      </c>
      <c r="U3021" t="s">
        <v>18452</v>
      </c>
      <c r="V3021">
        <f>Tabla1[[#This Row],[Aboard]]-Tabla1[[#This Row],[Fatalities]]</f>
        <v>0</v>
      </c>
      <c r="W3021" s="50">
        <f>IFERROR(Tabla1[[#This Row],[Fatalities]]/Tabla1[[#This Row],[Aboard]],0)</f>
        <v>1</v>
      </c>
      <c r="X3021" s="51" t="str" cm="1">
        <f t="array" ref="X3021">_xlfn.IFS(Tabla1[[#This Row],[Porcentaje de muertes]]&lt;0.35,"LEVE",AND(Tabla1[[#This Row],[Porcentaje de muertes]]&gt;0.35,Tabla1[[#This Row],[Porcentaje de muertes]]&lt;0.65),"MEDIO",Tabla1[[#This Row],[Porcentaje de muertes]]&gt;0.65,"GRAVE")</f>
        <v>GRAVE</v>
      </c>
    </row>
    <row r="3022" spans="2:24" x14ac:dyDescent="0.3">
      <c r="B3022" s="9">
        <v>3021</v>
      </c>
      <c r="C3022" s="49">
        <v>28953</v>
      </c>
      <c r="D3022" s="9">
        <f>YEAR(Tabla1[[#This Row],[Date]])</f>
        <v>1979</v>
      </c>
      <c r="E3022" s="9" t="str" cm="1">
        <f t="array" ref="E3022">IFERROR(_xlfn.IFS(AND(D3022&lt;1980,D3022&gt;=1970),"70",AND(D3022&lt;1990,D3022&gt;=1980),"80",AND(D3022&lt;2000,D3022&gt;=1990),"90",AND(D3022&lt;2010,D3022&gt;=2000),"00",AND(D3022&lt;=2019,D3022&gt;=2010),"10"),"1908-1970")</f>
        <v>70</v>
      </c>
      <c r="F3022" s="3" t="s">
        <v>28931</v>
      </c>
      <c r="G3022" t="s">
        <v>18453</v>
      </c>
      <c r="H3022" t="s">
        <v>11150</v>
      </c>
      <c r="I3022" t="s">
        <v>28931</v>
      </c>
      <c r="J3022" t="s">
        <v>18454</v>
      </c>
      <c r="K3022" t="s">
        <v>18455</v>
      </c>
      <c r="L3022" s="7" t="s">
        <v>18456</v>
      </c>
      <c r="M3022">
        <v>515</v>
      </c>
      <c r="N3022">
        <v>45</v>
      </c>
      <c r="O3022">
        <v>40</v>
      </c>
      <c r="P3022">
        <v>5</v>
      </c>
      <c r="Q3022">
        <v>45</v>
      </c>
      <c r="R3022">
        <v>40</v>
      </c>
      <c r="S3022">
        <v>5</v>
      </c>
      <c r="T3022">
        <v>0</v>
      </c>
      <c r="U3022" t="s">
        <v>18457</v>
      </c>
      <c r="V3022">
        <f>Tabla1[[#This Row],[Aboard]]-Tabla1[[#This Row],[Fatalities]]</f>
        <v>0</v>
      </c>
      <c r="W3022" s="50">
        <f>IFERROR(Tabla1[[#This Row],[Fatalities]]/Tabla1[[#This Row],[Aboard]],0)</f>
        <v>1</v>
      </c>
      <c r="X3022" s="51" t="str" cm="1">
        <f t="array" ref="X3022">_xlfn.IFS(Tabla1[[#This Row],[Porcentaje de muertes]]&lt;0.35,"LEVE",AND(Tabla1[[#This Row],[Porcentaje de muertes]]&gt;0.35,Tabla1[[#This Row],[Porcentaje de muertes]]&lt;0.65),"MEDIO",Tabla1[[#This Row],[Porcentaje de muertes]]&gt;0.65,"GRAVE")</f>
        <v>GRAVE</v>
      </c>
    </row>
    <row r="3023" spans="2:24" x14ac:dyDescent="0.3">
      <c r="B3023" s="9">
        <v>3022</v>
      </c>
      <c r="C3023" s="49">
        <v>29167</v>
      </c>
      <c r="D3023" s="9">
        <f>YEAR(Tabla1[[#This Row],[Date]])</f>
        <v>1979</v>
      </c>
      <c r="E3023" s="9" t="str" cm="1">
        <f t="array" ref="E3023">IFERROR(_xlfn.IFS(AND(D3023&lt;1980,D3023&gt;=1970),"70",AND(D3023&lt;1990,D3023&gt;=1980),"80",AND(D3023&lt;2000,D3023&gt;=1990),"90",AND(D3023&lt;2010,D3023&gt;=2000),"00",AND(D3023&lt;=2019,D3023&gt;=2010),"10"),"1908-1970")</f>
        <v>70</v>
      </c>
      <c r="F3023" s="3">
        <v>0.56597222222222221</v>
      </c>
      <c r="G3023" t="s">
        <v>18458</v>
      </c>
      <c r="H3023" t="s">
        <v>17676</v>
      </c>
      <c r="I3023" t="s">
        <v>18459</v>
      </c>
      <c r="J3023" t="s">
        <v>18460</v>
      </c>
      <c r="K3023" t="s">
        <v>18461</v>
      </c>
      <c r="L3023" s="7" t="s">
        <v>18462</v>
      </c>
      <c r="M3023" t="s">
        <v>18463</v>
      </c>
      <c r="N3023">
        <v>178</v>
      </c>
      <c r="O3023">
        <v>155</v>
      </c>
      <c r="P3023">
        <v>13</v>
      </c>
      <c r="Q3023">
        <v>178</v>
      </c>
      <c r="R3023">
        <v>155</v>
      </c>
      <c r="S3023">
        <v>13</v>
      </c>
      <c r="T3023">
        <v>0</v>
      </c>
      <c r="U3023" t="s">
        <v>18464</v>
      </c>
      <c r="V3023">
        <f>Tabla1[[#This Row],[Aboard]]-Tabla1[[#This Row],[Fatalities]]</f>
        <v>0</v>
      </c>
      <c r="W3023" s="50">
        <f>IFERROR(Tabla1[[#This Row],[Fatalities]]/Tabla1[[#This Row],[Aboard]],0)</f>
        <v>1</v>
      </c>
      <c r="X3023" s="51" t="str" cm="1">
        <f t="array" ref="X3023">_xlfn.IFS(Tabla1[[#This Row],[Porcentaje de muertes]]&lt;0.35,"LEVE",AND(Tabla1[[#This Row],[Porcentaje de muertes]]&gt;0.35,Tabla1[[#This Row],[Porcentaje de muertes]]&lt;0.65),"MEDIO",Tabla1[[#This Row],[Porcentaje de muertes]]&gt;0.65,"GRAVE")</f>
        <v>GRAVE</v>
      </c>
    </row>
    <row r="3024" spans="2:24" x14ac:dyDescent="0.3">
      <c r="B3024" s="9">
        <v>3023</v>
      </c>
      <c r="C3024" s="49">
        <v>29091</v>
      </c>
      <c r="D3024" s="9">
        <f>YEAR(Tabla1[[#This Row],[Date]])</f>
        <v>1979</v>
      </c>
      <c r="E3024" s="9" t="str" cm="1">
        <f t="array" ref="E3024">IFERROR(_xlfn.IFS(AND(D3024&lt;1980,D3024&gt;=1970),"70",AND(D3024&lt;1990,D3024&gt;=1980),"80",AND(D3024&lt;2000,D3024&gt;=1990),"90",AND(D3024&lt;2010,D3024&gt;=2000),"00",AND(D3024&lt;=2019,D3024&gt;=2010),"10"),"1908-1970")</f>
        <v>70</v>
      </c>
      <c r="F3024" s="3" t="s">
        <v>28931</v>
      </c>
      <c r="G3024" t="s">
        <v>18465</v>
      </c>
      <c r="H3024" t="s">
        <v>6541</v>
      </c>
      <c r="I3024" t="s">
        <v>28931</v>
      </c>
      <c r="J3024" t="s">
        <v>18466</v>
      </c>
      <c r="K3024" t="s">
        <v>13992</v>
      </c>
      <c r="L3024" s="7" t="s">
        <v>18467</v>
      </c>
      <c r="M3024">
        <v>9346407</v>
      </c>
      <c r="N3024">
        <v>16</v>
      </c>
      <c r="O3024">
        <v>10</v>
      </c>
      <c r="P3024">
        <v>6</v>
      </c>
      <c r="Q3024">
        <v>11</v>
      </c>
      <c r="R3024">
        <v>5</v>
      </c>
      <c r="S3024">
        <v>6</v>
      </c>
      <c r="T3024">
        <v>0</v>
      </c>
      <c r="U3024" t="s">
        <v>18468</v>
      </c>
      <c r="V3024">
        <f>Tabla1[[#This Row],[Aboard]]-Tabla1[[#This Row],[Fatalities]]</f>
        <v>5</v>
      </c>
      <c r="W3024" s="50">
        <f>IFERROR(Tabla1[[#This Row],[Fatalities]]/Tabla1[[#This Row],[Aboard]],0)</f>
        <v>0.6875</v>
      </c>
      <c r="X3024" s="51" t="str" cm="1">
        <f t="array" ref="X3024">_xlfn.IFS(Tabla1[[#This Row],[Porcentaje de muertes]]&lt;0.35,"LEVE",AND(Tabla1[[#This Row],[Porcentaje de muertes]]&gt;0.35,Tabla1[[#This Row],[Porcentaje de muertes]]&lt;0.65),"MEDIO",Tabla1[[#This Row],[Porcentaje de muertes]]&gt;0.65,"GRAVE")</f>
        <v>GRAVE</v>
      </c>
    </row>
    <row r="3025" spans="2:24" x14ac:dyDescent="0.3">
      <c r="B3025" s="9">
        <v>3024</v>
      </c>
      <c r="C3025" s="49">
        <v>29096</v>
      </c>
      <c r="D3025" s="9">
        <f>YEAR(Tabla1[[#This Row],[Date]])</f>
        <v>1979</v>
      </c>
      <c r="E3025" s="9" t="str" cm="1">
        <f t="array" ref="E3025">IFERROR(_xlfn.IFS(AND(D3025&lt;1980,D3025&gt;=1970),"70",AND(D3025&lt;1990,D3025&gt;=1980),"80",AND(D3025&lt;2000,D3025&gt;=1990),"90",AND(D3025&lt;2010,D3025&gt;=2000),"00",AND(D3025&lt;=2019,D3025&gt;=2010),"10"),"1908-1970")</f>
        <v>70</v>
      </c>
      <c r="F3025" s="3">
        <v>1.8055555555555557E-2</v>
      </c>
      <c r="G3025" t="s">
        <v>18469</v>
      </c>
      <c r="H3025" t="s">
        <v>6541</v>
      </c>
      <c r="I3025" t="s">
        <v>28931</v>
      </c>
      <c r="J3025" t="s">
        <v>18470</v>
      </c>
      <c r="K3025" t="s">
        <v>14520</v>
      </c>
      <c r="L3025" s="7" t="s">
        <v>18471</v>
      </c>
      <c r="M3025">
        <v>3351003</v>
      </c>
      <c r="N3025">
        <v>63</v>
      </c>
      <c r="O3025">
        <v>58</v>
      </c>
      <c r="P3025">
        <v>5</v>
      </c>
      <c r="Q3025">
        <v>63</v>
      </c>
      <c r="R3025">
        <v>58</v>
      </c>
      <c r="S3025">
        <v>5</v>
      </c>
      <c r="T3025">
        <v>0</v>
      </c>
      <c r="U3025" t="s">
        <v>18472</v>
      </c>
      <c r="V3025">
        <f>Tabla1[[#This Row],[Aboard]]-Tabla1[[#This Row],[Fatalities]]</f>
        <v>0</v>
      </c>
      <c r="W3025" s="50">
        <f>IFERROR(Tabla1[[#This Row],[Fatalities]]/Tabla1[[#This Row],[Aboard]],0)</f>
        <v>1</v>
      </c>
      <c r="X3025" s="51" t="str" cm="1">
        <f t="array" ref="X3025">_xlfn.IFS(Tabla1[[#This Row],[Porcentaje de muertes]]&lt;0.35,"LEVE",AND(Tabla1[[#This Row],[Porcentaje de muertes]]&gt;0.35,Tabla1[[#This Row],[Porcentaje de muertes]]&lt;0.65),"MEDIO",Tabla1[[#This Row],[Porcentaje de muertes]]&gt;0.65,"GRAVE")</f>
        <v>GRAVE</v>
      </c>
    </row>
    <row r="3026" spans="2:24" x14ac:dyDescent="0.3">
      <c r="B3026" s="9">
        <v>3025</v>
      </c>
      <c r="C3026" s="49">
        <v>28923</v>
      </c>
      <c r="D3026" s="9">
        <f>YEAR(Tabla1[[#This Row],[Date]])</f>
        <v>1979</v>
      </c>
      <c r="E3026" s="9" t="str" cm="1">
        <f t="array" ref="E3026">IFERROR(_xlfn.IFS(AND(D3026&lt;1980,D3026&gt;=1970),"70",AND(D3026&lt;1990,D3026&gt;=1980),"80",AND(D3026&lt;2000,D3026&gt;=1990),"90",AND(D3026&lt;2010,D3026&gt;=2000),"00",AND(D3026&lt;=2019,D3026&gt;=2010),"10"),"1908-1970")</f>
        <v>70</v>
      </c>
      <c r="F3026" s="3">
        <v>4.2361111111111106E-2</v>
      </c>
      <c r="G3026" t="s">
        <v>18473</v>
      </c>
      <c r="H3026" t="s">
        <v>6541</v>
      </c>
      <c r="I3026" t="s">
        <v>18474</v>
      </c>
      <c r="J3026" t="s">
        <v>18475</v>
      </c>
      <c r="K3026" t="s">
        <v>14340</v>
      </c>
      <c r="L3026" s="7" t="s">
        <v>18476</v>
      </c>
      <c r="M3026">
        <v>77303602</v>
      </c>
      <c r="N3026">
        <v>44</v>
      </c>
      <c r="O3026">
        <v>37</v>
      </c>
      <c r="P3026">
        <v>7</v>
      </c>
      <c r="Q3026">
        <v>40</v>
      </c>
      <c r="R3026">
        <v>35</v>
      </c>
      <c r="S3026">
        <v>5</v>
      </c>
      <c r="T3026">
        <v>0</v>
      </c>
      <c r="U3026" t="s">
        <v>18477</v>
      </c>
      <c r="V3026">
        <f>Tabla1[[#This Row],[Aboard]]-Tabla1[[#This Row],[Fatalities]]</f>
        <v>4</v>
      </c>
      <c r="W3026" s="50">
        <f>IFERROR(Tabla1[[#This Row],[Fatalities]]/Tabla1[[#This Row],[Aboard]],0)</f>
        <v>0.90909090909090906</v>
      </c>
      <c r="X3026" s="51" t="str" cm="1">
        <f t="array" ref="X3026">_xlfn.IFS(Tabla1[[#This Row],[Porcentaje de muertes]]&lt;0.35,"LEVE",AND(Tabla1[[#This Row],[Porcentaje de muertes]]&gt;0.35,Tabla1[[#This Row],[Porcentaje de muertes]]&lt;0.65),"MEDIO",Tabla1[[#This Row],[Porcentaje de muertes]]&gt;0.65,"GRAVE")</f>
        <v>GRAVE</v>
      </c>
    </row>
    <row r="3027" spans="2:24" x14ac:dyDescent="0.3">
      <c r="B3027" s="9">
        <v>3026</v>
      </c>
      <c r="C3027" s="49">
        <v>29168</v>
      </c>
      <c r="D3027" s="9">
        <f>YEAR(Tabla1[[#This Row],[Date]])</f>
        <v>1979</v>
      </c>
      <c r="E3027" s="9" t="str" cm="1">
        <f t="array" ref="E3027">IFERROR(_xlfn.IFS(AND(D3027&lt;1980,D3027&gt;=1970),"70",AND(D3027&lt;1990,D3027&gt;=1980),"80",AND(D3027&lt;2000,D3027&gt;=1990),"90",AND(D3027&lt;2010,D3027&gt;=2000),"00",AND(D3027&lt;=2019,D3027&gt;=2010),"10"),"1908-1970")</f>
        <v>70</v>
      </c>
      <c r="F3027" s="3" t="s">
        <v>28931</v>
      </c>
      <c r="G3027" t="s">
        <v>18478</v>
      </c>
      <c r="H3027" t="s">
        <v>15040</v>
      </c>
      <c r="I3027" t="s">
        <v>28931</v>
      </c>
      <c r="J3027" t="s">
        <v>6190</v>
      </c>
      <c r="K3027" t="s">
        <v>18479</v>
      </c>
      <c r="L3027" s="7" t="s">
        <v>18480</v>
      </c>
      <c r="M3027" t="s">
        <v>18481</v>
      </c>
      <c r="N3027">
        <v>6</v>
      </c>
      <c r="O3027">
        <v>0</v>
      </c>
      <c r="P3027">
        <v>6</v>
      </c>
      <c r="Q3027">
        <v>6</v>
      </c>
      <c r="R3027">
        <v>0</v>
      </c>
      <c r="S3027">
        <v>6</v>
      </c>
      <c r="T3027">
        <v>0</v>
      </c>
      <c r="U3027" t="s">
        <v>18482</v>
      </c>
      <c r="V3027">
        <f>Tabla1[[#This Row],[Aboard]]-Tabla1[[#This Row],[Fatalities]]</f>
        <v>0</v>
      </c>
      <c r="W3027" s="50">
        <f>IFERROR(Tabla1[[#This Row],[Fatalities]]/Tabla1[[#This Row],[Aboard]],0)</f>
        <v>1</v>
      </c>
      <c r="X3027" s="51" t="str" cm="1">
        <f t="array" ref="X3027">_xlfn.IFS(Tabla1[[#This Row],[Porcentaje de muertes]]&lt;0.35,"LEVE",AND(Tabla1[[#This Row],[Porcentaje de muertes]]&gt;0.35,Tabla1[[#This Row],[Porcentaje de muertes]]&lt;0.65),"MEDIO",Tabla1[[#This Row],[Porcentaje de muertes]]&gt;0.65,"GRAVE")</f>
        <v>GRAVE</v>
      </c>
    </row>
    <row r="3028" spans="2:24" x14ac:dyDescent="0.3">
      <c r="B3028" s="9">
        <v>3027</v>
      </c>
      <c r="C3028" s="49">
        <v>29112</v>
      </c>
      <c r="D3028" s="9">
        <f>YEAR(Tabla1[[#This Row],[Date]])</f>
        <v>1979</v>
      </c>
      <c r="E3028" s="9" t="str" cm="1">
        <f t="array" ref="E3028">IFERROR(_xlfn.IFS(AND(D3028&lt;1980,D3028&gt;=1970),"70",AND(D3028&lt;1990,D3028&gt;=1980),"80",AND(D3028&lt;2000,D3028&gt;=1990),"90",AND(D3028&lt;2010,D3028&gt;=2000),"00",AND(D3028&lt;=2019,D3028&gt;=2010),"10"),"1908-1970")</f>
        <v>70</v>
      </c>
      <c r="F3028" s="3">
        <v>0.86597222222222225</v>
      </c>
      <c r="G3028" t="s">
        <v>14881</v>
      </c>
      <c r="H3028" t="s">
        <v>18483</v>
      </c>
      <c r="I3028" t="s">
        <v>8152</v>
      </c>
      <c r="J3028" t="s">
        <v>18484</v>
      </c>
      <c r="K3028" t="s">
        <v>13801</v>
      </c>
      <c r="L3028" s="7" t="s">
        <v>18485</v>
      </c>
      <c r="M3028">
        <v>44287</v>
      </c>
      <c r="N3028">
        <v>12</v>
      </c>
      <c r="O3028">
        <v>10</v>
      </c>
      <c r="P3028">
        <v>2</v>
      </c>
      <c r="Q3028">
        <v>12</v>
      </c>
      <c r="R3028">
        <v>10</v>
      </c>
      <c r="S3028">
        <v>2</v>
      </c>
      <c r="T3028">
        <v>0</v>
      </c>
      <c r="U3028" t="s">
        <v>18486</v>
      </c>
      <c r="V3028">
        <f>Tabla1[[#This Row],[Aboard]]-Tabla1[[#This Row],[Fatalities]]</f>
        <v>0</v>
      </c>
      <c r="W3028" s="50">
        <f>IFERROR(Tabla1[[#This Row],[Fatalities]]/Tabla1[[#This Row],[Aboard]],0)</f>
        <v>1</v>
      </c>
      <c r="X3028" s="51" t="str" cm="1">
        <f t="array" ref="X3028">_xlfn.IFS(Tabla1[[#This Row],[Porcentaje de muertes]]&lt;0.35,"LEVE",AND(Tabla1[[#This Row],[Porcentaje de muertes]]&gt;0.35,Tabla1[[#This Row],[Porcentaje de muertes]]&lt;0.65),"MEDIO",Tabla1[[#This Row],[Porcentaje de muertes]]&gt;0.65,"GRAVE")</f>
        <v>GRAVE</v>
      </c>
    </row>
    <row r="3029" spans="2:24" x14ac:dyDescent="0.3">
      <c r="B3029" s="9">
        <v>3028</v>
      </c>
      <c r="C3029" s="49">
        <v>29112</v>
      </c>
      <c r="D3029" s="9">
        <f>YEAR(Tabla1[[#This Row],[Date]])</f>
        <v>1979</v>
      </c>
      <c r="E3029" s="9" t="str" cm="1">
        <f t="array" ref="E3029">IFERROR(_xlfn.IFS(AND(D3029&lt;1980,D3029&gt;=1970),"70",AND(D3029&lt;1990,D3029&gt;=1980),"80",AND(D3029&lt;2000,D3029&gt;=1990),"90",AND(D3029&lt;2010,D3029&gt;=2000),"00",AND(D3029&lt;=2019,D3029&gt;=2010),"10"),"1908-1970")</f>
        <v>70</v>
      </c>
      <c r="F3029" s="3">
        <v>4.8611111111111112E-3</v>
      </c>
      <c r="G3029" t="s">
        <v>18487</v>
      </c>
      <c r="H3029" t="s">
        <v>15524</v>
      </c>
      <c r="I3029" t="s">
        <v>28931</v>
      </c>
      <c r="J3029" t="s">
        <v>18488</v>
      </c>
      <c r="K3029" t="s">
        <v>15468</v>
      </c>
      <c r="L3029" s="7" t="s">
        <v>18489</v>
      </c>
      <c r="M3029" t="s">
        <v>18490</v>
      </c>
      <c r="N3029">
        <v>31</v>
      </c>
      <c r="O3029">
        <v>27</v>
      </c>
      <c r="P3029">
        <v>4</v>
      </c>
      <c r="Q3029">
        <v>31</v>
      </c>
      <c r="R3029">
        <v>27</v>
      </c>
      <c r="S3029">
        <v>4</v>
      </c>
      <c r="T3029">
        <v>0</v>
      </c>
      <c r="U3029" t="s">
        <v>18491</v>
      </c>
      <c r="V3029">
        <f>Tabla1[[#This Row],[Aboard]]-Tabla1[[#This Row],[Fatalities]]</f>
        <v>0</v>
      </c>
      <c r="W3029" s="50">
        <f>IFERROR(Tabla1[[#This Row],[Fatalities]]/Tabla1[[#This Row],[Aboard]],0)</f>
        <v>1</v>
      </c>
      <c r="X3029" s="51" t="str" cm="1">
        <f t="array" ref="X3029">_xlfn.IFS(Tabla1[[#This Row],[Porcentaje de muertes]]&lt;0.35,"LEVE",AND(Tabla1[[#This Row],[Porcentaje de muertes]]&gt;0.35,Tabla1[[#This Row],[Porcentaje de muertes]]&lt;0.65),"MEDIO",Tabla1[[#This Row],[Porcentaje de muertes]]&gt;0.65,"GRAVE")</f>
        <v>GRAVE</v>
      </c>
    </row>
    <row r="3030" spans="2:24" x14ac:dyDescent="0.3">
      <c r="B3030" s="9">
        <v>3029</v>
      </c>
      <c r="C3030" s="49">
        <v>29116</v>
      </c>
      <c r="D3030" s="9">
        <f>YEAR(Tabla1[[#This Row],[Date]])</f>
        <v>1979</v>
      </c>
      <c r="E3030" s="9" t="str" cm="1">
        <f t="array" ref="E3030">IFERROR(_xlfn.IFS(AND(D3030&lt;1980,D3030&gt;=1970),"70",AND(D3030&lt;1990,D3030&gt;=1980),"80",AND(D3030&lt;2000,D3030&gt;=1990),"90",AND(D3030&lt;2010,D3030&gt;=2000),"00",AND(D3030&lt;=2019,D3030&gt;=2010),"10"),"1908-1970")</f>
        <v>70</v>
      </c>
      <c r="F3030" s="3" t="s">
        <v>28931</v>
      </c>
      <c r="G3030" t="s">
        <v>18492</v>
      </c>
      <c r="H3030" t="s">
        <v>18493</v>
      </c>
      <c r="I3030" t="s">
        <v>28931</v>
      </c>
      <c r="J3030" t="s">
        <v>18494</v>
      </c>
      <c r="K3030" t="s">
        <v>18495</v>
      </c>
      <c r="L3030" s="7" t="s">
        <v>18496</v>
      </c>
      <c r="M3030">
        <v>238</v>
      </c>
      <c r="N3030">
        <v>9</v>
      </c>
      <c r="O3030">
        <v>8</v>
      </c>
      <c r="P3030">
        <v>1</v>
      </c>
      <c r="Q3030">
        <v>4</v>
      </c>
      <c r="R3030">
        <v>8</v>
      </c>
      <c r="S3030">
        <v>1</v>
      </c>
      <c r="T3030">
        <v>0</v>
      </c>
      <c r="U3030" t="s">
        <v>18497</v>
      </c>
      <c r="V3030">
        <f>Tabla1[[#This Row],[Aboard]]-Tabla1[[#This Row],[Fatalities]]</f>
        <v>5</v>
      </c>
      <c r="W3030" s="50">
        <f>IFERROR(Tabla1[[#This Row],[Fatalities]]/Tabla1[[#This Row],[Aboard]],0)</f>
        <v>0.44444444444444442</v>
      </c>
      <c r="X3030" s="51" t="str" cm="1">
        <f t="array" ref="X3030">_xlfn.IFS(Tabla1[[#This Row],[Porcentaje de muertes]]&lt;0.35,"LEVE",AND(Tabla1[[#This Row],[Porcentaje de muertes]]&gt;0.35,Tabla1[[#This Row],[Porcentaje de muertes]]&lt;0.65),"MEDIO",Tabla1[[#This Row],[Porcentaje de muertes]]&gt;0.65,"GRAVE")</f>
        <v>MEDIO</v>
      </c>
    </row>
    <row r="3031" spans="2:24" x14ac:dyDescent="0.3">
      <c r="B3031" s="9">
        <v>3030</v>
      </c>
      <c r="C3031" s="49">
        <v>29117</v>
      </c>
      <c r="D3031" s="9">
        <f>YEAR(Tabla1[[#This Row],[Date]])</f>
        <v>1979</v>
      </c>
      <c r="E3031" s="9" t="str" cm="1">
        <f t="array" ref="E3031">IFERROR(_xlfn.IFS(AND(D3031&lt;1980,D3031&gt;=1970),"70",AND(D3031&lt;1990,D3031&gt;=1980),"80",AND(D3031&lt;2000,D3031&gt;=1990),"90",AND(D3031&lt;2010,D3031&gt;=2000),"00",AND(D3031&lt;=2019,D3031&gt;=2010),"10"),"1908-1970")</f>
        <v>70</v>
      </c>
      <c r="F3031" s="3" t="s">
        <v>28931</v>
      </c>
      <c r="G3031" t="s">
        <v>18498</v>
      </c>
      <c r="H3031" t="s">
        <v>7987</v>
      </c>
      <c r="I3031" t="s">
        <v>28931</v>
      </c>
      <c r="J3031" t="s">
        <v>6190</v>
      </c>
      <c r="K3031" t="s">
        <v>12399</v>
      </c>
      <c r="L3031" s="7" t="s">
        <v>18499</v>
      </c>
      <c r="M3031" t="s">
        <v>18500</v>
      </c>
      <c r="N3031">
        <v>5</v>
      </c>
      <c r="O3031">
        <v>0</v>
      </c>
      <c r="P3031">
        <v>5</v>
      </c>
      <c r="Q3031">
        <v>5</v>
      </c>
      <c r="R3031">
        <v>0</v>
      </c>
      <c r="S3031">
        <v>5</v>
      </c>
      <c r="T3031">
        <v>0</v>
      </c>
      <c r="U3031" t="s">
        <v>18501</v>
      </c>
      <c r="V3031">
        <f>Tabla1[[#This Row],[Aboard]]-Tabla1[[#This Row],[Fatalities]]</f>
        <v>0</v>
      </c>
      <c r="W3031" s="50">
        <f>IFERROR(Tabla1[[#This Row],[Fatalities]]/Tabla1[[#This Row],[Aboard]],0)</f>
        <v>1</v>
      </c>
      <c r="X3031" s="51" t="str" cm="1">
        <f t="array" ref="X3031">_xlfn.IFS(Tabla1[[#This Row],[Porcentaje de muertes]]&lt;0.35,"LEVE",AND(Tabla1[[#This Row],[Porcentaje de muertes]]&gt;0.35,Tabla1[[#This Row],[Porcentaje de muertes]]&lt;0.65),"MEDIO",Tabla1[[#This Row],[Porcentaje de muertes]]&gt;0.65,"GRAVE")</f>
        <v>GRAVE</v>
      </c>
    </row>
    <row r="3032" spans="2:24" x14ac:dyDescent="0.3">
      <c r="B3032" s="9">
        <v>3031</v>
      </c>
      <c r="C3032" s="49">
        <v>29128</v>
      </c>
      <c r="D3032" s="9">
        <f>YEAR(Tabla1[[#This Row],[Date]])</f>
        <v>1979</v>
      </c>
      <c r="E3032" s="9" t="str" cm="1">
        <f t="array" ref="E3032">IFERROR(_xlfn.IFS(AND(D3032&lt;1980,D3032&gt;=1970),"70",AND(D3032&lt;1990,D3032&gt;=1980),"80",AND(D3032&lt;2000,D3032&gt;=1990),"90",AND(D3032&lt;2010,D3032&gt;=2000),"00",AND(D3032&lt;=2019,D3032&gt;=2010),"10"),"1908-1970")</f>
        <v>70</v>
      </c>
      <c r="F3032" s="3">
        <v>0.54166666666666663</v>
      </c>
      <c r="G3032" t="s">
        <v>18502</v>
      </c>
      <c r="H3032" t="s">
        <v>18503</v>
      </c>
      <c r="I3032" t="s">
        <v>28931</v>
      </c>
      <c r="J3032" t="s">
        <v>18504</v>
      </c>
      <c r="K3032" t="s">
        <v>15361</v>
      </c>
      <c r="L3032" s="7" t="s">
        <v>18505</v>
      </c>
      <c r="M3032">
        <v>122</v>
      </c>
      <c r="N3032">
        <v>16</v>
      </c>
      <c r="O3032">
        <v>14</v>
      </c>
      <c r="P3032">
        <v>2</v>
      </c>
      <c r="Q3032">
        <v>2</v>
      </c>
      <c r="R3032">
        <v>1</v>
      </c>
      <c r="S3032">
        <v>1</v>
      </c>
      <c r="T3032">
        <v>0</v>
      </c>
      <c r="U3032" t="s">
        <v>18506</v>
      </c>
      <c r="V3032">
        <f>Tabla1[[#This Row],[Aboard]]-Tabla1[[#This Row],[Fatalities]]</f>
        <v>14</v>
      </c>
      <c r="W3032" s="50">
        <f>IFERROR(Tabla1[[#This Row],[Fatalities]]/Tabla1[[#This Row],[Aboard]],0)</f>
        <v>0.125</v>
      </c>
      <c r="X3032" s="51" t="str" cm="1">
        <f t="array" ref="X3032">_xlfn.IFS(Tabla1[[#This Row],[Porcentaje de muertes]]&lt;0.35,"LEVE",AND(Tabla1[[#This Row],[Porcentaje de muertes]]&gt;0.35,Tabla1[[#This Row],[Porcentaje de muertes]]&lt;0.65),"MEDIO",Tabla1[[#This Row],[Porcentaje de muertes]]&gt;0.65,"GRAVE")</f>
        <v>LEVE</v>
      </c>
    </row>
    <row r="3033" spans="2:24" x14ac:dyDescent="0.3">
      <c r="B3033" s="9">
        <v>3032</v>
      </c>
      <c r="C3033" s="49">
        <v>29046</v>
      </c>
      <c r="D3033" s="9">
        <f>YEAR(Tabla1[[#This Row],[Date]])</f>
        <v>1979</v>
      </c>
      <c r="E3033" s="9" t="str" cm="1">
        <f t="array" ref="E3033">IFERROR(_xlfn.IFS(AND(D3033&lt;1980,D3033&gt;=1970),"70",AND(D3033&lt;1990,D3033&gt;=1980),"80",AND(D3033&lt;2000,D3033&gt;=1990),"90",AND(D3033&lt;2010,D3033&gt;=2000),"00",AND(D3033&lt;=2019,D3033&gt;=2010),"10"),"1908-1970")</f>
        <v>70</v>
      </c>
      <c r="F3033" s="3">
        <v>0.92708333333333337</v>
      </c>
      <c r="G3033" t="s">
        <v>12791</v>
      </c>
      <c r="H3033" t="s">
        <v>6471</v>
      </c>
      <c r="I3033" t="s">
        <v>18507</v>
      </c>
      <c r="J3033" t="s">
        <v>18508</v>
      </c>
      <c r="K3033" t="s">
        <v>15354</v>
      </c>
      <c r="L3033" s="7" t="s">
        <v>18509</v>
      </c>
      <c r="M3033" t="s">
        <v>18510</v>
      </c>
      <c r="N3033">
        <v>156</v>
      </c>
      <c r="O3033">
        <v>145</v>
      </c>
      <c r="P3033">
        <v>11</v>
      </c>
      <c r="Q3033">
        <v>14</v>
      </c>
      <c r="R3033">
        <v>14</v>
      </c>
      <c r="S3033">
        <v>0</v>
      </c>
      <c r="T3033">
        <v>0</v>
      </c>
      <c r="U3033" t="s">
        <v>18511</v>
      </c>
      <c r="V3033">
        <f>Tabla1[[#This Row],[Aboard]]-Tabla1[[#This Row],[Fatalities]]</f>
        <v>142</v>
      </c>
      <c r="W3033" s="50">
        <f>IFERROR(Tabla1[[#This Row],[Fatalities]]/Tabla1[[#This Row],[Aboard]],0)</f>
        <v>8.9743589743589744E-2</v>
      </c>
      <c r="X3033" s="51" t="str" cm="1">
        <f t="array" ref="X3033">_xlfn.IFS(Tabla1[[#This Row],[Porcentaje de muertes]]&lt;0.35,"LEVE",AND(Tabla1[[#This Row],[Porcentaje de muertes]]&gt;0.35,Tabla1[[#This Row],[Porcentaje de muertes]]&lt;0.65),"MEDIO",Tabla1[[#This Row],[Porcentaje de muertes]]&gt;0.65,"GRAVE")</f>
        <v>LEVE</v>
      </c>
    </row>
    <row r="3034" spans="2:24" x14ac:dyDescent="0.3">
      <c r="B3034" s="9">
        <v>3033</v>
      </c>
      <c r="C3034" s="49">
        <v>29077</v>
      </c>
      <c r="D3034" s="9">
        <f>YEAR(Tabla1[[#This Row],[Date]])</f>
        <v>1979</v>
      </c>
      <c r="E3034" s="9" t="str" cm="1">
        <f t="array" ref="E3034">IFERROR(_xlfn.IFS(AND(D3034&lt;1980,D3034&gt;=1970),"70",AND(D3034&lt;1990,D3034&gt;=1980),"80",AND(D3034&lt;2000,D3034&gt;=1990),"90",AND(D3034&lt;2010,D3034&gt;=2000),"00",AND(D3034&lt;=2019,D3034&gt;=2010),"10"),"1908-1970")</f>
        <v>70</v>
      </c>
      <c r="F3034" s="3">
        <v>0.42222222222222222</v>
      </c>
      <c r="G3034" t="s">
        <v>18512</v>
      </c>
      <c r="H3034" t="s">
        <v>18513</v>
      </c>
      <c r="I3034" t="s">
        <v>28931</v>
      </c>
      <c r="J3034" t="s">
        <v>18514</v>
      </c>
      <c r="K3034" t="s">
        <v>16226</v>
      </c>
      <c r="L3034" s="7" t="s">
        <v>18515</v>
      </c>
      <c r="M3034" t="s">
        <v>18516</v>
      </c>
      <c r="N3034">
        <v>8</v>
      </c>
      <c r="O3034">
        <v>7</v>
      </c>
      <c r="P3034">
        <v>1</v>
      </c>
      <c r="Q3034">
        <v>8</v>
      </c>
      <c r="R3034">
        <v>7</v>
      </c>
      <c r="S3034">
        <v>1</v>
      </c>
      <c r="T3034">
        <v>0</v>
      </c>
      <c r="U3034" t="s">
        <v>18517</v>
      </c>
      <c r="V3034">
        <f>Tabla1[[#This Row],[Aboard]]-Tabla1[[#This Row],[Fatalities]]</f>
        <v>0</v>
      </c>
      <c r="W3034" s="50">
        <f>IFERROR(Tabla1[[#This Row],[Fatalities]]/Tabla1[[#This Row],[Aboard]],0)</f>
        <v>1</v>
      </c>
      <c r="X3034" s="51" t="str" cm="1">
        <f t="array" ref="X3034">_xlfn.IFS(Tabla1[[#This Row],[Porcentaje de muertes]]&lt;0.35,"LEVE",AND(Tabla1[[#This Row],[Porcentaje de muertes]]&gt;0.35,Tabla1[[#This Row],[Porcentaje de muertes]]&lt;0.65),"MEDIO",Tabla1[[#This Row],[Porcentaje de muertes]]&gt;0.65,"GRAVE")</f>
        <v>GRAVE</v>
      </c>
    </row>
    <row r="3035" spans="2:24" x14ac:dyDescent="0.3">
      <c r="B3035" s="9">
        <v>3034</v>
      </c>
      <c r="C3035" s="49">
        <v>29155</v>
      </c>
      <c r="D3035" s="9">
        <f>YEAR(Tabla1[[#This Row],[Date]])</f>
        <v>1979</v>
      </c>
      <c r="E3035" s="9" t="str" cm="1">
        <f t="array" ref="E3035">IFERROR(_xlfn.IFS(AND(D3035&lt;1980,D3035&gt;=1970),"70",AND(D3035&lt;1990,D3035&gt;=1980),"80",AND(D3035&lt;2000,D3035&gt;=1990),"90",AND(D3035&lt;2010,D3035&gt;=2000),"00",AND(D3035&lt;=2019,D3035&gt;=2010),"10"),"1908-1970")</f>
        <v>70</v>
      </c>
      <c r="F3035" s="3">
        <v>0.30208333333333331</v>
      </c>
      <c r="G3035" t="s">
        <v>18518</v>
      </c>
      <c r="H3035" t="s">
        <v>6541</v>
      </c>
      <c r="I3035" t="s">
        <v>28931</v>
      </c>
      <c r="J3035" t="s">
        <v>18519</v>
      </c>
      <c r="K3035" t="s">
        <v>18520</v>
      </c>
      <c r="L3035" s="7" t="s">
        <v>18521</v>
      </c>
      <c r="M3035" t="s">
        <v>18522</v>
      </c>
      <c r="N3035">
        <v>12</v>
      </c>
      <c r="O3035">
        <v>10</v>
      </c>
      <c r="P3035">
        <v>2</v>
      </c>
      <c r="Q3035">
        <v>3</v>
      </c>
      <c r="R3035">
        <v>2</v>
      </c>
      <c r="S3035">
        <v>1</v>
      </c>
      <c r="T3035">
        <v>0</v>
      </c>
      <c r="U3035" t="s">
        <v>18523</v>
      </c>
      <c r="V3035">
        <f>Tabla1[[#This Row],[Aboard]]-Tabla1[[#This Row],[Fatalities]]</f>
        <v>9</v>
      </c>
      <c r="W3035" s="50">
        <f>IFERROR(Tabla1[[#This Row],[Fatalities]]/Tabla1[[#This Row],[Aboard]],0)</f>
        <v>0.25</v>
      </c>
      <c r="X3035" s="51" t="str" cm="1">
        <f t="array" ref="X3035">_xlfn.IFS(Tabla1[[#This Row],[Porcentaje de muertes]]&lt;0.35,"LEVE",AND(Tabla1[[#This Row],[Porcentaje de muertes]]&gt;0.35,Tabla1[[#This Row],[Porcentaje de muertes]]&lt;0.65),"MEDIO",Tabla1[[#This Row],[Porcentaje de muertes]]&gt;0.65,"GRAVE")</f>
        <v>LEVE</v>
      </c>
    </row>
    <row r="3036" spans="2:24" x14ac:dyDescent="0.3">
      <c r="B3036" s="9">
        <v>3035</v>
      </c>
      <c r="C3036" s="49">
        <v>29159</v>
      </c>
      <c r="D3036" s="9">
        <f>YEAR(Tabla1[[#This Row],[Date]])</f>
        <v>1979</v>
      </c>
      <c r="E3036" s="9" t="str" cm="1">
        <f t="array" ref="E3036">IFERROR(_xlfn.IFS(AND(D3036&lt;1980,D3036&gt;=1970),"70",AND(D3036&lt;1990,D3036&gt;=1980),"80",AND(D3036&lt;2000,D3036&gt;=1990),"90",AND(D3036&lt;2010,D3036&gt;=2000),"00",AND(D3036&lt;=2019,D3036&gt;=2010),"10"),"1908-1970")</f>
        <v>70</v>
      </c>
      <c r="F3036" s="3">
        <v>0.23750000000000002</v>
      </c>
      <c r="G3036" t="s">
        <v>7345</v>
      </c>
      <c r="H3036" t="s">
        <v>7873</v>
      </c>
      <c r="I3036">
        <v>2605</v>
      </c>
      <c r="J3036" t="s">
        <v>18524</v>
      </c>
      <c r="K3036" t="s">
        <v>16963</v>
      </c>
      <c r="L3036" s="7" t="s">
        <v>18525</v>
      </c>
      <c r="M3036" t="s">
        <v>18526</v>
      </c>
      <c r="N3036">
        <v>88</v>
      </c>
      <c r="O3036">
        <v>77</v>
      </c>
      <c r="P3036">
        <v>11</v>
      </c>
      <c r="Q3036">
        <v>72</v>
      </c>
      <c r="R3036">
        <v>63</v>
      </c>
      <c r="S3036">
        <v>9</v>
      </c>
      <c r="T3036">
        <v>1</v>
      </c>
      <c r="U3036" t="s">
        <v>18527</v>
      </c>
      <c r="V3036">
        <f>Tabla1[[#This Row],[Aboard]]-Tabla1[[#This Row],[Fatalities]]</f>
        <v>16</v>
      </c>
      <c r="W3036" s="50">
        <f>IFERROR(Tabla1[[#This Row],[Fatalities]]/Tabla1[[#This Row],[Aboard]],0)</f>
        <v>0.81818181818181823</v>
      </c>
      <c r="X3036" s="51" t="str" cm="1">
        <f t="array" ref="X3036">_xlfn.IFS(Tabla1[[#This Row],[Porcentaje de muertes]]&lt;0.35,"LEVE",AND(Tabla1[[#This Row],[Porcentaje de muertes]]&gt;0.35,Tabla1[[#This Row],[Porcentaje de muertes]]&lt;0.65),"MEDIO",Tabla1[[#This Row],[Porcentaje de muertes]]&gt;0.65,"GRAVE")</f>
        <v>GRAVE</v>
      </c>
    </row>
    <row r="3037" spans="2:24" x14ac:dyDescent="0.3">
      <c r="B3037" s="9">
        <v>3036</v>
      </c>
      <c r="C3037" s="49">
        <v>29174</v>
      </c>
      <c r="D3037" s="9">
        <f>YEAR(Tabla1[[#This Row],[Date]])</f>
        <v>1979</v>
      </c>
      <c r="E3037" s="9" t="str" cm="1">
        <f t="array" ref="E3037">IFERROR(_xlfn.IFS(AND(D3037&lt;1980,D3037&gt;=1970),"70",AND(D3037&lt;1990,D3037&gt;=1980),"80",AND(D3037&lt;2000,D3037&gt;=1990),"90",AND(D3037&lt;2010,D3037&gt;=2000),"00",AND(D3037&lt;=2019,D3037&gt;=2010),"10"),"1908-1970")</f>
        <v>70</v>
      </c>
      <c r="F3037" s="3">
        <v>0.5</v>
      </c>
      <c r="G3037" t="s">
        <v>18528</v>
      </c>
      <c r="H3037" t="s">
        <v>6536</v>
      </c>
      <c r="I3037">
        <v>444</v>
      </c>
      <c r="J3037" t="s">
        <v>18529</v>
      </c>
      <c r="K3037" t="s">
        <v>18530</v>
      </c>
      <c r="L3037" s="7" t="s">
        <v>28931</v>
      </c>
      <c r="M3037" t="s">
        <v>28931</v>
      </c>
      <c r="N3037">
        <v>78</v>
      </c>
      <c r="O3037">
        <v>72</v>
      </c>
      <c r="P3037">
        <v>6</v>
      </c>
      <c r="Q3037">
        <v>0</v>
      </c>
      <c r="R3037">
        <v>0</v>
      </c>
      <c r="S3037">
        <v>0</v>
      </c>
      <c r="T3037">
        <v>0</v>
      </c>
      <c r="U3037" t="s">
        <v>18531</v>
      </c>
      <c r="V3037">
        <f>Tabla1[[#This Row],[Aboard]]-Tabla1[[#This Row],[Fatalities]]</f>
        <v>78</v>
      </c>
      <c r="W3037" s="50">
        <f>IFERROR(Tabla1[[#This Row],[Fatalities]]/Tabla1[[#This Row],[Aboard]],0)</f>
        <v>0</v>
      </c>
      <c r="X3037" s="51" t="str" cm="1">
        <f t="array" ref="X3037">_xlfn.IFS(Tabla1[[#This Row],[Porcentaje de muertes]]&lt;0.35,"LEVE",AND(Tabla1[[#This Row],[Porcentaje de muertes]]&gt;0.35,Tabla1[[#This Row],[Porcentaje de muertes]]&lt;0.65),"MEDIO",Tabla1[[#This Row],[Porcentaje de muertes]]&gt;0.65,"GRAVE")</f>
        <v>LEVE</v>
      </c>
    </row>
    <row r="3038" spans="2:24" x14ac:dyDescent="0.3">
      <c r="B3038" s="9">
        <v>3037</v>
      </c>
      <c r="C3038" s="49">
        <v>29175</v>
      </c>
      <c r="D3038" s="9">
        <f>YEAR(Tabla1[[#This Row],[Date]])</f>
        <v>1979</v>
      </c>
      <c r="E3038" s="9" t="str" cm="1">
        <f t="array" ref="E3038">IFERROR(_xlfn.IFS(AND(D3038&lt;1980,D3038&gt;=1970),"70",AND(D3038&lt;1990,D3038&gt;=1980),"80",AND(D3038&lt;2000,D3038&gt;=1990),"90",AND(D3038&lt;2010,D3038&gt;=2000),"00",AND(D3038&lt;=2019,D3038&gt;=2010),"10"),"1908-1970")</f>
        <v>70</v>
      </c>
      <c r="F3038" s="3">
        <v>0.77777777777777779</v>
      </c>
      <c r="G3038" t="s">
        <v>18532</v>
      </c>
      <c r="H3038" t="s">
        <v>6541</v>
      </c>
      <c r="I3038" t="s">
        <v>28931</v>
      </c>
      <c r="J3038" t="s">
        <v>18533</v>
      </c>
      <c r="K3038" t="s">
        <v>15961</v>
      </c>
      <c r="L3038" s="7" t="s">
        <v>18534</v>
      </c>
      <c r="M3038">
        <v>9431136</v>
      </c>
      <c r="N3038">
        <v>5</v>
      </c>
      <c r="O3038">
        <v>0</v>
      </c>
      <c r="P3038">
        <v>5</v>
      </c>
      <c r="Q3038">
        <v>3</v>
      </c>
      <c r="R3038">
        <v>0</v>
      </c>
      <c r="S3038">
        <v>3</v>
      </c>
      <c r="T3038">
        <v>0</v>
      </c>
      <c r="U3038" t="s">
        <v>18535</v>
      </c>
      <c r="V3038">
        <f>Tabla1[[#This Row],[Aboard]]-Tabla1[[#This Row],[Fatalities]]</f>
        <v>2</v>
      </c>
      <c r="W3038" s="50">
        <f>IFERROR(Tabla1[[#This Row],[Fatalities]]/Tabla1[[#This Row],[Aboard]],0)</f>
        <v>0.6</v>
      </c>
      <c r="X3038" s="51" t="str" cm="1">
        <f t="array" ref="X3038">_xlfn.IFS(Tabla1[[#This Row],[Porcentaje de muertes]]&lt;0.35,"LEVE",AND(Tabla1[[#This Row],[Porcentaje de muertes]]&gt;0.35,Tabla1[[#This Row],[Porcentaje de muertes]]&lt;0.65),"MEDIO",Tabla1[[#This Row],[Porcentaje de muertes]]&gt;0.65,"GRAVE")</f>
        <v>MEDIO</v>
      </c>
    </row>
    <row r="3039" spans="2:24" x14ac:dyDescent="0.3">
      <c r="B3039" s="9">
        <v>3038</v>
      </c>
      <c r="C3039" s="49">
        <v>29177</v>
      </c>
      <c r="D3039" s="9">
        <f>YEAR(Tabla1[[#This Row],[Date]])</f>
        <v>1979</v>
      </c>
      <c r="E3039" s="9" t="str" cm="1">
        <f t="array" ref="E3039">IFERROR(_xlfn.IFS(AND(D3039&lt;1980,D3039&gt;=1970),"70",AND(D3039&lt;1990,D3039&gt;=1980),"80",AND(D3039&lt;2000,D3039&gt;=1990),"90",AND(D3039&lt;2010,D3039&gt;=2000),"00",AND(D3039&lt;=2019,D3039&gt;=2010),"10"),"1908-1970")</f>
        <v>70</v>
      </c>
      <c r="F3039" s="3">
        <v>0.20555555555555557</v>
      </c>
      <c r="G3039" t="s">
        <v>18536</v>
      </c>
      <c r="H3039" t="s">
        <v>6211</v>
      </c>
      <c r="I3039" t="s">
        <v>28931</v>
      </c>
      <c r="J3039" t="s">
        <v>18537</v>
      </c>
      <c r="K3039" t="s">
        <v>18538</v>
      </c>
      <c r="L3039" s="7" t="s">
        <v>18539</v>
      </c>
      <c r="M3039">
        <v>2016</v>
      </c>
      <c r="N3039">
        <v>3</v>
      </c>
      <c r="O3039">
        <v>0</v>
      </c>
      <c r="P3039">
        <v>3</v>
      </c>
      <c r="Q3039">
        <v>3</v>
      </c>
      <c r="R3039">
        <v>0</v>
      </c>
      <c r="S3039">
        <v>3</v>
      </c>
      <c r="T3039">
        <v>0</v>
      </c>
      <c r="U3039" t="s">
        <v>18540</v>
      </c>
      <c r="V3039">
        <f>Tabla1[[#This Row],[Aboard]]-Tabla1[[#This Row],[Fatalities]]</f>
        <v>0</v>
      </c>
      <c r="W3039" s="50">
        <f>IFERROR(Tabla1[[#This Row],[Fatalities]]/Tabla1[[#This Row],[Aboard]],0)</f>
        <v>1</v>
      </c>
      <c r="X3039" s="51" t="str" cm="1">
        <f t="array" ref="X3039">_xlfn.IFS(Tabla1[[#This Row],[Porcentaje de muertes]]&lt;0.35,"LEVE",AND(Tabla1[[#This Row],[Porcentaje de muertes]]&gt;0.35,Tabla1[[#This Row],[Porcentaje de muertes]]&lt;0.65),"MEDIO",Tabla1[[#This Row],[Porcentaje de muertes]]&gt;0.65,"GRAVE")</f>
        <v>GRAVE</v>
      </c>
    </row>
    <row r="3040" spans="2:24" x14ac:dyDescent="0.3">
      <c r="B3040" s="9">
        <v>3039</v>
      </c>
      <c r="C3040" s="49">
        <v>29185</v>
      </c>
      <c r="D3040" s="9">
        <f>YEAR(Tabla1[[#This Row],[Date]])</f>
        <v>1979</v>
      </c>
      <c r="E3040" s="9" t="str" cm="1">
        <f t="array" ref="E3040">IFERROR(_xlfn.IFS(AND(D3040&lt;1980,D3040&gt;=1970),"70",AND(D3040&lt;1990,D3040&gt;=1980),"80",AND(D3040&lt;2000,D3040&gt;=1990),"90",AND(D3040&lt;2010,D3040&gt;=2000),"00",AND(D3040&lt;=2019,D3040&gt;=2010),"10"),"1908-1970")</f>
        <v>70</v>
      </c>
      <c r="F3040" s="3">
        <v>8.5416666666666655E-2</v>
      </c>
      <c r="G3040" t="s">
        <v>18541</v>
      </c>
      <c r="H3040" t="s">
        <v>11736</v>
      </c>
      <c r="I3040">
        <v>740</v>
      </c>
      <c r="J3040" t="s">
        <v>18542</v>
      </c>
      <c r="K3040" t="s">
        <v>18543</v>
      </c>
      <c r="L3040" s="7" t="s">
        <v>18544</v>
      </c>
      <c r="M3040" t="s">
        <v>18545</v>
      </c>
      <c r="N3040">
        <v>156</v>
      </c>
      <c r="O3040">
        <v>145</v>
      </c>
      <c r="P3040">
        <v>11</v>
      </c>
      <c r="Q3040">
        <v>156</v>
      </c>
      <c r="R3040">
        <v>145</v>
      </c>
      <c r="S3040">
        <v>11</v>
      </c>
      <c r="T3040">
        <v>0</v>
      </c>
      <c r="U3040" t="s">
        <v>18546</v>
      </c>
      <c r="V3040">
        <f>Tabla1[[#This Row],[Aboard]]-Tabla1[[#This Row],[Fatalities]]</f>
        <v>0</v>
      </c>
      <c r="W3040" s="50">
        <f>IFERROR(Tabla1[[#This Row],[Fatalities]]/Tabla1[[#This Row],[Aboard]],0)</f>
        <v>1</v>
      </c>
      <c r="X3040" s="51" t="str" cm="1">
        <f t="array" ref="X3040">_xlfn.IFS(Tabla1[[#This Row],[Porcentaje de muertes]]&lt;0.35,"LEVE",AND(Tabla1[[#This Row],[Porcentaje de muertes]]&gt;0.35,Tabla1[[#This Row],[Porcentaje de muertes]]&lt;0.65),"MEDIO",Tabla1[[#This Row],[Porcentaje de muertes]]&gt;0.65,"GRAVE")</f>
        <v>GRAVE</v>
      </c>
    </row>
    <row r="3041" spans="2:24" x14ac:dyDescent="0.3">
      <c r="B3041" s="9">
        <v>3040</v>
      </c>
      <c r="C3041" s="49">
        <v>29187</v>
      </c>
      <c r="D3041" s="9">
        <f>YEAR(Tabla1[[#This Row],[Date]])</f>
        <v>1979</v>
      </c>
      <c r="E3041" s="9" t="str" cm="1">
        <f t="array" ref="E3041">IFERROR(_xlfn.IFS(AND(D3041&lt;1980,D3041&gt;=1970),"70",AND(D3041&lt;1990,D3041&gt;=1980),"80",AND(D3041&lt;2000,D3041&gt;=1990),"90",AND(D3041&lt;2010,D3041&gt;=2000),"00",AND(D3041&lt;=2019,D3041&gt;=2010),"10"),"1908-1970")</f>
        <v>70</v>
      </c>
      <c r="F3041" s="3">
        <v>0.53402777777777777</v>
      </c>
      <c r="G3041" t="s">
        <v>18547</v>
      </c>
      <c r="H3041" t="s">
        <v>14696</v>
      </c>
      <c r="I3041">
        <v>901</v>
      </c>
      <c r="J3041" t="s">
        <v>18548</v>
      </c>
      <c r="K3041" t="s">
        <v>18549</v>
      </c>
      <c r="L3041" s="7" t="s">
        <v>18550</v>
      </c>
      <c r="M3041" t="s">
        <v>18551</v>
      </c>
      <c r="N3041">
        <v>257</v>
      </c>
      <c r="O3041">
        <v>237</v>
      </c>
      <c r="P3041">
        <v>20</v>
      </c>
      <c r="Q3041">
        <v>257</v>
      </c>
      <c r="R3041">
        <v>237</v>
      </c>
      <c r="S3041">
        <v>20</v>
      </c>
      <c r="T3041">
        <v>0</v>
      </c>
      <c r="U3041" t="s">
        <v>18552</v>
      </c>
      <c r="V3041">
        <f>Tabla1[[#This Row],[Aboard]]-Tabla1[[#This Row],[Fatalities]]</f>
        <v>0</v>
      </c>
      <c r="W3041" s="50">
        <f>IFERROR(Tabla1[[#This Row],[Fatalities]]/Tabla1[[#This Row],[Aboard]],0)</f>
        <v>1</v>
      </c>
      <c r="X3041" s="51" t="str" cm="1">
        <f t="array" ref="X3041">_xlfn.IFS(Tabla1[[#This Row],[Porcentaje de muertes]]&lt;0.35,"LEVE",AND(Tabla1[[#This Row],[Porcentaje de muertes]]&gt;0.35,Tabla1[[#This Row],[Porcentaje de muertes]]&lt;0.65),"MEDIO",Tabla1[[#This Row],[Porcentaje de muertes]]&gt;0.65,"GRAVE")</f>
        <v>GRAVE</v>
      </c>
    </row>
    <row r="3042" spans="2:24" x14ac:dyDescent="0.3">
      <c r="B3042" s="9">
        <v>3041</v>
      </c>
      <c r="C3042" s="49">
        <v>29189</v>
      </c>
      <c r="D3042" s="9">
        <f>YEAR(Tabla1[[#This Row],[Date]])</f>
        <v>1979</v>
      </c>
      <c r="E3042" s="9" t="str" cm="1">
        <f t="array" ref="E3042">IFERROR(_xlfn.IFS(AND(D3042&lt;1980,D3042&gt;=1970),"70",AND(D3042&lt;1990,D3042&gt;=1980),"80",AND(D3042&lt;2000,D3042&gt;=1990),"90",AND(D3042&lt;2010,D3042&gt;=2000),"00",AND(D3042&lt;=2019,D3042&gt;=2010),"10"),"1908-1970")</f>
        <v>70</v>
      </c>
      <c r="F3042" s="3" t="s">
        <v>28931</v>
      </c>
      <c r="G3042" t="s">
        <v>18553</v>
      </c>
      <c r="H3042" t="s">
        <v>18554</v>
      </c>
      <c r="I3042" t="s">
        <v>28931</v>
      </c>
      <c r="J3042" t="s">
        <v>28931</v>
      </c>
      <c r="K3042" t="s">
        <v>7730</v>
      </c>
      <c r="L3042" s="7" t="s">
        <v>18555</v>
      </c>
      <c r="M3042">
        <v>1019</v>
      </c>
      <c r="N3042">
        <v>9</v>
      </c>
      <c r="O3042">
        <v>7</v>
      </c>
      <c r="P3042">
        <v>2</v>
      </c>
      <c r="Q3042">
        <v>9</v>
      </c>
      <c r="R3042">
        <v>7</v>
      </c>
      <c r="S3042">
        <v>2</v>
      </c>
      <c r="T3042">
        <v>0</v>
      </c>
      <c r="U3042" t="s">
        <v>28927</v>
      </c>
      <c r="V3042">
        <f>Tabla1[[#This Row],[Aboard]]-Tabla1[[#This Row],[Fatalities]]</f>
        <v>0</v>
      </c>
      <c r="W3042" s="50">
        <f>IFERROR(Tabla1[[#This Row],[Fatalities]]/Tabla1[[#This Row],[Aboard]],0)</f>
        <v>1</v>
      </c>
      <c r="X3042" s="51" t="str" cm="1">
        <f t="array" ref="X3042">_xlfn.IFS(Tabla1[[#This Row],[Porcentaje de muertes]]&lt;0.35,"LEVE",AND(Tabla1[[#This Row],[Porcentaje de muertes]]&gt;0.35,Tabla1[[#This Row],[Porcentaje de muertes]]&lt;0.65),"MEDIO",Tabla1[[#This Row],[Porcentaje de muertes]]&gt;0.65,"GRAVE")</f>
        <v>GRAVE</v>
      </c>
    </row>
    <row r="3043" spans="2:24" x14ac:dyDescent="0.3">
      <c r="B3043" s="9">
        <v>3042</v>
      </c>
      <c r="C3043" s="49">
        <v>29110</v>
      </c>
      <c r="D3043" s="9">
        <f>YEAR(Tabla1[[#This Row],[Date]])</f>
        <v>1979</v>
      </c>
      <c r="E3043" s="9" t="str" cm="1">
        <f t="array" ref="E3043">IFERROR(_xlfn.IFS(AND(D3043&lt;1980,D3043&gt;=1970),"70",AND(D3043&lt;1990,D3043&gt;=1980),"80",AND(D3043&lt;2000,D3043&gt;=1990),"90",AND(D3043&lt;2010,D3043&gt;=2000),"00",AND(D3043&lt;=2019,D3043&gt;=2010),"10"),"1908-1970")</f>
        <v>70</v>
      </c>
      <c r="F3043" s="3" t="s">
        <v>28931</v>
      </c>
      <c r="G3043" t="s">
        <v>18556</v>
      </c>
      <c r="H3043" t="s">
        <v>6541</v>
      </c>
      <c r="I3043" t="s">
        <v>28931</v>
      </c>
      <c r="J3043" t="s">
        <v>28931</v>
      </c>
      <c r="K3043" t="s">
        <v>17904</v>
      </c>
      <c r="L3043" s="7" t="s">
        <v>18557</v>
      </c>
      <c r="M3043">
        <v>2810</v>
      </c>
      <c r="N3043">
        <v>7</v>
      </c>
      <c r="O3043">
        <v>2</v>
      </c>
      <c r="P3043">
        <v>5</v>
      </c>
      <c r="Q3043">
        <v>7</v>
      </c>
      <c r="R3043">
        <v>2</v>
      </c>
      <c r="S3043">
        <v>5</v>
      </c>
      <c r="T3043">
        <v>0</v>
      </c>
      <c r="U3043" t="s">
        <v>18558</v>
      </c>
      <c r="V3043">
        <f>Tabla1[[#This Row],[Aboard]]-Tabla1[[#This Row],[Fatalities]]</f>
        <v>0</v>
      </c>
      <c r="W3043" s="50">
        <f>IFERROR(Tabla1[[#This Row],[Fatalities]]/Tabla1[[#This Row],[Aboard]],0)</f>
        <v>1</v>
      </c>
      <c r="X3043" s="51" t="str" cm="1">
        <f t="array" ref="X3043">_xlfn.IFS(Tabla1[[#This Row],[Porcentaje de muertes]]&lt;0.35,"LEVE",AND(Tabla1[[#This Row],[Porcentaje de muertes]]&gt;0.35,Tabla1[[#This Row],[Porcentaje de muertes]]&lt;0.65),"MEDIO",Tabla1[[#This Row],[Porcentaje de muertes]]&gt;0.65,"GRAVE")</f>
        <v>GRAVE</v>
      </c>
    </row>
    <row r="3044" spans="2:24" x14ac:dyDescent="0.3">
      <c r="B3044" s="9">
        <v>3043</v>
      </c>
      <c r="C3044" s="49">
        <v>29201</v>
      </c>
      <c r="D3044" s="9">
        <f>YEAR(Tabla1[[#This Row],[Date]])</f>
        <v>1979</v>
      </c>
      <c r="E3044" s="9" t="str" cm="1">
        <f t="array" ref="E3044">IFERROR(_xlfn.IFS(AND(D3044&lt;1980,D3044&gt;=1970),"70",AND(D3044&lt;1990,D3044&gt;=1980),"80",AND(D3044&lt;2000,D3044&gt;=1990),"90",AND(D3044&lt;2010,D3044&gt;=2000),"00",AND(D3044&lt;=2019,D3044&gt;=2010),"10"),"1908-1970")</f>
        <v>70</v>
      </c>
      <c r="F3044" s="3" t="s">
        <v>28931</v>
      </c>
      <c r="G3044" t="s">
        <v>18559</v>
      </c>
      <c r="H3044" t="s">
        <v>18560</v>
      </c>
      <c r="I3044" t="s">
        <v>28931</v>
      </c>
      <c r="J3044" t="s">
        <v>28931</v>
      </c>
      <c r="K3044" t="s">
        <v>11479</v>
      </c>
      <c r="L3044" s="7" t="s">
        <v>18561</v>
      </c>
      <c r="M3044">
        <v>14114</v>
      </c>
      <c r="N3044">
        <v>11</v>
      </c>
      <c r="O3044" t="s">
        <v>5038</v>
      </c>
      <c r="P3044" t="s">
        <v>5038</v>
      </c>
      <c r="Q3044">
        <v>10</v>
      </c>
      <c r="R3044" t="s">
        <v>5038</v>
      </c>
      <c r="S3044" t="s">
        <v>5038</v>
      </c>
      <c r="T3044">
        <v>0</v>
      </c>
      <c r="U3044" t="s">
        <v>28927</v>
      </c>
      <c r="V3044">
        <f>Tabla1[[#This Row],[Aboard]]-Tabla1[[#This Row],[Fatalities]]</f>
        <v>1</v>
      </c>
      <c r="W3044" s="50">
        <f>IFERROR(Tabla1[[#This Row],[Fatalities]]/Tabla1[[#This Row],[Aboard]],0)</f>
        <v>0.90909090909090906</v>
      </c>
      <c r="X3044" s="51" t="str" cm="1">
        <f t="array" ref="X3044">_xlfn.IFS(Tabla1[[#This Row],[Porcentaje de muertes]]&lt;0.35,"LEVE",AND(Tabla1[[#This Row],[Porcentaje de muertes]]&gt;0.35,Tabla1[[#This Row],[Porcentaje de muertes]]&lt;0.65),"MEDIO",Tabla1[[#This Row],[Porcentaje de muertes]]&gt;0.65,"GRAVE")</f>
        <v>GRAVE</v>
      </c>
    </row>
    <row r="3045" spans="2:24" x14ac:dyDescent="0.3">
      <c r="B3045" s="9">
        <v>3044</v>
      </c>
      <c r="C3045" s="49">
        <v>29207</v>
      </c>
      <c r="D3045" s="9">
        <f>YEAR(Tabla1[[#This Row],[Date]])</f>
        <v>1979</v>
      </c>
      <c r="E3045" s="9" t="str" cm="1">
        <f t="array" ref="E3045">IFERROR(_xlfn.IFS(AND(D3045&lt;1980,D3045&gt;=1970),"70",AND(D3045&lt;1990,D3045&gt;=1980),"80",AND(D3045&lt;2000,D3045&gt;=1990),"90",AND(D3045&lt;2010,D3045&gt;=2000),"00",AND(D3045&lt;=2019,D3045&gt;=2010),"10"),"1908-1970")</f>
        <v>70</v>
      </c>
      <c r="F3045" s="3" t="s">
        <v>28931</v>
      </c>
      <c r="G3045" t="s">
        <v>18562</v>
      </c>
      <c r="H3045" t="s">
        <v>15622</v>
      </c>
      <c r="I3045" t="s">
        <v>28931</v>
      </c>
      <c r="J3045" t="s">
        <v>18563</v>
      </c>
      <c r="K3045" t="s">
        <v>18564</v>
      </c>
      <c r="L3045" s="7" t="s">
        <v>18565</v>
      </c>
      <c r="M3045">
        <v>10853</v>
      </c>
      <c r="N3045">
        <v>21</v>
      </c>
      <c r="O3045">
        <v>16</v>
      </c>
      <c r="P3045">
        <v>5</v>
      </c>
      <c r="Q3045">
        <v>21</v>
      </c>
      <c r="R3045">
        <v>16</v>
      </c>
      <c r="S3045">
        <v>5</v>
      </c>
      <c r="T3045">
        <v>0</v>
      </c>
      <c r="U3045" t="s">
        <v>18566</v>
      </c>
      <c r="V3045">
        <f>Tabla1[[#This Row],[Aboard]]-Tabla1[[#This Row],[Fatalities]]</f>
        <v>0</v>
      </c>
      <c r="W3045" s="50">
        <f>IFERROR(Tabla1[[#This Row],[Fatalities]]/Tabla1[[#This Row],[Aboard]],0)</f>
        <v>1</v>
      </c>
      <c r="X3045" s="51" t="str" cm="1">
        <f t="array" ref="X3045">_xlfn.IFS(Tabla1[[#This Row],[Porcentaje de muertes]]&lt;0.35,"LEVE",AND(Tabla1[[#This Row],[Porcentaje de muertes]]&gt;0.35,Tabla1[[#This Row],[Porcentaje de muertes]]&lt;0.65),"MEDIO",Tabla1[[#This Row],[Porcentaje de muertes]]&gt;0.65,"GRAVE")</f>
        <v>GRAVE</v>
      </c>
    </row>
    <row r="3046" spans="2:24" x14ac:dyDescent="0.3">
      <c r="B3046" s="9">
        <v>3045</v>
      </c>
      <c r="C3046" s="49">
        <v>29211</v>
      </c>
      <c r="D3046" s="9">
        <f>YEAR(Tabla1[[#This Row],[Date]])</f>
        <v>1979</v>
      </c>
      <c r="E3046" s="9" t="str" cm="1">
        <f t="array" ref="E3046">IFERROR(_xlfn.IFS(AND(D3046&lt;1980,D3046&gt;=1970),"70",AND(D3046&lt;1990,D3046&gt;=1980),"80",AND(D3046&lt;2000,D3046&gt;=1990),"90",AND(D3046&lt;2010,D3046&gt;=2000),"00",AND(D3046&lt;=2019,D3046&gt;=2010),"10"),"1908-1970")</f>
        <v>70</v>
      </c>
      <c r="F3046" s="3">
        <v>0.58333333333333337</v>
      </c>
      <c r="G3046" t="s">
        <v>18567</v>
      </c>
      <c r="H3046" t="s">
        <v>16081</v>
      </c>
      <c r="I3046" t="s">
        <v>28931</v>
      </c>
      <c r="J3046" t="s">
        <v>18568</v>
      </c>
      <c r="K3046" t="s">
        <v>18569</v>
      </c>
      <c r="L3046" s="7" t="s">
        <v>18570</v>
      </c>
      <c r="M3046">
        <v>55</v>
      </c>
      <c r="N3046">
        <v>29</v>
      </c>
      <c r="O3046">
        <v>24</v>
      </c>
      <c r="P3046">
        <v>5</v>
      </c>
      <c r="Q3046">
        <v>29</v>
      </c>
      <c r="R3046">
        <v>24</v>
      </c>
      <c r="S3046">
        <v>5</v>
      </c>
      <c r="T3046">
        <v>0</v>
      </c>
      <c r="U3046" t="s">
        <v>18571</v>
      </c>
      <c r="V3046">
        <f>Tabla1[[#This Row],[Aboard]]-Tabla1[[#This Row],[Fatalities]]</f>
        <v>0</v>
      </c>
      <c r="W3046" s="50">
        <f>IFERROR(Tabla1[[#This Row],[Fatalities]]/Tabla1[[#This Row],[Aboard]],0)</f>
        <v>1</v>
      </c>
      <c r="X3046" s="51" t="str" cm="1">
        <f t="array" ref="X3046">_xlfn.IFS(Tabla1[[#This Row],[Porcentaje de muertes]]&lt;0.35,"LEVE",AND(Tabla1[[#This Row],[Porcentaje de muertes]]&gt;0.35,Tabla1[[#This Row],[Porcentaje de muertes]]&lt;0.65),"MEDIO",Tabla1[[#This Row],[Porcentaje de muertes]]&gt;0.65,"GRAVE")</f>
        <v>GRAVE</v>
      </c>
    </row>
    <row r="3047" spans="2:24" x14ac:dyDescent="0.3">
      <c r="B3047" s="9">
        <v>3046</v>
      </c>
      <c r="C3047" s="49">
        <v>29212</v>
      </c>
      <c r="D3047" s="9">
        <f>YEAR(Tabla1[[#This Row],[Date]])</f>
        <v>1979</v>
      </c>
      <c r="E3047" s="9" t="str" cm="1">
        <f t="array" ref="E3047">IFERROR(_xlfn.IFS(AND(D3047&lt;1980,D3047&gt;=1970),"70",AND(D3047&lt;1990,D3047&gt;=1980),"80",AND(D3047&lt;2000,D3047&gt;=1990),"90",AND(D3047&lt;2010,D3047&gt;=2000),"00",AND(D3047&lt;=2019,D3047&gt;=2010),"10"),"1908-1970")</f>
        <v>70</v>
      </c>
      <c r="F3047" s="3" t="s">
        <v>28931</v>
      </c>
      <c r="G3047" t="s">
        <v>10043</v>
      </c>
      <c r="H3047" t="s">
        <v>12613</v>
      </c>
      <c r="I3047" t="s">
        <v>28931</v>
      </c>
      <c r="J3047" t="s">
        <v>18572</v>
      </c>
      <c r="K3047" t="s">
        <v>16685</v>
      </c>
      <c r="L3047" s="7" t="s">
        <v>18573</v>
      </c>
      <c r="M3047">
        <v>11071</v>
      </c>
      <c r="N3047">
        <v>45</v>
      </c>
      <c r="O3047">
        <v>41</v>
      </c>
      <c r="P3047">
        <v>4</v>
      </c>
      <c r="Q3047">
        <v>41</v>
      </c>
      <c r="R3047">
        <v>38</v>
      </c>
      <c r="S3047">
        <v>3</v>
      </c>
      <c r="T3047">
        <v>0</v>
      </c>
      <c r="U3047" t="s">
        <v>18574</v>
      </c>
      <c r="V3047">
        <f>Tabla1[[#This Row],[Aboard]]-Tabla1[[#This Row],[Fatalities]]</f>
        <v>4</v>
      </c>
      <c r="W3047" s="50">
        <f>IFERROR(Tabla1[[#This Row],[Fatalities]]/Tabla1[[#This Row],[Aboard]],0)</f>
        <v>0.91111111111111109</v>
      </c>
      <c r="X3047" s="51" t="str" cm="1">
        <f t="array" ref="X3047">_xlfn.IFS(Tabla1[[#This Row],[Porcentaje de muertes]]&lt;0.35,"LEVE",AND(Tabla1[[#This Row],[Porcentaje de muertes]]&gt;0.35,Tabla1[[#This Row],[Porcentaje de muertes]]&lt;0.65),"MEDIO",Tabla1[[#This Row],[Porcentaje de muertes]]&gt;0.65,"GRAVE")</f>
        <v>GRAVE</v>
      </c>
    </row>
    <row r="3048" spans="2:24" x14ac:dyDescent="0.3">
      <c r="B3048" s="9">
        <v>3047</v>
      </c>
      <c r="C3048" s="49">
        <v>29212</v>
      </c>
      <c r="D3048" s="9">
        <f>YEAR(Tabla1[[#This Row],[Date]])</f>
        <v>1979</v>
      </c>
      <c r="E3048" s="9" t="str" cm="1">
        <f t="array" ref="E3048">IFERROR(_xlfn.IFS(AND(D3048&lt;1980,D3048&gt;=1970),"70",AND(D3048&lt;1990,D3048&gt;=1980),"80",AND(D3048&lt;2000,D3048&gt;=1990),"90",AND(D3048&lt;2010,D3048&gt;=2000),"00",AND(D3048&lt;=2019,D3048&gt;=2010),"10"),"1908-1970")</f>
        <v>70</v>
      </c>
      <c r="F3048" s="3" t="s">
        <v>28931</v>
      </c>
      <c r="G3048" t="s">
        <v>18575</v>
      </c>
      <c r="H3048" t="s">
        <v>18576</v>
      </c>
      <c r="I3048" t="s">
        <v>28931</v>
      </c>
      <c r="J3048" t="s">
        <v>18577</v>
      </c>
      <c r="K3048" t="s">
        <v>18578</v>
      </c>
      <c r="L3048" s="7" t="s">
        <v>18579</v>
      </c>
      <c r="M3048">
        <v>39</v>
      </c>
      <c r="N3048">
        <v>16</v>
      </c>
      <c r="O3048">
        <v>14</v>
      </c>
      <c r="P3048">
        <v>2</v>
      </c>
      <c r="Q3048">
        <v>16</v>
      </c>
      <c r="R3048">
        <v>14</v>
      </c>
      <c r="S3048">
        <v>2</v>
      </c>
      <c r="T3048">
        <v>0</v>
      </c>
      <c r="U3048" t="s">
        <v>18580</v>
      </c>
      <c r="V3048">
        <f>Tabla1[[#This Row],[Aboard]]-Tabla1[[#This Row],[Fatalities]]</f>
        <v>0</v>
      </c>
      <c r="W3048" s="50">
        <f>IFERROR(Tabla1[[#This Row],[Fatalities]]/Tabla1[[#This Row],[Aboard]],0)</f>
        <v>1</v>
      </c>
      <c r="X3048" s="51" t="str" cm="1">
        <f t="array" ref="X3048">_xlfn.IFS(Tabla1[[#This Row],[Porcentaje de muertes]]&lt;0.35,"LEVE",AND(Tabla1[[#This Row],[Porcentaje de muertes]]&gt;0.35,Tabla1[[#This Row],[Porcentaje de muertes]]&lt;0.65),"MEDIO",Tabla1[[#This Row],[Porcentaje de muertes]]&gt;0.65,"GRAVE")</f>
        <v>GRAVE</v>
      </c>
    </row>
    <row r="3049" spans="2:24" x14ac:dyDescent="0.3">
      <c r="B3049" s="9">
        <v>3048</v>
      </c>
      <c r="C3049" s="49">
        <v>29252</v>
      </c>
      <c r="D3049" s="9">
        <f>YEAR(Tabla1[[#This Row],[Date]])</f>
        <v>1980</v>
      </c>
      <c r="E3049" s="9" t="str" cm="1">
        <f t="array" ref="E3049">IFERROR(_xlfn.IFS(AND(D3049&lt;1980,D3049&gt;=1970),"70",AND(D3049&lt;1990,D3049&gt;=1980),"80",AND(D3049&lt;2000,D3049&gt;=1990),"90",AND(D3049&lt;2010,D3049&gt;=2000),"00",AND(D3049&lt;=2019,D3049&gt;=2010),"10"),"1908-1970")</f>
        <v>80</v>
      </c>
      <c r="F3049" s="3" t="s">
        <v>28931</v>
      </c>
      <c r="G3049" t="s">
        <v>18581</v>
      </c>
      <c r="H3049" t="s">
        <v>18582</v>
      </c>
      <c r="I3049" t="s">
        <v>28931</v>
      </c>
      <c r="J3049" t="s">
        <v>18583</v>
      </c>
      <c r="K3049" t="s">
        <v>18584</v>
      </c>
      <c r="L3049" s="7" t="s">
        <v>18585</v>
      </c>
      <c r="M3049">
        <v>474</v>
      </c>
      <c r="N3049">
        <v>9</v>
      </c>
      <c r="O3049">
        <v>8</v>
      </c>
      <c r="P3049">
        <v>1</v>
      </c>
      <c r="Q3049">
        <v>9</v>
      </c>
      <c r="R3049">
        <v>8</v>
      </c>
      <c r="S3049">
        <v>1</v>
      </c>
      <c r="T3049">
        <v>0</v>
      </c>
      <c r="U3049" t="s">
        <v>18586</v>
      </c>
      <c r="V3049">
        <f>Tabla1[[#This Row],[Aboard]]-Tabla1[[#This Row],[Fatalities]]</f>
        <v>0</v>
      </c>
      <c r="W3049" s="50">
        <f>IFERROR(Tabla1[[#This Row],[Fatalities]]/Tabla1[[#This Row],[Aboard]],0)</f>
        <v>1</v>
      </c>
      <c r="X3049" s="51" t="str" cm="1">
        <f t="array" ref="X3049">_xlfn.IFS(Tabla1[[#This Row],[Porcentaje de muertes]]&lt;0.35,"LEVE",AND(Tabla1[[#This Row],[Porcentaje de muertes]]&gt;0.35,Tabla1[[#This Row],[Porcentaje de muertes]]&lt;0.65),"MEDIO",Tabla1[[#This Row],[Porcentaje de muertes]]&gt;0.65,"GRAVE")</f>
        <v>GRAVE</v>
      </c>
    </row>
    <row r="3050" spans="2:24" x14ac:dyDescent="0.3">
      <c r="B3050" s="9">
        <v>3049</v>
      </c>
      <c r="C3050" s="49">
        <v>29526</v>
      </c>
      <c r="D3050" s="9">
        <f>YEAR(Tabla1[[#This Row],[Date]])</f>
        <v>1980</v>
      </c>
      <c r="E3050" s="9" t="str" cm="1">
        <f t="array" ref="E3050">IFERROR(_xlfn.IFS(AND(D3050&lt;1980,D3050&gt;=1970),"70",AND(D3050&lt;1990,D3050&gt;=1980),"80",AND(D3050&lt;2000,D3050&gt;=1990),"90",AND(D3050&lt;2010,D3050&gt;=2000),"00",AND(D3050&lt;=2019,D3050&gt;=2010),"10"),"1908-1970")</f>
        <v>80</v>
      </c>
      <c r="F3050" s="3">
        <v>5.7638888888888885E-2</v>
      </c>
      <c r="G3050" t="s">
        <v>18587</v>
      </c>
      <c r="H3050" t="s">
        <v>18588</v>
      </c>
      <c r="I3050" t="s">
        <v>28931</v>
      </c>
      <c r="J3050" t="s">
        <v>18589</v>
      </c>
      <c r="K3050" t="s">
        <v>18590</v>
      </c>
      <c r="L3050" s="7" t="s">
        <v>18591</v>
      </c>
      <c r="M3050" t="s">
        <v>28931</v>
      </c>
      <c r="N3050">
        <v>2</v>
      </c>
      <c r="O3050">
        <v>1</v>
      </c>
      <c r="P3050">
        <v>1</v>
      </c>
      <c r="Q3050">
        <v>2</v>
      </c>
      <c r="R3050">
        <v>1</v>
      </c>
      <c r="S3050">
        <v>1</v>
      </c>
      <c r="T3050">
        <v>0</v>
      </c>
      <c r="U3050" t="s">
        <v>18592</v>
      </c>
      <c r="V3050">
        <f>Tabla1[[#This Row],[Aboard]]-Tabla1[[#This Row],[Fatalities]]</f>
        <v>0</v>
      </c>
      <c r="W3050" s="50">
        <f>IFERROR(Tabla1[[#This Row],[Fatalities]]/Tabla1[[#This Row],[Aboard]],0)</f>
        <v>1</v>
      </c>
      <c r="X3050" s="51" t="str" cm="1">
        <f t="array" ref="X3050">_xlfn.IFS(Tabla1[[#This Row],[Porcentaje de muertes]]&lt;0.35,"LEVE",AND(Tabla1[[#This Row],[Porcentaje de muertes]]&gt;0.35,Tabla1[[#This Row],[Porcentaje de muertes]]&lt;0.65),"MEDIO",Tabla1[[#This Row],[Porcentaje de muertes]]&gt;0.65,"GRAVE")</f>
        <v>GRAVE</v>
      </c>
    </row>
    <row r="3051" spans="2:24" x14ac:dyDescent="0.3">
      <c r="B3051" s="9">
        <v>3050</v>
      </c>
      <c r="C3051" s="49">
        <v>29234</v>
      </c>
      <c r="D3051" s="9">
        <f>YEAR(Tabla1[[#This Row],[Date]])</f>
        <v>1980</v>
      </c>
      <c r="E3051" s="9" t="str" cm="1">
        <f t="array" ref="E3051">IFERROR(_xlfn.IFS(AND(D3051&lt;1980,D3051&gt;=1970),"70",AND(D3051&lt;1990,D3051&gt;=1980),"80",AND(D3051&lt;2000,D3051&gt;=1990),"90",AND(D3051&lt;2010,D3051&gt;=2000),"00",AND(D3051&lt;=2019,D3051&gt;=2010),"10"),"1908-1970")</f>
        <v>80</v>
      </c>
      <c r="F3051" s="3">
        <v>0.58333333333333337</v>
      </c>
      <c r="G3051" t="s">
        <v>18593</v>
      </c>
      <c r="H3051" t="s">
        <v>18594</v>
      </c>
      <c r="I3051" t="s">
        <v>28931</v>
      </c>
      <c r="J3051" t="s">
        <v>18595</v>
      </c>
      <c r="K3051" t="s">
        <v>18596</v>
      </c>
      <c r="L3051" s="7" t="s">
        <v>18597</v>
      </c>
      <c r="M3051" t="s">
        <v>18598</v>
      </c>
      <c r="N3051">
        <v>9</v>
      </c>
      <c r="O3051">
        <v>8</v>
      </c>
      <c r="P3051">
        <v>1</v>
      </c>
      <c r="Q3051">
        <v>7</v>
      </c>
      <c r="R3051">
        <v>6</v>
      </c>
      <c r="S3051">
        <v>1</v>
      </c>
      <c r="T3051">
        <v>0</v>
      </c>
      <c r="U3051" t="s">
        <v>18599</v>
      </c>
      <c r="V3051">
        <f>Tabla1[[#This Row],[Aboard]]-Tabla1[[#This Row],[Fatalities]]</f>
        <v>2</v>
      </c>
      <c r="W3051" s="50">
        <f>IFERROR(Tabla1[[#This Row],[Fatalities]]/Tabla1[[#This Row],[Aboard]],0)</f>
        <v>0.77777777777777779</v>
      </c>
      <c r="X3051" s="51" t="str" cm="1">
        <f t="array" ref="X3051">_xlfn.IFS(Tabla1[[#This Row],[Porcentaje de muertes]]&lt;0.35,"LEVE",AND(Tabla1[[#This Row],[Porcentaje de muertes]]&gt;0.35,Tabla1[[#This Row],[Porcentaje de muertes]]&lt;0.65),"MEDIO",Tabla1[[#This Row],[Porcentaje de muertes]]&gt;0.65,"GRAVE")</f>
        <v>GRAVE</v>
      </c>
    </row>
    <row r="3052" spans="2:24" x14ac:dyDescent="0.3">
      <c r="B3052" s="9">
        <v>3051</v>
      </c>
      <c r="C3052" s="49">
        <v>29241</v>
      </c>
      <c r="D3052" s="9">
        <f>YEAR(Tabla1[[#This Row],[Date]])</f>
        <v>1980</v>
      </c>
      <c r="E3052" s="9" t="str" cm="1">
        <f t="array" ref="E3052">IFERROR(_xlfn.IFS(AND(D3052&lt;1980,D3052&gt;=1970),"70",AND(D3052&lt;1990,D3052&gt;=1980),"80",AND(D3052&lt;2000,D3052&gt;=1990),"90",AND(D3052&lt;2010,D3052&gt;=2000),"00",AND(D3052&lt;=2019,D3052&gt;=2010),"10"),"1908-1970")</f>
        <v>80</v>
      </c>
      <c r="F3052" s="3">
        <v>0.79861111111111116</v>
      </c>
      <c r="G3052" t="s">
        <v>18600</v>
      </c>
      <c r="H3052" t="s">
        <v>10176</v>
      </c>
      <c r="I3052" t="s">
        <v>28931</v>
      </c>
      <c r="J3052" t="s">
        <v>18601</v>
      </c>
      <c r="K3052" t="s">
        <v>18602</v>
      </c>
      <c r="L3052" s="7" t="s">
        <v>18603</v>
      </c>
      <c r="M3052" t="s">
        <v>18604</v>
      </c>
      <c r="N3052">
        <v>128</v>
      </c>
      <c r="O3052">
        <v>120</v>
      </c>
      <c r="P3052">
        <v>8</v>
      </c>
      <c r="Q3052">
        <v>128</v>
      </c>
      <c r="R3052">
        <v>120</v>
      </c>
      <c r="S3052">
        <v>8</v>
      </c>
      <c r="T3052">
        <v>0</v>
      </c>
      <c r="U3052" t="s">
        <v>18605</v>
      </c>
      <c r="V3052">
        <f>Tabla1[[#This Row],[Aboard]]-Tabla1[[#This Row],[Fatalities]]</f>
        <v>0</v>
      </c>
      <c r="W3052" s="50">
        <f>IFERROR(Tabla1[[#This Row],[Fatalities]]/Tabla1[[#This Row],[Aboard]],0)</f>
        <v>1</v>
      </c>
      <c r="X3052" s="51" t="str" cm="1">
        <f t="array" ref="X3052">_xlfn.IFS(Tabla1[[#This Row],[Porcentaje de muertes]]&lt;0.35,"LEVE",AND(Tabla1[[#This Row],[Porcentaje de muertes]]&gt;0.35,Tabla1[[#This Row],[Porcentaje de muertes]]&lt;0.65),"MEDIO",Tabla1[[#This Row],[Porcentaje de muertes]]&gt;0.65,"GRAVE")</f>
        <v>GRAVE</v>
      </c>
    </row>
    <row r="3053" spans="2:24" x14ac:dyDescent="0.3">
      <c r="B3053" s="9">
        <v>3052</v>
      </c>
      <c r="C3053" s="49">
        <v>29243</v>
      </c>
      <c r="D3053" s="9">
        <f>YEAR(Tabla1[[#This Row],[Date]])</f>
        <v>1980</v>
      </c>
      <c r="E3053" s="9" t="str" cm="1">
        <f t="array" ref="E3053">IFERROR(_xlfn.IFS(AND(D3053&lt;1980,D3053&gt;=1970),"70",AND(D3053&lt;1990,D3053&gt;=1980),"80",AND(D3053&lt;2000,D3053&gt;=1990),"90",AND(D3053&lt;2010,D3053&gt;=2000),"00",AND(D3053&lt;=2019,D3053&gt;=2010),"10"),"1908-1970")</f>
        <v>80</v>
      </c>
      <c r="F3053" s="3" t="s">
        <v>28931</v>
      </c>
      <c r="G3053" t="s">
        <v>18606</v>
      </c>
      <c r="H3053" t="s">
        <v>14932</v>
      </c>
      <c r="I3053" t="s">
        <v>28931</v>
      </c>
      <c r="J3053" t="s">
        <v>18607</v>
      </c>
      <c r="K3053" t="s">
        <v>18608</v>
      </c>
      <c r="L3053" s="7" t="s">
        <v>18609</v>
      </c>
      <c r="M3053" t="s">
        <v>18610</v>
      </c>
      <c r="N3053">
        <v>13</v>
      </c>
      <c r="O3053">
        <v>10</v>
      </c>
      <c r="P3053">
        <v>3</v>
      </c>
      <c r="Q3053">
        <v>13</v>
      </c>
      <c r="R3053">
        <v>10</v>
      </c>
      <c r="S3053">
        <v>3</v>
      </c>
      <c r="T3053">
        <v>0</v>
      </c>
      <c r="U3053" t="s">
        <v>18611</v>
      </c>
      <c r="V3053">
        <f>Tabla1[[#This Row],[Aboard]]-Tabla1[[#This Row],[Fatalities]]</f>
        <v>0</v>
      </c>
      <c r="W3053" s="50">
        <f>IFERROR(Tabla1[[#This Row],[Fatalities]]/Tabla1[[#This Row],[Aboard]],0)</f>
        <v>1</v>
      </c>
      <c r="X3053" s="51" t="str" cm="1">
        <f t="array" ref="X3053">_xlfn.IFS(Tabla1[[#This Row],[Porcentaje de muertes]]&lt;0.35,"LEVE",AND(Tabla1[[#This Row],[Porcentaje de muertes]]&gt;0.35,Tabla1[[#This Row],[Porcentaje de muertes]]&lt;0.65),"MEDIO",Tabla1[[#This Row],[Porcentaje de muertes]]&gt;0.65,"GRAVE")</f>
        <v>GRAVE</v>
      </c>
    </row>
    <row r="3054" spans="2:24" x14ac:dyDescent="0.3">
      <c r="B3054" s="9">
        <v>3053</v>
      </c>
      <c r="C3054" s="49">
        <v>29244</v>
      </c>
      <c r="D3054" s="9">
        <f>YEAR(Tabla1[[#This Row],[Date]])</f>
        <v>1980</v>
      </c>
      <c r="E3054" s="9" t="str" cm="1">
        <f t="array" ref="E3054">IFERROR(_xlfn.IFS(AND(D3054&lt;1980,D3054&gt;=1970),"70",AND(D3054&lt;1990,D3054&gt;=1980),"80",AND(D3054&lt;2000,D3054&gt;=1990),"90",AND(D3054&lt;2010,D3054&gt;=2000),"00",AND(D3054&lt;=2019,D3054&gt;=2010),"10"),"1908-1970")</f>
        <v>80</v>
      </c>
      <c r="F3054" s="3">
        <v>0.2638888888888889</v>
      </c>
      <c r="G3054" t="s">
        <v>18612</v>
      </c>
      <c r="H3054" t="s">
        <v>13520</v>
      </c>
      <c r="I3054" t="s">
        <v>28931</v>
      </c>
      <c r="J3054" t="s">
        <v>18613</v>
      </c>
      <c r="K3054" t="s">
        <v>18614</v>
      </c>
      <c r="L3054" s="7">
        <v>5003</v>
      </c>
      <c r="M3054">
        <v>545</v>
      </c>
      <c r="N3054">
        <v>44</v>
      </c>
      <c r="O3054" t="s">
        <v>5038</v>
      </c>
      <c r="P3054" t="s">
        <v>5038</v>
      </c>
      <c r="Q3054">
        <v>43</v>
      </c>
      <c r="R3054" t="s">
        <v>5038</v>
      </c>
      <c r="S3054" t="s">
        <v>5038</v>
      </c>
      <c r="T3054">
        <v>0</v>
      </c>
      <c r="U3054" t="s">
        <v>18615</v>
      </c>
      <c r="V3054">
        <f>Tabla1[[#This Row],[Aboard]]-Tabla1[[#This Row],[Fatalities]]</f>
        <v>1</v>
      </c>
      <c r="W3054" s="50">
        <f>IFERROR(Tabla1[[#This Row],[Fatalities]]/Tabla1[[#This Row],[Aboard]],0)</f>
        <v>0.97727272727272729</v>
      </c>
      <c r="X3054" s="51" t="str" cm="1">
        <f t="array" ref="X3054">_xlfn.IFS(Tabla1[[#This Row],[Porcentaje de muertes]]&lt;0.35,"LEVE",AND(Tabla1[[#This Row],[Porcentaje de muertes]]&gt;0.35,Tabla1[[#This Row],[Porcentaje de muertes]]&lt;0.65),"MEDIO",Tabla1[[#This Row],[Porcentaje de muertes]]&gt;0.65,"GRAVE")</f>
        <v>GRAVE</v>
      </c>
    </row>
    <row r="3055" spans="2:24" x14ac:dyDescent="0.3">
      <c r="B3055" s="9">
        <v>3054</v>
      </c>
      <c r="C3055" s="49">
        <v>29282</v>
      </c>
      <c r="D3055" s="9">
        <f>YEAR(Tabla1[[#This Row],[Date]])</f>
        <v>1980</v>
      </c>
      <c r="E3055" s="9" t="str" cm="1">
        <f t="array" ref="E3055">IFERROR(_xlfn.IFS(AND(D3055&lt;1980,D3055&gt;=1970),"70",AND(D3055&lt;1990,D3055&gt;=1980),"80",AND(D3055&lt;2000,D3055&gt;=1990),"90",AND(D3055&lt;2010,D3055&gt;=2000),"00",AND(D3055&lt;=2019,D3055&gt;=2010),"10"),"1908-1970")</f>
        <v>80</v>
      </c>
      <c r="F3055" s="3" t="s">
        <v>28931</v>
      </c>
      <c r="G3055" t="s">
        <v>18616</v>
      </c>
      <c r="H3055" t="s">
        <v>18617</v>
      </c>
      <c r="I3055" t="s">
        <v>28931</v>
      </c>
      <c r="J3055" t="s">
        <v>18618</v>
      </c>
      <c r="K3055" t="s">
        <v>15961</v>
      </c>
      <c r="L3055" s="7" t="s">
        <v>18619</v>
      </c>
      <c r="M3055">
        <v>9840959</v>
      </c>
      <c r="N3055">
        <v>37</v>
      </c>
      <c r="O3055">
        <v>33</v>
      </c>
      <c r="P3055">
        <v>4</v>
      </c>
      <c r="Q3055">
        <v>1</v>
      </c>
      <c r="R3055">
        <v>1</v>
      </c>
      <c r="S3055">
        <v>0</v>
      </c>
      <c r="T3055">
        <v>0</v>
      </c>
      <c r="U3055" t="s">
        <v>18620</v>
      </c>
      <c r="V3055">
        <f>Tabla1[[#This Row],[Aboard]]-Tabla1[[#This Row],[Fatalities]]</f>
        <v>36</v>
      </c>
      <c r="W3055" s="50">
        <f>IFERROR(Tabla1[[#This Row],[Fatalities]]/Tabla1[[#This Row],[Aboard]],0)</f>
        <v>2.7027027027027029E-2</v>
      </c>
      <c r="X3055" s="51" t="str" cm="1">
        <f t="array" ref="X3055">_xlfn.IFS(Tabla1[[#This Row],[Porcentaje de muertes]]&lt;0.35,"LEVE",AND(Tabla1[[#This Row],[Porcentaje de muertes]]&gt;0.35,Tabla1[[#This Row],[Porcentaje de muertes]]&lt;0.65),"MEDIO",Tabla1[[#This Row],[Porcentaje de muertes]]&gt;0.65,"GRAVE")</f>
        <v>LEVE</v>
      </c>
    </row>
    <row r="3056" spans="2:24" x14ac:dyDescent="0.3">
      <c r="B3056" s="9">
        <v>3055</v>
      </c>
      <c r="C3056" s="49">
        <v>29272</v>
      </c>
      <c r="D3056" s="9">
        <f>YEAR(Tabla1[[#This Row],[Date]])</f>
        <v>1980</v>
      </c>
      <c r="E3056" s="9" t="str" cm="1">
        <f t="array" ref="E3056">IFERROR(_xlfn.IFS(AND(D3056&lt;1980,D3056&gt;=1970),"70",AND(D3056&lt;1990,D3056&gt;=1980),"80",AND(D3056&lt;2000,D3056&gt;=1990),"90",AND(D3056&lt;2010,D3056&gt;=2000),"00",AND(D3056&lt;=2019,D3056&gt;=2010),"10"),"1908-1970")</f>
        <v>80</v>
      </c>
      <c r="F3056" s="3">
        <v>0.36805555555555558</v>
      </c>
      <c r="G3056" t="s">
        <v>18621</v>
      </c>
      <c r="H3056" t="s">
        <v>18622</v>
      </c>
      <c r="I3056" t="s">
        <v>28931</v>
      </c>
      <c r="J3056" t="s">
        <v>18623</v>
      </c>
      <c r="K3056" t="s">
        <v>18624</v>
      </c>
      <c r="L3056" s="7" t="s">
        <v>18625</v>
      </c>
      <c r="M3056">
        <v>62033</v>
      </c>
      <c r="N3056">
        <v>7</v>
      </c>
      <c r="O3056">
        <v>6</v>
      </c>
      <c r="P3056">
        <v>1</v>
      </c>
      <c r="Q3056">
        <v>6</v>
      </c>
      <c r="R3056">
        <v>6</v>
      </c>
      <c r="S3056">
        <v>0</v>
      </c>
      <c r="T3056">
        <v>0</v>
      </c>
      <c r="U3056" t="s">
        <v>18626</v>
      </c>
      <c r="V3056">
        <f>Tabla1[[#This Row],[Aboard]]-Tabla1[[#This Row],[Fatalities]]</f>
        <v>1</v>
      </c>
      <c r="W3056" s="50">
        <f>IFERROR(Tabla1[[#This Row],[Fatalities]]/Tabla1[[#This Row],[Aboard]],0)</f>
        <v>0.8571428571428571</v>
      </c>
      <c r="X3056" s="51" t="str" cm="1">
        <f t="array" ref="X3056">_xlfn.IFS(Tabla1[[#This Row],[Porcentaje de muertes]]&lt;0.35,"LEVE",AND(Tabla1[[#This Row],[Porcentaje de muertes]]&gt;0.35,Tabla1[[#This Row],[Porcentaje de muertes]]&lt;0.65),"MEDIO",Tabla1[[#This Row],[Porcentaje de muertes]]&gt;0.65,"GRAVE")</f>
        <v>GRAVE</v>
      </c>
    </row>
    <row r="3057" spans="2:24" x14ac:dyDescent="0.3">
      <c r="B3057" s="9">
        <v>3056</v>
      </c>
      <c r="C3057" s="49">
        <v>29272</v>
      </c>
      <c r="D3057" s="9">
        <f>YEAR(Tabla1[[#This Row],[Date]])</f>
        <v>1980</v>
      </c>
      <c r="E3057" s="9" t="str" cm="1">
        <f t="array" ref="E3057">IFERROR(_xlfn.IFS(AND(D3057&lt;1980,D3057&gt;=1970),"70",AND(D3057&lt;1990,D3057&gt;=1980),"80",AND(D3057&lt;2000,D3057&gt;=1990),"90",AND(D3057&lt;2010,D3057&gt;=2000),"00",AND(D3057&lt;=2019,D3057&gt;=2010),"10"),"1908-1970")</f>
        <v>80</v>
      </c>
      <c r="F3057" s="3">
        <v>0.79791666666666661</v>
      </c>
      <c r="G3057" t="s">
        <v>13392</v>
      </c>
      <c r="H3057" t="s">
        <v>18627</v>
      </c>
      <c r="I3057" t="s">
        <v>28931</v>
      </c>
      <c r="J3057" t="s">
        <v>18628</v>
      </c>
      <c r="K3057" t="s">
        <v>18629</v>
      </c>
      <c r="L3057" s="7" t="s">
        <v>18630</v>
      </c>
      <c r="M3057" t="s">
        <v>18631</v>
      </c>
      <c r="N3057">
        <v>13</v>
      </c>
      <c r="O3057">
        <v>12</v>
      </c>
      <c r="P3057">
        <v>1</v>
      </c>
      <c r="Q3057">
        <v>13</v>
      </c>
      <c r="R3057">
        <v>12</v>
      </c>
      <c r="S3057">
        <v>1</v>
      </c>
      <c r="T3057">
        <v>0</v>
      </c>
      <c r="U3057" t="s">
        <v>18632</v>
      </c>
      <c r="V3057">
        <f>Tabla1[[#This Row],[Aboard]]-Tabla1[[#This Row],[Fatalities]]</f>
        <v>0</v>
      </c>
      <c r="W3057" s="50">
        <f>IFERROR(Tabla1[[#This Row],[Fatalities]]/Tabla1[[#This Row],[Aboard]],0)</f>
        <v>1</v>
      </c>
      <c r="X3057" s="51" t="str" cm="1">
        <f t="array" ref="X3057">_xlfn.IFS(Tabla1[[#This Row],[Porcentaje de muertes]]&lt;0.35,"LEVE",AND(Tabla1[[#This Row],[Porcentaje de muertes]]&gt;0.35,Tabla1[[#This Row],[Porcentaje de muertes]]&lt;0.65),"MEDIO",Tabla1[[#This Row],[Porcentaje de muertes]]&gt;0.65,"GRAVE")</f>
        <v>GRAVE</v>
      </c>
    </row>
    <row r="3058" spans="2:24" x14ac:dyDescent="0.3">
      <c r="B3058" s="9">
        <v>3057</v>
      </c>
      <c r="C3058" s="49">
        <v>29273</v>
      </c>
      <c r="D3058" s="9">
        <f>YEAR(Tabla1[[#This Row],[Date]])</f>
        <v>1980</v>
      </c>
      <c r="E3058" s="9" t="str" cm="1">
        <f t="array" ref="E3058">IFERROR(_xlfn.IFS(AND(D3058&lt;1980,D3058&gt;=1970),"70",AND(D3058&lt;1990,D3058&gt;=1980),"80",AND(D3058&lt;2000,D3058&gt;=1990),"90",AND(D3058&lt;2010,D3058&gt;=2000),"00",AND(D3058&lt;=2019,D3058&gt;=2010),"10"),"1908-1970")</f>
        <v>80</v>
      </c>
      <c r="F3058" s="3" t="s">
        <v>28931</v>
      </c>
      <c r="G3058" t="s">
        <v>18633</v>
      </c>
      <c r="H3058" t="s">
        <v>8036</v>
      </c>
      <c r="I3058" t="s">
        <v>28931</v>
      </c>
      <c r="J3058" t="s">
        <v>28931</v>
      </c>
      <c r="K3058" t="s">
        <v>13011</v>
      </c>
      <c r="L3058" s="7" t="s">
        <v>28931</v>
      </c>
      <c r="M3058" t="s">
        <v>28931</v>
      </c>
      <c r="N3058">
        <v>47</v>
      </c>
      <c r="O3058" t="s">
        <v>5038</v>
      </c>
      <c r="P3058" t="s">
        <v>5038</v>
      </c>
      <c r="Q3058">
        <v>46</v>
      </c>
      <c r="R3058" t="s">
        <v>5038</v>
      </c>
      <c r="S3058" t="s">
        <v>5038</v>
      </c>
      <c r="T3058">
        <v>1</v>
      </c>
      <c r="U3058" t="s">
        <v>18634</v>
      </c>
      <c r="V3058">
        <f>Tabla1[[#This Row],[Aboard]]-Tabla1[[#This Row],[Fatalities]]</f>
        <v>1</v>
      </c>
      <c r="W3058" s="50">
        <f>IFERROR(Tabla1[[#This Row],[Fatalities]]/Tabla1[[#This Row],[Aboard]],0)</f>
        <v>0.97872340425531912</v>
      </c>
      <c r="X3058" s="51" t="str" cm="1">
        <f t="array" ref="X3058">_xlfn.IFS(Tabla1[[#This Row],[Porcentaje de muertes]]&lt;0.35,"LEVE",AND(Tabla1[[#This Row],[Porcentaje de muertes]]&gt;0.35,Tabla1[[#This Row],[Porcentaje de muertes]]&lt;0.65),"MEDIO",Tabla1[[#This Row],[Porcentaje de muertes]]&gt;0.65,"GRAVE")</f>
        <v>GRAVE</v>
      </c>
    </row>
    <row r="3059" spans="2:24" x14ac:dyDescent="0.3">
      <c r="B3059" s="9">
        <v>3058</v>
      </c>
      <c r="C3059" s="49">
        <v>29278</v>
      </c>
      <c r="D3059" s="9">
        <f>YEAR(Tabla1[[#This Row],[Date]])</f>
        <v>1980</v>
      </c>
      <c r="E3059" s="9" t="str" cm="1">
        <f t="array" ref="E3059">IFERROR(_xlfn.IFS(AND(D3059&lt;1980,D3059&gt;=1970),"70",AND(D3059&lt;1990,D3059&gt;=1980),"80",AND(D3059&lt;2000,D3059&gt;=1990),"90",AND(D3059&lt;2010,D3059&gt;=2000),"00",AND(D3059&lt;=2019,D3059&gt;=2010),"10"),"1908-1970")</f>
        <v>80</v>
      </c>
      <c r="F3059" s="3">
        <v>0.25</v>
      </c>
      <c r="G3059" t="s">
        <v>12372</v>
      </c>
      <c r="H3059" t="s">
        <v>15040</v>
      </c>
      <c r="I3059" t="s">
        <v>28931</v>
      </c>
      <c r="J3059" t="s">
        <v>18635</v>
      </c>
      <c r="K3059" t="s">
        <v>18636</v>
      </c>
      <c r="L3059" s="7" t="s">
        <v>18637</v>
      </c>
      <c r="M3059" t="s">
        <v>18638</v>
      </c>
      <c r="N3059">
        <v>135</v>
      </c>
      <c r="O3059">
        <v>124</v>
      </c>
      <c r="P3059">
        <v>11</v>
      </c>
      <c r="Q3059">
        <v>2</v>
      </c>
      <c r="R3059">
        <v>2</v>
      </c>
      <c r="S3059">
        <v>0</v>
      </c>
      <c r="T3059">
        <v>0</v>
      </c>
      <c r="U3059" t="s">
        <v>18639</v>
      </c>
      <c r="V3059">
        <f>Tabla1[[#This Row],[Aboard]]-Tabla1[[#This Row],[Fatalities]]</f>
        <v>133</v>
      </c>
      <c r="W3059" s="50">
        <f>IFERROR(Tabla1[[#This Row],[Fatalities]]/Tabla1[[#This Row],[Aboard]],0)</f>
        <v>1.4814814814814815E-2</v>
      </c>
      <c r="X3059" s="51" t="str" cm="1">
        <f t="array" ref="X3059">_xlfn.IFS(Tabla1[[#This Row],[Porcentaje de muertes]]&lt;0.35,"LEVE",AND(Tabla1[[#This Row],[Porcentaje de muertes]]&gt;0.35,Tabla1[[#This Row],[Porcentaje de muertes]]&lt;0.65),"MEDIO",Tabla1[[#This Row],[Porcentaje de muertes]]&gt;0.65,"GRAVE")</f>
        <v>LEVE</v>
      </c>
    </row>
    <row r="3060" spans="2:24" x14ac:dyDescent="0.3">
      <c r="B3060" s="9">
        <v>3059</v>
      </c>
      <c r="C3060" s="49">
        <v>29294</v>
      </c>
      <c r="D3060" s="9">
        <f>YEAR(Tabla1[[#This Row],[Date]])</f>
        <v>1980</v>
      </c>
      <c r="E3060" s="9" t="str" cm="1">
        <f t="array" ref="E3060">IFERROR(_xlfn.IFS(AND(D3060&lt;1980,D3060&gt;=1970),"70",AND(D3060&lt;1990,D3060&gt;=1980),"80",AND(D3060&lt;2000,D3060&gt;=1990),"90",AND(D3060&lt;2010,D3060&gt;=2000),"00",AND(D3060&lt;=2019,D3060&gt;=2010),"10"),"1908-1970")</f>
        <v>80</v>
      </c>
      <c r="F3060" s="3">
        <v>0.45833333333333331</v>
      </c>
      <c r="G3060" t="s">
        <v>18640</v>
      </c>
      <c r="H3060" t="s">
        <v>7237</v>
      </c>
      <c r="I3060">
        <v>7</v>
      </c>
      <c r="J3060" t="s">
        <v>18641</v>
      </c>
      <c r="K3060" t="s">
        <v>16546</v>
      </c>
      <c r="L3060" s="7" t="s">
        <v>18642</v>
      </c>
      <c r="M3060">
        <v>11004</v>
      </c>
      <c r="N3060">
        <v>87</v>
      </c>
      <c r="O3060">
        <v>77</v>
      </c>
      <c r="P3060">
        <v>10</v>
      </c>
      <c r="Q3060">
        <v>87</v>
      </c>
      <c r="R3060">
        <v>77</v>
      </c>
      <c r="S3060">
        <v>10</v>
      </c>
      <c r="T3060">
        <v>0</v>
      </c>
      <c r="U3060" t="s">
        <v>18643</v>
      </c>
      <c r="V3060">
        <f>Tabla1[[#This Row],[Aboard]]-Tabla1[[#This Row],[Fatalities]]</f>
        <v>0</v>
      </c>
      <c r="W3060" s="50">
        <f>IFERROR(Tabla1[[#This Row],[Fatalities]]/Tabla1[[#This Row],[Aboard]],0)</f>
        <v>1</v>
      </c>
      <c r="X3060" s="51" t="str" cm="1">
        <f t="array" ref="X3060">_xlfn.IFS(Tabla1[[#This Row],[Porcentaje de muertes]]&lt;0.35,"LEVE",AND(Tabla1[[#This Row],[Porcentaje de muertes]]&gt;0.35,Tabla1[[#This Row],[Porcentaje de muertes]]&lt;0.65),"MEDIO",Tabla1[[#This Row],[Porcentaje de muertes]]&gt;0.65,"GRAVE")</f>
        <v>GRAVE</v>
      </c>
    </row>
    <row r="3061" spans="2:24" x14ac:dyDescent="0.3">
      <c r="B3061" s="9">
        <v>3060</v>
      </c>
      <c r="C3061" s="49">
        <v>29294</v>
      </c>
      <c r="D3061" s="9">
        <f>YEAR(Tabla1[[#This Row],[Date]])</f>
        <v>1980</v>
      </c>
      <c r="E3061" s="9" t="str" cm="1">
        <f t="array" ref="E3061">IFERROR(_xlfn.IFS(AND(D3061&lt;1980,D3061&gt;=1970),"70",AND(D3061&lt;1990,D3061&gt;=1980),"80",AND(D3061&lt;2000,D3061&gt;=1990),"90",AND(D3061&lt;2010,D3061&gt;=2000),"00",AND(D3061&lt;=2019,D3061&gt;=2010),"10"),"1908-1970")</f>
        <v>80</v>
      </c>
      <c r="F3061" s="3">
        <v>0.625</v>
      </c>
      <c r="G3061" t="s">
        <v>18644</v>
      </c>
      <c r="H3061" t="s">
        <v>7987</v>
      </c>
      <c r="I3061" t="s">
        <v>28931</v>
      </c>
      <c r="J3061" t="s">
        <v>6190</v>
      </c>
      <c r="K3061" t="s">
        <v>17162</v>
      </c>
      <c r="L3061" s="7" t="s">
        <v>18645</v>
      </c>
      <c r="M3061">
        <v>4659</v>
      </c>
      <c r="N3061">
        <v>18</v>
      </c>
      <c r="O3061">
        <v>12</v>
      </c>
      <c r="P3061">
        <v>6</v>
      </c>
      <c r="Q3061">
        <v>18</v>
      </c>
      <c r="R3061">
        <v>12</v>
      </c>
      <c r="S3061">
        <v>6</v>
      </c>
      <c r="T3061">
        <v>0</v>
      </c>
      <c r="U3061" t="s">
        <v>18646</v>
      </c>
      <c r="V3061">
        <f>Tabla1[[#This Row],[Aboard]]-Tabla1[[#This Row],[Fatalities]]</f>
        <v>0</v>
      </c>
      <c r="W3061" s="50">
        <f>IFERROR(Tabla1[[#This Row],[Fatalities]]/Tabla1[[#This Row],[Aboard]],0)</f>
        <v>1</v>
      </c>
      <c r="X3061" s="51" t="str" cm="1">
        <f t="array" ref="X3061">_xlfn.IFS(Tabla1[[#This Row],[Porcentaje de muertes]]&lt;0.35,"LEVE",AND(Tabla1[[#This Row],[Porcentaje de muertes]]&gt;0.35,Tabla1[[#This Row],[Porcentaje de muertes]]&lt;0.65),"MEDIO",Tabla1[[#This Row],[Porcentaje de muertes]]&gt;0.65,"GRAVE")</f>
        <v>GRAVE</v>
      </c>
    </row>
    <row r="3062" spans="2:24" x14ac:dyDescent="0.3">
      <c r="B3062" s="9">
        <v>3061</v>
      </c>
      <c r="C3062" s="49">
        <v>29301</v>
      </c>
      <c r="D3062" s="9">
        <f>YEAR(Tabla1[[#This Row],[Date]])</f>
        <v>1980</v>
      </c>
      <c r="E3062" s="9" t="str" cm="1">
        <f t="array" ref="E3062">IFERROR(_xlfn.IFS(AND(D3062&lt;1980,D3062&gt;=1970),"70",AND(D3062&lt;1990,D3062&gt;=1980),"80",AND(D3062&lt;2000,D3062&gt;=1990),"90",AND(D3062&lt;2010,D3062&gt;=2000),"00",AND(D3062&lt;=2019,D3062&gt;=2010),"10"),"1908-1970")</f>
        <v>80</v>
      </c>
      <c r="F3062" s="3">
        <v>0.8256944444444444</v>
      </c>
      <c r="G3062" t="s">
        <v>17305</v>
      </c>
      <c r="H3062" t="s">
        <v>18647</v>
      </c>
      <c r="I3062" t="s">
        <v>28931</v>
      </c>
      <c r="J3062" t="s">
        <v>18648</v>
      </c>
      <c r="K3062" t="s">
        <v>18649</v>
      </c>
      <c r="L3062" s="7" t="s">
        <v>18650</v>
      </c>
      <c r="M3062" t="s">
        <v>18651</v>
      </c>
      <c r="N3062">
        <v>10</v>
      </c>
      <c r="O3062">
        <v>8</v>
      </c>
      <c r="P3062">
        <v>2</v>
      </c>
      <c r="Q3062">
        <v>7</v>
      </c>
      <c r="R3062">
        <v>5</v>
      </c>
      <c r="S3062">
        <v>2</v>
      </c>
      <c r="T3062">
        <v>0</v>
      </c>
      <c r="U3062" t="s">
        <v>18652</v>
      </c>
      <c r="V3062">
        <f>Tabla1[[#This Row],[Aboard]]-Tabla1[[#This Row],[Fatalities]]</f>
        <v>3</v>
      </c>
      <c r="W3062" s="50">
        <f>IFERROR(Tabla1[[#This Row],[Fatalities]]/Tabla1[[#This Row],[Aboard]],0)</f>
        <v>0.7</v>
      </c>
      <c r="X3062" s="51" t="str" cm="1">
        <f t="array" ref="X3062">_xlfn.IFS(Tabla1[[#This Row],[Porcentaje de muertes]]&lt;0.35,"LEVE",AND(Tabla1[[#This Row],[Porcentaje de muertes]]&gt;0.35,Tabla1[[#This Row],[Porcentaje de muertes]]&lt;0.65),"MEDIO",Tabla1[[#This Row],[Porcentaje de muertes]]&gt;0.65,"GRAVE")</f>
        <v>GRAVE</v>
      </c>
    </row>
    <row r="3063" spans="2:24" x14ac:dyDescent="0.3">
      <c r="B3063" s="9">
        <v>3062</v>
      </c>
      <c r="C3063" s="49">
        <v>29301</v>
      </c>
      <c r="D3063" s="9">
        <f>YEAR(Tabla1[[#This Row],[Date]])</f>
        <v>1980</v>
      </c>
      <c r="E3063" s="9" t="str" cm="1">
        <f t="array" ref="E3063">IFERROR(_xlfn.IFS(AND(D3063&lt;1980,D3063&gt;=1970),"70",AND(D3063&lt;1990,D3063&gt;=1980),"80",AND(D3063&lt;2000,D3063&gt;=1990),"90",AND(D3063&lt;2010,D3063&gt;=2000),"00",AND(D3063&lt;=2019,D3063&gt;=2010),"10"),"1908-1970")</f>
        <v>80</v>
      </c>
      <c r="F3063" s="3" t="s">
        <v>28931</v>
      </c>
      <c r="G3063" t="s">
        <v>18653</v>
      </c>
      <c r="H3063" t="s">
        <v>18654</v>
      </c>
      <c r="I3063" t="s">
        <v>28931</v>
      </c>
      <c r="J3063" t="s">
        <v>28931</v>
      </c>
      <c r="K3063" t="s">
        <v>18655</v>
      </c>
      <c r="L3063" s="7" t="s">
        <v>18656</v>
      </c>
      <c r="M3063">
        <v>760008</v>
      </c>
      <c r="N3063">
        <v>14</v>
      </c>
      <c r="O3063" t="s">
        <v>5038</v>
      </c>
      <c r="P3063" t="s">
        <v>5038</v>
      </c>
      <c r="Q3063">
        <v>14</v>
      </c>
      <c r="R3063" t="s">
        <v>5038</v>
      </c>
      <c r="S3063" t="s">
        <v>5038</v>
      </c>
      <c r="T3063">
        <v>0</v>
      </c>
      <c r="U3063" t="s">
        <v>18657</v>
      </c>
      <c r="V3063">
        <f>Tabla1[[#This Row],[Aboard]]-Tabla1[[#This Row],[Fatalities]]</f>
        <v>0</v>
      </c>
      <c r="W3063" s="50">
        <f>IFERROR(Tabla1[[#This Row],[Fatalities]]/Tabla1[[#This Row],[Aboard]],0)</f>
        <v>1</v>
      </c>
      <c r="X3063" s="51" t="str" cm="1">
        <f t="array" ref="X3063">_xlfn.IFS(Tabla1[[#This Row],[Porcentaje de muertes]]&lt;0.35,"LEVE",AND(Tabla1[[#This Row],[Porcentaje de muertes]]&gt;0.35,Tabla1[[#This Row],[Porcentaje de muertes]]&lt;0.65),"MEDIO",Tabla1[[#This Row],[Porcentaje de muertes]]&gt;0.65,"GRAVE")</f>
        <v>GRAVE</v>
      </c>
    </row>
    <row r="3064" spans="2:24" x14ac:dyDescent="0.3">
      <c r="B3064" s="9">
        <v>3063</v>
      </c>
      <c r="C3064" s="49">
        <v>29559</v>
      </c>
      <c r="D3064" s="9">
        <f>YEAR(Tabla1[[#This Row],[Date]])</f>
        <v>1980</v>
      </c>
      <c r="E3064" s="9" t="str" cm="1">
        <f t="array" ref="E3064">IFERROR(_xlfn.IFS(AND(D3064&lt;1980,D3064&gt;=1970),"70",AND(D3064&lt;1990,D3064&gt;=1980),"80",AND(D3064&lt;2000,D3064&gt;=1990),"90",AND(D3064&lt;2010,D3064&gt;=2000),"00",AND(D3064&lt;=2019,D3064&gt;=2010),"10"),"1908-1970")</f>
        <v>80</v>
      </c>
      <c r="F3064" s="3">
        <v>0.86111111111111116</v>
      </c>
      <c r="G3064" t="s">
        <v>18658</v>
      </c>
      <c r="H3064" t="s">
        <v>17536</v>
      </c>
      <c r="I3064">
        <v>303</v>
      </c>
      <c r="J3064" t="s">
        <v>18659</v>
      </c>
      <c r="K3064" t="s">
        <v>18660</v>
      </c>
      <c r="L3064" s="7" t="s">
        <v>18661</v>
      </c>
      <c r="M3064" t="s">
        <v>18662</v>
      </c>
      <c r="N3064">
        <v>58</v>
      </c>
      <c r="O3064">
        <v>50</v>
      </c>
      <c r="P3064">
        <v>8</v>
      </c>
      <c r="Q3064">
        <v>55</v>
      </c>
      <c r="R3064">
        <v>47</v>
      </c>
      <c r="S3064">
        <v>8</v>
      </c>
      <c r="T3064">
        <v>0</v>
      </c>
      <c r="U3064" t="s">
        <v>18663</v>
      </c>
      <c r="V3064">
        <f>Tabla1[[#This Row],[Aboard]]-Tabla1[[#This Row],[Fatalities]]</f>
        <v>3</v>
      </c>
      <c r="W3064" s="50">
        <f>IFERROR(Tabla1[[#This Row],[Fatalities]]/Tabla1[[#This Row],[Aboard]],0)</f>
        <v>0.94827586206896552</v>
      </c>
      <c r="X3064" s="51" t="str" cm="1">
        <f t="array" ref="X3064">_xlfn.IFS(Tabla1[[#This Row],[Porcentaje de muertes]]&lt;0.35,"LEVE",AND(Tabla1[[#This Row],[Porcentaje de muertes]]&gt;0.35,Tabla1[[#This Row],[Porcentaje de muertes]]&lt;0.65),"MEDIO",Tabla1[[#This Row],[Porcentaje de muertes]]&gt;0.65,"GRAVE")</f>
        <v>GRAVE</v>
      </c>
    </row>
    <row r="3065" spans="2:24" x14ac:dyDescent="0.3">
      <c r="B3065" s="9">
        <v>3064</v>
      </c>
      <c r="C3065" s="49">
        <v>29325</v>
      </c>
      <c r="D3065" s="9">
        <f>YEAR(Tabla1[[#This Row],[Date]])</f>
        <v>1980</v>
      </c>
      <c r="E3065" s="9" t="str" cm="1">
        <f t="array" ref="E3065">IFERROR(_xlfn.IFS(AND(D3065&lt;1980,D3065&gt;=1970),"70",AND(D3065&lt;1990,D3065&gt;=1980),"80",AND(D3065&lt;2000,D3065&gt;=1990),"90",AND(D3065&lt;2010,D3065&gt;=2000),"00",AND(D3065&lt;=2019,D3065&gt;=2010),"10"),"1908-1970")</f>
        <v>80</v>
      </c>
      <c r="F3065" s="3">
        <v>0.83680555555555547</v>
      </c>
      <c r="G3065" t="s">
        <v>18664</v>
      </c>
      <c r="H3065" t="s">
        <v>6541</v>
      </c>
      <c r="I3065">
        <v>151</v>
      </c>
      <c r="J3065" t="s">
        <v>18665</v>
      </c>
      <c r="K3065" t="s">
        <v>15111</v>
      </c>
      <c r="L3065" s="7" t="s">
        <v>18666</v>
      </c>
      <c r="M3065">
        <v>69900905</v>
      </c>
      <c r="N3065">
        <v>53</v>
      </c>
      <c r="O3065">
        <v>49</v>
      </c>
      <c r="P3065">
        <v>4</v>
      </c>
      <c r="Q3065">
        <v>2</v>
      </c>
      <c r="R3065">
        <v>2</v>
      </c>
      <c r="S3065">
        <v>0</v>
      </c>
      <c r="T3065">
        <v>0</v>
      </c>
      <c r="U3065" t="s">
        <v>18667</v>
      </c>
      <c r="V3065">
        <f>Tabla1[[#This Row],[Aboard]]-Tabla1[[#This Row],[Fatalities]]</f>
        <v>51</v>
      </c>
      <c r="W3065" s="50">
        <f>IFERROR(Tabla1[[#This Row],[Fatalities]]/Tabla1[[#This Row],[Aboard]],0)</f>
        <v>3.7735849056603772E-2</v>
      </c>
      <c r="X3065" s="51" t="str" cm="1">
        <f t="array" ref="X3065">_xlfn.IFS(Tabla1[[#This Row],[Porcentaje de muertes]]&lt;0.35,"LEVE",AND(Tabla1[[#This Row],[Porcentaje de muertes]]&gt;0.35,Tabla1[[#This Row],[Porcentaje de muertes]]&lt;0.65),"MEDIO",Tabla1[[#This Row],[Porcentaje de muertes]]&gt;0.65,"GRAVE")</f>
        <v>LEVE</v>
      </c>
    </row>
    <row r="3066" spans="2:24" x14ac:dyDescent="0.3">
      <c r="B3066" s="9">
        <v>3065</v>
      </c>
      <c r="C3066" s="49">
        <v>29335</v>
      </c>
      <c r="D3066" s="9">
        <f>YEAR(Tabla1[[#This Row],[Date]])</f>
        <v>1980</v>
      </c>
      <c r="E3066" s="9" t="str" cm="1">
        <f t="array" ref="E3066">IFERROR(_xlfn.IFS(AND(D3066&lt;1980,D3066&gt;=1970),"70",AND(D3066&lt;1990,D3066&gt;=1980),"80",AND(D3066&lt;2000,D3066&gt;=1990),"90",AND(D3066&lt;2010,D3066&gt;=2000),"00",AND(D3066&lt;=2019,D3066&gt;=2010),"10"),"1908-1970")</f>
        <v>80</v>
      </c>
      <c r="F3066" s="3" t="s">
        <v>28931</v>
      </c>
      <c r="G3066" t="s">
        <v>18668</v>
      </c>
      <c r="H3066" t="s">
        <v>7987</v>
      </c>
      <c r="I3066" t="s">
        <v>28931</v>
      </c>
      <c r="J3066" t="s">
        <v>28931</v>
      </c>
      <c r="K3066" t="s">
        <v>18669</v>
      </c>
      <c r="L3066" s="7" t="s">
        <v>18670</v>
      </c>
      <c r="M3066">
        <v>3770</v>
      </c>
      <c r="N3066">
        <v>7</v>
      </c>
      <c r="O3066">
        <v>0</v>
      </c>
      <c r="P3066">
        <v>7</v>
      </c>
      <c r="Q3066">
        <v>5</v>
      </c>
      <c r="R3066">
        <v>0</v>
      </c>
      <c r="S3066">
        <v>5</v>
      </c>
      <c r="T3066">
        <v>0</v>
      </c>
      <c r="U3066" t="s">
        <v>18671</v>
      </c>
      <c r="V3066">
        <f>Tabla1[[#This Row],[Aboard]]-Tabla1[[#This Row],[Fatalities]]</f>
        <v>2</v>
      </c>
      <c r="W3066" s="50">
        <f>IFERROR(Tabla1[[#This Row],[Fatalities]]/Tabla1[[#This Row],[Aboard]],0)</f>
        <v>0.7142857142857143</v>
      </c>
      <c r="X3066" s="51" t="str" cm="1">
        <f t="array" ref="X3066">_xlfn.IFS(Tabla1[[#This Row],[Porcentaje de muertes]]&lt;0.35,"LEVE",AND(Tabla1[[#This Row],[Porcentaje de muertes]]&gt;0.35,Tabla1[[#This Row],[Porcentaje de muertes]]&lt;0.65),"MEDIO",Tabla1[[#This Row],[Porcentaje de muertes]]&gt;0.65,"GRAVE")</f>
        <v>GRAVE</v>
      </c>
    </row>
    <row r="3067" spans="2:24" x14ac:dyDescent="0.3">
      <c r="B3067" s="9">
        <v>3066</v>
      </c>
      <c r="C3067" s="49">
        <v>29336</v>
      </c>
      <c r="D3067" s="9">
        <f>YEAR(Tabla1[[#This Row],[Date]])</f>
        <v>1980</v>
      </c>
      <c r="E3067" s="9" t="str" cm="1">
        <f t="array" ref="E3067">IFERROR(_xlfn.IFS(AND(D3067&lt;1980,D3067&gt;=1970),"70",AND(D3067&lt;1990,D3067&gt;=1980),"80",AND(D3067&lt;2000,D3067&gt;=1990),"90",AND(D3067&lt;2010,D3067&gt;=2000),"00",AND(D3067&lt;=2019,D3067&gt;=2010),"10"),"1908-1970")</f>
        <v>80</v>
      </c>
      <c r="F3067" s="3">
        <v>0.55625000000000002</v>
      </c>
      <c r="G3067" t="s">
        <v>14548</v>
      </c>
      <c r="H3067" t="s">
        <v>15906</v>
      </c>
      <c r="I3067">
        <v>1008</v>
      </c>
      <c r="J3067" t="s">
        <v>18672</v>
      </c>
      <c r="K3067" t="s">
        <v>15532</v>
      </c>
      <c r="L3067" s="7" t="s">
        <v>18673</v>
      </c>
      <c r="M3067" t="s">
        <v>18674</v>
      </c>
      <c r="N3067">
        <v>146</v>
      </c>
      <c r="O3067">
        <v>138</v>
      </c>
      <c r="P3067">
        <v>8</v>
      </c>
      <c r="Q3067">
        <v>146</v>
      </c>
      <c r="R3067">
        <v>138</v>
      </c>
      <c r="S3067">
        <v>8</v>
      </c>
      <c r="T3067">
        <v>0</v>
      </c>
      <c r="U3067" t="s">
        <v>18675</v>
      </c>
      <c r="V3067">
        <f>Tabla1[[#This Row],[Aboard]]-Tabla1[[#This Row],[Fatalities]]</f>
        <v>0</v>
      </c>
      <c r="W3067" s="50">
        <f>IFERROR(Tabla1[[#This Row],[Fatalities]]/Tabla1[[#This Row],[Aboard]],0)</f>
        <v>1</v>
      </c>
      <c r="X3067" s="51" t="str" cm="1">
        <f t="array" ref="X3067">_xlfn.IFS(Tabla1[[#This Row],[Porcentaje de muertes]]&lt;0.35,"LEVE",AND(Tabla1[[#This Row],[Porcentaje de muertes]]&gt;0.35,Tabla1[[#This Row],[Porcentaje de muertes]]&lt;0.65),"MEDIO",Tabla1[[#This Row],[Porcentaje de muertes]]&gt;0.65,"GRAVE")</f>
        <v>GRAVE</v>
      </c>
    </row>
    <row r="3068" spans="2:24" x14ac:dyDescent="0.3">
      <c r="B3068" s="9">
        <v>3067</v>
      </c>
      <c r="C3068" s="49">
        <v>29338</v>
      </c>
      <c r="D3068" s="9">
        <f>YEAR(Tabla1[[#This Row],[Date]])</f>
        <v>1980</v>
      </c>
      <c r="E3068" s="9" t="str" cm="1">
        <f t="array" ref="E3068">IFERROR(_xlfn.IFS(AND(D3068&lt;1980,D3068&gt;=1970),"70",AND(D3068&lt;1990,D3068&gt;=1980),"80",AND(D3068&lt;2000,D3068&gt;=1990),"90",AND(D3068&lt;2010,D3068&gt;=2000),"00",AND(D3068&lt;=2019,D3068&gt;=2010),"10"),"1908-1970")</f>
        <v>80</v>
      </c>
      <c r="F3068" s="3">
        <v>0.28819444444444448</v>
      </c>
      <c r="G3068" t="s">
        <v>18676</v>
      </c>
      <c r="H3068" t="s">
        <v>15100</v>
      </c>
      <c r="I3068">
        <v>231</v>
      </c>
      <c r="J3068" t="s">
        <v>18677</v>
      </c>
      <c r="K3068" t="s">
        <v>18678</v>
      </c>
      <c r="L3068" s="7" t="s">
        <v>18679</v>
      </c>
      <c r="M3068">
        <v>1568</v>
      </c>
      <c r="N3068">
        <v>53</v>
      </c>
      <c r="O3068">
        <v>49</v>
      </c>
      <c r="P3068">
        <v>4</v>
      </c>
      <c r="Q3068">
        <v>44</v>
      </c>
      <c r="R3068">
        <v>40</v>
      </c>
      <c r="S3068">
        <v>4</v>
      </c>
      <c r="T3068">
        <v>0</v>
      </c>
      <c r="U3068" t="s">
        <v>18680</v>
      </c>
      <c r="V3068">
        <f>Tabla1[[#This Row],[Aboard]]-Tabla1[[#This Row],[Fatalities]]</f>
        <v>9</v>
      </c>
      <c r="W3068" s="50">
        <f>IFERROR(Tabla1[[#This Row],[Fatalities]]/Tabla1[[#This Row],[Aboard]],0)</f>
        <v>0.83018867924528306</v>
      </c>
      <c r="X3068" s="51" t="str" cm="1">
        <f t="array" ref="X3068">_xlfn.IFS(Tabla1[[#This Row],[Porcentaje de muertes]]&lt;0.35,"LEVE",AND(Tabla1[[#This Row],[Porcentaje de muertes]]&gt;0.35,Tabla1[[#This Row],[Porcentaje de muertes]]&lt;0.65),"MEDIO",Tabla1[[#This Row],[Porcentaje de muertes]]&gt;0.65,"GRAVE")</f>
        <v>GRAVE</v>
      </c>
    </row>
    <row r="3069" spans="2:24" x14ac:dyDescent="0.3">
      <c r="B3069" s="9">
        <v>3068</v>
      </c>
      <c r="C3069" s="49">
        <v>29257</v>
      </c>
      <c r="D3069" s="9">
        <f>YEAR(Tabla1[[#This Row],[Date]])</f>
        <v>1980</v>
      </c>
      <c r="E3069" s="9" t="str" cm="1">
        <f t="array" ref="E3069">IFERROR(_xlfn.IFS(AND(D3069&lt;1980,D3069&gt;=1970),"70",AND(D3069&lt;1990,D3069&gt;=1980),"80",AND(D3069&lt;2000,D3069&gt;=1990),"90",AND(D3069&lt;2010,D3069&gt;=2000),"00",AND(D3069&lt;=2019,D3069&gt;=2010),"10"),"1908-1970")</f>
        <v>80</v>
      </c>
      <c r="F3069" s="3" t="s">
        <v>28931</v>
      </c>
      <c r="G3069" t="s">
        <v>18681</v>
      </c>
      <c r="H3069" t="s">
        <v>6750</v>
      </c>
      <c r="I3069" t="s">
        <v>28931</v>
      </c>
      <c r="J3069" t="s">
        <v>18682</v>
      </c>
      <c r="K3069" t="s">
        <v>18683</v>
      </c>
      <c r="L3069" s="7" t="s">
        <v>18684</v>
      </c>
      <c r="M3069">
        <v>118</v>
      </c>
      <c r="N3069">
        <v>13</v>
      </c>
      <c r="O3069">
        <v>10</v>
      </c>
      <c r="P3069">
        <v>3</v>
      </c>
      <c r="Q3069">
        <v>13</v>
      </c>
      <c r="R3069">
        <v>10</v>
      </c>
      <c r="S3069">
        <v>3</v>
      </c>
      <c r="T3069">
        <v>0</v>
      </c>
      <c r="U3069" t="s">
        <v>18685</v>
      </c>
      <c r="V3069">
        <f>Tabla1[[#This Row],[Aboard]]-Tabla1[[#This Row],[Fatalities]]</f>
        <v>0</v>
      </c>
      <c r="W3069" s="50">
        <f>IFERROR(Tabla1[[#This Row],[Fatalities]]/Tabla1[[#This Row],[Aboard]],0)</f>
        <v>1</v>
      </c>
      <c r="X3069" s="51" t="str" cm="1">
        <f t="array" ref="X3069">_xlfn.IFS(Tabla1[[#This Row],[Porcentaje de muertes]]&lt;0.35,"LEVE",AND(Tabla1[[#This Row],[Porcentaje de muertes]]&gt;0.35,Tabla1[[#This Row],[Porcentaje de muertes]]&lt;0.65),"MEDIO",Tabla1[[#This Row],[Porcentaje de muertes]]&gt;0.65,"GRAVE")</f>
        <v>GRAVE</v>
      </c>
    </row>
    <row r="3070" spans="2:24" x14ac:dyDescent="0.3">
      <c r="B3070" s="9">
        <v>3069</v>
      </c>
      <c r="C3070" s="49">
        <v>29439</v>
      </c>
      <c r="D3070" s="9">
        <f>YEAR(Tabla1[[#This Row],[Date]])</f>
        <v>1980</v>
      </c>
      <c r="E3070" s="9" t="str" cm="1">
        <f t="array" ref="E3070">IFERROR(_xlfn.IFS(AND(D3070&lt;1980,D3070&gt;=1970),"70",AND(D3070&lt;1990,D3070&gt;=1980),"80",AND(D3070&lt;2000,D3070&gt;=1990),"90",AND(D3070&lt;2010,D3070&gt;=2000),"00",AND(D3070&lt;=2019,D3070&gt;=2010),"10"),"1908-1970")</f>
        <v>80</v>
      </c>
      <c r="F3070" s="3">
        <v>0.64722222222222225</v>
      </c>
      <c r="G3070" t="s">
        <v>18686</v>
      </c>
      <c r="H3070" t="s">
        <v>18687</v>
      </c>
      <c r="I3070" t="s">
        <v>28931</v>
      </c>
      <c r="J3070" t="s">
        <v>18688</v>
      </c>
      <c r="K3070" t="s">
        <v>15961</v>
      </c>
      <c r="L3070" s="7" t="s">
        <v>18689</v>
      </c>
      <c r="M3070">
        <v>9721753</v>
      </c>
      <c r="N3070">
        <v>29</v>
      </c>
      <c r="O3070">
        <v>25</v>
      </c>
      <c r="P3070">
        <v>4</v>
      </c>
      <c r="Q3070">
        <v>29</v>
      </c>
      <c r="R3070">
        <v>25</v>
      </c>
      <c r="S3070">
        <v>4</v>
      </c>
      <c r="T3070">
        <v>0</v>
      </c>
      <c r="U3070" t="s">
        <v>18690</v>
      </c>
      <c r="V3070">
        <f>Tabla1[[#This Row],[Aboard]]-Tabla1[[#This Row],[Fatalities]]</f>
        <v>0</v>
      </c>
      <c r="W3070" s="50">
        <f>IFERROR(Tabla1[[#This Row],[Fatalities]]/Tabla1[[#This Row],[Aboard]],0)</f>
        <v>1</v>
      </c>
      <c r="X3070" s="51" t="str" cm="1">
        <f t="array" ref="X3070">_xlfn.IFS(Tabla1[[#This Row],[Porcentaje de muertes]]&lt;0.35,"LEVE",AND(Tabla1[[#This Row],[Porcentaje de muertes]]&gt;0.35,Tabla1[[#This Row],[Porcentaje de muertes]]&lt;0.65),"MEDIO",Tabla1[[#This Row],[Porcentaje de muertes]]&gt;0.65,"GRAVE")</f>
        <v>GRAVE</v>
      </c>
    </row>
    <row r="3071" spans="2:24" x14ac:dyDescent="0.3">
      <c r="B3071" s="9">
        <v>3070</v>
      </c>
      <c r="C3071" s="49">
        <v>29561</v>
      </c>
      <c r="D3071" s="9">
        <f>YEAR(Tabla1[[#This Row],[Date]])</f>
        <v>1980</v>
      </c>
      <c r="E3071" s="9" t="str" cm="1">
        <f t="array" ref="E3071">IFERROR(_xlfn.IFS(AND(D3071&lt;1980,D3071&gt;=1970),"70",AND(D3071&lt;1990,D3071&gt;=1980),"80",AND(D3071&lt;2000,D3071&gt;=1990),"90",AND(D3071&lt;2010,D3071&gt;=2000),"00",AND(D3071&lt;=2019,D3071&gt;=2010),"10"),"1908-1970")</f>
        <v>80</v>
      </c>
      <c r="F3071" s="3">
        <v>0.57222222222222219</v>
      </c>
      <c r="G3071" t="s">
        <v>18691</v>
      </c>
      <c r="H3071" t="s">
        <v>6541</v>
      </c>
      <c r="I3071" t="s">
        <v>28931</v>
      </c>
      <c r="J3071" t="s">
        <v>18692</v>
      </c>
      <c r="K3071" t="s">
        <v>15961</v>
      </c>
      <c r="L3071" s="7" t="s">
        <v>18693</v>
      </c>
      <c r="M3071">
        <v>9910403</v>
      </c>
      <c r="N3071">
        <v>29</v>
      </c>
      <c r="O3071">
        <v>25</v>
      </c>
      <c r="P3071">
        <v>4</v>
      </c>
      <c r="Q3071">
        <v>29</v>
      </c>
      <c r="R3071">
        <v>25</v>
      </c>
      <c r="S3071">
        <v>4</v>
      </c>
      <c r="T3071">
        <v>0</v>
      </c>
      <c r="U3071" t="s">
        <v>18694</v>
      </c>
      <c r="V3071">
        <f>Tabla1[[#This Row],[Aboard]]-Tabla1[[#This Row],[Fatalities]]</f>
        <v>0</v>
      </c>
      <c r="W3071" s="50">
        <f>IFERROR(Tabla1[[#This Row],[Fatalities]]/Tabla1[[#This Row],[Aboard]],0)</f>
        <v>1</v>
      </c>
      <c r="X3071" s="51" t="str" cm="1">
        <f t="array" ref="X3071">_xlfn.IFS(Tabla1[[#This Row],[Porcentaje de muertes]]&lt;0.35,"LEVE",AND(Tabla1[[#This Row],[Porcentaje de muertes]]&gt;0.35,Tabla1[[#This Row],[Porcentaje de muertes]]&lt;0.65),"MEDIO",Tabla1[[#This Row],[Porcentaje de muertes]]&gt;0.65,"GRAVE")</f>
        <v>GRAVE</v>
      </c>
    </row>
    <row r="3072" spans="2:24" x14ac:dyDescent="0.3">
      <c r="B3072" s="9">
        <v>3071</v>
      </c>
      <c r="C3072" s="49">
        <v>29561</v>
      </c>
      <c r="D3072" s="9">
        <f>YEAR(Tabla1[[#This Row],[Date]])</f>
        <v>1980</v>
      </c>
      <c r="E3072" s="9" t="str" cm="1">
        <f t="array" ref="E3072">IFERROR(_xlfn.IFS(AND(D3072&lt;1980,D3072&gt;=1970),"70",AND(D3072&lt;1990,D3072&gt;=1980),"80",AND(D3072&lt;2000,D3072&gt;=1990),"90",AND(D3072&lt;2010,D3072&gt;=2000),"00",AND(D3072&lt;=2019,D3072&gt;=2010),"10"),"1908-1970")</f>
        <v>80</v>
      </c>
      <c r="F3072" s="3">
        <v>0.65694444444444444</v>
      </c>
      <c r="G3072" t="s">
        <v>18695</v>
      </c>
      <c r="H3072" t="s">
        <v>18696</v>
      </c>
      <c r="I3072">
        <v>965</v>
      </c>
      <c r="J3072" t="s">
        <v>18697</v>
      </c>
      <c r="K3072" t="s">
        <v>18698</v>
      </c>
      <c r="L3072" s="7" t="s">
        <v>18699</v>
      </c>
      <c r="M3072" t="s">
        <v>18700</v>
      </c>
      <c r="N3072">
        <v>15</v>
      </c>
      <c r="O3072">
        <v>13</v>
      </c>
      <c r="P3072">
        <v>2</v>
      </c>
      <c r="Q3072">
        <v>13</v>
      </c>
      <c r="R3072">
        <v>11</v>
      </c>
      <c r="S3072">
        <v>2</v>
      </c>
      <c r="T3072">
        <v>0</v>
      </c>
      <c r="U3072" t="s">
        <v>18701</v>
      </c>
      <c r="V3072">
        <f>Tabla1[[#This Row],[Aboard]]-Tabla1[[#This Row],[Fatalities]]</f>
        <v>2</v>
      </c>
      <c r="W3072" s="50">
        <f>IFERROR(Tabla1[[#This Row],[Fatalities]]/Tabla1[[#This Row],[Aboard]],0)</f>
        <v>0.8666666666666667</v>
      </c>
      <c r="X3072" s="51" t="str" cm="1">
        <f t="array" ref="X3072">_xlfn.IFS(Tabla1[[#This Row],[Porcentaje de muertes]]&lt;0.35,"LEVE",AND(Tabla1[[#This Row],[Porcentaje de muertes]]&gt;0.35,Tabla1[[#This Row],[Porcentaje de muertes]]&lt;0.65),"MEDIO",Tabla1[[#This Row],[Porcentaje de muertes]]&gt;0.65,"GRAVE")</f>
        <v>GRAVE</v>
      </c>
    </row>
    <row r="3073" spans="2:24" x14ac:dyDescent="0.3">
      <c r="B3073" s="9">
        <v>3072</v>
      </c>
      <c r="C3073" s="49">
        <v>29399</v>
      </c>
      <c r="D3073" s="9">
        <f>YEAR(Tabla1[[#This Row],[Date]])</f>
        <v>1980</v>
      </c>
      <c r="E3073" s="9" t="str" cm="1">
        <f t="array" ref="E3073">IFERROR(_xlfn.IFS(AND(D3073&lt;1980,D3073&gt;=1970),"70",AND(D3073&lt;1990,D3073&gt;=1980),"80",AND(D3073&lt;2000,D3073&gt;=1990),"90",AND(D3073&lt;2010,D3073&gt;=2000),"00",AND(D3073&lt;=2019,D3073&gt;=2010),"10"),"1908-1970")</f>
        <v>80</v>
      </c>
      <c r="F3073" s="3">
        <v>0.87430555555555556</v>
      </c>
      <c r="G3073" t="s">
        <v>18702</v>
      </c>
      <c r="H3073" t="s">
        <v>13096</v>
      </c>
      <c r="I3073">
        <v>870</v>
      </c>
      <c r="J3073" t="s">
        <v>18703</v>
      </c>
      <c r="K3073" t="s">
        <v>16829</v>
      </c>
      <c r="L3073" s="7" t="s">
        <v>18704</v>
      </c>
      <c r="M3073" t="s">
        <v>18705</v>
      </c>
      <c r="N3073">
        <v>81</v>
      </c>
      <c r="O3073">
        <v>77</v>
      </c>
      <c r="P3073">
        <v>4</v>
      </c>
      <c r="Q3073">
        <v>81</v>
      </c>
      <c r="R3073">
        <v>77</v>
      </c>
      <c r="S3073">
        <v>4</v>
      </c>
      <c r="T3073">
        <v>0</v>
      </c>
      <c r="U3073" t="s">
        <v>18706</v>
      </c>
      <c r="V3073">
        <f>Tabla1[[#This Row],[Aboard]]-Tabla1[[#This Row],[Fatalities]]</f>
        <v>0</v>
      </c>
      <c r="W3073" s="50">
        <f>IFERROR(Tabla1[[#This Row],[Fatalities]]/Tabla1[[#This Row],[Aboard]],0)</f>
        <v>1</v>
      </c>
      <c r="X3073" s="51" t="str" cm="1">
        <f t="array" ref="X3073">_xlfn.IFS(Tabla1[[#This Row],[Porcentaje de muertes]]&lt;0.35,"LEVE",AND(Tabla1[[#This Row],[Porcentaje de muertes]]&gt;0.35,Tabla1[[#This Row],[Porcentaje de muertes]]&lt;0.65),"MEDIO",Tabla1[[#This Row],[Porcentaje de muertes]]&gt;0.65,"GRAVE")</f>
        <v>GRAVE</v>
      </c>
    </row>
    <row r="3074" spans="2:24" x14ac:dyDescent="0.3">
      <c r="B3074" s="9">
        <v>3073</v>
      </c>
      <c r="C3074" s="49">
        <v>29440</v>
      </c>
      <c r="D3074" s="9">
        <f>YEAR(Tabla1[[#This Row],[Date]])</f>
        <v>1980</v>
      </c>
      <c r="E3074" s="9" t="str" cm="1">
        <f t="array" ref="E3074">IFERROR(_xlfn.IFS(AND(D3074&lt;1980,D3074&gt;=1970),"70",AND(D3074&lt;1990,D3074&gt;=1980),"80",AND(D3074&lt;2000,D3074&gt;=1990),"90",AND(D3074&lt;2010,D3074&gt;=2000),"00",AND(D3074&lt;=2019,D3074&gt;=2010),"10"),"1908-1970")</f>
        <v>80</v>
      </c>
      <c r="F3074" s="3">
        <v>2.7083333333333334E-2</v>
      </c>
      <c r="G3074" t="s">
        <v>18707</v>
      </c>
      <c r="H3074" t="s">
        <v>6541</v>
      </c>
      <c r="I3074">
        <v>4225</v>
      </c>
      <c r="J3074" t="s">
        <v>18708</v>
      </c>
      <c r="K3074" t="s">
        <v>17443</v>
      </c>
      <c r="L3074" s="7" t="s">
        <v>18709</v>
      </c>
      <c r="M3074">
        <v>355</v>
      </c>
      <c r="N3074">
        <v>166</v>
      </c>
      <c r="O3074">
        <v>156</v>
      </c>
      <c r="P3074">
        <v>10</v>
      </c>
      <c r="Q3074">
        <v>166</v>
      </c>
      <c r="R3074">
        <v>156</v>
      </c>
      <c r="S3074">
        <v>10</v>
      </c>
      <c r="T3074">
        <v>0</v>
      </c>
      <c r="U3074" t="s">
        <v>18710</v>
      </c>
      <c r="V3074">
        <f>Tabla1[[#This Row],[Aboard]]-Tabla1[[#This Row],[Fatalities]]</f>
        <v>0</v>
      </c>
      <c r="W3074" s="50">
        <f>IFERROR(Tabla1[[#This Row],[Fatalities]]/Tabla1[[#This Row],[Aboard]],0)</f>
        <v>1</v>
      </c>
      <c r="X3074" s="51" t="str" cm="1">
        <f t="array" ref="X3074">_xlfn.IFS(Tabla1[[#This Row],[Porcentaje de muertes]]&lt;0.35,"LEVE",AND(Tabla1[[#This Row],[Porcentaje de muertes]]&gt;0.35,Tabla1[[#This Row],[Porcentaje de muertes]]&lt;0.65),"MEDIO",Tabla1[[#This Row],[Porcentaje de muertes]]&gt;0.65,"GRAVE")</f>
        <v>GRAVE</v>
      </c>
    </row>
    <row r="3075" spans="2:24" x14ac:dyDescent="0.3">
      <c r="B3075" s="9">
        <v>3074</v>
      </c>
      <c r="C3075" s="49">
        <v>29228</v>
      </c>
      <c r="D3075" s="9">
        <f>YEAR(Tabla1[[#This Row],[Date]])</f>
        <v>1980</v>
      </c>
      <c r="E3075" s="9" t="str" cm="1">
        <f t="array" ref="E3075">IFERROR(_xlfn.IFS(AND(D3075&lt;1980,D3075&gt;=1970),"70",AND(D3075&lt;1990,D3075&gt;=1980),"80",AND(D3075&lt;2000,D3075&gt;=1990),"90",AND(D3075&lt;2010,D3075&gt;=2000),"00",AND(D3075&lt;=2019,D3075&gt;=2010),"10"),"1908-1970")</f>
        <v>80</v>
      </c>
      <c r="F3075" s="3" t="s">
        <v>28931</v>
      </c>
      <c r="G3075" t="s">
        <v>18711</v>
      </c>
      <c r="H3075" t="s">
        <v>18712</v>
      </c>
      <c r="I3075" t="s">
        <v>28931</v>
      </c>
      <c r="J3075" t="s">
        <v>18713</v>
      </c>
      <c r="K3075" t="s">
        <v>18714</v>
      </c>
      <c r="L3075" s="7" t="s">
        <v>18715</v>
      </c>
      <c r="M3075" t="s">
        <v>18716</v>
      </c>
      <c r="N3075">
        <v>7</v>
      </c>
      <c r="O3075">
        <v>0</v>
      </c>
      <c r="P3075">
        <v>7</v>
      </c>
      <c r="Q3075">
        <v>3</v>
      </c>
      <c r="R3075">
        <v>0</v>
      </c>
      <c r="S3075">
        <v>3</v>
      </c>
      <c r="T3075">
        <v>0</v>
      </c>
      <c r="U3075" t="s">
        <v>18717</v>
      </c>
      <c r="V3075">
        <f>Tabla1[[#This Row],[Aboard]]-Tabla1[[#This Row],[Fatalities]]</f>
        <v>4</v>
      </c>
      <c r="W3075" s="50">
        <f>IFERROR(Tabla1[[#This Row],[Fatalities]]/Tabla1[[#This Row],[Aboard]],0)</f>
        <v>0.42857142857142855</v>
      </c>
      <c r="X3075" s="51" t="str" cm="1">
        <f t="array" ref="X3075">_xlfn.IFS(Tabla1[[#This Row],[Porcentaje de muertes]]&lt;0.35,"LEVE",AND(Tabla1[[#This Row],[Porcentaje de muertes]]&gt;0.35,Tabla1[[#This Row],[Porcentaje de muertes]]&lt;0.65),"MEDIO",Tabla1[[#This Row],[Porcentaje de muertes]]&gt;0.65,"GRAVE")</f>
        <v>MEDIO</v>
      </c>
    </row>
    <row r="3076" spans="2:24" x14ac:dyDescent="0.3">
      <c r="B3076" s="9">
        <v>3075</v>
      </c>
      <c r="C3076" s="49">
        <v>29380</v>
      </c>
      <c r="D3076" s="9">
        <f>YEAR(Tabla1[[#This Row],[Date]])</f>
        <v>1980</v>
      </c>
      <c r="E3076" s="9" t="str" cm="1">
        <f t="array" ref="E3076">IFERROR(_xlfn.IFS(AND(D3076&lt;1980,D3076&gt;=1970),"70",AND(D3076&lt;1990,D3076&gt;=1980),"80",AND(D3076&lt;2000,D3076&gt;=1990),"90",AND(D3076&lt;2010,D3076&gt;=2000),"00",AND(D3076&lt;=2019,D3076&gt;=2010),"10"),"1908-1970")</f>
        <v>80</v>
      </c>
      <c r="F3076" s="3">
        <v>0.73611111111111116</v>
      </c>
      <c r="G3076" t="s">
        <v>18718</v>
      </c>
      <c r="H3076" t="s">
        <v>18134</v>
      </c>
      <c r="I3076" t="s">
        <v>28931</v>
      </c>
      <c r="J3076" t="s">
        <v>18719</v>
      </c>
      <c r="K3076" t="s">
        <v>18720</v>
      </c>
      <c r="L3076" s="7" t="s">
        <v>18721</v>
      </c>
      <c r="M3076">
        <v>30203</v>
      </c>
      <c r="N3076">
        <v>13</v>
      </c>
      <c r="O3076">
        <v>12</v>
      </c>
      <c r="P3076">
        <v>1</v>
      </c>
      <c r="Q3076">
        <v>13</v>
      </c>
      <c r="R3076">
        <v>12</v>
      </c>
      <c r="S3076">
        <v>1</v>
      </c>
      <c r="T3076">
        <v>0</v>
      </c>
      <c r="U3076" t="s">
        <v>18722</v>
      </c>
      <c r="V3076">
        <f>Tabla1[[#This Row],[Aboard]]-Tabla1[[#This Row],[Fatalities]]</f>
        <v>0</v>
      </c>
      <c r="W3076" s="50">
        <f>IFERROR(Tabla1[[#This Row],[Fatalities]]/Tabla1[[#This Row],[Aboard]],0)</f>
        <v>1</v>
      </c>
      <c r="X3076" s="51" t="str" cm="1">
        <f t="array" ref="X3076">_xlfn.IFS(Tabla1[[#This Row],[Porcentaje de muertes]]&lt;0.35,"LEVE",AND(Tabla1[[#This Row],[Porcentaje de muertes]]&gt;0.35,Tabla1[[#This Row],[Porcentaje de muertes]]&lt;0.65),"MEDIO",Tabla1[[#This Row],[Porcentaje de muertes]]&gt;0.65,"GRAVE")</f>
        <v>GRAVE</v>
      </c>
    </row>
    <row r="3077" spans="2:24" x14ac:dyDescent="0.3">
      <c r="B3077" s="9">
        <v>3076</v>
      </c>
      <c r="C3077" s="49">
        <v>29410</v>
      </c>
      <c r="D3077" s="9">
        <f>YEAR(Tabla1[[#This Row],[Date]])</f>
        <v>1980</v>
      </c>
      <c r="E3077" s="9" t="str" cm="1">
        <f t="array" ref="E3077">IFERROR(_xlfn.IFS(AND(D3077&lt;1980,D3077&gt;=1970),"70",AND(D3077&lt;1990,D3077&gt;=1980),"80",AND(D3077&lt;2000,D3077&gt;=1990),"90",AND(D3077&lt;2010,D3077&gt;=2000),"00",AND(D3077&lt;=2019,D3077&gt;=2010),"10"),"1908-1970")</f>
        <v>80</v>
      </c>
      <c r="F3077" s="3">
        <v>0.125</v>
      </c>
      <c r="G3077" t="s">
        <v>18723</v>
      </c>
      <c r="H3077" t="s">
        <v>13884</v>
      </c>
      <c r="I3077" t="s">
        <v>28931</v>
      </c>
      <c r="J3077" t="s">
        <v>18724</v>
      </c>
      <c r="K3077" t="s">
        <v>18725</v>
      </c>
      <c r="L3077" s="7" t="s">
        <v>18726</v>
      </c>
      <c r="M3077">
        <v>277</v>
      </c>
      <c r="N3077">
        <v>168</v>
      </c>
      <c r="O3077">
        <v>152</v>
      </c>
      <c r="P3077">
        <v>16</v>
      </c>
      <c r="Q3077">
        <v>1</v>
      </c>
      <c r="R3077">
        <v>1</v>
      </c>
      <c r="S3077">
        <v>0</v>
      </c>
      <c r="T3077">
        <v>0</v>
      </c>
      <c r="U3077" t="s">
        <v>18727</v>
      </c>
      <c r="V3077">
        <f>Tabla1[[#This Row],[Aboard]]-Tabla1[[#This Row],[Fatalities]]</f>
        <v>167</v>
      </c>
      <c r="W3077" s="50">
        <f>IFERROR(Tabla1[[#This Row],[Fatalities]]/Tabla1[[#This Row],[Aboard]],0)</f>
        <v>5.9523809523809521E-3</v>
      </c>
      <c r="X3077" s="51" t="str" cm="1">
        <f t="array" ref="X3077">_xlfn.IFS(Tabla1[[#This Row],[Porcentaje de muertes]]&lt;0.35,"LEVE",AND(Tabla1[[#This Row],[Porcentaje de muertes]]&gt;0.35,Tabla1[[#This Row],[Porcentaje de muertes]]&lt;0.65),"MEDIO",Tabla1[[#This Row],[Porcentaje de muertes]]&gt;0.65,"GRAVE")</f>
        <v>LEVE</v>
      </c>
    </row>
    <row r="3078" spans="2:24" x14ac:dyDescent="0.3">
      <c r="B3078" s="9">
        <v>3077</v>
      </c>
      <c r="C3078" s="49">
        <v>29452</v>
      </c>
      <c r="D3078" s="9">
        <f>YEAR(Tabla1[[#This Row],[Date]])</f>
        <v>1980</v>
      </c>
      <c r="E3078" s="9" t="str" cm="1">
        <f t="array" ref="E3078">IFERROR(_xlfn.IFS(AND(D3078&lt;1980,D3078&gt;=1970),"70",AND(D3078&lt;1990,D3078&gt;=1980),"80",AND(D3078&lt;2000,D3078&gt;=1990),"90",AND(D3078&lt;2010,D3078&gt;=2000),"00",AND(D3078&lt;=2019,D3078&gt;=2010),"10"),"1908-1970")</f>
        <v>80</v>
      </c>
      <c r="F3078" s="3">
        <v>0.79722222222222217</v>
      </c>
      <c r="G3078" t="s">
        <v>18728</v>
      </c>
      <c r="H3078" t="s">
        <v>14150</v>
      </c>
      <c r="I3078">
        <v>163</v>
      </c>
      <c r="J3078" t="s">
        <v>18729</v>
      </c>
      <c r="K3078" t="s">
        <v>18730</v>
      </c>
      <c r="L3078" s="7" t="s">
        <v>18731</v>
      </c>
      <c r="M3078">
        <v>1169</v>
      </c>
      <c r="N3078">
        <v>301</v>
      </c>
      <c r="O3078">
        <v>287</v>
      </c>
      <c r="P3078">
        <v>14</v>
      </c>
      <c r="Q3078">
        <v>301</v>
      </c>
      <c r="R3078">
        <v>287</v>
      </c>
      <c r="S3078">
        <v>14</v>
      </c>
      <c r="T3078">
        <v>0</v>
      </c>
      <c r="U3078" t="s">
        <v>18732</v>
      </c>
      <c r="V3078">
        <f>Tabla1[[#This Row],[Aboard]]-Tabla1[[#This Row],[Fatalities]]</f>
        <v>0</v>
      </c>
      <c r="W3078" s="50">
        <f>IFERROR(Tabla1[[#This Row],[Fatalities]]/Tabla1[[#This Row],[Aboard]],0)</f>
        <v>1</v>
      </c>
      <c r="X3078" s="51" t="str" cm="1">
        <f t="array" ref="X3078">_xlfn.IFS(Tabla1[[#This Row],[Porcentaje de muertes]]&lt;0.35,"LEVE",AND(Tabla1[[#This Row],[Porcentaje de muertes]]&gt;0.35,Tabla1[[#This Row],[Porcentaje de muertes]]&lt;0.65),"MEDIO",Tabla1[[#This Row],[Porcentaje de muertes]]&gt;0.65,"GRAVE")</f>
        <v>GRAVE</v>
      </c>
    </row>
    <row r="3079" spans="2:24" x14ac:dyDescent="0.3">
      <c r="B3079" s="9">
        <v>3078</v>
      </c>
      <c r="C3079" s="49">
        <v>29459</v>
      </c>
      <c r="D3079" s="9">
        <f>YEAR(Tabla1[[#This Row],[Date]])</f>
        <v>1980</v>
      </c>
      <c r="E3079" s="9" t="str" cm="1">
        <f t="array" ref="E3079">IFERROR(_xlfn.IFS(AND(D3079&lt;1980,D3079&gt;=1970),"70",AND(D3079&lt;1990,D3079&gt;=1980),"80",AND(D3079&lt;2000,D3079&gt;=1990),"90",AND(D3079&lt;2010,D3079&gt;=2000),"00",AND(D3079&lt;=2019,D3079&gt;=2010),"10"),"1908-1970")</f>
        <v>80</v>
      </c>
      <c r="F3079" s="3">
        <v>0.27013888888888887</v>
      </c>
      <c r="G3079" t="s">
        <v>18733</v>
      </c>
      <c r="H3079" t="s">
        <v>18734</v>
      </c>
      <c r="I3079" t="s">
        <v>28931</v>
      </c>
      <c r="J3079" t="s">
        <v>18735</v>
      </c>
      <c r="K3079" t="s">
        <v>13776</v>
      </c>
      <c r="L3079" s="7" t="s">
        <v>18736</v>
      </c>
      <c r="M3079">
        <v>353</v>
      </c>
      <c r="N3079">
        <v>37</v>
      </c>
      <c r="O3079">
        <v>31</v>
      </c>
      <c r="P3079">
        <v>6</v>
      </c>
      <c r="Q3079">
        <v>37</v>
      </c>
      <c r="R3079">
        <v>31</v>
      </c>
      <c r="S3079">
        <v>6</v>
      </c>
      <c r="T3079">
        <v>0</v>
      </c>
      <c r="U3079" t="s">
        <v>18737</v>
      </c>
      <c r="V3079">
        <f>Tabla1[[#This Row],[Aboard]]-Tabla1[[#This Row],[Fatalities]]</f>
        <v>0</v>
      </c>
      <c r="W3079" s="50">
        <f>IFERROR(Tabla1[[#This Row],[Fatalities]]/Tabla1[[#This Row],[Aboard]],0)</f>
        <v>1</v>
      </c>
      <c r="X3079" s="51" t="str" cm="1">
        <f t="array" ref="X3079">_xlfn.IFS(Tabla1[[#This Row],[Porcentaje de muertes]]&lt;0.35,"LEVE",AND(Tabla1[[#This Row],[Porcentaje de muertes]]&gt;0.35,Tabla1[[#This Row],[Porcentaje de muertes]]&lt;0.65),"MEDIO",Tabla1[[#This Row],[Porcentaje de muertes]]&gt;0.65,"GRAVE")</f>
        <v>GRAVE</v>
      </c>
    </row>
    <row r="3080" spans="2:24" x14ac:dyDescent="0.3">
      <c r="B3080" s="9">
        <v>3079</v>
      </c>
      <c r="C3080" s="49">
        <v>29350</v>
      </c>
      <c r="D3080" s="9">
        <f>YEAR(Tabla1[[#This Row],[Date]])</f>
        <v>1980</v>
      </c>
      <c r="E3080" s="9" t="str" cm="1">
        <f t="array" ref="E3080">IFERROR(_xlfn.IFS(AND(D3080&lt;1980,D3080&gt;=1970),"70",AND(D3080&lt;1990,D3080&gt;=1980),"80",AND(D3080&lt;2000,D3080&gt;=1990),"90",AND(D3080&lt;2010,D3080&gt;=2000),"00",AND(D3080&lt;=2019,D3080&gt;=2010),"10"),"1908-1970")</f>
        <v>80</v>
      </c>
      <c r="F3080" s="3" t="s">
        <v>28931</v>
      </c>
      <c r="G3080" t="s">
        <v>18738</v>
      </c>
      <c r="H3080" t="s">
        <v>18739</v>
      </c>
      <c r="I3080" t="s">
        <v>28931</v>
      </c>
      <c r="J3080" t="s">
        <v>28931</v>
      </c>
      <c r="K3080" t="s">
        <v>16004</v>
      </c>
      <c r="L3080" s="7" t="s">
        <v>18740</v>
      </c>
      <c r="M3080">
        <v>4350</v>
      </c>
      <c r="N3080">
        <v>8</v>
      </c>
      <c r="O3080">
        <v>0</v>
      </c>
      <c r="P3080">
        <v>8</v>
      </c>
      <c r="Q3080">
        <v>8</v>
      </c>
      <c r="R3080">
        <v>0</v>
      </c>
      <c r="S3080">
        <v>8</v>
      </c>
      <c r="T3080">
        <v>0</v>
      </c>
      <c r="U3080" t="s">
        <v>18741</v>
      </c>
      <c r="V3080">
        <f>Tabla1[[#This Row],[Aboard]]-Tabla1[[#This Row],[Fatalities]]</f>
        <v>0</v>
      </c>
      <c r="W3080" s="50">
        <f>IFERROR(Tabla1[[#This Row],[Fatalities]]/Tabla1[[#This Row],[Aboard]],0)</f>
        <v>1</v>
      </c>
      <c r="X3080" s="51" t="str" cm="1">
        <f t="array" ref="X3080">_xlfn.IFS(Tabla1[[#This Row],[Porcentaje de muertes]]&lt;0.35,"LEVE",AND(Tabla1[[#This Row],[Porcentaje de muertes]]&gt;0.35,Tabla1[[#This Row],[Porcentaje de muertes]]&lt;0.65),"MEDIO",Tabla1[[#This Row],[Porcentaje de muertes]]&gt;0.65,"GRAVE")</f>
        <v>GRAVE</v>
      </c>
    </row>
    <row r="3081" spans="2:24" x14ac:dyDescent="0.3">
      <c r="B3081" s="9">
        <v>3080</v>
      </c>
      <c r="C3081" s="49">
        <v>29503</v>
      </c>
      <c r="D3081" s="9">
        <f>YEAR(Tabla1[[#This Row],[Date]])</f>
        <v>1980</v>
      </c>
      <c r="E3081" s="9" t="str" cm="1">
        <f t="array" ref="E3081">IFERROR(_xlfn.IFS(AND(D3081&lt;1980,D3081&gt;=1970),"70",AND(D3081&lt;1990,D3081&gt;=1980),"80",AND(D3081&lt;2000,D3081&gt;=1990),"90",AND(D3081&lt;2010,D3081&gt;=2000),"00",AND(D3081&lt;=2019,D3081&gt;=2010),"10"),"1908-1970")</f>
        <v>80</v>
      </c>
      <c r="F3081" s="3" t="s">
        <v>28931</v>
      </c>
      <c r="G3081" t="s">
        <v>18742</v>
      </c>
      <c r="H3081" t="s">
        <v>17133</v>
      </c>
      <c r="I3081" t="s">
        <v>28931</v>
      </c>
      <c r="J3081" t="s">
        <v>5339</v>
      </c>
      <c r="K3081" t="s">
        <v>7826</v>
      </c>
      <c r="L3081" s="7" t="s">
        <v>18743</v>
      </c>
      <c r="M3081">
        <v>4404</v>
      </c>
      <c r="N3081">
        <v>3</v>
      </c>
      <c r="O3081">
        <v>0</v>
      </c>
      <c r="P3081">
        <v>3</v>
      </c>
      <c r="Q3081">
        <v>3</v>
      </c>
      <c r="R3081">
        <v>0</v>
      </c>
      <c r="S3081">
        <v>3</v>
      </c>
      <c r="T3081">
        <v>0</v>
      </c>
      <c r="U3081" t="s">
        <v>18744</v>
      </c>
      <c r="V3081">
        <f>Tabla1[[#This Row],[Aboard]]-Tabla1[[#This Row],[Fatalities]]</f>
        <v>0</v>
      </c>
      <c r="W3081" s="50">
        <f>IFERROR(Tabla1[[#This Row],[Fatalities]]/Tabla1[[#This Row],[Aboard]],0)</f>
        <v>1</v>
      </c>
      <c r="X3081" s="51" t="str" cm="1">
        <f t="array" ref="X3081">_xlfn.IFS(Tabla1[[#This Row],[Porcentaje de muertes]]&lt;0.35,"LEVE",AND(Tabla1[[#This Row],[Porcentaje de muertes]]&gt;0.35,Tabla1[[#This Row],[Porcentaje de muertes]]&lt;0.65),"MEDIO",Tabla1[[#This Row],[Porcentaje de muertes]]&gt;0.65,"GRAVE")</f>
        <v>GRAVE</v>
      </c>
    </row>
    <row r="3082" spans="2:24" x14ac:dyDescent="0.3">
      <c r="B3082" s="9">
        <v>3081</v>
      </c>
      <c r="C3082" s="49">
        <v>29564</v>
      </c>
      <c r="D3082" s="9">
        <f>YEAR(Tabla1[[#This Row],[Date]])</f>
        <v>1980</v>
      </c>
      <c r="E3082" s="9" t="str" cm="1">
        <f t="array" ref="E3082">IFERROR(_xlfn.IFS(AND(D3082&lt;1980,D3082&gt;=1970),"70",AND(D3082&lt;1990,D3082&gt;=1980),"80",AND(D3082&lt;2000,D3082&gt;=1990),"90",AND(D3082&lt;2010,D3082&gt;=2000),"00",AND(D3082&lt;=2019,D3082&gt;=2010),"10"),"1908-1970")</f>
        <v>80</v>
      </c>
      <c r="F3082" s="3">
        <v>0.87361111111111101</v>
      </c>
      <c r="G3082" t="s">
        <v>18745</v>
      </c>
      <c r="H3082" t="s">
        <v>18746</v>
      </c>
      <c r="I3082" t="s">
        <v>28931</v>
      </c>
      <c r="J3082" t="s">
        <v>18747</v>
      </c>
      <c r="K3082" t="s">
        <v>7057</v>
      </c>
      <c r="L3082" s="7" t="s">
        <v>18748</v>
      </c>
      <c r="M3082">
        <v>4861</v>
      </c>
      <c r="N3082">
        <v>34</v>
      </c>
      <c r="O3082">
        <v>30</v>
      </c>
      <c r="P3082">
        <v>4</v>
      </c>
      <c r="Q3082">
        <v>34</v>
      </c>
      <c r="R3082">
        <v>30</v>
      </c>
      <c r="S3082">
        <v>4</v>
      </c>
      <c r="T3082">
        <v>0</v>
      </c>
      <c r="U3082" t="s">
        <v>18749</v>
      </c>
      <c r="V3082">
        <f>Tabla1[[#This Row],[Aboard]]-Tabla1[[#This Row],[Fatalities]]</f>
        <v>0</v>
      </c>
      <c r="W3082" s="50">
        <f>IFERROR(Tabla1[[#This Row],[Fatalities]]/Tabla1[[#This Row],[Aboard]],0)</f>
        <v>1</v>
      </c>
      <c r="X3082" s="51" t="str" cm="1">
        <f t="array" ref="X3082">_xlfn.IFS(Tabla1[[#This Row],[Porcentaje de muertes]]&lt;0.35,"LEVE",AND(Tabla1[[#This Row],[Porcentaje de muertes]]&gt;0.35,Tabla1[[#This Row],[Porcentaje de muertes]]&lt;0.65),"MEDIO",Tabla1[[#This Row],[Porcentaje de muertes]]&gt;0.65,"GRAVE")</f>
        <v>GRAVE</v>
      </c>
    </row>
    <row r="3083" spans="2:24" x14ac:dyDescent="0.3">
      <c r="B3083" s="9">
        <v>3082</v>
      </c>
      <c r="C3083" s="49">
        <v>29478</v>
      </c>
      <c r="D3083" s="9">
        <f>YEAR(Tabla1[[#This Row],[Date]])</f>
        <v>1980</v>
      </c>
      <c r="E3083" s="9" t="str" cm="1">
        <f t="array" ref="E3083">IFERROR(_xlfn.IFS(AND(D3083&lt;1980,D3083&gt;=1970),"70",AND(D3083&lt;1990,D3083&gt;=1980),"80",AND(D3083&lt;2000,D3083&gt;=1990),"90",AND(D3083&lt;2010,D3083&gt;=2000),"00",AND(D3083&lt;=2019,D3083&gt;=2010),"10"),"1908-1970")</f>
        <v>80</v>
      </c>
      <c r="F3083" s="3" t="s">
        <v>28931</v>
      </c>
      <c r="G3083" t="s">
        <v>18750</v>
      </c>
      <c r="H3083" t="s">
        <v>18751</v>
      </c>
      <c r="I3083" t="s">
        <v>28931</v>
      </c>
      <c r="J3083" t="s">
        <v>18752</v>
      </c>
      <c r="K3083" t="s">
        <v>18753</v>
      </c>
      <c r="L3083" s="7" t="s">
        <v>18754</v>
      </c>
      <c r="M3083">
        <v>4569</v>
      </c>
      <c r="N3083">
        <v>36</v>
      </c>
      <c r="O3083">
        <v>31</v>
      </c>
      <c r="P3083">
        <v>5</v>
      </c>
      <c r="Q3083">
        <v>36</v>
      </c>
      <c r="R3083">
        <v>31</v>
      </c>
      <c r="S3083">
        <v>5</v>
      </c>
      <c r="T3083">
        <v>0</v>
      </c>
      <c r="U3083" t="s">
        <v>18755</v>
      </c>
      <c r="V3083">
        <f>Tabla1[[#This Row],[Aboard]]-Tabla1[[#This Row],[Fatalities]]</f>
        <v>0</v>
      </c>
      <c r="W3083" s="50">
        <f>IFERROR(Tabla1[[#This Row],[Fatalities]]/Tabla1[[#This Row],[Aboard]],0)</f>
        <v>1</v>
      </c>
      <c r="X3083" s="51" t="str" cm="1">
        <f t="array" ref="X3083">_xlfn.IFS(Tabla1[[#This Row],[Porcentaje de muertes]]&lt;0.35,"LEVE",AND(Tabla1[[#This Row],[Porcentaje de muertes]]&gt;0.35,Tabla1[[#This Row],[Porcentaje de muertes]]&lt;0.65),"MEDIO",Tabla1[[#This Row],[Porcentaje de muertes]]&gt;0.65,"GRAVE")</f>
        <v>GRAVE</v>
      </c>
    </row>
    <row r="3084" spans="2:24" x14ac:dyDescent="0.3">
      <c r="B3084" s="9">
        <v>3083</v>
      </c>
      <c r="C3084" s="49">
        <v>29479</v>
      </c>
      <c r="D3084" s="9">
        <f>YEAR(Tabla1[[#This Row],[Date]])</f>
        <v>1980</v>
      </c>
      <c r="E3084" s="9" t="str" cm="1">
        <f t="array" ref="E3084">IFERROR(_xlfn.IFS(AND(D3084&lt;1980,D3084&gt;=1970),"70",AND(D3084&lt;1990,D3084&gt;=1980),"80",AND(D3084&lt;2000,D3084&gt;=1990),"90",AND(D3084&lt;2010,D3084&gt;=2000),"00",AND(D3084&lt;=2019,D3084&gt;=2010),"10"),"1908-1970")</f>
        <v>80</v>
      </c>
      <c r="F3084" s="3">
        <v>3.472222222222222E-3</v>
      </c>
      <c r="G3084" t="s">
        <v>18756</v>
      </c>
      <c r="H3084" t="s">
        <v>18757</v>
      </c>
      <c r="I3084" t="s">
        <v>18758</v>
      </c>
      <c r="J3084" t="s">
        <v>28931</v>
      </c>
      <c r="K3084" t="s">
        <v>15987</v>
      </c>
      <c r="L3084" s="7">
        <v>453</v>
      </c>
      <c r="M3084">
        <v>4128</v>
      </c>
      <c r="N3084">
        <v>89</v>
      </c>
      <c r="O3084">
        <v>81</v>
      </c>
      <c r="P3084">
        <v>8</v>
      </c>
      <c r="Q3084">
        <v>89</v>
      </c>
      <c r="R3084">
        <v>81</v>
      </c>
      <c r="S3084">
        <v>8</v>
      </c>
      <c r="T3084">
        <v>0</v>
      </c>
      <c r="U3084" t="s">
        <v>18759</v>
      </c>
      <c r="V3084">
        <f>Tabla1[[#This Row],[Aboard]]-Tabla1[[#This Row],[Fatalities]]</f>
        <v>0</v>
      </c>
      <c r="W3084" s="50">
        <f>IFERROR(Tabla1[[#This Row],[Fatalities]]/Tabla1[[#This Row],[Aboard]],0)</f>
        <v>1</v>
      </c>
      <c r="X3084" s="51" t="str" cm="1">
        <f t="array" ref="X3084">_xlfn.IFS(Tabla1[[#This Row],[Porcentaje de muertes]]&lt;0.35,"LEVE",AND(Tabla1[[#This Row],[Porcentaje de muertes]]&gt;0.35,Tabla1[[#This Row],[Porcentaje de muertes]]&lt;0.65),"MEDIO",Tabla1[[#This Row],[Porcentaje de muertes]]&gt;0.65,"GRAVE")</f>
        <v>GRAVE</v>
      </c>
    </row>
    <row r="3085" spans="2:24" x14ac:dyDescent="0.3">
      <c r="B3085" s="9">
        <v>3084</v>
      </c>
      <c r="C3085" s="49">
        <v>29481</v>
      </c>
      <c r="D3085" s="9">
        <f>YEAR(Tabla1[[#This Row],[Date]])</f>
        <v>1980</v>
      </c>
      <c r="E3085" s="9" t="str" cm="1">
        <f t="array" ref="E3085">IFERROR(_xlfn.IFS(AND(D3085&lt;1980,D3085&gt;=1970),"70",AND(D3085&lt;1990,D3085&gt;=1980),"80",AND(D3085&lt;2000,D3085&gt;=1990),"90",AND(D3085&lt;2010,D3085&gt;=2000),"00",AND(D3085&lt;=2019,D3085&gt;=2010),"10"),"1908-1970")</f>
        <v>80</v>
      </c>
      <c r="F3085" s="3" t="s">
        <v>28931</v>
      </c>
      <c r="G3085" t="s">
        <v>18760</v>
      </c>
      <c r="H3085" t="s">
        <v>17160</v>
      </c>
      <c r="I3085" t="s">
        <v>28931</v>
      </c>
      <c r="J3085" t="s">
        <v>28931</v>
      </c>
      <c r="K3085" t="s">
        <v>18761</v>
      </c>
      <c r="L3085" s="7" t="s">
        <v>18762</v>
      </c>
      <c r="M3085">
        <v>60</v>
      </c>
      <c r="N3085">
        <v>36</v>
      </c>
      <c r="O3085">
        <v>34</v>
      </c>
      <c r="P3085">
        <v>2</v>
      </c>
      <c r="Q3085">
        <v>36</v>
      </c>
      <c r="R3085">
        <v>34</v>
      </c>
      <c r="S3085">
        <v>2</v>
      </c>
      <c r="T3085">
        <v>0</v>
      </c>
      <c r="U3085" t="s">
        <v>9744</v>
      </c>
      <c r="V3085">
        <f>Tabla1[[#This Row],[Aboard]]-Tabla1[[#This Row],[Fatalities]]</f>
        <v>0</v>
      </c>
      <c r="W3085" s="50">
        <f>IFERROR(Tabla1[[#This Row],[Fatalities]]/Tabla1[[#This Row],[Aboard]],0)</f>
        <v>1</v>
      </c>
      <c r="X3085" s="51" t="str" cm="1">
        <f t="array" ref="X3085">_xlfn.IFS(Tabla1[[#This Row],[Porcentaje de muertes]]&lt;0.35,"LEVE",AND(Tabla1[[#This Row],[Porcentaje de muertes]]&gt;0.35,Tabla1[[#This Row],[Porcentaje de muertes]]&lt;0.65),"MEDIO",Tabla1[[#This Row],[Porcentaje de muertes]]&gt;0.65,"GRAVE")</f>
        <v>GRAVE</v>
      </c>
    </row>
    <row r="3086" spans="2:24" x14ac:dyDescent="0.3">
      <c r="B3086" s="9">
        <v>3085</v>
      </c>
      <c r="C3086" s="49">
        <v>29494</v>
      </c>
      <c r="D3086" s="9">
        <f>YEAR(Tabla1[[#This Row],[Date]])</f>
        <v>1980</v>
      </c>
      <c r="E3086" s="9" t="str" cm="1">
        <f t="array" ref="E3086">IFERROR(_xlfn.IFS(AND(D3086&lt;1980,D3086&gt;=1970),"70",AND(D3086&lt;1990,D3086&gt;=1980),"80",AND(D3086&lt;2000,D3086&gt;=1990),"90",AND(D3086&lt;2010,D3086&gt;=2000),"00",AND(D3086&lt;=2019,D3086&gt;=2010),"10"),"1908-1970")</f>
        <v>80</v>
      </c>
      <c r="F3086" s="3" t="s">
        <v>28931</v>
      </c>
      <c r="G3086" t="s">
        <v>18763</v>
      </c>
      <c r="H3086" t="s">
        <v>9999</v>
      </c>
      <c r="I3086" t="s">
        <v>28931</v>
      </c>
      <c r="J3086" t="s">
        <v>28931</v>
      </c>
      <c r="K3086" t="s">
        <v>16941</v>
      </c>
      <c r="L3086" s="7" t="s">
        <v>18764</v>
      </c>
      <c r="M3086">
        <v>1347710</v>
      </c>
      <c r="N3086">
        <v>45</v>
      </c>
      <c r="O3086" t="s">
        <v>5038</v>
      </c>
      <c r="P3086" t="s">
        <v>5038</v>
      </c>
      <c r="Q3086">
        <v>45</v>
      </c>
      <c r="R3086" t="s">
        <v>5038</v>
      </c>
      <c r="S3086" t="s">
        <v>5038</v>
      </c>
      <c r="T3086">
        <v>0</v>
      </c>
      <c r="U3086" t="s">
        <v>18765</v>
      </c>
      <c r="V3086">
        <f>Tabla1[[#This Row],[Aboard]]-Tabla1[[#This Row],[Fatalities]]</f>
        <v>0</v>
      </c>
      <c r="W3086" s="50">
        <f>IFERROR(Tabla1[[#This Row],[Fatalities]]/Tabla1[[#This Row],[Aboard]],0)</f>
        <v>1</v>
      </c>
      <c r="X3086" s="51" t="str" cm="1">
        <f t="array" ref="X3086">_xlfn.IFS(Tabla1[[#This Row],[Porcentaje de muertes]]&lt;0.35,"LEVE",AND(Tabla1[[#This Row],[Porcentaje de muertes]]&gt;0.35,Tabla1[[#This Row],[Porcentaje de muertes]]&lt;0.65),"MEDIO",Tabla1[[#This Row],[Porcentaje de muertes]]&gt;0.65,"GRAVE")</f>
        <v>GRAVE</v>
      </c>
    </row>
    <row r="3087" spans="2:24" x14ac:dyDescent="0.3">
      <c r="B3087" s="9">
        <v>3086</v>
      </c>
      <c r="C3087" s="49">
        <v>29566</v>
      </c>
      <c r="D3087" s="9">
        <f>YEAR(Tabla1[[#This Row],[Date]])</f>
        <v>1980</v>
      </c>
      <c r="E3087" s="9" t="str" cm="1">
        <f t="array" ref="E3087">IFERROR(_xlfn.IFS(AND(D3087&lt;1980,D3087&gt;=1970),"70",AND(D3087&lt;1990,D3087&gt;=1980),"80",AND(D3087&lt;2000,D3087&gt;=1990),"90",AND(D3087&lt;2010,D3087&gt;=2000),"00",AND(D3087&lt;=2019,D3087&gt;=2010),"10"),"1908-1970")</f>
        <v>80</v>
      </c>
      <c r="F3087" s="3">
        <v>0.99513888888888891</v>
      </c>
      <c r="G3087" t="s">
        <v>11159</v>
      </c>
      <c r="H3087" t="s">
        <v>7987</v>
      </c>
      <c r="I3087" t="s">
        <v>28931</v>
      </c>
      <c r="J3087" t="s">
        <v>18766</v>
      </c>
      <c r="K3087" t="s">
        <v>16899</v>
      </c>
      <c r="L3087" s="7" t="s">
        <v>18767</v>
      </c>
      <c r="M3087">
        <v>6281</v>
      </c>
      <c r="N3087">
        <v>13</v>
      </c>
      <c r="O3087">
        <v>7</v>
      </c>
      <c r="P3087">
        <v>6</v>
      </c>
      <c r="Q3087">
        <v>13</v>
      </c>
      <c r="R3087">
        <v>7</v>
      </c>
      <c r="S3087">
        <v>6</v>
      </c>
      <c r="T3087">
        <v>0</v>
      </c>
      <c r="U3087" t="s">
        <v>18768</v>
      </c>
      <c r="V3087">
        <f>Tabla1[[#This Row],[Aboard]]-Tabla1[[#This Row],[Fatalities]]</f>
        <v>0</v>
      </c>
      <c r="W3087" s="50">
        <f>IFERROR(Tabla1[[#This Row],[Fatalities]]/Tabla1[[#This Row],[Aboard]],0)</f>
        <v>1</v>
      </c>
      <c r="X3087" s="51" t="str" cm="1">
        <f t="array" ref="X3087">_xlfn.IFS(Tabla1[[#This Row],[Porcentaje de muertes]]&lt;0.35,"LEVE",AND(Tabla1[[#This Row],[Porcentaje de muertes]]&gt;0.35,Tabla1[[#This Row],[Porcentaje de muertes]]&lt;0.65),"MEDIO",Tabla1[[#This Row],[Porcentaje de muertes]]&gt;0.65,"GRAVE")</f>
        <v>GRAVE</v>
      </c>
    </row>
    <row r="3088" spans="2:24" x14ac:dyDescent="0.3">
      <c r="B3088" s="9">
        <v>3087</v>
      </c>
      <c r="C3088" s="49">
        <v>29544</v>
      </c>
      <c r="D3088" s="9">
        <f>YEAR(Tabla1[[#This Row],[Date]])</f>
        <v>1980</v>
      </c>
      <c r="E3088" s="9" t="str" cm="1">
        <f t="array" ref="E3088">IFERROR(_xlfn.IFS(AND(D3088&lt;1980,D3088&gt;=1970),"70",AND(D3088&lt;1990,D3088&gt;=1980),"80",AND(D3088&lt;2000,D3088&gt;=1990),"90",AND(D3088&lt;2010,D3088&gt;=2000),"00",AND(D3088&lt;=2019,D3088&gt;=2010),"10"),"1908-1970")</f>
        <v>80</v>
      </c>
      <c r="F3088" s="3">
        <v>0.30902777777777779</v>
      </c>
      <c r="G3088" t="s">
        <v>18769</v>
      </c>
      <c r="H3088" t="s">
        <v>16097</v>
      </c>
      <c r="I3088" t="s">
        <v>28931</v>
      </c>
      <c r="J3088" t="s">
        <v>18770</v>
      </c>
      <c r="K3088" t="s">
        <v>18771</v>
      </c>
      <c r="L3088" s="7" t="s">
        <v>18772</v>
      </c>
      <c r="M3088" t="s">
        <v>18773</v>
      </c>
      <c r="N3088">
        <v>226</v>
      </c>
      <c r="O3088">
        <v>212</v>
      </c>
      <c r="P3088">
        <v>14</v>
      </c>
      <c r="Q3088">
        <v>15</v>
      </c>
      <c r="R3088">
        <v>9</v>
      </c>
      <c r="S3088">
        <v>6</v>
      </c>
      <c r="T3088">
        <v>0</v>
      </c>
      <c r="U3088" t="s">
        <v>18774</v>
      </c>
      <c r="V3088">
        <f>Tabla1[[#This Row],[Aboard]]-Tabla1[[#This Row],[Fatalities]]</f>
        <v>211</v>
      </c>
      <c r="W3088" s="50">
        <f>IFERROR(Tabla1[[#This Row],[Fatalities]]/Tabla1[[#This Row],[Aboard]],0)</f>
        <v>6.637168141592921E-2</v>
      </c>
      <c r="X3088" s="51" t="str" cm="1">
        <f t="array" ref="X3088">_xlfn.IFS(Tabla1[[#This Row],[Porcentaje de muertes]]&lt;0.35,"LEVE",AND(Tabla1[[#This Row],[Porcentaje de muertes]]&gt;0.35,Tabla1[[#This Row],[Porcentaje de muertes]]&lt;0.65),"MEDIO",Tabla1[[#This Row],[Porcentaje de muertes]]&gt;0.65,"GRAVE")</f>
        <v>LEVE</v>
      </c>
    </row>
    <row r="3089" spans="2:24" x14ac:dyDescent="0.3">
      <c r="B3089" s="9">
        <v>3088</v>
      </c>
      <c r="C3089" s="49">
        <v>29549</v>
      </c>
      <c r="D3089" s="9">
        <f>YEAR(Tabla1[[#This Row],[Date]])</f>
        <v>1980</v>
      </c>
      <c r="E3089" s="9" t="str" cm="1">
        <f t="array" ref="E3089">IFERROR(_xlfn.IFS(AND(D3089&lt;1980,D3089&gt;=1970),"70",AND(D3089&lt;1990,D3089&gt;=1980),"80",AND(D3089&lt;2000,D3089&gt;=1990),"90",AND(D3089&lt;2010,D3089&gt;=2000),"00",AND(D3089&lt;=2019,D3089&gt;=2010),"10"),"1908-1970")</f>
        <v>80</v>
      </c>
      <c r="F3089" s="3" t="s">
        <v>28931</v>
      </c>
      <c r="G3089" t="s">
        <v>9064</v>
      </c>
      <c r="H3089" t="s">
        <v>18775</v>
      </c>
      <c r="I3089" t="s">
        <v>28931</v>
      </c>
      <c r="J3089" t="s">
        <v>18776</v>
      </c>
      <c r="K3089" t="s">
        <v>10660</v>
      </c>
      <c r="L3089" s="7" t="s">
        <v>18777</v>
      </c>
      <c r="M3089">
        <v>9703</v>
      </c>
      <c r="N3089">
        <v>20</v>
      </c>
      <c r="O3089">
        <v>3</v>
      </c>
      <c r="P3089">
        <v>17</v>
      </c>
      <c r="Q3089">
        <v>20</v>
      </c>
      <c r="R3089">
        <v>3</v>
      </c>
      <c r="S3089">
        <v>17</v>
      </c>
      <c r="T3089">
        <v>0</v>
      </c>
      <c r="U3089" t="s">
        <v>18778</v>
      </c>
      <c r="V3089">
        <f>Tabla1[[#This Row],[Aboard]]-Tabla1[[#This Row],[Fatalities]]</f>
        <v>0</v>
      </c>
      <c r="W3089" s="50">
        <f>IFERROR(Tabla1[[#This Row],[Fatalities]]/Tabla1[[#This Row],[Aboard]],0)</f>
        <v>1</v>
      </c>
      <c r="X3089" s="51" t="str" cm="1">
        <f t="array" ref="X3089">_xlfn.IFS(Tabla1[[#This Row],[Porcentaje de muertes]]&lt;0.35,"LEVE",AND(Tabla1[[#This Row],[Porcentaje de muertes]]&gt;0.35,Tabla1[[#This Row],[Porcentaje de muertes]]&lt;0.65),"MEDIO",Tabla1[[#This Row],[Porcentaje de muertes]]&gt;0.65,"GRAVE")</f>
        <v>GRAVE</v>
      </c>
    </row>
    <row r="3090" spans="2:24" x14ac:dyDescent="0.3">
      <c r="B3090" s="9">
        <v>3089</v>
      </c>
      <c r="C3090" s="49">
        <v>29553</v>
      </c>
      <c r="D3090" s="9">
        <f>YEAR(Tabla1[[#This Row],[Date]])</f>
        <v>1980</v>
      </c>
      <c r="E3090" s="9" t="str" cm="1">
        <f t="array" ref="E3090">IFERROR(_xlfn.IFS(AND(D3090&lt;1980,D3090&gt;=1970),"70",AND(D3090&lt;1990,D3090&gt;=1980),"80",AND(D3090&lt;2000,D3090&gt;=1990),"90",AND(D3090&lt;2010,D3090&gt;=2000),"00",AND(D3090&lt;=2019,D3090&gt;=2010),"10"),"1908-1970")</f>
        <v>80</v>
      </c>
      <c r="F3090" s="3">
        <v>0.89930555555555547</v>
      </c>
      <c r="G3090" t="s">
        <v>18779</v>
      </c>
      <c r="H3090" t="s">
        <v>18780</v>
      </c>
      <c r="I3090" t="s">
        <v>28931</v>
      </c>
      <c r="J3090" t="s">
        <v>28931</v>
      </c>
      <c r="K3090" t="s">
        <v>12808</v>
      </c>
      <c r="L3090" s="7" t="s">
        <v>18781</v>
      </c>
      <c r="M3090" t="s">
        <v>18782</v>
      </c>
      <c r="N3090">
        <v>2</v>
      </c>
      <c r="O3090">
        <v>0</v>
      </c>
      <c r="P3090">
        <v>2</v>
      </c>
      <c r="Q3090">
        <v>2</v>
      </c>
      <c r="R3090">
        <v>0</v>
      </c>
      <c r="S3090">
        <v>2</v>
      </c>
      <c r="T3090">
        <v>0</v>
      </c>
      <c r="U3090" t="s">
        <v>18783</v>
      </c>
      <c r="V3090">
        <f>Tabla1[[#This Row],[Aboard]]-Tabla1[[#This Row],[Fatalities]]</f>
        <v>0</v>
      </c>
      <c r="W3090" s="50">
        <f>IFERROR(Tabla1[[#This Row],[Fatalities]]/Tabla1[[#This Row],[Aboard]],0)</f>
        <v>1</v>
      </c>
      <c r="X3090" s="51" t="str" cm="1">
        <f t="array" ref="X3090">_xlfn.IFS(Tabla1[[#This Row],[Porcentaje de muertes]]&lt;0.35,"LEVE",AND(Tabla1[[#This Row],[Porcentaje de muertes]]&gt;0.35,Tabla1[[#This Row],[Porcentaje de muertes]]&lt;0.65),"MEDIO",Tabla1[[#This Row],[Porcentaje de muertes]]&gt;0.65,"GRAVE")</f>
        <v>GRAVE</v>
      </c>
    </row>
    <row r="3091" spans="2:24" x14ac:dyDescent="0.3">
      <c r="B3091" s="9">
        <v>3090</v>
      </c>
      <c r="C3091" s="49">
        <v>29353</v>
      </c>
      <c r="D3091" s="9">
        <f>YEAR(Tabla1[[#This Row],[Date]])</f>
        <v>1980</v>
      </c>
      <c r="E3091" s="9" t="str" cm="1">
        <f t="array" ref="E3091">IFERROR(_xlfn.IFS(AND(D3091&lt;1980,D3091&gt;=1970),"70",AND(D3091&lt;1990,D3091&gt;=1980),"80",AND(D3091&lt;2000,D3091&gt;=1990),"90",AND(D3091&lt;2010,D3091&gt;=2000),"00",AND(D3091&lt;=2019,D3091&gt;=2010),"10"),"1908-1970")</f>
        <v>80</v>
      </c>
      <c r="F3091" s="3" t="s">
        <v>28931</v>
      </c>
      <c r="G3091" t="s">
        <v>18784</v>
      </c>
      <c r="H3091" t="s">
        <v>18785</v>
      </c>
      <c r="I3091" t="s">
        <v>28931</v>
      </c>
      <c r="J3091" t="s">
        <v>18786</v>
      </c>
      <c r="K3091" t="s">
        <v>18787</v>
      </c>
      <c r="L3091" s="7" t="s">
        <v>18788</v>
      </c>
      <c r="M3091" t="s">
        <v>18789</v>
      </c>
      <c r="N3091">
        <v>10</v>
      </c>
      <c r="O3091">
        <v>9</v>
      </c>
      <c r="P3091">
        <v>1</v>
      </c>
      <c r="Q3091">
        <v>10</v>
      </c>
      <c r="R3091">
        <v>9</v>
      </c>
      <c r="S3091">
        <v>1</v>
      </c>
      <c r="T3091">
        <v>0</v>
      </c>
      <c r="U3091" t="s">
        <v>18790</v>
      </c>
      <c r="V3091">
        <f>Tabla1[[#This Row],[Aboard]]-Tabla1[[#This Row],[Fatalities]]</f>
        <v>0</v>
      </c>
      <c r="W3091" s="50">
        <f>IFERROR(Tabla1[[#This Row],[Fatalities]]/Tabla1[[#This Row],[Aboard]],0)</f>
        <v>1</v>
      </c>
      <c r="X3091" s="51" t="str" cm="1">
        <f t="array" ref="X3091">_xlfn.IFS(Tabla1[[#This Row],[Porcentaje de muertes]]&lt;0.35,"LEVE",AND(Tabla1[[#This Row],[Porcentaje de muertes]]&gt;0.35,Tabla1[[#This Row],[Porcentaje de muertes]]&lt;0.65),"MEDIO",Tabla1[[#This Row],[Porcentaje de muertes]]&gt;0.65,"GRAVE")</f>
        <v>GRAVE</v>
      </c>
    </row>
    <row r="3092" spans="2:24" x14ac:dyDescent="0.3">
      <c r="B3092" s="9">
        <v>3091</v>
      </c>
      <c r="C3092" s="49">
        <v>29576</v>
      </c>
      <c r="D3092" s="9">
        <f>YEAR(Tabla1[[#This Row],[Date]])</f>
        <v>1980</v>
      </c>
      <c r="E3092" s="9" t="str" cm="1">
        <f t="array" ref="E3092">IFERROR(_xlfn.IFS(AND(D3092&lt;1980,D3092&gt;=1970),"70",AND(D3092&lt;1990,D3092&gt;=1980),"80",AND(D3092&lt;2000,D3092&gt;=1990),"90",AND(D3092&lt;2010,D3092&gt;=2000),"00",AND(D3092&lt;=2019,D3092&gt;=2010),"10"),"1908-1970")</f>
        <v>80</v>
      </c>
      <c r="F3092" s="3">
        <v>0.59930555555555554</v>
      </c>
      <c r="G3092" t="s">
        <v>18791</v>
      </c>
      <c r="H3092" t="s">
        <v>18792</v>
      </c>
      <c r="I3092" t="s">
        <v>28931</v>
      </c>
      <c r="J3092" t="s">
        <v>18793</v>
      </c>
      <c r="K3092" t="s">
        <v>18794</v>
      </c>
      <c r="L3092" s="7" t="s">
        <v>18795</v>
      </c>
      <c r="M3092">
        <v>165</v>
      </c>
      <c r="N3092">
        <v>70</v>
      </c>
      <c r="O3092">
        <v>63</v>
      </c>
      <c r="P3092">
        <v>7</v>
      </c>
      <c r="Q3092">
        <v>70</v>
      </c>
      <c r="R3092">
        <v>63</v>
      </c>
      <c r="S3092">
        <v>7</v>
      </c>
      <c r="T3092">
        <v>0</v>
      </c>
      <c r="U3092" t="s">
        <v>18796</v>
      </c>
      <c r="V3092">
        <f>Tabla1[[#This Row],[Aboard]]-Tabla1[[#This Row],[Fatalities]]</f>
        <v>0</v>
      </c>
      <c r="W3092" s="50">
        <f>IFERROR(Tabla1[[#This Row],[Fatalities]]/Tabla1[[#This Row],[Aboard]],0)</f>
        <v>1</v>
      </c>
      <c r="X3092" s="51" t="str" cm="1">
        <f t="array" ref="X3092">_xlfn.IFS(Tabla1[[#This Row],[Porcentaje de muertes]]&lt;0.35,"LEVE",AND(Tabla1[[#This Row],[Porcentaje de muertes]]&gt;0.35,Tabla1[[#This Row],[Porcentaje de muertes]]&lt;0.65),"MEDIO",Tabla1[[#This Row],[Porcentaje de muertes]]&gt;0.65,"GRAVE")</f>
        <v>GRAVE</v>
      </c>
    </row>
    <row r="3093" spans="2:24" x14ac:dyDescent="0.3">
      <c r="B3093" s="9">
        <v>3092</v>
      </c>
      <c r="C3093" s="49">
        <v>29578</v>
      </c>
      <c r="D3093" s="9">
        <f>YEAR(Tabla1[[#This Row],[Date]])</f>
        <v>1980</v>
      </c>
      <c r="E3093" s="9" t="str" cm="1">
        <f t="array" ref="E3093">IFERROR(_xlfn.IFS(AND(D3093&lt;1980,D3093&gt;=1970),"70",AND(D3093&lt;1990,D3093&gt;=1980),"80",AND(D3093&lt;2000,D3093&gt;=1990),"90",AND(D3093&lt;2010,D3093&gt;=2000),"00",AND(D3093&lt;=2019,D3093&gt;=2010),"10"),"1908-1970")</f>
        <v>80</v>
      </c>
      <c r="F3093" s="3">
        <v>0.96666666666666667</v>
      </c>
      <c r="G3093" t="s">
        <v>18797</v>
      </c>
      <c r="H3093" t="s">
        <v>14150</v>
      </c>
      <c r="I3093" t="s">
        <v>28931</v>
      </c>
      <c r="J3093" t="s">
        <v>18798</v>
      </c>
      <c r="K3093" t="s">
        <v>18799</v>
      </c>
      <c r="L3093" s="7" t="s">
        <v>18800</v>
      </c>
      <c r="M3093">
        <v>1161</v>
      </c>
      <c r="N3093">
        <v>291</v>
      </c>
      <c r="O3093">
        <v>271</v>
      </c>
      <c r="P3093">
        <v>20</v>
      </c>
      <c r="Q3093">
        <v>2</v>
      </c>
      <c r="R3093">
        <v>2</v>
      </c>
      <c r="S3093">
        <v>0</v>
      </c>
      <c r="T3093">
        <v>0</v>
      </c>
      <c r="U3093" t="s">
        <v>18801</v>
      </c>
      <c r="V3093">
        <f>Tabla1[[#This Row],[Aboard]]-Tabla1[[#This Row],[Fatalities]]</f>
        <v>289</v>
      </c>
      <c r="W3093" s="50">
        <f>IFERROR(Tabla1[[#This Row],[Fatalities]]/Tabla1[[#This Row],[Aboard]],0)</f>
        <v>6.8728522336769758E-3</v>
      </c>
      <c r="X3093" s="51" t="str" cm="1">
        <f t="array" ref="X3093">_xlfn.IFS(Tabla1[[#This Row],[Porcentaje de muertes]]&lt;0.35,"LEVE",AND(Tabla1[[#This Row],[Porcentaje de muertes]]&gt;0.35,Tabla1[[#This Row],[Porcentaje de muertes]]&lt;0.65),"MEDIO",Tabla1[[#This Row],[Porcentaje de muertes]]&gt;0.65,"GRAVE")</f>
        <v>LEVE</v>
      </c>
    </row>
    <row r="3094" spans="2:24" x14ac:dyDescent="0.3">
      <c r="B3094" s="9">
        <v>3093</v>
      </c>
      <c r="C3094" s="49">
        <v>29600</v>
      </c>
      <c r="D3094" s="9">
        <f>YEAR(Tabla1[[#This Row],[Date]])</f>
        <v>1981</v>
      </c>
      <c r="E3094" s="9" t="str" cm="1">
        <f t="array" ref="E3094">IFERROR(_xlfn.IFS(AND(D3094&lt;1980,D3094&gt;=1970),"70",AND(D3094&lt;1990,D3094&gt;=1980),"80",AND(D3094&lt;2000,D3094&gt;=1990),"90",AND(D3094&lt;2010,D3094&gt;=2000),"00",AND(D3094&lt;=2019,D3094&gt;=2010),"10"),"1908-1970")</f>
        <v>80</v>
      </c>
      <c r="F3094" s="3">
        <v>0.3888888888888889</v>
      </c>
      <c r="G3094" t="s">
        <v>18802</v>
      </c>
      <c r="H3094" t="s">
        <v>7987</v>
      </c>
      <c r="I3094" t="s">
        <v>28931</v>
      </c>
      <c r="J3094" t="s">
        <v>18803</v>
      </c>
      <c r="K3094" t="s">
        <v>18804</v>
      </c>
      <c r="L3094" s="7" t="s">
        <v>18805</v>
      </c>
      <c r="M3094">
        <v>4357</v>
      </c>
      <c r="N3094">
        <v>11</v>
      </c>
      <c r="O3094">
        <v>2</v>
      </c>
      <c r="P3094">
        <v>7</v>
      </c>
      <c r="Q3094">
        <v>11</v>
      </c>
      <c r="R3094">
        <v>2</v>
      </c>
      <c r="S3094">
        <v>7</v>
      </c>
      <c r="T3094">
        <v>0</v>
      </c>
      <c r="U3094" t="s">
        <v>18806</v>
      </c>
      <c r="V3094">
        <f>Tabla1[[#This Row],[Aboard]]-Tabla1[[#This Row],[Fatalities]]</f>
        <v>0</v>
      </c>
      <c r="W3094" s="50">
        <f>IFERROR(Tabla1[[#This Row],[Fatalities]]/Tabla1[[#This Row],[Aboard]],0)</f>
        <v>1</v>
      </c>
      <c r="X3094" s="51" t="str" cm="1">
        <f t="array" ref="X3094">_xlfn.IFS(Tabla1[[#This Row],[Porcentaje de muertes]]&lt;0.35,"LEVE",AND(Tabla1[[#This Row],[Porcentaje de muertes]]&gt;0.35,Tabla1[[#This Row],[Porcentaje de muertes]]&lt;0.65),"MEDIO",Tabla1[[#This Row],[Porcentaje de muertes]]&gt;0.65,"GRAVE")</f>
        <v>GRAVE</v>
      </c>
    </row>
    <row r="3095" spans="2:24" x14ac:dyDescent="0.3">
      <c r="B3095" s="9">
        <v>3094</v>
      </c>
      <c r="C3095" s="49">
        <v>29606</v>
      </c>
      <c r="D3095" s="9">
        <f>YEAR(Tabla1[[#This Row],[Date]])</f>
        <v>1981</v>
      </c>
      <c r="E3095" s="9" t="str" cm="1">
        <f t="array" ref="E3095">IFERROR(_xlfn.IFS(AND(D3095&lt;1980,D3095&gt;=1970),"70",AND(D3095&lt;1990,D3095&gt;=1980),"80",AND(D3095&lt;2000,D3095&gt;=1990),"90",AND(D3095&lt;2010,D3095&gt;=2000),"00",AND(D3095&lt;=2019,D3095&gt;=2010),"10"),"1908-1970")</f>
        <v>80</v>
      </c>
      <c r="F3095" s="3">
        <v>0.4770833333333333</v>
      </c>
      <c r="G3095" t="s">
        <v>18807</v>
      </c>
      <c r="H3095" t="s">
        <v>18808</v>
      </c>
      <c r="I3095">
        <v>201</v>
      </c>
      <c r="J3095" t="s">
        <v>18809</v>
      </c>
      <c r="K3095" t="s">
        <v>17004</v>
      </c>
      <c r="L3095" s="7" t="s">
        <v>18810</v>
      </c>
      <c r="M3095" t="s">
        <v>18811</v>
      </c>
      <c r="N3095">
        <v>9</v>
      </c>
      <c r="O3095">
        <v>7</v>
      </c>
      <c r="P3095">
        <v>2</v>
      </c>
      <c r="Q3095">
        <v>7</v>
      </c>
      <c r="R3095">
        <v>5</v>
      </c>
      <c r="S3095">
        <v>2</v>
      </c>
      <c r="T3095">
        <v>0</v>
      </c>
      <c r="U3095" t="s">
        <v>18812</v>
      </c>
      <c r="V3095">
        <f>Tabla1[[#This Row],[Aboard]]-Tabla1[[#This Row],[Fatalities]]</f>
        <v>2</v>
      </c>
      <c r="W3095" s="50">
        <f>IFERROR(Tabla1[[#This Row],[Fatalities]]/Tabla1[[#This Row],[Aboard]],0)</f>
        <v>0.77777777777777779</v>
      </c>
      <c r="X3095" s="51" t="str" cm="1">
        <f t="array" ref="X3095">_xlfn.IFS(Tabla1[[#This Row],[Porcentaje de muertes]]&lt;0.35,"LEVE",AND(Tabla1[[#This Row],[Porcentaje de muertes]]&gt;0.35,Tabla1[[#This Row],[Porcentaje de muertes]]&lt;0.65),"MEDIO",Tabla1[[#This Row],[Porcentaje de muertes]]&gt;0.65,"GRAVE")</f>
        <v>GRAVE</v>
      </c>
    </row>
    <row r="3096" spans="2:24" x14ac:dyDescent="0.3">
      <c r="B3096" s="9">
        <v>3095</v>
      </c>
      <c r="C3096" s="49">
        <v>29769</v>
      </c>
      <c r="D3096" s="9">
        <f>YEAR(Tabla1[[#This Row],[Date]])</f>
        <v>1981</v>
      </c>
      <c r="E3096" s="9" t="str" cm="1">
        <f t="array" ref="E3096">IFERROR(_xlfn.IFS(AND(D3096&lt;1980,D3096&gt;=1970),"70",AND(D3096&lt;1990,D3096&gt;=1980),"80",AND(D3096&lt;2000,D3096&gt;=1990),"90",AND(D3096&lt;2010,D3096&gt;=2000),"00",AND(D3096&lt;=2019,D3096&gt;=2010),"10"),"1908-1970")</f>
        <v>80</v>
      </c>
      <c r="F3096" s="3">
        <v>0.75</v>
      </c>
      <c r="G3096" t="s">
        <v>16746</v>
      </c>
      <c r="H3096" t="s">
        <v>18813</v>
      </c>
      <c r="I3096" t="s">
        <v>28931</v>
      </c>
      <c r="J3096" t="s">
        <v>18814</v>
      </c>
      <c r="K3096" t="s">
        <v>12500</v>
      </c>
      <c r="L3096" s="7" t="s">
        <v>18815</v>
      </c>
      <c r="M3096">
        <v>7660402</v>
      </c>
      <c r="N3096">
        <v>52</v>
      </c>
      <c r="O3096">
        <v>46</v>
      </c>
      <c r="P3096">
        <v>6</v>
      </c>
      <c r="Q3096">
        <v>52</v>
      </c>
      <c r="R3096">
        <v>46</v>
      </c>
      <c r="S3096">
        <v>6</v>
      </c>
      <c r="T3096">
        <v>0</v>
      </c>
      <c r="U3096" t="s">
        <v>18816</v>
      </c>
      <c r="V3096">
        <f>Tabla1[[#This Row],[Aboard]]-Tabla1[[#This Row],[Fatalities]]</f>
        <v>0</v>
      </c>
      <c r="W3096" s="50">
        <f>IFERROR(Tabla1[[#This Row],[Fatalities]]/Tabla1[[#This Row],[Aboard]],0)</f>
        <v>1</v>
      </c>
      <c r="X3096" s="51" t="str" cm="1">
        <f t="array" ref="X3096">_xlfn.IFS(Tabla1[[#This Row],[Porcentaje de muertes]]&lt;0.35,"LEVE",AND(Tabla1[[#This Row],[Porcentaje de muertes]]&gt;0.35,Tabla1[[#This Row],[Porcentaje de muertes]]&lt;0.65),"MEDIO",Tabla1[[#This Row],[Porcentaje de muertes]]&gt;0.65,"GRAVE")</f>
        <v>GRAVE</v>
      </c>
    </row>
    <row r="3097" spans="2:24" x14ac:dyDescent="0.3">
      <c r="B3097" s="9">
        <v>3096</v>
      </c>
      <c r="C3097" s="49">
        <v>29892</v>
      </c>
      <c r="D3097" s="9">
        <f>YEAR(Tabla1[[#This Row],[Date]])</f>
        <v>1981</v>
      </c>
      <c r="E3097" s="9" t="str" cm="1">
        <f t="array" ref="E3097">IFERROR(_xlfn.IFS(AND(D3097&lt;1980,D3097&gt;=1970),"70",AND(D3097&lt;1990,D3097&gt;=1980),"80",AND(D3097&lt;2000,D3097&gt;=1990),"90",AND(D3097&lt;2010,D3097&gt;=2000),"00",AND(D3097&lt;=2019,D3097&gt;=2010),"10"),"1908-1970")</f>
        <v>80</v>
      </c>
      <c r="F3097" s="3">
        <v>0.77777777777777779</v>
      </c>
      <c r="G3097" t="s">
        <v>18817</v>
      </c>
      <c r="H3097" t="s">
        <v>18818</v>
      </c>
      <c r="I3097" t="s">
        <v>28931</v>
      </c>
      <c r="J3097" t="s">
        <v>18819</v>
      </c>
      <c r="K3097" t="s">
        <v>18820</v>
      </c>
      <c r="L3097" s="7" t="s">
        <v>18821</v>
      </c>
      <c r="M3097" t="s">
        <v>28931</v>
      </c>
      <c r="N3097">
        <v>8</v>
      </c>
      <c r="O3097">
        <v>6</v>
      </c>
      <c r="P3097">
        <v>2</v>
      </c>
      <c r="Q3097">
        <v>8</v>
      </c>
      <c r="R3097">
        <v>6</v>
      </c>
      <c r="S3097">
        <v>2</v>
      </c>
      <c r="T3097">
        <v>0</v>
      </c>
      <c r="U3097" t="s">
        <v>18822</v>
      </c>
      <c r="V3097">
        <f>Tabla1[[#This Row],[Aboard]]-Tabla1[[#This Row],[Fatalities]]</f>
        <v>0</v>
      </c>
      <c r="W3097" s="50">
        <f>IFERROR(Tabla1[[#This Row],[Fatalities]]/Tabla1[[#This Row],[Aboard]],0)</f>
        <v>1</v>
      </c>
      <c r="X3097" s="51" t="str" cm="1">
        <f t="array" ref="X3097">_xlfn.IFS(Tabla1[[#This Row],[Porcentaje de muertes]]&lt;0.35,"LEVE",AND(Tabla1[[#This Row],[Porcentaje de muertes]]&gt;0.35,Tabla1[[#This Row],[Porcentaje de muertes]]&lt;0.65),"MEDIO",Tabla1[[#This Row],[Porcentaje de muertes]]&gt;0.65,"GRAVE")</f>
        <v>GRAVE</v>
      </c>
    </row>
    <row r="3098" spans="2:24" x14ac:dyDescent="0.3">
      <c r="B3098" s="9">
        <v>3097</v>
      </c>
      <c r="C3098" s="49">
        <v>29639</v>
      </c>
      <c r="D3098" s="9">
        <f>YEAR(Tabla1[[#This Row],[Date]])</f>
        <v>1981</v>
      </c>
      <c r="E3098" s="9" t="str" cm="1">
        <f t="array" ref="E3098">IFERROR(_xlfn.IFS(AND(D3098&lt;1980,D3098&gt;=1970),"70",AND(D3098&lt;1990,D3098&gt;=1980),"80",AND(D3098&lt;2000,D3098&gt;=1990),"90",AND(D3098&lt;2010,D3098&gt;=2000),"00",AND(D3098&lt;=2019,D3098&gt;=2010),"10"),"1908-1970")</f>
        <v>80</v>
      </c>
      <c r="F3098" s="3">
        <v>0.47222222222222227</v>
      </c>
      <c r="G3098" t="s">
        <v>18823</v>
      </c>
      <c r="H3098" t="s">
        <v>18824</v>
      </c>
      <c r="I3098" t="s">
        <v>28931</v>
      </c>
      <c r="J3098" t="s">
        <v>18825</v>
      </c>
      <c r="K3098" t="s">
        <v>18624</v>
      </c>
      <c r="L3098" s="7" t="s">
        <v>18826</v>
      </c>
      <c r="M3098">
        <v>62012</v>
      </c>
      <c r="N3098">
        <v>8</v>
      </c>
      <c r="O3098">
        <v>7</v>
      </c>
      <c r="P3098">
        <v>1</v>
      </c>
      <c r="Q3098">
        <v>2</v>
      </c>
      <c r="R3098">
        <v>2</v>
      </c>
      <c r="S3098">
        <v>0</v>
      </c>
      <c r="T3098">
        <v>0</v>
      </c>
      <c r="U3098" t="s">
        <v>18827</v>
      </c>
      <c r="V3098">
        <f>Tabla1[[#This Row],[Aboard]]-Tabla1[[#This Row],[Fatalities]]</f>
        <v>6</v>
      </c>
      <c r="W3098" s="50">
        <f>IFERROR(Tabla1[[#This Row],[Fatalities]]/Tabla1[[#This Row],[Aboard]],0)</f>
        <v>0.25</v>
      </c>
      <c r="X3098" s="51" t="str" cm="1">
        <f t="array" ref="X3098">_xlfn.IFS(Tabla1[[#This Row],[Porcentaje de muertes]]&lt;0.35,"LEVE",AND(Tabla1[[#This Row],[Porcentaje de muertes]]&gt;0.35,Tabla1[[#This Row],[Porcentaje de muertes]]&lt;0.65),"MEDIO",Tabla1[[#This Row],[Porcentaje de muertes]]&gt;0.65,"GRAVE")</f>
        <v>LEVE</v>
      </c>
    </row>
    <row r="3099" spans="2:24" x14ac:dyDescent="0.3">
      <c r="B3099" s="9">
        <v>3098</v>
      </c>
      <c r="C3099" s="49">
        <v>29641</v>
      </c>
      <c r="D3099" s="9">
        <f>YEAR(Tabla1[[#This Row],[Date]])</f>
        <v>1981</v>
      </c>
      <c r="E3099" s="9" t="str" cm="1">
        <f t="array" ref="E3099">IFERROR(_xlfn.IFS(AND(D3099&lt;1980,D3099&gt;=1970),"70",AND(D3099&lt;1990,D3099&gt;=1980),"80",AND(D3099&lt;2000,D3099&gt;=1990),"90",AND(D3099&lt;2010,D3099&gt;=2000),"00",AND(D3099&lt;=2019,D3099&gt;=2010),"10"),"1908-1970")</f>
        <v>80</v>
      </c>
      <c r="F3099" s="3" t="s">
        <v>28931</v>
      </c>
      <c r="G3099" t="s">
        <v>9534</v>
      </c>
      <c r="H3099" t="s">
        <v>18654</v>
      </c>
      <c r="I3099" t="s">
        <v>28931</v>
      </c>
      <c r="J3099" t="s">
        <v>18828</v>
      </c>
      <c r="K3099" t="s">
        <v>18081</v>
      </c>
      <c r="L3099" s="7" t="s">
        <v>18829</v>
      </c>
      <c r="M3099" t="s">
        <v>18830</v>
      </c>
      <c r="N3099">
        <v>14</v>
      </c>
      <c r="O3099">
        <v>12</v>
      </c>
      <c r="P3099">
        <v>2</v>
      </c>
      <c r="Q3099">
        <v>11</v>
      </c>
      <c r="R3099">
        <v>9</v>
      </c>
      <c r="S3099">
        <v>2</v>
      </c>
      <c r="T3099">
        <v>0</v>
      </c>
      <c r="U3099" t="s">
        <v>18831</v>
      </c>
      <c r="V3099">
        <f>Tabla1[[#This Row],[Aboard]]-Tabla1[[#This Row],[Fatalities]]</f>
        <v>3</v>
      </c>
      <c r="W3099" s="50">
        <f>IFERROR(Tabla1[[#This Row],[Fatalities]]/Tabla1[[#This Row],[Aboard]],0)</f>
        <v>0.7857142857142857</v>
      </c>
      <c r="X3099" s="51" t="str" cm="1">
        <f t="array" ref="X3099">_xlfn.IFS(Tabla1[[#This Row],[Porcentaje de muertes]]&lt;0.35,"LEVE",AND(Tabla1[[#This Row],[Porcentaje de muertes]]&gt;0.35,Tabla1[[#This Row],[Porcentaje de muertes]]&lt;0.65),"MEDIO",Tabla1[[#This Row],[Porcentaje de muertes]]&gt;0.65,"GRAVE")</f>
        <v>GRAVE</v>
      </c>
    </row>
    <row r="3100" spans="2:24" x14ac:dyDescent="0.3">
      <c r="B3100" s="9">
        <v>3099</v>
      </c>
      <c r="C3100" s="49">
        <v>29643</v>
      </c>
      <c r="D3100" s="9">
        <f>YEAR(Tabla1[[#This Row],[Date]])</f>
        <v>1981</v>
      </c>
      <c r="E3100" s="9" t="str" cm="1">
        <f t="array" ref="E3100">IFERROR(_xlfn.IFS(AND(D3100&lt;1980,D3100&gt;=1970),"70",AND(D3100&lt;1990,D3100&gt;=1980),"80",AND(D3100&lt;2000,D3100&gt;=1990),"90",AND(D3100&lt;2010,D3100&gt;=2000),"00",AND(D3100&lt;=2019,D3100&gt;=2010),"10"),"1908-1970")</f>
        <v>80</v>
      </c>
      <c r="F3100" s="3">
        <v>0.22569444444444445</v>
      </c>
      <c r="G3100" t="s">
        <v>18832</v>
      </c>
      <c r="H3100" t="s">
        <v>7987</v>
      </c>
      <c r="I3100" t="s">
        <v>28931</v>
      </c>
      <c r="J3100" t="s">
        <v>6190</v>
      </c>
      <c r="K3100" t="s">
        <v>18833</v>
      </c>
      <c r="L3100" s="7" t="s">
        <v>18834</v>
      </c>
      <c r="M3100">
        <v>4074</v>
      </c>
      <c r="N3100">
        <v>24</v>
      </c>
      <c r="O3100">
        <v>15</v>
      </c>
      <c r="P3100">
        <v>9</v>
      </c>
      <c r="Q3100">
        <v>23</v>
      </c>
      <c r="R3100">
        <v>15</v>
      </c>
      <c r="S3100">
        <v>8</v>
      </c>
      <c r="T3100">
        <v>0</v>
      </c>
      <c r="U3100" t="s">
        <v>18835</v>
      </c>
      <c r="V3100">
        <f>Tabla1[[#This Row],[Aboard]]-Tabla1[[#This Row],[Fatalities]]</f>
        <v>1</v>
      </c>
      <c r="W3100" s="50">
        <f>IFERROR(Tabla1[[#This Row],[Fatalities]]/Tabla1[[#This Row],[Aboard]],0)</f>
        <v>0.95833333333333337</v>
      </c>
      <c r="X3100" s="51" t="str" cm="1">
        <f t="array" ref="X3100">_xlfn.IFS(Tabla1[[#This Row],[Porcentaje de muertes]]&lt;0.35,"LEVE",AND(Tabla1[[#This Row],[Porcentaje de muertes]]&gt;0.35,Tabla1[[#This Row],[Porcentaje de muertes]]&lt;0.65),"MEDIO",Tabla1[[#This Row],[Porcentaje de muertes]]&gt;0.65,"GRAVE")</f>
        <v>GRAVE</v>
      </c>
    </row>
    <row r="3101" spans="2:24" x14ac:dyDescent="0.3">
      <c r="B3101" s="9">
        <v>3100</v>
      </c>
      <c r="C3101" s="49">
        <v>29862</v>
      </c>
      <c r="D3101" s="9">
        <f>YEAR(Tabla1[[#This Row],[Date]])</f>
        <v>1981</v>
      </c>
      <c r="E3101" s="9" t="str" cm="1">
        <f t="array" ref="E3101">IFERROR(_xlfn.IFS(AND(D3101&lt;1980,D3101&gt;=1970),"70",AND(D3101&lt;1990,D3101&gt;=1980),"80",AND(D3101&lt;2000,D3101&gt;=1990),"90",AND(D3101&lt;2010,D3101&gt;=2000),"00",AND(D3101&lt;=2019,D3101&gt;=2010),"10"),"1908-1970")</f>
        <v>80</v>
      </c>
      <c r="F3101" s="3">
        <v>0.20833333333333334</v>
      </c>
      <c r="G3101" t="s">
        <v>15126</v>
      </c>
      <c r="H3101" t="s">
        <v>13039</v>
      </c>
      <c r="I3101" t="s">
        <v>28931</v>
      </c>
      <c r="J3101" t="s">
        <v>18836</v>
      </c>
      <c r="K3101" t="s">
        <v>18837</v>
      </c>
      <c r="L3101" s="7">
        <v>29</v>
      </c>
      <c r="M3101">
        <v>29</v>
      </c>
      <c r="N3101">
        <v>18</v>
      </c>
      <c r="O3101">
        <v>14</v>
      </c>
      <c r="P3101">
        <v>4</v>
      </c>
      <c r="Q3101">
        <v>18</v>
      </c>
      <c r="R3101">
        <v>14</v>
      </c>
      <c r="S3101">
        <v>4</v>
      </c>
      <c r="T3101">
        <v>0</v>
      </c>
      <c r="U3101" t="s">
        <v>18838</v>
      </c>
      <c r="V3101">
        <f>Tabla1[[#This Row],[Aboard]]-Tabla1[[#This Row],[Fatalities]]</f>
        <v>0</v>
      </c>
      <c r="W3101" s="50">
        <f>IFERROR(Tabla1[[#This Row],[Fatalities]]/Tabla1[[#This Row],[Aboard]],0)</f>
        <v>1</v>
      </c>
      <c r="X3101" s="51" t="str" cm="1">
        <f t="array" ref="X3101">_xlfn.IFS(Tabla1[[#This Row],[Porcentaje de muertes]]&lt;0.35,"LEVE",AND(Tabla1[[#This Row],[Porcentaje de muertes]]&gt;0.35,Tabla1[[#This Row],[Porcentaje de muertes]]&lt;0.65),"MEDIO",Tabla1[[#This Row],[Porcentaje de muertes]]&gt;0.65,"GRAVE")</f>
        <v>GRAVE</v>
      </c>
    </row>
    <row r="3102" spans="2:24" x14ac:dyDescent="0.3">
      <c r="B3102" s="9">
        <v>3101</v>
      </c>
      <c r="C3102" s="49">
        <v>29660</v>
      </c>
      <c r="D3102" s="9">
        <f>YEAR(Tabla1[[#This Row],[Date]])</f>
        <v>1981</v>
      </c>
      <c r="E3102" s="9" t="str" cm="1">
        <f t="array" ref="E3102">IFERROR(_xlfn.IFS(AND(D3102&lt;1980,D3102&gt;=1970),"70",AND(D3102&lt;1990,D3102&gt;=1980),"80",AND(D3102&lt;2000,D3102&gt;=1990),"90",AND(D3102&lt;2010,D3102&gt;=2000),"00",AND(D3102&lt;=2019,D3102&gt;=2010),"10"),"1908-1970")</f>
        <v>80</v>
      </c>
      <c r="F3102" s="3">
        <v>1.0034722222222221</v>
      </c>
      <c r="G3102" t="s">
        <v>18839</v>
      </c>
      <c r="H3102" t="s">
        <v>7987</v>
      </c>
      <c r="I3102" t="s">
        <v>28931</v>
      </c>
      <c r="J3102" t="s">
        <v>18840</v>
      </c>
      <c r="K3102" t="s">
        <v>18841</v>
      </c>
      <c r="L3102" s="7" t="s">
        <v>18842</v>
      </c>
      <c r="M3102">
        <v>18340</v>
      </c>
      <c r="N3102">
        <v>24</v>
      </c>
      <c r="O3102" t="s">
        <v>5038</v>
      </c>
      <c r="P3102" t="s">
        <v>5038</v>
      </c>
      <c r="Q3102">
        <v>6</v>
      </c>
      <c r="R3102" t="s">
        <v>5038</v>
      </c>
      <c r="S3102" t="s">
        <v>5038</v>
      </c>
      <c r="T3102">
        <v>0</v>
      </c>
      <c r="U3102" t="s">
        <v>18843</v>
      </c>
      <c r="V3102">
        <f>Tabla1[[#This Row],[Aboard]]-Tabla1[[#This Row],[Fatalities]]</f>
        <v>18</v>
      </c>
      <c r="W3102" s="50">
        <f>IFERROR(Tabla1[[#This Row],[Fatalities]]/Tabla1[[#This Row],[Aboard]],0)</f>
        <v>0.25</v>
      </c>
      <c r="X3102" s="51" t="str" cm="1">
        <f t="array" ref="X3102">_xlfn.IFS(Tabla1[[#This Row],[Porcentaje de muertes]]&lt;0.35,"LEVE",AND(Tabla1[[#This Row],[Porcentaje de muertes]]&gt;0.35,Tabla1[[#This Row],[Porcentaje de muertes]]&lt;0.65),"MEDIO",Tabla1[[#This Row],[Porcentaje de muertes]]&gt;0.65,"GRAVE")</f>
        <v>LEVE</v>
      </c>
    </row>
    <row r="3103" spans="2:24" x14ac:dyDescent="0.3">
      <c r="B3103" s="9">
        <v>3102</v>
      </c>
      <c r="C3103" s="49">
        <v>29671</v>
      </c>
      <c r="D3103" s="9">
        <f>YEAR(Tabla1[[#This Row],[Date]])</f>
        <v>1981</v>
      </c>
      <c r="E3103" s="9" t="str" cm="1">
        <f t="array" ref="E3103">IFERROR(_xlfn.IFS(AND(D3103&lt;1980,D3103&gt;=1970),"70",AND(D3103&lt;1990,D3103&gt;=1980),"80",AND(D3103&lt;2000,D3103&gt;=1990),"90",AND(D3103&lt;2010,D3103&gt;=2000),"00",AND(D3103&lt;=2019,D3103&gt;=2010),"10"),"1908-1970")</f>
        <v>80</v>
      </c>
      <c r="F3103" s="3" t="s">
        <v>28931</v>
      </c>
      <c r="G3103" t="s">
        <v>18844</v>
      </c>
      <c r="H3103" t="s">
        <v>7237</v>
      </c>
      <c r="I3103" t="s">
        <v>28931</v>
      </c>
      <c r="J3103" t="s">
        <v>18845</v>
      </c>
      <c r="K3103" t="s">
        <v>14666</v>
      </c>
      <c r="L3103" s="7" t="s">
        <v>18846</v>
      </c>
      <c r="M3103">
        <v>7306007</v>
      </c>
      <c r="N3103">
        <v>52</v>
      </c>
      <c r="O3103">
        <v>47</v>
      </c>
      <c r="P3103">
        <v>5</v>
      </c>
      <c r="Q3103">
        <v>1</v>
      </c>
      <c r="R3103">
        <v>1</v>
      </c>
      <c r="S3103">
        <v>0</v>
      </c>
      <c r="T3103">
        <v>0</v>
      </c>
      <c r="U3103" t="s">
        <v>18847</v>
      </c>
      <c r="V3103">
        <f>Tabla1[[#This Row],[Aboard]]-Tabla1[[#This Row],[Fatalities]]</f>
        <v>51</v>
      </c>
      <c r="W3103" s="50">
        <f>IFERROR(Tabla1[[#This Row],[Fatalities]]/Tabla1[[#This Row],[Aboard]],0)</f>
        <v>1.9230769230769232E-2</v>
      </c>
      <c r="X3103" s="51" t="str" cm="1">
        <f t="array" ref="X3103">_xlfn.IFS(Tabla1[[#This Row],[Porcentaje de muertes]]&lt;0.35,"LEVE",AND(Tabla1[[#This Row],[Porcentaje de muertes]]&gt;0.35,Tabla1[[#This Row],[Porcentaje de muertes]]&lt;0.65),"MEDIO",Tabla1[[#This Row],[Porcentaje de muertes]]&gt;0.65,"GRAVE")</f>
        <v>LEVE</v>
      </c>
    </row>
    <row r="3104" spans="2:24" x14ac:dyDescent="0.3">
      <c r="B3104" s="9">
        <v>3103</v>
      </c>
      <c r="C3104" s="49">
        <v>29741</v>
      </c>
      <c r="D3104" s="9">
        <f>YEAR(Tabla1[[#This Row],[Date]])</f>
        <v>1981</v>
      </c>
      <c r="E3104" s="9" t="str" cm="1">
        <f t="array" ref="E3104">IFERROR(_xlfn.IFS(AND(D3104&lt;1980,D3104&gt;=1970),"70",AND(D3104&lt;1990,D3104&gt;=1980),"80",AND(D3104&lt;2000,D3104&gt;=1990),"90",AND(D3104&lt;2010,D3104&gt;=2000),"00",AND(D3104&lt;=2019,D3104&gt;=2010),"10"),"1908-1970")</f>
        <v>80</v>
      </c>
      <c r="F3104" s="3" t="s">
        <v>28931</v>
      </c>
      <c r="G3104" t="s">
        <v>18848</v>
      </c>
      <c r="H3104" t="s">
        <v>18849</v>
      </c>
      <c r="I3104" t="s">
        <v>28931</v>
      </c>
      <c r="J3104" t="s">
        <v>28931</v>
      </c>
      <c r="K3104" t="s">
        <v>8105</v>
      </c>
      <c r="L3104" s="7" t="s">
        <v>18850</v>
      </c>
      <c r="M3104">
        <v>19395</v>
      </c>
      <c r="N3104">
        <v>7</v>
      </c>
      <c r="O3104">
        <v>4</v>
      </c>
      <c r="P3104">
        <v>3</v>
      </c>
      <c r="Q3104">
        <v>7</v>
      </c>
      <c r="R3104">
        <v>4</v>
      </c>
      <c r="S3104">
        <v>3</v>
      </c>
      <c r="T3104">
        <v>0</v>
      </c>
      <c r="U3104" t="s">
        <v>18851</v>
      </c>
      <c r="V3104">
        <f>Tabla1[[#This Row],[Aboard]]-Tabla1[[#This Row],[Fatalities]]</f>
        <v>0</v>
      </c>
      <c r="W3104" s="50">
        <f>IFERROR(Tabla1[[#This Row],[Fatalities]]/Tabla1[[#This Row],[Aboard]],0)</f>
        <v>1</v>
      </c>
      <c r="X3104" s="51" t="str" cm="1">
        <f t="array" ref="X3104">_xlfn.IFS(Tabla1[[#This Row],[Porcentaje de muertes]]&lt;0.35,"LEVE",AND(Tabla1[[#This Row],[Porcentaje de muertes]]&gt;0.35,Tabla1[[#This Row],[Porcentaje de muertes]]&lt;0.65),"MEDIO",Tabla1[[#This Row],[Porcentaje de muertes]]&gt;0.65,"GRAVE")</f>
        <v>GRAVE</v>
      </c>
    </row>
    <row r="3105" spans="2:24" x14ac:dyDescent="0.3">
      <c r="B3105" s="9">
        <v>3104</v>
      </c>
      <c r="C3105" s="49">
        <v>29771</v>
      </c>
      <c r="D3105" s="9">
        <f>YEAR(Tabla1[[#This Row],[Date]])</f>
        <v>1981</v>
      </c>
      <c r="E3105" s="9" t="str" cm="1">
        <f t="array" ref="E3105">IFERROR(_xlfn.IFS(AND(D3105&lt;1980,D3105&gt;=1970),"70",AND(D3105&lt;1990,D3105&gt;=1980),"80",AND(D3105&lt;2000,D3105&gt;=1990),"90",AND(D3105&lt;2010,D3105&gt;=2000),"00",AND(D3105&lt;=2019,D3105&gt;=2010),"10"),"1908-1970")</f>
        <v>80</v>
      </c>
      <c r="F3105" s="3">
        <v>0.48333333333333334</v>
      </c>
      <c r="G3105" t="s">
        <v>6094</v>
      </c>
      <c r="H3105" t="s">
        <v>18852</v>
      </c>
      <c r="I3105" t="s">
        <v>28931</v>
      </c>
      <c r="J3105" t="s">
        <v>18853</v>
      </c>
      <c r="K3105" t="s">
        <v>14530</v>
      </c>
      <c r="L3105" s="7" t="s">
        <v>18854</v>
      </c>
      <c r="M3105" t="s">
        <v>18855</v>
      </c>
      <c r="N3105">
        <v>2</v>
      </c>
      <c r="O3105">
        <v>0</v>
      </c>
      <c r="P3105">
        <v>2</v>
      </c>
      <c r="Q3105">
        <v>1</v>
      </c>
      <c r="R3105">
        <v>0</v>
      </c>
      <c r="S3105">
        <v>1</v>
      </c>
      <c r="T3105">
        <v>0</v>
      </c>
      <c r="U3105" t="s">
        <v>18856</v>
      </c>
      <c r="V3105">
        <f>Tabla1[[#This Row],[Aboard]]-Tabla1[[#This Row],[Fatalities]]</f>
        <v>1</v>
      </c>
      <c r="W3105" s="50">
        <f>IFERROR(Tabla1[[#This Row],[Fatalities]]/Tabla1[[#This Row],[Aboard]],0)</f>
        <v>0.5</v>
      </c>
      <c r="X3105" s="51" t="str" cm="1">
        <f t="array" ref="X3105">_xlfn.IFS(Tabla1[[#This Row],[Porcentaje de muertes]]&lt;0.35,"LEVE",AND(Tabla1[[#This Row],[Porcentaje de muertes]]&gt;0.35,Tabla1[[#This Row],[Porcentaje de muertes]]&lt;0.65),"MEDIO",Tabla1[[#This Row],[Porcentaje de muertes]]&gt;0.65,"GRAVE")</f>
        <v>MEDIO</v>
      </c>
    </row>
    <row r="3106" spans="2:24" x14ac:dyDescent="0.3">
      <c r="B3106" s="9">
        <v>3105</v>
      </c>
      <c r="C3106" s="49">
        <v>29693</v>
      </c>
      <c r="D3106" s="9">
        <f>YEAR(Tabla1[[#This Row],[Date]])</f>
        <v>1981</v>
      </c>
      <c r="E3106" s="9" t="str" cm="1">
        <f t="array" ref="E3106">IFERROR(_xlfn.IFS(AND(D3106&lt;1980,D3106&gt;=1970),"70",AND(D3106&lt;1990,D3106&gt;=1980),"80",AND(D3106&lt;2000,D3106&gt;=1990),"90",AND(D3106&lt;2010,D3106&gt;=2000),"00",AND(D3106&lt;=2019,D3106&gt;=2010),"10"),"1908-1970")</f>
        <v>80</v>
      </c>
      <c r="F3106" s="3">
        <v>0.66736111111111107</v>
      </c>
      <c r="G3106" t="s">
        <v>18857</v>
      </c>
      <c r="H3106" t="s">
        <v>18858</v>
      </c>
      <c r="I3106" t="s">
        <v>18859</v>
      </c>
      <c r="J3106" t="s">
        <v>18860</v>
      </c>
      <c r="K3106" t="s">
        <v>18861</v>
      </c>
      <c r="L3106" s="7" t="s">
        <v>18862</v>
      </c>
      <c r="M3106">
        <v>238</v>
      </c>
      <c r="N3106">
        <v>19</v>
      </c>
      <c r="O3106">
        <v>15</v>
      </c>
      <c r="P3106">
        <v>4</v>
      </c>
      <c r="Q3106">
        <v>15</v>
      </c>
      <c r="R3106">
        <v>12</v>
      </c>
      <c r="S3106">
        <v>3</v>
      </c>
      <c r="T3106">
        <v>0</v>
      </c>
      <c r="U3106" t="s">
        <v>18863</v>
      </c>
      <c r="V3106">
        <f>Tabla1[[#This Row],[Aboard]]-Tabla1[[#This Row],[Fatalities]]</f>
        <v>4</v>
      </c>
      <c r="W3106" s="50">
        <f>IFERROR(Tabla1[[#This Row],[Fatalities]]/Tabla1[[#This Row],[Aboard]],0)</f>
        <v>0.78947368421052633</v>
      </c>
      <c r="X3106" s="51" t="str" cm="1">
        <f t="array" ref="X3106">_xlfn.IFS(Tabla1[[#This Row],[Porcentaje de muertes]]&lt;0.35,"LEVE",AND(Tabla1[[#This Row],[Porcentaje de muertes]]&gt;0.35,Tabla1[[#This Row],[Porcentaje de muertes]]&lt;0.65),"MEDIO",Tabla1[[#This Row],[Porcentaje de muertes]]&gt;0.65,"GRAVE")</f>
        <v>GRAVE</v>
      </c>
    </row>
    <row r="3107" spans="2:24" x14ac:dyDescent="0.3">
      <c r="B3107" s="9">
        <v>3106</v>
      </c>
      <c r="C3107" s="49">
        <v>29704</v>
      </c>
      <c r="D3107" s="9">
        <f>YEAR(Tabla1[[#This Row],[Date]])</f>
        <v>1981</v>
      </c>
      <c r="E3107" s="9" t="str" cm="1">
        <f t="array" ref="E3107">IFERROR(_xlfn.IFS(AND(D3107&lt;1980,D3107&gt;=1970),"70",AND(D3107&lt;1990,D3107&gt;=1980),"80",AND(D3107&lt;2000,D3107&gt;=1990),"90",AND(D3107&lt;2010,D3107&gt;=2000),"00",AND(D3107&lt;=2019,D3107&gt;=2010),"10"),"1908-1970")</f>
        <v>80</v>
      </c>
      <c r="F3107" s="3">
        <v>0.32291666666666669</v>
      </c>
      <c r="G3107" t="s">
        <v>18864</v>
      </c>
      <c r="H3107" t="s">
        <v>18865</v>
      </c>
      <c r="I3107" t="s">
        <v>28931</v>
      </c>
      <c r="J3107" t="s">
        <v>18866</v>
      </c>
      <c r="K3107" t="s">
        <v>18867</v>
      </c>
      <c r="L3107" s="7" t="s">
        <v>18868</v>
      </c>
      <c r="M3107">
        <v>12209</v>
      </c>
      <c r="N3107">
        <v>17</v>
      </c>
      <c r="O3107">
        <v>13</v>
      </c>
      <c r="P3107">
        <v>4</v>
      </c>
      <c r="Q3107">
        <v>15</v>
      </c>
      <c r="R3107">
        <v>11</v>
      </c>
      <c r="S3107">
        <v>4</v>
      </c>
      <c r="T3107">
        <v>0</v>
      </c>
      <c r="U3107" t="s">
        <v>18869</v>
      </c>
      <c r="V3107">
        <f>Tabla1[[#This Row],[Aboard]]-Tabla1[[#This Row],[Fatalities]]</f>
        <v>2</v>
      </c>
      <c r="W3107" s="50">
        <f>IFERROR(Tabla1[[#This Row],[Fatalities]]/Tabla1[[#This Row],[Aboard]],0)</f>
        <v>0.88235294117647056</v>
      </c>
      <c r="X3107" s="51" t="str" cm="1">
        <f t="array" ref="X3107">_xlfn.IFS(Tabla1[[#This Row],[Porcentaje de muertes]]&lt;0.35,"LEVE",AND(Tabla1[[#This Row],[Porcentaje de muertes]]&gt;0.35,Tabla1[[#This Row],[Porcentaje de muertes]]&lt;0.65),"MEDIO",Tabla1[[#This Row],[Porcentaje de muertes]]&gt;0.65,"GRAVE")</f>
        <v>GRAVE</v>
      </c>
    </row>
    <row r="3108" spans="2:24" x14ac:dyDescent="0.3">
      <c r="B3108" s="9">
        <v>3107</v>
      </c>
      <c r="C3108" s="49">
        <v>29704</v>
      </c>
      <c r="D3108" s="9">
        <f>YEAR(Tabla1[[#This Row],[Date]])</f>
        <v>1981</v>
      </c>
      <c r="E3108" s="9" t="str" cm="1">
        <f t="array" ref="E3108">IFERROR(_xlfn.IFS(AND(D3108&lt;1980,D3108&gt;=1970),"70",AND(D3108&lt;1990,D3108&gt;=1980),"80",AND(D3108&lt;2000,D3108&gt;=1990),"90",AND(D3108&lt;2010,D3108&gt;=2000),"00",AND(D3108&lt;=2019,D3108&gt;=2010),"10"),"1908-1970")</f>
        <v>80</v>
      </c>
      <c r="F3108" s="3">
        <v>0.52152777777777781</v>
      </c>
      <c r="G3108" t="s">
        <v>18870</v>
      </c>
      <c r="H3108" t="s">
        <v>6541</v>
      </c>
      <c r="I3108" t="s">
        <v>28931</v>
      </c>
      <c r="J3108" t="s">
        <v>18871</v>
      </c>
      <c r="K3108" t="s">
        <v>18520</v>
      </c>
      <c r="L3108" s="7" t="s">
        <v>18872</v>
      </c>
      <c r="M3108" t="s">
        <v>18873</v>
      </c>
      <c r="N3108">
        <v>12</v>
      </c>
      <c r="O3108">
        <v>10</v>
      </c>
      <c r="P3108">
        <v>2</v>
      </c>
      <c r="Q3108">
        <v>12</v>
      </c>
      <c r="R3108">
        <v>10</v>
      </c>
      <c r="S3108">
        <v>2</v>
      </c>
      <c r="T3108">
        <v>0</v>
      </c>
      <c r="U3108" t="s">
        <v>18874</v>
      </c>
      <c r="V3108">
        <f>Tabla1[[#This Row],[Aboard]]-Tabla1[[#This Row],[Fatalities]]</f>
        <v>0</v>
      </c>
      <c r="W3108" s="50">
        <f>IFERROR(Tabla1[[#This Row],[Fatalities]]/Tabla1[[#This Row],[Aboard]],0)</f>
        <v>1</v>
      </c>
      <c r="X3108" s="51" t="str" cm="1">
        <f t="array" ref="X3108">_xlfn.IFS(Tabla1[[#This Row],[Porcentaje de muertes]]&lt;0.35,"LEVE",AND(Tabla1[[#This Row],[Porcentaje de muertes]]&gt;0.35,Tabla1[[#This Row],[Porcentaje de muertes]]&lt;0.65),"MEDIO",Tabla1[[#This Row],[Porcentaje de muertes]]&gt;0.65,"GRAVE")</f>
        <v>GRAVE</v>
      </c>
    </row>
    <row r="3109" spans="2:24" x14ac:dyDescent="0.3">
      <c r="B3109" s="9">
        <v>3108</v>
      </c>
      <c r="C3109" s="49">
        <v>29742</v>
      </c>
      <c r="D3109" s="9">
        <f>YEAR(Tabla1[[#This Row],[Date]])</f>
        <v>1981</v>
      </c>
      <c r="E3109" s="9" t="str" cm="1">
        <f t="array" ref="E3109">IFERROR(_xlfn.IFS(AND(D3109&lt;1980,D3109&gt;=1970),"70",AND(D3109&lt;1990,D3109&gt;=1980),"80",AND(D3109&lt;2000,D3109&gt;=1990),"90",AND(D3109&lt;2010,D3109&gt;=2000),"00",AND(D3109&lt;=2019,D3109&gt;=2010),"10"),"1908-1970")</f>
        <v>80</v>
      </c>
      <c r="F3109" s="3">
        <v>0.4513888888888889</v>
      </c>
      <c r="G3109" t="s">
        <v>18875</v>
      </c>
      <c r="H3109" t="s">
        <v>7987</v>
      </c>
      <c r="I3109" t="s">
        <v>28931</v>
      </c>
      <c r="J3109" t="s">
        <v>6190</v>
      </c>
      <c r="K3109" t="s">
        <v>18876</v>
      </c>
      <c r="L3109" s="7" t="s">
        <v>18877</v>
      </c>
      <c r="M3109">
        <v>18235</v>
      </c>
      <c r="N3109">
        <v>21</v>
      </c>
      <c r="O3109">
        <v>3</v>
      </c>
      <c r="P3109">
        <v>18</v>
      </c>
      <c r="Q3109">
        <v>21</v>
      </c>
      <c r="R3109">
        <v>3</v>
      </c>
      <c r="S3109">
        <v>18</v>
      </c>
      <c r="T3109">
        <v>0</v>
      </c>
      <c r="U3109" t="s">
        <v>18878</v>
      </c>
      <c r="V3109">
        <f>Tabla1[[#This Row],[Aboard]]-Tabla1[[#This Row],[Fatalities]]</f>
        <v>0</v>
      </c>
      <c r="W3109" s="50">
        <f>IFERROR(Tabla1[[#This Row],[Fatalities]]/Tabla1[[#This Row],[Aboard]],0)</f>
        <v>1</v>
      </c>
      <c r="X3109" s="51" t="str" cm="1">
        <f t="array" ref="X3109">_xlfn.IFS(Tabla1[[#This Row],[Porcentaje de muertes]]&lt;0.35,"LEVE",AND(Tabla1[[#This Row],[Porcentaje de muertes]]&gt;0.35,Tabla1[[#This Row],[Porcentaje de muertes]]&lt;0.65),"MEDIO",Tabla1[[#This Row],[Porcentaje de muertes]]&gt;0.65,"GRAVE")</f>
        <v>GRAVE</v>
      </c>
    </row>
    <row r="3110" spans="2:24" x14ac:dyDescent="0.3">
      <c r="B3110" s="9">
        <v>3109</v>
      </c>
      <c r="C3110" s="49">
        <v>29772</v>
      </c>
      <c r="D3110" s="9">
        <f>YEAR(Tabla1[[#This Row],[Date]])</f>
        <v>1981</v>
      </c>
      <c r="E3110" s="9" t="str" cm="1">
        <f t="array" ref="E3110">IFERROR(_xlfn.IFS(AND(D3110&lt;1980,D3110&gt;=1970),"70",AND(D3110&lt;1990,D3110&gt;=1980),"80",AND(D3110&lt;2000,D3110&gt;=1990),"90",AND(D3110&lt;2010,D3110&gt;=2000),"00",AND(D3110&lt;=2019,D3110&gt;=2010),"10"),"1908-1970")</f>
        <v>80</v>
      </c>
      <c r="F3110" s="3">
        <v>0.45347222222222222</v>
      </c>
      <c r="G3110" t="s">
        <v>18879</v>
      </c>
      <c r="H3110" t="s">
        <v>12575</v>
      </c>
      <c r="I3110">
        <v>901</v>
      </c>
      <c r="J3110" t="s">
        <v>18880</v>
      </c>
      <c r="K3110" t="s">
        <v>18881</v>
      </c>
      <c r="L3110" s="7" t="s">
        <v>18882</v>
      </c>
      <c r="M3110">
        <v>212</v>
      </c>
      <c r="N3110">
        <v>31</v>
      </c>
      <c r="O3110">
        <v>26</v>
      </c>
      <c r="P3110">
        <v>5</v>
      </c>
      <c r="Q3110">
        <v>31</v>
      </c>
      <c r="R3110">
        <v>26</v>
      </c>
      <c r="S3110">
        <v>5</v>
      </c>
      <c r="T3110">
        <v>0</v>
      </c>
      <c r="U3110" t="s">
        <v>18883</v>
      </c>
      <c r="V3110">
        <f>Tabla1[[#This Row],[Aboard]]-Tabla1[[#This Row],[Fatalities]]</f>
        <v>0</v>
      </c>
      <c r="W3110" s="50">
        <f>IFERROR(Tabla1[[#This Row],[Fatalities]]/Tabla1[[#This Row],[Aboard]],0)</f>
        <v>1</v>
      </c>
      <c r="X3110" s="51" t="str" cm="1">
        <f t="array" ref="X3110">_xlfn.IFS(Tabla1[[#This Row],[Porcentaje de muertes]]&lt;0.35,"LEVE",AND(Tabla1[[#This Row],[Porcentaje de muertes]]&gt;0.35,Tabla1[[#This Row],[Porcentaje de muertes]]&lt;0.65),"MEDIO",Tabla1[[#This Row],[Porcentaje de muertes]]&gt;0.65,"GRAVE")</f>
        <v>GRAVE</v>
      </c>
    </row>
    <row r="3111" spans="2:24" x14ac:dyDescent="0.3">
      <c r="B3111" s="9">
        <v>3110</v>
      </c>
      <c r="C3111" s="49">
        <v>29722</v>
      </c>
      <c r="D3111" s="9">
        <f>YEAR(Tabla1[[#This Row],[Date]])</f>
        <v>1981</v>
      </c>
      <c r="E3111" s="9" t="str" cm="1">
        <f t="array" ref="E3111">IFERROR(_xlfn.IFS(AND(D3111&lt;1980,D3111&gt;=1970),"70",AND(D3111&lt;1990,D3111&gt;=1980),"80",AND(D3111&lt;2000,D3111&gt;=1990),"90",AND(D3111&lt;2010,D3111&gt;=2000),"00",AND(D3111&lt;=2019,D3111&gt;=2010),"10"),"1908-1970")</f>
        <v>80</v>
      </c>
      <c r="F3111" s="3" t="s">
        <v>28931</v>
      </c>
      <c r="G3111" t="s">
        <v>18884</v>
      </c>
      <c r="H3111" t="s">
        <v>18885</v>
      </c>
      <c r="I3111" t="s">
        <v>28931</v>
      </c>
      <c r="J3111" t="s">
        <v>28931</v>
      </c>
      <c r="K3111" t="s">
        <v>16004</v>
      </c>
      <c r="L3111" s="7" t="s">
        <v>18886</v>
      </c>
      <c r="M3111">
        <v>4830</v>
      </c>
      <c r="N3111">
        <v>4</v>
      </c>
      <c r="O3111">
        <v>0</v>
      </c>
      <c r="P3111">
        <v>4</v>
      </c>
      <c r="Q3111">
        <v>4</v>
      </c>
      <c r="R3111">
        <v>0</v>
      </c>
      <c r="S3111">
        <v>4</v>
      </c>
      <c r="T3111">
        <v>0</v>
      </c>
      <c r="U3111" t="s">
        <v>17253</v>
      </c>
      <c r="V3111">
        <f>Tabla1[[#This Row],[Aboard]]-Tabla1[[#This Row],[Fatalities]]</f>
        <v>0</v>
      </c>
      <c r="W3111" s="50">
        <f>IFERROR(Tabla1[[#This Row],[Fatalities]]/Tabla1[[#This Row],[Aboard]],0)</f>
        <v>1</v>
      </c>
      <c r="X3111" s="51" t="str" cm="1">
        <f t="array" ref="X3111">_xlfn.IFS(Tabla1[[#This Row],[Porcentaje de muertes]]&lt;0.35,"LEVE",AND(Tabla1[[#This Row],[Porcentaje de muertes]]&gt;0.35,Tabla1[[#This Row],[Porcentaje de muertes]]&lt;0.65),"MEDIO",Tabla1[[#This Row],[Porcentaje de muertes]]&gt;0.65,"GRAVE")</f>
        <v>GRAVE</v>
      </c>
    </row>
    <row r="3112" spans="2:24" x14ac:dyDescent="0.3">
      <c r="B3112" s="9">
        <v>3111</v>
      </c>
      <c r="C3112" s="49">
        <v>29727</v>
      </c>
      <c r="D3112" s="9">
        <f>YEAR(Tabla1[[#This Row],[Date]])</f>
        <v>1981</v>
      </c>
      <c r="E3112" s="9" t="str" cm="1">
        <f t="array" ref="E3112">IFERROR(_xlfn.IFS(AND(D3112&lt;1980,D3112&gt;=1970),"70",AND(D3112&lt;1990,D3112&gt;=1980),"80",AND(D3112&lt;2000,D3112&gt;=1990),"90",AND(D3112&lt;2010,D3112&gt;=2000),"00",AND(D3112&lt;=2019,D3112&gt;=2010),"10"),"1908-1970")</f>
        <v>80</v>
      </c>
      <c r="F3112" s="3" t="s">
        <v>28931</v>
      </c>
      <c r="G3112" t="s">
        <v>18887</v>
      </c>
      <c r="H3112" t="s">
        <v>18888</v>
      </c>
      <c r="I3112" t="s">
        <v>28931</v>
      </c>
      <c r="J3112" t="s">
        <v>18889</v>
      </c>
      <c r="K3112" t="s">
        <v>11825</v>
      </c>
      <c r="L3112" s="7" t="s">
        <v>18890</v>
      </c>
      <c r="M3112">
        <v>327</v>
      </c>
      <c r="N3112">
        <v>24</v>
      </c>
      <c r="O3112">
        <v>21</v>
      </c>
      <c r="P3112">
        <v>3</v>
      </c>
      <c r="Q3112">
        <v>24</v>
      </c>
      <c r="R3112">
        <v>21</v>
      </c>
      <c r="S3112">
        <v>3</v>
      </c>
      <c r="T3112">
        <v>0</v>
      </c>
      <c r="U3112" t="s">
        <v>18891</v>
      </c>
      <c r="V3112">
        <f>Tabla1[[#This Row],[Aboard]]-Tabla1[[#This Row],[Fatalities]]</f>
        <v>0</v>
      </c>
      <c r="W3112" s="50">
        <f>IFERROR(Tabla1[[#This Row],[Fatalities]]/Tabla1[[#This Row],[Aboard]],0)</f>
        <v>1</v>
      </c>
      <c r="X3112" s="51" t="str" cm="1">
        <f t="array" ref="X3112">_xlfn.IFS(Tabla1[[#This Row],[Porcentaje de muertes]]&lt;0.35,"LEVE",AND(Tabla1[[#This Row],[Porcentaje de muertes]]&gt;0.35,Tabla1[[#This Row],[Porcentaje de muertes]]&lt;0.65),"MEDIO",Tabla1[[#This Row],[Porcentaje de muertes]]&gt;0.65,"GRAVE")</f>
        <v>GRAVE</v>
      </c>
    </row>
    <row r="3113" spans="2:24" x14ac:dyDescent="0.3">
      <c r="B3113" s="9">
        <v>3112</v>
      </c>
      <c r="C3113" s="49">
        <v>29728</v>
      </c>
      <c r="D3113" s="9">
        <f>YEAR(Tabla1[[#This Row],[Date]])</f>
        <v>1981</v>
      </c>
      <c r="E3113" s="9" t="str" cm="1">
        <f t="array" ref="E3113">IFERROR(_xlfn.IFS(AND(D3113&lt;1980,D3113&gt;=1970),"70",AND(D3113&lt;1990,D3113&gt;=1980),"80",AND(D3113&lt;2000,D3113&gt;=1990),"90",AND(D3113&lt;2010,D3113&gt;=2000),"00",AND(D3113&lt;=2019,D3113&gt;=2010),"10"),"1908-1970")</f>
        <v>80</v>
      </c>
      <c r="F3113" s="3">
        <v>0.625</v>
      </c>
      <c r="G3113" t="s">
        <v>18892</v>
      </c>
      <c r="H3113" t="s">
        <v>17526</v>
      </c>
      <c r="I3113" t="s">
        <v>28931</v>
      </c>
      <c r="J3113" t="s">
        <v>18893</v>
      </c>
      <c r="K3113" t="s">
        <v>16680</v>
      </c>
      <c r="L3113" s="7" t="s">
        <v>18894</v>
      </c>
      <c r="M3113">
        <v>457</v>
      </c>
      <c r="N3113">
        <v>18</v>
      </c>
      <c r="O3113">
        <v>15</v>
      </c>
      <c r="P3113">
        <v>3</v>
      </c>
      <c r="Q3113">
        <v>18</v>
      </c>
      <c r="R3113">
        <v>15</v>
      </c>
      <c r="S3113">
        <v>3</v>
      </c>
      <c r="T3113">
        <v>0</v>
      </c>
      <c r="U3113" t="s">
        <v>18895</v>
      </c>
      <c r="V3113">
        <f>Tabla1[[#This Row],[Aboard]]-Tabla1[[#This Row],[Fatalities]]</f>
        <v>0</v>
      </c>
      <c r="W3113" s="50">
        <f>IFERROR(Tabla1[[#This Row],[Fatalities]]/Tabla1[[#This Row],[Aboard]],0)</f>
        <v>1</v>
      </c>
      <c r="X3113" s="51" t="str" cm="1">
        <f t="array" ref="X3113">_xlfn.IFS(Tabla1[[#This Row],[Porcentaje de muertes]]&lt;0.35,"LEVE",AND(Tabla1[[#This Row],[Porcentaje de muertes]]&gt;0.35,Tabla1[[#This Row],[Porcentaje de muertes]]&lt;0.65),"MEDIO",Tabla1[[#This Row],[Porcentaje de muertes]]&gt;0.65,"GRAVE")</f>
        <v>GRAVE</v>
      </c>
    </row>
    <row r="3114" spans="2:24" x14ac:dyDescent="0.3">
      <c r="B3114" s="9">
        <v>3113</v>
      </c>
      <c r="C3114" s="49">
        <v>29735</v>
      </c>
      <c r="D3114" s="9">
        <f>YEAR(Tabla1[[#This Row],[Date]])</f>
        <v>1981</v>
      </c>
      <c r="E3114" s="9" t="str" cm="1">
        <f t="array" ref="E3114">IFERROR(_xlfn.IFS(AND(D3114&lt;1980,D3114&gt;=1970),"70",AND(D3114&lt;1990,D3114&gt;=1980),"80",AND(D3114&lt;2000,D3114&gt;=1990),"90",AND(D3114&lt;2010,D3114&gt;=2000),"00",AND(D3114&lt;=2019,D3114&gt;=2010),"10"),"1908-1970")</f>
        <v>80</v>
      </c>
      <c r="F3114" s="3" t="s">
        <v>28931</v>
      </c>
      <c r="G3114" t="s">
        <v>6648</v>
      </c>
      <c r="H3114" t="s">
        <v>10912</v>
      </c>
      <c r="I3114" t="s">
        <v>28931</v>
      </c>
      <c r="J3114" t="s">
        <v>28931</v>
      </c>
      <c r="K3114" t="s">
        <v>18896</v>
      </c>
      <c r="L3114" s="7" t="s">
        <v>18897</v>
      </c>
      <c r="M3114">
        <v>4792</v>
      </c>
      <c r="N3114">
        <v>17</v>
      </c>
      <c r="O3114">
        <v>11</v>
      </c>
      <c r="P3114">
        <v>6</v>
      </c>
      <c r="Q3114">
        <v>17</v>
      </c>
      <c r="R3114">
        <v>11</v>
      </c>
      <c r="S3114">
        <v>6</v>
      </c>
      <c r="T3114">
        <v>0</v>
      </c>
      <c r="U3114" t="s">
        <v>18898</v>
      </c>
      <c r="V3114">
        <f>Tabla1[[#This Row],[Aboard]]-Tabla1[[#This Row],[Fatalities]]</f>
        <v>0</v>
      </c>
      <c r="W3114" s="50">
        <f>IFERROR(Tabla1[[#This Row],[Fatalities]]/Tabla1[[#This Row],[Aboard]],0)</f>
        <v>1</v>
      </c>
      <c r="X3114" s="51" t="str" cm="1">
        <f t="array" ref="X3114">_xlfn.IFS(Tabla1[[#This Row],[Porcentaje de muertes]]&lt;0.35,"LEVE",AND(Tabla1[[#This Row],[Porcentaje de muertes]]&gt;0.35,Tabla1[[#This Row],[Porcentaje de muertes]]&lt;0.65),"MEDIO",Tabla1[[#This Row],[Porcentaje de muertes]]&gt;0.65,"GRAVE")</f>
        <v>GRAVE</v>
      </c>
    </row>
    <row r="3115" spans="2:24" x14ac:dyDescent="0.3">
      <c r="B3115" s="9">
        <v>3114</v>
      </c>
      <c r="C3115" s="49">
        <v>29751</v>
      </c>
      <c r="D3115" s="9">
        <f>YEAR(Tabla1[[#This Row],[Date]])</f>
        <v>1981</v>
      </c>
      <c r="E3115" s="9" t="str" cm="1">
        <f t="array" ref="E3115">IFERROR(_xlfn.IFS(AND(D3115&lt;1980,D3115&gt;=1970),"70",AND(D3115&lt;1990,D3115&gt;=1980),"80",AND(D3115&lt;2000,D3115&gt;=1990),"90",AND(D3115&lt;2010,D3115&gt;=2000),"00",AND(D3115&lt;=2019,D3115&gt;=2010),"10"),"1908-1970")</f>
        <v>80</v>
      </c>
      <c r="F3115" s="3">
        <v>0.68194444444444446</v>
      </c>
      <c r="G3115" t="s">
        <v>18899</v>
      </c>
      <c r="H3115" t="s">
        <v>6541</v>
      </c>
      <c r="I3115">
        <v>498</v>
      </c>
      <c r="J3115" t="s">
        <v>18900</v>
      </c>
      <c r="K3115" t="s">
        <v>18901</v>
      </c>
      <c r="L3115" s="7" t="s">
        <v>18902</v>
      </c>
      <c r="M3115">
        <v>147001141</v>
      </c>
      <c r="N3115">
        <v>48</v>
      </c>
      <c r="O3115">
        <v>44</v>
      </c>
      <c r="P3115">
        <v>4</v>
      </c>
      <c r="Q3115">
        <v>48</v>
      </c>
      <c r="R3115">
        <v>44</v>
      </c>
      <c r="S3115">
        <v>4</v>
      </c>
      <c r="T3115">
        <v>0</v>
      </c>
      <c r="U3115" t="s">
        <v>18903</v>
      </c>
      <c r="V3115">
        <f>Tabla1[[#This Row],[Aboard]]-Tabla1[[#This Row],[Fatalities]]</f>
        <v>0</v>
      </c>
      <c r="W3115" s="50">
        <f>IFERROR(Tabla1[[#This Row],[Fatalities]]/Tabla1[[#This Row],[Aboard]],0)</f>
        <v>1</v>
      </c>
      <c r="X3115" s="51" t="str" cm="1">
        <f t="array" ref="X3115">_xlfn.IFS(Tabla1[[#This Row],[Porcentaje de muertes]]&lt;0.35,"LEVE",AND(Tabla1[[#This Row],[Porcentaje de muertes]]&gt;0.35,Tabla1[[#This Row],[Porcentaje de muertes]]&lt;0.65),"MEDIO",Tabla1[[#This Row],[Porcentaje de muertes]]&gt;0.65,"GRAVE")</f>
        <v>GRAVE</v>
      </c>
    </row>
    <row r="3116" spans="2:24" x14ac:dyDescent="0.3">
      <c r="B3116" s="9">
        <v>3115</v>
      </c>
      <c r="C3116" s="49">
        <v>29763</v>
      </c>
      <c r="D3116" s="9">
        <f>YEAR(Tabla1[[#This Row],[Date]])</f>
        <v>1981</v>
      </c>
      <c r="E3116" s="9" t="str" cm="1">
        <f t="array" ref="E3116">IFERROR(_xlfn.IFS(AND(D3116&lt;1980,D3116&gt;=1970),"70",AND(D3116&lt;1990,D3116&gt;=1980),"80",AND(D3116&lt;2000,D3116&gt;=1990),"90",AND(D3116&lt;2010,D3116&gt;=2000),"00",AND(D3116&lt;=2019,D3116&gt;=2010),"10"),"1908-1970")</f>
        <v>80</v>
      </c>
      <c r="F3116" s="3">
        <v>0.75763888888888886</v>
      </c>
      <c r="G3116" t="s">
        <v>18904</v>
      </c>
      <c r="H3116" t="s">
        <v>15906</v>
      </c>
      <c r="I3116" t="s">
        <v>28931</v>
      </c>
      <c r="J3116" t="s">
        <v>18905</v>
      </c>
      <c r="K3116" t="s">
        <v>18906</v>
      </c>
      <c r="L3116" s="7" t="s">
        <v>18907</v>
      </c>
      <c r="M3116">
        <v>1560</v>
      </c>
      <c r="N3116">
        <v>3</v>
      </c>
      <c r="O3116">
        <v>0</v>
      </c>
      <c r="P3116">
        <v>3</v>
      </c>
      <c r="Q3116">
        <v>3</v>
      </c>
      <c r="R3116">
        <v>0</v>
      </c>
      <c r="S3116">
        <v>3</v>
      </c>
      <c r="T3116">
        <v>0</v>
      </c>
      <c r="U3116" t="s">
        <v>18908</v>
      </c>
      <c r="V3116">
        <f>Tabla1[[#This Row],[Aboard]]-Tabla1[[#This Row],[Fatalities]]</f>
        <v>0</v>
      </c>
      <c r="W3116" s="50">
        <f>IFERROR(Tabla1[[#This Row],[Fatalities]]/Tabla1[[#This Row],[Aboard]],0)</f>
        <v>1</v>
      </c>
      <c r="X3116" s="51" t="str" cm="1">
        <f t="array" ref="X3116">_xlfn.IFS(Tabla1[[#This Row],[Porcentaje de muertes]]&lt;0.35,"LEVE",AND(Tabla1[[#This Row],[Porcentaje de muertes]]&gt;0.35,Tabla1[[#This Row],[Porcentaje de muertes]]&lt;0.65),"MEDIO",Tabla1[[#This Row],[Porcentaje de muertes]]&gt;0.65,"GRAVE")</f>
        <v>GRAVE</v>
      </c>
    </row>
    <row r="3117" spans="2:24" x14ac:dyDescent="0.3">
      <c r="B3117" s="9">
        <v>3116</v>
      </c>
      <c r="C3117" s="49">
        <v>29785</v>
      </c>
      <c r="D3117" s="9">
        <f>YEAR(Tabla1[[#This Row],[Date]])</f>
        <v>1981</v>
      </c>
      <c r="E3117" s="9" t="str" cm="1">
        <f t="array" ref="E3117">IFERROR(_xlfn.IFS(AND(D3117&lt;1980,D3117&gt;=1970),"70",AND(D3117&lt;1990,D3117&gt;=1980),"80",AND(D3117&lt;2000,D3117&gt;=1990),"90",AND(D3117&lt;2010,D3117&gt;=2000),"00",AND(D3117&lt;=2019,D3117&gt;=2010),"10"),"1908-1970")</f>
        <v>80</v>
      </c>
      <c r="F3117" s="3">
        <v>0.65555555555555556</v>
      </c>
      <c r="G3117" t="s">
        <v>18909</v>
      </c>
      <c r="H3117" t="s">
        <v>18910</v>
      </c>
      <c r="I3117" t="s">
        <v>28931</v>
      </c>
      <c r="J3117" t="s">
        <v>18911</v>
      </c>
      <c r="K3117" t="s">
        <v>18912</v>
      </c>
      <c r="L3117" s="7" t="s">
        <v>18913</v>
      </c>
      <c r="M3117">
        <v>34</v>
      </c>
      <c r="N3117">
        <v>4</v>
      </c>
      <c r="O3117">
        <v>1</v>
      </c>
      <c r="P3117">
        <v>3</v>
      </c>
      <c r="Q3117">
        <v>4</v>
      </c>
      <c r="R3117">
        <v>1</v>
      </c>
      <c r="S3117">
        <v>3</v>
      </c>
      <c r="T3117">
        <v>0</v>
      </c>
      <c r="U3117" t="s">
        <v>18914</v>
      </c>
      <c r="V3117">
        <f>Tabla1[[#This Row],[Aboard]]-Tabla1[[#This Row],[Fatalities]]</f>
        <v>0</v>
      </c>
      <c r="W3117" s="50">
        <f>IFERROR(Tabla1[[#This Row],[Fatalities]]/Tabla1[[#This Row],[Aboard]],0)</f>
        <v>1</v>
      </c>
      <c r="X3117" s="51" t="str" cm="1">
        <f t="array" ref="X3117">_xlfn.IFS(Tabla1[[#This Row],[Porcentaje de muertes]]&lt;0.35,"LEVE",AND(Tabla1[[#This Row],[Porcentaje de muertes]]&gt;0.35,Tabla1[[#This Row],[Porcentaje de muertes]]&lt;0.65),"MEDIO",Tabla1[[#This Row],[Porcentaje de muertes]]&gt;0.65,"GRAVE")</f>
        <v>GRAVE</v>
      </c>
    </row>
    <row r="3118" spans="2:24" x14ac:dyDescent="0.3">
      <c r="B3118" s="9">
        <v>3117</v>
      </c>
      <c r="C3118" s="49">
        <v>29787</v>
      </c>
      <c r="D3118" s="9">
        <f>YEAR(Tabla1[[#This Row],[Date]])</f>
        <v>1981</v>
      </c>
      <c r="E3118" s="9" t="str" cm="1">
        <f t="array" ref="E3118">IFERROR(_xlfn.IFS(AND(D3118&lt;1980,D3118&gt;=1970),"70",AND(D3118&lt;1990,D3118&gt;=1980),"80",AND(D3118&lt;2000,D3118&gt;=1990),"90",AND(D3118&lt;2010,D3118&gt;=2000),"00",AND(D3118&lt;=2019,D3118&gt;=2010),"10"),"1908-1970")</f>
        <v>80</v>
      </c>
      <c r="F3118" s="3" t="s">
        <v>28931</v>
      </c>
      <c r="G3118" t="s">
        <v>15859</v>
      </c>
      <c r="H3118" t="s">
        <v>15860</v>
      </c>
      <c r="I3118" t="s">
        <v>28931</v>
      </c>
      <c r="J3118" t="s">
        <v>18915</v>
      </c>
      <c r="K3118" t="s">
        <v>18916</v>
      </c>
      <c r="L3118" s="7" t="s">
        <v>18917</v>
      </c>
      <c r="M3118">
        <v>10557</v>
      </c>
      <c r="N3118">
        <v>50</v>
      </c>
      <c r="O3118">
        <v>44</v>
      </c>
      <c r="P3118">
        <v>6</v>
      </c>
      <c r="Q3118">
        <v>50</v>
      </c>
      <c r="R3118">
        <v>44</v>
      </c>
      <c r="S3118">
        <v>6</v>
      </c>
      <c r="T3118">
        <v>0</v>
      </c>
      <c r="U3118" t="s">
        <v>18918</v>
      </c>
      <c r="V3118">
        <f>Tabla1[[#This Row],[Aboard]]-Tabla1[[#This Row],[Fatalities]]</f>
        <v>0</v>
      </c>
      <c r="W3118" s="50">
        <f>IFERROR(Tabla1[[#This Row],[Fatalities]]/Tabla1[[#This Row],[Aboard]],0)</f>
        <v>1</v>
      </c>
      <c r="X3118" s="51" t="str" cm="1">
        <f t="array" ref="X3118">_xlfn.IFS(Tabla1[[#This Row],[Porcentaje de muertes]]&lt;0.35,"LEVE",AND(Tabla1[[#This Row],[Porcentaje de muertes]]&gt;0.35,Tabla1[[#This Row],[Porcentaje de muertes]]&lt;0.65),"MEDIO",Tabla1[[#This Row],[Porcentaje de muertes]]&gt;0.65,"GRAVE")</f>
        <v>GRAVE</v>
      </c>
    </row>
    <row r="3119" spans="2:24" x14ac:dyDescent="0.3">
      <c r="B3119" s="9">
        <v>3118</v>
      </c>
      <c r="C3119" s="49">
        <v>29791</v>
      </c>
      <c r="D3119" s="9">
        <f>YEAR(Tabla1[[#This Row],[Date]])</f>
        <v>1981</v>
      </c>
      <c r="E3119" s="9" t="str" cm="1">
        <f t="array" ref="E3119">IFERROR(_xlfn.IFS(AND(D3119&lt;1980,D3119&gt;=1970),"70",AND(D3119&lt;1990,D3119&gt;=1980),"80",AND(D3119&lt;2000,D3119&gt;=1990),"90",AND(D3119&lt;2010,D3119&gt;=2000),"00",AND(D3119&lt;=2019,D3119&gt;=2010),"10"),"1908-1970")</f>
        <v>80</v>
      </c>
      <c r="F3119" s="3" t="s">
        <v>28931</v>
      </c>
      <c r="G3119" t="s">
        <v>18919</v>
      </c>
      <c r="H3119" t="s">
        <v>13914</v>
      </c>
      <c r="I3119">
        <v>112</v>
      </c>
      <c r="J3119" t="s">
        <v>18920</v>
      </c>
      <c r="K3119" t="s">
        <v>16680</v>
      </c>
      <c r="L3119" s="7" t="s">
        <v>18921</v>
      </c>
      <c r="M3119">
        <v>327</v>
      </c>
      <c r="N3119">
        <v>19</v>
      </c>
      <c r="O3119">
        <v>17</v>
      </c>
      <c r="P3119">
        <v>2</v>
      </c>
      <c r="Q3119">
        <v>19</v>
      </c>
      <c r="R3119">
        <v>17</v>
      </c>
      <c r="S3119">
        <v>2</v>
      </c>
      <c r="T3119">
        <v>0</v>
      </c>
      <c r="U3119" t="s">
        <v>18922</v>
      </c>
      <c r="V3119">
        <f>Tabla1[[#This Row],[Aboard]]-Tabla1[[#This Row],[Fatalities]]</f>
        <v>0</v>
      </c>
      <c r="W3119" s="50">
        <f>IFERROR(Tabla1[[#This Row],[Fatalities]]/Tabla1[[#This Row],[Aboard]],0)</f>
        <v>1</v>
      </c>
      <c r="X3119" s="51" t="str" cm="1">
        <f t="array" ref="X3119">_xlfn.IFS(Tabla1[[#This Row],[Porcentaje de muertes]]&lt;0.35,"LEVE",AND(Tabla1[[#This Row],[Porcentaje de muertes]]&gt;0.35,Tabla1[[#This Row],[Porcentaje de muertes]]&lt;0.65),"MEDIO",Tabla1[[#This Row],[Porcentaje de muertes]]&gt;0.65,"GRAVE")</f>
        <v>GRAVE</v>
      </c>
    </row>
    <row r="3120" spans="2:24" x14ac:dyDescent="0.3">
      <c r="B3120" s="9">
        <v>3119</v>
      </c>
      <c r="C3120" s="49">
        <v>29792</v>
      </c>
      <c r="D3120" s="9">
        <f>YEAR(Tabla1[[#This Row],[Date]])</f>
        <v>1981</v>
      </c>
      <c r="E3120" s="9" t="str" cm="1">
        <f t="array" ref="E3120">IFERROR(_xlfn.IFS(AND(D3120&lt;1980,D3120&gt;=1970),"70",AND(D3120&lt;1990,D3120&gt;=1980),"80",AND(D3120&lt;2000,D3120&gt;=1990),"90",AND(D3120&lt;2010,D3120&gt;=2000),"00",AND(D3120&lt;=2019,D3120&gt;=2010),"10"),"1908-1970")</f>
        <v>80</v>
      </c>
      <c r="F3120" s="3" t="s">
        <v>28931</v>
      </c>
      <c r="G3120" t="s">
        <v>18923</v>
      </c>
      <c r="H3120" t="s">
        <v>18924</v>
      </c>
      <c r="I3120" t="s">
        <v>28931</v>
      </c>
      <c r="J3120" t="s">
        <v>28931</v>
      </c>
      <c r="K3120" t="s">
        <v>8009</v>
      </c>
      <c r="L3120" s="7" t="s">
        <v>18925</v>
      </c>
      <c r="M3120">
        <v>11743</v>
      </c>
      <c r="N3120">
        <v>9</v>
      </c>
      <c r="O3120">
        <v>5</v>
      </c>
      <c r="P3120">
        <v>4</v>
      </c>
      <c r="Q3120">
        <v>5</v>
      </c>
      <c r="R3120">
        <v>5</v>
      </c>
      <c r="S3120">
        <v>0</v>
      </c>
      <c r="T3120">
        <v>0</v>
      </c>
      <c r="U3120" t="s">
        <v>18926</v>
      </c>
      <c r="V3120">
        <f>Tabla1[[#This Row],[Aboard]]-Tabla1[[#This Row],[Fatalities]]</f>
        <v>4</v>
      </c>
      <c r="W3120" s="50">
        <f>IFERROR(Tabla1[[#This Row],[Fatalities]]/Tabla1[[#This Row],[Aboard]],0)</f>
        <v>0.55555555555555558</v>
      </c>
      <c r="X3120" s="51" t="str" cm="1">
        <f t="array" ref="X3120">_xlfn.IFS(Tabla1[[#This Row],[Porcentaje de muertes]]&lt;0.35,"LEVE",AND(Tabla1[[#This Row],[Porcentaje de muertes]]&gt;0.35,Tabla1[[#This Row],[Porcentaje de muertes]]&lt;0.65),"MEDIO",Tabla1[[#This Row],[Porcentaje de muertes]]&gt;0.65,"GRAVE")</f>
        <v>MEDIO</v>
      </c>
    </row>
    <row r="3121" spans="2:24" x14ac:dyDescent="0.3">
      <c r="B3121" s="9">
        <v>3120</v>
      </c>
      <c r="C3121" s="49">
        <v>29794</v>
      </c>
      <c r="D3121" s="9">
        <f>YEAR(Tabla1[[#This Row],[Date]])</f>
        <v>1981</v>
      </c>
      <c r="E3121" s="9" t="str" cm="1">
        <f t="array" ref="E3121">IFERROR(_xlfn.IFS(AND(D3121&lt;1980,D3121&gt;=1970),"70",AND(D3121&lt;1990,D3121&gt;=1980),"80",AND(D3121&lt;2000,D3121&gt;=1990),"90",AND(D3121&lt;2010,D3121&gt;=2000),"00",AND(D3121&lt;=2019,D3121&gt;=2010),"10"),"1908-1970")</f>
        <v>80</v>
      </c>
      <c r="F3121" s="3" t="s">
        <v>28931</v>
      </c>
      <c r="G3121" t="s">
        <v>18927</v>
      </c>
      <c r="H3121" t="s">
        <v>16827</v>
      </c>
      <c r="I3121">
        <v>230</v>
      </c>
      <c r="J3121" t="s">
        <v>18928</v>
      </c>
      <c r="K3121" t="s">
        <v>15468</v>
      </c>
      <c r="L3121" s="7" t="s">
        <v>18929</v>
      </c>
      <c r="M3121" t="s">
        <v>18930</v>
      </c>
      <c r="N3121">
        <v>66</v>
      </c>
      <c r="O3121">
        <v>60</v>
      </c>
      <c r="P3121">
        <v>6</v>
      </c>
      <c r="Q3121">
        <v>32</v>
      </c>
      <c r="R3121">
        <v>30</v>
      </c>
      <c r="S3121">
        <v>2</v>
      </c>
      <c r="T3121">
        <v>0</v>
      </c>
      <c r="U3121" t="s">
        <v>18931</v>
      </c>
      <c r="V3121">
        <f>Tabla1[[#This Row],[Aboard]]-Tabla1[[#This Row],[Fatalities]]</f>
        <v>34</v>
      </c>
      <c r="W3121" s="50">
        <f>IFERROR(Tabla1[[#This Row],[Fatalities]]/Tabla1[[#This Row],[Aboard]],0)</f>
        <v>0.48484848484848486</v>
      </c>
      <c r="X3121" s="51" t="str" cm="1">
        <f t="array" ref="X3121">_xlfn.IFS(Tabla1[[#This Row],[Porcentaje de muertes]]&lt;0.35,"LEVE",AND(Tabla1[[#This Row],[Porcentaje de muertes]]&gt;0.35,Tabla1[[#This Row],[Porcentaje de muertes]]&lt;0.65),"MEDIO",Tabla1[[#This Row],[Porcentaje de muertes]]&gt;0.65,"GRAVE")</f>
        <v>MEDIO</v>
      </c>
    </row>
    <row r="3122" spans="2:24" x14ac:dyDescent="0.3">
      <c r="B3122" s="9">
        <v>3121</v>
      </c>
      <c r="C3122" s="49">
        <v>29820</v>
      </c>
      <c r="D3122" s="9">
        <f>YEAR(Tabla1[[#This Row],[Date]])</f>
        <v>1981</v>
      </c>
      <c r="E3122" s="9" t="str" cm="1">
        <f t="array" ref="E3122">IFERROR(_xlfn.IFS(AND(D3122&lt;1980,D3122&gt;=1970),"70",AND(D3122&lt;1990,D3122&gt;=1980),"80",AND(D3122&lt;2000,D3122&gt;=1990),"90",AND(D3122&lt;2010,D3122&gt;=2000),"00",AND(D3122&lt;=2019,D3122&gt;=2010),"10"),"1908-1970")</f>
        <v>80</v>
      </c>
      <c r="F3122" s="3">
        <v>0.41666666666666669</v>
      </c>
      <c r="G3122" t="s">
        <v>18932</v>
      </c>
      <c r="H3122" t="s">
        <v>8896</v>
      </c>
      <c r="I3122">
        <v>103</v>
      </c>
      <c r="J3122" t="s">
        <v>18933</v>
      </c>
      <c r="K3122" t="s">
        <v>16666</v>
      </c>
      <c r="L3122" s="7" t="s">
        <v>18934</v>
      </c>
      <c r="M3122" t="s">
        <v>18935</v>
      </c>
      <c r="N3122">
        <v>110</v>
      </c>
      <c r="O3122">
        <v>104</v>
      </c>
      <c r="P3122">
        <v>6</v>
      </c>
      <c r="Q3122">
        <v>110</v>
      </c>
      <c r="R3122">
        <v>104</v>
      </c>
      <c r="S3122">
        <v>6</v>
      </c>
      <c r="T3122">
        <v>0</v>
      </c>
      <c r="U3122" t="s">
        <v>18936</v>
      </c>
      <c r="V3122">
        <f>Tabla1[[#This Row],[Aboard]]-Tabla1[[#This Row],[Fatalities]]</f>
        <v>0</v>
      </c>
      <c r="W3122" s="50">
        <f>IFERROR(Tabla1[[#This Row],[Fatalities]]/Tabla1[[#This Row],[Aboard]],0)</f>
        <v>1</v>
      </c>
      <c r="X3122" s="51" t="str" cm="1">
        <f t="array" ref="X3122">_xlfn.IFS(Tabla1[[#This Row],[Porcentaje de muertes]]&lt;0.35,"LEVE",AND(Tabla1[[#This Row],[Porcentaje de muertes]]&gt;0.35,Tabla1[[#This Row],[Porcentaje de muertes]]&lt;0.65),"MEDIO",Tabla1[[#This Row],[Porcentaje de muertes]]&gt;0.65,"GRAVE")</f>
        <v>GRAVE</v>
      </c>
    </row>
    <row r="3123" spans="2:24" x14ac:dyDescent="0.3">
      <c r="B3123" s="9">
        <v>3122</v>
      </c>
      <c r="C3123" s="49">
        <v>29822</v>
      </c>
      <c r="D3123" s="9">
        <f>YEAR(Tabla1[[#This Row],[Date]])</f>
        <v>1981</v>
      </c>
      <c r="E3123" s="9" t="str" cm="1">
        <f t="array" ref="E3123">IFERROR(_xlfn.IFS(AND(D3123&lt;1980,D3123&gt;=1970),"70",AND(D3123&lt;1990,D3123&gt;=1980),"80",AND(D3123&lt;2000,D3123&gt;=1990),"90",AND(D3123&lt;2010,D3123&gt;=2000),"00",AND(D3123&lt;=2019,D3123&gt;=2010),"10"),"1908-1970")</f>
        <v>80</v>
      </c>
      <c r="F3123" s="3">
        <v>0.38958333333333334</v>
      </c>
      <c r="G3123" t="s">
        <v>18937</v>
      </c>
      <c r="H3123" t="s">
        <v>18938</v>
      </c>
      <c r="I3123">
        <v>811</v>
      </c>
      <c r="J3123" t="s">
        <v>18939</v>
      </c>
      <c r="K3123" t="s">
        <v>18940</v>
      </c>
      <c r="L3123" s="7" t="s">
        <v>18941</v>
      </c>
      <c r="M3123">
        <v>47309204</v>
      </c>
      <c r="N3123">
        <v>32</v>
      </c>
      <c r="O3123">
        <v>27</v>
      </c>
      <c r="P3123">
        <v>5</v>
      </c>
      <c r="Q3123">
        <v>31</v>
      </c>
      <c r="R3123">
        <v>26</v>
      </c>
      <c r="S3123">
        <v>5</v>
      </c>
      <c r="T3123">
        <v>0</v>
      </c>
      <c r="U3123" t="s">
        <v>18942</v>
      </c>
      <c r="V3123">
        <f>Tabla1[[#This Row],[Aboard]]-Tabla1[[#This Row],[Fatalities]]</f>
        <v>1</v>
      </c>
      <c r="W3123" s="50">
        <f>IFERROR(Tabla1[[#This Row],[Fatalities]]/Tabla1[[#This Row],[Aboard]],0)</f>
        <v>0.96875</v>
      </c>
      <c r="X3123" s="51" t="str" cm="1">
        <f t="array" ref="X3123">_xlfn.IFS(Tabla1[[#This Row],[Porcentaje de muertes]]&lt;0.35,"LEVE",AND(Tabla1[[#This Row],[Porcentaje de muertes]]&gt;0.35,Tabla1[[#This Row],[Porcentaje de muertes]]&lt;0.65),"MEDIO",Tabla1[[#This Row],[Porcentaje de muertes]]&gt;0.65,"GRAVE")</f>
        <v>GRAVE</v>
      </c>
    </row>
    <row r="3124" spans="2:24" x14ac:dyDescent="0.3">
      <c r="B3124" s="9">
        <v>3123</v>
      </c>
      <c r="C3124" s="49">
        <v>29825</v>
      </c>
      <c r="D3124" s="9">
        <f>YEAR(Tabla1[[#This Row],[Date]])</f>
        <v>1981</v>
      </c>
      <c r="E3124" s="9" t="str" cm="1">
        <f t="array" ref="E3124">IFERROR(_xlfn.IFS(AND(D3124&lt;1980,D3124&gt;=1970),"70",AND(D3124&lt;1990,D3124&gt;=1980),"80",AND(D3124&lt;2000,D3124&gt;=1990),"90",AND(D3124&lt;2010,D3124&gt;=2000),"00",AND(D3124&lt;=2019,D3124&gt;=2010),"10"),"1908-1970")</f>
        <v>80</v>
      </c>
      <c r="F3124" s="3">
        <v>0.65625</v>
      </c>
      <c r="G3124" t="s">
        <v>18943</v>
      </c>
      <c r="H3124" t="s">
        <v>14707</v>
      </c>
      <c r="I3124" t="s">
        <v>28931</v>
      </c>
      <c r="J3124" t="s">
        <v>18944</v>
      </c>
      <c r="K3124" t="s">
        <v>12322</v>
      </c>
      <c r="L3124" s="7" t="s">
        <v>18945</v>
      </c>
      <c r="M3124">
        <v>112</v>
      </c>
      <c r="N3124">
        <v>50</v>
      </c>
      <c r="O3124">
        <v>44</v>
      </c>
      <c r="P3124">
        <v>6</v>
      </c>
      <c r="Q3124">
        <v>50</v>
      </c>
      <c r="R3124">
        <v>44</v>
      </c>
      <c r="S3124">
        <v>6</v>
      </c>
      <c r="T3124">
        <v>0</v>
      </c>
      <c r="U3124" t="s">
        <v>18946</v>
      </c>
      <c r="V3124">
        <f>Tabla1[[#This Row],[Aboard]]-Tabla1[[#This Row],[Fatalities]]</f>
        <v>0</v>
      </c>
      <c r="W3124" s="50">
        <f>IFERROR(Tabla1[[#This Row],[Fatalities]]/Tabla1[[#This Row],[Aboard]],0)</f>
        <v>1</v>
      </c>
      <c r="X3124" s="51" t="str" cm="1">
        <f t="array" ref="X3124">_xlfn.IFS(Tabla1[[#This Row],[Porcentaje de muertes]]&lt;0.35,"LEVE",AND(Tabla1[[#This Row],[Porcentaje de muertes]]&gt;0.35,Tabla1[[#This Row],[Porcentaje de muertes]]&lt;0.65),"MEDIO",Tabla1[[#This Row],[Porcentaje de muertes]]&gt;0.65,"GRAVE")</f>
        <v>GRAVE</v>
      </c>
    </row>
    <row r="3125" spans="2:24" x14ac:dyDescent="0.3">
      <c r="B3125" s="9">
        <v>3124</v>
      </c>
      <c r="C3125" s="49">
        <v>29827</v>
      </c>
      <c r="D3125" s="9">
        <f>YEAR(Tabla1[[#This Row],[Date]])</f>
        <v>1981</v>
      </c>
      <c r="E3125" s="9" t="str" cm="1">
        <f t="array" ref="E3125">IFERROR(_xlfn.IFS(AND(D3125&lt;1980,D3125&gt;=1970),"70",AND(D3125&lt;1990,D3125&gt;=1980),"80",AND(D3125&lt;2000,D3125&gt;=1990),"90",AND(D3125&lt;2010,D3125&gt;=2000),"00",AND(D3125&lt;=2019,D3125&gt;=2010),"10"),"1908-1970")</f>
        <v>80</v>
      </c>
      <c r="F3125" s="3">
        <v>0.85416666666666663</v>
      </c>
      <c r="G3125" t="s">
        <v>18947</v>
      </c>
      <c r="H3125" t="s">
        <v>6541</v>
      </c>
      <c r="I3125">
        <v>674</v>
      </c>
      <c r="J3125" t="s">
        <v>18948</v>
      </c>
      <c r="K3125" t="s">
        <v>15961</v>
      </c>
      <c r="L3125" s="7" t="s">
        <v>18949</v>
      </c>
      <c r="M3125">
        <v>9511539</v>
      </c>
      <c r="N3125">
        <v>34</v>
      </c>
      <c r="O3125">
        <v>29</v>
      </c>
      <c r="P3125">
        <v>5</v>
      </c>
      <c r="Q3125">
        <v>3</v>
      </c>
      <c r="R3125">
        <v>1</v>
      </c>
      <c r="S3125">
        <v>2</v>
      </c>
      <c r="T3125">
        <v>0</v>
      </c>
      <c r="U3125" t="s">
        <v>18950</v>
      </c>
      <c r="V3125">
        <f>Tabla1[[#This Row],[Aboard]]-Tabla1[[#This Row],[Fatalities]]</f>
        <v>31</v>
      </c>
      <c r="W3125" s="50">
        <f>IFERROR(Tabla1[[#This Row],[Fatalities]]/Tabla1[[#This Row],[Aboard]],0)</f>
        <v>8.8235294117647065E-2</v>
      </c>
      <c r="X3125" s="51" t="str" cm="1">
        <f t="array" ref="X3125">_xlfn.IFS(Tabla1[[#This Row],[Porcentaje de muertes]]&lt;0.35,"LEVE",AND(Tabla1[[#This Row],[Porcentaje de muertes]]&gt;0.35,Tabla1[[#This Row],[Porcentaje de muertes]]&lt;0.65),"MEDIO",Tabla1[[#This Row],[Porcentaje de muertes]]&gt;0.65,"GRAVE")</f>
        <v>LEVE</v>
      </c>
    </row>
    <row r="3126" spans="2:24" x14ac:dyDescent="0.3">
      <c r="B3126" s="9">
        <v>3125</v>
      </c>
      <c r="C3126" s="49">
        <v>29626</v>
      </c>
      <c r="D3126" s="9">
        <f>YEAR(Tabla1[[#This Row],[Date]])</f>
        <v>1981</v>
      </c>
      <c r="E3126" s="9" t="str" cm="1">
        <f t="array" ref="E3126">IFERROR(_xlfn.IFS(AND(D3126&lt;1980,D3126&gt;=1970),"70",AND(D3126&lt;1990,D3126&gt;=1980),"80",AND(D3126&lt;2000,D3126&gt;=1990),"90",AND(D3126&lt;2010,D3126&gt;=2000),"00",AND(D3126&lt;=2019,D3126&gt;=2010),"10"),"1908-1970")</f>
        <v>80</v>
      </c>
      <c r="F3126" s="3" t="s">
        <v>28931</v>
      </c>
      <c r="G3126" t="s">
        <v>18951</v>
      </c>
      <c r="H3126" t="s">
        <v>18277</v>
      </c>
      <c r="I3126" t="s">
        <v>28931</v>
      </c>
      <c r="J3126" t="s">
        <v>18952</v>
      </c>
      <c r="K3126" t="s">
        <v>18953</v>
      </c>
      <c r="L3126" s="7" t="s">
        <v>18954</v>
      </c>
      <c r="M3126">
        <v>110206</v>
      </c>
      <c r="N3126">
        <v>22</v>
      </c>
      <c r="O3126">
        <v>19</v>
      </c>
      <c r="P3126">
        <v>3</v>
      </c>
      <c r="Q3126">
        <v>21</v>
      </c>
      <c r="R3126">
        <v>18</v>
      </c>
      <c r="S3126">
        <v>3</v>
      </c>
      <c r="T3126">
        <v>0</v>
      </c>
      <c r="U3126" t="s">
        <v>18955</v>
      </c>
      <c r="V3126">
        <f>Tabla1[[#This Row],[Aboard]]-Tabla1[[#This Row],[Fatalities]]</f>
        <v>1</v>
      </c>
      <c r="W3126" s="50">
        <f>IFERROR(Tabla1[[#This Row],[Fatalities]]/Tabla1[[#This Row],[Aboard]],0)</f>
        <v>0.95454545454545459</v>
      </c>
      <c r="X3126" s="51" t="str" cm="1">
        <f t="array" ref="X3126">_xlfn.IFS(Tabla1[[#This Row],[Porcentaje de muertes]]&lt;0.35,"LEVE",AND(Tabla1[[#This Row],[Porcentaje de muertes]]&gt;0.35,Tabla1[[#This Row],[Porcentaje de muertes]]&lt;0.65),"MEDIO",Tabla1[[#This Row],[Porcentaje de muertes]]&gt;0.65,"GRAVE")</f>
        <v>GRAVE</v>
      </c>
    </row>
    <row r="3127" spans="2:24" x14ac:dyDescent="0.3">
      <c r="B3127" s="9">
        <v>3126</v>
      </c>
      <c r="C3127" s="49">
        <v>29847</v>
      </c>
      <c r="D3127" s="9">
        <f>YEAR(Tabla1[[#This Row],[Date]])</f>
        <v>1981</v>
      </c>
      <c r="E3127" s="9" t="str" cm="1">
        <f t="array" ref="E3127">IFERROR(_xlfn.IFS(AND(D3127&lt;1980,D3127&gt;=1970),"70",AND(D3127&lt;1990,D3127&gt;=1980),"80",AND(D3127&lt;2000,D3127&gt;=1990),"90",AND(D3127&lt;2010,D3127&gt;=2000),"00",AND(D3127&lt;=2019,D3127&gt;=2010),"10"),"1908-1970")</f>
        <v>80</v>
      </c>
      <c r="F3127" s="3">
        <v>0.30069444444444443</v>
      </c>
      <c r="G3127" t="s">
        <v>18956</v>
      </c>
      <c r="H3127" t="s">
        <v>18957</v>
      </c>
      <c r="I3127" t="s">
        <v>18958</v>
      </c>
      <c r="J3127" t="s">
        <v>18959</v>
      </c>
      <c r="K3127" t="s">
        <v>18960</v>
      </c>
      <c r="L3127" s="7" t="s">
        <v>18961</v>
      </c>
      <c r="M3127">
        <v>9431236</v>
      </c>
      <c r="N3127">
        <v>40</v>
      </c>
      <c r="O3127">
        <v>29</v>
      </c>
      <c r="P3127">
        <v>11</v>
      </c>
      <c r="Q3127">
        <v>40</v>
      </c>
      <c r="R3127">
        <v>29</v>
      </c>
      <c r="S3127">
        <v>11</v>
      </c>
      <c r="T3127">
        <v>0</v>
      </c>
      <c r="U3127" t="s">
        <v>18962</v>
      </c>
      <c r="V3127">
        <f>Tabla1[[#This Row],[Aboard]]-Tabla1[[#This Row],[Fatalities]]</f>
        <v>0</v>
      </c>
      <c r="W3127" s="50">
        <f>IFERROR(Tabla1[[#This Row],[Fatalities]]/Tabla1[[#This Row],[Aboard]],0)</f>
        <v>1</v>
      </c>
      <c r="X3127" s="51" t="str" cm="1">
        <f t="array" ref="X3127">_xlfn.IFS(Tabla1[[#This Row],[Porcentaje de muertes]]&lt;0.35,"LEVE",AND(Tabla1[[#This Row],[Porcentaje de muertes]]&gt;0.35,Tabla1[[#This Row],[Porcentaje de muertes]]&lt;0.65),"MEDIO",Tabla1[[#This Row],[Porcentaje de muertes]]&gt;0.65,"GRAVE")</f>
        <v>GRAVE</v>
      </c>
    </row>
    <row r="3128" spans="2:24" x14ac:dyDescent="0.3">
      <c r="B3128" s="9">
        <v>3127</v>
      </c>
      <c r="C3128" s="49">
        <v>29850</v>
      </c>
      <c r="D3128" s="9">
        <f>YEAR(Tabla1[[#This Row],[Date]])</f>
        <v>1981</v>
      </c>
      <c r="E3128" s="9" t="str" cm="1">
        <f t="array" ref="E3128">IFERROR(_xlfn.IFS(AND(D3128&lt;1980,D3128&gt;=1970),"70",AND(D3128&lt;1990,D3128&gt;=1980),"80",AND(D3128&lt;2000,D3128&gt;=1990),"90",AND(D3128&lt;2010,D3128&gt;=2000),"00",AND(D3128&lt;=2019,D3128&gt;=2010),"10"),"1908-1970")</f>
        <v>80</v>
      </c>
      <c r="F3128" s="3" t="s">
        <v>28931</v>
      </c>
      <c r="G3128" t="s">
        <v>18963</v>
      </c>
      <c r="H3128" t="s">
        <v>7987</v>
      </c>
      <c r="I3128" t="s">
        <v>18964</v>
      </c>
      <c r="J3128" t="s">
        <v>18965</v>
      </c>
      <c r="K3128" t="s">
        <v>18896</v>
      </c>
      <c r="L3128" s="7" t="s">
        <v>18966</v>
      </c>
      <c r="M3128">
        <v>4623</v>
      </c>
      <c r="N3128">
        <v>70</v>
      </c>
      <c r="O3128">
        <v>61</v>
      </c>
      <c r="P3128">
        <v>9</v>
      </c>
      <c r="Q3128">
        <v>7</v>
      </c>
      <c r="R3128">
        <v>7</v>
      </c>
      <c r="S3128">
        <v>0</v>
      </c>
      <c r="T3128">
        <v>0</v>
      </c>
      <c r="U3128" t="s">
        <v>18967</v>
      </c>
      <c r="V3128">
        <f>Tabla1[[#This Row],[Aboard]]-Tabla1[[#This Row],[Fatalities]]</f>
        <v>63</v>
      </c>
      <c r="W3128" s="50">
        <f>IFERROR(Tabla1[[#This Row],[Fatalities]]/Tabla1[[#This Row],[Aboard]],0)</f>
        <v>0.1</v>
      </c>
      <c r="X3128" s="51" t="str" cm="1">
        <f t="array" ref="X3128">_xlfn.IFS(Tabla1[[#This Row],[Porcentaje de muertes]]&lt;0.35,"LEVE",AND(Tabla1[[#This Row],[Porcentaje de muertes]]&gt;0.35,Tabla1[[#This Row],[Porcentaje de muertes]]&lt;0.65),"MEDIO",Tabla1[[#This Row],[Porcentaje de muertes]]&gt;0.65,"GRAVE")</f>
        <v>LEVE</v>
      </c>
    </row>
    <row r="3129" spans="2:24" x14ac:dyDescent="0.3">
      <c r="B3129" s="9">
        <v>3128</v>
      </c>
      <c r="C3129" s="49">
        <v>29851</v>
      </c>
      <c r="D3129" s="9">
        <f>YEAR(Tabla1[[#This Row],[Date]])</f>
        <v>1981</v>
      </c>
      <c r="E3129" s="9" t="str" cm="1">
        <f t="array" ref="E3129">IFERROR(_xlfn.IFS(AND(D3129&lt;1980,D3129&gt;=1970),"70",AND(D3129&lt;1990,D3129&gt;=1980),"80",AND(D3129&lt;2000,D3129&gt;=1990),"90",AND(D3129&lt;2010,D3129&gt;=2000),"00",AND(D3129&lt;=2019,D3129&gt;=2010),"10"),"1908-1970")</f>
        <v>80</v>
      </c>
      <c r="F3129" s="3">
        <v>0.5</v>
      </c>
      <c r="G3129" t="s">
        <v>18968</v>
      </c>
      <c r="H3129" t="s">
        <v>18969</v>
      </c>
      <c r="I3129" t="s">
        <v>28931</v>
      </c>
      <c r="J3129" t="s">
        <v>28931</v>
      </c>
      <c r="K3129" t="s">
        <v>18970</v>
      </c>
      <c r="L3129" s="7" t="s">
        <v>28931</v>
      </c>
      <c r="M3129" t="s">
        <v>28931</v>
      </c>
      <c r="N3129">
        <v>0</v>
      </c>
      <c r="O3129">
        <v>0</v>
      </c>
      <c r="P3129">
        <v>0</v>
      </c>
      <c r="Q3129">
        <v>0</v>
      </c>
      <c r="R3129">
        <v>0</v>
      </c>
      <c r="S3129">
        <v>0</v>
      </c>
      <c r="T3129">
        <v>40</v>
      </c>
      <c r="U3129" t="s">
        <v>18971</v>
      </c>
      <c r="V3129">
        <f>Tabla1[[#This Row],[Aboard]]-Tabla1[[#This Row],[Fatalities]]</f>
        <v>0</v>
      </c>
      <c r="W3129" s="50">
        <f>IFERROR(Tabla1[[#This Row],[Fatalities]]/Tabla1[[#This Row],[Aboard]],0)</f>
        <v>0</v>
      </c>
      <c r="X3129" s="51" t="str" cm="1">
        <f t="array" ref="X3129">_xlfn.IFS(Tabla1[[#This Row],[Porcentaje de muertes]]&lt;0.35,"LEVE",AND(Tabla1[[#This Row],[Porcentaje de muertes]]&gt;0.35,Tabla1[[#This Row],[Porcentaje de muertes]]&lt;0.65),"MEDIO",Tabla1[[#This Row],[Porcentaje de muertes]]&gt;0.65,"GRAVE")</f>
        <v>LEVE</v>
      </c>
    </row>
    <row r="3130" spans="2:24" x14ac:dyDescent="0.3">
      <c r="B3130" s="9">
        <v>3129</v>
      </c>
      <c r="C3130" s="49">
        <v>29858</v>
      </c>
      <c r="D3130" s="9">
        <f>YEAR(Tabla1[[#This Row],[Date]])</f>
        <v>1981</v>
      </c>
      <c r="E3130" s="9" t="str" cm="1">
        <f t="array" ref="E3130">IFERROR(_xlfn.IFS(AND(D3130&lt;1980,D3130&gt;=1970),"70",AND(D3130&lt;1990,D3130&gt;=1980),"80",AND(D3130&lt;2000,D3130&gt;=1990),"90",AND(D3130&lt;2010,D3130&gt;=2000),"00",AND(D3130&lt;=2019,D3130&gt;=2010),"10"),"1908-1970")</f>
        <v>80</v>
      </c>
      <c r="F3130" s="3">
        <v>0.79166666666666663</v>
      </c>
      <c r="G3130" t="s">
        <v>10175</v>
      </c>
      <c r="H3130" t="s">
        <v>18972</v>
      </c>
      <c r="I3130" t="s">
        <v>18973</v>
      </c>
      <c r="J3130" t="s">
        <v>18974</v>
      </c>
      <c r="K3130" t="s">
        <v>17162</v>
      </c>
      <c r="L3130" s="7" t="s">
        <v>18975</v>
      </c>
      <c r="M3130">
        <v>4594</v>
      </c>
      <c r="N3130">
        <v>80</v>
      </c>
      <c r="O3130">
        <v>75</v>
      </c>
      <c r="P3130">
        <v>5</v>
      </c>
      <c r="Q3130">
        <v>60</v>
      </c>
      <c r="R3130">
        <v>75</v>
      </c>
      <c r="S3130">
        <v>5</v>
      </c>
      <c r="T3130">
        <v>20</v>
      </c>
      <c r="U3130" t="s">
        <v>18976</v>
      </c>
      <c r="V3130">
        <f>Tabla1[[#This Row],[Aboard]]-Tabla1[[#This Row],[Fatalities]]</f>
        <v>20</v>
      </c>
      <c r="W3130" s="50">
        <f>IFERROR(Tabla1[[#This Row],[Fatalities]]/Tabla1[[#This Row],[Aboard]],0)</f>
        <v>0.75</v>
      </c>
      <c r="X3130" s="51" t="str" cm="1">
        <f t="array" ref="X3130">_xlfn.IFS(Tabla1[[#This Row],[Porcentaje de muertes]]&lt;0.35,"LEVE",AND(Tabla1[[#This Row],[Porcentaje de muertes]]&gt;0.35,Tabla1[[#This Row],[Porcentaje de muertes]]&lt;0.65),"MEDIO",Tabla1[[#This Row],[Porcentaje de muertes]]&gt;0.65,"GRAVE")</f>
        <v>GRAVE</v>
      </c>
    </row>
    <row r="3131" spans="2:24" x14ac:dyDescent="0.3">
      <c r="B3131" s="9">
        <v>3130</v>
      </c>
      <c r="C3131" s="49">
        <v>29596</v>
      </c>
      <c r="D3131" s="9">
        <f>YEAR(Tabla1[[#This Row],[Date]])</f>
        <v>1981</v>
      </c>
      <c r="E3131" s="9" t="str" cm="1">
        <f t="array" ref="E3131">IFERROR(_xlfn.IFS(AND(D3131&lt;1980,D3131&gt;=1970),"70",AND(D3131&lt;1990,D3131&gt;=1980),"80",AND(D3131&lt;2000,D3131&gt;=1990),"90",AND(D3131&lt;2010,D3131&gt;=2000),"00",AND(D3131&lt;=2019,D3131&gt;=2010),"10"),"1908-1970")</f>
        <v>80</v>
      </c>
      <c r="F3131" s="3">
        <v>0.625</v>
      </c>
      <c r="G3131" t="s">
        <v>18977</v>
      </c>
      <c r="H3131" t="s">
        <v>18978</v>
      </c>
      <c r="I3131" t="s">
        <v>28931</v>
      </c>
      <c r="J3131" t="s">
        <v>18979</v>
      </c>
      <c r="K3131" t="s">
        <v>18980</v>
      </c>
      <c r="L3131" s="7" t="s">
        <v>18981</v>
      </c>
      <c r="M3131" t="s">
        <v>18982</v>
      </c>
      <c r="N3131">
        <v>3</v>
      </c>
      <c r="O3131">
        <v>1</v>
      </c>
      <c r="P3131">
        <v>2</v>
      </c>
      <c r="Q3131">
        <v>3</v>
      </c>
      <c r="R3131">
        <v>1</v>
      </c>
      <c r="S3131">
        <v>2</v>
      </c>
      <c r="T3131">
        <v>0</v>
      </c>
      <c r="U3131" t="s">
        <v>18983</v>
      </c>
      <c r="V3131">
        <f>Tabla1[[#This Row],[Aboard]]-Tabla1[[#This Row],[Fatalities]]</f>
        <v>0</v>
      </c>
      <c r="W3131" s="50">
        <f>IFERROR(Tabla1[[#This Row],[Fatalities]]/Tabla1[[#This Row],[Aboard]],0)</f>
        <v>1</v>
      </c>
      <c r="X3131" s="51" t="str" cm="1">
        <f t="array" ref="X3131">_xlfn.IFS(Tabla1[[#This Row],[Porcentaje de muertes]]&lt;0.35,"LEVE",AND(Tabla1[[#This Row],[Porcentaje de muertes]]&gt;0.35,Tabla1[[#This Row],[Porcentaje de muertes]]&lt;0.65),"MEDIO",Tabla1[[#This Row],[Porcentaje de muertes]]&gt;0.65,"GRAVE")</f>
        <v>GRAVE</v>
      </c>
    </row>
    <row r="3132" spans="2:24" x14ac:dyDescent="0.3">
      <c r="B3132" s="9">
        <v>3131</v>
      </c>
      <c r="C3132" s="49">
        <v>29747</v>
      </c>
      <c r="D3132" s="9">
        <f>YEAR(Tabla1[[#This Row],[Date]])</f>
        <v>1981</v>
      </c>
      <c r="E3132" s="9" t="str" cm="1">
        <f t="array" ref="E3132">IFERROR(_xlfn.IFS(AND(D3132&lt;1980,D3132&gt;=1970),"70",AND(D3132&lt;1990,D3132&gt;=1980),"80",AND(D3132&lt;2000,D3132&gt;=1990),"90",AND(D3132&lt;2010,D3132&gt;=2000),"00",AND(D3132&lt;=2019,D3132&gt;=2010),"10"),"1908-1970")</f>
        <v>80</v>
      </c>
      <c r="F3132" s="3">
        <v>0.71666666666666667</v>
      </c>
      <c r="G3132" t="s">
        <v>18984</v>
      </c>
      <c r="H3132" t="s">
        <v>18985</v>
      </c>
      <c r="I3132" t="s">
        <v>18986</v>
      </c>
      <c r="J3132" t="s">
        <v>18987</v>
      </c>
      <c r="K3132" t="s">
        <v>18988</v>
      </c>
      <c r="L3132" s="7" t="s">
        <v>18989</v>
      </c>
      <c r="M3132">
        <v>11141</v>
      </c>
      <c r="N3132">
        <v>17</v>
      </c>
      <c r="O3132">
        <v>13</v>
      </c>
      <c r="P3132">
        <v>4</v>
      </c>
      <c r="Q3132">
        <v>17</v>
      </c>
      <c r="R3132">
        <v>13</v>
      </c>
      <c r="S3132">
        <v>4</v>
      </c>
      <c r="T3132">
        <v>0</v>
      </c>
      <c r="U3132" t="s">
        <v>18990</v>
      </c>
      <c r="V3132">
        <f>Tabla1[[#This Row],[Aboard]]-Tabla1[[#This Row],[Fatalities]]</f>
        <v>0</v>
      </c>
      <c r="W3132" s="50">
        <f>IFERROR(Tabla1[[#This Row],[Fatalities]]/Tabla1[[#This Row],[Aboard]],0)</f>
        <v>1</v>
      </c>
      <c r="X3132" s="51" t="str" cm="1">
        <f t="array" ref="X3132">_xlfn.IFS(Tabla1[[#This Row],[Porcentaje de muertes]]&lt;0.35,"LEVE",AND(Tabla1[[#This Row],[Porcentaje de muertes]]&gt;0.35,Tabla1[[#This Row],[Porcentaje de muertes]]&lt;0.65),"MEDIO",Tabla1[[#This Row],[Porcentaje de muertes]]&gt;0.65,"GRAVE")</f>
        <v>GRAVE</v>
      </c>
    </row>
    <row r="3133" spans="2:24" x14ac:dyDescent="0.3">
      <c r="B3133" s="9">
        <v>3132</v>
      </c>
      <c r="C3133" s="49">
        <v>29874</v>
      </c>
      <c r="D3133" s="9">
        <f>YEAR(Tabla1[[#This Row],[Date]])</f>
        <v>1981</v>
      </c>
      <c r="E3133" s="9" t="str" cm="1">
        <f t="array" ref="E3133">IFERROR(_xlfn.IFS(AND(D3133&lt;1980,D3133&gt;=1970),"70",AND(D3133&lt;1990,D3133&gt;=1980),"80",AND(D3133&lt;2000,D3133&gt;=1990),"90",AND(D3133&lt;2010,D3133&gt;=2000),"00",AND(D3133&lt;=2019,D3133&gt;=2010),"10"),"1908-1970")</f>
        <v>80</v>
      </c>
      <c r="F3133" s="3" t="s">
        <v>28931</v>
      </c>
      <c r="G3133" t="s">
        <v>18991</v>
      </c>
      <c r="H3133" t="s">
        <v>18992</v>
      </c>
      <c r="I3133" t="s">
        <v>28931</v>
      </c>
      <c r="J3133" t="s">
        <v>18993</v>
      </c>
      <c r="K3133" t="s">
        <v>18994</v>
      </c>
      <c r="L3133" s="7" t="s">
        <v>18995</v>
      </c>
      <c r="M3133" t="s">
        <v>18996</v>
      </c>
      <c r="N3133">
        <v>9</v>
      </c>
      <c r="O3133" t="s">
        <v>5038</v>
      </c>
      <c r="P3133" t="s">
        <v>5038</v>
      </c>
      <c r="Q3133">
        <v>9</v>
      </c>
      <c r="R3133" t="s">
        <v>5038</v>
      </c>
      <c r="S3133" t="s">
        <v>5038</v>
      </c>
      <c r="T3133">
        <v>0</v>
      </c>
      <c r="U3133" t="s">
        <v>7413</v>
      </c>
      <c r="V3133">
        <f>Tabla1[[#This Row],[Aboard]]-Tabla1[[#This Row],[Fatalities]]</f>
        <v>0</v>
      </c>
      <c r="W3133" s="50">
        <f>IFERROR(Tabla1[[#This Row],[Fatalities]]/Tabla1[[#This Row],[Aboard]],0)</f>
        <v>1</v>
      </c>
      <c r="X3133" s="51" t="str" cm="1">
        <f t="array" ref="X3133">_xlfn.IFS(Tabla1[[#This Row],[Porcentaje de muertes]]&lt;0.35,"LEVE",AND(Tabla1[[#This Row],[Porcentaje de muertes]]&gt;0.35,Tabla1[[#This Row],[Porcentaje de muertes]]&lt;0.65),"MEDIO",Tabla1[[#This Row],[Porcentaje de muertes]]&gt;0.65,"GRAVE")</f>
        <v>GRAVE</v>
      </c>
    </row>
    <row r="3134" spans="2:24" x14ac:dyDescent="0.3">
      <c r="B3134" s="9">
        <v>3133</v>
      </c>
      <c r="C3134" s="49">
        <v>29885</v>
      </c>
      <c r="D3134" s="9">
        <f>YEAR(Tabla1[[#This Row],[Date]])</f>
        <v>1981</v>
      </c>
      <c r="E3134" s="9" t="str" cm="1">
        <f t="array" ref="E3134">IFERROR(_xlfn.IFS(AND(D3134&lt;1980,D3134&gt;=1970),"70",AND(D3134&lt;1990,D3134&gt;=1980),"80",AND(D3134&lt;2000,D3134&gt;=1990),"90",AND(D3134&lt;2010,D3134&gt;=2000),"00",AND(D3134&lt;=2019,D3134&gt;=2010),"10"),"1908-1970")</f>
        <v>80</v>
      </c>
      <c r="F3134" s="3">
        <v>0.76666666666666661</v>
      </c>
      <c r="G3134" t="s">
        <v>18997</v>
      </c>
      <c r="H3134" t="s">
        <v>18998</v>
      </c>
      <c r="I3134" t="s">
        <v>28931</v>
      </c>
      <c r="J3134" t="s">
        <v>18999</v>
      </c>
      <c r="K3134" t="s">
        <v>13370</v>
      </c>
      <c r="L3134" s="7" t="s">
        <v>19000</v>
      </c>
      <c r="M3134">
        <v>2607</v>
      </c>
      <c r="N3134">
        <v>5</v>
      </c>
      <c r="O3134">
        <v>2</v>
      </c>
      <c r="P3134">
        <v>3</v>
      </c>
      <c r="Q3134">
        <v>5</v>
      </c>
      <c r="R3134">
        <v>2</v>
      </c>
      <c r="S3134">
        <v>3</v>
      </c>
      <c r="T3134">
        <v>0</v>
      </c>
      <c r="U3134" t="s">
        <v>19001</v>
      </c>
      <c r="V3134">
        <f>Tabla1[[#This Row],[Aboard]]-Tabla1[[#This Row],[Fatalities]]</f>
        <v>0</v>
      </c>
      <c r="W3134" s="50">
        <f>IFERROR(Tabla1[[#This Row],[Fatalities]]/Tabla1[[#This Row],[Aboard]],0)</f>
        <v>1</v>
      </c>
      <c r="X3134" s="51" t="str" cm="1">
        <f t="array" ref="X3134">_xlfn.IFS(Tabla1[[#This Row],[Porcentaje de muertes]]&lt;0.35,"LEVE",AND(Tabla1[[#This Row],[Porcentaje de muertes]]&gt;0.35,Tabla1[[#This Row],[Porcentaje de muertes]]&lt;0.65),"MEDIO",Tabla1[[#This Row],[Porcentaje de muertes]]&gt;0.65,"GRAVE")</f>
        <v>GRAVE</v>
      </c>
    </row>
    <row r="3135" spans="2:24" x14ac:dyDescent="0.3">
      <c r="B3135" s="9">
        <v>3134</v>
      </c>
      <c r="C3135" s="49">
        <v>29890</v>
      </c>
      <c r="D3135" s="9">
        <f>YEAR(Tabla1[[#This Row],[Date]])</f>
        <v>1981</v>
      </c>
      <c r="E3135" s="9" t="str" cm="1">
        <f t="array" ref="E3135">IFERROR(_xlfn.IFS(AND(D3135&lt;1980,D3135&gt;=1970),"70",AND(D3135&lt;1990,D3135&gt;=1980),"80",AND(D3135&lt;2000,D3135&gt;=1990),"90",AND(D3135&lt;2010,D3135&gt;=2000),"00",AND(D3135&lt;=2019,D3135&gt;=2010),"10"),"1908-1970")</f>
        <v>80</v>
      </c>
      <c r="F3135" s="3" t="s">
        <v>28931</v>
      </c>
      <c r="G3135" t="s">
        <v>19002</v>
      </c>
      <c r="H3135" t="s">
        <v>19003</v>
      </c>
      <c r="I3135" t="s">
        <v>28931</v>
      </c>
      <c r="J3135" t="s">
        <v>28931</v>
      </c>
      <c r="K3135" t="s">
        <v>16680</v>
      </c>
      <c r="L3135" s="7" t="s">
        <v>19004</v>
      </c>
      <c r="M3135">
        <v>416</v>
      </c>
      <c r="N3135">
        <v>24</v>
      </c>
      <c r="O3135">
        <v>22</v>
      </c>
      <c r="P3135">
        <v>2</v>
      </c>
      <c r="Q3135">
        <v>1</v>
      </c>
      <c r="R3135">
        <v>1</v>
      </c>
      <c r="S3135">
        <v>0</v>
      </c>
      <c r="T3135">
        <v>0</v>
      </c>
      <c r="U3135" t="s">
        <v>19005</v>
      </c>
      <c r="V3135">
        <f>Tabla1[[#This Row],[Aboard]]-Tabla1[[#This Row],[Fatalities]]</f>
        <v>23</v>
      </c>
      <c r="W3135" s="50">
        <f>IFERROR(Tabla1[[#This Row],[Fatalities]]/Tabla1[[#This Row],[Aboard]],0)</f>
        <v>4.1666666666666664E-2</v>
      </c>
      <c r="X3135" s="51" t="str" cm="1">
        <f t="array" ref="X3135">_xlfn.IFS(Tabla1[[#This Row],[Porcentaje de muertes]]&lt;0.35,"LEVE",AND(Tabla1[[#This Row],[Porcentaje de muertes]]&gt;0.35,Tabla1[[#This Row],[Porcentaje de muertes]]&lt;0.65),"MEDIO",Tabla1[[#This Row],[Porcentaje de muertes]]&gt;0.65,"GRAVE")</f>
        <v>LEVE</v>
      </c>
    </row>
    <row r="3136" spans="2:24" x14ac:dyDescent="0.3">
      <c r="B3136" s="9">
        <v>3135</v>
      </c>
      <c r="C3136" s="49">
        <v>29809</v>
      </c>
      <c r="D3136" s="9">
        <f>YEAR(Tabla1[[#This Row],[Date]])</f>
        <v>1981</v>
      </c>
      <c r="E3136" s="9" t="str" cm="1">
        <f t="array" ref="E3136">IFERROR(_xlfn.IFS(AND(D3136&lt;1980,D3136&gt;=1970),"70",AND(D3136&lt;1990,D3136&gt;=1980),"80",AND(D3136&lt;2000,D3136&gt;=1990),"90",AND(D3136&lt;2010,D3136&gt;=2000),"00",AND(D3136&lt;=2019,D3136&gt;=2010),"10"),"1908-1970")</f>
        <v>80</v>
      </c>
      <c r="F3136" s="3" t="s">
        <v>28931</v>
      </c>
      <c r="G3136" t="s">
        <v>19006</v>
      </c>
      <c r="H3136" t="s">
        <v>16827</v>
      </c>
      <c r="I3136" t="s">
        <v>28931</v>
      </c>
      <c r="J3136" t="s">
        <v>19007</v>
      </c>
      <c r="K3136" t="s">
        <v>15468</v>
      </c>
      <c r="L3136" s="7" t="s">
        <v>19008</v>
      </c>
      <c r="M3136" t="s">
        <v>19009</v>
      </c>
      <c r="N3136">
        <v>18</v>
      </c>
      <c r="O3136">
        <v>12</v>
      </c>
      <c r="P3136">
        <v>6</v>
      </c>
      <c r="Q3136">
        <v>18</v>
      </c>
      <c r="R3136">
        <v>12</v>
      </c>
      <c r="S3136">
        <v>6</v>
      </c>
      <c r="T3136">
        <v>0</v>
      </c>
      <c r="U3136" t="s">
        <v>19010</v>
      </c>
      <c r="V3136">
        <f>Tabla1[[#This Row],[Aboard]]-Tabla1[[#This Row],[Fatalities]]</f>
        <v>0</v>
      </c>
      <c r="W3136" s="50">
        <f>IFERROR(Tabla1[[#This Row],[Fatalities]]/Tabla1[[#This Row],[Aboard]],0)</f>
        <v>1</v>
      </c>
      <c r="X3136" s="51" t="str" cm="1">
        <f t="array" ref="X3136">_xlfn.IFS(Tabla1[[#This Row],[Porcentaje de muertes]]&lt;0.35,"LEVE",AND(Tabla1[[#This Row],[Porcentaje de muertes]]&gt;0.35,Tabla1[[#This Row],[Porcentaje de muertes]]&lt;0.65),"MEDIO",Tabla1[[#This Row],[Porcentaje de muertes]]&gt;0.65,"GRAVE")</f>
        <v>GRAVE</v>
      </c>
    </row>
    <row r="3137" spans="2:24" x14ac:dyDescent="0.3">
      <c r="B3137" s="9">
        <v>3136</v>
      </c>
      <c r="C3137" s="49">
        <v>29906</v>
      </c>
      <c r="D3137" s="9">
        <f>YEAR(Tabla1[[#This Row],[Date]])</f>
        <v>1981</v>
      </c>
      <c r="E3137" s="9" t="str" cm="1">
        <f t="array" ref="E3137">IFERROR(_xlfn.IFS(AND(D3137&lt;1980,D3137&gt;=1970),"70",AND(D3137&lt;1990,D3137&gt;=1980),"80",AND(D3137&lt;2000,D3137&gt;=1990),"90",AND(D3137&lt;2010,D3137&gt;=2000),"00",AND(D3137&lt;=2019,D3137&gt;=2010),"10"),"1908-1970")</f>
        <v>80</v>
      </c>
      <c r="F3137" s="3">
        <v>0.8125</v>
      </c>
      <c r="G3137" t="s">
        <v>19011</v>
      </c>
      <c r="H3137" t="s">
        <v>6541</v>
      </c>
      <c r="I3137" t="s">
        <v>28931</v>
      </c>
      <c r="J3137" t="s">
        <v>19012</v>
      </c>
      <c r="K3137" t="s">
        <v>19013</v>
      </c>
      <c r="L3137" s="7" t="s">
        <v>19014</v>
      </c>
      <c r="M3137" t="s">
        <v>19015</v>
      </c>
      <c r="N3137">
        <v>167</v>
      </c>
      <c r="O3137">
        <v>160</v>
      </c>
      <c r="P3137">
        <v>7</v>
      </c>
      <c r="Q3137">
        <v>99</v>
      </c>
      <c r="R3137">
        <v>95</v>
      </c>
      <c r="S3137">
        <v>4</v>
      </c>
      <c r="T3137">
        <v>0</v>
      </c>
      <c r="U3137" t="s">
        <v>19016</v>
      </c>
      <c r="V3137">
        <f>Tabla1[[#This Row],[Aboard]]-Tabla1[[#This Row],[Fatalities]]</f>
        <v>68</v>
      </c>
      <c r="W3137" s="50">
        <f>IFERROR(Tabla1[[#This Row],[Fatalities]]/Tabla1[[#This Row],[Aboard]],0)</f>
        <v>0.59281437125748504</v>
      </c>
      <c r="X3137" s="51" t="str" cm="1">
        <f t="array" ref="X3137">_xlfn.IFS(Tabla1[[#This Row],[Porcentaje de muertes]]&lt;0.35,"LEVE",AND(Tabla1[[#This Row],[Porcentaje de muertes]]&gt;0.35,Tabla1[[#This Row],[Porcentaje de muertes]]&lt;0.65),"MEDIO",Tabla1[[#This Row],[Porcentaje de muertes]]&gt;0.65,"GRAVE")</f>
        <v>MEDIO</v>
      </c>
    </row>
    <row r="3138" spans="2:24" x14ac:dyDescent="0.3">
      <c r="B3138" s="9">
        <v>3137</v>
      </c>
      <c r="C3138" s="49">
        <v>29909</v>
      </c>
      <c r="D3138" s="9">
        <f>YEAR(Tabla1[[#This Row],[Date]])</f>
        <v>1981</v>
      </c>
      <c r="E3138" s="9" t="str" cm="1">
        <f t="array" ref="E3138">IFERROR(_xlfn.IFS(AND(D3138&lt;1980,D3138&gt;=1970),"70",AND(D3138&lt;1990,D3138&gt;=1980),"80",AND(D3138&lt;2000,D3138&gt;=1990),"90",AND(D3138&lt;2010,D3138&gt;=2000),"00",AND(D3138&lt;=2019,D3138&gt;=2010),"10"),"1908-1970")</f>
        <v>80</v>
      </c>
      <c r="F3138" s="3" t="s">
        <v>28931</v>
      </c>
      <c r="G3138" t="s">
        <v>19017</v>
      </c>
      <c r="H3138" t="s">
        <v>13123</v>
      </c>
      <c r="I3138" t="s">
        <v>28931</v>
      </c>
      <c r="J3138" t="s">
        <v>19018</v>
      </c>
      <c r="K3138" t="s">
        <v>19019</v>
      </c>
      <c r="L3138" s="7" t="s">
        <v>19020</v>
      </c>
      <c r="M3138">
        <v>746</v>
      </c>
      <c r="N3138">
        <v>10</v>
      </c>
      <c r="O3138">
        <v>9</v>
      </c>
      <c r="P3138">
        <v>1</v>
      </c>
      <c r="Q3138">
        <v>10</v>
      </c>
      <c r="R3138">
        <v>9</v>
      </c>
      <c r="S3138">
        <v>1</v>
      </c>
      <c r="T3138">
        <v>0</v>
      </c>
      <c r="U3138" t="s">
        <v>19021</v>
      </c>
      <c r="V3138">
        <f>Tabla1[[#This Row],[Aboard]]-Tabla1[[#This Row],[Fatalities]]</f>
        <v>0</v>
      </c>
      <c r="W3138" s="50">
        <f>IFERROR(Tabla1[[#This Row],[Fatalities]]/Tabla1[[#This Row],[Aboard]],0)</f>
        <v>1</v>
      </c>
      <c r="X3138" s="51" t="str" cm="1">
        <f t="array" ref="X3138">_xlfn.IFS(Tabla1[[#This Row],[Porcentaje de muertes]]&lt;0.35,"LEVE",AND(Tabla1[[#This Row],[Porcentaje de muertes]]&gt;0.35,Tabla1[[#This Row],[Porcentaje de muertes]]&lt;0.65),"MEDIO",Tabla1[[#This Row],[Porcentaje de muertes]]&gt;0.65,"GRAVE")</f>
        <v>GRAVE</v>
      </c>
    </row>
    <row r="3139" spans="2:24" x14ac:dyDescent="0.3">
      <c r="B3139" s="9">
        <v>3138</v>
      </c>
      <c r="C3139" s="49">
        <v>29920</v>
      </c>
      <c r="D3139" s="9">
        <f>YEAR(Tabla1[[#This Row],[Date]])</f>
        <v>1981</v>
      </c>
      <c r="E3139" s="9" t="str" cm="1">
        <f t="array" ref="E3139">IFERROR(_xlfn.IFS(AND(D3139&lt;1980,D3139&gt;=1970),"70",AND(D3139&lt;1990,D3139&gt;=1980),"80",AND(D3139&lt;2000,D3139&gt;=1990),"90",AND(D3139&lt;2010,D3139&gt;=2000),"00",AND(D3139&lt;=2019,D3139&gt;=2010),"10"),"1908-1970")</f>
        <v>80</v>
      </c>
      <c r="F3139" s="3" t="s">
        <v>28931</v>
      </c>
      <c r="G3139" t="s">
        <v>19022</v>
      </c>
      <c r="H3139" t="s">
        <v>19023</v>
      </c>
      <c r="I3139" t="s">
        <v>28931</v>
      </c>
      <c r="J3139" t="s">
        <v>19024</v>
      </c>
      <c r="K3139" t="s">
        <v>11052</v>
      </c>
      <c r="L3139" s="7" t="s">
        <v>19025</v>
      </c>
      <c r="M3139" t="s">
        <v>19026</v>
      </c>
      <c r="N3139">
        <v>3</v>
      </c>
      <c r="O3139">
        <v>0</v>
      </c>
      <c r="P3139">
        <v>3</v>
      </c>
      <c r="Q3139">
        <v>3</v>
      </c>
      <c r="R3139">
        <v>0</v>
      </c>
      <c r="S3139">
        <v>3</v>
      </c>
      <c r="T3139">
        <v>0</v>
      </c>
      <c r="U3139" t="s">
        <v>19027</v>
      </c>
      <c r="V3139">
        <f>Tabla1[[#This Row],[Aboard]]-Tabla1[[#This Row],[Fatalities]]</f>
        <v>0</v>
      </c>
      <c r="W3139" s="50">
        <f>IFERROR(Tabla1[[#This Row],[Fatalities]]/Tabla1[[#This Row],[Aboard]],0)</f>
        <v>1</v>
      </c>
      <c r="X3139" s="51" t="str" cm="1">
        <f t="array" ref="X3139">_xlfn.IFS(Tabla1[[#This Row],[Porcentaje de muertes]]&lt;0.35,"LEVE",AND(Tabla1[[#This Row],[Porcentaje de muertes]]&gt;0.35,Tabla1[[#This Row],[Porcentaje de muertes]]&lt;0.65),"MEDIO",Tabla1[[#This Row],[Porcentaje de muertes]]&gt;0.65,"GRAVE")</f>
        <v>GRAVE</v>
      </c>
    </row>
    <row r="3140" spans="2:24" x14ac:dyDescent="0.3">
      <c r="B3140" s="9">
        <v>3139</v>
      </c>
      <c r="C3140" s="49">
        <v>29598</v>
      </c>
      <c r="D3140" s="9">
        <f>YEAR(Tabla1[[#This Row],[Date]])</f>
        <v>1981</v>
      </c>
      <c r="E3140" s="9" t="str" cm="1">
        <f t="array" ref="E3140">IFERROR(_xlfn.IFS(AND(D3140&lt;1980,D3140&gt;=1970),"70",AND(D3140&lt;1990,D3140&gt;=1980),"80",AND(D3140&lt;2000,D3140&gt;=1990),"90",AND(D3140&lt;2010,D3140&gt;=2000),"00",AND(D3140&lt;=2019,D3140&gt;=2010),"10"),"1908-1970")</f>
        <v>80</v>
      </c>
      <c r="F3140" s="3">
        <v>0.37013888888888885</v>
      </c>
      <c r="G3140" t="s">
        <v>19028</v>
      </c>
      <c r="H3140" t="s">
        <v>19029</v>
      </c>
      <c r="I3140" t="s">
        <v>19030</v>
      </c>
      <c r="J3140" t="s">
        <v>19031</v>
      </c>
      <c r="K3140" t="s">
        <v>19032</v>
      </c>
      <c r="L3140" s="7" t="s">
        <v>19033</v>
      </c>
      <c r="M3140" t="s">
        <v>19034</v>
      </c>
      <c r="N3140">
        <v>180</v>
      </c>
      <c r="O3140">
        <v>173</v>
      </c>
      <c r="P3140">
        <v>7</v>
      </c>
      <c r="Q3140">
        <v>180</v>
      </c>
      <c r="R3140">
        <v>173</v>
      </c>
      <c r="S3140">
        <v>7</v>
      </c>
      <c r="T3140">
        <v>0</v>
      </c>
      <c r="U3140" t="s">
        <v>19035</v>
      </c>
      <c r="V3140">
        <f>Tabla1[[#This Row],[Aboard]]-Tabla1[[#This Row],[Fatalities]]</f>
        <v>0</v>
      </c>
      <c r="W3140" s="50">
        <f>IFERROR(Tabla1[[#This Row],[Fatalities]]/Tabla1[[#This Row],[Aboard]],0)</f>
        <v>1</v>
      </c>
      <c r="X3140" s="51" t="str" cm="1">
        <f t="array" ref="X3140">_xlfn.IFS(Tabla1[[#This Row],[Porcentaje de muertes]]&lt;0.35,"LEVE",AND(Tabla1[[#This Row],[Porcentaje de muertes]]&gt;0.35,Tabla1[[#This Row],[Porcentaje de muertes]]&lt;0.65),"MEDIO",Tabla1[[#This Row],[Porcentaje de muertes]]&gt;0.65,"GRAVE")</f>
        <v>GRAVE</v>
      </c>
    </row>
    <row r="3141" spans="2:24" x14ac:dyDescent="0.3">
      <c r="B3141" s="9">
        <v>3140</v>
      </c>
      <c r="C3141" s="49">
        <v>29718</v>
      </c>
      <c r="D3141" s="9">
        <f>YEAR(Tabla1[[#This Row],[Date]])</f>
        <v>1981</v>
      </c>
      <c r="E3141" s="9" t="str" cm="1">
        <f t="array" ref="E3141">IFERROR(_xlfn.IFS(AND(D3141&lt;1980,D3141&gt;=1970),"70",AND(D3141&lt;1990,D3141&gt;=1980),"80",AND(D3141&lt;2000,D3141&gt;=1990),"90",AND(D3141&lt;2010,D3141&gt;=2000),"00",AND(D3141&lt;=2019,D3141&gt;=2010),"10"),"1908-1970")</f>
        <v>80</v>
      </c>
      <c r="F3141" s="3">
        <v>0.79722222222222217</v>
      </c>
      <c r="G3141" t="s">
        <v>13605</v>
      </c>
      <c r="H3141" t="s">
        <v>19036</v>
      </c>
      <c r="I3141" t="s">
        <v>28931</v>
      </c>
      <c r="J3141" t="s">
        <v>19037</v>
      </c>
      <c r="K3141" t="s">
        <v>19038</v>
      </c>
      <c r="L3141" s="7" t="s">
        <v>19039</v>
      </c>
      <c r="M3141" t="s">
        <v>19040</v>
      </c>
      <c r="N3141">
        <v>12</v>
      </c>
      <c r="O3141">
        <v>11</v>
      </c>
      <c r="P3141">
        <v>1</v>
      </c>
      <c r="Q3141">
        <v>11</v>
      </c>
      <c r="R3141">
        <v>10</v>
      </c>
      <c r="S3141">
        <v>1</v>
      </c>
      <c r="T3141">
        <v>0</v>
      </c>
      <c r="U3141" t="s">
        <v>19041</v>
      </c>
      <c r="V3141">
        <f>Tabla1[[#This Row],[Aboard]]-Tabla1[[#This Row],[Fatalities]]</f>
        <v>1</v>
      </c>
      <c r="W3141" s="50">
        <f>IFERROR(Tabla1[[#This Row],[Fatalities]]/Tabla1[[#This Row],[Aboard]],0)</f>
        <v>0.91666666666666663</v>
      </c>
      <c r="X3141" s="51" t="str" cm="1">
        <f t="array" ref="X3141">_xlfn.IFS(Tabla1[[#This Row],[Porcentaje de muertes]]&lt;0.35,"LEVE",AND(Tabla1[[#This Row],[Porcentaje de muertes]]&gt;0.35,Tabla1[[#This Row],[Porcentaje de muertes]]&lt;0.65),"MEDIO",Tabla1[[#This Row],[Porcentaje de muertes]]&gt;0.65,"GRAVE")</f>
        <v>GRAVE</v>
      </c>
    </row>
    <row r="3142" spans="2:24" x14ac:dyDescent="0.3">
      <c r="B3142" s="9">
        <v>3141</v>
      </c>
      <c r="C3142" s="49">
        <v>29936</v>
      </c>
      <c r="D3142" s="9">
        <f>YEAR(Tabla1[[#This Row],[Date]])</f>
        <v>1981</v>
      </c>
      <c r="E3142" s="9" t="str" cm="1">
        <f t="array" ref="E3142">IFERROR(_xlfn.IFS(AND(D3142&lt;1980,D3142&gt;=1970),"70",AND(D3142&lt;1990,D3142&gt;=1980),"80",AND(D3142&lt;2000,D3142&gt;=1990),"90",AND(D3142&lt;2010,D3142&gt;=2000),"00",AND(D3142&lt;=2019,D3142&gt;=2010),"10"),"1908-1970")</f>
        <v>80</v>
      </c>
      <c r="F3142" s="3" t="s">
        <v>28931</v>
      </c>
      <c r="G3142" t="s">
        <v>19042</v>
      </c>
      <c r="H3142" t="s">
        <v>19043</v>
      </c>
      <c r="I3142" t="s">
        <v>28931</v>
      </c>
      <c r="J3142" t="s">
        <v>28931</v>
      </c>
      <c r="K3142" t="s">
        <v>19044</v>
      </c>
      <c r="L3142" s="7" t="s">
        <v>19045</v>
      </c>
      <c r="M3142">
        <v>1481</v>
      </c>
      <c r="N3142">
        <v>12</v>
      </c>
      <c r="O3142" t="s">
        <v>5038</v>
      </c>
      <c r="P3142" t="s">
        <v>5038</v>
      </c>
      <c r="Q3142">
        <v>12</v>
      </c>
      <c r="R3142" t="s">
        <v>5038</v>
      </c>
      <c r="S3142" t="s">
        <v>5038</v>
      </c>
      <c r="T3142">
        <v>0</v>
      </c>
      <c r="U3142" t="s">
        <v>6004</v>
      </c>
      <c r="V3142">
        <f>Tabla1[[#This Row],[Aboard]]-Tabla1[[#This Row],[Fatalities]]</f>
        <v>0</v>
      </c>
      <c r="W3142" s="50">
        <f>IFERROR(Tabla1[[#This Row],[Fatalities]]/Tabla1[[#This Row],[Aboard]],0)</f>
        <v>1</v>
      </c>
      <c r="X3142" s="51" t="str" cm="1">
        <f t="array" ref="X3142">_xlfn.IFS(Tabla1[[#This Row],[Porcentaje de muertes]]&lt;0.35,"LEVE",AND(Tabla1[[#This Row],[Porcentaje de muertes]]&gt;0.35,Tabla1[[#This Row],[Porcentaje de muertes]]&lt;0.65),"MEDIO",Tabla1[[#This Row],[Porcentaje de muertes]]&gt;0.65,"GRAVE")</f>
        <v>GRAVE</v>
      </c>
    </row>
    <row r="3143" spans="2:24" x14ac:dyDescent="0.3">
      <c r="B3143" s="9">
        <v>3142</v>
      </c>
      <c r="C3143" s="49">
        <v>29938</v>
      </c>
      <c r="D3143" s="9">
        <f>YEAR(Tabla1[[#This Row],[Date]])</f>
        <v>1981</v>
      </c>
      <c r="E3143" s="9" t="str" cm="1">
        <f t="array" ref="E3143">IFERROR(_xlfn.IFS(AND(D3143&lt;1980,D3143&gt;=1970),"70",AND(D3143&lt;1990,D3143&gt;=1980),"80",AND(D3143&lt;2000,D3143&gt;=1990),"90",AND(D3143&lt;2010,D3143&gt;=2000),"00",AND(D3143&lt;=2019,D3143&gt;=2010),"10"),"1908-1970")</f>
        <v>80</v>
      </c>
      <c r="F3143" s="3">
        <v>0.54583333333333328</v>
      </c>
      <c r="G3143" t="s">
        <v>19046</v>
      </c>
      <c r="H3143" t="s">
        <v>19047</v>
      </c>
      <c r="I3143" t="s">
        <v>28931</v>
      </c>
      <c r="J3143" t="s">
        <v>19048</v>
      </c>
      <c r="K3143" t="s">
        <v>16680</v>
      </c>
      <c r="L3143" s="7" t="s">
        <v>19049</v>
      </c>
      <c r="M3143">
        <v>609</v>
      </c>
      <c r="N3143">
        <v>13</v>
      </c>
      <c r="O3143">
        <v>11</v>
      </c>
      <c r="P3143">
        <v>2</v>
      </c>
      <c r="Q3143">
        <v>13</v>
      </c>
      <c r="R3143">
        <v>11</v>
      </c>
      <c r="S3143">
        <v>2</v>
      </c>
      <c r="T3143">
        <v>0</v>
      </c>
      <c r="U3143" t="s">
        <v>19050</v>
      </c>
      <c r="V3143">
        <f>Tabla1[[#This Row],[Aboard]]-Tabla1[[#This Row],[Fatalities]]</f>
        <v>0</v>
      </c>
      <c r="W3143" s="50">
        <f>IFERROR(Tabla1[[#This Row],[Fatalities]]/Tabla1[[#This Row],[Aboard]],0)</f>
        <v>1</v>
      </c>
      <c r="X3143" s="51" t="str" cm="1">
        <f t="array" ref="X3143">_xlfn.IFS(Tabla1[[#This Row],[Porcentaje de muertes]]&lt;0.35,"LEVE",AND(Tabla1[[#This Row],[Porcentaje de muertes]]&gt;0.35,Tabla1[[#This Row],[Porcentaje de muertes]]&lt;0.65),"MEDIO",Tabla1[[#This Row],[Porcentaje de muertes]]&gt;0.65,"GRAVE")</f>
        <v>GRAVE</v>
      </c>
    </row>
    <row r="3144" spans="2:24" x14ac:dyDescent="0.3">
      <c r="B3144" s="9">
        <v>3143</v>
      </c>
      <c r="C3144" s="49">
        <v>30133</v>
      </c>
      <c r="D3144" s="9">
        <f>YEAR(Tabla1[[#This Row],[Date]])</f>
        <v>1982</v>
      </c>
      <c r="E3144" s="9" t="str" cm="1">
        <f t="array" ref="E3144">IFERROR(_xlfn.IFS(AND(D3144&lt;1980,D3144&gt;=1970),"70",AND(D3144&lt;1990,D3144&gt;=1980),"80",AND(D3144&lt;2000,D3144&gt;=1990),"90",AND(D3144&lt;2010,D3144&gt;=2000),"00",AND(D3144&lt;=2019,D3144&gt;=2010),"10"),"1908-1970")</f>
        <v>80</v>
      </c>
      <c r="F3144" s="3" t="s">
        <v>28931</v>
      </c>
      <c r="G3144" t="s">
        <v>19051</v>
      </c>
      <c r="H3144" t="s">
        <v>6541</v>
      </c>
      <c r="I3144" t="s">
        <v>28931</v>
      </c>
      <c r="J3144" t="s">
        <v>19052</v>
      </c>
      <c r="K3144" t="s">
        <v>28956</v>
      </c>
      <c r="L3144" s="7" t="s">
        <v>19053</v>
      </c>
      <c r="M3144">
        <v>781101</v>
      </c>
      <c r="N3144">
        <v>18</v>
      </c>
      <c r="O3144">
        <v>16</v>
      </c>
      <c r="P3144">
        <v>2</v>
      </c>
      <c r="Q3144">
        <v>18</v>
      </c>
      <c r="R3144">
        <v>16</v>
      </c>
      <c r="S3144">
        <v>2</v>
      </c>
      <c r="T3144">
        <v>0</v>
      </c>
      <c r="U3144" t="s">
        <v>19054</v>
      </c>
      <c r="V3144">
        <f>Tabla1[[#This Row],[Aboard]]-Tabla1[[#This Row],[Fatalities]]</f>
        <v>0</v>
      </c>
      <c r="W3144" s="50">
        <f>IFERROR(Tabla1[[#This Row],[Fatalities]]/Tabla1[[#This Row],[Aboard]],0)</f>
        <v>1</v>
      </c>
      <c r="X3144" s="51" t="str" cm="1">
        <f t="array" ref="X3144">_xlfn.IFS(Tabla1[[#This Row],[Porcentaje de muertes]]&lt;0.35,"LEVE",AND(Tabla1[[#This Row],[Porcentaje de muertes]]&gt;0.35,Tabla1[[#This Row],[Porcentaje de muertes]]&lt;0.65),"MEDIO",Tabla1[[#This Row],[Porcentaje de muertes]]&gt;0.65,"GRAVE")</f>
        <v>GRAVE</v>
      </c>
    </row>
    <row r="3145" spans="2:24" x14ac:dyDescent="0.3">
      <c r="B3145" s="9">
        <v>3144</v>
      </c>
      <c r="C3145" s="49">
        <v>29964</v>
      </c>
      <c r="D3145" s="9">
        <f>YEAR(Tabla1[[#This Row],[Date]])</f>
        <v>1982</v>
      </c>
      <c r="E3145" s="9" t="str" cm="1">
        <f t="array" ref="E3145">IFERROR(_xlfn.IFS(AND(D3145&lt;1980,D3145&gt;=1970),"70",AND(D3145&lt;1990,D3145&gt;=1980),"80",AND(D3145&lt;2000,D3145&gt;=1990),"90",AND(D3145&lt;2010,D3145&gt;=2000),"00",AND(D3145&lt;=2019,D3145&gt;=2010),"10"),"1908-1970")</f>
        <v>80</v>
      </c>
      <c r="F3145" s="3">
        <v>0.66736111111111107</v>
      </c>
      <c r="G3145" t="s">
        <v>9976</v>
      </c>
      <c r="H3145" t="s">
        <v>19055</v>
      </c>
      <c r="I3145">
        <v>90</v>
      </c>
      <c r="J3145" t="s">
        <v>19056</v>
      </c>
      <c r="K3145" t="s">
        <v>16666</v>
      </c>
      <c r="L3145" s="7" t="s">
        <v>19057</v>
      </c>
      <c r="M3145" t="s">
        <v>19058</v>
      </c>
      <c r="N3145">
        <v>79</v>
      </c>
      <c r="O3145">
        <v>74</v>
      </c>
      <c r="P3145">
        <v>5</v>
      </c>
      <c r="Q3145">
        <v>74</v>
      </c>
      <c r="R3145">
        <v>70</v>
      </c>
      <c r="S3145">
        <v>4</v>
      </c>
      <c r="T3145">
        <v>4</v>
      </c>
      <c r="U3145" t="s">
        <v>19059</v>
      </c>
      <c r="V3145">
        <f>Tabla1[[#This Row],[Aboard]]-Tabla1[[#This Row],[Fatalities]]</f>
        <v>5</v>
      </c>
      <c r="W3145" s="50">
        <f>IFERROR(Tabla1[[#This Row],[Fatalities]]/Tabla1[[#This Row],[Aboard]],0)</f>
        <v>0.93670886075949367</v>
      </c>
      <c r="X3145" s="51" t="str" cm="1">
        <f t="array" ref="X3145">_xlfn.IFS(Tabla1[[#This Row],[Porcentaje de muertes]]&lt;0.35,"LEVE",AND(Tabla1[[#This Row],[Porcentaje de muertes]]&gt;0.35,Tabla1[[#This Row],[Porcentaje de muertes]]&lt;0.65),"MEDIO",Tabla1[[#This Row],[Porcentaje de muertes]]&gt;0.65,"GRAVE")</f>
        <v>GRAVE</v>
      </c>
    </row>
    <row r="3146" spans="2:24" x14ac:dyDescent="0.3">
      <c r="B3146" s="9">
        <v>3145</v>
      </c>
      <c r="C3146" s="49">
        <v>29965</v>
      </c>
      <c r="D3146" s="9">
        <f>YEAR(Tabla1[[#This Row],[Date]])</f>
        <v>1982</v>
      </c>
      <c r="E3146" s="9" t="str" cm="1">
        <f t="array" ref="E3146">IFERROR(_xlfn.IFS(AND(D3146&lt;1980,D3146&gt;=1970),"70",AND(D3146&lt;1990,D3146&gt;=1980),"80",AND(D3146&lt;2000,D3146&gt;=1990),"90",AND(D3146&lt;2010,D3146&gt;=2000),"00",AND(D3146&lt;=2019,D3146&gt;=2010),"10"),"1908-1970")</f>
        <v>80</v>
      </c>
      <c r="F3146" s="3" t="s">
        <v>28931</v>
      </c>
      <c r="G3146" t="s">
        <v>19060</v>
      </c>
      <c r="H3146" t="s">
        <v>19061</v>
      </c>
      <c r="I3146" t="s">
        <v>28931</v>
      </c>
      <c r="J3146" t="s">
        <v>28931</v>
      </c>
      <c r="K3146" t="s">
        <v>17904</v>
      </c>
      <c r="L3146" s="7">
        <v>71383</v>
      </c>
      <c r="M3146" t="s">
        <v>28931</v>
      </c>
      <c r="N3146">
        <v>73</v>
      </c>
      <c r="O3146">
        <v>67</v>
      </c>
      <c r="P3146">
        <v>6</v>
      </c>
      <c r="Q3146">
        <v>73</v>
      </c>
      <c r="R3146">
        <v>67</v>
      </c>
      <c r="S3146">
        <v>6</v>
      </c>
      <c r="T3146">
        <v>0</v>
      </c>
      <c r="U3146" t="s">
        <v>19062</v>
      </c>
      <c r="V3146">
        <f>Tabla1[[#This Row],[Aboard]]-Tabla1[[#This Row],[Fatalities]]</f>
        <v>0</v>
      </c>
      <c r="W3146" s="50">
        <f>IFERROR(Tabla1[[#This Row],[Fatalities]]/Tabla1[[#This Row],[Aboard]],0)</f>
        <v>1</v>
      </c>
      <c r="X3146" s="51" t="str" cm="1">
        <f t="array" ref="X3146">_xlfn.IFS(Tabla1[[#This Row],[Porcentaje de muertes]]&lt;0.35,"LEVE",AND(Tabla1[[#This Row],[Porcentaje de muertes]]&gt;0.35,Tabla1[[#This Row],[Porcentaje de muertes]]&lt;0.65),"MEDIO",Tabla1[[#This Row],[Porcentaje de muertes]]&gt;0.65,"GRAVE")</f>
        <v>GRAVE</v>
      </c>
    </row>
    <row r="3147" spans="2:24" x14ac:dyDescent="0.3">
      <c r="B3147" s="9">
        <v>3146</v>
      </c>
      <c r="C3147" s="49">
        <v>29974</v>
      </c>
      <c r="D3147" s="9">
        <f>YEAR(Tabla1[[#This Row],[Date]])</f>
        <v>1982</v>
      </c>
      <c r="E3147" s="9" t="str" cm="1">
        <f t="array" ref="E3147">IFERROR(_xlfn.IFS(AND(D3147&lt;1980,D3147&gt;=1970),"70",AND(D3147&lt;1990,D3147&gt;=1980),"80",AND(D3147&lt;2000,D3147&gt;=1990),"90",AND(D3147&lt;2010,D3147&gt;=2000),"00",AND(D3147&lt;=2019,D3147&gt;=2010),"10"),"1908-1970")</f>
        <v>80</v>
      </c>
      <c r="F3147" s="3">
        <v>0.81666666666666676</v>
      </c>
      <c r="G3147" t="s">
        <v>19063</v>
      </c>
      <c r="H3147" t="s">
        <v>13064</v>
      </c>
      <c r="I3147" t="s">
        <v>19064</v>
      </c>
      <c r="J3147" t="s">
        <v>19065</v>
      </c>
      <c r="K3147" t="s">
        <v>19066</v>
      </c>
      <c r="L3147" s="7" t="s">
        <v>19067</v>
      </c>
      <c r="M3147" t="s">
        <v>19068</v>
      </c>
      <c r="N3147">
        <v>212</v>
      </c>
      <c r="O3147">
        <v>200</v>
      </c>
      <c r="P3147">
        <v>12</v>
      </c>
      <c r="Q3147">
        <v>2</v>
      </c>
      <c r="R3147">
        <v>2</v>
      </c>
      <c r="S3147">
        <v>0</v>
      </c>
      <c r="T3147">
        <v>0</v>
      </c>
      <c r="U3147" t="s">
        <v>19069</v>
      </c>
      <c r="V3147">
        <f>Tabla1[[#This Row],[Aboard]]-Tabla1[[#This Row],[Fatalities]]</f>
        <v>210</v>
      </c>
      <c r="W3147" s="50">
        <f>IFERROR(Tabla1[[#This Row],[Fatalities]]/Tabla1[[#This Row],[Aboard]],0)</f>
        <v>9.433962264150943E-3</v>
      </c>
      <c r="X3147" s="51" t="str" cm="1">
        <f t="array" ref="X3147">_xlfn.IFS(Tabla1[[#This Row],[Porcentaje de muertes]]&lt;0.35,"LEVE",AND(Tabla1[[#This Row],[Porcentaje de muertes]]&gt;0.35,Tabla1[[#This Row],[Porcentaje de muertes]]&lt;0.65),"MEDIO",Tabla1[[#This Row],[Porcentaje de muertes]]&gt;0.65,"GRAVE")</f>
        <v>LEVE</v>
      </c>
    </row>
    <row r="3148" spans="2:24" x14ac:dyDescent="0.3">
      <c r="B3148" s="9">
        <v>3147</v>
      </c>
      <c r="C3148" s="49">
        <v>29976</v>
      </c>
      <c r="D3148" s="9">
        <f>YEAR(Tabla1[[#This Row],[Date]])</f>
        <v>1982</v>
      </c>
      <c r="E3148" s="9" t="str" cm="1">
        <f t="array" ref="E3148">IFERROR(_xlfn.IFS(AND(D3148&lt;1980,D3148&gt;=1970),"70",AND(D3148&lt;1990,D3148&gt;=1980),"80",AND(D3148&lt;2000,D3148&gt;=1990),"90",AND(D3148&lt;2010,D3148&gt;=2000),"00",AND(D3148&lt;=2019,D3148&gt;=2010),"10"),"1908-1970")</f>
        <v>80</v>
      </c>
      <c r="F3148" s="3" t="s">
        <v>28931</v>
      </c>
      <c r="G3148" t="s">
        <v>19070</v>
      </c>
      <c r="H3148" t="s">
        <v>13884</v>
      </c>
      <c r="I3148" t="s">
        <v>28931</v>
      </c>
      <c r="J3148" t="s">
        <v>6190</v>
      </c>
      <c r="K3148" t="s">
        <v>19071</v>
      </c>
      <c r="L3148" s="7" t="s">
        <v>19072</v>
      </c>
      <c r="M3148">
        <v>57310202</v>
      </c>
      <c r="N3148">
        <v>7</v>
      </c>
      <c r="O3148">
        <v>0</v>
      </c>
      <c r="P3148">
        <v>7</v>
      </c>
      <c r="Q3148">
        <v>7</v>
      </c>
      <c r="R3148">
        <v>0</v>
      </c>
      <c r="S3148">
        <v>7</v>
      </c>
      <c r="T3148">
        <v>0</v>
      </c>
      <c r="U3148" t="s">
        <v>19073</v>
      </c>
      <c r="V3148">
        <f>Tabla1[[#This Row],[Aboard]]-Tabla1[[#This Row],[Fatalities]]</f>
        <v>0</v>
      </c>
      <c r="W3148" s="50">
        <f>IFERROR(Tabla1[[#This Row],[Fatalities]]/Tabla1[[#This Row],[Aboard]],0)</f>
        <v>1</v>
      </c>
      <c r="X3148" s="51" t="str" cm="1">
        <f t="array" ref="X3148">_xlfn.IFS(Tabla1[[#This Row],[Porcentaje de muertes]]&lt;0.35,"LEVE",AND(Tabla1[[#This Row],[Porcentaje de muertes]]&gt;0.35,Tabla1[[#This Row],[Porcentaje de muertes]]&lt;0.65),"MEDIO",Tabla1[[#This Row],[Porcentaje de muertes]]&gt;0.65,"GRAVE")</f>
        <v>GRAVE</v>
      </c>
    </row>
    <row r="3149" spans="2:24" x14ac:dyDescent="0.3">
      <c r="B3149" s="9">
        <v>3148</v>
      </c>
      <c r="C3149" s="49">
        <v>30012</v>
      </c>
      <c r="D3149" s="9">
        <f>YEAR(Tabla1[[#This Row],[Date]])</f>
        <v>1982</v>
      </c>
      <c r="E3149" s="9" t="str" cm="1">
        <f t="array" ref="E3149">IFERROR(_xlfn.IFS(AND(D3149&lt;1980,D3149&gt;=1970),"70",AND(D3149&lt;1990,D3149&gt;=1980),"80",AND(D3149&lt;2000,D3149&gt;=1990),"90",AND(D3149&lt;2010,D3149&gt;=2000),"00",AND(D3149&lt;=2019,D3149&gt;=2010),"10"),"1908-1970")</f>
        <v>80</v>
      </c>
      <c r="F3149" s="3">
        <v>0.3125</v>
      </c>
      <c r="G3149" t="s">
        <v>19074</v>
      </c>
      <c r="H3149" t="s">
        <v>13495</v>
      </c>
      <c r="I3149" t="s">
        <v>28931</v>
      </c>
      <c r="J3149" t="s">
        <v>6190</v>
      </c>
      <c r="K3149" t="s">
        <v>12638</v>
      </c>
      <c r="L3149" s="7" t="s">
        <v>19075</v>
      </c>
      <c r="M3149">
        <v>140</v>
      </c>
      <c r="N3149">
        <v>35</v>
      </c>
      <c r="O3149">
        <v>30</v>
      </c>
      <c r="P3149">
        <v>5</v>
      </c>
      <c r="Q3149">
        <v>35</v>
      </c>
      <c r="R3149">
        <v>30</v>
      </c>
      <c r="S3149">
        <v>5</v>
      </c>
      <c r="T3149">
        <v>0</v>
      </c>
      <c r="U3149" t="s">
        <v>19076</v>
      </c>
      <c r="V3149">
        <f>Tabla1[[#This Row],[Aboard]]-Tabla1[[#This Row],[Fatalities]]</f>
        <v>0</v>
      </c>
      <c r="W3149" s="50">
        <f>IFERROR(Tabla1[[#This Row],[Fatalities]]/Tabla1[[#This Row],[Aboard]],0)</f>
        <v>1</v>
      </c>
      <c r="X3149" s="51" t="str" cm="1">
        <f t="array" ref="X3149">_xlfn.IFS(Tabla1[[#This Row],[Porcentaje de muertes]]&lt;0.35,"LEVE",AND(Tabla1[[#This Row],[Porcentaje de muertes]]&gt;0.35,Tabla1[[#This Row],[Porcentaje de muertes]]&lt;0.65),"MEDIO",Tabla1[[#This Row],[Porcentaje de muertes]]&gt;0.65,"GRAVE")</f>
        <v>GRAVE</v>
      </c>
    </row>
    <row r="3150" spans="2:24" x14ac:dyDescent="0.3">
      <c r="B3150" s="9">
        <v>3149</v>
      </c>
      <c r="C3150" s="49">
        <v>30104</v>
      </c>
      <c r="D3150" s="9">
        <f>YEAR(Tabla1[[#This Row],[Date]])</f>
        <v>1982</v>
      </c>
      <c r="E3150" s="9" t="str" cm="1">
        <f t="array" ref="E3150">IFERROR(_xlfn.IFS(AND(D3150&lt;1980,D3150&gt;=1970),"70",AND(D3150&lt;1990,D3150&gt;=1980),"80",AND(D3150&lt;2000,D3150&gt;=1990),"90",AND(D3150&lt;2010,D3150&gt;=2000),"00",AND(D3150&lt;=2019,D3150&gt;=2010),"10"),"1908-1970")</f>
        <v>80</v>
      </c>
      <c r="F3150" s="3">
        <v>0.625</v>
      </c>
      <c r="G3150" t="s">
        <v>19077</v>
      </c>
      <c r="H3150" t="s">
        <v>19078</v>
      </c>
      <c r="I3150" t="s">
        <v>28931</v>
      </c>
      <c r="J3150" t="s">
        <v>19079</v>
      </c>
      <c r="K3150" t="s">
        <v>14254</v>
      </c>
      <c r="L3150" s="7" t="s">
        <v>28931</v>
      </c>
      <c r="M3150" t="s">
        <v>28931</v>
      </c>
      <c r="N3150">
        <v>53</v>
      </c>
      <c r="O3150">
        <v>47</v>
      </c>
      <c r="P3150">
        <v>6</v>
      </c>
      <c r="Q3150">
        <v>53</v>
      </c>
      <c r="R3150">
        <v>47</v>
      </c>
      <c r="S3150">
        <v>6</v>
      </c>
      <c r="T3150">
        <v>0</v>
      </c>
      <c r="U3150" t="s">
        <v>19080</v>
      </c>
      <c r="V3150">
        <f>Tabla1[[#This Row],[Aboard]]-Tabla1[[#This Row],[Fatalities]]</f>
        <v>0</v>
      </c>
      <c r="W3150" s="50">
        <f>IFERROR(Tabla1[[#This Row],[Fatalities]]/Tabla1[[#This Row],[Aboard]],0)</f>
        <v>1</v>
      </c>
      <c r="X3150" s="51" t="str" cm="1">
        <f t="array" ref="X3150">_xlfn.IFS(Tabla1[[#This Row],[Porcentaje de muertes]]&lt;0.35,"LEVE",AND(Tabla1[[#This Row],[Porcentaje de muertes]]&gt;0.35,Tabla1[[#This Row],[Porcentaje de muertes]]&lt;0.65),"MEDIO",Tabla1[[#This Row],[Porcentaje de muertes]]&gt;0.65,"GRAVE")</f>
        <v>GRAVE</v>
      </c>
    </row>
    <row r="3151" spans="2:24" x14ac:dyDescent="0.3">
      <c r="B3151" s="9">
        <v>3150</v>
      </c>
      <c r="C3151" s="49">
        <v>30134</v>
      </c>
      <c r="D3151" s="9">
        <f>YEAR(Tabla1[[#This Row],[Date]])</f>
        <v>1982</v>
      </c>
      <c r="E3151" s="9" t="str" cm="1">
        <f t="array" ref="E3151">IFERROR(_xlfn.IFS(AND(D3151&lt;1980,D3151&gt;=1970),"70",AND(D3151&lt;1990,D3151&gt;=1980),"80",AND(D3151&lt;2000,D3151&gt;=1990),"90",AND(D3151&lt;2010,D3151&gt;=2000),"00",AND(D3151&lt;=2019,D3151&gt;=2010),"10"),"1908-1970")</f>
        <v>80</v>
      </c>
      <c r="F3151" s="3" t="s">
        <v>28931</v>
      </c>
      <c r="G3151" t="s">
        <v>9244</v>
      </c>
      <c r="H3151" t="s">
        <v>8036</v>
      </c>
      <c r="I3151" t="s">
        <v>28931</v>
      </c>
      <c r="J3151" t="s">
        <v>19081</v>
      </c>
      <c r="K3151" t="s">
        <v>13011</v>
      </c>
      <c r="L3151" s="7" t="s">
        <v>28931</v>
      </c>
      <c r="M3151" t="s">
        <v>28931</v>
      </c>
      <c r="N3151">
        <v>23</v>
      </c>
      <c r="O3151">
        <v>18</v>
      </c>
      <c r="P3151">
        <v>5</v>
      </c>
      <c r="Q3151">
        <v>23</v>
      </c>
      <c r="R3151">
        <v>18</v>
      </c>
      <c r="S3151">
        <v>5</v>
      </c>
      <c r="T3151">
        <v>0</v>
      </c>
      <c r="U3151" t="s">
        <v>19082</v>
      </c>
      <c r="V3151">
        <f>Tabla1[[#This Row],[Aboard]]-Tabla1[[#This Row],[Fatalities]]</f>
        <v>0</v>
      </c>
      <c r="W3151" s="50">
        <f>IFERROR(Tabla1[[#This Row],[Fatalities]]/Tabla1[[#This Row],[Aboard]],0)</f>
        <v>1</v>
      </c>
      <c r="X3151" s="51" t="str" cm="1">
        <f t="array" ref="X3151">_xlfn.IFS(Tabla1[[#This Row],[Porcentaje de muertes]]&lt;0.35,"LEVE",AND(Tabla1[[#This Row],[Porcentaje de muertes]]&gt;0.35,Tabla1[[#This Row],[Porcentaje de muertes]]&lt;0.65),"MEDIO",Tabla1[[#This Row],[Porcentaje de muertes]]&gt;0.65,"GRAVE")</f>
        <v>GRAVE</v>
      </c>
    </row>
    <row r="3152" spans="2:24" x14ac:dyDescent="0.3">
      <c r="B3152" s="9">
        <v>3151</v>
      </c>
      <c r="C3152" s="49">
        <v>30196</v>
      </c>
      <c r="D3152" s="9">
        <f>YEAR(Tabla1[[#This Row],[Date]])</f>
        <v>1982</v>
      </c>
      <c r="E3152" s="9" t="str" cm="1">
        <f t="array" ref="E3152">IFERROR(_xlfn.IFS(AND(D3152&lt;1980,D3152&gt;=1970),"70",AND(D3152&lt;1990,D3152&gt;=1980),"80",AND(D3152&lt;2000,D3152&gt;=1990),"90",AND(D3152&lt;2010,D3152&gt;=2000),"00",AND(D3152&lt;=2019,D3152&gt;=2010),"10"),"1908-1970")</f>
        <v>80</v>
      </c>
      <c r="F3152" s="3" t="s">
        <v>28931</v>
      </c>
      <c r="G3152" t="s">
        <v>19083</v>
      </c>
      <c r="H3152" t="s">
        <v>19084</v>
      </c>
      <c r="I3152" t="s">
        <v>28931</v>
      </c>
      <c r="J3152" t="s">
        <v>19085</v>
      </c>
      <c r="K3152" t="s">
        <v>19086</v>
      </c>
      <c r="L3152" s="7" t="s">
        <v>19087</v>
      </c>
      <c r="M3152">
        <v>19251</v>
      </c>
      <c r="N3152">
        <v>32</v>
      </c>
      <c r="O3152">
        <v>29</v>
      </c>
      <c r="P3152">
        <v>3</v>
      </c>
      <c r="Q3152">
        <v>3</v>
      </c>
      <c r="R3152">
        <v>1</v>
      </c>
      <c r="S3152">
        <v>2</v>
      </c>
      <c r="T3152">
        <v>0</v>
      </c>
      <c r="U3152" t="s">
        <v>19088</v>
      </c>
      <c r="V3152">
        <f>Tabla1[[#This Row],[Aboard]]-Tabla1[[#This Row],[Fatalities]]</f>
        <v>29</v>
      </c>
      <c r="W3152" s="50">
        <f>IFERROR(Tabla1[[#This Row],[Fatalities]]/Tabla1[[#This Row],[Aboard]],0)</f>
        <v>9.375E-2</v>
      </c>
      <c r="X3152" s="51" t="str" cm="1">
        <f t="array" ref="X3152">_xlfn.IFS(Tabla1[[#This Row],[Porcentaje de muertes]]&lt;0.35,"LEVE",AND(Tabla1[[#This Row],[Porcentaje de muertes]]&gt;0.35,Tabla1[[#This Row],[Porcentaje de muertes]]&lt;0.65),"MEDIO",Tabla1[[#This Row],[Porcentaje de muertes]]&gt;0.65,"GRAVE")</f>
        <v>LEVE</v>
      </c>
    </row>
    <row r="3153" spans="2:24" x14ac:dyDescent="0.3">
      <c r="B3153" s="9">
        <v>3152</v>
      </c>
      <c r="C3153" s="49">
        <v>30196</v>
      </c>
      <c r="D3153" s="9">
        <f>YEAR(Tabla1[[#This Row],[Date]])</f>
        <v>1982</v>
      </c>
      <c r="E3153" s="9" t="str" cm="1">
        <f t="array" ref="E3153">IFERROR(_xlfn.IFS(AND(D3153&lt;1980,D3153&gt;=1970),"70",AND(D3153&lt;1990,D3153&gt;=1980),"80",AND(D3153&lt;2000,D3153&gt;=1990),"90",AND(D3153&lt;2010,D3153&gt;=2000),"00",AND(D3153&lt;=2019,D3153&gt;=2010),"10"),"1908-1970")</f>
        <v>80</v>
      </c>
      <c r="F3153" s="3">
        <v>0.3659722222222222</v>
      </c>
      <c r="G3153" t="s">
        <v>7285</v>
      </c>
      <c r="H3153" t="s">
        <v>10695</v>
      </c>
      <c r="I3153">
        <v>350</v>
      </c>
      <c r="J3153" t="s">
        <v>19089</v>
      </c>
      <c r="K3153" t="s">
        <v>18302</v>
      </c>
      <c r="L3153" s="7" t="s">
        <v>19090</v>
      </c>
      <c r="M3153" t="s">
        <v>19091</v>
      </c>
      <c r="N3153">
        <v>174</v>
      </c>
      <c r="O3153">
        <v>166</v>
      </c>
      <c r="P3153">
        <v>8</v>
      </c>
      <c r="Q3153">
        <v>24</v>
      </c>
      <c r="R3153">
        <v>24</v>
      </c>
      <c r="S3153">
        <v>0</v>
      </c>
      <c r="T3153">
        <v>0</v>
      </c>
      <c r="U3153" t="s">
        <v>19092</v>
      </c>
      <c r="V3153">
        <f>Tabla1[[#This Row],[Aboard]]-Tabla1[[#This Row],[Fatalities]]</f>
        <v>150</v>
      </c>
      <c r="W3153" s="50">
        <f>IFERROR(Tabla1[[#This Row],[Fatalities]]/Tabla1[[#This Row],[Aboard]],0)</f>
        <v>0.13793103448275862</v>
      </c>
      <c r="X3153" s="51" t="str" cm="1">
        <f t="array" ref="X3153">_xlfn.IFS(Tabla1[[#This Row],[Porcentaje de muertes]]&lt;0.35,"LEVE",AND(Tabla1[[#This Row],[Porcentaje de muertes]]&gt;0.35,Tabla1[[#This Row],[Porcentaje de muertes]]&lt;0.65),"MEDIO",Tabla1[[#This Row],[Porcentaje de muertes]]&gt;0.65,"GRAVE")</f>
        <v>LEVE</v>
      </c>
    </row>
    <row r="3154" spans="2:24" x14ac:dyDescent="0.3">
      <c r="B3154" s="9">
        <v>3153</v>
      </c>
      <c r="C3154" s="49">
        <v>30001</v>
      </c>
      <c r="D3154" s="9">
        <f>YEAR(Tabla1[[#This Row],[Date]])</f>
        <v>1982</v>
      </c>
      <c r="E3154" s="9" t="str" cm="1">
        <f t="array" ref="E3154">IFERROR(_xlfn.IFS(AND(D3154&lt;1980,D3154&gt;=1970),"70",AND(D3154&lt;1990,D3154&gt;=1980),"80",AND(D3154&lt;2000,D3154&gt;=1990),"90",AND(D3154&lt;2010,D3154&gt;=2000),"00",AND(D3154&lt;=2019,D3154&gt;=2010),"10"),"1908-1970")</f>
        <v>80</v>
      </c>
      <c r="F3154" s="3" t="s">
        <v>28931</v>
      </c>
      <c r="G3154" t="s">
        <v>19093</v>
      </c>
      <c r="H3154" t="s">
        <v>19094</v>
      </c>
      <c r="I3154" t="s">
        <v>28931</v>
      </c>
      <c r="J3154" t="s">
        <v>28931</v>
      </c>
      <c r="K3154" t="s">
        <v>17323</v>
      </c>
      <c r="L3154" s="7" t="s">
        <v>19095</v>
      </c>
      <c r="M3154" t="s">
        <v>19096</v>
      </c>
      <c r="N3154">
        <v>4</v>
      </c>
      <c r="O3154">
        <v>0</v>
      </c>
      <c r="P3154">
        <v>4</v>
      </c>
      <c r="Q3154">
        <v>4</v>
      </c>
      <c r="R3154">
        <v>0</v>
      </c>
      <c r="S3154">
        <v>4</v>
      </c>
      <c r="T3154">
        <v>0</v>
      </c>
      <c r="U3154" t="s">
        <v>19097</v>
      </c>
      <c r="V3154">
        <f>Tabla1[[#This Row],[Aboard]]-Tabla1[[#This Row],[Fatalities]]</f>
        <v>0</v>
      </c>
      <c r="W3154" s="50">
        <f>IFERROR(Tabla1[[#This Row],[Fatalities]]/Tabla1[[#This Row],[Aboard]],0)</f>
        <v>1</v>
      </c>
      <c r="X3154" s="51" t="str" cm="1">
        <f t="array" ref="X3154">_xlfn.IFS(Tabla1[[#This Row],[Porcentaje de muertes]]&lt;0.35,"LEVE",AND(Tabla1[[#This Row],[Porcentaje de muertes]]&gt;0.35,Tabla1[[#This Row],[Porcentaje de muertes]]&lt;0.65),"MEDIO",Tabla1[[#This Row],[Porcentaje de muertes]]&gt;0.65,"GRAVE")</f>
        <v>GRAVE</v>
      </c>
    </row>
    <row r="3155" spans="2:24" x14ac:dyDescent="0.3">
      <c r="B3155" s="9">
        <v>3154</v>
      </c>
      <c r="C3155" s="49">
        <v>30003</v>
      </c>
      <c r="D3155" s="9">
        <f>YEAR(Tabla1[[#This Row],[Date]])</f>
        <v>1982</v>
      </c>
      <c r="E3155" s="9" t="str" cm="1">
        <f t="array" ref="E3155">IFERROR(_xlfn.IFS(AND(D3155&lt;1980,D3155&gt;=1970),"70",AND(D3155&lt;1990,D3155&gt;=1980),"80",AND(D3155&lt;2000,D3155&gt;=1990),"90",AND(D3155&lt;2010,D3155&gt;=2000),"00",AND(D3155&lt;=2019,D3155&gt;=2010),"10"),"1908-1970")</f>
        <v>80</v>
      </c>
      <c r="F3155" s="3">
        <v>0.6479166666666667</v>
      </c>
      <c r="G3155" t="s">
        <v>19098</v>
      </c>
      <c r="H3155" t="s">
        <v>15780</v>
      </c>
      <c r="I3155">
        <v>458</v>
      </c>
      <c r="J3155" t="s">
        <v>19099</v>
      </c>
      <c r="K3155" t="s">
        <v>19100</v>
      </c>
      <c r="L3155" s="7" t="s">
        <v>19101</v>
      </c>
      <c r="M3155">
        <v>105</v>
      </c>
      <c r="N3155">
        <v>12</v>
      </c>
      <c r="O3155">
        <v>10</v>
      </c>
      <c r="P3155">
        <v>2</v>
      </c>
      <c r="Q3155">
        <v>1</v>
      </c>
      <c r="R3155">
        <v>1</v>
      </c>
      <c r="S3155">
        <v>0</v>
      </c>
      <c r="T3155">
        <v>0</v>
      </c>
      <c r="U3155" t="s">
        <v>19102</v>
      </c>
      <c r="V3155">
        <f>Tabla1[[#This Row],[Aboard]]-Tabla1[[#This Row],[Fatalities]]</f>
        <v>11</v>
      </c>
      <c r="W3155" s="50">
        <f>IFERROR(Tabla1[[#This Row],[Fatalities]]/Tabla1[[#This Row],[Aboard]],0)</f>
        <v>8.3333333333333329E-2</v>
      </c>
      <c r="X3155" s="51" t="str" cm="1">
        <f t="array" ref="X3155">_xlfn.IFS(Tabla1[[#This Row],[Porcentaje de muertes]]&lt;0.35,"LEVE",AND(Tabla1[[#This Row],[Porcentaje de muertes]]&gt;0.35,Tabla1[[#This Row],[Porcentaje de muertes]]&lt;0.65),"MEDIO",Tabla1[[#This Row],[Porcentaje de muertes]]&gt;0.65,"GRAVE")</f>
        <v>LEVE</v>
      </c>
    </row>
    <row r="3156" spans="2:24" x14ac:dyDescent="0.3">
      <c r="B3156" s="9">
        <v>3155</v>
      </c>
      <c r="C3156" s="49">
        <v>30258</v>
      </c>
      <c r="D3156" s="9">
        <f>YEAR(Tabla1[[#This Row],[Date]])</f>
        <v>1982</v>
      </c>
      <c r="E3156" s="9" t="str" cm="1">
        <f t="array" ref="E3156">IFERROR(_xlfn.IFS(AND(D3156&lt;1980,D3156&gt;=1970),"70",AND(D3156&lt;1990,D3156&gt;=1980),"80",AND(D3156&lt;2000,D3156&gt;=1990),"90",AND(D3156&lt;2010,D3156&gt;=2000),"00",AND(D3156&lt;=2019,D3156&gt;=2010),"10"),"1908-1970")</f>
        <v>80</v>
      </c>
      <c r="F3156" s="3">
        <v>0.55972222222222223</v>
      </c>
      <c r="G3156" t="s">
        <v>19103</v>
      </c>
      <c r="H3156" t="s">
        <v>19104</v>
      </c>
      <c r="I3156">
        <v>933</v>
      </c>
      <c r="J3156" t="s">
        <v>19105</v>
      </c>
      <c r="K3156" t="s">
        <v>16680</v>
      </c>
      <c r="L3156" s="7" t="s">
        <v>19106</v>
      </c>
      <c r="M3156">
        <v>568</v>
      </c>
      <c r="N3156">
        <v>15</v>
      </c>
      <c r="O3156">
        <v>13</v>
      </c>
      <c r="P3156">
        <v>2</v>
      </c>
      <c r="Q3156">
        <v>15</v>
      </c>
      <c r="R3156">
        <v>13</v>
      </c>
      <c r="S3156">
        <v>2</v>
      </c>
      <c r="T3156">
        <v>0</v>
      </c>
      <c r="U3156" t="s">
        <v>19107</v>
      </c>
      <c r="V3156">
        <f>Tabla1[[#This Row],[Aboard]]-Tabla1[[#This Row],[Fatalities]]</f>
        <v>0</v>
      </c>
      <c r="W3156" s="50">
        <f>IFERROR(Tabla1[[#This Row],[Fatalities]]/Tabla1[[#This Row],[Aboard]],0)</f>
        <v>1</v>
      </c>
      <c r="X3156" s="51" t="str" cm="1">
        <f t="array" ref="X3156">_xlfn.IFS(Tabla1[[#This Row],[Porcentaje de muertes]]&lt;0.35,"LEVE",AND(Tabla1[[#This Row],[Porcentaje de muertes]]&gt;0.35,Tabla1[[#This Row],[Porcentaje de muertes]]&lt;0.65),"MEDIO",Tabla1[[#This Row],[Porcentaje de muertes]]&gt;0.65,"GRAVE")</f>
        <v>GRAVE</v>
      </c>
    </row>
    <row r="3157" spans="2:24" x14ac:dyDescent="0.3">
      <c r="B3157" s="9">
        <v>3156</v>
      </c>
      <c r="C3157" s="49">
        <v>30029</v>
      </c>
      <c r="D3157" s="9">
        <f>YEAR(Tabla1[[#This Row],[Date]])</f>
        <v>1982</v>
      </c>
      <c r="E3157" s="9" t="str" cm="1">
        <f t="array" ref="E3157">IFERROR(_xlfn.IFS(AND(D3157&lt;1980,D3157&gt;=1970),"70",AND(D3157&lt;1990,D3157&gt;=1980),"80",AND(D3157&lt;2000,D3157&gt;=1990),"90",AND(D3157&lt;2010,D3157&gt;=2000),"00",AND(D3157&lt;=2019,D3157&gt;=2010),"10"),"1908-1970")</f>
        <v>80</v>
      </c>
      <c r="F3157" s="3">
        <v>0.88194444444444453</v>
      </c>
      <c r="G3157" t="s">
        <v>19108</v>
      </c>
      <c r="H3157" t="s">
        <v>7987</v>
      </c>
      <c r="I3157" t="s">
        <v>28931</v>
      </c>
      <c r="J3157" t="s">
        <v>19109</v>
      </c>
      <c r="K3157" t="s">
        <v>19110</v>
      </c>
      <c r="L3157" s="7" t="s">
        <v>19111</v>
      </c>
      <c r="M3157">
        <v>17776</v>
      </c>
      <c r="N3157">
        <v>27</v>
      </c>
      <c r="O3157">
        <v>23</v>
      </c>
      <c r="P3157">
        <v>4</v>
      </c>
      <c r="Q3157">
        <v>27</v>
      </c>
      <c r="R3157">
        <v>23</v>
      </c>
      <c r="S3157">
        <v>4</v>
      </c>
      <c r="T3157">
        <v>0</v>
      </c>
      <c r="U3157" t="s">
        <v>19112</v>
      </c>
      <c r="V3157">
        <f>Tabla1[[#This Row],[Aboard]]-Tabla1[[#This Row],[Fatalities]]</f>
        <v>0</v>
      </c>
      <c r="W3157" s="50">
        <f>IFERROR(Tabla1[[#This Row],[Fatalities]]/Tabla1[[#This Row],[Aboard]],0)</f>
        <v>1</v>
      </c>
      <c r="X3157" s="51" t="str" cm="1">
        <f t="array" ref="X3157">_xlfn.IFS(Tabla1[[#This Row],[Porcentaje de muertes]]&lt;0.35,"LEVE",AND(Tabla1[[#This Row],[Porcentaje de muertes]]&gt;0.35,Tabla1[[#This Row],[Porcentaje de muertes]]&lt;0.65),"MEDIO",Tabla1[[#This Row],[Porcentaje de muertes]]&gt;0.65,"GRAVE")</f>
        <v>GRAVE</v>
      </c>
    </row>
    <row r="3158" spans="2:24" x14ac:dyDescent="0.3">
      <c r="B3158" s="9">
        <v>3157</v>
      </c>
      <c r="C3158" s="49">
        <v>30029</v>
      </c>
      <c r="D3158" s="9">
        <f>YEAR(Tabla1[[#This Row],[Date]])</f>
        <v>1982</v>
      </c>
      <c r="E3158" s="9" t="str" cm="1">
        <f t="array" ref="E3158">IFERROR(_xlfn.IFS(AND(D3158&lt;1980,D3158&gt;=1970),"70",AND(D3158&lt;1990,D3158&gt;=1980),"80",AND(D3158&lt;2000,D3158&gt;=1990),"90",AND(D3158&lt;2010,D3158&gt;=2000),"00",AND(D3158&lt;=2019,D3158&gt;=2010),"10"),"1908-1970")</f>
        <v>80</v>
      </c>
      <c r="F3158" s="3">
        <v>0.4375</v>
      </c>
      <c r="G3158" t="s">
        <v>19113</v>
      </c>
      <c r="H3158" t="s">
        <v>5032</v>
      </c>
      <c r="I3158" t="s">
        <v>28931</v>
      </c>
      <c r="J3158" t="s">
        <v>19114</v>
      </c>
      <c r="K3158" t="s">
        <v>19115</v>
      </c>
      <c r="L3158" s="7" t="s">
        <v>19116</v>
      </c>
      <c r="M3158" t="s">
        <v>19117</v>
      </c>
      <c r="N3158">
        <v>3</v>
      </c>
      <c r="O3158">
        <v>2</v>
      </c>
      <c r="P3158">
        <v>1</v>
      </c>
      <c r="Q3158">
        <v>3</v>
      </c>
      <c r="R3158">
        <v>2</v>
      </c>
      <c r="S3158">
        <v>1</v>
      </c>
      <c r="T3158">
        <v>0</v>
      </c>
      <c r="U3158" t="s">
        <v>19118</v>
      </c>
      <c r="V3158">
        <f>Tabla1[[#This Row],[Aboard]]-Tabla1[[#This Row],[Fatalities]]</f>
        <v>0</v>
      </c>
      <c r="W3158" s="50">
        <f>IFERROR(Tabla1[[#This Row],[Fatalities]]/Tabla1[[#This Row],[Aboard]],0)</f>
        <v>1</v>
      </c>
      <c r="X3158" s="51" t="str" cm="1">
        <f t="array" ref="X3158">_xlfn.IFS(Tabla1[[#This Row],[Porcentaje de muertes]]&lt;0.35,"LEVE",AND(Tabla1[[#This Row],[Porcentaje de muertes]]&gt;0.35,Tabla1[[#This Row],[Porcentaje de muertes]]&lt;0.65),"MEDIO",Tabla1[[#This Row],[Porcentaje de muertes]]&gt;0.65,"GRAVE")</f>
        <v>GRAVE</v>
      </c>
    </row>
    <row r="3159" spans="2:24" x14ac:dyDescent="0.3">
      <c r="B3159" s="9">
        <v>3158</v>
      </c>
      <c r="C3159" s="49">
        <v>30030</v>
      </c>
      <c r="D3159" s="9">
        <f>YEAR(Tabla1[[#This Row],[Date]])</f>
        <v>1982</v>
      </c>
      <c r="E3159" s="9" t="str" cm="1">
        <f t="array" ref="E3159">IFERROR(_xlfn.IFS(AND(D3159&lt;1980,D3159&gt;=1970),"70",AND(D3159&lt;1990,D3159&gt;=1980),"80",AND(D3159&lt;2000,D3159&gt;=1990),"90",AND(D3159&lt;2010,D3159&gt;=2000),"00",AND(D3159&lt;=2019,D3159&gt;=2010),"10"),"1908-1970")</f>
        <v>80</v>
      </c>
      <c r="F3159" s="3" t="s">
        <v>28931</v>
      </c>
      <c r="G3159" t="s">
        <v>19119</v>
      </c>
      <c r="H3159" t="s">
        <v>10225</v>
      </c>
      <c r="I3159" t="s">
        <v>28931</v>
      </c>
      <c r="J3159" t="s">
        <v>19120</v>
      </c>
      <c r="K3159" t="s">
        <v>16685</v>
      </c>
      <c r="L3159" s="7" t="s">
        <v>19121</v>
      </c>
      <c r="M3159">
        <v>11078</v>
      </c>
      <c r="N3159">
        <v>27</v>
      </c>
      <c r="O3159">
        <v>23</v>
      </c>
      <c r="P3159">
        <v>4</v>
      </c>
      <c r="Q3159">
        <v>27</v>
      </c>
      <c r="R3159">
        <v>23</v>
      </c>
      <c r="S3159">
        <v>4</v>
      </c>
      <c r="T3159">
        <v>0</v>
      </c>
      <c r="U3159" t="s">
        <v>19122</v>
      </c>
      <c r="V3159">
        <f>Tabla1[[#This Row],[Aboard]]-Tabla1[[#This Row],[Fatalities]]</f>
        <v>0</v>
      </c>
      <c r="W3159" s="50">
        <f>IFERROR(Tabla1[[#This Row],[Fatalities]]/Tabla1[[#This Row],[Aboard]],0)</f>
        <v>1</v>
      </c>
      <c r="X3159" s="51" t="str" cm="1">
        <f t="array" ref="X3159">_xlfn.IFS(Tabla1[[#This Row],[Porcentaje de muertes]]&lt;0.35,"LEVE",AND(Tabla1[[#This Row],[Porcentaje de muertes]]&gt;0.35,Tabla1[[#This Row],[Porcentaje de muertes]]&lt;0.65),"MEDIO",Tabla1[[#This Row],[Porcentaje de muertes]]&gt;0.65,"GRAVE")</f>
        <v>GRAVE</v>
      </c>
    </row>
    <row r="3160" spans="2:24" x14ac:dyDescent="0.3">
      <c r="B3160" s="9">
        <v>3159</v>
      </c>
      <c r="C3160" s="49">
        <v>30036</v>
      </c>
      <c r="D3160" s="9">
        <f>YEAR(Tabla1[[#This Row],[Date]])</f>
        <v>1982</v>
      </c>
      <c r="E3160" s="9" t="str" cm="1">
        <f t="array" ref="E3160">IFERROR(_xlfn.IFS(AND(D3160&lt;1980,D3160&gt;=1970),"70",AND(D3160&lt;1990,D3160&gt;=1980),"80",AND(D3160&lt;2000,D3160&gt;=1990),"90",AND(D3160&lt;2010,D3160&gt;=2000),"00",AND(D3160&lt;=2019,D3160&gt;=2010),"10"),"1908-1970")</f>
        <v>80</v>
      </c>
      <c r="F3160" s="3" t="s">
        <v>28931</v>
      </c>
      <c r="G3160" t="s">
        <v>19123</v>
      </c>
      <c r="H3160" t="s">
        <v>14707</v>
      </c>
      <c r="I3160" t="s">
        <v>28931</v>
      </c>
      <c r="J3160" t="s">
        <v>9057</v>
      </c>
      <c r="K3160" t="s">
        <v>12322</v>
      </c>
      <c r="L3160" s="7" t="s">
        <v>19124</v>
      </c>
      <c r="M3160">
        <v>212</v>
      </c>
      <c r="N3160">
        <v>21</v>
      </c>
      <c r="O3160">
        <v>15</v>
      </c>
      <c r="P3160">
        <v>6</v>
      </c>
      <c r="Q3160">
        <v>21</v>
      </c>
      <c r="R3160">
        <v>15</v>
      </c>
      <c r="S3160">
        <v>6</v>
      </c>
      <c r="T3160">
        <v>0</v>
      </c>
      <c r="U3160" t="s">
        <v>19125</v>
      </c>
      <c r="V3160">
        <f>Tabla1[[#This Row],[Aboard]]-Tabla1[[#This Row],[Fatalities]]</f>
        <v>0</v>
      </c>
      <c r="W3160" s="50">
        <f>IFERROR(Tabla1[[#This Row],[Fatalities]]/Tabla1[[#This Row],[Aboard]],0)</f>
        <v>1</v>
      </c>
      <c r="X3160" s="51" t="str" cm="1">
        <f t="array" ref="X3160">_xlfn.IFS(Tabla1[[#This Row],[Porcentaje de muertes]]&lt;0.35,"LEVE",AND(Tabla1[[#This Row],[Porcentaje de muertes]]&gt;0.35,Tabla1[[#This Row],[Porcentaje de muertes]]&lt;0.65),"MEDIO",Tabla1[[#This Row],[Porcentaje de muertes]]&gt;0.65,"GRAVE")</f>
        <v>GRAVE</v>
      </c>
    </row>
    <row r="3161" spans="2:24" x14ac:dyDescent="0.3">
      <c r="B3161" s="9">
        <v>3160</v>
      </c>
      <c r="C3161" s="49">
        <v>30259</v>
      </c>
      <c r="D3161" s="9">
        <f>YEAR(Tabla1[[#This Row],[Date]])</f>
        <v>1982</v>
      </c>
      <c r="E3161" s="9" t="str" cm="1">
        <f t="array" ref="E3161">IFERROR(_xlfn.IFS(AND(D3161&lt;1980,D3161&gt;=1970),"70",AND(D3161&lt;1990,D3161&gt;=1980),"80",AND(D3161&lt;2000,D3161&gt;=1990),"90",AND(D3161&lt;2010,D3161&gt;=2000),"00",AND(D3161&lt;=2019,D3161&gt;=2010),"10"),"1908-1970")</f>
        <v>80</v>
      </c>
      <c r="F3161" s="3">
        <v>0.73263888888888884</v>
      </c>
      <c r="G3161" t="s">
        <v>19126</v>
      </c>
      <c r="H3161" t="s">
        <v>19127</v>
      </c>
      <c r="I3161" t="s">
        <v>28931</v>
      </c>
      <c r="J3161" t="s">
        <v>19128</v>
      </c>
      <c r="K3161" t="s">
        <v>19129</v>
      </c>
      <c r="L3161" s="7" t="s">
        <v>19130</v>
      </c>
      <c r="M3161" t="s">
        <v>19131</v>
      </c>
      <c r="N3161">
        <v>3</v>
      </c>
      <c r="O3161">
        <v>2</v>
      </c>
      <c r="P3161">
        <v>1</v>
      </c>
      <c r="Q3161">
        <v>3</v>
      </c>
      <c r="R3161">
        <v>2</v>
      </c>
      <c r="S3161">
        <v>1</v>
      </c>
      <c r="T3161">
        <v>0</v>
      </c>
      <c r="U3161" t="s">
        <v>19132</v>
      </c>
      <c r="V3161">
        <f>Tabla1[[#This Row],[Aboard]]-Tabla1[[#This Row],[Fatalities]]</f>
        <v>0</v>
      </c>
      <c r="W3161" s="50">
        <f>IFERROR(Tabla1[[#This Row],[Fatalities]]/Tabla1[[#This Row],[Aboard]],0)</f>
        <v>1</v>
      </c>
      <c r="X3161" s="51" t="str" cm="1">
        <f t="array" ref="X3161">_xlfn.IFS(Tabla1[[#This Row],[Porcentaje de muertes]]&lt;0.35,"LEVE",AND(Tabla1[[#This Row],[Porcentaje de muertes]]&gt;0.35,Tabla1[[#This Row],[Porcentaje de muertes]]&lt;0.65),"MEDIO",Tabla1[[#This Row],[Porcentaje de muertes]]&gt;0.65,"GRAVE")</f>
        <v>GRAVE</v>
      </c>
    </row>
    <row r="3162" spans="2:24" x14ac:dyDescent="0.3">
      <c r="B3162" s="9">
        <v>3161</v>
      </c>
      <c r="C3162" s="49">
        <v>30054</v>
      </c>
      <c r="D3162" s="9">
        <f>YEAR(Tabla1[[#This Row],[Date]])</f>
        <v>1982</v>
      </c>
      <c r="E3162" s="9" t="str" cm="1">
        <f t="array" ref="E3162">IFERROR(_xlfn.IFS(AND(D3162&lt;1980,D3162&gt;=1970),"70",AND(D3162&lt;1990,D3162&gt;=1980),"80",AND(D3162&lt;2000,D3162&gt;=1990),"90",AND(D3162&lt;2010,D3162&gt;=2000),"00",AND(D3162&lt;=2019,D3162&gt;=2010),"10"),"1908-1970")</f>
        <v>80</v>
      </c>
      <c r="F3162" s="3">
        <v>0.61111111111111105</v>
      </c>
      <c r="G3162" t="s">
        <v>19133</v>
      </c>
      <c r="H3162" t="s">
        <v>7987</v>
      </c>
      <c r="I3162" t="s">
        <v>28931</v>
      </c>
      <c r="J3162" t="s">
        <v>19134</v>
      </c>
      <c r="K3162" t="s">
        <v>17162</v>
      </c>
      <c r="L3162" s="7" t="s">
        <v>19135</v>
      </c>
      <c r="M3162">
        <v>4645</v>
      </c>
      <c r="N3162">
        <v>27</v>
      </c>
      <c r="O3162">
        <v>19</v>
      </c>
      <c r="P3162">
        <v>8</v>
      </c>
      <c r="Q3162">
        <v>27</v>
      </c>
      <c r="R3162">
        <v>19</v>
      </c>
      <c r="S3162">
        <v>8</v>
      </c>
      <c r="T3162">
        <v>0</v>
      </c>
      <c r="U3162" t="s">
        <v>19136</v>
      </c>
      <c r="V3162">
        <f>Tabla1[[#This Row],[Aboard]]-Tabla1[[#This Row],[Fatalities]]</f>
        <v>0</v>
      </c>
      <c r="W3162" s="50">
        <f>IFERROR(Tabla1[[#This Row],[Fatalities]]/Tabla1[[#This Row],[Aboard]],0)</f>
        <v>1</v>
      </c>
      <c r="X3162" s="51" t="str" cm="1">
        <f t="array" ref="X3162">_xlfn.IFS(Tabla1[[#This Row],[Porcentaje de muertes]]&lt;0.35,"LEVE",AND(Tabla1[[#This Row],[Porcentaje de muertes]]&gt;0.35,Tabla1[[#This Row],[Porcentaje de muertes]]&lt;0.65),"MEDIO",Tabla1[[#This Row],[Porcentaje de muertes]]&gt;0.65,"GRAVE")</f>
        <v>GRAVE</v>
      </c>
    </row>
    <row r="3163" spans="2:24" x14ac:dyDescent="0.3">
      <c r="B3163" s="9">
        <v>3162</v>
      </c>
      <c r="C3163" s="49">
        <v>30067</v>
      </c>
      <c r="D3163" s="9">
        <f>YEAR(Tabla1[[#This Row],[Date]])</f>
        <v>1982</v>
      </c>
      <c r="E3163" s="9" t="str" cm="1">
        <f t="array" ref="E3163">IFERROR(_xlfn.IFS(AND(D3163&lt;1980,D3163&gt;=1970),"70",AND(D3163&lt;1990,D3163&gt;=1980),"80",AND(D3163&lt;2000,D3163&gt;=1990),"90",AND(D3163&lt;2010,D3163&gt;=2000),"00",AND(D3163&lt;=2019,D3163&gt;=2010),"10"),"1908-1970")</f>
        <v>80</v>
      </c>
      <c r="F3163" s="3">
        <v>0.69791666666666663</v>
      </c>
      <c r="G3163" t="s">
        <v>19137</v>
      </c>
      <c r="H3163" t="s">
        <v>17531</v>
      </c>
      <c r="I3163">
        <v>3303</v>
      </c>
      <c r="J3163" t="s">
        <v>19138</v>
      </c>
      <c r="K3163" t="s">
        <v>18361</v>
      </c>
      <c r="L3163" s="7" t="s">
        <v>19139</v>
      </c>
      <c r="M3163">
        <v>2170</v>
      </c>
      <c r="N3163">
        <v>112</v>
      </c>
      <c r="O3163">
        <v>104</v>
      </c>
      <c r="P3163">
        <v>8</v>
      </c>
      <c r="Q3163">
        <v>112</v>
      </c>
      <c r="R3163">
        <v>104</v>
      </c>
      <c r="S3163">
        <v>8</v>
      </c>
      <c r="T3163">
        <v>0</v>
      </c>
      <c r="U3163" t="s">
        <v>19140</v>
      </c>
      <c r="V3163">
        <f>Tabla1[[#This Row],[Aboard]]-Tabla1[[#This Row],[Fatalities]]</f>
        <v>0</v>
      </c>
      <c r="W3163" s="50">
        <f>IFERROR(Tabla1[[#This Row],[Fatalities]]/Tabla1[[#This Row],[Aboard]],0)</f>
        <v>1</v>
      </c>
      <c r="X3163" s="51" t="str" cm="1">
        <f t="array" ref="X3163">_xlfn.IFS(Tabla1[[#This Row],[Porcentaje de muertes]]&lt;0.35,"LEVE",AND(Tabla1[[#This Row],[Porcentaje de muertes]]&gt;0.35,Tabla1[[#This Row],[Porcentaje de muertes]]&lt;0.65),"MEDIO",Tabla1[[#This Row],[Porcentaje de muertes]]&gt;0.65,"GRAVE")</f>
        <v>GRAVE</v>
      </c>
    </row>
    <row r="3164" spans="2:24" x14ac:dyDescent="0.3">
      <c r="B3164" s="9">
        <v>3163</v>
      </c>
      <c r="C3164" s="49">
        <v>30071</v>
      </c>
      <c r="D3164" s="9">
        <f>YEAR(Tabla1[[#This Row],[Date]])</f>
        <v>1982</v>
      </c>
      <c r="E3164" s="9" t="str" cm="1">
        <f t="array" ref="E3164">IFERROR(_xlfn.IFS(AND(D3164&lt;1980,D3164&gt;=1970),"70",AND(D3164&lt;1990,D3164&gt;=1980),"80",AND(D3164&lt;2000,D3164&gt;=1990),"90",AND(D3164&lt;2010,D3164&gt;=2000),"00",AND(D3164&lt;=2019,D3164&gt;=2010),"10"),"1908-1970")</f>
        <v>80</v>
      </c>
      <c r="F3164" s="3" t="s">
        <v>28931</v>
      </c>
      <c r="G3164" t="s">
        <v>19141</v>
      </c>
      <c r="H3164" t="s">
        <v>19142</v>
      </c>
      <c r="I3164" t="s">
        <v>28931</v>
      </c>
      <c r="J3164" t="s">
        <v>28931</v>
      </c>
      <c r="K3164" t="s">
        <v>18655</v>
      </c>
      <c r="L3164" s="7" t="s">
        <v>19143</v>
      </c>
      <c r="M3164">
        <v>760038</v>
      </c>
      <c r="N3164">
        <v>13</v>
      </c>
      <c r="O3164" t="s">
        <v>5038</v>
      </c>
      <c r="P3164" t="s">
        <v>5038</v>
      </c>
      <c r="Q3164">
        <v>13</v>
      </c>
      <c r="R3164" t="s">
        <v>5038</v>
      </c>
      <c r="S3164" t="s">
        <v>5038</v>
      </c>
      <c r="T3164">
        <v>0</v>
      </c>
      <c r="U3164" t="s">
        <v>19144</v>
      </c>
      <c r="V3164">
        <f>Tabla1[[#This Row],[Aboard]]-Tabla1[[#This Row],[Fatalities]]</f>
        <v>0</v>
      </c>
      <c r="W3164" s="50">
        <f>IFERROR(Tabla1[[#This Row],[Fatalities]]/Tabla1[[#This Row],[Aboard]],0)</f>
        <v>1</v>
      </c>
      <c r="X3164" s="51" t="str" cm="1">
        <f t="array" ref="X3164">_xlfn.IFS(Tabla1[[#This Row],[Porcentaje de muertes]]&lt;0.35,"LEVE",AND(Tabla1[[#This Row],[Porcentaje de muertes]]&gt;0.35,Tabla1[[#This Row],[Porcentaje de muertes]]&lt;0.65),"MEDIO",Tabla1[[#This Row],[Porcentaje de muertes]]&gt;0.65,"GRAVE")</f>
        <v>GRAVE</v>
      </c>
    </row>
    <row r="3165" spans="2:24" x14ac:dyDescent="0.3">
      <c r="B3165" s="9">
        <v>3164</v>
      </c>
      <c r="C3165" s="49">
        <v>30199</v>
      </c>
      <c r="D3165" s="9">
        <f>YEAR(Tabla1[[#This Row],[Date]])</f>
        <v>1982</v>
      </c>
      <c r="E3165" s="9" t="str" cm="1">
        <f t="array" ref="E3165">IFERROR(_xlfn.IFS(AND(D3165&lt;1980,D3165&gt;=1970),"70",AND(D3165&lt;1990,D3165&gt;=1980),"80",AND(D3165&lt;2000,D3165&gt;=1990),"90",AND(D3165&lt;2010,D3165&gt;=2000),"00",AND(D3165&lt;=2019,D3165&gt;=2010),"10"),"1908-1970")</f>
        <v>80</v>
      </c>
      <c r="F3165" s="3" t="s">
        <v>28931</v>
      </c>
      <c r="G3165" t="s">
        <v>17812</v>
      </c>
      <c r="H3165" t="s">
        <v>17813</v>
      </c>
      <c r="I3165" t="s">
        <v>28931</v>
      </c>
      <c r="J3165" t="s">
        <v>19145</v>
      </c>
      <c r="K3165" t="s">
        <v>19146</v>
      </c>
      <c r="L3165" s="7" t="s">
        <v>19147</v>
      </c>
      <c r="M3165">
        <v>15</v>
      </c>
      <c r="N3165">
        <v>49</v>
      </c>
      <c r="O3165">
        <v>45</v>
      </c>
      <c r="P3165">
        <v>4</v>
      </c>
      <c r="Q3165">
        <v>47</v>
      </c>
      <c r="R3165">
        <v>45</v>
      </c>
      <c r="S3165">
        <v>2</v>
      </c>
      <c r="T3165">
        <v>0</v>
      </c>
      <c r="U3165" t="s">
        <v>19148</v>
      </c>
      <c r="V3165">
        <f>Tabla1[[#This Row],[Aboard]]-Tabla1[[#This Row],[Fatalities]]</f>
        <v>2</v>
      </c>
      <c r="W3165" s="50">
        <f>IFERROR(Tabla1[[#This Row],[Fatalities]]/Tabla1[[#This Row],[Aboard]],0)</f>
        <v>0.95918367346938771</v>
      </c>
      <c r="X3165" s="51" t="str" cm="1">
        <f t="array" ref="X3165">_xlfn.IFS(Tabla1[[#This Row],[Porcentaje de muertes]]&lt;0.35,"LEVE",AND(Tabla1[[#This Row],[Porcentaje de muertes]]&gt;0.35,Tabla1[[#This Row],[Porcentaje de muertes]]&lt;0.65),"MEDIO",Tabla1[[#This Row],[Porcentaje de muertes]]&gt;0.65,"GRAVE")</f>
        <v>GRAVE</v>
      </c>
    </row>
    <row r="3166" spans="2:24" x14ac:dyDescent="0.3">
      <c r="B3166" s="9">
        <v>3165</v>
      </c>
      <c r="C3166" s="49">
        <v>30290</v>
      </c>
      <c r="D3166" s="9">
        <f>YEAR(Tabla1[[#This Row],[Date]])</f>
        <v>1982</v>
      </c>
      <c r="E3166" s="9" t="str" cm="1">
        <f t="array" ref="E3166">IFERROR(_xlfn.IFS(AND(D3166&lt;1980,D3166&gt;=1970),"70",AND(D3166&lt;1990,D3166&gt;=1980),"80",AND(D3166&lt;2000,D3166&gt;=1990),"90",AND(D3166&lt;2010,D3166&gt;=2000),"00",AND(D3166&lt;=2019,D3166&gt;=2010),"10"),"1908-1970")</f>
        <v>80</v>
      </c>
      <c r="F3166" s="3" t="s">
        <v>28931</v>
      </c>
      <c r="G3166" t="s">
        <v>19149</v>
      </c>
      <c r="H3166" t="s">
        <v>7987</v>
      </c>
      <c r="I3166" t="s">
        <v>28931</v>
      </c>
      <c r="J3166" t="s">
        <v>6190</v>
      </c>
      <c r="K3166" t="s">
        <v>18804</v>
      </c>
      <c r="L3166" s="7" t="s">
        <v>19150</v>
      </c>
      <c r="M3166">
        <v>4033</v>
      </c>
      <c r="N3166">
        <v>7</v>
      </c>
      <c r="O3166">
        <v>0</v>
      </c>
      <c r="P3166">
        <v>7</v>
      </c>
      <c r="Q3166">
        <v>7</v>
      </c>
      <c r="R3166">
        <v>0</v>
      </c>
      <c r="S3166">
        <v>7</v>
      </c>
      <c r="T3166">
        <v>0</v>
      </c>
      <c r="U3166" t="s">
        <v>19151</v>
      </c>
      <c r="V3166">
        <f>Tabla1[[#This Row],[Aboard]]-Tabla1[[#This Row],[Fatalities]]</f>
        <v>0</v>
      </c>
      <c r="W3166" s="50">
        <f>IFERROR(Tabla1[[#This Row],[Fatalities]]/Tabla1[[#This Row],[Aboard]],0)</f>
        <v>1</v>
      </c>
      <c r="X3166" s="51" t="str" cm="1">
        <f t="array" ref="X3166">_xlfn.IFS(Tabla1[[#This Row],[Porcentaje de muertes]]&lt;0.35,"LEVE",AND(Tabla1[[#This Row],[Porcentaje de muertes]]&gt;0.35,Tabla1[[#This Row],[Porcentaje de muertes]]&lt;0.65),"MEDIO",Tabla1[[#This Row],[Porcentaje de muertes]]&gt;0.65,"GRAVE")</f>
        <v>GRAVE</v>
      </c>
    </row>
    <row r="3167" spans="2:24" x14ac:dyDescent="0.3">
      <c r="B3167" s="9">
        <v>3166</v>
      </c>
      <c r="C3167" s="49">
        <v>30090</v>
      </c>
      <c r="D3167" s="9">
        <f>YEAR(Tabla1[[#This Row],[Date]])</f>
        <v>1982</v>
      </c>
      <c r="E3167" s="9" t="str" cm="1">
        <f t="array" ref="E3167">IFERROR(_xlfn.IFS(AND(D3167&lt;1980,D3167&gt;=1970),"70",AND(D3167&lt;1990,D3167&gt;=1980),"80",AND(D3167&lt;2000,D3167&gt;=1990),"90",AND(D3167&lt;2010,D3167&gt;=2000),"00",AND(D3167&lt;=2019,D3167&gt;=2010),"10"),"1908-1970")</f>
        <v>80</v>
      </c>
      <c r="F3167" s="3">
        <v>0.80208333333333337</v>
      </c>
      <c r="G3167" t="s">
        <v>6766</v>
      </c>
      <c r="H3167" t="s">
        <v>8639</v>
      </c>
      <c r="I3167" t="s">
        <v>28931</v>
      </c>
      <c r="J3167" t="s">
        <v>28931</v>
      </c>
      <c r="K3167" t="s">
        <v>19152</v>
      </c>
      <c r="L3167" s="7" t="s">
        <v>19153</v>
      </c>
      <c r="M3167" t="s">
        <v>28931</v>
      </c>
      <c r="N3167">
        <v>30</v>
      </c>
      <c r="O3167" t="s">
        <v>5038</v>
      </c>
      <c r="P3167" t="s">
        <v>5038</v>
      </c>
      <c r="Q3167">
        <v>21</v>
      </c>
      <c r="R3167" t="s">
        <v>5038</v>
      </c>
      <c r="S3167" t="s">
        <v>5038</v>
      </c>
      <c r="T3167">
        <v>0</v>
      </c>
      <c r="U3167" t="s">
        <v>19154</v>
      </c>
      <c r="V3167">
        <f>Tabla1[[#This Row],[Aboard]]-Tabla1[[#This Row],[Fatalities]]</f>
        <v>9</v>
      </c>
      <c r="W3167" s="50">
        <f>IFERROR(Tabla1[[#This Row],[Fatalities]]/Tabla1[[#This Row],[Aboard]],0)</f>
        <v>0.7</v>
      </c>
      <c r="X3167" s="51" t="str" cm="1">
        <f t="array" ref="X3167">_xlfn.IFS(Tabla1[[#This Row],[Porcentaje de muertes]]&lt;0.35,"LEVE",AND(Tabla1[[#This Row],[Porcentaje de muertes]]&gt;0.35,Tabla1[[#This Row],[Porcentaje de muertes]]&lt;0.65),"MEDIO",Tabla1[[#This Row],[Porcentaje de muertes]]&gt;0.65,"GRAVE")</f>
        <v>GRAVE</v>
      </c>
    </row>
    <row r="3168" spans="2:24" x14ac:dyDescent="0.3">
      <c r="B3168" s="9">
        <v>3167</v>
      </c>
      <c r="C3168" s="49">
        <v>30096</v>
      </c>
      <c r="D3168" s="9">
        <f>YEAR(Tabla1[[#This Row],[Date]])</f>
        <v>1982</v>
      </c>
      <c r="E3168" s="9" t="str" cm="1">
        <f t="array" ref="E3168">IFERROR(_xlfn.IFS(AND(D3168&lt;1980,D3168&gt;=1970),"70",AND(D3168&lt;1990,D3168&gt;=1980),"80",AND(D3168&lt;2000,D3168&gt;=1990),"90",AND(D3168&lt;2010,D3168&gt;=2000),"00",AND(D3168&lt;=2019,D3168&gt;=2010),"10"),"1908-1970")</f>
        <v>80</v>
      </c>
      <c r="F3168" s="3" t="s">
        <v>28931</v>
      </c>
      <c r="G3168" t="s">
        <v>19155</v>
      </c>
      <c r="H3168" t="s">
        <v>7581</v>
      </c>
      <c r="I3168" t="s">
        <v>28931</v>
      </c>
      <c r="J3168" t="s">
        <v>19156</v>
      </c>
      <c r="K3168" t="s">
        <v>19157</v>
      </c>
      <c r="L3168" s="7" t="s">
        <v>19158</v>
      </c>
      <c r="M3168">
        <v>20907</v>
      </c>
      <c r="N3168">
        <v>118</v>
      </c>
      <c r="O3168">
        <v>112</v>
      </c>
      <c r="P3168">
        <v>6</v>
      </c>
      <c r="Q3168">
        <v>2</v>
      </c>
      <c r="R3168">
        <v>2</v>
      </c>
      <c r="S3168">
        <v>0</v>
      </c>
      <c r="T3168">
        <v>0</v>
      </c>
      <c r="U3168" t="s">
        <v>19159</v>
      </c>
      <c r="V3168">
        <f>Tabla1[[#This Row],[Aboard]]-Tabla1[[#This Row],[Fatalities]]</f>
        <v>116</v>
      </c>
      <c r="W3168" s="50">
        <f>IFERROR(Tabla1[[#This Row],[Fatalities]]/Tabla1[[#This Row],[Aboard]],0)</f>
        <v>1.6949152542372881E-2</v>
      </c>
      <c r="X3168" s="51" t="str" cm="1">
        <f t="array" ref="X3168">_xlfn.IFS(Tabla1[[#This Row],[Porcentaje de muertes]]&lt;0.35,"LEVE",AND(Tabla1[[#This Row],[Porcentaje de muertes]]&gt;0.35,Tabla1[[#This Row],[Porcentaje de muertes]]&lt;0.65),"MEDIO",Tabla1[[#This Row],[Porcentaje de muertes]]&gt;0.65,"GRAVE")</f>
        <v>LEVE</v>
      </c>
    </row>
    <row r="3169" spans="2:24" x14ac:dyDescent="0.3">
      <c r="B3169" s="9">
        <v>3168</v>
      </c>
      <c r="C3169" s="49">
        <v>30099</v>
      </c>
      <c r="D3169" s="9">
        <f>YEAR(Tabla1[[#This Row],[Date]])</f>
        <v>1982</v>
      </c>
      <c r="E3169" s="9" t="str" cm="1">
        <f t="array" ref="E3169">IFERROR(_xlfn.IFS(AND(D3169&lt;1980,D3169&gt;=1970),"70",AND(D3169&lt;1990,D3169&gt;=1980),"80",AND(D3169&lt;2000,D3169&gt;=1990),"90",AND(D3169&lt;2010,D3169&gt;=2000),"00",AND(D3169&lt;=2019,D3169&gt;=2010),"10"),"1908-1970")</f>
        <v>80</v>
      </c>
      <c r="F3169" s="3" t="s">
        <v>28931</v>
      </c>
      <c r="G3169" t="s">
        <v>19160</v>
      </c>
      <c r="H3169" t="s">
        <v>14932</v>
      </c>
      <c r="I3169" t="s">
        <v>28931</v>
      </c>
      <c r="J3169" t="s">
        <v>28931</v>
      </c>
      <c r="K3169" t="s">
        <v>19161</v>
      </c>
      <c r="L3169" s="7" t="s">
        <v>19162</v>
      </c>
      <c r="M3169">
        <v>1258</v>
      </c>
      <c r="N3169">
        <v>10</v>
      </c>
      <c r="O3169" t="s">
        <v>5038</v>
      </c>
      <c r="P3169" t="s">
        <v>5038</v>
      </c>
      <c r="Q3169">
        <v>10</v>
      </c>
      <c r="R3169" t="s">
        <v>5038</v>
      </c>
      <c r="S3169" t="s">
        <v>5038</v>
      </c>
      <c r="T3169">
        <v>0</v>
      </c>
      <c r="U3169" t="s">
        <v>19163</v>
      </c>
      <c r="V3169">
        <f>Tabla1[[#This Row],[Aboard]]-Tabla1[[#This Row],[Fatalities]]</f>
        <v>0</v>
      </c>
      <c r="W3169" s="50">
        <f>IFERROR(Tabla1[[#This Row],[Fatalities]]/Tabla1[[#This Row],[Aboard]],0)</f>
        <v>1</v>
      </c>
      <c r="X3169" s="51" t="str" cm="1">
        <f t="array" ref="X3169">_xlfn.IFS(Tabla1[[#This Row],[Porcentaje de muertes]]&lt;0.35,"LEVE",AND(Tabla1[[#This Row],[Porcentaje de muertes]]&gt;0.35,Tabla1[[#This Row],[Porcentaje de muertes]]&lt;0.65),"MEDIO",Tabla1[[#This Row],[Porcentaje de muertes]]&gt;0.65,"GRAVE")</f>
        <v>GRAVE</v>
      </c>
    </row>
    <row r="3170" spans="2:24" x14ac:dyDescent="0.3">
      <c r="B3170" s="9">
        <v>3169</v>
      </c>
      <c r="C3170" s="49">
        <v>29957</v>
      </c>
      <c r="D3170" s="9">
        <f>YEAR(Tabla1[[#This Row],[Date]])</f>
        <v>1982</v>
      </c>
      <c r="E3170" s="9" t="str" cm="1">
        <f t="array" ref="E3170">IFERROR(_xlfn.IFS(AND(D3170&lt;1980,D3170&gt;=1970),"70",AND(D3170&lt;1990,D3170&gt;=1980),"80",AND(D3170&lt;2000,D3170&gt;=1990),"90",AND(D3170&lt;2010,D3170&gt;=2000),"00",AND(D3170&lt;=2019,D3170&gt;=2010),"10"),"1908-1970")</f>
        <v>80</v>
      </c>
      <c r="F3170" s="3">
        <v>0.61111111111111105</v>
      </c>
      <c r="G3170" t="s">
        <v>19164</v>
      </c>
      <c r="H3170" t="s">
        <v>19078</v>
      </c>
      <c r="I3170" t="s">
        <v>28931</v>
      </c>
      <c r="J3170" t="s">
        <v>6190</v>
      </c>
      <c r="K3170" t="s">
        <v>14254</v>
      </c>
      <c r="L3170" s="7" t="s">
        <v>19165</v>
      </c>
      <c r="M3170" t="s">
        <v>28931</v>
      </c>
      <c r="N3170">
        <v>53</v>
      </c>
      <c r="O3170">
        <v>49</v>
      </c>
      <c r="P3170">
        <v>4</v>
      </c>
      <c r="Q3170">
        <v>53</v>
      </c>
      <c r="R3170">
        <v>49</v>
      </c>
      <c r="S3170">
        <v>4</v>
      </c>
      <c r="T3170">
        <v>0</v>
      </c>
      <c r="U3170" t="s">
        <v>19166</v>
      </c>
      <c r="V3170">
        <f>Tabla1[[#This Row],[Aboard]]-Tabla1[[#This Row],[Fatalities]]</f>
        <v>0</v>
      </c>
      <c r="W3170" s="50">
        <f>IFERROR(Tabla1[[#This Row],[Fatalities]]/Tabla1[[#This Row],[Aboard]],0)</f>
        <v>1</v>
      </c>
      <c r="X3170" s="51" t="str" cm="1">
        <f t="array" ref="X3170">_xlfn.IFS(Tabla1[[#This Row],[Porcentaje de muertes]]&lt;0.35,"LEVE",AND(Tabla1[[#This Row],[Porcentaje de muertes]]&gt;0.35,Tabla1[[#This Row],[Porcentaje de muertes]]&lt;0.65),"MEDIO",Tabla1[[#This Row],[Porcentaje de muertes]]&gt;0.65,"GRAVE")</f>
        <v>GRAVE</v>
      </c>
    </row>
    <row r="3171" spans="2:24" x14ac:dyDescent="0.3">
      <c r="B3171" s="9">
        <v>3170</v>
      </c>
      <c r="C3171" s="49">
        <v>30169</v>
      </c>
      <c r="D3171" s="9">
        <f>YEAR(Tabla1[[#This Row],[Date]])</f>
        <v>1982</v>
      </c>
      <c r="E3171" s="9" t="str" cm="1">
        <f t="array" ref="E3171">IFERROR(_xlfn.IFS(AND(D3171&lt;1980,D3171&gt;=1970),"70",AND(D3171&lt;1990,D3171&gt;=1980),"80",AND(D3171&lt;2000,D3171&gt;=1990),"90",AND(D3171&lt;2010,D3171&gt;=2000),"00",AND(D3171&lt;=2019,D3171&gt;=2010),"10"),"1908-1970")</f>
        <v>80</v>
      </c>
      <c r="F3171" s="3">
        <v>0.10069444444444443</v>
      </c>
      <c r="G3171" t="s">
        <v>19167</v>
      </c>
      <c r="H3171" t="s">
        <v>7581</v>
      </c>
      <c r="I3171">
        <v>168</v>
      </c>
      <c r="J3171" t="s">
        <v>12249</v>
      </c>
      <c r="K3171" t="s">
        <v>19168</v>
      </c>
      <c r="L3171" s="7" t="s">
        <v>19169</v>
      </c>
      <c r="M3171" t="s">
        <v>19170</v>
      </c>
      <c r="N3171">
        <v>137</v>
      </c>
      <c r="O3171">
        <v>128</v>
      </c>
      <c r="P3171">
        <v>9</v>
      </c>
      <c r="Q3171">
        <v>137</v>
      </c>
      <c r="R3171">
        <v>128</v>
      </c>
      <c r="S3171">
        <v>9</v>
      </c>
      <c r="T3171">
        <v>0</v>
      </c>
      <c r="U3171" t="s">
        <v>19171</v>
      </c>
      <c r="V3171">
        <f>Tabla1[[#This Row],[Aboard]]-Tabla1[[#This Row],[Fatalities]]</f>
        <v>0</v>
      </c>
      <c r="W3171" s="50">
        <f>IFERROR(Tabla1[[#This Row],[Fatalities]]/Tabla1[[#This Row],[Aboard]],0)</f>
        <v>1</v>
      </c>
      <c r="X3171" s="51" t="str" cm="1">
        <f t="array" ref="X3171">_xlfn.IFS(Tabla1[[#This Row],[Porcentaje de muertes]]&lt;0.35,"LEVE",AND(Tabla1[[#This Row],[Porcentaje de muertes]]&gt;0.35,Tabla1[[#This Row],[Porcentaje de muertes]]&lt;0.65),"MEDIO",Tabla1[[#This Row],[Porcentaje de muertes]]&gt;0.65,"GRAVE")</f>
        <v>GRAVE</v>
      </c>
    </row>
    <row r="3172" spans="2:24" x14ac:dyDescent="0.3">
      <c r="B3172" s="9">
        <v>3171</v>
      </c>
      <c r="C3172" s="49">
        <v>30291</v>
      </c>
      <c r="D3172" s="9">
        <f>YEAR(Tabla1[[#This Row],[Date]])</f>
        <v>1982</v>
      </c>
      <c r="E3172" s="9" t="str" cm="1">
        <f t="array" ref="E3172">IFERROR(_xlfn.IFS(AND(D3172&lt;1980,D3172&gt;=1970),"70",AND(D3172&lt;1990,D3172&gt;=1980),"80",AND(D3172&lt;2000,D3172&gt;=1990),"90",AND(D3172&lt;2010,D3172&gt;=2000),"00",AND(D3172&lt;=2019,D3172&gt;=2010),"10"),"1908-1970")</f>
        <v>80</v>
      </c>
      <c r="F3172" s="3" t="s">
        <v>28931</v>
      </c>
      <c r="G3172" t="s">
        <v>19172</v>
      </c>
      <c r="H3172" t="s">
        <v>18080</v>
      </c>
      <c r="I3172" t="s">
        <v>28931</v>
      </c>
      <c r="J3172" t="s">
        <v>19173</v>
      </c>
      <c r="K3172" t="s">
        <v>19174</v>
      </c>
      <c r="L3172" s="7" t="s">
        <v>19175</v>
      </c>
      <c r="M3172">
        <v>536</v>
      </c>
      <c r="N3172">
        <v>44</v>
      </c>
      <c r="O3172">
        <v>40</v>
      </c>
      <c r="P3172">
        <v>4</v>
      </c>
      <c r="Q3172">
        <v>44</v>
      </c>
      <c r="R3172">
        <v>40</v>
      </c>
      <c r="S3172">
        <v>4</v>
      </c>
      <c r="T3172">
        <v>0</v>
      </c>
      <c r="U3172" t="s">
        <v>19176</v>
      </c>
      <c r="V3172">
        <f>Tabla1[[#This Row],[Aboard]]-Tabla1[[#This Row],[Fatalities]]</f>
        <v>0</v>
      </c>
      <c r="W3172" s="50">
        <f>IFERROR(Tabla1[[#This Row],[Fatalities]]/Tabla1[[#This Row],[Aboard]],0)</f>
        <v>1</v>
      </c>
      <c r="X3172" s="51" t="str" cm="1">
        <f t="array" ref="X3172">_xlfn.IFS(Tabla1[[#This Row],[Porcentaje de muertes]]&lt;0.35,"LEVE",AND(Tabla1[[#This Row],[Porcentaje de muertes]]&gt;0.35,Tabla1[[#This Row],[Porcentaje de muertes]]&lt;0.65),"MEDIO",Tabla1[[#This Row],[Porcentaje de muertes]]&gt;0.65,"GRAVE")</f>
        <v>GRAVE</v>
      </c>
    </row>
    <row r="3173" spans="2:24" x14ac:dyDescent="0.3">
      <c r="B3173" s="9">
        <v>3172</v>
      </c>
      <c r="C3173" s="49">
        <v>30124</v>
      </c>
      <c r="D3173" s="9">
        <f>YEAR(Tabla1[[#This Row],[Date]])</f>
        <v>1982</v>
      </c>
      <c r="E3173" s="9" t="str" cm="1">
        <f t="array" ref="E3173">IFERROR(_xlfn.IFS(AND(D3173&lt;1980,D3173&gt;=1970),"70",AND(D3173&lt;1990,D3173&gt;=1980),"80",AND(D3173&lt;2000,D3173&gt;=1990),"90",AND(D3173&lt;2010,D3173&gt;=2000),"00",AND(D3173&lt;=2019,D3173&gt;=2010),"10"),"1908-1970")</f>
        <v>80</v>
      </c>
      <c r="F3173" s="3">
        <v>0.19027777777777777</v>
      </c>
      <c r="G3173" t="s">
        <v>19177</v>
      </c>
      <c r="H3173" t="s">
        <v>9312</v>
      </c>
      <c r="I3173" t="s">
        <v>28931</v>
      </c>
      <c r="J3173" t="s">
        <v>19178</v>
      </c>
      <c r="K3173" t="s">
        <v>14596</v>
      </c>
      <c r="L3173" s="7" t="s">
        <v>19179</v>
      </c>
      <c r="M3173" t="s">
        <v>19180</v>
      </c>
      <c r="N3173">
        <v>111</v>
      </c>
      <c r="O3173">
        <v>99</v>
      </c>
      <c r="P3173">
        <v>12</v>
      </c>
      <c r="Q3173">
        <v>17</v>
      </c>
      <c r="R3173">
        <v>15</v>
      </c>
      <c r="S3173">
        <v>2</v>
      </c>
      <c r="T3173">
        <v>0</v>
      </c>
      <c r="U3173" t="s">
        <v>19181</v>
      </c>
      <c r="V3173">
        <f>Tabla1[[#This Row],[Aboard]]-Tabla1[[#This Row],[Fatalities]]</f>
        <v>94</v>
      </c>
      <c r="W3173" s="50">
        <f>IFERROR(Tabla1[[#This Row],[Fatalities]]/Tabla1[[#This Row],[Aboard]],0)</f>
        <v>0.15315315315315314</v>
      </c>
      <c r="X3173" s="51" t="str" cm="1">
        <f t="array" ref="X3173">_xlfn.IFS(Tabla1[[#This Row],[Porcentaje de muertes]]&lt;0.35,"LEVE",AND(Tabla1[[#This Row],[Porcentaje de muertes]]&gt;0.35,Tabla1[[#This Row],[Porcentaje de muertes]]&lt;0.65),"MEDIO",Tabla1[[#This Row],[Porcentaje de muertes]]&gt;0.65,"GRAVE")</f>
        <v>LEVE</v>
      </c>
    </row>
    <row r="3174" spans="2:24" x14ac:dyDescent="0.3">
      <c r="B3174" s="9">
        <v>3173</v>
      </c>
      <c r="C3174" s="49">
        <v>30126</v>
      </c>
      <c r="D3174" s="9">
        <f>YEAR(Tabla1[[#This Row],[Date]])</f>
        <v>1982</v>
      </c>
      <c r="E3174" s="9" t="str" cm="1">
        <f t="array" ref="E3174">IFERROR(_xlfn.IFS(AND(D3174&lt;1980,D3174&gt;=1970),"70",AND(D3174&lt;1990,D3174&gt;=1980),"80",AND(D3174&lt;2000,D3174&gt;=1990),"90",AND(D3174&lt;2010,D3174&gt;=2000),"00",AND(D3174&lt;=2019,D3174&gt;=2010),"10"),"1908-1970")</f>
        <v>80</v>
      </c>
      <c r="F3174" s="3">
        <v>0.86388888888888893</v>
      </c>
      <c r="G3174" t="s">
        <v>19182</v>
      </c>
      <c r="H3174" t="s">
        <v>6862</v>
      </c>
      <c r="I3174">
        <v>9</v>
      </c>
      <c r="J3174" t="s">
        <v>19183</v>
      </c>
      <c r="K3174" t="s">
        <v>17041</v>
      </c>
      <c r="L3174" s="7" t="s">
        <v>19184</v>
      </c>
      <c r="M3174" t="s">
        <v>19185</v>
      </c>
      <c r="N3174">
        <v>257</v>
      </c>
      <c r="O3174">
        <v>247</v>
      </c>
      <c r="P3174">
        <v>10</v>
      </c>
      <c r="Q3174">
        <v>0</v>
      </c>
      <c r="R3174">
        <v>0</v>
      </c>
      <c r="S3174">
        <v>0</v>
      </c>
      <c r="T3174">
        <v>0</v>
      </c>
      <c r="U3174" t="s">
        <v>19186</v>
      </c>
      <c r="V3174">
        <f>Tabla1[[#This Row],[Aboard]]-Tabla1[[#This Row],[Fatalities]]</f>
        <v>257</v>
      </c>
      <c r="W3174" s="50">
        <f>IFERROR(Tabla1[[#This Row],[Fatalities]]/Tabla1[[#This Row],[Aboard]],0)</f>
        <v>0</v>
      </c>
      <c r="X3174" s="51" t="str" cm="1">
        <f t="array" ref="X3174">_xlfn.IFS(Tabla1[[#This Row],[Porcentaje de muertes]]&lt;0.35,"LEVE",AND(Tabla1[[#This Row],[Porcentaje de muertes]]&gt;0.35,Tabla1[[#This Row],[Porcentaje de muertes]]&lt;0.65),"MEDIO",Tabla1[[#This Row],[Porcentaje de muertes]]&gt;0.65,"GRAVE")</f>
        <v>LEVE</v>
      </c>
    </row>
    <row r="3175" spans="2:24" x14ac:dyDescent="0.3">
      <c r="B3175" s="9">
        <v>3174</v>
      </c>
      <c r="C3175" s="49">
        <v>30130</v>
      </c>
      <c r="D3175" s="9">
        <f>YEAR(Tabla1[[#This Row],[Date]])</f>
        <v>1982</v>
      </c>
      <c r="E3175" s="9" t="str" cm="1">
        <f t="array" ref="E3175">IFERROR(_xlfn.IFS(AND(D3175&lt;1980,D3175&gt;=1970),"70",AND(D3175&lt;1990,D3175&gt;=1980),"80",AND(D3175&lt;2000,D3175&gt;=1990),"90",AND(D3175&lt;2010,D3175&gt;=2000),"00",AND(D3175&lt;=2019,D3175&gt;=2010),"10"),"1908-1970")</f>
        <v>80</v>
      </c>
      <c r="F3175" s="3">
        <v>0.45069444444444445</v>
      </c>
      <c r="G3175" t="s">
        <v>19187</v>
      </c>
      <c r="H3175" t="s">
        <v>6541</v>
      </c>
      <c r="I3175">
        <v>8641</v>
      </c>
      <c r="J3175" t="s">
        <v>19188</v>
      </c>
      <c r="K3175" t="s">
        <v>19189</v>
      </c>
      <c r="L3175" s="7" t="s">
        <v>19190</v>
      </c>
      <c r="M3175">
        <v>8040104</v>
      </c>
      <c r="N3175">
        <v>132</v>
      </c>
      <c r="O3175">
        <v>124</v>
      </c>
      <c r="P3175">
        <v>8</v>
      </c>
      <c r="Q3175">
        <v>132</v>
      </c>
      <c r="R3175">
        <v>124</v>
      </c>
      <c r="S3175">
        <v>8</v>
      </c>
      <c r="T3175">
        <v>0</v>
      </c>
      <c r="U3175" t="s">
        <v>19191</v>
      </c>
      <c r="V3175">
        <f>Tabla1[[#This Row],[Aboard]]-Tabla1[[#This Row],[Fatalities]]</f>
        <v>0</v>
      </c>
      <c r="W3175" s="50">
        <f>IFERROR(Tabla1[[#This Row],[Fatalities]]/Tabla1[[#This Row],[Aboard]],0)</f>
        <v>1</v>
      </c>
      <c r="X3175" s="51" t="str" cm="1">
        <f t="array" ref="X3175">_xlfn.IFS(Tabla1[[#This Row],[Porcentaje de muertes]]&lt;0.35,"LEVE",AND(Tabla1[[#This Row],[Porcentaje de muertes]]&gt;0.35,Tabla1[[#This Row],[Porcentaje de muertes]]&lt;0.65),"MEDIO",Tabla1[[#This Row],[Porcentaje de muertes]]&gt;0.65,"GRAVE")</f>
        <v>GRAVE</v>
      </c>
    </row>
    <row r="3176" spans="2:24" x14ac:dyDescent="0.3">
      <c r="B3176" s="9">
        <v>3175</v>
      </c>
      <c r="C3176" s="49">
        <v>30017</v>
      </c>
      <c r="D3176" s="9">
        <f>YEAR(Tabla1[[#This Row],[Date]])</f>
        <v>1982</v>
      </c>
      <c r="E3176" s="9" t="str" cm="1">
        <f t="array" ref="E3176">IFERROR(_xlfn.IFS(AND(D3176&lt;1980,D3176&gt;=1970),"70",AND(D3176&lt;1990,D3176&gt;=1980),"80",AND(D3176&lt;2000,D3176&gt;=1990),"90",AND(D3176&lt;2010,D3176&gt;=2000),"00",AND(D3176&lt;=2019,D3176&gt;=2010),"10"),"1908-1970")</f>
        <v>80</v>
      </c>
      <c r="F3176" s="3" t="s">
        <v>28931</v>
      </c>
      <c r="G3176" t="s">
        <v>19192</v>
      </c>
      <c r="H3176" t="s">
        <v>19193</v>
      </c>
      <c r="I3176" t="s">
        <v>28931</v>
      </c>
      <c r="J3176" t="s">
        <v>19194</v>
      </c>
      <c r="K3176" t="s">
        <v>18994</v>
      </c>
      <c r="L3176" s="7" t="s">
        <v>19195</v>
      </c>
      <c r="M3176" t="s">
        <v>19196</v>
      </c>
      <c r="N3176">
        <v>12</v>
      </c>
      <c r="O3176" t="s">
        <v>5038</v>
      </c>
      <c r="P3176" t="s">
        <v>5038</v>
      </c>
      <c r="Q3176">
        <v>12</v>
      </c>
      <c r="R3176" t="s">
        <v>5038</v>
      </c>
      <c r="S3176" t="s">
        <v>5038</v>
      </c>
      <c r="T3176">
        <v>0</v>
      </c>
      <c r="U3176" t="s">
        <v>28927</v>
      </c>
      <c r="V3176">
        <f>Tabla1[[#This Row],[Aboard]]-Tabla1[[#This Row],[Fatalities]]</f>
        <v>0</v>
      </c>
      <c r="W3176" s="50">
        <f>IFERROR(Tabla1[[#This Row],[Fatalities]]/Tabla1[[#This Row],[Aboard]],0)</f>
        <v>1</v>
      </c>
      <c r="X3176" s="51" t="str" cm="1">
        <f t="array" ref="X3176">_xlfn.IFS(Tabla1[[#This Row],[Porcentaje de muertes]]&lt;0.35,"LEVE",AND(Tabla1[[#This Row],[Porcentaje de muertes]]&gt;0.35,Tabla1[[#This Row],[Porcentaje de muertes]]&lt;0.65),"MEDIO",Tabla1[[#This Row],[Porcentaje de muertes]]&gt;0.65,"GRAVE")</f>
        <v>GRAVE</v>
      </c>
    </row>
    <row r="3177" spans="2:24" x14ac:dyDescent="0.3">
      <c r="B3177" s="9">
        <v>3176</v>
      </c>
      <c r="C3177" s="49">
        <v>30109</v>
      </c>
      <c r="D3177" s="9">
        <f>YEAR(Tabla1[[#This Row],[Date]])</f>
        <v>1982</v>
      </c>
      <c r="E3177" s="9" t="str" cm="1">
        <f t="array" ref="E3177">IFERROR(_xlfn.IFS(AND(D3177&lt;1980,D3177&gt;=1970),"70",AND(D3177&lt;1990,D3177&gt;=1980),"80",AND(D3177&lt;2000,D3177&gt;=1990),"90",AND(D3177&lt;2010,D3177&gt;=2000),"00",AND(D3177&lt;=2019,D3177&gt;=2010),"10"),"1908-1970")</f>
        <v>80</v>
      </c>
      <c r="F3177" s="3">
        <v>2.4305555555555556E-2</v>
      </c>
      <c r="G3177" t="s">
        <v>6590</v>
      </c>
      <c r="H3177" t="s">
        <v>6541</v>
      </c>
      <c r="I3177">
        <v>411</v>
      </c>
      <c r="J3177" t="s">
        <v>19197</v>
      </c>
      <c r="K3177" t="s">
        <v>17879</v>
      </c>
      <c r="L3177" s="7" t="s">
        <v>19198</v>
      </c>
      <c r="M3177">
        <v>4037536</v>
      </c>
      <c r="N3177">
        <v>90</v>
      </c>
      <c r="O3177">
        <v>80</v>
      </c>
      <c r="P3177">
        <v>10</v>
      </c>
      <c r="Q3177">
        <v>90</v>
      </c>
      <c r="R3177">
        <v>80</v>
      </c>
      <c r="S3177">
        <v>10</v>
      </c>
      <c r="T3177">
        <v>0</v>
      </c>
      <c r="U3177" t="s">
        <v>19199</v>
      </c>
      <c r="V3177">
        <f>Tabla1[[#This Row],[Aboard]]-Tabla1[[#This Row],[Fatalities]]</f>
        <v>0</v>
      </c>
      <c r="W3177" s="50">
        <f>IFERROR(Tabla1[[#This Row],[Fatalities]]/Tabla1[[#This Row],[Aboard]],0)</f>
        <v>1</v>
      </c>
      <c r="X3177" s="51" t="str" cm="1">
        <f t="array" ref="X3177">_xlfn.IFS(Tabla1[[#This Row],[Porcentaje de muertes]]&lt;0.35,"LEVE",AND(Tabla1[[#This Row],[Porcentaje de muertes]]&gt;0.35,Tabla1[[#This Row],[Porcentaje de muertes]]&lt;0.65),"MEDIO",Tabla1[[#This Row],[Porcentaje de muertes]]&gt;0.65,"GRAVE")</f>
        <v>GRAVE</v>
      </c>
    </row>
    <row r="3178" spans="2:24" x14ac:dyDescent="0.3">
      <c r="B3178" s="9">
        <v>3177</v>
      </c>
      <c r="C3178" s="49">
        <v>30201</v>
      </c>
      <c r="D3178" s="9">
        <f>YEAR(Tabla1[[#This Row],[Date]])</f>
        <v>1982</v>
      </c>
      <c r="E3178" s="9" t="str" cm="1">
        <f t="array" ref="E3178">IFERROR(_xlfn.IFS(AND(D3178&lt;1980,D3178&gt;=1970),"70",AND(D3178&lt;1990,D3178&gt;=1980),"80",AND(D3178&lt;2000,D3178&gt;=1990),"90",AND(D3178&lt;2010,D3178&gt;=2000),"00",AND(D3178&lt;=2019,D3178&gt;=2010),"10"),"1908-1970")</f>
        <v>80</v>
      </c>
      <c r="F3178" s="3">
        <v>0.67291666666666661</v>
      </c>
      <c r="G3178" t="s">
        <v>19200</v>
      </c>
      <c r="H3178" t="s">
        <v>7121</v>
      </c>
      <c r="I3178">
        <v>759</v>
      </c>
      <c r="J3178" t="s">
        <v>19201</v>
      </c>
      <c r="K3178" t="s">
        <v>18149</v>
      </c>
      <c r="L3178" s="7" t="s">
        <v>19202</v>
      </c>
      <c r="M3178" t="s">
        <v>19203</v>
      </c>
      <c r="N3178">
        <v>145</v>
      </c>
      <c r="O3178">
        <v>138</v>
      </c>
      <c r="P3178">
        <v>7</v>
      </c>
      <c r="Q3178">
        <v>145</v>
      </c>
      <c r="R3178">
        <v>138</v>
      </c>
      <c r="S3178">
        <v>7</v>
      </c>
      <c r="T3178">
        <v>8</v>
      </c>
      <c r="U3178" t="s">
        <v>19204</v>
      </c>
      <c r="V3178">
        <f>Tabla1[[#This Row],[Aboard]]-Tabla1[[#This Row],[Fatalities]]</f>
        <v>0</v>
      </c>
      <c r="W3178" s="50">
        <f>IFERROR(Tabla1[[#This Row],[Fatalities]]/Tabla1[[#This Row],[Aboard]],0)</f>
        <v>1</v>
      </c>
      <c r="X3178" s="51" t="str" cm="1">
        <f t="array" ref="X3178">_xlfn.IFS(Tabla1[[#This Row],[Porcentaje de muertes]]&lt;0.35,"LEVE",AND(Tabla1[[#This Row],[Porcentaje de muertes]]&gt;0.35,Tabla1[[#This Row],[Porcentaje de muertes]]&lt;0.65),"MEDIO",Tabla1[[#This Row],[Porcentaje de muertes]]&gt;0.65,"GRAVE")</f>
        <v>GRAVE</v>
      </c>
    </row>
    <row r="3179" spans="2:24" x14ac:dyDescent="0.3">
      <c r="B3179" s="9">
        <v>3178</v>
      </c>
      <c r="C3179" s="49">
        <v>30262</v>
      </c>
      <c r="D3179" s="9">
        <f>YEAR(Tabla1[[#This Row],[Date]])</f>
        <v>1982</v>
      </c>
      <c r="E3179" s="9" t="str" cm="1">
        <f t="array" ref="E3179">IFERROR(_xlfn.IFS(AND(D3179&lt;1980,D3179&gt;=1970),"70",AND(D3179&lt;1990,D3179&gt;=1980),"80",AND(D3179&lt;2000,D3179&gt;=1990),"90",AND(D3179&lt;2010,D3179&gt;=2000),"00",AND(D3179&lt;=2019,D3179&gt;=2010),"10"),"1908-1970")</f>
        <v>80</v>
      </c>
      <c r="F3179" s="3" t="s">
        <v>28931</v>
      </c>
      <c r="G3179" t="s">
        <v>19205</v>
      </c>
      <c r="H3179" t="s">
        <v>8992</v>
      </c>
      <c r="I3179">
        <v>480</v>
      </c>
      <c r="J3179" t="s">
        <v>19206</v>
      </c>
      <c r="K3179" t="s">
        <v>19207</v>
      </c>
      <c r="L3179" s="7" t="s">
        <v>19208</v>
      </c>
      <c r="M3179">
        <v>1636</v>
      </c>
      <c r="N3179">
        <v>30</v>
      </c>
      <c r="O3179">
        <v>25</v>
      </c>
      <c r="P3179">
        <v>5</v>
      </c>
      <c r="Q3179">
        <v>4</v>
      </c>
      <c r="R3179">
        <v>3</v>
      </c>
      <c r="S3179">
        <v>1</v>
      </c>
      <c r="T3179">
        <v>0</v>
      </c>
      <c r="U3179" t="s">
        <v>19209</v>
      </c>
      <c r="V3179">
        <f>Tabla1[[#This Row],[Aboard]]-Tabla1[[#This Row],[Fatalities]]</f>
        <v>26</v>
      </c>
      <c r="W3179" s="50">
        <f>IFERROR(Tabla1[[#This Row],[Fatalities]]/Tabla1[[#This Row],[Aboard]],0)</f>
        <v>0.13333333333333333</v>
      </c>
      <c r="X3179" s="51" t="str" cm="1">
        <f t="array" ref="X3179">_xlfn.IFS(Tabla1[[#This Row],[Porcentaje de muertes]]&lt;0.35,"LEVE",AND(Tabla1[[#This Row],[Porcentaje de muertes]]&gt;0.35,Tabla1[[#This Row],[Porcentaje de muertes]]&lt;0.65),"MEDIO",Tabla1[[#This Row],[Porcentaje de muertes]]&gt;0.65,"GRAVE")</f>
        <v>LEVE</v>
      </c>
    </row>
    <row r="3180" spans="2:24" x14ac:dyDescent="0.3">
      <c r="B3180" s="9">
        <v>3179</v>
      </c>
      <c r="C3180" s="49">
        <v>30155</v>
      </c>
      <c r="D3180" s="9">
        <f>YEAR(Tabla1[[#This Row],[Date]])</f>
        <v>1982</v>
      </c>
      <c r="E3180" s="9" t="str" cm="1">
        <f t="array" ref="E3180">IFERROR(_xlfn.IFS(AND(D3180&lt;1980,D3180&gt;=1970),"70",AND(D3180&lt;1990,D3180&gt;=1980),"80",AND(D3180&lt;2000,D3180&gt;=1990),"90",AND(D3180&lt;2010,D3180&gt;=2000),"00",AND(D3180&lt;=2019,D3180&gt;=2010),"10"),"1908-1970")</f>
        <v>80</v>
      </c>
      <c r="F3180" s="3">
        <v>0.10416666666666667</v>
      </c>
      <c r="G3180" t="s">
        <v>19210</v>
      </c>
      <c r="H3180" t="s">
        <v>19211</v>
      </c>
      <c r="I3180" t="s">
        <v>28931</v>
      </c>
      <c r="J3180" t="s">
        <v>19212</v>
      </c>
      <c r="K3180" t="s">
        <v>19213</v>
      </c>
      <c r="L3180" s="7" t="s">
        <v>19214</v>
      </c>
      <c r="M3180">
        <v>6414038</v>
      </c>
      <c r="N3180">
        <v>1</v>
      </c>
      <c r="O3180">
        <v>0</v>
      </c>
      <c r="P3180">
        <v>1</v>
      </c>
      <c r="Q3180">
        <v>0</v>
      </c>
      <c r="R3180">
        <v>0</v>
      </c>
      <c r="S3180">
        <v>0</v>
      </c>
      <c r="T3180">
        <v>3</v>
      </c>
      <c r="U3180" t="s">
        <v>19215</v>
      </c>
      <c r="V3180">
        <f>Tabla1[[#This Row],[Aboard]]-Tabla1[[#This Row],[Fatalities]]</f>
        <v>1</v>
      </c>
      <c r="W3180" s="50">
        <f>IFERROR(Tabla1[[#This Row],[Fatalities]]/Tabla1[[#This Row],[Aboard]],0)</f>
        <v>0</v>
      </c>
      <c r="X3180" s="51" t="str" cm="1">
        <f t="array" ref="X3180">_xlfn.IFS(Tabla1[[#This Row],[Porcentaje de muertes]]&lt;0.35,"LEVE",AND(Tabla1[[#This Row],[Porcentaje de muertes]]&gt;0.35,Tabla1[[#This Row],[Porcentaje de muertes]]&lt;0.65),"MEDIO",Tabla1[[#This Row],[Porcentaje de muertes]]&gt;0.65,"GRAVE")</f>
        <v>LEVE</v>
      </c>
    </row>
    <row r="3181" spans="2:24" x14ac:dyDescent="0.3">
      <c r="B3181" s="9">
        <v>3180</v>
      </c>
      <c r="C3181" s="49">
        <v>30263</v>
      </c>
      <c r="D3181" s="9">
        <f>YEAR(Tabla1[[#This Row],[Date]])</f>
        <v>1982</v>
      </c>
      <c r="E3181" s="9" t="str" cm="1">
        <f t="array" ref="E3181">IFERROR(_xlfn.IFS(AND(D3181&lt;1980,D3181&gt;=1970),"70",AND(D3181&lt;1990,D3181&gt;=1980),"80",AND(D3181&lt;2000,D3181&gt;=1990),"90",AND(D3181&lt;2010,D3181&gt;=2000),"00",AND(D3181&lt;=2019,D3181&gt;=2010),"10"),"1908-1970")</f>
        <v>80</v>
      </c>
      <c r="F3181" s="3" t="s">
        <v>28931</v>
      </c>
      <c r="G3181" t="s">
        <v>19216</v>
      </c>
      <c r="H3181" t="s">
        <v>7121</v>
      </c>
      <c r="I3181" t="s">
        <v>19217</v>
      </c>
      <c r="J3181" t="s">
        <v>19218</v>
      </c>
      <c r="K3181" t="s">
        <v>16214</v>
      </c>
      <c r="L3181" s="7" t="s">
        <v>19219</v>
      </c>
      <c r="M3181" t="s">
        <v>19220</v>
      </c>
      <c r="N3181">
        <v>285</v>
      </c>
      <c r="O3181">
        <v>270</v>
      </c>
      <c r="P3181">
        <v>25</v>
      </c>
      <c r="Q3181">
        <v>1</v>
      </c>
      <c r="R3181">
        <v>1</v>
      </c>
      <c r="S3181">
        <v>0</v>
      </c>
      <c r="T3181">
        <v>0</v>
      </c>
      <c r="U3181" t="s">
        <v>19221</v>
      </c>
      <c r="V3181">
        <f>Tabla1[[#This Row],[Aboard]]-Tabla1[[#This Row],[Fatalities]]</f>
        <v>284</v>
      </c>
      <c r="W3181" s="50">
        <f>IFERROR(Tabla1[[#This Row],[Fatalities]]/Tabla1[[#This Row],[Aboard]],0)</f>
        <v>3.5087719298245615E-3</v>
      </c>
      <c r="X3181" s="51" t="str" cm="1">
        <f t="array" ref="X3181">_xlfn.IFS(Tabla1[[#This Row],[Porcentaje de muertes]]&lt;0.35,"LEVE",AND(Tabla1[[#This Row],[Porcentaje de muertes]]&gt;0.35,Tabla1[[#This Row],[Porcentaje de muertes]]&lt;0.65),"MEDIO",Tabla1[[#This Row],[Porcentaje de muertes]]&gt;0.65,"GRAVE")</f>
        <v>LEVE</v>
      </c>
    </row>
    <row r="3182" spans="2:24" x14ac:dyDescent="0.3">
      <c r="B3182" s="9">
        <v>3181</v>
      </c>
      <c r="C3182" s="49">
        <v>30293</v>
      </c>
      <c r="D3182" s="9">
        <f>YEAR(Tabla1[[#This Row],[Date]])</f>
        <v>1982</v>
      </c>
      <c r="E3182" s="9" t="str" cm="1">
        <f t="array" ref="E3182">IFERROR(_xlfn.IFS(AND(D3182&lt;1980,D3182&gt;=1970),"70",AND(D3182&lt;1990,D3182&gt;=1980),"80",AND(D3182&lt;2000,D3182&gt;=1990),"90",AND(D3182&lt;2010,D3182&gt;=2000),"00",AND(D3182&lt;=2019,D3182&gt;=2010),"10"),"1908-1970")</f>
        <v>80</v>
      </c>
      <c r="F3182" s="3" t="s">
        <v>28931</v>
      </c>
      <c r="G3182" t="s">
        <v>19222</v>
      </c>
      <c r="H3182" t="s">
        <v>16549</v>
      </c>
      <c r="I3182" t="s">
        <v>28931</v>
      </c>
      <c r="J3182" t="s">
        <v>28931</v>
      </c>
      <c r="K3182" t="s">
        <v>16680</v>
      </c>
      <c r="L3182" s="7" t="s">
        <v>19223</v>
      </c>
      <c r="M3182">
        <v>501</v>
      </c>
      <c r="N3182">
        <v>8</v>
      </c>
      <c r="O3182">
        <v>5</v>
      </c>
      <c r="P3182">
        <v>3</v>
      </c>
      <c r="Q3182">
        <v>8</v>
      </c>
      <c r="R3182">
        <v>5</v>
      </c>
      <c r="S3182">
        <v>3</v>
      </c>
      <c r="T3182">
        <v>0</v>
      </c>
      <c r="U3182" t="s">
        <v>19224</v>
      </c>
      <c r="V3182">
        <f>Tabla1[[#This Row],[Aboard]]-Tabla1[[#This Row],[Fatalities]]</f>
        <v>0</v>
      </c>
      <c r="W3182" s="50">
        <f>IFERROR(Tabla1[[#This Row],[Fatalities]]/Tabla1[[#This Row],[Aboard]],0)</f>
        <v>1</v>
      </c>
      <c r="X3182" s="51" t="str" cm="1">
        <f t="array" ref="X3182">_xlfn.IFS(Tabla1[[#This Row],[Porcentaje de muertes]]&lt;0.35,"LEVE",AND(Tabla1[[#This Row],[Porcentaje de muertes]]&gt;0.35,Tabla1[[#This Row],[Porcentaje de muertes]]&lt;0.65),"MEDIO",Tabla1[[#This Row],[Porcentaje de muertes]]&gt;0.65,"GRAVE")</f>
        <v>GRAVE</v>
      </c>
    </row>
    <row r="3183" spans="2:24" x14ac:dyDescent="0.3">
      <c r="B3183" s="9">
        <v>3182</v>
      </c>
      <c r="C3183" s="49">
        <v>30177</v>
      </c>
      <c r="D3183" s="9">
        <f>YEAR(Tabla1[[#This Row],[Date]])</f>
        <v>1982</v>
      </c>
      <c r="E3183" s="9" t="str" cm="1">
        <f t="array" ref="E3183">IFERROR(_xlfn.IFS(AND(D3183&lt;1980,D3183&gt;=1970),"70",AND(D3183&lt;1990,D3183&gt;=1980),"80",AND(D3183&lt;2000,D3183&gt;=1990),"90",AND(D3183&lt;2010,D3183&gt;=2000),"00",AND(D3183&lt;=2019,D3183&gt;=2010),"10"),"1908-1970")</f>
        <v>80</v>
      </c>
      <c r="F3183" s="3">
        <v>0.375</v>
      </c>
      <c r="G3183" t="s">
        <v>19225</v>
      </c>
      <c r="H3183" t="s">
        <v>17404</v>
      </c>
      <c r="I3183" t="s">
        <v>28931</v>
      </c>
      <c r="J3183" t="s">
        <v>19226</v>
      </c>
      <c r="K3183" t="s">
        <v>19227</v>
      </c>
      <c r="L3183" s="7">
        <v>223</v>
      </c>
      <c r="M3183">
        <v>6</v>
      </c>
      <c r="N3183">
        <v>20</v>
      </c>
      <c r="O3183">
        <v>18</v>
      </c>
      <c r="P3183">
        <v>2</v>
      </c>
      <c r="Q3183">
        <v>20</v>
      </c>
      <c r="R3183">
        <v>18</v>
      </c>
      <c r="S3183">
        <v>2</v>
      </c>
      <c r="T3183">
        <v>0</v>
      </c>
      <c r="U3183" t="s">
        <v>19228</v>
      </c>
      <c r="V3183">
        <f>Tabla1[[#This Row],[Aboard]]-Tabla1[[#This Row],[Fatalities]]</f>
        <v>0</v>
      </c>
      <c r="W3183" s="50">
        <f>IFERROR(Tabla1[[#This Row],[Fatalities]]/Tabla1[[#This Row],[Aboard]],0)</f>
        <v>1</v>
      </c>
      <c r="X3183" s="51" t="str" cm="1">
        <f t="array" ref="X3183">_xlfn.IFS(Tabla1[[#This Row],[Porcentaje de muertes]]&lt;0.35,"LEVE",AND(Tabla1[[#This Row],[Porcentaje de muertes]]&gt;0.35,Tabla1[[#This Row],[Porcentaje de muertes]]&lt;0.65),"MEDIO",Tabla1[[#This Row],[Porcentaje de muertes]]&gt;0.65,"GRAVE")</f>
        <v>GRAVE</v>
      </c>
    </row>
    <row r="3184" spans="2:24" x14ac:dyDescent="0.3">
      <c r="B3184" s="9">
        <v>3183</v>
      </c>
      <c r="C3184" s="49">
        <v>30177</v>
      </c>
      <c r="D3184" s="9">
        <f>YEAR(Tabla1[[#This Row],[Date]])</f>
        <v>1982</v>
      </c>
      <c r="E3184" s="9" t="str" cm="1">
        <f t="array" ref="E3184">IFERROR(_xlfn.IFS(AND(D3184&lt;1980,D3184&gt;=1970),"70",AND(D3184&lt;1990,D3184&gt;=1980),"80",AND(D3184&lt;2000,D3184&gt;=1990),"90",AND(D3184&lt;2010,D3184&gt;=2000),"00",AND(D3184&lt;=2019,D3184&gt;=2010),"10"),"1908-1970")</f>
        <v>80</v>
      </c>
      <c r="F3184" s="3">
        <v>0.71319444444444446</v>
      </c>
      <c r="G3184" t="s">
        <v>19229</v>
      </c>
      <c r="H3184" t="s">
        <v>17676</v>
      </c>
      <c r="I3184" t="s">
        <v>28931</v>
      </c>
      <c r="J3184" t="s">
        <v>19230</v>
      </c>
      <c r="K3184" t="s">
        <v>19231</v>
      </c>
      <c r="L3184" s="7" t="s">
        <v>19232</v>
      </c>
      <c r="M3184" t="s">
        <v>19233</v>
      </c>
      <c r="N3184">
        <v>11</v>
      </c>
      <c r="O3184">
        <v>9</v>
      </c>
      <c r="P3184">
        <v>2</v>
      </c>
      <c r="Q3184">
        <v>11</v>
      </c>
      <c r="R3184">
        <v>9</v>
      </c>
      <c r="S3184">
        <v>2</v>
      </c>
      <c r="T3184">
        <v>0</v>
      </c>
      <c r="U3184" t="s">
        <v>19234</v>
      </c>
      <c r="V3184">
        <f>Tabla1[[#This Row],[Aboard]]-Tabla1[[#This Row],[Fatalities]]</f>
        <v>0</v>
      </c>
      <c r="W3184" s="50">
        <f>IFERROR(Tabla1[[#This Row],[Fatalities]]/Tabla1[[#This Row],[Aboard]],0)</f>
        <v>1</v>
      </c>
      <c r="X3184" s="51" t="str" cm="1">
        <f t="array" ref="X3184">_xlfn.IFS(Tabla1[[#This Row],[Porcentaje de muertes]]&lt;0.35,"LEVE",AND(Tabla1[[#This Row],[Porcentaje de muertes]]&gt;0.35,Tabla1[[#This Row],[Porcentaje de muertes]]&lt;0.65),"MEDIO",Tabla1[[#This Row],[Porcentaje de muertes]]&gt;0.65,"GRAVE")</f>
        <v>GRAVE</v>
      </c>
    </row>
    <row r="3185" spans="2:24" x14ac:dyDescent="0.3">
      <c r="B3185" s="9">
        <v>3184</v>
      </c>
      <c r="C3185" s="49">
        <v>29960</v>
      </c>
      <c r="D3185" s="9">
        <f>YEAR(Tabla1[[#This Row],[Date]])</f>
        <v>1982</v>
      </c>
      <c r="E3185" s="9" t="str" cm="1">
        <f t="array" ref="E3185">IFERROR(_xlfn.IFS(AND(D3185&lt;1980,D3185&gt;=1970),"70",AND(D3185&lt;1990,D3185&gt;=1980),"80",AND(D3185&lt;2000,D3185&gt;=1990),"90",AND(D3185&lt;2010,D3185&gt;=2000),"00",AND(D3185&lt;=2019,D3185&gt;=2010),"10"),"1908-1970")</f>
        <v>80</v>
      </c>
      <c r="F3185" s="3" t="s">
        <v>28931</v>
      </c>
      <c r="G3185" t="s">
        <v>19235</v>
      </c>
      <c r="H3185" t="s">
        <v>19236</v>
      </c>
      <c r="I3185" t="s">
        <v>28931</v>
      </c>
      <c r="J3185" t="s">
        <v>19237</v>
      </c>
      <c r="K3185" t="s">
        <v>18395</v>
      </c>
      <c r="L3185" s="7" t="s">
        <v>19238</v>
      </c>
      <c r="M3185">
        <v>249</v>
      </c>
      <c r="N3185">
        <v>44</v>
      </c>
      <c r="O3185">
        <v>41</v>
      </c>
      <c r="P3185">
        <v>3</v>
      </c>
      <c r="Q3185">
        <v>44</v>
      </c>
      <c r="R3185">
        <v>41</v>
      </c>
      <c r="S3185">
        <v>3</v>
      </c>
      <c r="T3185">
        <v>0</v>
      </c>
      <c r="U3185" t="s">
        <v>19239</v>
      </c>
      <c r="V3185">
        <f>Tabla1[[#This Row],[Aboard]]-Tabla1[[#This Row],[Fatalities]]</f>
        <v>0</v>
      </c>
      <c r="W3185" s="50">
        <f>IFERROR(Tabla1[[#This Row],[Fatalities]]/Tabla1[[#This Row],[Aboard]],0)</f>
        <v>1</v>
      </c>
      <c r="X3185" s="51" t="str" cm="1">
        <f t="array" ref="X3185">_xlfn.IFS(Tabla1[[#This Row],[Porcentaje de muertes]]&lt;0.35,"LEVE",AND(Tabla1[[#This Row],[Porcentaje de muertes]]&gt;0.35,Tabla1[[#This Row],[Porcentaje de muertes]]&lt;0.65),"MEDIO",Tabla1[[#This Row],[Porcentaje de muertes]]&gt;0.65,"GRAVE")</f>
        <v>GRAVE</v>
      </c>
    </row>
    <row r="3186" spans="2:24" x14ac:dyDescent="0.3">
      <c r="B3186" s="9">
        <v>3185</v>
      </c>
      <c r="C3186" s="49">
        <v>30050</v>
      </c>
      <c r="D3186" s="9">
        <f>YEAR(Tabla1[[#This Row],[Date]])</f>
        <v>1982</v>
      </c>
      <c r="E3186" s="9" t="str" cm="1">
        <f t="array" ref="E3186">IFERROR(_xlfn.IFS(AND(D3186&lt;1980,D3186&gt;=1970),"70",AND(D3186&lt;1990,D3186&gt;=1980),"80",AND(D3186&lt;2000,D3186&gt;=1990),"90",AND(D3186&lt;2010,D3186&gt;=2000),"00",AND(D3186&lt;=2019,D3186&gt;=2010),"10"),"1908-1970")</f>
        <v>80</v>
      </c>
      <c r="F3186" s="3" t="s">
        <v>28931</v>
      </c>
      <c r="G3186" t="s">
        <v>19240</v>
      </c>
      <c r="H3186" t="s">
        <v>19241</v>
      </c>
      <c r="I3186" t="s">
        <v>28931</v>
      </c>
      <c r="J3186" t="s">
        <v>19242</v>
      </c>
      <c r="K3186" t="s">
        <v>19243</v>
      </c>
      <c r="L3186" s="7" t="s">
        <v>19244</v>
      </c>
      <c r="M3186" t="s">
        <v>19245</v>
      </c>
      <c r="N3186">
        <v>10</v>
      </c>
      <c r="O3186">
        <v>8</v>
      </c>
      <c r="P3186">
        <v>2</v>
      </c>
      <c r="Q3186">
        <v>10</v>
      </c>
      <c r="R3186">
        <v>8</v>
      </c>
      <c r="S3186">
        <v>2</v>
      </c>
      <c r="T3186">
        <v>0</v>
      </c>
      <c r="U3186" t="s">
        <v>19246</v>
      </c>
      <c r="V3186">
        <f>Tabla1[[#This Row],[Aboard]]-Tabla1[[#This Row],[Fatalities]]</f>
        <v>0</v>
      </c>
      <c r="W3186" s="50">
        <f>IFERROR(Tabla1[[#This Row],[Fatalities]]/Tabla1[[#This Row],[Aboard]],0)</f>
        <v>1</v>
      </c>
      <c r="X3186" s="51" t="str" cm="1">
        <f t="array" ref="X3186">_xlfn.IFS(Tabla1[[#This Row],[Porcentaje de muertes]]&lt;0.35,"LEVE",AND(Tabla1[[#This Row],[Porcentaje de muertes]]&gt;0.35,Tabla1[[#This Row],[Porcentaje de muertes]]&lt;0.65),"MEDIO",Tabla1[[#This Row],[Porcentaje de muertes]]&gt;0.65,"GRAVE")</f>
        <v>GRAVE</v>
      </c>
    </row>
    <row r="3187" spans="2:24" x14ac:dyDescent="0.3">
      <c r="B3187" s="9">
        <v>3186</v>
      </c>
      <c r="C3187" s="49">
        <v>30264</v>
      </c>
      <c r="D3187" s="9">
        <f>YEAR(Tabla1[[#This Row],[Date]])</f>
        <v>1982</v>
      </c>
      <c r="E3187" s="9" t="str" cm="1">
        <f t="array" ref="E3187">IFERROR(_xlfn.IFS(AND(D3187&lt;1980,D3187&gt;=1970),"70",AND(D3187&lt;1990,D3187&gt;=1980),"80",AND(D3187&lt;2000,D3187&gt;=1990),"90",AND(D3187&lt;2010,D3187&gt;=2000),"00",AND(D3187&lt;=2019,D3187&gt;=2010),"10"),"1908-1970")</f>
        <v>80</v>
      </c>
      <c r="F3187" s="3">
        <v>0.53472222222222221</v>
      </c>
      <c r="G3187" t="s">
        <v>19247</v>
      </c>
      <c r="H3187" t="s">
        <v>5017</v>
      </c>
      <c r="I3187" t="s">
        <v>28931</v>
      </c>
      <c r="J3187" t="s">
        <v>28931</v>
      </c>
      <c r="K3187" t="s">
        <v>19248</v>
      </c>
      <c r="L3187" s="7" t="s">
        <v>19249</v>
      </c>
      <c r="M3187" t="s">
        <v>28931</v>
      </c>
      <c r="N3187">
        <v>46</v>
      </c>
      <c r="O3187">
        <v>42</v>
      </c>
      <c r="P3187">
        <v>4</v>
      </c>
      <c r="Q3187">
        <v>46</v>
      </c>
      <c r="R3187">
        <v>42</v>
      </c>
      <c r="S3187">
        <v>4</v>
      </c>
      <c r="T3187">
        <v>0</v>
      </c>
      <c r="U3187" t="s">
        <v>19250</v>
      </c>
      <c r="V3187">
        <f>Tabla1[[#This Row],[Aboard]]-Tabla1[[#This Row],[Fatalities]]</f>
        <v>0</v>
      </c>
      <c r="W3187" s="50">
        <f>IFERROR(Tabla1[[#This Row],[Fatalities]]/Tabla1[[#This Row],[Aboard]],0)</f>
        <v>1</v>
      </c>
      <c r="X3187" s="51" t="str" cm="1">
        <f t="array" ref="X3187">_xlfn.IFS(Tabla1[[#This Row],[Porcentaje de muertes]]&lt;0.35,"LEVE",AND(Tabla1[[#This Row],[Porcentaje de muertes]]&gt;0.35,Tabla1[[#This Row],[Porcentaje de muertes]]&lt;0.65),"MEDIO",Tabla1[[#This Row],[Porcentaje de muertes]]&gt;0.65,"GRAVE")</f>
        <v>GRAVE</v>
      </c>
    </row>
    <row r="3188" spans="2:24" x14ac:dyDescent="0.3">
      <c r="B3188" s="9">
        <v>3187</v>
      </c>
      <c r="C3188" s="49">
        <v>30207</v>
      </c>
      <c r="D3188" s="9">
        <f>YEAR(Tabla1[[#This Row],[Date]])</f>
        <v>1982</v>
      </c>
      <c r="E3188" s="9" t="str" cm="1">
        <f t="array" ref="E3188">IFERROR(_xlfn.IFS(AND(D3188&lt;1980,D3188&gt;=1970),"70",AND(D3188&lt;1990,D3188&gt;=1980),"80",AND(D3188&lt;2000,D3188&gt;=1990),"90",AND(D3188&lt;2010,D3188&gt;=2000),"00",AND(D3188&lt;=2019,D3188&gt;=2010),"10"),"1908-1970")</f>
        <v>80</v>
      </c>
      <c r="F3188" s="3">
        <v>0.5</v>
      </c>
      <c r="G3188" t="s">
        <v>19251</v>
      </c>
      <c r="H3188" t="s">
        <v>14549</v>
      </c>
      <c r="I3188">
        <v>995</v>
      </c>
      <c r="J3188" t="s">
        <v>19252</v>
      </c>
      <c r="K3188" t="s">
        <v>19066</v>
      </c>
      <c r="L3188" s="7" t="s">
        <v>19253</v>
      </c>
      <c r="M3188" t="s">
        <v>19254</v>
      </c>
      <c r="N3188">
        <v>394</v>
      </c>
      <c r="O3188">
        <v>381</v>
      </c>
      <c r="P3188">
        <v>13</v>
      </c>
      <c r="Q3188">
        <v>50</v>
      </c>
      <c r="R3188">
        <v>47</v>
      </c>
      <c r="S3188">
        <v>3</v>
      </c>
      <c r="T3188">
        <v>0</v>
      </c>
      <c r="U3188" t="s">
        <v>19255</v>
      </c>
      <c r="V3188">
        <f>Tabla1[[#This Row],[Aboard]]-Tabla1[[#This Row],[Fatalities]]</f>
        <v>344</v>
      </c>
      <c r="W3188" s="50">
        <f>IFERROR(Tabla1[[#This Row],[Fatalities]]/Tabla1[[#This Row],[Aboard]],0)</f>
        <v>0.12690355329949238</v>
      </c>
      <c r="X3188" s="51" t="str" cm="1">
        <f t="array" ref="X3188">_xlfn.IFS(Tabla1[[#This Row],[Porcentaje de muertes]]&lt;0.35,"LEVE",AND(Tabla1[[#This Row],[Porcentaje de muertes]]&gt;0.35,Tabla1[[#This Row],[Porcentaje de muertes]]&lt;0.65),"MEDIO",Tabla1[[#This Row],[Porcentaje de muertes]]&gt;0.65,"GRAVE")</f>
        <v>LEVE</v>
      </c>
    </row>
    <row r="3189" spans="2:24" x14ac:dyDescent="0.3">
      <c r="B3189" s="9">
        <v>3188</v>
      </c>
      <c r="C3189" s="49">
        <v>30223</v>
      </c>
      <c r="D3189" s="9">
        <f>YEAR(Tabla1[[#This Row],[Date]])</f>
        <v>1982</v>
      </c>
      <c r="E3189" s="9" t="str" cm="1">
        <f t="array" ref="E3189">IFERROR(_xlfn.IFS(AND(D3189&lt;1980,D3189&gt;=1970),"70",AND(D3189&lt;1990,D3189&gt;=1980),"80",AND(D3189&lt;2000,D3189&gt;=1990),"90",AND(D3189&lt;2010,D3189&gt;=2000),"00",AND(D3189&lt;=2019,D3189&gt;=2010),"10"),"1908-1970")</f>
        <v>80</v>
      </c>
      <c r="F3189" s="3">
        <v>0.80763888888888891</v>
      </c>
      <c r="G3189" t="s">
        <v>19256</v>
      </c>
      <c r="H3189" t="s">
        <v>6541</v>
      </c>
      <c r="I3189">
        <v>343</v>
      </c>
      <c r="J3189" t="s">
        <v>19257</v>
      </c>
      <c r="K3189" t="s">
        <v>17879</v>
      </c>
      <c r="L3189" s="7" t="s">
        <v>19258</v>
      </c>
      <c r="M3189">
        <v>72503</v>
      </c>
      <c r="N3189">
        <v>77</v>
      </c>
      <c r="O3189">
        <v>66</v>
      </c>
      <c r="P3189">
        <v>11</v>
      </c>
      <c r="Q3189">
        <v>7</v>
      </c>
      <c r="R3189" t="s">
        <v>5038</v>
      </c>
      <c r="S3189" t="s">
        <v>5038</v>
      </c>
      <c r="T3189">
        <v>0</v>
      </c>
      <c r="U3189" t="s">
        <v>19259</v>
      </c>
      <c r="V3189">
        <f>Tabla1[[#This Row],[Aboard]]-Tabla1[[#This Row],[Fatalities]]</f>
        <v>70</v>
      </c>
      <c r="W3189" s="50">
        <f>IFERROR(Tabla1[[#This Row],[Fatalities]]/Tabla1[[#This Row],[Aboard]],0)</f>
        <v>9.0909090909090912E-2</v>
      </c>
      <c r="X3189" s="51" t="str" cm="1">
        <f t="array" ref="X3189">_xlfn.IFS(Tabla1[[#This Row],[Porcentaje de muertes]]&lt;0.35,"LEVE",AND(Tabla1[[#This Row],[Porcentaje de muertes]]&gt;0.35,Tabla1[[#This Row],[Porcentaje de muertes]]&lt;0.65),"MEDIO",Tabla1[[#This Row],[Porcentaje de muertes]]&gt;0.65,"GRAVE")</f>
        <v>LEVE</v>
      </c>
    </row>
    <row r="3190" spans="2:24" x14ac:dyDescent="0.3">
      <c r="B3190" s="9">
        <v>3189</v>
      </c>
      <c r="C3190" s="49">
        <v>30272</v>
      </c>
      <c r="D3190" s="9">
        <f>YEAR(Tabla1[[#This Row],[Date]])</f>
        <v>1982</v>
      </c>
      <c r="E3190" s="9" t="str" cm="1">
        <f t="array" ref="E3190">IFERROR(_xlfn.IFS(AND(D3190&lt;1980,D3190&gt;=1970),"70",AND(D3190&lt;1990,D3190&gt;=1980),"80",AND(D3190&lt;2000,D3190&gt;=1990),"90",AND(D3190&lt;2010,D3190&gt;=2000),"00",AND(D3190&lt;=2019,D3190&gt;=2010),"10"),"1908-1970")</f>
        <v>80</v>
      </c>
      <c r="F3190" s="3" t="s">
        <v>28931</v>
      </c>
      <c r="G3190" t="s">
        <v>19260</v>
      </c>
      <c r="H3190" t="s">
        <v>8896</v>
      </c>
      <c r="I3190" t="s">
        <v>28931</v>
      </c>
      <c r="J3190" t="s">
        <v>28931</v>
      </c>
      <c r="K3190" t="s">
        <v>17471</v>
      </c>
      <c r="L3190" s="7" t="s">
        <v>19261</v>
      </c>
      <c r="M3190">
        <v>30575</v>
      </c>
      <c r="N3190">
        <v>15</v>
      </c>
      <c r="O3190" t="s">
        <v>5038</v>
      </c>
      <c r="P3190" t="s">
        <v>5038</v>
      </c>
      <c r="Q3190">
        <v>15</v>
      </c>
      <c r="R3190" t="s">
        <v>5038</v>
      </c>
      <c r="S3190" t="s">
        <v>5038</v>
      </c>
      <c r="T3190">
        <v>0</v>
      </c>
      <c r="U3190" t="s">
        <v>19163</v>
      </c>
      <c r="V3190">
        <f>Tabla1[[#This Row],[Aboard]]-Tabla1[[#This Row],[Fatalities]]</f>
        <v>0</v>
      </c>
      <c r="W3190" s="50">
        <f>IFERROR(Tabla1[[#This Row],[Fatalities]]/Tabla1[[#This Row],[Aboard]],0)</f>
        <v>1</v>
      </c>
      <c r="X3190" s="51" t="str" cm="1">
        <f t="array" ref="X3190">_xlfn.IFS(Tabla1[[#This Row],[Porcentaje de muertes]]&lt;0.35,"LEVE",AND(Tabla1[[#This Row],[Porcentaje de muertes]]&gt;0.35,Tabla1[[#This Row],[Porcentaje de muertes]]&lt;0.65),"MEDIO",Tabla1[[#This Row],[Porcentaje de muertes]]&gt;0.65,"GRAVE")</f>
        <v>GRAVE</v>
      </c>
    </row>
    <row r="3191" spans="2:24" x14ac:dyDescent="0.3">
      <c r="B3191" s="9">
        <v>3190</v>
      </c>
      <c r="C3191" s="49">
        <v>30284</v>
      </c>
      <c r="D3191" s="9">
        <f>YEAR(Tabla1[[#This Row],[Date]])</f>
        <v>1982</v>
      </c>
      <c r="E3191" s="9" t="str" cm="1">
        <f t="array" ref="E3191">IFERROR(_xlfn.IFS(AND(D3191&lt;1980,D3191&gt;=1970),"70",AND(D3191&lt;1990,D3191&gt;=1980),"80",AND(D3191&lt;2000,D3191&gt;=1990),"90",AND(D3191&lt;2010,D3191&gt;=2000),"00",AND(D3191&lt;=2019,D3191&gt;=2010),"10"),"1908-1970")</f>
        <v>80</v>
      </c>
      <c r="F3191" s="3" t="s">
        <v>28931</v>
      </c>
      <c r="G3191" t="s">
        <v>19262</v>
      </c>
      <c r="H3191" t="s">
        <v>18885</v>
      </c>
      <c r="I3191" t="s">
        <v>28931</v>
      </c>
      <c r="J3191" t="s">
        <v>28931</v>
      </c>
      <c r="K3191" t="s">
        <v>17904</v>
      </c>
      <c r="L3191" s="7" t="s">
        <v>19263</v>
      </c>
      <c r="M3191">
        <v>4607</v>
      </c>
      <c r="N3191">
        <v>15</v>
      </c>
      <c r="O3191">
        <v>9</v>
      </c>
      <c r="P3191">
        <v>6</v>
      </c>
      <c r="Q3191">
        <v>15</v>
      </c>
      <c r="R3191">
        <v>9</v>
      </c>
      <c r="S3191">
        <v>6</v>
      </c>
      <c r="T3191">
        <v>0</v>
      </c>
      <c r="U3191" t="s">
        <v>19264</v>
      </c>
      <c r="V3191">
        <f>Tabla1[[#This Row],[Aboard]]-Tabla1[[#This Row],[Fatalities]]</f>
        <v>0</v>
      </c>
      <c r="W3191" s="50">
        <f>IFERROR(Tabla1[[#This Row],[Fatalities]]/Tabla1[[#This Row],[Aboard]],0)</f>
        <v>1</v>
      </c>
      <c r="X3191" s="51" t="str" cm="1">
        <f t="array" ref="X3191">_xlfn.IFS(Tabla1[[#This Row],[Porcentaje de muertes]]&lt;0.35,"LEVE",AND(Tabla1[[#This Row],[Porcentaje de muertes]]&gt;0.35,Tabla1[[#This Row],[Porcentaje de muertes]]&lt;0.65),"MEDIO",Tabla1[[#This Row],[Porcentaje de muertes]]&gt;0.65,"GRAVE")</f>
        <v>GRAVE</v>
      </c>
    </row>
    <row r="3192" spans="2:24" x14ac:dyDescent="0.3">
      <c r="B3192" s="9">
        <v>3191</v>
      </c>
      <c r="C3192" s="49">
        <v>30284</v>
      </c>
      <c r="D3192" s="9">
        <f>YEAR(Tabla1[[#This Row],[Date]])</f>
        <v>1982</v>
      </c>
      <c r="E3192" s="9" t="str" cm="1">
        <f t="array" ref="E3192">IFERROR(_xlfn.IFS(AND(D3192&lt;1980,D3192&gt;=1970),"70",AND(D3192&lt;1990,D3192&gt;=1980),"80",AND(D3192&lt;2000,D3192&gt;=1990),"90",AND(D3192&lt;2010,D3192&gt;=2000),"00",AND(D3192&lt;=2019,D3192&gt;=2010),"10"),"1908-1970")</f>
        <v>80</v>
      </c>
      <c r="F3192" s="3" t="s">
        <v>28931</v>
      </c>
      <c r="G3192" t="s">
        <v>19265</v>
      </c>
      <c r="H3192" t="s">
        <v>19266</v>
      </c>
      <c r="I3192" t="s">
        <v>28931</v>
      </c>
      <c r="J3192" t="s">
        <v>19267</v>
      </c>
      <c r="K3192" t="s">
        <v>19268</v>
      </c>
      <c r="L3192" s="7" t="s">
        <v>19269</v>
      </c>
      <c r="M3192">
        <v>713</v>
      </c>
      <c r="N3192">
        <v>22</v>
      </c>
      <c r="O3192">
        <v>20</v>
      </c>
      <c r="P3192">
        <v>2</v>
      </c>
      <c r="Q3192">
        <v>22</v>
      </c>
      <c r="R3192">
        <v>20</v>
      </c>
      <c r="S3192">
        <v>2</v>
      </c>
      <c r="T3192">
        <v>0</v>
      </c>
      <c r="U3192" t="s">
        <v>19270</v>
      </c>
      <c r="V3192">
        <f>Tabla1[[#This Row],[Aboard]]-Tabla1[[#This Row],[Fatalities]]</f>
        <v>0</v>
      </c>
      <c r="W3192" s="50">
        <f>IFERROR(Tabla1[[#This Row],[Fatalities]]/Tabla1[[#This Row],[Aboard]],0)</f>
        <v>1</v>
      </c>
      <c r="X3192" s="51" t="str" cm="1">
        <f t="array" ref="X3192">_xlfn.IFS(Tabla1[[#This Row],[Porcentaje de muertes]]&lt;0.35,"LEVE",AND(Tabla1[[#This Row],[Porcentaje de muertes]]&gt;0.35,Tabla1[[#This Row],[Porcentaje de muertes]]&lt;0.65),"MEDIO",Tabla1[[#This Row],[Porcentaje de muertes]]&gt;0.65,"GRAVE")</f>
        <v>GRAVE</v>
      </c>
    </row>
    <row r="3193" spans="2:24" x14ac:dyDescent="0.3">
      <c r="B3193" s="9">
        <v>3192</v>
      </c>
      <c r="C3193" s="49">
        <v>30144</v>
      </c>
      <c r="D3193" s="9">
        <f>YEAR(Tabla1[[#This Row],[Date]])</f>
        <v>1982</v>
      </c>
      <c r="E3193" s="9" t="str" cm="1">
        <f t="array" ref="E3193">IFERROR(_xlfn.IFS(AND(D3193&lt;1980,D3193&gt;=1970),"70",AND(D3193&lt;1990,D3193&gt;=1980),"80",AND(D3193&lt;2000,D3193&gt;=1990),"90",AND(D3193&lt;2010,D3193&gt;=2000),"00",AND(D3193&lt;=2019,D3193&gt;=2010),"10"),"1908-1970")</f>
        <v>80</v>
      </c>
      <c r="F3193" s="3">
        <v>0.79652777777777783</v>
      </c>
      <c r="G3193" t="s">
        <v>19271</v>
      </c>
      <c r="H3193" t="s">
        <v>19272</v>
      </c>
      <c r="I3193" t="s">
        <v>28931</v>
      </c>
      <c r="J3193" t="s">
        <v>19273</v>
      </c>
      <c r="K3193" t="s">
        <v>19274</v>
      </c>
      <c r="L3193" s="7" t="s">
        <v>19275</v>
      </c>
      <c r="M3193" t="s">
        <v>19276</v>
      </c>
      <c r="N3193">
        <v>2</v>
      </c>
      <c r="O3193">
        <v>0</v>
      </c>
      <c r="P3193">
        <v>2</v>
      </c>
      <c r="Q3193">
        <v>2</v>
      </c>
      <c r="R3193">
        <v>0</v>
      </c>
      <c r="S3193">
        <v>2</v>
      </c>
      <c r="T3193">
        <v>0</v>
      </c>
      <c r="U3193" t="s">
        <v>19277</v>
      </c>
      <c r="V3193">
        <f>Tabla1[[#This Row],[Aboard]]-Tabla1[[#This Row],[Fatalities]]</f>
        <v>0</v>
      </c>
      <c r="W3193" s="50">
        <f>IFERROR(Tabla1[[#This Row],[Fatalities]]/Tabla1[[#This Row],[Aboard]],0)</f>
        <v>1</v>
      </c>
      <c r="X3193" s="51" t="str" cm="1">
        <f t="array" ref="X3193">_xlfn.IFS(Tabla1[[#This Row],[Porcentaje de muertes]]&lt;0.35,"LEVE",AND(Tabla1[[#This Row],[Porcentaje de muertes]]&gt;0.35,Tabla1[[#This Row],[Porcentaje de muertes]]&lt;0.65),"MEDIO",Tabla1[[#This Row],[Porcentaje de muertes]]&gt;0.65,"GRAVE")</f>
        <v>GRAVE</v>
      </c>
    </row>
    <row r="3194" spans="2:24" x14ac:dyDescent="0.3">
      <c r="B3194" s="9">
        <v>3193</v>
      </c>
      <c r="C3194" s="49">
        <v>30206</v>
      </c>
      <c r="D3194" s="9">
        <f>YEAR(Tabla1[[#This Row],[Date]])</f>
        <v>1982</v>
      </c>
      <c r="E3194" s="9" t="str" cm="1">
        <f t="array" ref="E3194">IFERROR(_xlfn.IFS(AND(D3194&lt;1980,D3194&gt;=1970),"70",AND(D3194&lt;1990,D3194&gt;=1980),"80",AND(D3194&lt;2000,D3194&gt;=1990),"90",AND(D3194&lt;2010,D3194&gt;=2000),"00",AND(D3194&lt;=2019,D3194&gt;=2010),"10"),"1908-1970")</f>
        <v>80</v>
      </c>
      <c r="F3194" s="3">
        <v>0.56041666666666667</v>
      </c>
      <c r="G3194" t="s">
        <v>19278</v>
      </c>
      <c r="H3194" t="s">
        <v>19279</v>
      </c>
      <c r="I3194">
        <v>304</v>
      </c>
      <c r="J3194" t="s">
        <v>19280</v>
      </c>
      <c r="K3194" t="s">
        <v>18683</v>
      </c>
      <c r="L3194" s="7" t="s">
        <v>19281</v>
      </c>
      <c r="M3194">
        <v>63</v>
      </c>
      <c r="N3194">
        <v>46</v>
      </c>
      <c r="O3194">
        <v>42</v>
      </c>
      <c r="P3194">
        <v>4</v>
      </c>
      <c r="Q3194">
        <v>46</v>
      </c>
      <c r="R3194">
        <v>42</v>
      </c>
      <c r="S3194">
        <v>4</v>
      </c>
      <c r="T3194">
        <v>0</v>
      </c>
      <c r="U3194" t="s">
        <v>19282</v>
      </c>
      <c r="V3194">
        <f>Tabla1[[#This Row],[Aboard]]-Tabla1[[#This Row],[Fatalities]]</f>
        <v>0</v>
      </c>
      <c r="W3194" s="50">
        <f>IFERROR(Tabla1[[#This Row],[Fatalities]]/Tabla1[[#This Row],[Aboard]],0)</f>
        <v>1</v>
      </c>
      <c r="X3194" s="51" t="str" cm="1">
        <f t="array" ref="X3194">_xlfn.IFS(Tabla1[[#This Row],[Porcentaje de muertes]]&lt;0.35,"LEVE",AND(Tabla1[[#This Row],[Porcentaje de muertes]]&gt;0.35,Tabla1[[#This Row],[Porcentaje de muertes]]&lt;0.65),"MEDIO",Tabla1[[#This Row],[Porcentaje de muertes]]&gt;0.65,"GRAVE")</f>
        <v>GRAVE</v>
      </c>
    </row>
    <row r="3195" spans="2:24" x14ac:dyDescent="0.3">
      <c r="B3195" s="9">
        <v>3194</v>
      </c>
      <c r="C3195" s="49">
        <v>30206</v>
      </c>
      <c r="D3195" s="9">
        <f>YEAR(Tabla1[[#This Row],[Date]])</f>
        <v>1982</v>
      </c>
      <c r="E3195" s="9" t="str" cm="1">
        <f t="array" ref="E3195">IFERROR(_xlfn.IFS(AND(D3195&lt;1980,D3195&gt;=1970),"70",AND(D3195&lt;1990,D3195&gt;=1980),"80",AND(D3195&lt;2000,D3195&gt;=1990),"90",AND(D3195&lt;2010,D3195&gt;=2000),"00",AND(D3195&lt;=2019,D3195&gt;=2010),"10"),"1908-1970")</f>
        <v>80</v>
      </c>
      <c r="F3195" s="3">
        <v>0.60416666666666663</v>
      </c>
      <c r="G3195" t="s">
        <v>19283</v>
      </c>
      <c r="H3195" t="s">
        <v>17404</v>
      </c>
      <c r="I3195" t="s">
        <v>28931</v>
      </c>
      <c r="J3195" t="s">
        <v>28931</v>
      </c>
      <c r="K3195" t="s">
        <v>19284</v>
      </c>
      <c r="L3195" s="7">
        <v>265</v>
      </c>
      <c r="M3195" t="s">
        <v>28931</v>
      </c>
      <c r="N3195">
        <v>88</v>
      </c>
      <c r="O3195">
        <v>84</v>
      </c>
      <c r="P3195">
        <v>4</v>
      </c>
      <c r="Q3195">
        <v>84</v>
      </c>
      <c r="R3195">
        <v>84</v>
      </c>
      <c r="S3195">
        <v>0</v>
      </c>
      <c r="T3195">
        <v>0</v>
      </c>
      <c r="U3195" t="s">
        <v>19285</v>
      </c>
      <c r="V3195">
        <f>Tabla1[[#This Row],[Aboard]]-Tabla1[[#This Row],[Fatalities]]</f>
        <v>4</v>
      </c>
      <c r="W3195" s="50">
        <f>IFERROR(Tabla1[[#This Row],[Fatalities]]/Tabla1[[#This Row],[Aboard]],0)</f>
        <v>0.95454545454545459</v>
      </c>
      <c r="X3195" s="51" t="str" cm="1">
        <f t="array" ref="X3195">_xlfn.IFS(Tabla1[[#This Row],[Porcentaje de muertes]]&lt;0.35,"LEVE",AND(Tabla1[[#This Row],[Porcentaje de muertes]]&gt;0.35,Tabla1[[#This Row],[Porcentaje de muertes]]&lt;0.65),"MEDIO",Tabla1[[#This Row],[Porcentaje de muertes]]&gt;0.65,"GRAVE")</f>
        <v>GRAVE</v>
      </c>
    </row>
    <row r="3196" spans="2:24" x14ac:dyDescent="0.3">
      <c r="B3196" s="9">
        <v>3195</v>
      </c>
      <c r="C3196" s="49">
        <v>30308</v>
      </c>
      <c r="D3196" s="9">
        <f>YEAR(Tabla1[[#This Row],[Date]])</f>
        <v>1982</v>
      </c>
      <c r="E3196" s="9" t="str" cm="1">
        <f t="array" ref="E3196">IFERROR(_xlfn.IFS(AND(D3196&lt;1980,D3196&gt;=1970),"70",AND(D3196&lt;1990,D3196&gt;=1980),"80",AND(D3196&lt;2000,D3196&gt;=1990),"90",AND(D3196&lt;2010,D3196&gt;=2000),"00",AND(D3196&lt;=2019,D3196&gt;=2010),"10"),"1908-1970")</f>
        <v>80</v>
      </c>
      <c r="F3196" s="3">
        <v>0.86388888888888893</v>
      </c>
      <c r="G3196" t="s">
        <v>19286</v>
      </c>
      <c r="H3196" t="s">
        <v>6541</v>
      </c>
      <c r="I3196" t="s">
        <v>28931</v>
      </c>
      <c r="J3196" t="s">
        <v>19287</v>
      </c>
      <c r="K3196" t="s">
        <v>17904</v>
      </c>
      <c r="L3196" s="7" t="s">
        <v>19288</v>
      </c>
      <c r="M3196">
        <v>5208</v>
      </c>
      <c r="N3196">
        <v>16</v>
      </c>
      <c r="O3196">
        <v>0</v>
      </c>
      <c r="P3196">
        <v>16</v>
      </c>
      <c r="Q3196">
        <v>16</v>
      </c>
      <c r="R3196">
        <v>0</v>
      </c>
      <c r="S3196">
        <v>16</v>
      </c>
      <c r="T3196">
        <v>0</v>
      </c>
      <c r="U3196" t="s">
        <v>19289</v>
      </c>
      <c r="V3196">
        <f>Tabla1[[#This Row],[Aboard]]-Tabla1[[#This Row],[Fatalities]]</f>
        <v>0</v>
      </c>
      <c r="W3196" s="50">
        <f>IFERROR(Tabla1[[#This Row],[Fatalities]]/Tabla1[[#This Row],[Aboard]],0)</f>
        <v>1</v>
      </c>
      <c r="X3196" s="51" t="str" cm="1">
        <f t="array" ref="X3196">_xlfn.IFS(Tabla1[[#This Row],[Porcentaje de muertes]]&lt;0.35,"LEVE",AND(Tabla1[[#This Row],[Porcentaje de muertes]]&gt;0.35,Tabla1[[#This Row],[Porcentaje de muertes]]&lt;0.65),"MEDIO",Tabla1[[#This Row],[Porcentaje de muertes]]&gt;0.65,"GRAVE")</f>
        <v>GRAVE</v>
      </c>
    </row>
    <row r="3197" spans="2:24" x14ac:dyDescent="0.3">
      <c r="B3197" s="9">
        <v>3196</v>
      </c>
      <c r="C3197" s="49">
        <v>30309</v>
      </c>
      <c r="D3197" s="9">
        <f>YEAR(Tabla1[[#This Row],[Date]])</f>
        <v>1982</v>
      </c>
      <c r="E3197" s="9" t="str" cm="1">
        <f t="array" ref="E3197">IFERROR(_xlfn.IFS(AND(D3197&lt;1980,D3197&gt;=1970),"70",AND(D3197&lt;1990,D3197&gt;=1980),"80",AND(D3197&lt;2000,D3197&gt;=1990),"90",AND(D3197&lt;2010,D3197&gt;=2000),"00",AND(D3197&lt;=2019,D3197&gt;=2010),"10"),"1908-1970")</f>
        <v>80</v>
      </c>
      <c r="F3197" s="3">
        <v>0.71527777777777779</v>
      </c>
      <c r="G3197" t="s">
        <v>19290</v>
      </c>
      <c r="H3197" t="s">
        <v>17531</v>
      </c>
      <c r="I3197" t="s">
        <v>28931</v>
      </c>
      <c r="J3197" t="s">
        <v>19291</v>
      </c>
      <c r="K3197" t="s">
        <v>13035</v>
      </c>
      <c r="L3197" s="7" t="s">
        <v>19292</v>
      </c>
      <c r="M3197">
        <v>189001401</v>
      </c>
      <c r="N3197">
        <v>69</v>
      </c>
      <c r="O3197">
        <v>58</v>
      </c>
      <c r="P3197">
        <v>11</v>
      </c>
      <c r="Q3197">
        <v>25</v>
      </c>
      <c r="R3197">
        <v>25</v>
      </c>
      <c r="S3197">
        <v>0</v>
      </c>
      <c r="T3197">
        <v>0</v>
      </c>
      <c r="U3197" t="s">
        <v>19293</v>
      </c>
      <c r="V3197">
        <f>Tabla1[[#This Row],[Aboard]]-Tabla1[[#This Row],[Fatalities]]</f>
        <v>44</v>
      </c>
      <c r="W3197" s="50">
        <f>IFERROR(Tabla1[[#This Row],[Fatalities]]/Tabla1[[#This Row],[Aboard]],0)</f>
        <v>0.36231884057971014</v>
      </c>
      <c r="X3197" s="51" t="str" cm="1">
        <f t="array" ref="X3197">_xlfn.IFS(Tabla1[[#This Row],[Porcentaje de muertes]]&lt;0.35,"LEVE",AND(Tabla1[[#This Row],[Porcentaje de muertes]]&gt;0.35,Tabla1[[#This Row],[Porcentaje de muertes]]&lt;0.65),"MEDIO",Tabla1[[#This Row],[Porcentaje de muertes]]&gt;0.65,"GRAVE")</f>
        <v>MEDIO</v>
      </c>
    </row>
    <row r="3198" spans="2:24" x14ac:dyDescent="0.3">
      <c r="B3198" s="9">
        <v>3197</v>
      </c>
      <c r="C3198" s="49">
        <v>30560</v>
      </c>
      <c r="D3198" s="9">
        <f>YEAR(Tabla1[[#This Row],[Date]])</f>
        <v>1983</v>
      </c>
      <c r="E3198" s="9" t="str" cm="1">
        <f t="array" ref="E3198">IFERROR(_xlfn.IFS(AND(D3198&lt;1980,D3198&gt;=1970),"70",AND(D3198&lt;1990,D3198&gt;=1980),"80",AND(D3198&lt;2000,D3198&gt;=1990),"90",AND(D3198&lt;2010,D3198&gt;=2000),"00",AND(D3198&lt;=2019,D3198&gt;=2010),"10"),"1908-1970")</f>
        <v>80</v>
      </c>
      <c r="F3198" s="3" t="s">
        <v>28931</v>
      </c>
      <c r="G3198" t="s">
        <v>19294</v>
      </c>
      <c r="H3198" t="s">
        <v>19295</v>
      </c>
      <c r="I3198">
        <v>927</v>
      </c>
      <c r="J3198" t="s">
        <v>19296</v>
      </c>
      <c r="K3198" t="s">
        <v>19297</v>
      </c>
      <c r="L3198" s="7" t="s">
        <v>19298</v>
      </c>
      <c r="M3198" t="s">
        <v>19299</v>
      </c>
      <c r="N3198">
        <v>33</v>
      </c>
      <c r="O3198">
        <v>30</v>
      </c>
      <c r="P3198">
        <v>3</v>
      </c>
      <c r="Q3198">
        <v>1</v>
      </c>
      <c r="R3198">
        <v>1</v>
      </c>
      <c r="S3198">
        <v>0</v>
      </c>
      <c r="T3198">
        <v>0</v>
      </c>
      <c r="U3198" t="s">
        <v>19300</v>
      </c>
      <c r="V3198">
        <f>Tabla1[[#This Row],[Aboard]]-Tabla1[[#This Row],[Fatalities]]</f>
        <v>32</v>
      </c>
      <c r="W3198" s="50">
        <f>IFERROR(Tabla1[[#This Row],[Fatalities]]/Tabla1[[#This Row],[Aboard]],0)</f>
        <v>3.0303030303030304E-2</v>
      </c>
      <c r="X3198" s="51" t="str" cm="1">
        <f t="array" ref="X3198">_xlfn.IFS(Tabla1[[#This Row],[Porcentaje de muertes]]&lt;0.35,"LEVE",AND(Tabla1[[#This Row],[Porcentaje de muertes]]&gt;0.35,Tabla1[[#This Row],[Porcentaje de muertes]]&lt;0.65),"MEDIO",Tabla1[[#This Row],[Porcentaje de muertes]]&gt;0.65,"GRAVE")</f>
        <v>LEVE</v>
      </c>
    </row>
    <row r="3199" spans="2:24" x14ac:dyDescent="0.3">
      <c r="B3199" s="9">
        <v>3198</v>
      </c>
      <c r="C3199" s="49">
        <v>30621</v>
      </c>
      <c r="D3199" s="9">
        <f>YEAR(Tabla1[[#This Row],[Date]])</f>
        <v>1983</v>
      </c>
      <c r="E3199" s="9" t="str" cm="1">
        <f t="array" ref="E3199">IFERROR(_xlfn.IFS(AND(D3199&lt;1980,D3199&gt;=1970),"70",AND(D3199&lt;1990,D3199&gt;=1980),"80",AND(D3199&lt;2000,D3199&gt;=1990),"90",AND(D3199&lt;2010,D3199&gt;=2000),"00",AND(D3199&lt;=2019,D3199&gt;=2010),"10"),"1908-1970")</f>
        <v>80</v>
      </c>
      <c r="F3199" s="3">
        <v>0.11805555555555557</v>
      </c>
      <c r="G3199" t="s">
        <v>14275</v>
      </c>
      <c r="H3199" t="s">
        <v>6369</v>
      </c>
      <c r="I3199">
        <v>2885</v>
      </c>
      <c r="J3199" t="s">
        <v>19301</v>
      </c>
      <c r="K3199" t="s">
        <v>19302</v>
      </c>
      <c r="L3199" s="7" t="s">
        <v>19303</v>
      </c>
      <c r="M3199" t="s">
        <v>19304</v>
      </c>
      <c r="N3199">
        <v>3</v>
      </c>
      <c r="O3199">
        <v>0</v>
      </c>
      <c r="P3199">
        <v>3</v>
      </c>
      <c r="Q3199">
        <v>3</v>
      </c>
      <c r="R3199">
        <v>0</v>
      </c>
      <c r="S3199">
        <v>3</v>
      </c>
      <c r="T3199">
        <v>0</v>
      </c>
      <c r="U3199" t="s">
        <v>19305</v>
      </c>
      <c r="V3199">
        <f>Tabla1[[#This Row],[Aboard]]-Tabla1[[#This Row],[Fatalities]]</f>
        <v>0</v>
      </c>
      <c r="W3199" s="50">
        <f>IFERROR(Tabla1[[#This Row],[Fatalities]]/Tabla1[[#This Row],[Aboard]],0)</f>
        <v>1</v>
      </c>
      <c r="X3199" s="51" t="str" cm="1">
        <f t="array" ref="X3199">_xlfn.IFS(Tabla1[[#This Row],[Porcentaje de muertes]]&lt;0.35,"LEVE",AND(Tabla1[[#This Row],[Porcentaje de muertes]]&gt;0.35,Tabla1[[#This Row],[Porcentaje de muertes]]&lt;0.65),"MEDIO",Tabla1[[#This Row],[Porcentaje de muertes]]&gt;0.65,"GRAVE")</f>
        <v>GRAVE</v>
      </c>
    </row>
    <row r="3200" spans="2:24" x14ac:dyDescent="0.3">
      <c r="B3200" s="9">
        <v>3199</v>
      </c>
      <c r="C3200" s="49">
        <v>30332</v>
      </c>
      <c r="D3200" s="9">
        <f>YEAR(Tabla1[[#This Row],[Date]])</f>
        <v>1983</v>
      </c>
      <c r="E3200" s="9" t="str" cm="1">
        <f t="array" ref="E3200">IFERROR(_xlfn.IFS(AND(D3200&lt;1980,D3200&gt;=1970),"70",AND(D3200&lt;1990,D3200&gt;=1980),"80",AND(D3200&lt;2000,D3200&gt;=1990),"90",AND(D3200&lt;2010,D3200&gt;=2000),"00",AND(D3200&lt;=2019,D3200&gt;=2010),"10"),"1908-1970")</f>
        <v>80</v>
      </c>
      <c r="F3200" s="3">
        <v>0.9375</v>
      </c>
      <c r="G3200" t="s">
        <v>10043</v>
      </c>
      <c r="H3200" t="s">
        <v>12613</v>
      </c>
      <c r="I3200" t="s">
        <v>28931</v>
      </c>
      <c r="J3200" t="s">
        <v>19306</v>
      </c>
      <c r="K3200" t="s">
        <v>17693</v>
      </c>
      <c r="L3200" s="7" t="s">
        <v>19307</v>
      </c>
      <c r="M3200" t="s">
        <v>19308</v>
      </c>
      <c r="N3200">
        <v>67</v>
      </c>
      <c r="O3200">
        <v>60</v>
      </c>
      <c r="P3200">
        <v>7</v>
      </c>
      <c r="Q3200">
        <v>47</v>
      </c>
      <c r="R3200">
        <v>47</v>
      </c>
      <c r="S3200">
        <v>0</v>
      </c>
      <c r="T3200">
        <v>0</v>
      </c>
      <c r="U3200" t="s">
        <v>19309</v>
      </c>
      <c r="V3200">
        <f>Tabla1[[#This Row],[Aboard]]-Tabla1[[#This Row],[Fatalities]]</f>
        <v>20</v>
      </c>
      <c r="W3200" s="50">
        <f>IFERROR(Tabla1[[#This Row],[Fatalities]]/Tabla1[[#This Row],[Aboard]],0)</f>
        <v>0.70149253731343286</v>
      </c>
      <c r="X3200" s="51" t="str" cm="1">
        <f t="array" ref="X3200">_xlfn.IFS(Tabla1[[#This Row],[Porcentaje de muertes]]&lt;0.35,"LEVE",AND(Tabla1[[#This Row],[Porcentaje de muertes]]&gt;0.35,Tabla1[[#This Row],[Porcentaje de muertes]]&lt;0.65),"MEDIO",Tabla1[[#This Row],[Porcentaje de muertes]]&gt;0.65,"GRAVE")</f>
        <v>GRAVE</v>
      </c>
    </row>
    <row r="3201" spans="2:24" x14ac:dyDescent="0.3">
      <c r="B3201" s="9">
        <v>3200</v>
      </c>
      <c r="C3201" s="49">
        <v>30360</v>
      </c>
      <c r="D3201" s="9">
        <f>YEAR(Tabla1[[#This Row],[Date]])</f>
        <v>1983</v>
      </c>
      <c r="E3201" s="9" t="str" cm="1">
        <f t="array" ref="E3201">IFERROR(_xlfn.IFS(AND(D3201&lt;1980,D3201&gt;=1970),"70",AND(D3201&lt;1990,D3201&gt;=1980),"80",AND(D3201&lt;2000,D3201&gt;=1990),"90",AND(D3201&lt;2010,D3201&gt;=2000),"00",AND(D3201&lt;=2019,D3201&gt;=2010),"10"),"1908-1970")</f>
        <v>80</v>
      </c>
      <c r="F3201" s="3" t="s">
        <v>28931</v>
      </c>
      <c r="G3201" t="s">
        <v>19310</v>
      </c>
      <c r="H3201" t="s">
        <v>7987</v>
      </c>
      <c r="I3201" t="s">
        <v>28931</v>
      </c>
      <c r="J3201" t="s">
        <v>28931</v>
      </c>
      <c r="K3201" t="s">
        <v>18896</v>
      </c>
      <c r="L3201" s="7" t="s">
        <v>19311</v>
      </c>
      <c r="M3201">
        <v>4693</v>
      </c>
      <c r="N3201">
        <v>6</v>
      </c>
      <c r="O3201">
        <v>0</v>
      </c>
      <c r="P3201">
        <v>6</v>
      </c>
      <c r="Q3201">
        <v>6</v>
      </c>
      <c r="R3201">
        <v>0</v>
      </c>
      <c r="S3201">
        <v>6</v>
      </c>
      <c r="T3201">
        <v>0</v>
      </c>
      <c r="U3201" t="s">
        <v>19312</v>
      </c>
      <c r="V3201">
        <f>Tabla1[[#This Row],[Aboard]]-Tabla1[[#This Row],[Fatalities]]</f>
        <v>0</v>
      </c>
      <c r="W3201" s="50">
        <f>IFERROR(Tabla1[[#This Row],[Fatalities]]/Tabla1[[#This Row],[Aboard]],0)</f>
        <v>1</v>
      </c>
      <c r="X3201" s="51" t="str" cm="1">
        <f t="array" ref="X3201">_xlfn.IFS(Tabla1[[#This Row],[Porcentaje de muertes]]&lt;0.35,"LEVE",AND(Tabla1[[#This Row],[Porcentaje de muertes]]&gt;0.35,Tabla1[[#This Row],[Porcentaje de muertes]]&lt;0.65),"MEDIO",Tabla1[[#This Row],[Porcentaje de muertes]]&gt;0.65,"GRAVE")</f>
        <v>GRAVE</v>
      </c>
    </row>
    <row r="3202" spans="2:24" x14ac:dyDescent="0.3">
      <c r="B3202" s="9">
        <v>3201</v>
      </c>
      <c r="C3202" s="49">
        <v>30562</v>
      </c>
      <c r="D3202" s="9">
        <f>YEAR(Tabla1[[#This Row],[Date]])</f>
        <v>1983</v>
      </c>
      <c r="E3202" s="9" t="str" cm="1">
        <f t="array" ref="E3202">IFERROR(_xlfn.IFS(AND(D3202&lt;1980,D3202&gt;=1970),"70",AND(D3202&lt;1990,D3202&gt;=1980),"80",AND(D3202&lt;2000,D3202&gt;=1990),"90",AND(D3202&lt;2010,D3202&gt;=2000),"00",AND(D3202&lt;=2019,D3202&gt;=2010),"10"),"1908-1970")</f>
        <v>80</v>
      </c>
      <c r="F3202" s="3" t="s">
        <v>28931</v>
      </c>
      <c r="G3202" t="s">
        <v>18653</v>
      </c>
      <c r="H3202" t="s">
        <v>19313</v>
      </c>
      <c r="I3202" t="s">
        <v>28931</v>
      </c>
      <c r="J3202" t="s">
        <v>28931</v>
      </c>
      <c r="K3202" t="s">
        <v>17471</v>
      </c>
      <c r="L3202" s="7" t="s">
        <v>19314</v>
      </c>
      <c r="M3202">
        <v>30761</v>
      </c>
      <c r="N3202">
        <v>11</v>
      </c>
      <c r="O3202" t="s">
        <v>5038</v>
      </c>
      <c r="P3202" t="s">
        <v>5038</v>
      </c>
      <c r="Q3202">
        <v>11</v>
      </c>
      <c r="R3202" t="s">
        <v>5038</v>
      </c>
      <c r="S3202" t="s">
        <v>5038</v>
      </c>
      <c r="T3202">
        <v>0</v>
      </c>
      <c r="U3202" t="s">
        <v>6004</v>
      </c>
      <c r="V3202">
        <f>Tabla1[[#This Row],[Aboard]]-Tabla1[[#This Row],[Fatalities]]</f>
        <v>0</v>
      </c>
      <c r="W3202" s="50">
        <f>IFERROR(Tabla1[[#This Row],[Fatalities]]/Tabla1[[#This Row],[Aboard]],0)</f>
        <v>1</v>
      </c>
      <c r="X3202" s="51" t="str" cm="1">
        <f t="array" ref="X3202">_xlfn.IFS(Tabla1[[#This Row],[Porcentaje de muertes]]&lt;0.35,"LEVE",AND(Tabla1[[#This Row],[Porcentaje de muertes]]&gt;0.35,Tabla1[[#This Row],[Porcentaje de muertes]]&lt;0.65),"MEDIO",Tabla1[[#This Row],[Porcentaje de muertes]]&gt;0.65,"GRAVE")</f>
        <v>GRAVE</v>
      </c>
    </row>
    <row r="3203" spans="2:24" x14ac:dyDescent="0.3">
      <c r="B3203" s="9">
        <v>3202</v>
      </c>
      <c r="C3203" s="49">
        <v>30592</v>
      </c>
      <c r="D3203" s="9">
        <f>YEAR(Tabla1[[#This Row],[Date]])</f>
        <v>1983</v>
      </c>
      <c r="E3203" s="9" t="str" cm="1">
        <f t="array" ref="E3203">IFERROR(_xlfn.IFS(AND(D3203&lt;1980,D3203&gt;=1970),"70",AND(D3203&lt;1990,D3203&gt;=1980),"80",AND(D3203&lt;2000,D3203&gt;=1990),"90",AND(D3203&lt;2010,D3203&gt;=2000),"00",AND(D3203&lt;=2019,D3203&gt;=2010),"10"),"1908-1970")</f>
        <v>80</v>
      </c>
      <c r="F3203" s="3" t="s">
        <v>28931</v>
      </c>
      <c r="G3203" t="s">
        <v>19315</v>
      </c>
      <c r="H3203" t="s">
        <v>16789</v>
      </c>
      <c r="I3203" t="s">
        <v>28931</v>
      </c>
      <c r="J3203" t="s">
        <v>19316</v>
      </c>
      <c r="K3203" t="s">
        <v>16680</v>
      </c>
      <c r="L3203" s="7" t="s">
        <v>19317</v>
      </c>
      <c r="M3203">
        <v>395</v>
      </c>
      <c r="N3203">
        <v>19</v>
      </c>
      <c r="O3203">
        <v>17</v>
      </c>
      <c r="P3203">
        <v>2</v>
      </c>
      <c r="Q3203">
        <v>19</v>
      </c>
      <c r="R3203">
        <v>17</v>
      </c>
      <c r="S3203">
        <v>2</v>
      </c>
      <c r="T3203">
        <v>0</v>
      </c>
      <c r="U3203" t="s">
        <v>19318</v>
      </c>
      <c r="V3203">
        <f>Tabla1[[#This Row],[Aboard]]-Tabla1[[#This Row],[Fatalities]]</f>
        <v>0</v>
      </c>
      <c r="W3203" s="50">
        <f>IFERROR(Tabla1[[#This Row],[Fatalities]]/Tabla1[[#This Row],[Aboard]],0)</f>
        <v>1</v>
      </c>
      <c r="X3203" s="51" t="str" cm="1">
        <f t="array" ref="X3203">_xlfn.IFS(Tabla1[[#This Row],[Porcentaje de muertes]]&lt;0.35,"LEVE",AND(Tabla1[[#This Row],[Porcentaje de muertes]]&gt;0.35,Tabla1[[#This Row],[Porcentaje de muertes]]&lt;0.65),"MEDIO",Tabla1[[#This Row],[Porcentaje de muertes]]&gt;0.65,"GRAVE")</f>
        <v>GRAVE</v>
      </c>
    </row>
    <row r="3204" spans="2:24" x14ac:dyDescent="0.3">
      <c r="B3204" s="9">
        <v>3203</v>
      </c>
      <c r="C3204" s="49">
        <v>30623</v>
      </c>
      <c r="D3204" s="9">
        <f>YEAR(Tabla1[[#This Row],[Date]])</f>
        <v>1983</v>
      </c>
      <c r="E3204" s="9" t="str" cm="1">
        <f t="array" ref="E3204">IFERROR(_xlfn.IFS(AND(D3204&lt;1980,D3204&gt;=1970),"70",AND(D3204&lt;1990,D3204&gt;=1980),"80",AND(D3204&lt;2000,D3204&gt;=1990),"90",AND(D3204&lt;2010,D3204&gt;=2000),"00",AND(D3204&lt;=2019,D3204&gt;=2010),"10"),"1908-1970")</f>
        <v>80</v>
      </c>
      <c r="F3204" s="3">
        <v>0.29166666666666669</v>
      </c>
      <c r="G3204" t="s">
        <v>19319</v>
      </c>
      <c r="H3204" t="s">
        <v>9576</v>
      </c>
      <c r="I3204" t="s">
        <v>28931</v>
      </c>
      <c r="J3204" t="s">
        <v>19320</v>
      </c>
      <c r="K3204" t="s">
        <v>15468</v>
      </c>
      <c r="L3204" s="7" t="s">
        <v>19321</v>
      </c>
      <c r="M3204" t="s">
        <v>19322</v>
      </c>
      <c r="N3204">
        <v>50</v>
      </c>
      <c r="O3204">
        <v>45</v>
      </c>
      <c r="P3204">
        <v>5</v>
      </c>
      <c r="Q3204">
        <v>23</v>
      </c>
      <c r="R3204">
        <v>22</v>
      </c>
      <c r="S3204">
        <v>1</v>
      </c>
      <c r="T3204">
        <v>0</v>
      </c>
      <c r="U3204" t="s">
        <v>19323</v>
      </c>
      <c r="V3204">
        <f>Tabla1[[#This Row],[Aboard]]-Tabla1[[#This Row],[Fatalities]]</f>
        <v>27</v>
      </c>
      <c r="W3204" s="50">
        <f>IFERROR(Tabla1[[#This Row],[Fatalities]]/Tabla1[[#This Row],[Aboard]],0)</f>
        <v>0.46</v>
      </c>
      <c r="X3204" s="51" t="str" cm="1">
        <f t="array" ref="X3204">_xlfn.IFS(Tabla1[[#This Row],[Porcentaje de muertes]]&lt;0.35,"LEVE",AND(Tabla1[[#This Row],[Porcentaje de muertes]]&gt;0.35,Tabla1[[#This Row],[Porcentaje de muertes]]&lt;0.65),"MEDIO",Tabla1[[#This Row],[Porcentaje de muertes]]&gt;0.65,"GRAVE")</f>
        <v>MEDIO</v>
      </c>
    </row>
    <row r="3205" spans="2:24" x14ac:dyDescent="0.3">
      <c r="B3205" s="9">
        <v>3204</v>
      </c>
      <c r="C3205" s="49">
        <v>30405</v>
      </c>
      <c r="D3205" s="9">
        <f>YEAR(Tabla1[[#This Row],[Date]])</f>
        <v>1983</v>
      </c>
      <c r="E3205" s="9" t="str" cm="1">
        <f t="array" ref="E3205">IFERROR(_xlfn.IFS(AND(D3205&lt;1980,D3205&gt;=1970),"70",AND(D3205&lt;1990,D3205&gt;=1980),"80",AND(D3205&lt;2000,D3205&gt;=1990),"90",AND(D3205&lt;2010,D3205&gt;=2000),"00",AND(D3205&lt;=2019,D3205&gt;=2010),"10"),"1908-1970")</f>
        <v>80</v>
      </c>
      <c r="F3205" s="3">
        <v>0.21805555555555556</v>
      </c>
      <c r="G3205" t="s">
        <v>5132</v>
      </c>
      <c r="H3205" t="s">
        <v>19324</v>
      </c>
      <c r="I3205" t="s">
        <v>28931</v>
      </c>
      <c r="J3205" t="s">
        <v>19325</v>
      </c>
      <c r="K3205" t="s">
        <v>19326</v>
      </c>
      <c r="L3205" s="7" t="s">
        <v>19327</v>
      </c>
      <c r="M3205" t="s">
        <v>19328</v>
      </c>
      <c r="N3205">
        <v>2</v>
      </c>
      <c r="O3205">
        <v>0</v>
      </c>
      <c r="P3205">
        <v>2</v>
      </c>
      <c r="Q3205">
        <v>2</v>
      </c>
      <c r="R3205">
        <v>0</v>
      </c>
      <c r="S3205">
        <v>2</v>
      </c>
      <c r="T3205">
        <v>0</v>
      </c>
      <c r="U3205" t="s">
        <v>19329</v>
      </c>
      <c r="V3205">
        <f>Tabla1[[#This Row],[Aboard]]-Tabla1[[#This Row],[Fatalities]]</f>
        <v>0</v>
      </c>
      <c r="W3205" s="50">
        <f>IFERROR(Tabla1[[#This Row],[Fatalities]]/Tabla1[[#This Row],[Aboard]],0)</f>
        <v>1</v>
      </c>
      <c r="X3205" s="51" t="str" cm="1">
        <f t="array" ref="X3205">_xlfn.IFS(Tabla1[[#This Row],[Porcentaje de muertes]]&lt;0.35,"LEVE",AND(Tabla1[[#This Row],[Porcentaje de muertes]]&gt;0.35,Tabla1[[#This Row],[Porcentaje de muertes]]&lt;0.65),"MEDIO",Tabla1[[#This Row],[Porcentaje de muertes]]&gt;0.65,"GRAVE")</f>
        <v>GRAVE</v>
      </c>
    </row>
    <row r="3206" spans="2:24" x14ac:dyDescent="0.3">
      <c r="B3206" s="9">
        <v>3205</v>
      </c>
      <c r="C3206" s="49">
        <v>30501</v>
      </c>
      <c r="D3206" s="9">
        <f>YEAR(Tabla1[[#This Row],[Date]])</f>
        <v>1983</v>
      </c>
      <c r="E3206" s="9" t="str" cm="1">
        <f t="array" ref="E3206">IFERROR(_xlfn.IFS(AND(D3206&lt;1980,D3206&gt;=1970),"70",AND(D3206&lt;1990,D3206&gt;=1980),"80",AND(D3206&lt;2000,D3206&gt;=1990),"90",AND(D3206&lt;2010,D3206&gt;=2000),"00",AND(D3206&lt;=2019,D3206&gt;=2010),"10"),"1908-1970")</f>
        <v>80</v>
      </c>
      <c r="F3206" s="3">
        <v>0.62152777777777779</v>
      </c>
      <c r="G3206" t="s">
        <v>19330</v>
      </c>
      <c r="H3206" t="s">
        <v>19331</v>
      </c>
      <c r="I3206">
        <v>601</v>
      </c>
      <c r="J3206" t="s">
        <v>19332</v>
      </c>
      <c r="K3206" t="s">
        <v>19333</v>
      </c>
      <c r="L3206" s="7" t="s">
        <v>19334</v>
      </c>
      <c r="M3206">
        <v>558</v>
      </c>
      <c r="N3206">
        <v>3</v>
      </c>
      <c r="O3206">
        <v>2</v>
      </c>
      <c r="P3206">
        <v>1</v>
      </c>
      <c r="Q3206">
        <v>2</v>
      </c>
      <c r="R3206">
        <v>1</v>
      </c>
      <c r="S3206">
        <v>1</v>
      </c>
      <c r="T3206">
        <v>0</v>
      </c>
      <c r="U3206" t="s">
        <v>19335</v>
      </c>
      <c r="V3206">
        <f>Tabla1[[#This Row],[Aboard]]-Tabla1[[#This Row],[Fatalities]]</f>
        <v>1</v>
      </c>
      <c r="W3206" s="50">
        <f>IFERROR(Tabla1[[#This Row],[Fatalities]]/Tabla1[[#This Row],[Aboard]],0)</f>
        <v>0.66666666666666663</v>
      </c>
      <c r="X3206" s="51" t="str" cm="1">
        <f t="array" ref="X3206">_xlfn.IFS(Tabla1[[#This Row],[Porcentaje de muertes]]&lt;0.35,"LEVE",AND(Tabla1[[#This Row],[Porcentaje de muertes]]&gt;0.35,Tabla1[[#This Row],[Porcentaje de muertes]]&lt;0.65),"MEDIO",Tabla1[[#This Row],[Porcentaje de muertes]]&gt;0.65,"GRAVE")</f>
        <v>GRAVE</v>
      </c>
    </row>
    <row r="3207" spans="2:24" x14ac:dyDescent="0.3">
      <c r="B3207" s="9">
        <v>3206</v>
      </c>
      <c r="C3207" s="49">
        <v>30422</v>
      </c>
      <c r="D3207" s="9">
        <f>YEAR(Tabla1[[#This Row],[Date]])</f>
        <v>1983</v>
      </c>
      <c r="E3207" s="9" t="str" cm="1">
        <f t="array" ref="E3207">IFERROR(_xlfn.IFS(AND(D3207&lt;1980,D3207&gt;=1970),"70",AND(D3207&lt;1990,D3207&gt;=1980),"80",AND(D3207&lt;2000,D3207&gt;=1990),"90",AND(D3207&lt;2010,D3207&gt;=2000),"00",AND(D3207&lt;=2019,D3207&gt;=2010),"10"),"1908-1970")</f>
        <v>80</v>
      </c>
      <c r="F3207" s="3" t="s">
        <v>28931</v>
      </c>
      <c r="G3207" t="s">
        <v>19336</v>
      </c>
      <c r="H3207" t="s">
        <v>19337</v>
      </c>
      <c r="I3207" t="s">
        <v>28931</v>
      </c>
      <c r="J3207" t="s">
        <v>19338</v>
      </c>
      <c r="K3207" t="s">
        <v>19339</v>
      </c>
      <c r="L3207" s="7" t="s">
        <v>19340</v>
      </c>
      <c r="M3207">
        <v>1755</v>
      </c>
      <c r="N3207">
        <v>9</v>
      </c>
      <c r="O3207">
        <v>6</v>
      </c>
      <c r="P3207">
        <v>3</v>
      </c>
      <c r="Q3207">
        <v>8</v>
      </c>
      <c r="R3207">
        <v>5</v>
      </c>
      <c r="S3207">
        <v>3</v>
      </c>
      <c r="T3207">
        <v>9</v>
      </c>
      <c r="U3207" t="s">
        <v>19341</v>
      </c>
      <c r="V3207">
        <f>Tabla1[[#This Row],[Aboard]]-Tabla1[[#This Row],[Fatalities]]</f>
        <v>1</v>
      </c>
      <c r="W3207" s="50">
        <f>IFERROR(Tabla1[[#This Row],[Fatalities]]/Tabla1[[#This Row],[Aboard]],0)</f>
        <v>0.88888888888888884</v>
      </c>
      <c r="X3207" s="51" t="str" cm="1">
        <f t="array" ref="X3207">_xlfn.IFS(Tabla1[[#This Row],[Porcentaje de muertes]]&lt;0.35,"LEVE",AND(Tabla1[[#This Row],[Porcentaje de muertes]]&gt;0.35,Tabla1[[#This Row],[Porcentaje de muertes]]&lt;0.65),"MEDIO",Tabla1[[#This Row],[Porcentaje de muertes]]&gt;0.65,"GRAVE")</f>
        <v>GRAVE</v>
      </c>
    </row>
    <row r="3208" spans="2:24" x14ac:dyDescent="0.3">
      <c r="B3208" s="9">
        <v>3207</v>
      </c>
      <c r="C3208" s="49">
        <v>30425</v>
      </c>
      <c r="D3208" s="9">
        <f>YEAR(Tabla1[[#This Row],[Date]])</f>
        <v>1983</v>
      </c>
      <c r="E3208" s="9" t="str" cm="1">
        <f t="array" ref="E3208">IFERROR(_xlfn.IFS(AND(D3208&lt;1980,D3208&gt;=1970),"70",AND(D3208&lt;1990,D3208&gt;=1980),"80",AND(D3208&lt;2000,D3208&gt;=1990),"90",AND(D3208&lt;2010,D3208&gt;=2000),"00",AND(D3208&lt;=2019,D3208&gt;=2010),"10"),"1908-1970")</f>
        <v>80</v>
      </c>
      <c r="F3208" s="3">
        <v>0.75624999999999998</v>
      </c>
      <c r="G3208" t="s">
        <v>19342</v>
      </c>
      <c r="H3208" t="s">
        <v>6541</v>
      </c>
      <c r="I3208" t="s">
        <v>19343</v>
      </c>
      <c r="J3208" t="s">
        <v>19344</v>
      </c>
      <c r="K3208" t="s">
        <v>15961</v>
      </c>
      <c r="L3208" s="7" t="s">
        <v>19345</v>
      </c>
      <c r="M3208">
        <v>9320628</v>
      </c>
      <c r="N3208">
        <v>21</v>
      </c>
      <c r="O3208">
        <v>17</v>
      </c>
      <c r="P3208">
        <v>4</v>
      </c>
      <c r="Q3208">
        <v>21</v>
      </c>
      <c r="R3208">
        <v>17</v>
      </c>
      <c r="S3208">
        <v>4</v>
      </c>
      <c r="T3208">
        <v>0</v>
      </c>
      <c r="U3208" t="s">
        <v>19346</v>
      </c>
      <c r="V3208">
        <f>Tabla1[[#This Row],[Aboard]]-Tabla1[[#This Row],[Fatalities]]</f>
        <v>0</v>
      </c>
      <c r="W3208" s="50">
        <f>IFERROR(Tabla1[[#This Row],[Fatalities]]/Tabla1[[#This Row],[Aboard]],0)</f>
        <v>1</v>
      </c>
      <c r="X3208" s="51" t="str" cm="1">
        <f t="array" ref="X3208">_xlfn.IFS(Tabla1[[#This Row],[Porcentaje de muertes]]&lt;0.35,"LEVE",AND(Tabla1[[#This Row],[Porcentaje de muertes]]&gt;0.35,Tabla1[[#This Row],[Porcentaje de muertes]]&lt;0.65),"MEDIO",Tabla1[[#This Row],[Porcentaje de muertes]]&gt;0.65,"GRAVE")</f>
        <v>GRAVE</v>
      </c>
    </row>
    <row r="3209" spans="2:24" x14ac:dyDescent="0.3">
      <c r="B3209" s="9">
        <v>3208</v>
      </c>
      <c r="C3209" s="49">
        <v>30425</v>
      </c>
      <c r="D3209" s="9">
        <f>YEAR(Tabla1[[#This Row],[Date]])</f>
        <v>1983</v>
      </c>
      <c r="E3209" s="9" t="str" cm="1">
        <f t="array" ref="E3209">IFERROR(_xlfn.IFS(AND(D3209&lt;1980,D3209&gt;=1970),"70",AND(D3209&lt;1990,D3209&gt;=1980),"80",AND(D3209&lt;2000,D3209&gt;=1990),"90",AND(D3209&lt;2010,D3209&gt;=2000),"00",AND(D3209&lt;=2019,D3209&gt;=2010),"10"),"1908-1970")</f>
        <v>80</v>
      </c>
      <c r="F3209" s="3">
        <v>0.30555555555555552</v>
      </c>
      <c r="G3209" t="s">
        <v>19347</v>
      </c>
      <c r="H3209" t="s">
        <v>19348</v>
      </c>
      <c r="I3209" t="s">
        <v>28931</v>
      </c>
      <c r="J3209" t="s">
        <v>6190</v>
      </c>
      <c r="K3209" t="s">
        <v>19349</v>
      </c>
      <c r="L3209" s="7" t="s">
        <v>19350</v>
      </c>
      <c r="M3209" t="s">
        <v>19351</v>
      </c>
      <c r="N3209">
        <v>14</v>
      </c>
      <c r="O3209" t="s">
        <v>5038</v>
      </c>
      <c r="P3209" t="s">
        <v>5038</v>
      </c>
      <c r="Q3209">
        <v>14</v>
      </c>
      <c r="R3209" t="s">
        <v>5038</v>
      </c>
      <c r="S3209" t="s">
        <v>5038</v>
      </c>
      <c r="T3209">
        <v>0</v>
      </c>
      <c r="U3209" t="s">
        <v>19352</v>
      </c>
      <c r="V3209">
        <f>Tabla1[[#This Row],[Aboard]]-Tabla1[[#This Row],[Fatalities]]</f>
        <v>0</v>
      </c>
      <c r="W3209" s="50">
        <f>IFERROR(Tabla1[[#This Row],[Fatalities]]/Tabla1[[#This Row],[Aboard]],0)</f>
        <v>1</v>
      </c>
      <c r="X3209" s="51" t="str" cm="1">
        <f t="array" ref="X3209">_xlfn.IFS(Tabla1[[#This Row],[Porcentaje de muertes]]&lt;0.35,"LEVE",AND(Tabla1[[#This Row],[Porcentaje de muertes]]&gt;0.35,Tabla1[[#This Row],[Porcentaje de muertes]]&lt;0.65),"MEDIO",Tabla1[[#This Row],[Porcentaje de muertes]]&gt;0.65,"GRAVE")</f>
        <v>GRAVE</v>
      </c>
    </row>
    <row r="3210" spans="2:24" x14ac:dyDescent="0.3">
      <c r="B3210" s="9">
        <v>3209</v>
      </c>
      <c r="C3210" s="49">
        <v>30432</v>
      </c>
      <c r="D3210" s="9">
        <f>YEAR(Tabla1[[#This Row],[Date]])</f>
        <v>1983</v>
      </c>
      <c r="E3210" s="9" t="str" cm="1">
        <f t="array" ref="E3210">IFERROR(_xlfn.IFS(AND(D3210&lt;1980,D3210&gt;=1970),"70",AND(D3210&lt;1990,D3210&gt;=1980),"80",AND(D3210&lt;2000,D3210&gt;=1990),"90",AND(D3210&lt;2010,D3210&gt;=2000),"00",AND(D3210&lt;=2019,D3210&gt;=2010),"10"),"1908-1970")</f>
        <v>80</v>
      </c>
      <c r="F3210" s="3">
        <v>0.73402777777777783</v>
      </c>
      <c r="G3210" t="s">
        <v>19353</v>
      </c>
      <c r="H3210" t="s">
        <v>13635</v>
      </c>
      <c r="I3210" t="s">
        <v>19354</v>
      </c>
      <c r="J3210" t="s">
        <v>6190</v>
      </c>
      <c r="K3210" t="s">
        <v>19355</v>
      </c>
      <c r="L3210" s="7">
        <v>5801</v>
      </c>
      <c r="M3210">
        <v>1001</v>
      </c>
      <c r="N3210">
        <v>14</v>
      </c>
      <c r="O3210">
        <v>0</v>
      </c>
      <c r="P3210">
        <v>14</v>
      </c>
      <c r="Q3210">
        <v>11</v>
      </c>
      <c r="R3210">
        <v>0</v>
      </c>
      <c r="S3210">
        <v>11</v>
      </c>
      <c r="T3210">
        <v>0</v>
      </c>
      <c r="U3210" t="s">
        <v>19356</v>
      </c>
      <c r="V3210">
        <f>Tabla1[[#This Row],[Aboard]]-Tabla1[[#This Row],[Fatalities]]</f>
        <v>3</v>
      </c>
      <c r="W3210" s="50">
        <f>IFERROR(Tabla1[[#This Row],[Fatalities]]/Tabla1[[#This Row],[Aboard]],0)</f>
        <v>0.7857142857142857</v>
      </c>
      <c r="X3210" s="51" t="str" cm="1">
        <f t="array" ref="X3210">_xlfn.IFS(Tabla1[[#This Row],[Porcentaje de muertes]]&lt;0.35,"LEVE",AND(Tabla1[[#This Row],[Porcentaje de muertes]]&gt;0.35,Tabla1[[#This Row],[Porcentaje de muertes]]&lt;0.65),"MEDIO",Tabla1[[#This Row],[Porcentaje de muertes]]&gt;0.65,"GRAVE")</f>
        <v>GRAVE</v>
      </c>
    </row>
    <row r="3211" spans="2:24" x14ac:dyDescent="0.3">
      <c r="B3211" s="9">
        <v>3210</v>
      </c>
      <c r="C3211" s="49">
        <v>30435</v>
      </c>
      <c r="D3211" s="9">
        <f>YEAR(Tabla1[[#This Row],[Date]])</f>
        <v>1983</v>
      </c>
      <c r="E3211" s="9" t="str" cm="1">
        <f t="array" ref="E3211">IFERROR(_xlfn.IFS(AND(D3211&lt;1980,D3211&gt;=1970),"70",AND(D3211&lt;1990,D3211&gt;=1980),"80",AND(D3211&lt;2000,D3211&gt;=1990),"90",AND(D3211&lt;2010,D3211&gt;=2000),"00",AND(D3211&lt;=2019,D3211&gt;=2010),"10"),"1908-1970")</f>
        <v>80</v>
      </c>
      <c r="F3211" s="3">
        <v>0.63194444444444442</v>
      </c>
      <c r="G3211" t="s">
        <v>7423</v>
      </c>
      <c r="H3211" t="s">
        <v>19357</v>
      </c>
      <c r="I3211">
        <v>832</v>
      </c>
      <c r="J3211" t="s">
        <v>12327</v>
      </c>
      <c r="K3211" t="s">
        <v>19358</v>
      </c>
      <c r="L3211" s="7" t="s">
        <v>19359</v>
      </c>
      <c r="M3211">
        <v>125</v>
      </c>
      <c r="N3211">
        <v>100</v>
      </c>
      <c r="O3211">
        <v>94</v>
      </c>
      <c r="P3211">
        <v>6</v>
      </c>
      <c r="Q3211">
        <v>8</v>
      </c>
      <c r="R3211">
        <v>7</v>
      </c>
      <c r="S3211">
        <v>1</v>
      </c>
      <c r="T3211">
        <v>0</v>
      </c>
      <c r="U3211" t="s">
        <v>19360</v>
      </c>
      <c r="V3211">
        <f>Tabla1[[#This Row],[Aboard]]-Tabla1[[#This Row],[Fatalities]]</f>
        <v>92</v>
      </c>
      <c r="W3211" s="50">
        <f>IFERROR(Tabla1[[#This Row],[Fatalities]]/Tabla1[[#This Row],[Aboard]],0)</f>
        <v>0.08</v>
      </c>
      <c r="X3211" s="51" t="str" cm="1">
        <f t="array" ref="X3211">_xlfn.IFS(Tabla1[[#This Row],[Porcentaje de muertes]]&lt;0.35,"LEVE",AND(Tabla1[[#This Row],[Porcentaje de muertes]]&gt;0.35,Tabla1[[#This Row],[Porcentaje de muertes]]&lt;0.65),"MEDIO",Tabla1[[#This Row],[Porcentaje de muertes]]&gt;0.65,"GRAVE")</f>
        <v>LEVE</v>
      </c>
    </row>
    <row r="3212" spans="2:24" x14ac:dyDescent="0.3">
      <c r="B3212" s="9">
        <v>3211</v>
      </c>
      <c r="C3212" s="49">
        <v>30436</v>
      </c>
      <c r="D3212" s="9">
        <f>YEAR(Tabla1[[#This Row],[Date]])</f>
        <v>1983</v>
      </c>
      <c r="E3212" s="9" t="str" cm="1">
        <f t="array" ref="E3212">IFERROR(_xlfn.IFS(AND(D3212&lt;1980,D3212&gt;=1970),"70",AND(D3212&lt;1990,D3212&gt;=1980),"80",AND(D3212&lt;2000,D3212&gt;=1990),"90",AND(D3212&lt;2010,D3212&gt;=2000),"00",AND(D3212&lt;=2019,D3212&gt;=2010),"10"),"1908-1970")</f>
        <v>80</v>
      </c>
      <c r="F3212" s="3">
        <v>0.50624999999999998</v>
      </c>
      <c r="G3212" t="s">
        <v>8223</v>
      </c>
      <c r="H3212" t="s">
        <v>15925</v>
      </c>
      <c r="I3212" t="s">
        <v>28931</v>
      </c>
      <c r="J3212" t="s">
        <v>19361</v>
      </c>
      <c r="K3212" t="s">
        <v>11455</v>
      </c>
      <c r="L3212" s="7">
        <v>141010</v>
      </c>
      <c r="M3212">
        <v>293</v>
      </c>
      <c r="N3212">
        <v>15</v>
      </c>
      <c r="O3212">
        <v>9</v>
      </c>
      <c r="P3212">
        <v>6</v>
      </c>
      <c r="Q3212">
        <v>15</v>
      </c>
      <c r="R3212">
        <v>98</v>
      </c>
      <c r="S3212">
        <v>6</v>
      </c>
      <c r="T3212">
        <v>0</v>
      </c>
      <c r="U3212" t="s">
        <v>19362</v>
      </c>
      <c r="V3212">
        <f>Tabla1[[#This Row],[Aboard]]-Tabla1[[#This Row],[Fatalities]]</f>
        <v>0</v>
      </c>
      <c r="W3212" s="50">
        <f>IFERROR(Tabla1[[#This Row],[Fatalities]]/Tabla1[[#This Row],[Aboard]],0)</f>
        <v>1</v>
      </c>
      <c r="X3212" s="51" t="str" cm="1">
        <f t="array" ref="X3212">_xlfn.IFS(Tabla1[[#This Row],[Porcentaje de muertes]]&lt;0.35,"LEVE",AND(Tabla1[[#This Row],[Porcentaje de muertes]]&gt;0.35,Tabla1[[#This Row],[Porcentaje de muertes]]&lt;0.65),"MEDIO",Tabla1[[#This Row],[Porcentaje de muertes]]&gt;0.65,"GRAVE")</f>
        <v>GRAVE</v>
      </c>
    </row>
    <row r="3213" spans="2:24" x14ac:dyDescent="0.3">
      <c r="B3213" s="9">
        <v>3212</v>
      </c>
      <c r="C3213" s="49">
        <v>30441</v>
      </c>
      <c r="D3213" s="9">
        <f>YEAR(Tabla1[[#This Row],[Date]])</f>
        <v>1983</v>
      </c>
      <c r="E3213" s="9" t="str" cm="1">
        <f t="array" ref="E3213">IFERROR(_xlfn.IFS(AND(D3213&lt;1980,D3213&gt;=1970),"70",AND(D3213&lt;1990,D3213&gt;=1980),"80",AND(D3213&lt;2000,D3213&gt;=1990),"90",AND(D3213&lt;2010,D3213&gt;=2000),"00",AND(D3213&lt;=2019,D3213&gt;=2010),"10"),"1908-1970")</f>
        <v>80</v>
      </c>
      <c r="F3213" s="3">
        <v>0.43055555555555558</v>
      </c>
      <c r="G3213" t="s">
        <v>19363</v>
      </c>
      <c r="H3213" t="s">
        <v>11757</v>
      </c>
      <c r="I3213" t="s">
        <v>28931</v>
      </c>
      <c r="J3213" t="s">
        <v>28931</v>
      </c>
      <c r="K3213" t="s">
        <v>15159</v>
      </c>
      <c r="L3213" s="7" t="s">
        <v>19364</v>
      </c>
      <c r="M3213">
        <v>20227</v>
      </c>
      <c r="N3213">
        <v>30</v>
      </c>
      <c r="O3213">
        <v>24</v>
      </c>
      <c r="P3213">
        <v>6</v>
      </c>
      <c r="Q3213">
        <v>30</v>
      </c>
      <c r="R3213">
        <v>24</v>
      </c>
      <c r="S3213">
        <v>6</v>
      </c>
      <c r="T3213">
        <v>0</v>
      </c>
      <c r="U3213" t="s">
        <v>19365</v>
      </c>
      <c r="V3213">
        <f>Tabla1[[#This Row],[Aboard]]-Tabla1[[#This Row],[Fatalities]]</f>
        <v>0</v>
      </c>
      <c r="W3213" s="50">
        <f>IFERROR(Tabla1[[#This Row],[Fatalities]]/Tabla1[[#This Row],[Aboard]],0)</f>
        <v>1</v>
      </c>
      <c r="X3213" s="51" t="str" cm="1">
        <f t="array" ref="X3213">_xlfn.IFS(Tabla1[[#This Row],[Porcentaje de muertes]]&lt;0.35,"LEVE",AND(Tabla1[[#This Row],[Porcentaje de muertes]]&gt;0.35,Tabla1[[#This Row],[Porcentaje de muertes]]&lt;0.65),"MEDIO",Tabla1[[#This Row],[Porcentaje de muertes]]&gt;0.65,"GRAVE")</f>
        <v>GRAVE</v>
      </c>
    </row>
    <row r="3214" spans="2:24" x14ac:dyDescent="0.3">
      <c r="B3214" s="9">
        <v>3213</v>
      </c>
      <c r="C3214" s="49">
        <v>30441</v>
      </c>
      <c r="D3214" s="9">
        <f>YEAR(Tabla1[[#This Row],[Date]])</f>
        <v>1983</v>
      </c>
      <c r="E3214" s="9" t="str" cm="1">
        <f t="array" ref="E3214">IFERROR(_xlfn.IFS(AND(D3214&lt;1980,D3214&gt;=1970),"70",AND(D3214&lt;1990,D3214&gt;=1980),"80",AND(D3214&lt;2000,D3214&gt;=1990),"90",AND(D3214&lt;2010,D3214&gt;=2000),"00",AND(D3214&lt;=2019,D3214&gt;=2010),"10"),"1908-1970")</f>
        <v>80</v>
      </c>
      <c r="F3214" s="3">
        <v>0.38541666666666669</v>
      </c>
      <c r="G3214" t="s">
        <v>19366</v>
      </c>
      <c r="H3214" t="s">
        <v>6941</v>
      </c>
      <c r="I3214">
        <v>855</v>
      </c>
      <c r="J3214" t="s">
        <v>19367</v>
      </c>
      <c r="K3214" t="s">
        <v>19368</v>
      </c>
      <c r="L3214" s="7" t="s">
        <v>19369</v>
      </c>
      <c r="M3214">
        <v>1141</v>
      </c>
      <c r="N3214">
        <v>172</v>
      </c>
      <c r="O3214">
        <v>162</v>
      </c>
      <c r="P3214">
        <v>10</v>
      </c>
      <c r="Q3214">
        <v>0</v>
      </c>
      <c r="R3214">
        <v>0</v>
      </c>
      <c r="S3214">
        <v>0</v>
      </c>
      <c r="T3214">
        <v>0</v>
      </c>
      <c r="U3214" t="s">
        <v>19370</v>
      </c>
      <c r="V3214">
        <f>Tabla1[[#This Row],[Aboard]]-Tabla1[[#This Row],[Fatalities]]</f>
        <v>172</v>
      </c>
      <c r="W3214" s="50">
        <f>IFERROR(Tabla1[[#This Row],[Fatalities]]/Tabla1[[#This Row],[Aboard]],0)</f>
        <v>0</v>
      </c>
      <c r="X3214" s="51" t="str" cm="1">
        <f t="array" ref="X3214">_xlfn.IFS(Tabla1[[#This Row],[Porcentaje de muertes]]&lt;0.35,"LEVE",AND(Tabla1[[#This Row],[Porcentaje de muertes]]&gt;0.35,Tabla1[[#This Row],[Porcentaje de muertes]]&lt;0.65),"MEDIO",Tabla1[[#This Row],[Porcentaje de muertes]]&gt;0.65,"GRAVE")</f>
        <v>LEVE</v>
      </c>
    </row>
    <row r="3215" spans="2:24" x14ac:dyDescent="0.3">
      <c r="B3215" s="9">
        <v>3214</v>
      </c>
      <c r="C3215" s="49">
        <v>30472</v>
      </c>
      <c r="D3215" s="9">
        <f>YEAR(Tabla1[[#This Row],[Date]])</f>
        <v>1983</v>
      </c>
      <c r="E3215" s="9" t="str" cm="1">
        <f t="array" ref="E3215">IFERROR(_xlfn.IFS(AND(D3215&lt;1980,D3215&gt;=1970),"70",AND(D3215&lt;1990,D3215&gt;=1980),"80",AND(D3215&lt;2000,D3215&gt;=1990),"90",AND(D3215&lt;2010,D3215&gt;=2000),"00",AND(D3215&lt;=2019,D3215&gt;=2010),"10"),"1908-1970")</f>
        <v>80</v>
      </c>
      <c r="F3215" s="3" t="s">
        <v>28931</v>
      </c>
      <c r="G3215" t="s">
        <v>19371</v>
      </c>
      <c r="H3215" t="s">
        <v>9999</v>
      </c>
      <c r="I3215" t="s">
        <v>28931</v>
      </c>
      <c r="J3215" t="s">
        <v>19372</v>
      </c>
      <c r="K3215" t="s">
        <v>16446</v>
      </c>
      <c r="L3215" s="7" t="s">
        <v>28931</v>
      </c>
      <c r="M3215" t="s">
        <v>28931</v>
      </c>
      <c r="N3215">
        <v>37</v>
      </c>
      <c r="O3215">
        <v>31</v>
      </c>
      <c r="P3215">
        <v>6</v>
      </c>
      <c r="Q3215">
        <v>33</v>
      </c>
      <c r="R3215">
        <v>37</v>
      </c>
      <c r="S3215">
        <v>6</v>
      </c>
      <c r="T3215">
        <v>0</v>
      </c>
      <c r="U3215" t="s">
        <v>19373</v>
      </c>
      <c r="V3215">
        <f>Tabla1[[#This Row],[Aboard]]-Tabla1[[#This Row],[Fatalities]]</f>
        <v>4</v>
      </c>
      <c r="W3215" s="50">
        <f>IFERROR(Tabla1[[#This Row],[Fatalities]]/Tabla1[[#This Row],[Aboard]],0)</f>
        <v>0.89189189189189189</v>
      </c>
      <c r="X3215" s="51" t="str" cm="1">
        <f t="array" ref="X3215">_xlfn.IFS(Tabla1[[#This Row],[Porcentaje de muertes]]&lt;0.35,"LEVE",AND(Tabla1[[#This Row],[Porcentaje de muertes]]&gt;0.35,Tabla1[[#This Row],[Porcentaje de muertes]]&lt;0.65),"MEDIO",Tabla1[[#This Row],[Porcentaje de muertes]]&gt;0.65,"GRAVE")</f>
        <v>GRAVE</v>
      </c>
    </row>
    <row r="3216" spans="2:24" x14ac:dyDescent="0.3">
      <c r="B3216" s="9">
        <v>3215</v>
      </c>
      <c r="C3216" s="49">
        <v>30353</v>
      </c>
      <c r="D3216" s="9">
        <f>YEAR(Tabla1[[#This Row],[Date]])</f>
        <v>1983</v>
      </c>
      <c r="E3216" s="9" t="str" cm="1">
        <f t="array" ref="E3216">IFERROR(_xlfn.IFS(AND(D3216&lt;1980,D3216&gt;=1970),"70",AND(D3216&lt;1990,D3216&gt;=1980),"80",AND(D3216&lt;2000,D3216&gt;=1990),"90",AND(D3216&lt;2010,D3216&gt;=2000),"00",AND(D3216&lt;=2019,D3216&gt;=2010),"10"),"1908-1970")</f>
        <v>80</v>
      </c>
      <c r="F3216" s="3">
        <v>0.36805555555555558</v>
      </c>
      <c r="G3216" t="s">
        <v>19374</v>
      </c>
      <c r="H3216" t="s">
        <v>10225</v>
      </c>
      <c r="I3216" t="s">
        <v>28931</v>
      </c>
      <c r="J3216" t="s">
        <v>19375</v>
      </c>
      <c r="K3216" t="s">
        <v>19376</v>
      </c>
      <c r="L3216" s="7" t="s">
        <v>19377</v>
      </c>
      <c r="M3216">
        <v>11132</v>
      </c>
      <c r="N3216">
        <v>61</v>
      </c>
      <c r="O3216">
        <v>57</v>
      </c>
      <c r="P3216">
        <v>4</v>
      </c>
      <c r="Q3216">
        <v>3</v>
      </c>
      <c r="R3216">
        <v>1</v>
      </c>
      <c r="S3216">
        <v>2</v>
      </c>
      <c r="T3216">
        <v>0</v>
      </c>
      <c r="U3216" t="s">
        <v>19378</v>
      </c>
      <c r="V3216">
        <f>Tabla1[[#This Row],[Aboard]]-Tabla1[[#This Row],[Fatalities]]</f>
        <v>58</v>
      </c>
      <c r="W3216" s="50">
        <f>IFERROR(Tabla1[[#This Row],[Fatalities]]/Tabla1[[#This Row],[Aboard]],0)</f>
        <v>4.9180327868852458E-2</v>
      </c>
      <c r="X3216" s="51" t="str" cm="1">
        <f t="array" ref="X3216">_xlfn.IFS(Tabla1[[#This Row],[Porcentaje de muertes]]&lt;0.35,"LEVE",AND(Tabla1[[#This Row],[Porcentaje de muertes]]&gt;0.35,Tabla1[[#This Row],[Porcentaje de muertes]]&lt;0.65),"MEDIO",Tabla1[[#This Row],[Porcentaje de muertes]]&gt;0.65,"GRAVE")</f>
        <v>LEVE</v>
      </c>
    </row>
    <row r="3217" spans="2:24" x14ac:dyDescent="0.3">
      <c r="B3217" s="9">
        <v>3216</v>
      </c>
      <c r="C3217" s="49">
        <v>30353</v>
      </c>
      <c r="D3217" s="9">
        <f>YEAR(Tabla1[[#This Row],[Date]])</f>
        <v>1983</v>
      </c>
      <c r="E3217" s="9" t="str" cm="1">
        <f t="array" ref="E3217">IFERROR(_xlfn.IFS(AND(D3217&lt;1980,D3217&gt;=1970),"70",AND(D3217&lt;1990,D3217&gt;=1980),"80",AND(D3217&lt;2000,D3217&gt;=1990),"90",AND(D3217&lt;2010,D3217&gt;=2000),"00",AND(D3217&lt;=2019,D3217&gt;=2010),"10"),"1908-1970")</f>
        <v>80</v>
      </c>
      <c r="F3217" s="3">
        <v>0.80555555555555547</v>
      </c>
      <c r="G3217" t="s">
        <v>15070</v>
      </c>
      <c r="H3217" t="s">
        <v>14947</v>
      </c>
      <c r="I3217">
        <v>797</v>
      </c>
      <c r="J3217" t="s">
        <v>19379</v>
      </c>
      <c r="K3217" t="s">
        <v>15468</v>
      </c>
      <c r="L3217" s="7" t="s">
        <v>19380</v>
      </c>
      <c r="M3217" t="s">
        <v>19381</v>
      </c>
      <c r="N3217">
        <v>46</v>
      </c>
      <c r="O3217">
        <v>41</v>
      </c>
      <c r="P3217">
        <v>5</v>
      </c>
      <c r="Q3217">
        <v>23</v>
      </c>
      <c r="R3217">
        <v>23</v>
      </c>
      <c r="S3217">
        <v>0</v>
      </c>
      <c r="T3217">
        <v>0</v>
      </c>
      <c r="U3217" t="s">
        <v>19382</v>
      </c>
      <c r="V3217">
        <f>Tabla1[[#This Row],[Aboard]]-Tabla1[[#This Row],[Fatalities]]</f>
        <v>23</v>
      </c>
      <c r="W3217" s="50">
        <f>IFERROR(Tabla1[[#This Row],[Fatalities]]/Tabla1[[#This Row],[Aboard]],0)</f>
        <v>0.5</v>
      </c>
      <c r="X3217" s="51" t="str" cm="1">
        <f t="array" ref="X3217">_xlfn.IFS(Tabla1[[#This Row],[Porcentaje de muertes]]&lt;0.35,"LEVE",AND(Tabla1[[#This Row],[Porcentaje de muertes]]&gt;0.35,Tabla1[[#This Row],[Porcentaje de muertes]]&lt;0.65),"MEDIO",Tabla1[[#This Row],[Porcentaje de muertes]]&gt;0.65,"GRAVE")</f>
        <v>MEDIO</v>
      </c>
    </row>
    <row r="3218" spans="2:24" x14ac:dyDescent="0.3">
      <c r="B3218" s="9">
        <v>3217</v>
      </c>
      <c r="C3218" s="49">
        <v>30473</v>
      </c>
      <c r="D3218" s="9">
        <f>YEAR(Tabla1[[#This Row],[Date]])</f>
        <v>1983</v>
      </c>
      <c r="E3218" s="9" t="str" cm="1">
        <f t="array" ref="E3218">IFERROR(_xlfn.IFS(AND(D3218&lt;1980,D3218&gt;=1970),"70",AND(D3218&lt;1990,D3218&gt;=1980),"80",AND(D3218&lt;2000,D3218&gt;=1990),"90",AND(D3218&lt;2010,D3218&gt;=2000),"00",AND(D3218&lt;=2019,D3218&gt;=2010),"10"),"1908-1970")</f>
        <v>80</v>
      </c>
      <c r="F3218" s="3">
        <v>0.52777777777777779</v>
      </c>
      <c r="G3218" t="s">
        <v>19383</v>
      </c>
      <c r="H3218" t="s">
        <v>19384</v>
      </c>
      <c r="I3218" t="s">
        <v>28931</v>
      </c>
      <c r="J3218" t="s">
        <v>19385</v>
      </c>
      <c r="K3218" t="s">
        <v>19386</v>
      </c>
      <c r="L3218" s="7" t="s">
        <v>28931</v>
      </c>
      <c r="M3218" t="s">
        <v>28931</v>
      </c>
      <c r="N3218">
        <v>47</v>
      </c>
      <c r="O3218">
        <v>39</v>
      </c>
      <c r="P3218">
        <v>8</v>
      </c>
      <c r="Q3218">
        <v>47</v>
      </c>
      <c r="R3218">
        <v>39</v>
      </c>
      <c r="S3218">
        <v>8</v>
      </c>
      <c r="T3218">
        <v>0</v>
      </c>
      <c r="U3218" t="s">
        <v>19387</v>
      </c>
      <c r="V3218">
        <f>Tabla1[[#This Row],[Aboard]]-Tabla1[[#This Row],[Fatalities]]</f>
        <v>0</v>
      </c>
      <c r="W3218" s="50">
        <f>IFERROR(Tabla1[[#This Row],[Fatalities]]/Tabla1[[#This Row],[Aboard]],0)</f>
        <v>1</v>
      </c>
      <c r="X3218" s="51" t="str" cm="1">
        <f t="array" ref="X3218">_xlfn.IFS(Tabla1[[#This Row],[Porcentaje de muertes]]&lt;0.35,"LEVE",AND(Tabla1[[#This Row],[Porcentaje de muertes]]&gt;0.35,Tabla1[[#This Row],[Porcentaje de muertes]]&lt;0.65),"MEDIO",Tabla1[[#This Row],[Porcentaje de muertes]]&gt;0.65,"GRAVE")</f>
        <v>GRAVE</v>
      </c>
    </row>
    <row r="3219" spans="2:24" x14ac:dyDescent="0.3">
      <c r="B3219" s="9">
        <v>3218</v>
      </c>
      <c r="C3219" s="49">
        <v>30534</v>
      </c>
      <c r="D3219" s="9">
        <f>YEAR(Tabla1[[#This Row],[Date]])</f>
        <v>1983</v>
      </c>
      <c r="E3219" s="9" t="str" cm="1">
        <f t="array" ref="E3219">IFERROR(_xlfn.IFS(AND(D3219&lt;1980,D3219&gt;=1970),"70",AND(D3219&lt;1990,D3219&gt;=1980),"80",AND(D3219&lt;2000,D3219&gt;=1990),"90",AND(D3219&lt;2010,D3219&gt;=2000),"00",AND(D3219&lt;=2019,D3219&gt;=2010),"10"),"1908-1970")</f>
        <v>80</v>
      </c>
      <c r="F3219" s="3">
        <v>0.57986111111111105</v>
      </c>
      <c r="G3219" t="s">
        <v>19388</v>
      </c>
      <c r="H3219" t="s">
        <v>19389</v>
      </c>
      <c r="I3219">
        <v>8</v>
      </c>
      <c r="J3219" t="s">
        <v>19390</v>
      </c>
      <c r="K3219" t="s">
        <v>13248</v>
      </c>
      <c r="L3219" s="7" t="s">
        <v>19391</v>
      </c>
      <c r="M3219">
        <v>2007</v>
      </c>
      <c r="N3219">
        <v>15</v>
      </c>
      <c r="O3219">
        <v>10</v>
      </c>
      <c r="P3219">
        <v>5</v>
      </c>
      <c r="Q3219">
        <v>0</v>
      </c>
      <c r="R3219">
        <v>0</v>
      </c>
      <c r="S3219">
        <v>0</v>
      </c>
      <c r="T3219">
        <v>0</v>
      </c>
      <c r="U3219" t="s">
        <v>19392</v>
      </c>
      <c r="V3219">
        <f>Tabla1[[#This Row],[Aboard]]-Tabla1[[#This Row],[Fatalities]]</f>
        <v>15</v>
      </c>
      <c r="W3219" s="50">
        <f>IFERROR(Tabla1[[#This Row],[Fatalities]]/Tabla1[[#This Row],[Aboard]],0)</f>
        <v>0</v>
      </c>
      <c r="X3219" s="51" t="str" cm="1">
        <f t="array" ref="X3219">_xlfn.IFS(Tabla1[[#This Row],[Porcentaje de muertes]]&lt;0.35,"LEVE",AND(Tabla1[[#This Row],[Porcentaje de muertes]]&gt;0.35,Tabla1[[#This Row],[Porcentaje de muertes]]&lt;0.65),"MEDIO",Tabla1[[#This Row],[Porcentaje de muertes]]&gt;0.65,"GRAVE")</f>
        <v>LEVE</v>
      </c>
    </row>
    <row r="3220" spans="2:24" x14ac:dyDescent="0.3">
      <c r="B3220" s="9">
        <v>3219</v>
      </c>
      <c r="C3220" s="49">
        <v>30483</v>
      </c>
      <c r="D3220" s="9">
        <f>YEAR(Tabla1[[#This Row],[Date]])</f>
        <v>1983</v>
      </c>
      <c r="E3220" s="9" t="str" cm="1">
        <f t="array" ref="E3220">IFERROR(_xlfn.IFS(AND(D3220&lt;1980,D3220&gt;=1970),"70",AND(D3220&lt;1990,D3220&gt;=1980),"80",AND(D3220&lt;2000,D3220&gt;=1990),"90",AND(D3220&lt;2010,D3220&gt;=2000),"00",AND(D3220&lt;=2019,D3220&gt;=2010),"10"),"1908-1970")</f>
        <v>80</v>
      </c>
      <c r="F3220" s="3">
        <v>0.16666666666666666</v>
      </c>
      <c r="G3220" t="s">
        <v>19393</v>
      </c>
      <c r="H3220" t="s">
        <v>5027</v>
      </c>
      <c r="I3220" t="s">
        <v>28931</v>
      </c>
      <c r="J3220" t="s">
        <v>19394</v>
      </c>
      <c r="K3220" t="s">
        <v>18036</v>
      </c>
      <c r="L3220" s="7">
        <v>152720</v>
      </c>
      <c r="M3220" t="s">
        <v>19395</v>
      </c>
      <c r="N3220">
        <v>14</v>
      </c>
      <c r="O3220">
        <v>0</v>
      </c>
      <c r="P3220">
        <v>14</v>
      </c>
      <c r="Q3220">
        <v>14</v>
      </c>
      <c r="R3220">
        <v>0</v>
      </c>
      <c r="S3220">
        <v>14</v>
      </c>
      <c r="T3220">
        <v>0</v>
      </c>
      <c r="U3220" t="s">
        <v>19396</v>
      </c>
      <c r="V3220">
        <f>Tabla1[[#This Row],[Aboard]]-Tabla1[[#This Row],[Fatalities]]</f>
        <v>0</v>
      </c>
      <c r="W3220" s="50">
        <f>IFERROR(Tabla1[[#This Row],[Fatalities]]/Tabla1[[#This Row],[Aboard]],0)</f>
        <v>1</v>
      </c>
      <c r="X3220" s="51" t="str" cm="1">
        <f t="array" ref="X3220">_xlfn.IFS(Tabla1[[#This Row],[Porcentaje de muertes]]&lt;0.35,"LEVE",AND(Tabla1[[#This Row],[Porcentaje de muertes]]&gt;0.35,Tabla1[[#This Row],[Porcentaje de muertes]]&lt;0.65),"MEDIO",Tabla1[[#This Row],[Porcentaje de muertes]]&gt;0.65,"GRAVE")</f>
        <v>GRAVE</v>
      </c>
    </row>
    <row r="3221" spans="2:24" x14ac:dyDescent="0.3">
      <c r="B3221" s="9">
        <v>3220</v>
      </c>
      <c r="C3221" s="49">
        <v>30488</v>
      </c>
      <c r="D3221" s="9">
        <f>YEAR(Tabla1[[#This Row],[Date]])</f>
        <v>1983</v>
      </c>
      <c r="E3221" s="9" t="str" cm="1">
        <f t="array" ref="E3221">IFERROR(_xlfn.IFS(AND(D3221&lt;1980,D3221&gt;=1970),"70",AND(D3221&lt;1990,D3221&gt;=1980),"80",AND(D3221&lt;2000,D3221&gt;=1990),"90",AND(D3221&lt;2010,D3221&gt;=2000),"00",AND(D3221&lt;=2019,D3221&gt;=2010),"10"),"1908-1970")</f>
        <v>80</v>
      </c>
      <c r="F3221" s="3" t="s">
        <v>28931</v>
      </c>
      <c r="G3221" t="s">
        <v>19397</v>
      </c>
      <c r="H3221" t="s">
        <v>19398</v>
      </c>
      <c r="I3221" t="s">
        <v>28931</v>
      </c>
      <c r="J3221" t="s">
        <v>28931</v>
      </c>
      <c r="K3221" t="s">
        <v>16680</v>
      </c>
      <c r="L3221" s="7" t="s">
        <v>19399</v>
      </c>
      <c r="M3221">
        <v>394</v>
      </c>
      <c r="N3221">
        <v>7</v>
      </c>
      <c r="O3221">
        <v>5</v>
      </c>
      <c r="P3221">
        <v>2</v>
      </c>
      <c r="Q3221">
        <v>7</v>
      </c>
      <c r="R3221">
        <v>5</v>
      </c>
      <c r="S3221">
        <v>2</v>
      </c>
      <c r="T3221">
        <v>0</v>
      </c>
      <c r="U3221" t="s">
        <v>5599</v>
      </c>
      <c r="V3221">
        <f>Tabla1[[#This Row],[Aboard]]-Tabla1[[#This Row],[Fatalities]]</f>
        <v>0</v>
      </c>
      <c r="W3221" s="50">
        <f>IFERROR(Tabla1[[#This Row],[Fatalities]]/Tabla1[[#This Row],[Aboard]],0)</f>
        <v>1</v>
      </c>
      <c r="X3221" s="51" t="str" cm="1">
        <f t="array" ref="X3221">_xlfn.IFS(Tabla1[[#This Row],[Porcentaje de muertes]]&lt;0.35,"LEVE",AND(Tabla1[[#This Row],[Porcentaje de muertes]]&gt;0.35,Tabla1[[#This Row],[Porcentaje de muertes]]&lt;0.65),"MEDIO",Tabla1[[#This Row],[Porcentaje de muertes]]&gt;0.65,"GRAVE")</f>
        <v>GRAVE</v>
      </c>
    </row>
    <row r="3222" spans="2:24" x14ac:dyDescent="0.3">
      <c r="B3222" s="9">
        <v>3221</v>
      </c>
      <c r="C3222" s="49">
        <v>30495</v>
      </c>
      <c r="D3222" s="9">
        <f>YEAR(Tabla1[[#This Row],[Date]])</f>
        <v>1983</v>
      </c>
      <c r="E3222" s="9" t="str" cm="1">
        <f t="array" ref="E3222">IFERROR(_xlfn.IFS(AND(D3222&lt;1980,D3222&gt;=1970),"70",AND(D3222&lt;1990,D3222&gt;=1980),"80",AND(D3222&lt;2000,D3222&gt;=1990),"90",AND(D3222&lt;2010,D3222&gt;=2000),"00",AND(D3222&lt;=2019,D3222&gt;=2010),"10"),"1908-1970")</f>
        <v>80</v>
      </c>
      <c r="F3222" s="3">
        <v>0.50694444444444442</v>
      </c>
      <c r="G3222" t="s">
        <v>14225</v>
      </c>
      <c r="H3222" t="s">
        <v>7987</v>
      </c>
      <c r="I3222" t="s">
        <v>28931</v>
      </c>
      <c r="J3222" t="s">
        <v>6190</v>
      </c>
      <c r="K3222" t="s">
        <v>18896</v>
      </c>
      <c r="L3222" s="7" t="s">
        <v>19400</v>
      </c>
      <c r="M3222">
        <v>4694</v>
      </c>
      <c r="N3222">
        <v>6</v>
      </c>
      <c r="O3222">
        <v>1</v>
      </c>
      <c r="P3222">
        <v>5</v>
      </c>
      <c r="Q3222">
        <v>6</v>
      </c>
      <c r="R3222">
        <v>1</v>
      </c>
      <c r="S3222">
        <v>5</v>
      </c>
      <c r="T3222">
        <v>0</v>
      </c>
      <c r="U3222" t="s">
        <v>19401</v>
      </c>
      <c r="V3222">
        <f>Tabla1[[#This Row],[Aboard]]-Tabla1[[#This Row],[Fatalities]]</f>
        <v>0</v>
      </c>
      <c r="W3222" s="50">
        <f>IFERROR(Tabla1[[#This Row],[Fatalities]]/Tabla1[[#This Row],[Aboard]],0)</f>
        <v>1</v>
      </c>
      <c r="X3222" s="51" t="str" cm="1">
        <f t="array" ref="X3222">_xlfn.IFS(Tabla1[[#This Row],[Porcentaje de muertes]]&lt;0.35,"LEVE",AND(Tabla1[[#This Row],[Porcentaje de muertes]]&gt;0.35,Tabla1[[#This Row],[Porcentaje de muertes]]&lt;0.65),"MEDIO",Tabla1[[#This Row],[Porcentaje de muertes]]&gt;0.65,"GRAVE")</f>
        <v>GRAVE</v>
      </c>
    </row>
    <row r="3223" spans="2:24" x14ac:dyDescent="0.3">
      <c r="B3223" s="9">
        <v>3222</v>
      </c>
      <c r="C3223" s="49">
        <v>30323</v>
      </c>
      <c r="D3223" s="9">
        <f>YEAR(Tabla1[[#This Row],[Date]])</f>
        <v>1983</v>
      </c>
      <c r="E3223" s="9" t="str" cm="1">
        <f t="array" ref="E3223">IFERROR(_xlfn.IFS(AND(D3223&lt;1980,D3223&gt;=1970),"70",AND(D3223&lt;1990,D3223&gt;=1980),"80",AND(D3223&lt;2000,D3223&gt;=1990),"90",AND(D3223&lt;2010,D3223&gt;=2000),"00",AND(D3223&lt;=2019,D3223&gt;=2010),"10"),"1908-1970")</f>
        <v>80</v>
      </c>
      <c r="F3223" s="3" t="s">
        <v>28931</v>
      </c>
      <c r="G3223" t="s">
        <v>19402</v>
      </c>
      <c r="H3223" t="s">
        <v>19403</v>
      </c>
      <c r="I3223" t="s">
        <v>28931</v>
      </c>
      <c r="J3223" t="s">
        <v>19404</v>
      </c>
      <c r="K3223" t="s">
        <v>17879</v>
      </c>
      <c r="L3223" s="7" t="s">
        <v>19405</v>
      </c>
      <c r="M3223">
        <v>21391</v>
      </c>
      <c r="N3223">
        <v>23</v>
      </c>
      <c r="O3223" t="s">
        <v>5038</v>
      </c>
      <c r="P3223" t="s">
        <v>5038</v>
      </c>
      <c r="Q3223">
        <v>23</v>
      </c>
      <c r="R3223" t="s">
        <v>5038</v>
      </c>
      <c r="S3223" t="s">
        <v>5038</v>
      </c>
      <c r="T3223">
        <v>0</v>
      </c>
      <c r="U3223" t="s">
        <v>19406</v>
      </c>
      <c r="V3223">
        <f>Tabla1[[#This Row],[Aboard]]-Tabla1[[#This Row],[Fatalities]]</f>
        <v>0</v>
      </c>
      <c r="W3223" s="50">
        <f>IFERROR(Tabla1[[#This Row],[Fatalities]]/Tabla1[[#This Row],[Aboard]],0)</f>
        <v>1</v>
      </c>
      <c r="X3223" s="51" t="str" cm="1">
        <f t="array" ref="X3223">_xlfn.IFS(Tabla1[[#This Row],[Porcentaje de muertes]]&lt;0.35,"LEVE",AND(Tabla1[[#This Row],[Porcentaje de muertes]]&gt;0.35,Tabla1[[#This Row],[Porcentaje de muertes]]&lt;0.65),"MEDIO",Tabla1[[#This Row],[Porcentaje de muertes]]&gt;0.65,"GRAVE")</f>
        <v>GRAVE</v>
      </c>
    </row>
    <row r="3224" spans="2:24" x14ac:dyDescent="0.3">
      <c r="B3224" s="9">
        <v>3223</v>
      </c>
      <c r="C3224" s="49">
        <v>30627</v>
      </c>
      <c r="D3224" s="9">
        <f>YEAR(Tabla1[[#This Row],[Date]])</f>
        <v>1983</v>
      </c>
      <c r="E3224" s="9" t="str" cm="1">
        <f t="array" ref="E3224">IFERROR(_xlfn.IFS(AND(D3224&lt;1980,D3224&gt;=1970),"70",AND(D3224&lt;1990,D3224&gt;=1980),"80",AND(D3224&lt;2000,D3224&gt;=1990),"90",AND(D3224&lt;2010,D3224&gt;=2000),"00",AND(D3224&lt;=2019,D3224&gt;=2010),"10"),"1908-1970")</f>
        <v>80</v>
      </c>
      <c r="F3224" s="3">
        <v>0.31944444444444448</v>
      </c>
      <c r="G3224" t="s">
        <v>19407</v>
      </c>
      <c r="H3224" t="s">
        <v>17526</v>
      </c>
      <c r="I3224" t="s">
        <v>28931</v>
      </c>
      <c r="J3224" t="s">
        <v>17654</v>
      </c>
      <c r="K3224" t="s">
        <v>19408</v>
      </c>
      <c r="L3224" s="7" t="s">
        <v>19409</v>
      </c>
      <c r="M3224" t="s">
        <v>19410</v>
      </c>
      <c r="N3224">
        <v>119</v>
      </c>
      <c r="O3224">
        <v>111</v>
      </c>
      <c r="P3224">
        <v>8</v>
      </c>
      <c r="Q3224">
        <v>119</v>
      </c>
      <c r="R3224">
        <v>111</v>
      </c>
      <c r="S3224">
        <v>8</v>
      </c>
      <c r="T3224">
        <v>0</v>
      </c>
      <c r="U3224" t="s">
        <v>19411</v>
      </c>
      <c r="V3224">
        <f>Tabla1[[#This Row],[Aboard]]-Tabla1[[#This Row],[Fatalities]]</f>
        <v>0</v>
      </c>
      <c r="W3224" s="50">
        <f>IFERROR(Tabla1[[#This Row],[Fatalities]]/Tabla1[[#This Row],[Aboard]],0)</f>
        <v>1</v>
      </c>
      <c r="X3224" s="51" t="str" cm="1">
        <f t="array" ref="X3224">_xlfn.IFS(Tabla1[[#This Row],[Porcentaje de muertes]]&lt;0.35,"LEVE",AND(Tabla1[[#This Row],[Porcentaje de muertes]]&gt;0.35,Tabla1[[#This Row],[Porcentaje de muertes]]&lt;0.65),"MEDIO",Tabla1[[#This Row],[Porcentaje de muertes]]&gt;0.65,"GRAVE")</f>
        <v>GRAVE</v>
      </c>
    </row>
    <row r="3225" spans="2:24" x14ac:dyDescent="0.3">
      <c r="B3225" s="9">
        <v>3224</v>
      </c>
      <c r="C3225" s="49">
        <v>30513</v>
      </c>
      <c r="D3225" s="9">
        <f>YEAR(Tabla1[[#This Row],[Date]])</f>
        <v>1983</v>
      </c>
      <c r="E3225" s="9" t="str" cm="1">
        <f t="array" ref="E3225">IFERROR(_xlfn.IFS(AND(D3225&lt;1980,D3225&gt;=1970),"70",AND(D3225&lt;1990,D3225&gt;=1980),"80",AND(D3225&lt;2000,D3225&gt;=1990),"90",AND(D3225&lt;2010,D3225&gt;=2000),"00",AND(D3225&lt;=2019,D3225&gt;=2010),"10"),"1908-1970")</f>
        <v>80</v>
      </c>
      <c r="F3225" s="3" t="s">
        <v>28931</v>
      </c>
      <c r="G3225" t="s">
        <v>19412</v>
      </c>
      <c r="H3225" t="s">
        <v>19413</v>
      </c>
      <c r="I3225" t="s">
        <v>28931</v>
      </c>
      <c r="J3225" t="s">
        <v>19414</v>
      </c>
      <c r="K3225" t="s">
        <v>19415</v>
      </c>
      <c r="L3225" s="7" t="s">
        <v>19416</v>
      </c>
      <c r="M3225" t="s">
        <v>19417</v>
      </c>
      <c r="N3225">
        <v>26</v>
      </c>
      <c r="O3225">
        <v>23</v>
      </c>
      <c r="P3225">
        <v>3</v>
      </c>
      <c r="Q3225">
        <v>20</v>
      </c>
      <c r="R3225">
        <v>19</v>
      </c>
      <c r="S3225">
        <v>1</v>
      </c>
      <c r="T3225">
        <v>0</v>
      </c>
      <c r="U3225" t="s">
        <v>19418</v>
      </c>
      <c r="V3225">
        <f>Tabla1[[#This Row],[Aboard]]-Tabla1[[#This Row],[Fatalities]]</f>
        <v>6</v>
      </c>
      <c r="W3225" s="50">
        <f>IFERROR(Tabla1[[#This Row],[Fatalities]]/Tabla1[[#This Row],[Aboard]],0)</f>
        <v>0.76923076923076927</v>
      </c>
      <c r="X3225" s="51" t="str" cm="1">
        <f t="array" ref="X3225">_xlfn.IFS(Tabla1[[#This Row],[Porcentaje de muertes]]&lt;0.35,"LEVE",AND(Tabla1[[#This Row],[Porcentaje de muertes]]&gt;0.35,Tabla1[[#This Row],[Porcentaje de muertes]]&lt;0.65),"MEDIO",Tabla1[[#This Row],[Porcentaje de muertes]]&gt;0.65,"GRAVE")</f>
        <v>GRAVE</v>
      </c>
    </row>
    <row r="3226" spans="2:24" x14ac:dyDescent="0.3">
      <c r="B3226" s="9">
        <v>3225</v>
      </c>
      <c r="C3226" s="49">
        <v>30520</v>
      </c>
      <c r="D3226" s="9">
        <f>YEAR(Tabla1[[#This Row],[Date]])</f>
        <v>1983</v>
      </c>
      <c r="E3226" s="9" t="str" cm="1">
        <f t="array" ref="E3226">IFERROR(_xlfn.IFS(AND(D3226&lt;1980,D3226&gt;=1970),"70",AND(D3226&lt;1990,D3226&gt;=1980),"80",AND(D3226&lt;2000,D3226&gt;=1990),"90",AND(D3226&lt;2010,D3226&gt;=2000),"00",AND(D3226&lt;=2019,D3226&gt;=2010),"10"),"1908-1970")</f>
        <v>80</v>
      </c>
      <c r="F3226" s="3">
        <v>0.8125</v>
      </c>
      <c r="G3226" t="s">
        <v>19419</v>
      </c>
      <c r="H3226" t="s">
        <v>14947</v>
      </c>
      <c r="I3226">
        <v>143</v>
      </c>
      <c r="J3226" t="s">
        <v>19420</v>
      </c>
      <c r="K3226" t="s">
        <v>19421</v>
      </c>
      <c r="L3226" s="7" t="s">
        <v>19422</v>
      </c>
      <c r="M3226" t="s">
        <v>19423</v>
      </c>
      <c r="N3226">
        <v>69</v>
      </c>
      <c r="O3226">
        <v>61</v>
      </c>
      <c r="P3226">
        <v>8</v>
      </c>
      <c r="Q3226">
        <v>0</v>
      </c>
      <c r="R3226">
        <v>0</v>
      </c>
      <c r="S3226">
        <v>0</v>
      </c>
      <c r="T3226">
        <v>0</v>
      </c>
      <c r="U3226" t="s">
        <v>19424</v>
      </c>
      <c r="V3226">
        <f>Tabla1[[#This Row],[Aboard]]-Tabla1[[#This Row],[Fatalities]]</f>
        <v>69</v>
      </c>
      <c r="W3226" s="50">
        <f>IFERROR(Tabla1[[#This Row],[Fatalities]]/Tabla1[[#This Row],[Aboard]],0)</f>
        <v>0</v>
      </c>
      <c r="X3226" s="51" t="str" cm="1">
        <f t="array" ref="X3226">_xlfn.IFS(Tabla1[[#This Row],[Porcentaje de muertes]]&lt;0.35,"LEVE",AND(Tabla1[[#This Row],[Porcentaje de muertes]]&gt;0.35,Tabla1[[#This Row],[Porcentaje de muertes]]&lt;0.65),"MEDIO",Tabla1[[#This Row],[Porcentaje de muertes]]&gt;0.65,"GRAVE")</f>
        <v>LEVE</v>
      </c>
    </row>
    <row r="3227" spans="2:24" x14ac:dyDescent="0.3">
      <c r="B3227" s="9">
        <v>3226</v>
      </c>
      <c r="C3227" s="49">
        <v>30545</v>
      </c>
      <c r="D3227" s="9">
        <f>YEAR(Tabla1[[#This Row],[Date]])</f>
        <v>1983</v>
      </c>
      <c r="E3227" s="9" t="str" cm="1">
        <f t="array" ref="E3227">IFERROR(_xlfn.IFS(AND(D3227&lt;1980,D3227&gt;=1970),"70",AND(D3227&lt;1990,D3227&gt;=1980),"80",AND(D3227&lt;2000,D3227&gt;=1990),"90",AND(D3227&lt;2010,D3227&gt;=2000),"00",AND(D3227&lt;=2019,D3227&gt;=2010),"10"),"1908-1970")</f>
        <v>80</v>
      </c>
      <c r="F3227" s="3">
        <v>0.51874999999999993</v>
      </c>
      <c r="G3227" t="s">
        <v>11807</v>
      </c>
      <c r="H3227" t="s">
        <v>18182</v>
      </c>
      <c r="I3227" t="s">
        <v>28931</v>
      </c>
      <c r="J3227" t="s">
        <v>19425</v>
      </c>
      <c r="K3227" t="s">
        <v>18184</v>
      </c>
      <c r="L3227" s="7" t="s">
        <v>19426</v>
      </c>
      <c r="M3227" t="s">
        <v>19427</v>
      </c>
      <c r="N3227">
        <v>10</v>
      </c>
      <c r="O3227">
        <v>9</v>
      </c>
      <c r="P3227">
        <v>1</v>
      </c>
      <c r="Q3227">
        <v>10</v>
      </c>
      <c r="R3227">
        <v>9</v>
      </c>
      <c r="S3227">
        <v>1</v>
      </c>
      <c r="T3227">
        <v>0</v>
      </c>
      <c r="U3227" t="s">
        <v>19428</v>
      </c>
      <c r="V3227">
        <f>Tabla1[[#This Row],[Aboard]]-Tabla1[[#This Row],[Fatalities]]</f>
        <v>0</v>
      </c>
      <c r="W3227" s="50">
        <f>IFERROR(Tabla1[[#This Row],[Fatalities]]/Tabla1[[#This Row],[Aboard]],0)</f>
        <v>1</v>
      </c>
      <c r="X3227" s="51" t="str" cm="1">
        <f t="array" ref="X3227">_xlfn.IFS(Tabla1[[#This Row],[Porcentaje de muertes]]&lt;0.35,"LEVE",AND(Tabla1[[#This Row],[Porcentaje de muertes]]&gt;0.35,Tabla1[[#This Row],[Porcentaje de muertes]]&lt;0.65),"MEDIO",Tabla1[[#This Row],[Porcentaje de muertes]]&gt;0.65,"GRAVE")</f>
        <v>GRAVE</v>
      </c>
    </row>
    <row r="3228" spans="2:24" x14ac:dyDescent="0.3">
      <c r="B3228" s="9">
        <v>3227</v>
      </c>
      <c r="C3228" s="49">
        <v>30558</v>
      </c>
      <c r="D3228" s="9">
        <f>YEAR(Tabla1[[#This Row],[Date]])</f>
        <v>1983</v>
      </c>
      <c r="E3228" s="9" t="str" cm="1">
        <f t="array" ref="E3228">IFERROR(_xlfn.IFS(AND(D3228&lt;1980,D3228&gt;=1970),"70",AND(D3228&lt;1990,D3228&gt;=1980),"80",AND(D3228&lt;2000,D3228&gt;=1990),"90",AND(D3228&lt;2010,D3228&gt;=2000),"00",AND(D3228&lt;=2019,D3228&gt;=2010),"10"),"1908-1970")</f>
        <v>80</v>
      </c>
      <c r="F3228" s="3">
        <v>0.97013888888888899</v>
      </c>
      <c r="G3228" t="s">
        <v>19429</v>
      </c>
      <c r="H3228" t="s">
        <v>6541</v>
      </c>
      <c r="I3228">
        <v>5463</v>
      </c>
      <c r="J3228" t="s">
        <v>19430</v>
      </c>
      <c r="K3228" t="s">
        <v>16145</v>
      </c>
      <c r="L3228" s="7" t="s">
        <v>19431</v>
      </c>
      <c r="M3228">
        <v>60630</v>
      </c>
      <c r="N3228">
        <v>90</v>
      </c>
      <c r="O3228">
        <v>84</v>
      </c>
      <c r="P3228">
        <v>6</v>
      </c>
      <c r="Q3228">
        <v>90</v>
      </c>
      <c r="R3228">
        <v>84</v>
      </c>
      <c r="S3228">
        <v>6</v>
      </c>
      <c r="T3228">
        <v>0</v>
      </c>
      <c r="U3228" t="s">
        <v>19432</v>
      </c>
      <c r="V3228">
        <f>Tabla1[[#This Row],[Aboard]]-Tabla1[[#This Row],[Fatalities]]</f>
        <v>0</v>
      </c>
      <c r="W3228" s="50">
        <f>IFERROR(Tabla1[[#This Row],[Fatalities]]/Tabla1[[#This Row],[Aboard]],0)</f>
        <v>1</v>
      </c>
      <c r="X3228" s="51" t="str" cm="1">
        <f t="array" ref="X3228">_xlfn.IFS(Tabla1[[#This Row],[Porcentaje de muertes]]&lt;0.35,"LEVE",AND(Tabla1[[#This Row],[Porcentaje de muertes]]&gt;0.35,Tabla1[[#This Row],[Porcentaje de muertes]]&lt;0.65),"MEDIO",Tabla1[[#This Row],[Porcentaje de muertes]]&gt;0.65,"GRAVE")</f>
        <v>GRAVE</v>
      </c>
    </row>
    <row r="3229" spans="2:24" x14ac:dyDescent="0.3">
      <c r="B3229" s="9">
        <v>3228</v>
      </c>
      <c r="C3229" s="49">
        <v>30325</v>
      </c>
      <c r="D3229" s="9">
        <f>YEAR(Tabla1[[#This Row],[Date]])</f>
        <v>1983</v>
      </c>
      <c r="E3229" s="9" t="str" cm="1">
        <f t="array" ref="E3229">IFERROR(_xlfn.IFS(AND(D3229&lt;1980,D3229&gt;=1970),"70",AND(D3229&lt;1990,D3229&gt;=1980),"80",AND(D3229&lt;2000,D3229&gt;=1990),"90",AND(D3229&lt;2010,D3229&gt;=2000),"00",AND(D3229&lt;=2019,D3229&gt;=2010),"10"),"1908-1970")</f>
        <v>80</v>
      </c>
      <c r="F3229" s="3">
        <v>0.7680555555555556</v>
      </c>
      <c r="G3229" t="s">
        <v>19433</v>
      </c>
      <c r="H3229" t="s">
        <v>16097</v>
      </c>
      <c r="I3229">
        <v>7</v>
      </c>
      <c r="J3229" t="s">
        <v>19434</v>
      </c>
      <c r="K3229" t="s">
        <v>19435</v>
      </c>
      <c r="L3229" s="7" t="s">
        <v>19436</v>
      </c>
      <c r="M3229" t="s">
        <v>19437</v>
      </c>
      <c r="N3229">
        <v>269</v>
      </c>
      <c r="O3229">
        <v>246</v>
      </c>
      <c r="P3229">
        <v>23</v>
      </c>
      <c r="Q3229">
        <v>269</v>
      </c>
      <c r="R3229">
        <v>246</v>
      </c>
      <c r="S3229">
        <v>23</v>
      </c>
      <c r="T3229">
        <v>0</v>
      </c>
      <c r="U3229" t="s">
        <v>19438</v>
      </c>
      <c r="V3229">
        <f>Tabla1[[#This Row],[Aboard]]-Tabla1[[#This Row],[Fatalities]]</f>
        <v>0</v>
      </c>
      <c r="W3229" s="50">
        <f>IFERROR(Tabla1[[#This Row],[Fatalities]]/Tabla1[[#This Row],[Aboard]],0)</f>
        <v>1</v>
      </c>
      <c r="X3229" s="51" t="str" cm="1">
        <f t="array" ref="X3229">_xlfn.IFS(Tabla1[[#This Row],[Porcentaje de muertes]]&lt;0.35,"LEVE",AND(Tabla1[[#This Row],[Porcentaje de muertes]]&gt;0.35,Tabla1[[#This Row],[Porcentaje de muertes]]&lt;0.65),"MEDIO",Tabla1[[#This Row],[Porcentaje de muertes]]&gt;0.65,"GRAVE")</f>
        <v>GRAVE</v>
      </c>
    </row>
    <row r="3230" spans="2:24" x14ac:dyDescent="0.3">
      <c r="B3230" s="9">
        <v>3229</v>
      </c>
      <c r="C3230" s="49">
        <v>30356</v>
      </c>
      <c r="D3230" s="9">
        <f>YEAR(Tabla1[[#This Row],[Date]])</f>
        <v>1983</v>
      </c>
      <c r="E3230" s="9" t="str" cm="1">
        <f t="array" ref="E3230">IFERROR(_xlfn.IFS(AND(D3230&lt;1980,D3230&gt;=1970),"70",AND(D3230&lt;1990,D3230&gt;=1980),"80",AND(D3230&lt;2000,D3230&gt;=1990),"90",AND(D3230&lt;2010,D3230&gt;=2000),"00",AND(D3230&lt;=2019,D3230&gt;=2010),"10"),"1908-1970")</f>
        <v>80</v>
      </c>
      <c r="F3230" s="3" t="s">
        <v>28931</v>
      </c>
      <c r="G3230" t="s">
        <v>19439</v>
      </c>
      <c r="H3230" t="s">
        <v>19440</v>
      </c>
      <c r="I3230" t="s">
        <v>28931</v>
      </c>
      <c r="J3230" t="s">
        <v>19441</v>
      </c>
      <c r="K3230" t="s">
        <v>17519</v>
      </c>
      <c r="L3230" s="7" t="s">
        <v>19442</v>
      </c>
      <c r="M3230">
        <v>274</v>
      </c>
      <c r="N3230">
        <v>9</v>
      </c>
      <c r="O3230" t="s">
        <v>5038</v>
      </c>
      <c r="P3230" t="s">
        <v>5038</v>
      </c>
      <c r="Q3230">
        <v>9</v>
      </c>
      <c r="R3230" t="s">
        <v>5038</v>
      </c>
      <c r="S3230" t="s">
        <v>5038</v>
      </c>
      <c r="T3230">
        <v>0</v>
      </c>
      <c r="U3230" t="s">
        <v>19443</v>
      </c>
      <c r="V3230">
        <f>Tabla1[[#This Row],[Aboard]]-Tabla1[[#This Row],[Fatalities]]</f>
        <v>0</v>
      </c>
      <c r="W3230" s="50">
        <f>IFERROR(Tabla1[[#This Row],[Fatalities]]/Tabla1[[#This Row],[Aboard]],0)</f>
        <v>1</v>
      </c>
      <c r="X3230" s="51" t="str" cm="1">
        <f t="array" ref="X3230">_xlfn.IFS(Tabla1[[#This Row],[Porcentaje de muertes]]&lt;0.35,"LEVE",AND(Tabla1[[#This Row],[Porcentaje de muertes]]&gt;0.35,Tabla1[[#This Row],[Porcentaje de muertes]]&lt;0.65),"MEDIO",Tabla1[[#This Row],[Porcentaje de muertes]]&gt;0.65,"GRAVE")</f>
        <v>GRAVE</v>
      </c>
    </row>
    <row r="3231" spans="2:24" x14ac:dyDescent="0.3">
      <c r="B3231" s="9">
        <v>3230</v>
      </c>
      <c r="C3231" s="49">
        <v>30573</v>
      </c>
      <c r="D3231" s="9">
        <f>YEAR(Tabla1[[#This Row],[Date]])</f>
        <v>1983</v>
      </c>
      <c r="E3231" s="9" t="str" cm="1">
        <f t="array" ref="E3231">IFERROR(_xlfn.IFS(AND(D3231&lt;1980,D3231&gt;=1970),"70",AND(D3231&lt;1990,D3231&gt;=1980),"80",AND(D3231&lt;2000,D3231&gt;=1990),"90",AND(D3231&lt;2010,D3231&gt;=2000),"00",AND(D3231&lt;=2019,D3231&gt;=2010),"10"),"1908-1970")</f>
        <v>80</v>
      </c>
      <c r="F3231" s="3">
        <v>0.39861111111111108</v>
      </c>
      <c r="G3231" t="s">
        <v>19444</v>
      </c>
      <c r="H3231" t="s">
        <v>17531</v>
      </c>
      <c r="I3231" t="s">
        <v>28931</v>
      </c>
      <c r="J3231" t="s">
        <v>19445</v>
      </c>
      <c r="K3231" t="s">
        <v>28955</v>
      </c>
      <c r="L3231" s="7" t="s">
        <v>19446</v>
      </c>
      <c r="M3231" t="s">
        <v>19447</v>
      </c>
      <c r="N3231">
        <v>106</v>
      </c>
      <c r="O3231">
        <v>100</v>
      </c>
      <c r="P3231">
        <v>6</v>
      </c>
      <c r="Q3231">
        <v>11</v>
      </c>
      <c r="R3231">
        <v>11</v>
      </c>
      <c r="S3231">
        <v>0</v>
      </c>
      <c r="T3231">
        <v>0</v>
      </c>
      <c r="U3231" t="s">
        <v>19448</v>
      </c>
      <c r="V3231">
        <f>Tabla1[[#This Row],[Aboard]]-Tabla1[[#This Row],[Fatalities]]</f>
        <v>95</v>
      </c>
      <c r="W3231" s="50">
        <f>IFERROR(Tabla1[[#This Row],[Fatalities]]/Tabla1[[#This Row],[Aboard]],0)</f>
        <v>0.10377358490566038</v>
      </c>
      <c r="X3231" s="51" t="str" cm="1">
        <f t="array" ref="X3231">_xlfn.IFS(Tabla1[[#This Row],[Porcentaje de muertes]]&lt;0.35,"LEVE",AND(Tabla1[[#This Row],[Porcentaje de muertes]]&gt;0.35,Tabla1[[#This Row],[Porcentaje de muertes]]&lt;0.65),"MEDIO",Tabla1[[#This Row],[Porcentaje de muertes]]&gt;0.65,"GRAVE")</f>
        <v>LEVE</v>
      </c>
    </row>
    <row r="3232" spans="2:24" x14ac:dyDescent="0.3">
      <c r="B3232" s="9">
        <v>3231</v>
      </c>
      <c r="C3232" s="49">
        <v>30582</v>
      </c>
      <c r="D3232" s="9">
        <f>YEAR(Tabla1[[#This Row],[Date]])</f>
        <v>1983</v>
      </c>
      <c r="E3232" s="9" t="str" cm="1">
        <f t="array" ref="E3232">IFERROR(_xlfn.IFS(AND(D3232&lt;1980,D3232&gt;=1970),"70",AND(D3232&lt;1990,D3232&gt;=1980),"80",AND(D3232&lt;2000,D3232&gt;=1990),"90",AND(D3232&lt;2010,D3232&gt;=2000),"00",AND(D3232&lt;=2019,D3232&gt;=2010),"10"),"1908-1970")</f>
        <v>80</v>
      </c>
      <c r="F3232" s="3">
        <v>0.64583333333333337</v>
      </c>
      <c r="G3232" t="s">
        <v>19449</v>
      </c>
      <c r="H3232" t="s">
        <v>19450</v>
      </c>
      <c r="I3232">
        <v>771</v>
      </c>
      <c r="J3232" t="s">
        <v>19451</v>
      </c>
      <c r="K3232" t="s">
        <v>19452</v>
      </c>
      <c r="L3232" s="7" t="s">
        <v>19453</v>
      </c>
      <c r="M3232" t="s">
        <v>19454</v>
      </c>
      <c r="N3232">
        <v>112</v>
      </c>
      <c r="O3232">
        <v>107</v>
      </c>
      <c r="P3232">
        <v>5</v>
      </c>
      <c r="Q3232">
        <v>112</v>
      </c>
      <c r="R3232">
        <v>107</v>
      </c>
      <c r="S3232">
        <v>5</v>
      </c>
      <c r="T3232">
        <v>0</v>
      </c>
      <c r="U3232" t="s">
        <v>19455</v>
      </c>
      <c r="V3232">
        <f>Tabla1[[#This Row],[Aboard]]-Tabla1[[#This Row],[Fatalities]]</f>
        <v>0</v>
      </c>
      <c r="W3232" s="50">
        <f>IFERROR(Tabla1[[#This Row],[Fatalities]]/Tabla1[[#This Row],[Aboard]],0)</f>
        <v>1</v>
      </c>
      <c r="X3232" s="51" t="str" cm="1">
        <f t="array" ref="X3232">_xlfn.IFS(Tabla1[[#This Row],[Porcentaje de muertes]]&lt;0.35,"LEVE",AND(Tabla1[[#This Row],[Porcentaje de muertes]]&gt;0.35,Tabla1[[#This Row],[Porcentaje de muertes]]&lt;0.65),"MEDIO",Tabla1[[#This Row],[Porcentaje de muertes]]&gt;0.65,"GRAVE")</f>
        <v>GRAVE</v>
      </c>
    </row>
    <row r="3233" spans="2:24" x14ac:dyDescent="0.3">
      <c r="B3233" s="9">
        <v>3232</v>
      </c>
      <c r="C3233" s="49">
        <v>30587</v>
      </c>
      <c r="D3233" s="9">
        <f>YEAR(Tabla1[[#This Row],[Date]])</f>
        <v>1983</v>
      </c>
      <c r="E3233" s="9" t="str" cm="1">
        <f t="array" ref="E3233">IFERROR(_xlfn.IFS(AND(D3233&lt;1980,D3233&gt;=1970),"70",AND(D3233&lt;1990,D3233&gt;=1980),"80",AND(D3233&lt;2000,D3233&gt;=1990),"90",AND(D3233&lt;2010,D3233&gt;=2000),"00",AND(D3233&lt;=2019,D3233&gt;=2010),"10"),"1908-1970")</f>
        <v>80</v>
      </c>
      <c r="F3233" s="3" t="s">
        <v>28931</v>
      </c>
      <c r="G3233" t="s">
        <v>19456</v>
      </c>
      <c r="H3233" t="s">
        <v>19457</v>
      </c>
      <c r="I3233" t="s">
        <v>28931</v>
      </c>
      <c r="J3233" t="s">
        <v>19458</v>
      </c>
      <c r="K3233" t="s">
        <v>19459</v>
      </c>
      <c r="L3233" s="7" t="s">
        <v>19460</v>
      </c>
      <c r="M3233">
        <v>518</v>
      </c>
      <c r="N3233">
        <v>10</v>
      </c>
      <c r="O3233">
        <v>9</v>
      </c>
      <c r="P3233">
        <v>1</v>
      </c>
      <c r="Q3233">
        <v>10</v>
      </c>
      <c r="R3233">
        <v>9</v>
      </c>
      <c r="S3233">
        <v>1</v>
      </c>
      <c r="T3233">
        <v>0</v>
      </c>
      <c r="U3233" t="s">
        <v>6004</v>
      </c>
      <c r="V3233">
        <f>Tabla1[[#This Row],[Aboard]]-Tabla1[[#This Row],[Fatalities]]</f>
        <v>0</v>
      </c>
      <c r="W3233" s="50">
        <f>IFERROR(Tabla1[[#This Row],[Fatalities]]/Tabla1[[#This Row],[Aboard]],0)</f>
        <v>1</v>
      </c>
      <c r="X3233" s="51" t="str" cm="1">
        <f t="array" ref="X3233">_xlfn.IFS(Tabla1[[#This Row],[Porcentaje de muertes]]&lt;0.35,"LEVE",AND(Tabla1[[#This Row],[Porcentaje de muertes]]&gt;0.35,Tabla1[[#This Row],[Porcentaje de muertes]]&lt;0.65),"MEDIO",Tabla1[[#This Row],[Porcentaje de muertes]]&gt;0.65,"GRAVE")</f>
        <v>GRAVE</v>
      </c>
    </row>
    <row r="3234" spans="2:24" x14ac:dyDescent="0.3">
      <c r="B3234" s="9">
        <v>3233</v>
      </c>
      <c r="C3234" s="49">
        <v>30507</v>
      </c>
      <c r="D3234" s="9">
        <f>YEAR(Tabla1[[#This Row],[Date]])</f>
        <v>1983</v>
      </c>
      <c r="E3234" s="9" t="str" cm="1">
        <f t="array" ref="E3234">IFERROR(_xlfn.IFS(AND(D3234&lt;1980,D3234&gt;=1970),"70",AND(D3234&lt;1990,D3234&gt;=1980),"80",AND(D3234&lt;2000,D3234&gt;=1990),"90",AND(D3234&lt;2010,D3234&gt;=2000),"00",AND(D3234&lt;=2019,D3234&gt;=2010),"10"),"1908-1970")</f>
        <v>80</v>
      </c>
      <c r="F3234" s="3" t="s">
        <v>28931</v>
      </c>
      <c r="G3234" t="s">
        <v>19461</v>
      </c>
      <c r="H3234" t="s">
        <v>18326</v>
      </c>
      <c r="I3234" t="s">
        <v>28931</v>
      </c>
      <c r="J3234" t="s">
        <v>19462</v>
      </c>
      <c r="K3234" t="s">
        <v>17332</v>
      </c>
      <c r="L3234" s="7" t="s">
        <v>19463</v>
      </c>
      <c r="M3234">
        <v>110026</v>
      </c>
      <c r="N3234">
        <v>15</v>
      </c>
      <c r="O3234">
        <v>13</v>
      </c>
      <c r="P3234">
        <v>2</v>
      </c>
      <c r="Q3234">
        <v>7</v>
      </c>
      <c r="R3234">
        <v>5</v>
      </c>
      <c r="S3234">
        <v>2</v>
      </c>
      <c r="T3234">
        <v>0</v>
      </c>
      <c r="U3234" t="s">
        <v>19464</v>
      </c>
      <c r="V3234">
        <f>Tabla1[[#This Row],[Aboard]]-Tabla1[[#This Row],[Fatalities]]</f>
        <v>8</v>
      </c>
      <c r="W3234" s="50">
        <f>IFERROR(Tabla1[[#This Row],[Fatalities]]/Tabla1[[#This Row],[Aboard]],0)</f>
        <v>0.46666666666666667</v>
      </c>
      <c r="X3234" s="51" t="str" cm="1">
        <f t="array" ref="X3234">_xlfn.IFS(Tabla1[[#This Row],[Porcentaje de muertes]]&lt;0.35,"LEVE",AND(Tabla1[[#This Row],[Porcentaje de muertes]]&gt;0.35,Tabla1[[#This Row],[Porcentaje de muertes]]&lt;0.65),"MEDIO",Tabla1[[#This Row],[Porcentaje de muertes]]&gt;0.65,"GRAVE")</f>
        <v>MEDIO</v>
      </c>
    </row>
    <row r="3235" spans="2:24" x14ac:dyDescent="0.3">
      <c r="B3235" s="9">
        <v>3234</v>
      </c>
      <c r="C3235" s="49">
        <v>30538</v>
      </c>
      <c r="D3235" s="9">
        <f>YEAR(Tabla1[[#This Row],[Date]])</f>
        <v>1983</v>
      </c>
      <c r="E3235" s="9" t="str" cm="1">
        <f t="array" ref="E3235">IFERROR(_xlfn.IFS(AND(D3235&lt;1980,D3235&gt;=1970),"70",AND(D3235&lt;1990,D3235&gt;=1980),"80",AND(D3235&lt;2000,D3235&gt;=1990),"90",AND(D3235&lt;2010,D3235&gt;=2000),"00",AND(D3235&lt;=2019,D3235&gt;=2010),"10"),"1908-1970")</f>
        <v>80</v>
      </c>
      <c r="F3235" s="3" t="s">
        <v>28931</v>
      </c>
      <c r="G3235" t="s">
        <v>19465</v>
      </c>
      <c r="H3235" t="s">
        <v>16549</v>
      </c>
      <c r="I3235" t="s">
        <v>28931</v>
      </c>
      <c r="J3235" t="s">
        <v>19466</v>
      </c>
      <c r="K3235" t="s">
        <v>16680</v>
      </c>
      <c r="L3235" s="7" t="s">
        <v>19467</v>
      </c>
      <c r="M3235">
        <v>512</v>
      </c>
      <c r="N3235">
        <v>14</v>
      </c>
      <c r="O3235">
        <v>11</v>
      </c>
      <c r="P3235">
        <v>3</v>
      </c>
      <c r="Q3235">
        <v>9</v>
      </c>
      <c r="R3235">
        <v>6</v>
      </c>
      <c r="S3235">
        <v>3</v>
      </c>
      <c r="T3235">
        <v>0</v>
      </c>
      <c r="U3235" t="s">
        <v>19468</v>
      </c>
      <c r="V3235">
        <f>Tabla1[[#This Row],[Aboard]]-Tabla1[[#This Row],[Fatalities]]</f>
        <v>5</v>
      </c>
      <c r="W3235" s="50">
        <f>IFERROR(Tabla1[[#This Row],[Fatalities]]/Tabla1[[#This Row],[Aboard]],0)</f>
        <v>0.6428571428571429</v>
      </c>
      <c r="X3235" s="51" t="str" cm="1">
        <f t="array" ref="X3235">_xlfn.IFS(Tabla1[[#This Row],[Porcentaje de muertes]]&lt;0.35,"LEVE",AND(Tabla1[[#This Row],[Porcentaje de muertes]]&gt;0.35,Tabla1[[#This Row],[Porcentaje de muertes]]&lt;0.65),"MEDIO",Tabla1[[#This Row],[Porcentaje de muertes]]&gt;0.65,"GRAVE")</f>
        <v>MEDIO</v>
      </c>
    </row>
    <row r="3236" spans="2:24" x14ac:dyDescent="0.3">
      <c r="B3236" s="9">
        <v>3235</v>
      </c>
      <c r="C3236" s="49">
        <v>30630</v>
      </c>
      <c r="D3236" s="9">
        <f>YEAR(Tabla1[[#This Row],[Date]])</f>
        <v>1983</v>
      </c>
      <c r="E3236" s="9" t="str" cm="1">
        <f t="array" ref="E3236">IFERROR(_xlfn.IFS(AND(D3236&lt;1980,D3236&gt;=1970),"70",AND(D3236&lt;1990,D3236&gt;=1980),"80",AND(D3236&lt;2000,D3236&gt;=1990),"90",AND(D3236&lt;2010,D3236&gt;=2000),"00",AND(D3236&lt;=2019,D3236&gt;=2010),"10"),"1908-1970")</f>
        <v>80</v>
      </c>
      <c r="F3236" s="3">
        <v>0.87013888888888891</v>
      </c>
      <c r="G3236" t="s">
        <v>19469</v>
      </c>
      <c r="H3236" t="s">
        <v>19470</v>
      </c>
      <c r="I3236">
        <v>701</v>
      </c>
      <c r="J3236" t="s">
        <v>19471</v>
      </c>
      <c r="K3236" t="s">
        <v>19472</v>
      </c>
      <c r="L3236" s="7" t="s">
        <v>19473</v>
      </c>
      <c r="M3236">
        <v>1716</v>
      </c>
      <c r="N3236">
        <v>10</v>
      </c>
      <c r="O3236">
        <v>7</v>
      </c>
      <c r="P3236">
        <v>3</v>
      </c>
      <c r="Q3236">
        <v>10</v>
      </c>
      <c r="R3236">
        <v>7</v>
      </c>
      <c r="S3236">
        <v>3</v>
      </c>
      <c r="T3236">
        <v>0</v>
      </c>
      <c r="U3236" t="s">
        <v>19474</v>
      </c>
      <c r="V3236">
        <f>Tabla1[[#This Row],[Aboard]]-Tabla1[[#This Row],[Fatalities]]</f>
        <v>0</v>
      </c>
      <c r="W3236" s="50">
        <f>IFERROR(Tabla1[[#This Row],[Fatalities]]/Tabla1[[#This Row],[Aboard]],0)</f>
        <v>1</v>
      </c>
      <c r="X3236" s="51" t="str" cm="1">
        <f t="array" ref="X3236">_xlfn.IFS(Tabla1[[#This Row],[Porcentaje de muertes]]&lt;0.35,"LEVE",AND(Tabla1[[#This Row],[Porcentaje de muertes]]&gt;0.35,Tabla1[[#This Row],[Porcentaje de muertes]]&lt;0.65),"MEDIO",Tabla1[[#This Row],[Porcentaje de muertes]]&gt;0.65,"GRAVE")</f>
        <v>GRAVE</v>
      </c>
    </row>
    <row r="3237" spans="2:24" x14ac:dyDescent="0.3">
      <c r="B3237" s="9">
        <v>3236</v>
      </c>
      <c r="C3237" s="49">
        <v>30617</v>
      </c>
      <c r="D3237" s="9">
        <f>YEAR(Tabla1[[#This Row],[Date]])</f>
        <v>1983</v>
      </c>
      <c r="E3237" s="9" t="str" cm="1">
        <f t="array" ref="E3237">IFERROR(_xlfn.IFS(AND(D3237&lt;1980,D3237&gt;=1970),"70",AND(D3237&lt;1990,D3237&gt;=1980),"80",AND(D3237&lt;2000,D3237&gt;=1990),"90",AND(D3237&lt;2010,D3237&gt;=2000),"00",AND(D3237&lt;=2019,D3237&gt;=2010),"10"),"1908-1970")</f>
        <v>80</v>
      </c>
      <c r="F3237" s="3">
        <v>0.56597222222222221</v>
      </c>
      <c r="G3237" t="s">
        <v>19475</v>
      </c>
      <c r="H3237" t="s">
        <v>19476</v>
      </c>
      <c r="I3237" t="s">
        <v>28931</v>
      </c>
      <c r="J3237" t="s">
        <v>19477</v>
      </c>
      <c r="K3237" t="s">
        <v>19478</v>
      </c>
      <c r="L3237" s="7" t="s">
        <v>19479</v>
      </c>
      <c r="M3237" t="s">
        <v>19480</v>
      </c>
      <c r="N3237">
        <v>30</v>
      </c>
      <c r="O3237">
        <v>27</v>
      </c>
      <c r="P3237">
        <v>3</v>
      </c>
      <c r="Q3237">
        <v>1</v>
      </c>
      <c r="R3237">
        <v>1</v>
      </c>
      <c r="S3237">
        <v>0</v>
      </c>
      <c r="T3237">
        <v>0</v>
      </c>
      <c r="U3237" t="s">
        <v>19481</v>
      </c>
      <c r="V3237">
        <f>Tabla1[[#This Row],[Aboard]]-Tabla1[[#This Row],[Fatalities]]</f>
        <v>29</v>
      </c>
      <c r="W3237" s="50">
        <f>IFERROR(Tabla1[[#This Row],[Fatalities]]/Tabla1[[#This Row],[Aboard]],0)</f>
        <v>3.3333333333333333E-2</v>
      </c>
      <c r="X3237" s="51" t="str" cm="1">
        <f t="array" ref="X3237">_xlfn.IFS(Tabla1[[#This Row],[Porcentaje de muertes]]&lt;0.35,"LEVE",AND(Tabla1[[#This Row],[Porcentaje de muertes]]&gt;0.35,Tabla1[[#This Row],[Porcentaje de muertes]]&lt;0.65),"MEDIO",Tabla1[[#This Row],[Porcentaje de muertes]]&gt;0.65,"GRAVE")</f>
        <v>LEVE</v>
      </c>
    </row>
    <row r="3238" spans="2:24" x14ac:dyDescent="0.3">
      <c r="B3238" s="9">
        <v>3237</v>
      </c>
      <c r="C3238" s="49">
        <v>30539</v>
      </c>
      <c r="D3238" s="9">
        <f>YEAR(Tabla1[[#This Row],[Date]])</f>
        <v>1983</v>
      </c>
      <c r="E3238" s="9" t="str" cm="1">
        <f t="array" ref="E3238">IFERROR(_xlfn.IFS(AND(D3238&lt;1980,D3238&gt;=1970),"70",AND(D3238&lt;1990,D3238&gt;=1980),"80",AND(D3238&lt;2000,D3238&gt;=1990),"90",AND(D3238&lt;2010,D3238&gt;=2000),"00",AND(D3238&lt;=2019,D3238&gt;=2010),"10"),"1908-1970")</f>
        <v>80</v>
      </c>
      <c r="F3238" s="3">
        <v>0.63888888888888895</v>
      </c>
      <c r="G3238" t="s">
        <v>19482</v>
      </c>
      <c r="H3238" t="s">
        <v>18885</v>
      </c>
      <c r="I3238" t="s">
        <v>28931</v>
      </c>
      <c r="J3238" t="s">
        <v>19483</v>
      </c>
      <c r="K3238" t="s">
        <v>19157</v>
      </c>
      <c r="L3238" s="7" t="s">
        <v>19484</v>
      </c>
      <c r="M3238">
        <v>22775</v>
      </c>
      <c r="N3238">
        <v>130</v>
      </c>
      <c r="O3238">
        <v>126</v>
      </c>
      <c r="P3238">
        <v>4</v>
      </c>
      <c r="Q3238">
        <v>130</v>
      </c>
      <c r="R3238">
        <v>126</v>
      </c>
      <c r="S3238">
        <v>4</v>
      </c>
      <c r="T3238">
        <v>0</v>
      </c>
      <c r="U3238" t="s">
        <v>19485</v>
      </c>
      <c r="V3238">
        <f>Tabla1[[#This Row],[Aboard]]-Tabla1[[#This Row],[Fatalities]]</f>
        <v>0</v>
      </c>
      <c r="W3238" s="50">
        <f>IFERROR(Tabla1[[#This Row],[Fatalities]]/Tabla1[[#This Row],[Aboard]],0)</f>
        <v>1</v>
      </c>
      <c r="X3238" s="51" t="str" cm="1">
        <f t="array" ref="X3238">_xlfn.IFS(Tabla1[[#This Row],[Porcentaje de muertes]]&lt;0.35,"LEVE",AND(Tabla1[[#This Row],[Porcentaje de muertes]]&gt;0.35,Tabla1[[#This Row],[Porcentaje de muertes]]&lt;0.65),"MEDIO",Tabla1[[#This Row],[Porcentaje de muertes]]&gt;0.65,"GRAVE")</f>
        <v>GRAVE</v>
      </c>
    </row>
    <row r="3239" spans="2:24" x14ac:dyDescent="0.3">
      <c r="B3239" s="9">
        <v>3238</v>
      </c>
      <c r="C3239" s="49">
        <v>30643</v>
      </c>
      <c r="D3239" s="9">
        <f>YEAR(Tabla1[[#This Row],[Date]])</f>
        <v>1983</v>
      </c>
      <c r="E3239" s="9" t="str" cm="1">
        <f t="array" ref="E3239">IFERROR(_xlfn.IFS(AND(D3239&lt;1980,D3239&gt;=1970),"70",AND(D3239&lt;1990,D3239&gt;=1980),"80",AND(D3239&lt;2000,D3239&gt;=1990),"90",AND(D3239&lt;2010,D3239&gt;=2000),"00",AND(D3239&lt;=2019,D3239&gt;=2010),"10"),"1908-1970")</f>
        <v>80</v>
      </c>
      <c r="F3239" s="3" t="s">
        <v>28931</v>
      </c>
      <c r="G3239" t="s">
        <v>19486</v>
      </c>
      <c r="H3239" t="s">
        <v>15675</v>
      </c>
      <c r="I3239" t="s">
        <v>28931</v>
      </c>
      <c r="J3239" t="s">
        <v>28931</v>
      </c>
      <c r="K3239" t="s">
        <v>16680</v>
      </c>
      <c r="L3239" s="7" t="s">
        <v>19487</v>
      </c>
      <c r="M3239">
        <v>632</v>
      </c>
      <c r="N3239">
        <v>7</v>
      </c>
      <c r="O3239">
        <v>5</v>
      </c>
      <c r="P3239">
        <v>2</v>
      </c>
      <c r="Q3239">
        <v>4</v>
      </c>
      <c r="R3239">
        <v>4</v>
      </c>
      <c r="S3239">
        <v>0</v>
      </c>
      <c r="T3239">
        <v>0</v>
      </c>
      <c r="U3239" t="s">
        <v>19488</v>
      </c>
      <c r="V3239">
        <f>Tabla1[[#This Row],[Aboard]]-Tabla1[[#This Row],[Fatalities]]</f>
        <v>3</v>
      </c>
      <c r="W3239" s="50">
        <f>IFERROR(Tabla1[[#This Row],[Fatalities]]/Tabla1[[#This Row],[Aboard]],0)</f>
        <v>0.5714285714285714</v>
      </c>
      <c r="X3239" s="51" t="str" cm="1">
        <f t="array" ref="X3239">_xlfn.IFS(Tabla1[[#This Row],[Porcentaje de muertes]]&lt;0.35,"LEVE",AND(Tabla1[[#This Row],[Porcentaje de muertes]]&gt;0.35,Tabla1[[#This Row],[Porcentaje de muertes]]&lt;0.65),"MEDIO",Tabla1[[#This Row],[Porcentaje de muertes]]&gt;0.65,"GRAVE")</f>
        <v>MEDIO</v>
      </c>
    </row>
    <row r="3240" spans="2:24" x14ac:dyDescent="0.3">
      <c r="B3240" s="9">
        <v>3239</v>
      </c>
      <c r="C3240" s="49">
        <v>30647</v>
      </c>
      <c r="D3240" s="9">
        <f>YEAR(Tabla1[[#This Row],[Date]])</f>
        <v>1983</v>
      </c>
      <c r="E3240" s="9" t="str" cm="1">
        <f t="array" ref="E3240">IFERROR(_xlfn.IFS(AND(D3240&lt;1980,D3240&gt;=1970),"70",AND(D3240&lt;1990,D3240&gt;=1980),"80",AND(D3240&lt;2000,D3240&gt;=1990),"90",AND(D3240&lt;2010,D3240&gt;=2000),"00",AND(D3240&lt;=2019,D3240&gt;=2010),"10"),"1908-1970")</f>
        <v>80</v>
      </c>
      <c r="F3240" s="3">
        <v>0.42083333333333334</v>
      </c>
      <c r="G3240" t="s">
        <v>19489</v>
      </c>
      <c r="H3240" t="s">
        <v>8976</v>
      </c>
      <c r="I3240">
        <v>11</v>
      </c>
      <c r="J3240" t="s">
        <v>19490</v>
      </c>
      <c r="K3240" t="s">
        <v>19491</v>
      </c>
      <c r="L3240" s="7" t="s">
        <v>19492</v>
      </c>
      <c r="M3240">
        <v>21381</v>
      </c>
      <c r="N3240">
        <v>192</v>
      </c>
      <c r="O3240">
        <v>169</v>
      </c>
      <c r="P3240">
        <v>23</v>
      </c>
      <c r="Q3240">
        <v>181</v>
      </c>
      <c r="R3240">
        <v>158</v>
      </c>
      <c r="S3240">
        <v>23</v>
      </c>
      <c r="T3240">
        <v>0</v>
      </c>
      <c r="U3240" t="s">
        <v>19493</v>
      </c>
      <c r="V3240">
        <f>Tabla1[[#This Row],[Aboard]]-Tabla1[[#This Row],[Fatalities]]</f>
        <v>11</v>
      </c>
      <c r="W3240" s="50">
        <f>IFERROR(Tabla1[[#This Row],[Fatalities]]/Tabla1[[#This Row],[Aboard]],0)</f>
        <v>0.94270833333333337</v>
      </c>
      <c r="X3240" s="51" t="str" cm="1">
        <f t="array" ref="X3240">_xlfn.IFS(Tabla1[[#This Row],[Porcentaje de muertes]]&lt;0.35,"LEVE",AND(Tabla1[[#This Row],[Porcentaje de muertes]]&gt;0.35,Tabla1[[#This Row],[Porcentaje de muertes]]&lt;0.65),"MEDIO",Tabla1[[#This Row],[Porcentaje de muertes]]&gt;0.65,"GRAVE")</f>
        <v>GRAVE</v>
      </c>
    </row>
    <row r="3241" spans="2:24" x14ac:dyDescent="0.3">
      <c r="B3241" s="9">
        <v>3240</v>
      </c>
      <c r="C3241" s="49">
        <v>30648</v>
      </c>
      <c r="D3241" s="9">
        <f>YEAR(Tabla1[[#This Row],[Date]])</f>
        <v>1983</v>
      </c>
      <c r="E3241" s="9" t="str" cm="1">
        <f t="array" ref="E3241">IFERROR(_xlfn.IFS(AND(D3241&lt;1980,D3241&gt;=1970),"70",AND(D3241&lt;1990,D3241&gt;=1980),"80",AND(D3241&lt;2000,D3241&gt;=1990),"90",AND(D3241&lt;2010,D3241&gt;=2000),"00",AND(D3241&lt;=2019,D3241&gt;=2010),"10"),"1908-1970")</f>
        <v>80</v>
      </c>
      <c r="F3241" s="3">
        <v>0.46736111111111112</v>
      </c>
      <c r="G3241" t="s">
        <v>19494</v>
      </c>
      <c r="H3241" t="s">
        <v>15690</v>
      </c>
      <c r="I3241" t="s">
        <v>28931</v>
      </c>
      <c r="J3241" t="s">
        <v>19495</v>
      </c>
      <c r="K3241" t="s">
        <v>19496</v>
      </c>
      <c r="L3241" s="7" t="s">
        <v>19497</v>
      </c>
      <c r="M3241">
        <v>11090</v>
      </c>
      <c r="N3241">
        <v>72</v>
      </c>
      <c r="O3241">
        <v>66</v>
      </c>
      <c r="P3241">
        <v>6</v>
      </c>
      <c r="Q3241">
        <v>53</v>
      </c>
      <c r="R3241">
        <v>51</v>
      </c>
      <c r="S3241">
        <v>2</v>
      </c>
      <c r="T3241">
        <v>0</v>
      </c>
      <c r="U3241" t="s">
        <v>19498</v>
      </c>
      <c r="V3241">
        <f>Tabla1[[#This Row],[Aboard]]-Tabla1[[#This Row],[Fatalities]]</f>
        <v>19</v>
      </c>
      <c r="W3241" s="50">
        <f>IFERROR(Tabla1[[#This Row],[Fatalities]]/Tabla1[[#This Row],[Aboard]],0)</f>
        <v>0.73611111111111116</v>
      </c>
      <c r="X3241" s="51" t="str" cm="1">
        <f t="array" ref="X3241">_xlfn.IFS(Tabla1[[#This Row],[Porcentaje de muertes]]&lt;0.35,"LEVE",AND(Tabla1[[#This Row],[Porcentaje de muertes]]&gt;0.35,Tabla1[[#This Row],[Porcentaje de muertes]]&lt;0.65),"MEDIO",Tabla1[[#This Row],[Porcentaje de muertes]]&gt;0.65,"GRAVE")</f>
        <v>GRAVE</v>
      </c>
    </row>
    <row r="3242" spans="2:24" x14ac:dyDescent="0.3">
      <c r="B3242" s="9">
        <v>3241</v>
      </c>
      <c r="C3242" s="49">
        <v>30509</v>
      </c>
      <c r="D3242" s="9">
        <f>YEAR(Tabla1[[#This Row],[Date]])</f>
        <v>1983</v>
      </c>
      <c r="E3242" s="9" t="str" cm="1">
        <f t="array" ref="E3242">IFERROR(_xlfn.IFS(AND(D3242&lt;1980,D3242&gt;=1970),"70",AND(D3242&lt;1990,D3242&gt;=1980),"80",AND(D3242&lt;2000,D3242&gt;=1990),"90",AND(D3242&lt;2010,D3242&gt;=2000),"00",AND(D3242&lt;=2019,D3242&gt;=2010),"10"),"1908-1970")</f>
        <v>80</v>
      </c>
      <c r="F3242" s="3">
        <v>0.40277777777777773</v>
      </c>
      <c r="G3242" t="s">
        <v>9680</v>
      </c>
      <c r="H3242" t="s">
        <v>19499</v>
      </c>
      <c r="I3242" t="s">
        <v>19500</v>
      </c>
      <c r="J3242" t="s">
        <v>19501</v>
      </c>
      <c r="K3242" t="s">
        <v>19502</v>
      </c>
      <c r="L3242" s="7" t="s">
        <v>19503</v>
      </c>
      <c r="M3242" t="s">
        <v>19504</v>
      </c>
      <c r="N3242">
        <v>135</v>
      </c>
      <c r="O3242">
        <v>120</v>
      </c>
      <c r="P3242">
        <v>15</v>
      </c>
      <c r="Q3242">
        <v>93</v>
      </c>
      <c r="R3242">
        <v>87</v>
      </c>
      <c r="S3242">
        <v>6</v>
      </c>
      <c r="T3242">
        <v>0</v>
      </c>
      <c r="U3242" t="s">
        <v>19505</v>
      </c>
      <c r="V3242">
        <f>Tabla1[[#This Row],[Aboard]]-Tabla1[[#This Row],[Fatalities]]</f>
        <v>42</v>
      </c>
      <c r="W3242" s="50">
        <f>IFERROR(Tabla1[[#This Row],[Fatalities]]/Tabla1[[#This Row],[Aboard]],0)</f>
        <v>0.68888888888888888</v>
      </c>
      <c r="X3242" s="51" t="str" cm="1">
        <f t="array" ref="X3242">_xlfn.IFS(Tabla1[[#This Row],[Porcentaje de muertes]]&lt;0.35,"LEVE",AND(Tabla1[[#This Row],[Porcentaje de muertes]]&gt;0.35,Tabla1[[#This Row],[Porcentaje de muertes]]&lt;0.65),"MEDIO",Tabla1[[#This Row],[Porcentaje de muertes]]&gt;0.65,"GRAVE")</f>
        <v>GRAVE</v>
      </c>
    </row>
    <row r="3243" spans="2:24" x14ac:dyDescent="0.3">
      <c r="B3243" s="9">
        <v>3242</v>
      </c>
      <c r="C3243" s="49">
        <v>30664</v>
      </c>
      <c r="D3243" s="9">
        <f>YEAR(Tabla1[[#This Row],[Date]])</f>
        <v>1983</v>
      </c>
      <c r="E3243" s="9" t="str" cm="1">
        <f t="array" ref="E3243">IFERROR(_xlfn.IFS(AND(D3243&lt;1980,D3243&gt;=1970),"70",AND(D3243&lt;1990,D3243&gt;=1980),"80",AND(D3243&lt;2000,D3243&gt;=1990),"90",AND(D3243&lt;2010,D3243&gt;=2000),"00",AND(D3243&lt;=2019,D3243&gt;=2010),"10"),"1908-1970")</f>
        <v>80</v>
      </c>
      <c r="F3243" s="3">
        <v>0.64583333333333337</v>
      </c>
      <c r="G3243" t="s">
        <v>9064</v>
      </c>
      <c r="H3243" t="s">
        <v>19506</v>
      </c>
      <c r="I3243" t="s">
        <v>28931</v>
      </c>
      <c r="J3243" t="s">
        <v>19507</v>
      </c>
      <c r="K3243" t="s">
        <v>19508</v>
      </c>
      <c r="L3243" s="7" t="s">
        <v>19509</v>
      </c>
      <c r="M3243" t="s">
        <v>19510</v>
      </c>
      <c r="N3243">
        <v>3</v>
      </c>
      <c r="O3243">
        <v>0</v>
      </c>
      <c r="P3243">
        <v>3</v>
      </c>
      <c r="Q3243">
        <v>3</v>
      </c>
      <c r="R3243">
        <v>0</v>
      </c>
      <c r="S3243">
        <v>3</v>
      </c>
      <c r="T3243">
        <v>22</v>
      </c>
      <c r="U3243" t="s">
        <v>19511</v>
      </c>
      <c r="V3243">
        <f>Tabla1[[#This Row],[Aboard]]-Tabla1[[#This Row],[Fatalities]]</f>
        <v>0</v>
      </c>
      <c r="W3243" s="50">
        <f>IFERROR(Tabla1[[#This Row],[Fatalities]]/Tabla1[[#This Row],[Aboard]],0)</f>
        <v>1</v>
      </c>
      <c r="X3243" s="51" t="str" cm="1">
        <f t="array" ref="X3243">_xlfn.IFS(Tabla1[[#This Row],[Porcentaje de muertes]]&lt;0.35,"LEVE",AND(Tabla1[[#This Row],[Porcentaje de muertes]]&gt;0.35,Tabla1[[#This Row],[Porcentaje de muertes]]&lt;0.65),"MEDIO",Tabla1[[#This Row],[Porcentaje de muertes]]&gt;0.65,"GRAVE")</f>
        <v>GRAVE</v>
      </c>
    </row>
    <row r="3244" spans="2:24" x14ac:dyDescent="0.3">
      <c r="B3244" s="9">
        <v>3243</v>
      </c>
      <c r="C3244" s="49">
        <v>30667</v>
      </c>
      <c r="D3244" s="9">
        <f>YEAR(Tabla1[[#This Row],[Date]])</f>
        <v>1983</v>
      </c>
      <c r="E3244" s="9" t="str" cm="1">
        <f t="array" ref="E3244">IFERROR(_xlfn.IFS(AND(D3244&lt;1980,D3244&gt;=1970),"70",AND(D3244&lt;1990,D3244&gt;=1980),"80",AND(D3244&lt;2000,D3244&gt;=1990),"90",AND(D3244&lt;2010,D3244&gt;=2000),"00",AND(D3244&lt;=2019,D3244&gt;=2010),"10"),"1908-1970")</f>
        <v>80</v>
      </c>
      <c r="F3244" s="3">
        <v>0.54861111111111105</v>
      </c>
      <c r="G3244" t="s">
        <v>19512</v>
      </c>
      <c r="H3244" t="s">
        <v>19513</v>
      </c>
      <c r="I3244" t="s">
        <v>28931</v>
      </c>
      <c r="J3244" t="s">
        <v>19514</v>
      </c>
      <c r="K3244" t="s">
        <v>15361</v>
      </c>
      <c r="L3244" s="7" t="s">
        <v>19515</v>
      </c>
      <c r="M3244">
        <v>213</v>
      </c>
      <c r="N3244">
        <v>12</v>
      </c>
      <c r="O3244">
        <v>10</v>
      </c>
      <c r="P3244">
        <v>2</v>
      </c>
      <c r="Q3244">
        <v>2</v>
      </c>
      <c r="R3244">
        <v>1</v>
      </c>
      <c r="S3244">
        <v>1</v>
      </c>
      <c r="T3244">
        <v>0</v>
      </c>
      <c r="U3244" t="s">
        <v>19516</v>
      </c>
      <c r="V3244">
        <f>Tabla1[[#This Row],[Aboard]]-Tabla1[[#This Row],[Fatalities]]</f>
        <v>10</v>
      </c>
      <c r="W3244" s="50">
        <f>IFERROR(Tabla1[[#This Row],[Fatalities]]/Tabla1[[#This Row],[Aboard]],0)</f>
        <v>0.16666666666666666</v>
      </c>
      <c r="X3244" s="51" t="str" cm="1">
        <f t="array" ref="X3244">_xlfn.IFS(Tabla1[[#This Row],[Porcentaje de muertes]]&lt;0.35,"LEVE",AND(Tabla1[[#This Row],[Porcentaje de muertes]]&gt;0.35,Tabla1[[#This Row],[Porcentaje de muertes]]&lt;0.65),"MEDIO",Tabla1[[#This Row],[Porcentaje de muertes]]&gt;0.65,"GRAVE")</f>
        <v>LEVE</v>
      </c>
    </row>
    <row r="3245" spans="2:24" x14ac:dyDescent="0.3">
      <c r="B3245" s="9">
        <v>3244</v>
      </c>
      <c r="C3245" s="49">
        <v>30674</v>
      </c>
      <c r="D3245" s="9">
        <f>YEAR(Tabla1[[#This Row],[Date]])</f>
        <v>1983</v>
      </c>
      <c r="E3245" s="9" t="str" cm="1">
        <f t="array" ref="E3245">IFERROR(_xlfn.IFS(AND(D3245&lt;1980,D3245&gt;=1970),"70",AND(D3245&lt;1990,D3245&gt;=1980),"80",AND(D3245&lt;2000,D3245&gt;=1990),"90",AND(D3245&lt;2010,D3245&gt;=2000),"00",AND(D3245&lt;=2019,D3245&gt;=2010),"10"),"1908-1970")</f>
        <v>80</v>
      </c>
      <c r="F3245" s="3">
        <v>0.37013888888888885</v>
      </c>
      <c r="G3245" t="s">
        <v>19517</v>
      </c>
      <c r="H3245" t="s">
        <v>6541</v>
      </c>
      <c r="I3245">
        <v>601</v>
      </c>
      <c r="J3245" t="s">
        <v>19518</v>
      </c>
      <c r="K3245" t="s">
        <v>14340</v>
      </c>
      <c r="L3245" s="7" t="s">
        <v>19519</v>
      </c>
      <c r="M3245">
        <v>37308704</v>
      </c>
      <c r="N3245">
        <v>49</v>
      </c>
      <c r="O3245">
        <v>44</v>
      </c>
      <c r="P3245">
        <v>5</v>
      </c>
      <c r="Q3245">
        <v>44</v>
      </c>
      <c r="R3245">
        <v>39</v>
      </c>
      <c r="S3245">
        <v>5</v>
      </c>
      <c r="T3245">
        <v>0</v>
      </c>
      <c r="U3245" t="s">
        <v>19520</v>
      </c>
      <c r="V3245">
        <f>Tabla1[[#This Row],[Aboard]]-Tabla1[[#This Row],[Fatalities]]</f>
        <v>5</v>
      </c>
      <c r="W3245" s="50">
        <f>IFERROR(Tabla1[[#This Row],[Fatalities]]/Tabla1[[#This Row],[Aboard]],0)</f>
        <v>0.89795918367346939</v>
      </c>
      <c r="X3245" s="51" t="str" cm="1">
        <f t="array" ref="X3245">_xlfn.IFS(Tabla1[[#This Row],[Porcentaje de muertes]]&lt;0.35,"LEVE",AND(Tabla1[[#This Row],[Porcentaje de muertes]]&gt;0.35,Tabla1[[#This Row],[Porcentaje de muertes]]&lt;0.65),"MEDIO",Tabla1[[#This Row],[Porcentaje de muertes]]&gt;0.65,"GRAVE")</f>
        <v>GRAVE</v>
      </c>
    </row>
    <row r="3246" spans="2:24" x14ac:dyDescent="0.3">
      <c r="B3246" s="9">
        <v>3245</v>
      </c>
      <c r="C3246" s="49">
        <v>30713</v>
      </c>
      <c r="D3246" s="9">
        <f>YEAR(Tabla1[[#This Row],[Date]])</f>
        <v>1984</v>
      </c>
      <c r="E3246" s="9" t="str" cm="1">
        <f t="array" ref="E3246">IFERROR(_xlfn.IFS(AND(D3246&lt;1980,D3246&gt;=1970),"70",AND(D3246&lt;1990,D3246&gt;=1980),"80",AND(D3246&lt;2000,D3246&gt;=1990),"90",AND(D3246&lt;2010,D3246&gt;=2000),"00",AND(D3246&lt;=2019,D3246&gt;=2010),"10"),"1908-1970")</f>
        <v>80</v>
      </c>
      <c r="F3246" s="3" t="s">
        <v>28931</v>
      </c>
      <c r="G3246" t="s">
        <v>11849</v>
      </c>
      <c r="H3246" t="s">
        <v>19521</v>
      </c>
      <c r="I3246" t="s">
        <v>28931</v>
      </c>
      <c r="J3246" t="s">
        <v>28931</v>
      </c>
      <c r="K3246" t="s">
        <v>19522</v>
      </c>
      <c r="L3246" s="7">
        <v>324</v>
      </c>
      <c r="M3246">
        <v>55</v>
      </c>
      <c r="N3246">
        <v>13</v>
      </c>
      <c r="O3246" t="s">
        <v>5038</v>
      </c>
      <c r="P3246" t="s">
        <v>5038</v>
      </c>
      <c r="Q3246">
        <v>13</v>
      </c>
      <c r="R3246" t="s">
        <v>5038</v>
      </c>
      <c r="S3246" t="s">
        <v>5038</v>
      </c>
      <c r="T3246">
        <v>0</v>
      </c>
      <c r="U3246" t="s">
        <v>19523</v>
      </c>
      <c r="V3246">
        <f>Tabla1[[#This Row],[Aboard]]-Tabla1[[#This Row],[Fatalities]]</f>
        <v>0</v>
      </c>
      <c r="W3246" s="50">
        <f>IFERROR(Tabla1[[#This Row],[Fatalities]]/Tabla1[[#This Row],[Aboard]],0)</f>
        <v>1</v>
      </c>
      <c r="X3246" s="51" t="str" cm="1">
        <f t="array" ref="X3246">_xlfn.IFS(Tabla1[[#This Row],[Porcentaje de muertes]]&lt;0.35,"LEVE",AND(Tabla1[[#This Row],[Porcentaje de muertes]]&gt;0.35,Tabla1[[#This Row],[Porcentaje de muertes]]&lt;0.65),"MEDIO",Tabla1[[#This Row],[Porcentaje de muertes]]&gt;0.65,"GRAVE")</f>
        <v>GRAVE</v>
      </c>
    </row>
    <row r="3247" spans="2:24" x14ac:dyDescent="0.3">
      <c r="B3247" s="9">
        <v>3246</v>
      </c>
      <c r="C3247" s="49">
        <v>30742</v>
      </c>
      <c r="D3247" s="9">
        <f>YEAR(Tabla1[[#This Row],[Date]])</f>
        <v>1984</v>
      </c>
      <c r="E3247" s="9" t="str" cm="1">
        <f t="array" ref="E3247">IFERROR(_xlfn.IFS(AND(D3247&lt;1980,D3247&gt;=1970),"70",AND(D3247&lt;1990,D3247&gt;=1980),"80",AND(D3247&lt;2000,D3247&gt;=1990),"90",AND(D3247&lt;2010,D3247&gt;=2000),"00",AND(D3247&lt;=2019,D3247&gt;=2010),"10"),"1908-1970")</f>
        <v>80</v>
      </c>
      <c r="F3247" s="3" t="s">
        <v>28931</v>
      </c>
      <c r="G3247" t="s">
        <v>19524</v>
      </c>
      <c r="H3247" t="s">
        <v>6541</v>
      </c>
      <c r="I3247" t="s">
        <v>28931</v>
      </c>
      <c r="J3247" t="s">
        <v>28931</v>
      </c>
      <c r="K3247" t="s">
        <v>19525</v>
      </c>
      <c r="L3247" s="7" t="s">
        <v>19526</v>
      </c>
      <c r="M3247">
        <v>239</v>
      </c>
      <c r="N3247">
        <v>76</v>
      </c>
      <c r="O3247">
        <v>71</v>
      </c>
      <c r="P3247">
        <v>5</v>
      </c>
      <c r="Q3247">
        <v>38</v>
      </c>
      <c r="R3247">
        <v>38</v>
      </c>
      <c r="S3247">
        <v>0</v>
      </c>
      <c r="T3247">
        <v>0</v>
      </c>
      <c r="U3247" t="s">
        <v>19527</v>
      </c>
      <c r="V3247">
        <f>Tabla1[[#This Row],[Aboard]]-Tabla1[[#This Row],[Fatalities]]</f>
        <v>38</v>
      </c>
      <c r="W3247" s="50">
        <f>IFERROR(Tabla1[[#This Row],[Fatalities]]/Tabla1[[#This Row],[Aboard]],0)</f>
        <v>0.5</v>
      </c>
      <c r="X3247" s="51" t="str" cm="1">
        <f t="array" ref="X3247">_xlfn.IFS(Tabla1[[#This Row],[Porcentaje de muertes]]&lt;0.35,"LEVE",AND(Tabla1[[#This Row],[Porcentaje de muertes]]&gt;0.35,Tabla1[[#This Row],[Porcentaje de muertes]]&lt;0.65),"MEDIO",Tabla1[[#This Row],[Porcentaje de muertes]]&gt;0.65,"GRAVE")</f>
        <v>MEDIO</v>
      </c>
    </row>
    <row r="3248" spans="2:24" x14ac:dyDescent="0.3">
      <c r="B3248" s="9">
        <v>3247</v>
      </c>
      <c r="C3248" s="49">
        <v>30926</v>
      </c>
      <c r="D3248" s="9">
        <f>YEAR(Tabla1[[#This Row],[Date]])</f>
        <v>1984</v>
      </c>
      <c r="E3248" s="9" t="str" cm="1">
        <f t="array" ref="E3248">IFERROR(_xlfn.IFS(AND(D3248&lt;1980,D3248&gt;=1970),"70",AND(D3248&lt;1990,D3248&gt;=1980),"80",AND(D3248&lt;2000,D3248&gt;=1990),"90",AND(D3248&lt;2010,D3248&gt;=2000),"00",AND(D3248&lt;=2019,D3248&gt;=2010),"10"),"1908-1970")</f>
        <v>80</v>
      </c>
      <c r="F3248" s="3">
        <v>0.9375</v>
      </c>
      <c r="G3248" t="s">
        <v>17894</v>
      </c>
      <c r="H3248" t="s">
        <v>19528</v>
      </c>
      <c r="I3248" t="s">
        <v>28931</v>
      </c>
      <c r="J3248" t="s">
        <v>19529</v>
      </c>
      <c r="K3248" t="s">
        <v>7057</v>
      </c>
      <c r="L3248" s="7" t="s">
        <v>19530</v>
      </c>
      <c r="M3248" t="s">
        <v>19531</v>
      </c>
      <c r="N3248">
        <v>2</v>
      </c>
      <c r="O3248">
        <v>0</v>
      </c>
      <c r="P3248">
        <v>2</v>
      </c>
      <c r="Q3248">
        <v>1</v>
      </c>
      <c r="R3248">
        <v>0</v>
      </c>
      <c r="S3248">
        <v>1</v>
      </c>
      <c r="T3248">
        <v>0</v>
      </c>
      <c r="U3248" t="s">
        <v>19532</v>
      </c>
      <c r="V3248">
        <f>Tabla1[[#This Row],[Aboard]]-Tabla1[[#This Row],[Fatalities]]</f>
        <v>1</v>
      </c>
      <c r="W3248" s="50">
        <f>IFERROR(Tabla1[[#This Row],[Fatalities]]/Tabla1[[#This Row],[Aboard]],0)</f>
        <v>0.5</v>
      </c>
      <c r="X3248" s="51" t="str" cm="1">
        <f t="array" ref="X3248">_xlfn.IFS(Tabla1[[#This Row],[Porcentaje de muertes]]&lt;0.35,"LEVE",AND(Tabla1[[#This Row],[Porcentaje de muertes]]&gt;0.35,Tabla1[[#This Row],[Porcentaje de muertes]]&lt;0.65),"MEDIO",Tabla1[[#This Row],[Porcentaje de muertes]]&gt;0.65,"GRAVE")</f>
        <v>MEDIO</v>
      </c>
    </row>
    <row r="3249" spans="2:24" x14ac:dyDescent="0.3">
      <c r="B3249" s="9">
        <v>3248</v>
      </c>
      <c r="C3249" s="49">
        <v>30956</v>
      </c>
      <c r="D3249" s="9">
        <f>YEAR(Tabla1[[#This Row],[Date]])</f>
        <v>1984</v>
      </c>
      <c r="E3249" s="9" t="str" cm="1">
        <f t="array" ref="E3249">IFERROR(_xlfn.IFS(AND(D3249&lt;1980,D3249&gt;=1970),"70",AND(D3249&lt;1990,D3249&gt;=1980),"80",AND(D3249&lt;2000,D3249&gt;=1990),"90",AND(D3249&lt;2010,D3249&gt;=2000),"00",AND(D3249&lt;=2019,D3249&gt;=2010),"10"),"1908-1970")</f>
        <v>80</v>
      </c>
      <c r="F3249" s="3" t="s">
        <v>28931</v>
      </c>
      <c r="G3249" t="s">
        <v>13561</v>
      </c>
      <c r="H3249" t="s">
        <v>16075</v>
      </c>
      <c r="I3249" t="s">
        <v>28931</v>
      </c>
      <c r="J3249" t="s">
        <v>19533</v>
      </c>
      <c r="K3249" t="s">
        <v>16145</v>
      </c>
      <c r="L3249" s="7" t="s">
        <v>19534</v>
      </c>
      <c r="M3249">
        <v>4352308</v>
      </c>
      <c r="N3249">
        <v>50</v>
      </c>
      <c r="O3249">
        <v>45</v>
      </c>
      <c r="P3249">
        <v>5</v>
      </c>
      <c r="Q3249">
        <v>50</v>
      </c>
      <c r="R3249">
        <v>45</v>
      </c>
      <c r="S3249">
        <v>5</v>
      </c>
      <c r="T3249">
        <v>0</v>
      </c>
      <c r="U3249" t="s">
        <v>19535</v>
      </c>
      <c r="V3249">
        <f>Tabla1[[#This Row],[Aboard]]-Tabla1[[#This Row],[Fatalities]]</f>
        <v>0</v>
      </c>
      <c r="W3249" s="50">
        <f>IFERROR(Tabla1[[#This Row],[Fatalities]]/Tabla1[[#This Row],[Aboard]],0)</f>
        <v>1</v>
      </c>
      <c r="X3249" s="51" t="str" cm="1">
        <f t="array" ref="X3249">_xlfn.IFS(Tabla1[[#This Row],[Porcentaje de muertes]]&lt;0.35,"LEVE",AND(Tabla1[[#This Row],[Porcentaje de muertes]]&gt;0.35,Tabla1[[#This Row],[Porcentaje de muertes]]&lt;0.65),"MEDIO",Tabla1[[#This Row],[Porcentaje de muertes]]&gt;0.65,"GRAVE")</f>
        <v>GRAVE</v>
      </c>
    </row>
    <row r="3250" spans="2:24" x14ac:dyDescent="0.3">
      <c r="B3250" s="9">
        <v>3249</v>
      </c>
      <c r="C3250" s="49">
        <v>30694</v>
      </c>
      <c r="D3250" s="9">
        <f>YEAR(Tabla1[[#This Row],[Date]])</f>
        <v>1984</v>
      </c>
      <c r="E3250" s="9" t="str" cm="1">
        <f t="array" ref="E3250">IFERROR(_xlfn.IFS(AND(D3250&lt;1980,D3250&gt;=1970),"70",AND(D3250&lt;1990,D3250&gt;=1980),"80",AND(D3250&lt;2000,D3250&gt;=1990),"90",AND(D3250&lt;2010,D3250&gt;=2000),"00",AND(D3250&lt;=2019,D3250&gt;=2010),"10"),"1908-1970")</f>
        <v>80</v>
      </c>
      <c r="F3250" s="3" t="s">
        <v>28931</v>
      </c>
      <c r="G3250" t="s">
        <v>10464</v>
      </c>
      <c r="H3250" t="s">
        <v>19536</v>
      </c>
      <c r="I3250" t="s">
        <v>28931</v>
      </c>
      <c r="J3250" t="s">
        <v>19537</v>
      </c>
      <c r="K3250" t="s">
        <v>19538</v>
      </c>
      <c r="L3250" s="7" t="s">
        <v>19539</v>
      </c>
      <c r="M3250">
        <v>36036</v>
      </c>
      <c r="N3250">
        <v>3</v>
      </c>
      <c r="O3250">
        <v>0</v>
      </c>
      <c r="P3250">
        <v>3</v>
      </c>
      <c r="Q3250">
        <v>1</v>
      </c>
      <c r="R3250">
        <v>0</v>
      </c>
      <c r="S3250">
        <v>1</v>
      </c>
      <c r="T3250">
        <v>0</v>
      </c>
      <c r="U3250" t="s">
        <v>19540</v>
      </c>
      <c r="V3250">
        <f>Tabla1[[#This Row],[Aboard]]-Tabla1[[#This Row],[Fatalities]]</f>
        <v>2</v>
      </c>
      <c r="W3250" s="50">
        <f>IFERROR(Tabla1[[#This Row],[Fatalities]]/Tabla1[[#This Row],[Aboard]],0)</f>
        <v>0.33333333333333331</v>
      </c>
      <c r="X3250" s="51" t="str" cm="1">
        <f t="array" ref="X3250">_xlfn.IFS(Tabla1[[#This Row],[Porcentaje de muertes]]&lt;0.35,"LEVE",AND(Tabla1[[#This Row],[Porcentaje de muertes]]&gt;0.35,Tabla1[[#This Row],[Porcentaje de muertes]]&lt;0.65),"MEDIO",Tabla1[[#This Row],[Porcentaje de muertes]]&gt;0.65,"GRAVE")</f>
        <v>LEVE</v>
      </c>
    </row>
    <row r="3251" spans="2:24" x14ac:dyDescent="0.3">
      <c r="B3251" s="9">
        <v>3250</v>
      </c>
      <c r="C3251" s="49">
        <v>30709</v>
      </c>
      <c r="D3251" s="9">
        <f>YEAR(Tabla1[[#This Row],[Date]])</f>
        <v>1984</v>
      </c>
      <c r="E3251" s="9" t="str" cm="1">
        <f t="array" ref="E3251">IFERROR(_xlfn.IFS(AND(D3251&lt;1980,D3251&gt;=1970),"70",AND(D3251&lt;1990,D3251&gt;=1980),"80",AND(D3251&lt;2000,D3251&gt;=1990),"90",AND(D3251&lt;2010,D3251&gt;=2000),"00",AND(D3251&lt;=2019,D3251&gt;=2010),"10"),"1908-1970")</f>
        <v>80</v>
      </c>
      <c r="F3251" s="3" t="s">
        <v>28931</v>
      </c>
      <c r="G3251" t="s">
        <v>19541</v>
      </c>
      <c r="H3251" t="s">
        <v>6541</v>
      </c>
      <c r="I3251" t="s">
        <v>28931</v>
      </c>
      <c r="J3251" t="s">
        <v>19542</v>
      </c>
      <c r="K3251" t="s">
        <v>19071</v>
      </c>
      <c r="L3251" s="7" t="s">
        <v>19543</v>
      </c>
      <c r="M3251">
        <v>67310607</v>
      </c>
      <c r="N3251">
        <v>51</v>
      </c>
      <c r="O3251">
        <v>47</v>
      </c>
      <c r="P3251">
        <v>4</v>
      </c>
      <c r="Q3251">
        <v>4</v>
      </c>
      <c r="R3251">
        <v>3</v>
      </c>
      <c r="S3251">
        <v>1</v>
      </c>
      <c r="T3251">
        <v>0</v>
      </c>
      <c r="U3251" t="s">
        <v>19544</v>
      </c>
      <c r="V3251">
        <f>Tabla1[[#This Row],[Aboard]]-Tabla1[[#This Row],[Fatalities]]</f>
        <v>47</v>
      </c>
      <c r="W3251" s="50">
        <f>IFERROR(Tabla1[[#This Row],[Fatalities]]/Tabla1[[#This Row],[Aboard]],0)</f>
        <v>7.8431372549019607E-2</v>
      </c>
      <c r="X3251" s="51" t="str" cm="1">
        <f t="array" ref="X3251">_xlfn.IFS(Tabla1[[#This Row],[Porcentaje de muertes]]&lt;0.35,"LEVE",AND(Tabla1[[#This Row],[Porcentaje de muertes]]&gt;0.35,Tabla1[[#This Row],[Porcentaje de muertes]]&lt;0.65),"MEDIO",Tabla1[[#This Row],[Porcentaje de muertes]]&gt;0.65,"GRAVE")</f>
        <v>LEVE</v>
      </c>
    </row>
    <row r="3252" spans="2:24" x14ac:dyDescent="0.3">
      <c r="B3252" s="9">
        <v>3251</v>
      </c>
      <c r="C3252" s="49">
        <v>30711</v>
      </c>
      <c r="D3252" s="9">
        <f>YEAR(Tabla1[[#This Row],[Date]])</f>
        <v>1984</v>
      </c>
      <c r="E3252" s="9" t="str" cm="1">
        <f t="array" ref="E3252">IFERROR(_xlfn.IFS(AND(D3252&lt;1980,D3252&gt;=1970),"70",AND(D3252&lt;1990,D3252&gt;=1980),"80",AND(D3252&lt;2000,D3252&gt;=1990),"90",AND(D3252&lt;2010,D3252&gt;=2000),"00",AND(D3252&lt;=2019,D3252&gt;=2010),"10"),"1908-1970")</f>
        <v>80</v>
      </c>
      <c r="F3252" s="3">
        <v>0.27083333333333331</v>
      </c>
      <c r="G3252" t="s">
        <v>19545</v>
      </c>
      <c r="H3252" t="s">
        <v>19546</v>
      </c>
      <c r="I3252" t="s">
        <v>28931</v>
      </c>
      <c r="J3252" t="s">
        <v>6190</v>
      </c>
      <c r="K3252" t="s">
        <v>19547</v>
      </c>
      <c r="L3252" s="7" t="s">
        <v>19548</v>
      </c>
      <c r="M3252" t="s">
        <v>19549</v>
      </c>
      <c r="N3252">
        <v>3</v>
      </c>
      <c r="O3252">
        <v>1</v>
      </c>
      <c r="P3252">
        <v>2</v>
      </c>
      <c r="Q3252">
        <v>3</v>
      </c>
      <c r="R3252">
        <v>1</v>
      </c>
      <c r="S3252">
        <v>2</v>
      </c>
      <c r="T3252">
        <v>0</v>
      </c>
      <c r="U3252" t="s">
        <v>19550</v>
      </c>
      <c r="V3252">
        <f>Tabla1[[#This Row],[Aboard]]-Tabla1[[#This Row],[Fatalities]]</f>
        <v>0</v>
      </c>
      <c r="W3252" s="50">
        <f>IFERROR(Tabla1[[#This Row],[Fatalities]]/Tabla1[[#This Row],[Aboard]],0)</f>
        <v>1</v>
      </c>
      <c r="X3252" s="51" t="str" cm="1">
        <f t="array" ref="X3252">_xlfn.IFS(Tabla1[[#This Row],[Porcentaje de muertes]]&lt;0.35,"LEVE",AND(Tabla1[[#This Row],[Porcentaje de muertes]]&gt;0.35,Tabla1[[#This Row],[Porcentaje de muertes]]&lt;0.65),"MEDIO",Tabla1[[#This Row],[Porcentaje de muertes]]&gt;0.65,"GRAVE")</f>
        <v>GRAVE</v>
      </c>
    </row>
    <row r="3253" spans="2:24" x14ac:dyDescent="0.3">
      <c r="B3253" s="9">
        <v>3252</v>
      </c>
      <c r="C3253" s="49">
        <v>30728</v>
      </c>
      <c r="D3253" s="9">
        <f>YEAR(Tabla1[[#This Row],[Date]])</f>
        <v>1984</v>
      </c>
      <c r="E3253" s="9" t="str" cm="1">
        <f t="array" ref="E3253">IFERROR(_xlfn.IFS(AND(D3253&lt;1980,D3253&gt;=1970),"70",AND(D3253&lt;1990,D3253&gt;=1980),"80",AND(D3253&lt;2000,D3253&gt;=1990),"90",AND(D3253&lt;2010,D3253&gt;=2000),"00",AND(D3253&lt;=2019,D3253&gt;=2010),"10"),"1908-1970")</f>
        <v>80</v>
      </c>
      <c r="F3253" s="3" t="s">
        <v>28931</v>
      </c>
      <c r="G3253" t="s">
        <v>19551</v>
      </c>
      <c r="H3253" t="s">
        <v>19061</v>
      </c>
      <c r="I3253" t="s">
        <v>28931</v>
      </c>
      <c r="J3253" t="s">
        <v>28931</v>
      </c>
      <c r="K3253" t="s">
        <v>13992</v>
      </c>
      <c r="L3253" s="7">
        <v>1506</v>
      </c>
      <c r="M3253">
        <v>4342002</v>
      </c>
      <c r="N3253">
        <v>38</v>
      </c>
      <c r="O3253">
        <v>33</v>
      </c>
      <c r="P3253">
        <v>5</v>
      </c>
      <c r="Q3253">
        <v>26</v>
      </c>
      <c r="R3253" t="s">
        <v>5038</v>
      </c>
      <c r="S3253" t="s">
        <v>5038</v>
      </c>
      <c r="T3253">
        <v>0</v>
      </c>
      <c r="U3253" t="s">
        <v>19552</v>
      </c>
      <c r="V3253">
        <f>Tabla1[[#This Row],[Aboard]]-Tabla1[[#This Row],[Fatalities]]</f>
        <v>12</v>
      </c>
      <c r="W3253" s="50">
        <f>IFERROR(Tabla1[[#This Row],[Fatalities]]/Tabla1[[#This Row],[Aboard]],0)</f>
        <v>0.68421052631578949</v>
      </c>
      <c r="X3253" s="51" t="str" cm="1">
        <f t="array" ref="X3253">_xlfn.IFS(Tabla1[[#This Row],[Porcentaje de muertes]]&lt;0.35,"LEVE",AND(Tabla1[[#This Row],[Porcentaje de muertes]]&gt;0.35,Tabla1[[#This Row],[Porcentaje de muertes]]&lt;0.65),"MEDIO",Tabla1[[#This Row],[Porcentaje de muertes]]&gt;0.65,"GRAVE")</f>
        <v>GRAVE</v>
      </c>
    </row>
    <row r="3254" spans="2:24" x14ac:dyDescent="0.3">
      <c r="B3254" s="9">
        <v>3253</v>
      </c>
      <c r="C3254" s="49">
        <v>30731</v>
      </c>
      <c r="D3254" s="9">
        <f>YEAR(Tabla1[[#This Row],[Date]])</f>
        <v>1984</v>
      </c>
      <c r="E3254" s="9" t="str" cm="1">
        <f t="array" ref="E3254">IFERROR(_xlfn.IFS(AND(D3254&lt;1980,D3254&gt;=1970),"70",AND(D3254&lt;1990,D3254&gt;=1980),"80",AND(D3254&lt;2000,D3254&gt;=1990),"90",AND(D3254&lt;2010,D3254&gt;=2000),"00",AND(D3254&lt;=2019,D3254&gt;=2010),"10"),"1908-1970")</f>
        <v>80</v>
      </c>
      <c r="F3254" s="3" t="s">
        <v>28931</v>
      </c>
      <c r="G3254" t="s">
        <v>19553</v>
      </c>
      <c r="H3254" t="s">
        <v>19554</v>
      </c>
      <c r="I3254" t="s">
        <v>28931</v>
      </c>
      <c r="J3254" t="s">
        <v>28931</v>
      </c>
      <c r="K3254" t="s">
        <v>19555</v>
      </c>
      <c r="L3254" s="7" t="s">
        <v>28931</v>
      </c>
      <c r="M3254" t="s">
        <v>28931</v>
      </c>
      <c r="N3254">
        <v>28</v>
      </c>
      <c r="O3254" t="s">
        <v>5038</v>
      </c>
      <c r="P3254" t="s">
        <v>5038</v>
      </c>
      <c r="Q3254">
        <v>28</v>
      </c>
      <c r="R3254" t="s">
        <v>5038</v>
      </c>
      <c r="S3254" t="s">
        <v>5038</v>
      </c>
      <c r="T3254">
        <v>0</v>
      </c>
      <c r="U3254" t="s">
        <v>19556</v>
      </c>
      <c r="V3254">
        <f>Tabla1[[#This Row],[Aboard]]-Tabla1[[#This Row],[Fatalities]]</f>
        <v>0</v>
      </c>
      <c r="W3254" s="50">
        <f>IFERROR(Tabla1[[#This Row],[Fatalities]]/Tabla1[[#This Row],[Aboard]],0)</f>
        <v>1</v>
      </c>
      <c r="X3254" s="51" t="str" cm="1">
        <f t="array" ref="X3254">_xlfn.IFS(Tabla1[[#This Row],[Porcentaje de muertes]]&lt;0.35,"LEVE",AND(Tabla1[[#This Row],[Porcentaje de muertes]]&gt;0.35,Tabla1[[#This Row],[Porcentaje de muertes]]&lt;0.65),"MEDIO",Tabla1[[#This Row],[Porcentaje de muertes]]&gt;0.65,"GRAVE")</f>
        <v>GRAVE</v>
      </c>
    </row>
    <row r="3255" spans="2:24" x14ac:dyDescent="0.3">
      <c r="B3255" s="9">
        <v>3254</v>
      </c>
      <c r="C3255" s="49">
        <v>30740</v>
      </c>
      <c r="D3255" s="9">
        <f>YEAR(Tabla1[[#This Row],[Date]])</f>
        <v>1984</v>
      </c>
      <c r="E3255" s="9" t="str" cm="1">
        <f t="array" ref="E3255">IFERROR(_xlfn.IFS(AND(D3255&lt;1980,D3255&gt;=1970),"70",AND(D3255&lt;1990,D3255&gt;=1980),"80",AND(D3255&lt;2000,D3255&gt;=1990),"90",AND(D3255&lt;2010,D3255&gt;=2000),"00",AND(D3255&lt;=2019,D3255&gt;=2010),"10"),"1908-1970")</f>
        <v>80</v>
      </c>
      <c r="F3255" s="3">
        <v>0.6777777777777777</v>
      </c>
      <c r="G3255" t="s">
        <v>17374</v>
      </c>
      <c r="H3255" t="s">
        <v>9523</v>
      </c>
      <c r="I3255">
        <v>901</v>
      </c>
      <c r="J3255" t="s">
        <v>19557</v>
      </c>
      <c r="K3255" t="s">
        <v>18549</v>
      </c>
      <c r="L3255" s="7" t="s">
        <v>19558</v>
      </c>
      <c r="M3255">
        <v>46871</v>
      </c>
      <c r="N3255">
        <v>177</v>
      </c>
      <c r="O3255">
        <v>163</v>
      </c>
      <c r="P3255">
        <v>14</v>
      </c>
      <c r="Q3255">
        <v>0</v>
      </c>
      <c r="R3255">
        <v>0</v>
      </c>
      <c r="S3255">
        <v>0</v>
      </c>
      <c r="T3255">
        <v>0</v>
      </c>
      <c r="U3255" t="s">
        <v>19559</v>
      </c>
      <c r="V3255">
        <f>Tabla1[[#This Row],[Aboard]]-Tabla1[[#This Row],[Fatalities]]</f>
        <v>177</v>
      </c>
      <c r="W3255" s="50">
        <f>IFERROR(Tabla1[[#This Row],[Fatalities]]/Tabla1[[#This Row],[Aboard]],0)</f>
        <v>0</v>
      </c>
      <c r="X3255" s="51" t="str" cm="1">
        <f t="array" ref="X3255">_xlfn.IFS(Tabla1[[#This Row],[Porcentaje de muertes]]&lt;0.35,"LEVE",AND(Tabla1[[#This Row],[Porcentaje de muertes]]&gt;0.35,Tabla1[[#This Row],[Porcentaje de muertes]]&lt;0.65),"MEDIO",Tabla1[[#This Row],[Porcentaje de muertes]]&gt;0.65,"GRAVE")</f>
        <v>LEVE</v>
      </c>
    </row>
    <row r="3256" spans="2:24" x14ac:dyDescent="0.3">
      <c r="B3256" s="9">
        <v>3255</v>
      </c>
      <c r="C3256" s="49">
        <v>30754</v>
      </c>
      <c r="D3256" s="9">
        <f>YEAR(Tabla1[[#This Row],[Date]])</f>
        <v>1984</v>
      </c>
      <c r="E3256" s="9" t="str" cm="1">
        <f t="array" ref="E3256">IFERROR(_xlfn.IFS(AND(D3256&lt;1980,D3256&gt;=1970),"70",AND(D3256&lt;1990,D3256&gt;=1980),"80",AND(D3256&lt;2000,D3256&gt;=1990),"90",AND(D3256&lt;2010,D3256&gt;=2000),"00",AND(D3256&lt;=2019,D3256&gt;=2010),"10"),"1908-1970")</f>
        <v>80</v>
      </c>
      <c r="F3256" s="3">
        <v>0.32430555555555557</v>
      </c>
      <c r="G3256" t="s">
        <v>5337</v>
      </c>
      <c r="H3256" t="s">
        <v>19560</v>
      </c>
      <c r="I3256" t="s">
        <v>28931</v>
      </c>
      <c r="J3256" t="s">
        <v>5339</v>
      </c>
      <c r="K3256" t="s">
        <v>8305</v>
      </c>
      <c r="L3256" s="7" t="s">
        <v>19561</v>
      </c>
      <c r="M3256">
        <v>444</v>
      </c>
      <c r="N3256">
        <v>6</v>
      </c>
      <c r="O3256">
        <v>2</v>
      </c>
      <c r="P3256">
        <v>4</v>
      </c>
      <c r="Q3256">
        <v>4</v>
      </c>
      <c r="R3256">
        <v>1</v>
      </c>
      <c r="S3256">
        <v>3</v>
      </c>
      <c r="T3256">
        <v>0</v>
      </c>
      <c r="U3256" t="s">
        <v>19562</v>
      </c>
      <c r="V3256">
        <f>Tabla1[[#This Row],[Aboard]]-Tabla1[[#This Row],[Fatalities]]</f>
        <v>2</v>
      </c>
      <c r="W3256" s="50">
        <f>IFERROR(Tabla1[[#This Row],[Fatalities]]/Tabla1[[#This Row],[Aboard]],0)</f>
        <v>0.66666666666666663</v>
      </c>
      <c r="X3256" s="51" t="str" cm="1">
        <f t="array" ref="X3256">_xlfn.IFS(Tabla1[[#This Row],[Porcentaje de muertes]]&lt;0.35,"LEVE",AND(Tabla1[[#This Row],[Porcentaje de muertes]]&gt;0.35,Tabla1[[#This Row],[Porcentaje de muertes]]&lt;0.65),"MEDIO",Tabla1[[#This Row],[Porcentaje de muertes]]&gt;0.65,"GRAVE")</f>
        <v>GRAVE</v>
      </c>
    </row>
    <row r="3257" spans="2:24" x14ac:dyDescent="0.3">
      <c r="B3257" s="9">
        <v>3256</v>
      </c>
      <c r="C3257" s="49">
        <v>30757</v>
      </c>
      <c r="D3257" s="9">
        <f>YEAR(Tabla1[[#This Row],[Date]])</f>
        <v>1984</v>
      </c>
      <c r="E3257" s="9" t="str" cm="1">
        <f t="array" ref="E3257">IFERROR(_xlfn.IFS(AND(D3257&lt;1980,D3257&gt;=1970),"70",AND(D3257&lt;1990,D3257&gt;=1980),"80",AND(D3257&lt;2000,D3257&gt;=1990),"90",AND(D3257&lt;2010,D3257&gt;=2000),"00",AND(D3257&lt;=2019,D3257&gt;=2010),"10"),"1908-1970")</f>
        <v>80</v>
      </c>
      <c r="F3257" s="3" t="s">
        <v>28931</v>
      </c>
      <c r="G3257" t="s">
        <v>19563</v>
      </c>
      <c r="H3257" t="s">
        <v>6750</v>
      </c>
      <c r="I3257" t="s">
        <v>28931</v>
      </c>
      <c r="J3257" t="s">
        <v>19564</v>
      </c>
      <c r="K3257" t="s">
        <v>19565</v>
      </c>
      <c r="L3257" s="7" t="s">
        <v>19566</v>
      </c>
      <c r="M3257" t="s">
        <v>19567</v>
      </c>
      <c r="N3257">
        <v>23</v>
      </c>
      <c r="O3257">
        <v>20</v>
      </c>
      <c r="P3257">
        <v>3</v>
      </c>
      <c r="Q3257">
        <v>23</v>
      </c>
      <c r="R3257">
        <v>20</v>
      </c>
      <c r="S3257">
        <v>3</v>
      </c>
      <c r="T3257">
        <v>0</v>
      </c>
      <c r="U3257" t="s">
        <v>19568</v>
      </c>
      <c r="V3257">
        <f>Tabla1[[#This Row],[Aboard]]-Tabla1[[#This Row],[Fatalities]]</f>
        <v>0</v>
      </c>
      <c r="W3257" s="50">
        <f>IFERROR(Tabla1[[#This Row],[Fatalities]]/Tabla1[[#This Row],[Aboard]],0)</f>
        <v>1</v>
      </c>
      <c r="X3257" s="51" t="str" cm="1">
        <f t="array" ref="X3257">_xlfn.IFS(Tabla1[[#This Row],[Porcentaje de muertes]]&lt;0.35,"LEVE",AND(Tabla1[[#This Row],[Porcentaje de muertes]]&gt;0.35,Tabla1[[#This Row],[Porcentaje de muertes]]&lt;0.65),"MEDIO",Tabla1[[#This Row],[Porcentaje de muertes]]&gt;0.65,"GRAVE")</f>
        <v>GRAVE</v>
      </c>
    </row>
    <row r="3258" spans="2:24" x14ac:dyDescent="0.3">
      <c r="B3258" s="9">
        <v>3257</v>
      </c>
      <c r="C3258" s="49">
        <v>30765</v>
      </c>
      <c r="D3258" s="9">
        <f>YEAR(Tabla1[[#This Row],[Date]])</f>
        <v>1984</v>
      </c>
      <c r="E3258" s="9" t="str" cm="1">
        <f t="array" ref="E3258">IFERROR(_xlfn.IFS(AND(D3258&lt;1980,D3258&gt;=1970),"70",AND(D3258&lt;1990,D3258&gt;=1980),"80",AND(D3258&lt;2000,D3258&gt;=1990),"90",AND(D3258&lt;2010,D3258&gt;=2000),"00",AND(D3258&lt;=2019,D3258&gt;=2010),"10"),"1908-1970")</f>
        <v>80</v>
      </c>
      <c r="F3258" s="3" t="s">
        <v>28931</v>
      </c>
      <c r="G3258" t="s">
        <v>19569</v>
      </c>
      <c r="H3258" t="s">
        <v>19570</v>
      </c>
      <c r="I3258" t="s">
        <v>28931</v>
      </c>
      <c r="J3258" t="s">
        <v>28931</v>
      </c>
      <c r="K3258" t="s">
        <v>8513</v>
      </c>
      <c r="L3258" s="7" t="s">
        <v>19571</v>
      </c>
      <c r="M3258">
        <v>10559</v>
      </c>
      <c r="N3258">
        <v>5</v>
      </c>
      <c r="O3258">
        <v>2</v>
      </c>
      <c r="P3258">
        <v>3</v>
      </c>
      <c r="Q3258">
        <v>5</v>
      </c>
      <c r="R3258">
        <v>2</v>
      </c>
      <c r="S3258">
        <v>3</v>
      </c>
      <c r="T3258">
        <v>0</v>
      </c>
      <c r="U3258" t="s">
        <v>19572</v>
      </c>
      <c r="V3258">
        <f>Tabla1[[#This Row],[Aboard]]-Tabla1[[#This Row],[Fatalities]]</f>
        <v>0</v>
      </c>
      <c r="W3258" s="50">
        <f>IFERROR(Tabla1[[#This Row],[Fatalities]]/Tabla1[[#This Row],[Aboard]],0)</f>
        <v>1</v>
      </c>
      <c r="X3258" s="51" t="str" cm="1">
        <f t="array" ref="X3258">_xlfn.IFS(Tabla1[[#This Row],[Porcentaje de muertes]]&lt;0.35,"LEVE",AND(Tabla1[[#This Row],[Porcentaje de muertes]]&gt;0.35,Tabla1[[#This Row],[Porcentaje de muertes]]&lt;0.65),"MEDIO",Tabla1[[#This Row],[Porcentaje de muertes]]&gt;0.65,"GRAVE")</f>
        <v>GRAVE</v>
      </c>
    </row>
    <row r="3259" spans="2:24" x14ac:dyDescent="0.3">
      <c r="B3259" s="9">
        <v>3258</v>
      </c>
      <c r="C3259" s="49">
        <v>30765</v>
      </c>
      <c r="D3259" s="9">
        <f>YEAR(Tabla1[[#This Row],[Date]])</f>
        <v>1984</v>
      </c>
      <c r="E3259" s="9" t="str" cm="1">
        <f t="array" ref="E3259">IFERROR(_xlfn.IFS(AND(D3259&lt;1980,D3259&gt;=1970),"70",AND(D3259&lt;1990,D3259&gt;=1980),"80",AND(D3259&lt;2000,D3259&gt;=1990),"90",AND(D3259&lt;2010,D3259&gt;=2000),"00",AND(D3259&lt;=2019,D3259&gt;=2010),"10"),"1908-1970")</f>
        <v>80</v>
      </c>
      <c r="F3259" s="3">
        <v>0.16666666666666666</v>
      </c>
      <c r="G3259" t="s">
        <v>19573</v>
      </c>
      <c r="H3259" t="s">
        <v>8891</v>
      </c>
      <c r="I3259" t="s">
        <v>28931</v>
      </c>
      <c r="J3259" t="s">
        <v>19574</v>
      </c>
      <c r="K3259" t="s">
        <v>19575</v>
      </c>
      <c r="L3259" s="7">
        <v>157132</v>
      </c>
      <c r="M3259" t="s">
        <v>28931</v>
      </c>
      <c r="N3259">
        <v>29</v>
      </c>
      <c r="O3259" t="s">
        <v>5038</v>
      </c>
      <c r="P3259" t="s">
        <v>5038</v>
      </c>
      <c r="Q3259">
        <v>29</v>
      </c>
      <c r="R3259" t="s">
        <v>5038</v>
      </c>
      <c r="S3259" t="s">
        <v>5038</v>
      </c>
      <c r="T3259">
        <v>0</v>
      </c>
      <c r="U3259" t="s">
        <v>19576</v>
      </c>
      <c r="V3259">
        <f>Tabla1[[#This Row],[Aboard]]-Tabla1[[#This Row],[Fatalities]]</f>
        <v>0</v>
      </c>
      <c r="W3259" s="50">
        <f>IFERROR(Tabla1[[#This Row],[Fatalities]]/Tabla1[[#This Row],[Aboard]],0)</f>
        <v>1</v>
      </c>
      <c r="X3259" s="51" t="str" cm="1">
        <f t="array" ref="X3259">_xlfn.IFS(Tabla1[[#This Row],[Porcentaje de muertes]]&lt;0.35,"LEVE",AND(Tabla1[[#This Row],[Porcentaje de muertes]]&gt;0.35,Tabla1[[#This Row],[Porcentaje de muertes]]&lt;0.65),"MEDIO",Tabla1[[#This Row],[Porcentaje de muertes]]&gt;0.65,"GRAVE")</f>
        <v>GRAVE</v>
      </c>
    </row>
    <row r="3260" spans="2:24" x14ac:dyDescent="0.3">
      <c r="B3260" s="9">
        <v>3259</v>
      </c>
      <c r="C3260" s="49">
        <v>30772</v>
      </c>
      <c r="D3260" s="9">
        <f>YEAR(Tabla1[[#This Row],[Date]])</f>
        <v>1984</v>
      </c>
      <c r="E3260" s="9" t="str" cm="1">
        <f t="array" ref="E3260">IFERROR(_xlfn.IFS(AND(D3260&lt;1980,D3260&gt;=1970),"70",AND(D3260&lt;1990,D3260&gt;=1980),"80",AND(D3260&lt;2000,D3260&gt;=1990),"90",AND(D3260&lt;2010,D3260&gt;=2000),"00",AND(D3260&lt;=2019,D3260&gt;=2010),"10"),"1908-1970")</f>
        <v>80</v>
      </c>
      <c r="F3260" s="3">
        <v>0.35416666666666669</v>
      </c>
      <c r="G3260" t="s">
        <v>19577</v>
      </c>
      <c r="H3260" t="s">
        <v>19578</v>
      </c>
      <c r="I3260" t="s">
        <v>28931</v>
      </c>
      <c r="J3260" t="s">
        <v>19579</v>
      </c>
      <c r="K3260" t="s">
        <v>18432</v>
      </c>
      <c r="L3260" s="7" t="s">
        <v>19580</v>
      </c>
      <c r="M3260" t="s">
        <v>19581</v>
      </c>
      <c r="N3260">
        <v>6</v>
      </c>
      <c r="O3260">
        <v>5</v>
      </c>
      <c r="P3260">
        <v>1</v>
      </c>
      <c r="Q3260">
        <v>6</v>
      </c>
      <c r="R3260">
        <v>5</v>
      </c>
      <c r="S3260">
        <v>1</v>
      </c>
      <c r="T3260">
        <v>0</v>
      </c>
      <c r="U3260" t="s">
        <v>19582</v>
      </c>
      <c r="V3260">
        <f>Tabla1[[#This Row],[Aboard]]-Tabla1[[#This Row],[Fatalities]]</f>
        <v>0</v>
      </c>
      <c r="W3260" s="50">
        <f>IFERROR(Tabla1[[#This Row],[Fatalities]]/Tabla1[[#This Row],[Aboard]],0)</f>
        <v>1</v>
      </c>
      <c r="X3260" s="51" t="str" cm="1">
        <f t="array" ref="X3260">_xlfn.IFS(Tabla1[[#This Row],[Porcentaje de muertes]]&lt;0.35,"LEVE",AND(Tabla1[[#This Row],[Porcentaje de muertes]]&gt;0.35,Tabla1[[#This Row],[Porcentaje de muertes]]&lt;0.65),"MEDIO",Tabla1[[#This Row],[Porcentaje de muertes]]&gt;0.65,"GRAVE")</f>
        <v>GRAVE</v>
      </c>
    </row>
    <row r="3261" spans="2:24" x14ac:dyDescent="0.3">
      <c r="B3261" s="9">
        <v>3260</v>
      </c>
      <c r="C3261" s="49">
        <v>30790</v>
      </c>
      <c r="D3261" s="9">
        <f>YEAR(Tabla1[[#This Row],[Date]])</f>
        <v>1984</v>
      </c>
      <c r="E3261" s="9" t="str" cm="1">
        <f t="array" ref="E3261">IFERROR(_xlfn.IFS(AND(D3261&lt;1980,D3261&gt;=1970),"70",AND(D3261&lt;1990,D3261&gt;=1980),"80",AND(D3261&lt;2000,D3261&gt;=1990),"90",AND(D3261&lt;2010,D3261&gt;=2000),"00",AND(D3261&lt;=2019,D3261&gt;=2010),"10"),"1908-1970")</f>
        <v>80</v>
      </c>
      <c r="F3261" s="3" t="s">
        <v>28931</v>
      </c>
      <c r="G3261" t="s">
        <v>19583</v>
      </c>
      <c r="H3261" t="s">
        <v>19584</v>
      </c>
      <c r="I3261" t="s">
        <v>28931</v>
      </c>
      <c r="J3261" t="s">
        <v>28931</v>
      </c>
      <c r="K3261" t="s">
        <v>19585</v>
      </c>
      <c r="L3261" s="7" t="s">
        <v>19586</v>
      </c>
      <c r="M3261" t="s">
        <v>19587</v>
      </c>
      <c r="N3261">
        <v>35</v>
      </c>
      <c r="O3261">
        <v>31</v>
      </c>
      <c r="P3261">
        <v>4</v>
      </c>
      <c r="Q3261">
        <v>19</v>
      </c>
      <c r="R3261">
        <v>17</v>
      </c>
      <c r="S3261">
        <v>2</v>
      </c>
      <c r="T3261">
        <v>0</v>
      </c>
      <c r="U3261" t="s">
        <v>19588</v>
      </c>
      <c r="V3261">
        <f>Tabla1[[#This Row],[Aboard]]-Tabla1[[#This Row],[Fatalities]]</f>
        <v>16</v>
      </c>
      <c r="W3261" s="50">
        <f>IFERROR(Tabla1[[#This Row],[Fatalities]]/Tabla1[[#This Row],[Aboard]],0)</f>
        <v>0.54285714285714282</v>
      </c>
      <c r="X3261" s="51" t="str" cm="1">
        <f t="array" ref="X3261">_xlfn.IFS(Tabla1[[#This Row],[Porcentaje de muertes]]&lt;0.35,"LEVE",AND(Tabla1[[#This Row],[Porcentaje de muertes]]&gt;0.35,Tabla1[[#This Row],[Porcentaje de muertes]]&lt;0.65),"MEDIO",Tabla1[[#This Row],[Porcentaje de muertes]]&gt;0.65,"GRAVE")</f>
        <v>MEDIO</v>
      </c>
    </row>
    <row r="3262" spans="2:24" x14ac:dyDescent="0.3">
      <c r="B3262" s="9">
        <v>3261</v>
      </c>
      <c r="C3262" s="49">
        <v>30899</v>
      </c>
      <c r="D3262" s="9">
        <f>YEAR(Tabla1[[#This Row],[Date]])</f>
        <v>1984</v>
      </c>
      <c r="E3262" s="9" t="str" cm="1">
        <f t="array" ref="E3262">IFERROR(_xlfn.IFS(AND(D3262&lt;1980,D3262&gt;=1970),"70",AND(D3262&lt;1990,D3262&gt;=1980),"80",AND(D3262&lt;2000,D3262&gt;=1990),"90",AND(D3262&lt;2010,D3262&gt;=2000),"00",AND(D3262&lt;=2019,D3262&gt;=2010),"10"),"1908-1970")</f>
        <v>80</v>
      </c>
      <c r="F3262" s="3" t="s">
        <v>28931</v>
      </c>
      <c r="G3262" t="s">
        <v>19589</v>
      </c>
      <c r="H3262" t="s">
        <v>10912</v>
      </c>
      <c r="I3262" t="s">
        <v>28931</v>
      </c>
      <c r="J3262" t="s">
        <v>28931</v>
      </c>
      <c r="K3262" t="s">
        <v>19590</v>
      </c>
      <c r="L3262" s="7" t="s">
        <v>28931</v>
      </c>
      <c r="M3262" t="s">
        <v>28931</v>
      </c>
      <c r="N3262">
        <v>2</v>
      </c>
      <c r="O3262">
        <v>0</v>
      </c>
      <c r="P3262">
        <v>2</v>
      </c>
      <c r="Q3262">
        <v>2</v>
      </c>
      <c r="R3262">
        <v>0</v>
      </c>
      <c r="S3262">
        <v>2</v>
      </c>
      <c r="T3262">
        <v>19</v>
      </c>
      <c r="U3262" t="s">
        <v>19591</v>
      </c>
      <c r="V3262">
        <f>Tabla1[[#This Row],[Aboard]]-Tabla1[[#This Row],[Fatalities]]</f>
        <v>0</v>
      </c>
      <c r="W3262" s="50">
        <f>IFERROR(Tabla1[[#This Row],[Fatalities]]/Tabla1[[#This Row],[Aboard]],0)</f>
        <v>1</v>
      </c>
      <c r="X3262" s="51" t="str" cm="1">
        <f t="array" ref="X3262">_xlfn.IFS(Tabla1[[#This Row],[Porcentaje de muertes]]&lt;0.35,"LEVE",AND(Tabla1[[#This Row],[Porcentaje de muertes]]&gt;0.35,Tabla1[[#This Row],[Porcentaje de muertes]]&lt;0.65),"MEDIO",Tabla1[[#This Row],[Porcentaje de muertes]]&gt;0.65,"GRAVE")</f>
        <v>GRAVE</v>
      </c>
    </row>
    <row r="3263" spans="2:24" x14ac:dyDescent="0.3">
      <c r="B3263" s="9">
        <v>3262</v>
      </c>
      <c r="C3263" s="49">
        <v>30832</v>
      </c>
      <c r="D3263" s="9">
        <f>YEAR(Tabla1[[#This Row],[Date]])</f>
        <v>1984</v>
      </c>
      <c r="E3263" s="9" t="str" cm="1">
        <f t="array" ref="E3263">IFERROR(_xlfn.IFS(AND(D3263&lt;1980,D3263&gt;=1970),"70",AND(D3263&lt;1990,D3263&gt;=1980),"80",AND(D3263&lt;2000,D3263&gt;=1990),"90",AND(D3263&lt;2010,D3263&gt;=2000),"00",AND(D3263&lt;=2019,D3263&gt;=2010),"10"),"1908-1970")</f>
        <v>80</v>
      </c>
      <c r="F3263" s="3">
        <v>7.2916666666666671E-2</v>
      </c>
      <c r="G3263" t="s">
        <v>19592</v>
      </c>
      <c r="H3263" t="s">
        <v>19593</v>
      </c>
      <c r="I3263" t="s">
        <v>28931</v>
      </c>
      <c r="J3263" t="s">
        <v>19594</v>
      </c>
      <c r="K3263" t="s">
        <v>17386</v>
      </c>
      <c r="L3263" s="7" t="s">
        <v>19595</v>
      </c>
      <c r="M3263">
        <v>1034</v>
      </c>
      <c r="N3263">
        <v>4</v>
      </c>
      <c r="O3263">
        <v>1</v>
      </c>
      <c r="P3263">
        <v>3</v>
      </c>
      <c r="Q3263">
        <v>4</v>
      </c>
      <c r="R3263">
        <v>1</v>
      </c>
      <c r="S3263">
        <v>3</v>
      </c>
      <c r="T3263">
        <v>0</v>
      </c>
      <c r="U3263" t="s">
        <v>19596</v>
      </c>
      <c r="V3263">
        <f>Tabla1[[#This Row],[Aboard]]-Tabla1[[#This Row],[Fatalities]]</f>
        <v>0</v>
      </c>
      <c r="W3263" s="50">
        <f>IFERROR(Tabla1[[#This Row],[Fatalities]]/Tabla1[[#This Row],[Aboard]],0)</f>
        <v>1</v>
      </c>
      <c r="X3263" s="51" t="str" cm="1">
        <f t="array" ref="X3263">_xlfn.IFS(Tabla1[[#This Row],[Porcentaje de muertes]]&lt;0.35,"LEVE",AND(Tabla1[[#This Row],[Porcentaje de muertes]]&gt;0.35,Tabla1[[#This Row],[Porcentaje de muertes]]&lt;0.65),"MEDIO",Tabla1[[#This Row],[Porcentaje de muertes]]&gt;0.65,"GRAVE")</f>
        <v>GRAVE</v>
      </c>
    </row>
    <row r="3264" spans="2:24" x14ac:dyDescent="0.3">
      <c r="B3264" s="9">
        <v>3263</v>
      </c>
      <c r="C3264" s="49">
        <v>30778</v>
      </c>
      <c r="D3264" s="9">
        <f>YEAR(Tabla1[[#This Row],[Date]])</f>
        <v>1984</v>
      </c>
      <c r="E3264" s="9" t="str" cm="1">
        <f t="array" ref="E3264">IFERROR(_xlfn.IFS(AND(D3264&lt;1980,D3264&gt;=1970),"70",AND(D3264&lt;1990,D3264&gt;=1980),"80",AND(D3264&lt;2000,D3264&gt;=1990),"90",AND(D3264&lt;2010,D3264&gt;=2000),"00",AND(D3264&lt;=2019,D3264&gt;=2010),"10"),"1908-1970")</f>
        <v>80</v>
      </c>
      <c r="F3264" s="3">
        <v>0.9868055555555556</v>
      </c>
      <c r="G3264" t="s">
        <v>10925</v>
      </c>
      <c r="H3264" t="s">
        <v>19597</v>
      </c>
      <c r="I3264" t="s">
        <v>28931</v>
      </c>
      <c r="J3264" t="s">
        <v>19598</v>
      </c>
      <c r="K3264" t="s">
        <v>19599</v>
      </c>
      <c r="L3264" s="7" t="s">
        <v>19600</v>
      </c>
      <c r="M3264" t="s">
        <v>19601</v>
      </c>
      <c r="N3264">
        <v>3</v>
      </c>
      <c r="O3264">
        <v>1</v>
      </c>
      <c r="P3264">
        <v>2</v>
      </c>
      <c r="Q3264">
        <v>3</v>
      </c>
      <c r="R3264">
        <v>1</v>
      </c>
      <c r="S3264">
        <v>2</v>
      </c>
      <c r="T3264">
        <v>0</v>
      </c>
      <c r="U3264" t="s">
        <v>19602</v>
      </c>
      <c r="V3264">
        <f>Tabla1[[#This Row],[Aboard]]-Tabla1[[#This Row],[Fatalities]]</f>
        <v>0</v>
      </c>
      <c r="W3264" s="50">
        <f>IFERROR(Tabla1[[#This Row],[Fatalities]]/Tabla1[[#This Row],[Aboard]],0)</f>
        <v>1</v>
      </c>
      <c r="X3264" s="51" t="str" cm="1">
        <f t="array" ref="X3264">_xlfn.IFS(Tabla1[[#This Row],[Porcentaje de muertes]]&lt;0.35,"LEVE",AND(Tabla1[[#This Row],[Porcentaje de muertes]]&gt;0.35,Tabla1[[#This Row],[Porcentaje de muertes]]&lt;0.65),"MEDIO",Tabla1[[#This Row],[Porcentaje de muertes]]&gt;0.65,"GRAVE")</f>
        <v>GRAVE</v>
      </c>
    </row>
    <row r="3265" spans="2:24" x14ac:dyDescent="0.3">
      <c r="B3265" s="9">
        <v>3264</v>
      </c>
      <c r="C3265" s="49">
        <v>30852</v>
      </c>
      <c r="D3265" s="9">
        <f>YEAR(Tabla1[[#This Row],[Date]])</f>
        <v>1984</v>
      </c>
      <c r="E3265" s="9" t="str" cm="1">
        <f t="array" ref="E3265">IFERROR(_xlfn.IFS(AND(D3265&lt;1980,D3265&gt;=1970),"70",AND(D3265&lt;1990,D3265&gt;=1980),"80",AND(D3265&lt;2000,D3265&gt;=1990),"90",AND(D3265&lt;2010,D3265&gt;=2000),"00",AND(D3265&lt;=2019,D3265&gt;=2010),"10"),"1908-1970")</f>
        <v>80</v>
      </c>
      <c r="F3265" s="3">
        <v>0.12152777777777778</v>
      </c>
      <c r="G3265" t="s">
        <v>19603</v>
      </c>
      <c r="H3265" t="s">
        <v>19604</v>
      </c>
      <c r="I3265" t="s">
        <v>28931</v>
      </c>
      <c r="J3265" t="s">
        <v>28931</v>
      </c>
      <c r="K3265" t="s">
        <v>19605</v>
      </c>
      <c r="L3265" s="7" t="s">
        <v>19606</v>
      </c>
      <c r="M3265" t="s">
        <v>28931</v>
      </c>
      <c r="N3265">
        <v>3</v>
      </c>
      <c r="O3265">
        <v>1</v>
      </c>
      <c r="P3265">
        <v>2</v>
      </c>
      <c r="Q3265">
        <v>3</v>
      </c>
      <c r="R3265">
        <v>1</v>
      </c>
      <c r="S3265">
        <v>2</v>
      </c>
      <c r="T3265">
        <v>0</v>
      </c>
      <c r="U3265" t="s">
        <v>19607</v>
      </c>
      <c r="V3265">
        <f>Tabla1[[#This Row],[Aboard]]-Tabla1[[#This Row],[Fatalities]]</f>
        <v>0</v>
      </c>
      <c r="W3265" s="50">
        <f>IFERROR(Tabla1[[#This Row],[Fatalities]]/Tabla1[[#This Row],[Aboard]],0)</f>
        <v>1</v>
      </c>
      <c r="X3265" s="51" t="str" cm="1">
        <f t="array" ref="X3265">_xlfn.IFS(Tabla1[[#This Row],[Porcentaje de muertes]]&lt;0.35,"LEVE",AND(Tabla1[[#This Row],[Porcentaje de muertes]]&gt;0.35,Tabla1[[#This Row],[Porcentaje de muertes]]&lt;0.65),"MEDIO",Tabla1[[#This Row],[Porcentaje de muertes]]&gt;0.65,"GRAVE")</f>
        <v>GRAVE</v>
      </c>
    </row>
    <row r="3266" spans="2:24" x14ac:dyDescent="0.3">
      <c r="B3266" s="9">
        <v>3265</v>
      </c>
      <c r="C3266" s="49">
        <v>30861</v>
      </c>
      <c r="D3266" s="9">
        <f>YEAR(Tabla1[[#This Row],[Date]])</f>
        <v>1984</v>
      </c>
      <c r="E3266" s="9" t="str" cm="1">
        <f t="array" ref="E3266">IFERROR(_xlfn.IFS(AND(D3266&lt;1980,D3266&gt;=1970),"70",AND(D3266&lt;1990,D3266&gt;=1980),"80",AND(D3266&lt;2000,D3266&gt;=1990),"90",AND(D3266&lt;2010,D3266&gt;=2000),"00",AND(D3266&lt;=2019,D3266&gt;=2010),"10"),"1908-1970")</f>
        <v>80</v>
      </c>
      <c r="F3266" s="3" t="s">
        <v>28931</v>
      </c>
      <c r="G3266" t="s">
        <v>19608</v>
      </c>
      <c r="H3266" t="s">
        <v>18326</v>
      </c>
      <c r="I3266" t="s">
        <v>28931</v>
      </c>
      <c r="J3266" t="s">
        <v>19609</v>
      </c>
      <c r="K3266" t="s">
        <v>17332</v>
      </c>
      <c r="L3266" s="7" t="s">
        <v>19610</v>
      </c>
      <c r="M3266" t="s">
        <v>19611</v>
      </c>
      <c r="N3266">
        <v>18</v>
      </c>
      <c r="O3266">
        <v>16</v>
      </c>
      <c r="P3266">
        <v>2</v>
      </c>
      <c r="Q3266">
        <v>18</v>
      </c>
      <c r="R3266">
        <v>16</v>
      </c>
      <c r="S3266">
        <v>2</v>
      </c>
      <c r="T3266">
        <v>0</v>
      </c>
      <c r="U3266" t="s">
        <v>19612</v>
      </c>
      <c r="V3266">
        <f>Tabla1[[#This Row],[Aboard]]-Tabla1[[#This Row],[Fatalities]]</f>
        <v>0</v>
      </c>
      <c r="W3266" s="50">
        <f>IFERROR(Tabla1[[#This Row],[Fatalities]]/Tabla1[[#This Row],[Aboard]],0)</f>
        <v>1</v>
      </c>
      <c r="X3266" s="51" t="str" cm="1">
        <f t="array" ref="X3266">_xlfn.IFS(Tabla1[[#This Row],[Porcentaje de muertes]]&lt;0.35,"LEVE",AND(Tabla1[[#This Row],[Porcentaje de muertes]]&gt;0.35,Tabla1[[#This Row],[Porcentaje de muertes]]&lt;0.65),"MEDIO",Tabla1[[#This Row],[Porcentaje de muertes]]&gt;0.65,"GRAVE")</f>
        <v>GRAVE</v>
      </c>
    </row>
    <row r="3267" spans="2:24" x14ac:dyDescent="0.3">
      <c r="B3267" s="9">
        <v>3266</v>
      </c>
      <c r="C3267" s="49">
        <v>30993</v>
      </c>
      <c r="D3267" s="9">
        <f>YEAR(Tabla1[[#This Row],[Date]])</f>
        <v>1984</v>
      </c>
      <c r="E3267" s="9" t="str" cm="1">
        <f t="array" ref="E3267">IFERROR(_xlfn.IFS(AND(D3267&lt;1980,D3267&gt;=1970),"70",AND(D3267&lt;1990,D3267&gt;=1980),"80",AND(D3267&lt;2000,D3267&gt;=1990),"90",AND(D3267&lt;2010,D3267&gt;=2000),"00",AND(D3267&lt;=2019,D3267&gt;=2010),"10"),"1908-1970")</f>
        <v>80</v>
      </c>
      <c r="F3267" s="3" t="s">
        <v>28931</v>
      </c>
      <c r="G3267" t="s">
        <v>19613</v>
      </c>
      <c r="H3267" t="s">
        <v>11996</v>
      </c>
      <c r="I3267" t="s">
        <v>28931</v>
      </c>
      <c r="J3267" t="s">
        <v>28931</v>
      </c>
      <c r="K3267" t="s">
        <v>19614</v>
      </c>
      <c r="L3267" s="7" t="s">
        <v>28931</v>
      </c>
      <c r="M3267" t="s">
        <v>28931</v>
      </c>
      <c r="N3267">
        <v>30</v>
      </c>
      <c r="O3267" t="s">
        <v>5038</v>
      </c>
      <c r="P3267" t="s">
        <v>5038</v>
      </c>
      <c r="Q3267">
        <v>30</v>
      </c>
      <c r="R3267" t="s">
        <v>5038</v>
      </c>
      <c r="S3267" t="s">
        <v>5038</v>
      </c>
      <c r="T3267">
        <v>0</v>
      </c>
      <c r="U3267" t="s">
        <v>19615</v>
      </c>
      <c r="V3267">
        <f>Tabla1[[#This Row],[Aboard]]-Tabla1[[#This Row],[Fatalities]]</f>
        <v>0</v>
      </c>
      <c r="W3267" s="50">
        <f>IFERROR(Tabla1[[#This Row],[Fatalities]]/Tabla1[[#This Row],[Aboard]],0)</f>
        <v>1</v>
      </c>
      <c r="X3267" s="51" t="str" cm="1">
        <f t="array" ref="X3267">_xlfn.IFS(Tabla1[[#This Row],[Porcentaje de muertes]]&lt;0.35,"LEVE",AND(Tabla1[[#This Row],[Porcentaje de muertes]]&gt;0.35,Tabla1[[#This Row],[Porcentaje de muertes]]&lt;0.65),"MEDIO",Tabla1[[#This Row],[Porcentaje de muertes]]&gt;0.65,"GRAVE")</f>
        <v>GRAVE</v>
      </c>
    </row>
    <row r="3268" spans="2:24" x14ac:dyDescent="0.3">
      <c r="B3268" s="9">
        <v>3267</v>
      </c>
      <c r="C3268" s="49">
        <v>31023</v>
      </c>
      <c r="D3268" s="9">
        <f>YEAR(Tabla1[[#This Row],[Date]])</f>
        <v>1984</v>
      </c>
      <c r="E3268" s="9" t="str" cm="1">
        <f t="array" ref="E3268">IFERROR(_xlfn.IFS(AND(D3268&lt;1980,D3268&gt;=1970),"70",AND(D3268&lt;1990,D3268&gt;=1980),"80",AND(D3268&lt;2000,D3268&gt;=1990),"90",AND(D3268&lt;2010,D3268&gt;=2000),"00",AND(D3268&lt;=2019,D3268&gt;=2010),"10"),"1908-1970")</f>
        <v>80</v>
      </c>
      <c r="F3268" s="3" t="s">
        <v>28931</v>
      </c>
      <c r="G3268" t="s">
        <v>19616</v>
      </c>
      <c r="H3268" t="s">
        <v>7987</v>
      </c>
      <c r="I3268" t="s">
        <v>28931</v>
      </c>
      <c r="J3268" t="s">
        <v>19617</v>
      </c>
      <c r="K3268" t="s">
        <v>19618</v>
      </c>
      <c r="L3268" s="7" t="s">
        <v>19619</v>
      </c>
      <c r="M3268" t="s">
        <v>19620</v>
      </c>
      <c r="N3268">
        <v>9</v>
      </c>
      <c r="O3268">
        <v>1</v>
      </c>
      <c r="P3268">
        <v>8</v>
      </c>
      <c r="Q3268">
        <v>9</v>
      </c>
      <c r="R3268">
        <v>1</v>
      </c>
      <c r="S3268">
        <v>8</v>
      </c>
      <c r="T3268">
        <v>0</v>
      </c>
      <c r="U3268" t="s">
        <v>19621</v>
      </c>
      <c r="V3268">
        <f>Tabla1[[#This Row],[Aboard]]-Tabla1[[#This Row],[Fatalities]]</f>
        <v>0</v>
      </c>
      <c r="W3268" s="50">
        <f>IFERROR(Tabla1[[#This Row],[Fatalities]]/Tabla1[[#This Row],[Aboard]],0)</f>
        <v>1</v>
      </c>
      <c r="X3268" s="51" t="str" cm="1">
        <f t="array" ref="X3268">_xlfn.IFS(Tabla1[[#This Row],[Porcentaje de muertes]]&lt;0.35,"LEVE",AND(Tabla1[[#This Row],[Porcentaje de muertes]]&gt;0.35,Tabla1[[#This Row],[Porcentaje de muertes]]&lt;0.65),"MEDIO",Tabla1[[#This Row],[Porcentaje de muertes]]&gt;0.65,"GRAVE")</f>
        <v>GRAVE</v>
      </c>
    </row>
    <row r="3269" spans="2:24" x14ac:dyDescent="0.3">
      <c r="B3269" s="9">
        <v>3268</v>
      </c>
      <c r="C3269" s="49">
        <v>30884</v>
      </c>
      <c r="D3269" s="9">
        <f>YEAR(Tabla1[[#This Row],[Date]])</f>
        <v>1984</v>
      </c>
      <c r="E3269" s="9" t="str" cm="1">
        <f t="array" ref="E3269">IFERROR(_xlfn.IFS(AND(D3269&lt;1980,D3269&gt;=1970),"70",AND(D3269&lt;1990,D3269&gt;=1980),"80",AND(D3269&lt;2000,D3269&gt;=1990),"90",AND(D3269&lt;2010,D3269&gt;=2000),"00",AND(D3269&lt;=2019,D3269&gt;=2010),"10"),"1908-1970")</f>
        <v>80</v>
      </c>
      <c r="F3269" s="3">
        <v>0.56944444444444442</v>
      </c>
      <c r="G3269" t="s">
        <v>19622</v>
      </c>
      <c r="H3269" t="s">
        <v>19623</v>
      </c>
      <c r="I3269" t="s">
        <v>28931</v>
      </c>
      <c r="J3269" t="s">
        <v>19624</v>
      </c>
      <c r="K3269" t="s">
        <v>16680</v>
      </c>
      <c r="L3269" s="7" t="s">
        <v>19625</v>
      </c>
      <c r="M3269">
        <v>669</v>
      </c>
      <c r="N3269">
        <v>14</v>
      </c>
      <c r="O3269">
        <v>11</v>
      </c>
      <c r="P3269">
        <v>3</v>
      </c>
      <c r="Q3269">
        <v>1</v>
      </c>
      <c r="R3269">
        <v>1</v>
      </c>
      <c r="S3269">
        <v>0</v>
      </c>
      <c r="T3269">
        <v>0</v>
      </c>
      <c r="U3269" t="s">
        <v>19626</v>
      </c>
      <c r="V3269">
        <f>Tabla1[[#This Row],[Aboard]]-Tabla1[[#This Row],[Fatalities]]</f>
        <v>13</v>
      </c>
      <c r="W3269" s="50">
        <f>IFERROR(Tabla1[[#This Row],[Fatalities]]/Tabla1[[#This Row],[Aboard]],0)</f>
        <v>7.1428571428571425E-2</v>
      </c>
      <c r="X3269" s="51" t="str" cm="1">
        <f t="array" ref="X3269">_xlfn.IFS(Tabla1[[#This Row],[Porcentaje de muertes]]&lt;0.35,"LEVE",AND(Tabla1[[#This Row],[Porcentaje de muertes]]&gt;0.35,Tabla1[[#This Row],[Porcentaje de muertes]]&lt;0.65),"MEDIO",Tabla1[[#This Row],[Porcentaje de muertes]]&gt;0.65,"GRAVE")</f>
        <v>LEVE</v>
      </c>
    </row>
    <row r="3270" spans="2:24" x14ac:dyDescent="0.3">
      <c r="B3270" s="9">
        <v>3269</v>
      </c>
      <c r="C3270" s="49">
        <v>30720</v>
      </c>
      <c r="D3270" s="9">
        <f>YEAR(Tabla1[[#This Row],[Date]])</f>
        <v>1984</v>
      </c>
      <c r="E3270" s="9" t="str" cm="1">
        <f t="array" ref="E3270">IFERROR(_xlfn.IFS(AND(D3270&lt;1980,D3270&gt;=1970),"70",AND(D3270&lt;1990,D3270&gt;=1980),"80",AND(D3270&lt;2000,D3270&gt;=1990),"90",AND(D3270&lt;2010,D3270&gt;=2000),"00",AND(D3270&lt;=2019,D3270&gt;=2010),"10"),"1908-1970")</f>
        <v>80</v>
      </c>
      <c r="F3270" s="3">
        <v>0.33680555555555558</v>
      </c>
      <c r="G3270" t="s">
        <v>18054</v>
      </c>
      <c r="H3270" t="s">
        <v>18055</v>
      </c>
      <c r="I3270" t="s">
        <v>28931</v>
      </c>
      <c r="J3270" t="s">
        <v>19627</v>
      </c>
      <c r="K3270" t="s">
        <v>15949</v>
      </c>
      <c r="L3270" s="7" t="s">
        <v>19628</v>
      </c>
      <c r="M3270">
        <v>38</v>
      </c>
      <c r="N3270">
        <v>9</v>
      </c>
      <c r="O3270">
        <v>8</v>
      </c>
      <c r="P3270">
        <v>1</v>
      </c>
      <c r="Q3270">
        <v>9</v>
      </c>
      <c r="R3270">
        <v>8</v>
      </c>
      <c r="S3270">
        <v>1</v>
      </c>
      <c r="T3270">
        <v>0</v>
      </c>
      <c r="U3270" t="s">
        <v>19629</v>
      </c>
      <c r="V3270">
        <f>Tabla1[[#This Row],[Aboard]]-Tabla1[[#This Row],[Fatalities]]</f>
        <v>0</v>
      </c>
      <c r="W3270" s="50">
        <f>IFERROR(Tabla1[[#This Row],[Fatalities]]/Tabla1[[#This Row],[Aboard]],0)</f>
        <v>1</v>
      </c>
      <c r="X3270" s="51" t="str" cm="1">
        <f t="array" ref="X3270">_xlfn.IFS(Tabla1[[#This Row],[Porcentaje de muertes]]&lt;0.35,"LEVE",AND(Tabla1[[#This Row],[Porcentaje de muertes]]&gt;0.35,Tabla1[[#This Row],[Porcentaje de muertes]]&lt;0.65),"MEDIO",Tabla1[[#This Row],[Porcentaje de muertes]]&gt;0.65,"GRAVE")</f>
        <v>GRAVE</v>
      </c>
    </row>
    <row r="3271" spans="2:24" x14ac:dyDescent="0.3">
      <c r="B3271" s="9">
        <v>3270</v>
      </c>
      <c r="C3271" s="49">
        <v>30780</v>
      </c>
      <c r="D3271" s="9">
        <f>YEAR(Tabla1[[#This Row],[Date]])</f>
        <v>1984</v>
      </c>
      <c r="E3271" s="9" t="str" cm="1">
        <f t="array" ref="E3271">IFERROR(_xlfn.IFS(AND(D3271&lt;1980,D3271&gt;=1970),"70",AND(D3271&lt;1990,D3271&gt;=1980),"80",AND(D3271&lt;2000,D3271&gt;=1990),"90",AND(D3271&lt;2010,D3271&gt;=2000),"00",AND(D3271&lt;=2019,D3271&gt;=2010),"10"),"1908-1970")</f>
        <v>80</v>
      </c>
      <c r="F3271" s="3" t="s">
        <v>28931</v>
      </c>
      <c r="G3271" t="s">
        <v>19630</v>
      </c>
      <c r="H3271" t="s">
        <v>6541</v>
      </c>
      <c r="I3271" t="s">
        <v>28931</v>
      </c>
      <c r="J3271" t="s">
        <v>19631</v>
      </c>
      <c r="K3271" t="s">
        <v>15139</v>
      </c>
      <c r="L3271" s="7" t="s">
        <v>19632</v>
      </c>
      <c r="M3271" t="s">
        <v>19633</v>
      </c>
      <c r="N3271">
        <v>24</v>
      </c>
      <c r="O3271">
        <v>15</v>
      </c>
      <c r="P3271">
        <v>9</v>
      </c>
      <c r="Q3271">
        <v>24</v>
      </c>
      <c r="R3271">
        <v>15</v>
      </c>
      <c r="S3271">
        <v>9</v>
      </c>
      <c r="T3271">
        <v>0</v>
      </c>
      <c r="U3271" t="s">
        <v>19634</v>
      </c>
      <c r="V3271">
        <f>Tabla1[[#This Row],[Aboard]]-Tabla1[[#This Row],[Fatalities]]</f>
        <v>0</v>
      </c>
      <c r="W3271" s="50">
        <f>IFERROR(Tabla1[[#This Row],[Fatalities]]/Tabla1[[#This Row],[Aboard]],0)</f>
        <v>1</v>
      </c>
      <c r="X3271" s="51" t="str" cm="1">
        <f t="array" ref="X3271">_xlfn.IFS(Tabla1[[#This Row],[Porcentaje de muertes]]&lt;0.35,"LEVE",AND(Tabla1[[#This Row],[Porcentaje de muertes]]&gt;0.35,Tabla1[[#This Row],[Porcentaje de muertes]]&lt;0.65),"MEDIO",Tabla1[[#This Row],[Porcentaje de muertes]]&gt;0.65,"GRAVE")</f>
        <v>GRAVE</v>
      </c>
    </row>
    <row r="3272" spans="2:24" x14ac:dyDescent="0.3">
      <c r="B3272" s="9">
        <v>3271</v>
      </c>
      <c r="C3272" s="49">
        <v>30810</v>
      </c>
      <c r="D3272" s="9">
        <f>YEAR(Tabla1[[#This Row],[Date]])</f>
        <v>1984</v>
      </c>
      <c r="E3272" s="9" t="str" cm="1">
        <f t="array" ref="E3272">IFERROR(_xlfn.IFS(AND(D3272&lt;1980,D3272&gt;=1970),"70",AND(D3272&lt;1990,D3272&gt;=1980),"80",AND(D3272&lt;2000,D3272&gt;=1990),"90",AND(D3272&lt;2010,D3272&gt;=2000),"00",AND(D3272&lt;=2019,D3272&gt;=2010),"10"),"1908-1970")</f>
        <v>80</v>
      </c>
      <c r="F3272" s="3" t="s">
        <v>28931</v>
      </c>
      <c r="G3272" t="s">
        <v>19635</v>
      </c>
      <c r="H3272" t="s">
        <v>19636</v>
      </c>
      <c r="I3272" t="s">
        <v>28931</v>
      </c>
      <c r="J3272" t="s">
        <v>19637</v>
      </c>
      <c r="K3272" t="s">
        <v>15526</v>
      </c>
      <c r="L3272" s="7" t="s">
        <v>19638</v>
      </c>
      <c r="M3272">
        <v>10453</v>
      </c>
      <c r="N3272">
        <v>49</v>
      </c>
      <c r="O3272">
        <v>45</v>
      </c>
      <c r="P3272">
        <v>4</v>
      </c>
      <c r="Q3272">
        <v>49</v>
      </c>
      <c r="R3272">
        <v>45</v>
      </c>
      <c r="S3272">
        <v>4</v>
      </c>
      <c r="T3272">
        <v>0</v>
      </c>
      <c r="U3272" t="s">
        <v>19639</v>
      </c>
      <c r="V3272">
        <f>Tabla1[[#This Row],[Aboard]]-Tabla1[[#This Row],[Fatalities]]</f>
        <v>0</v>
      </c>
      <c r="W3272" s="50">
        <f>IFERROR(Tabla1[[#This Row],[Fatalities]]/Tabla1[[#This Row],[Aboard]],0)</f>
        <v>1</v>
      </c>
      <c r="X3272" s="51" t="str" cm="1">
        <f t="array" ref="X3272">_xlfn.IFS(Tabla1[[#This Row],[Porcentaje de muertes]]&lt;0.35,"LEVE",AND(Tabla1[[#This Row],[Porcentaje de muertes]]&gt;0.35,Tabla1[[#This Row],[Porcentaje de muertes]]&lt;0.65),"MEDIO",Tabla1[[#This Row],[Porcentaje de muertes]]&gt;0.65,"GRAVE")</f>
        <v>GRAVE</v>
      </c>
    </row>
    <row r="3273" spans="2:24" x14ac:dyDescent="0.3">
      <c r="B3273" s="9">
        <v>3272</v>
      </c>
      <c r="C3273" s="49">
        <v>30994</v>
      </c>
      <c r="D3273" s="9">
        <f>YEAR(Tabla1[[#This Row],[Date]])</f>
        <v>1984</v>
      </c>
      <c r="E3273" s="9" t="str" cm="1">
        <f t="array" ref="E3273">IFERROR(_xlfn.IFS(AND(D3273&lt;1980,D3273&gt;=1970),"70",AND(D3273&lt;1990,D3273&gt;=1980),"80",AND(D3273&lt;2000,D3273&gt;=1990),"90",AND(D3273&lt;2010,D3273&gt;=2000),"00",AND(D3273&lt;=2019,D3273&gt;=2010),"10"),"1908-1970")</f>
        <v>80</v>
      </c>
      <c r="F3273" s="3">
        <v>4.1666666666666664E-2</v>
      </c>
      <c r="G3273" t="s">
        <v>9297</v>
      </c>
      <c r="H3273" t="s">
        <v>19640</v>
      </c>
      <c r="I3273" t="s">
        <v>28931</v>
      </c>
      <c r="J3273" t="s">
        <v>19641</v>
      </c>
      <c r="K3273" t="s">
        <v>7057</v>
      </c>
      <c r="L3273" s="7" t="s">
        <v>19642</v>
      </c>
      <c r="M3273">
        <v>12938</v>
      </c>
      <c r="N3273">
        <v>3</v>
      </c>
      <c r="O3273">
        <v>1</v>
      </c>
      <c r="P3273">
        <v>2</v>
      </c>
      <c r="Q3273">
        <v>3</v>
      </c>
      <c r="R3273">
        <v>1</v>
      </c>
      <c r="S3273">
        <v>2</v>
      </c>
      <c r="T3273">
        <v>0</v>
      </c>
      <c r="U3273" t="s">
        <v>19643</v>
      </c>
      <c r="V3273">
        <f>Tabla1[[#This Row],[Aboard]]-Tabla1[[#This Row],[Fatalities]]</f>
        <v>0</v>
      </c>
      <c r="W3273" s="50">
        <f>IFERROR(Tabla1[[#This Row],[Fatalities]]/Tabla1[[#This Row],[Aboard]],0)</f>
        <v>1</v>
      </c>
      <c r="X3273" s="51" t="str" cm="1">
        <f t="array" ref="X3273">_xlfn.IFS(Tabla1[[#This Row],[Porcentaje de muertes]]&lt;0.35,"LEVE",AND(Tabla1[[#This Row],[Porcentaje de muertes]]&gt;0.35,Tabla1[[#This Row],[Porcentaje de muertes]]&lt;0.65),"MEDIO",Tabla1[[#This Row],[Porcentaje de muertes]]&gt;0.65,"GRAVE")</f>
        <v>GRAVE</v>
      </c>
    </row>
    <row r="3274" spans="2:24" x14ac:dyDescent="0.3">
      <c r="B3274" s="9">
        <v>3273</v>
      </c>
      <c r="C3274" s="49">
        <v>30909</v>
      </c>
      <c r="D3274" s="9">
        <f>YEAR(Tabla1[[#This Row],[Date]])</f>
        <v>1984</v>
      </c>
      <c r="E3274" s="9" t="str" cm="1">
        <f t="array" ref="E3274">IFERROR(_xlfn.IFS(AND(D3274&lt;1980,D3274&gt;=1970),"70",AND(D3274&lt;1990,D3274&gt;=1980),"80",AND(D3274&lt;2000,D3274&gt;=1990),"90",AND(D3274&lt;2010,D3274&gt;=2000),"00",AND(D3274&lt;=2019,D3274&gt;=2010),"10"),"1908-1970")</f>
        <v>80</v>
      </c>
      <c r="F3274" s="3" t="s">
        <v>28931</v>
      </c>
      <c r="G3274" t="s">
        <v>19644</v>
      </c>
      <c r="H3274" t="s">
        <v>19645</v>
      </c>
      <c r="I3274" t="s">
        <v>28931</v>
      </c>
      <c r="J3274" t="s">
        <v>19646</v>
      </c>
      <c r="K3274" t="s">
        <v>8105</v>
      </c>
      <c r="L3274" s="7" t="s">
        <v>19647</v>
      </c>
      <c r="M3274">
        <v>12485</v>
      </c>
      <c r="N3274">
        <v>3</v>
      </c>
      <c r="O3274">
        <v>1</v>
      </c>
      <c r="P3274">
        <v>2</v>
      </c>
      <c r="Q3274">
        <v>2</v>
      </c>
      <c r="R3274">
        <v>1</v>
      </c>
      <c r="S3274">
        <v>1</v>
      </c>
      <c r="T3274">
        <v>0</v>
      </c>
      <c r="U3274" t="s">
        <v>9988</v>
      </c>
      <c r="V3274">
        <f>Tabla1[[#This Row],[Aboard]]-Tabla1[[#This Row],[Fatalities]]</f>
        <v>1</v>
      </c>
      <c r="W3274" s="50">
        <f>IFERROR(Tabla1[[#This Row],[Fatalities]]/Tabla1[[#This Row],[Aboard]],0)</f>
        <v>0.66666666666666663</v>
      </c>
      <c r="X3274" s="51" t="str" cm="1">
        <f t="array" ref="X3274">_xlfn.IFS(Tabla1[[#This Row],[Porcentaje de muertes]]&lt;0.35,"LEVE",AND(Tabla1[[#This Row],[Porcentaje de muertes]]&gt;0.35,Tabla1[[#This Row],[Porcentaje de muertes]]&lt;0.65),"MEDIO",Tabla1[[#This Row],[Porcentaje de muertes]]&gt;0.65,"GRAVE")</f>
        <v>GRAVE</v>
      </c>
    </row>
    <row r="3275" spans="2:24" x14ac:dyDescent="0.3">
      <c r="B3275" s="9">
        <v>3274</v>
      </c>
      <c r="C3275" s="49">
        <v>30918</v>
      </c>
      <c r="D3275" s="9">
        <f>YEAR(Tabla1[[#This Row],[Date]])</f>
        <v>1984</v>
      </c>
      <c r="E3275" s="9" t="str" cm="1">
        <f t="array" ref="E3275">IFERROR(_xlfn.IFS(AND(D3275&lt;1980,D3275&gt;=1970),"70",AND(D3275&lt;1990,D3275&gt;=1980),"80",AND(D3275&lt;2000,D3275&gt;=1990),"90",AND(D3275&lt;2010,D3275&gt;=2000),"00",AND(D3275&lt;=2019,D3275&gt;=2010),"10"),"1908-1970")</f>
        <v>80</v>
      </c>
      <c r="F3275" s="3">
        <v>0.47083333333333338</v>
      </c>
      <c r="G3275" t="s">
        <v>19648</v>
      </c>
      <c r="H3275" t="s">
        <v>19649</v>
      </c>
      <c r="I3275">
        <v>628</v>
      </c>
      <c r="J3275" t="s">
        <v>19650</v>
      </c>
      <c r="K3275" t="s">
        <v>19651</v>
      </c>
      <c r="L3275" s="7" t="s">
        <v>19652</v>
      </c>
      <c r="M3275" t="s">
        <v>19653</v>
      </c>
      <c r="N3275">
        <v>17</v>
      </c>
      <c r="O3275">
        <v>13</v>
      </c>
      <c r="P3275">
        <v>4</v>
      </c>
      <c r="Q3275">
        <v>17</v>
      </c>
      <c r="R3275">
        <v>13</v>
      </c>
      <c r="S3275">
        <v>4</v>
      </c>
      <c r="T3275">
        <v>0</v>
      </c>
      <c r="U3275" t="s">
        <v>19654</v>
      </c>
      <c r="V3275">
        <f>Tabla1[[#This Row],[Aboard]]-Tabla1[[#This Row],[Fatalities]]</f>
        <v>0</v>
      </c>
      <c r="W3275" s="50">
        <f>IFERROR(Tabla1[[#This Row],[Fatalities]]/Tabla1[[#This Row],[Aboard]],0)</f>
        <v>1</v>
      </c>
      <c r="X3275" s="51" t="str" cm="1">
        <f t="array" ref="X3275">_xlfn.IFS(Tabla1[[#This Row],[Porcentaje de muertes]]&lt;0.35,"LEVE",AND(Tabla1[[#This Row],[Porcentaje de muertes]]&gt;0.35,Tabla1[[#This Row],[Porcentaje de muertes]]&lt;0.65),"MEDIO",Tabla1[[#This Row],[Porcentaje de muertes]]&gt;0.65,"GRAVE")</f>
        <v>GRAVE</v>
      </c>
    </row>
    <row r="3276" spans="2:24" x14ac:dyDescent="0.3">
      <c r="B3276" s="9">
        <v>3275</v>
      </c>
      <c r="C3276" s="49">
        <v>30924</v>
      </c>
      <c r="D3276" s="9">
        <f>YEAR(Tabla1[[#This Row],[Date]])</f>
        <v>1984</v>
      </c>
      <c r="E3276" s="9" t="str" cm="1">
        <f t="array" ref="E3276">IFERROR(_xlfn.IFS(AND(D3276&lt;1980,D3276&gt;=1970),"70",AND(D3276&lt;1990,D3276&gt;=1980),"80",AND(D3276&lt;2000,D3276&gt;=1990),"90",AND(D3276&lt;2010,D3276&gt;=2000),"00",AND(D3276&lt;=2019,D3276&gt;=2010),"10"),"1908-1970")</f>
        <v>80</v>
      </c>
      <c r="F3276" s="3" t="s">
        <v>28931</v>
      </c>
      <c r="G3276" t="s">
        <v>13251</v>
      </c>
      <c r="H3276" t="s">
        <v>19003</v>
      </c>
      <c r="I3276">
        <v>786</v>
      </c>
      <c r="J3276" t="s">
        <v>19655</v>
      </c>
      <c r="K3276" t="s">
        <v>19656</v>
      </c>
      <c r="L3276" s="7" t="s">
        <v>19657</v>
      </c>
      <c r="M3276" t="s">
        <v>19658</v>
      </c>
      <c r="N3276">
        <v>116</v>
      </c>
      <c r="O3276">
        <v>109</v>
      </c>
      <c r="P3276">
        <v>7</v>
      </c>
      <c r="Q3276">
        <v>2</v>
      </c>
      <c r="R3276">
        <v>2</v>
      </c>
      <c r="S3276">
        <v>0</v>
      </c>
      <c r="T3276">
        <v>0</v>
      </c>
      <c r="U3276" t="s">
        <v>19659</v>
      </c>
      <c r="V3276">
        <f>Tabla1[[#This Row],[Aboard]]-Tabla1[[#This Row],[Fatalities]]</f>
        <v>114</v>
      </c>
      <c r="W3276" s="50">
        <f>IFERROR(Tabla1[[#This Row],[Fatalities]]/Tabla1[[#This Row],[Aboard]],0)</f>
        <v>1.7241379310344827E-2</v>
      </c>
      <c r="X3276" s="51" t="str" cm="1">
        <f t="array" ref="X3276">_xlfn.IFS(Tabla1[[#This Row],[Porcentaje de muertes]]&lt;0.35,"LEVE",AND(Tabla1[[#This Row],[Porcentaje de muertes]]&gt;0.35,Tabla1[[#This Row],[Porcentaje de muertes]]&lt;0.65),"MEDIO",Tabla1[[#This Row],[Porcentaje de muertes]]&gt;0.65,"GRAVE")</f>
        <v>LEVE</v>
      </c>
    </row>
    <row r="3277" spans="2:24" x14ac:dyDescent="0.3">
      <c r="B3277" s="9">
        <v>3276</v>
      </c>
      <c r="C3277" s="49">
        <v>30842</v>
      </c>
      <c r="D3277" s="9">
        <f>YEAR(Tabla1[[#This Row],[Date]])</f>
        <v>1984</v>
      </c>
      <c r="E3277" s="9" t="str" cm="1">
        <f t="array" ref="E3277">IFERROR(_xlfn.IFS(AND(D3277&lt;1980,D3277&gt;=1970),"70",AND(D3277&lt;1990,D3277&gt;=1980),"80",AND(D3277&lt;2000,D3277&gt;=1990),"90",AND(D3277&lt;2010,D3277&gt;=2000),"00",AND(D3277&lt;=2019,D3277&gt;=2010),"10"),"1908-1970")</f>
        <v>80</v>
      </c>
      <c r="F3277" s="3" t="s">
        <v>28931</v>
      </c>
      <c r="G3277" t="s">
        <v>19660</v>
      </c>
      <c r="H3277" t="s">
        <v>19661</v>
      </c>
      <c r="I3277" t="s">
        <v>28931</v>
      </c>
      <c r="J3277" t="s">
        <v>19662</v>
      </c>
      <c r="K3277" t="s">
        <v>19663</v>
      </c>
      <c r="L3277" s="7" t="s">
        <v>19664</v>
      </c>
      <c r="M3277">
        <v>756</v>
      </c>
      <c r="N3277">
        <v>11</v>
      </c>
      <c r="O3277">
        <v>9</v>
      </c>
      <c r="P3277">
        <v>2</v>
      </c>
      <c r="Q3277">
        <v>9</v>
      </c>
      <c r="R3277">
        <v>7</v>
      </c>
      <c r="S3277">
        <v>2</v>
      </c>
      <c r="T3277">
        <v>0</v>
      </c>
      <c r="U3277" t="s">
        <v>19665</v>
      </c>
      <c r="V3277">
        <f>Tabla1[[#This Row],[Aboard]]-Tabla1[[#This Row],[Fatalities]]</f>
        <v>2</v>
      </c>
      <c r="W3277" s="50">
        <f>IFERROR(Tabla1[[#This Row],[Fatalities]]/Tabla1[[#This Row],[Aboard]],0)</f>
        <v>0.81818181818181823</v>
      </c>
      <c r="X3277" s="51" t="str" cm="1">
        <f t="array" ref="X3277">_xlfn.IFS(Tabla1[[#This Row],[Porcentaje de muertes]]&lt;0.35,"LEVE",AND(Tabla1[[#This Row],[Porcentaje de muertes]]&gt;0.35,Tabla1[[#This Row],[Porcentaje de muertes]]&lt;0.65),"MEDIO",Tabla1[[#This Row],[Porcentaje de muertes]]&gt;0.65,"GRAVE")</f>
        <v>GRAVE</v>
      </c>
    </row>
    <row r="3278" spans="2:24" x14ac:dyDescent="0.3">
      <c r="B3278" s="9">
        <v>3277</v>
      </c>
      <c r="C3278" s="49">
        <v>30872</v>
      </c>
      <c r="D3278" s="9">
        <f>YEAR(Tabla1[[#This Row],[Date]])</f>
        <v>1984</v>
      </c>
      <c r="E3278" s="9" t="str" cm="1">
        <f t="array" ref="E3278">IFERROR(_xlfn.IFS(AND(D3278&lt;1980,D3278&gt;=1970),"70",AND(D3278&lt;1990,D3278&gt;=1980),"80",AND(D3278&lt;2000,D3278&gt;=1990),"90",AND(D3278&lt;2010,D3278&gt;=2000),"00",AND(D3278&lt;=2019,D3278&gt;=2010),"10"),"1908-1970")</f>
        <v>80</v>
      </c>
      <c r="F3278" s="3">
        <v>0.88194444444444453</v>
      </c>
      <c r="G3278" t="s">
        <v>19666</v>
      </c>
      <c r="H3278" t="s">
        <v>19667</v>
      </c>
      <c r="I3278" t="s">
        <v>28931</v>
      </c>
      <c r="J3278" t="s">
        <v>19668</v>
      </c>
      <c r="K3278" t="s">
        <v>19669</v>
      </c>
      <c r="L3278" s="7" t="s">
        <v>19670</v>
      </c>
      <c r="M3278" t="s">
        <v>19671</v>
      </c>
      <c r="N3278">
        <v>6</v>
      </c>
      <c r="O3278">
        <v>5</v>
      </c>
      <c r="P3278">
        <v>1</v>
      </c>
      <c r="Q3278">
        <v>1</v>
      </c>
      <c r="R3278">
        <v>1</v>
      </c>
      <c r="S3278">
        <v>0</v>
      </c>
      <c r="T3278">
        <v>0</v>
      </c>
      <c r="U3278" t="s">
        <v>19672</v>
      </c>
      <c r="V3278">
        <f>Tabla1[[#This Row],[Aboard]]-Tabla1[[#This Row],[Fatalities]]</f>
        <v>5</v>
      </c>
      <c r="W3278" s="50">
        <f>IFERROR(Tabla1[[#This Row],[Fatalities]]/Tabla1[[#This Row],[Aboard]],0)</f>
        <v>0.16666666666666666</v>
      </c>
      <c r="X3278" s="51" t="str" cm="1">
        <f t="array" ref="X3278">_xlfn.IFS(Tabla1[[#This Row],[Porcentaje de muertes]]&lt;0.35,"LEVE",AND(Tabla1[[#This Row],[Porcentaje de muertes]]&gt;0.35,Tabla1[[#This Row],[Porcentaje de muertes]]&lt;0.65),"MEDIO",Tabla1[[#This Row],[Porcentaje de muertes]]&gt;0.65,"GRAVE")</f>
        <v>LEVE</v>
      </c>
    </row>
    <row r="3279" spans="2:24" x14ac:dyDescent="0.3">
      <c r="B3279" s="9">
        <v>3278</v>
      </c>
      <c r="C3279" s="49">
        <v>30995</v>
      </c>
      <c r="D3279" s="9">
        <f>YEAR(Tabla1[[#This Row],[Date]])</f>
        <v>1984</v>
      </c>
      <c r="E3279" s="9" t="str" cm="1">
        <f t="array" ref="E3279">IFERROR(_xlfn.IFS(AND(D3279&lt;1980,D3279&gt;=1970),"70",AND(D3279&lt;1990,D3279&gt;=1980),"80",AND(D3279&lt;2000,D3279&gt;=1990),"90",AND(D3279&lt;2010,D3279&gt;=2000),"00",AND(D3279&lt;=2019,D3279&gt;=2010),"10"),"1908-1970")</f>
        <v>80</v>
      </c>
      <c r="F3279" s="3" t="s">
        <v>28931</v>
      </c>
      <c r="G3279" t="s">
        <v>19673</v>
      </c>
      <c r="H3279" t="s">
        <v>19674</v>
      </c>
      <c r="I3279" t="s">
        <v>28931</v>
      </c>
      <c r="J3279" t="s">
        <v>19675</v>
      </c>
      <c r="K3279" t="s">
        <v>19676</v>
      </c>
      <c r="L3279" s="7" t="s">
        <v>19677</v>
      </c>
      <c r="M3279">
        <v>303</v>
      </c>
      <c r="N3279">
        <v>30</v>
      </c>
      <c r="O3279">
        <v>25</v>
      </c>
      <c r="P3279">
        <v>5</v>
      </c>
      <c r="Q3279">
        <v>30</v>
      </c>
      <c r="R3279">
        <v>25</v>
      </c>
      <c r="S3279">
        <v>5</v>
      </c>
      <c r="T3279">
        <v>0</v>
      </c>
      <c r="U3279" t="s">
        <v>19678</v>
      </c>
      <c r="V3279">
        <f>Tabla1[[#This Row],[Aboard]]-Tabla1[[#This Row],[Fatalities]]</f>
        <v>0</v>
      </c>
      <c r="W3279" s="50">
        <f>IFERROR(Tabla1[[#This Row],[Fatalities]]/Tabla1[[#This Row],[Aboard]],0)</f>
        <v>1</v>
      </c>
      <c r="X3279" s="51" t="str" cm="1">
        <f t="array" ref="X3279">_xlfn.IFS(Tabla1[[#This Row],[Porcentaje de muertes]]&lt;0.35,"LEVE",AND(Tabla1[[#This Row],[Porcentaje de muertes]]&gt;0.35,Tabla1[[#This Row],[Porcentaje de muertes]]&lt;0.65),"MEDIO",Tabla1[[#This Row],[Porcentaje de muertes]]&gt;0.65,"GRAVE")</f>
        <v>GRAVE</v>
      </c>
    </row>
    <row r="3280" spans="2:24" x14ac:dyDescent="0.3">
      <c r="B3280" s="9">
        <v>3279</v>
      </c>
      <c r="C3280" s="49">
        <v>30941</v>
      </c>
      <c r="D3280" s="9">
        <f>YEAR(Tabla1[[#This Row],[Date]])</f>
        <v>1984</v>
      </c>
      <c r="E3280" s="9" t="str" cm="1">
        <f t="array" ref="E3280">IFERROR(_xlfn.IFS(AND(D3280&lt;1980,D3280&gt;=1970),"70",AND(D3280&lt;1990,D3280&gt;=1980),"80",AND(D3280&lt;2000,D3280&gt;=1990),"90",AND(D3280&lt;2010,D3280&gt;=2000),"00",AND(D3280&lt;=2019,D3280&gt;=2010),"10"),"1908-1970")</f>
        <v>80</v>
      </c>
      <c r="F3280" s="3" t="s">
        <v>28931</v>
      </c>
      <c r="G3280" t="s">
        <v>19679</v>
      </c>
      <c r="H3280" t="s">
        <v>19680</v>
      </c>
      <c r="I3280" t="s">
        <v>28931</v>
      </c>
      <c r="J3280" t="s">
        <v>19681</v>
      </c>
      <c r="K3280" t="s">
        <v>19682</v>
      </c>
      <c r="L3280" s="7" t="s">
        <v>19683</v>
      </c>
      <c r="M3280" t="s">
        <v>19684</v>
      </c>
      <c r="N3280">
        <v>25</v>
      </c>
      <c r="O3280">
        <v>22</v>
      </c>
      <c r="P3280">
        <v>3</v>
      </c>
      <c r="Q3280">
        <v>11</v>
      </c>
      <c r="R3280">
        <v>11</v>
      </c>
      <c r="S3280">
        <v>0</v>
      </c>
      <c r="T3280">
        <v>0</v>
      </c>
      <c r="U3280" t="s">
        <v>19685</v>
      </c>
      <c r="V3280">
        <f>Tabla1[[#This Row],[Aboard]]-Tabla1[[#This Row],[Fatalities]]</f>
        <v>14</v>
      </c>
      <c r="W3280" s="50">
        <f>IFERROR(Tabla1[[#This Row],[Fatalities]]/Tabla1[[#This Row],[Aboard]],0)</f>
        <v>0.44</v>
      </c>
      <c r="X3280" s="51" t="str" cm="1">
        <f t="array" ref="X3280">_xlfn.IFS(Tabla1[[#This Row],[Porcentaje de muertes]]&lt;0.35,"LEVE",AND(Tabla1[[#This Row],[Porcentaje de muertes]]&gt;0.35,Tabla1[[#This Row],[Porcentaje de muertes]]&lt;0.65),"MEDIO",Tabla1[[#This Row],[Porcentaje de muertes]]&gt;0.65,"GRAVE")</f>
        <v>MEDIO</v>
      </c>
    </row>
    <row r="3281" spans="2:24" x14ac:dyDescent="0.3">
      <c r="B3281" s="9">
        <v>3280</v>
      </c>
      <c r="C3281" s="49">
        <v>30943</v>
      </c>
      <c r="D3281" s="9">
        <f>YEAR(Tabla1[[#This Row],[Date]])</f>
        <v>1984</v>
      </c>
      <c r="E3281" s="9" t="str" cm="1">
        <f t="array" ref="E3281">IFERROR(_xlfn.IFS(AND(D3281&lt;1980,D3281&gt;=1970),"70",AND(D3281&lt;1990,D3281&gt;=1980),"80",AND(D3281&lt;2000,D3281&gt;=1990),"90",AND(D3281&lt;2010,D3281&gt;=2000),"00",AND(D3281&lt;=2019,D3281&gt;=2010),"10"),"1908-1970")</f>
        <v>80</v>
      </c>
      <c r="F3281" s="3">
        <v>0.46111111111111108</v>
      </c>
      <c r="G3281" t="s">
        <v>12314</v>
      </c>
      <c r="H3281" t="s">
        <v>19686</v>
      </c>
      <c r="I3281" t="s">
        <v>19687</v>
      </c>
      <c r="J3281" t="s">
        <v>10069</v>
      </c>
      <c r="K3281" t="s">
        <v>19688</v>
      </c>
      <c r="L3281" s="7" t="s">
        <v>19689</v>
      </c>
      <c r="M3281" t="s">
        <v>19690</v>
      </c>
      <c r="N3281">
        <v>4</v>
      </c>
      <c r="O3281">
        <v>0</v>
      </c>
      <c r="P3281">
        <v>4</v>
      </c>
      <c r="Q3281">
        <v>4</v>
      </c>
      <c r="R3281">
        <v>0</v>
      </c>
      <c r="S3281">
        <v>4</v>
      </c>
      <c r="T3281">
        <v>49</v>
      </c>
      <c r="U3281" t="s">
        <v>19691</v>
      </c>
      <c r="V3281">
        <f>Tabla1[[#This Row],[Aboard]]-Tabla1[[#This Row],[Fatalities]]</f>
        <v>0</v>
      </c>
      <c r="W3281" s="50">
        <f>IFERROR(Tabla1[[#This Row],[Fatalities]]/Tabla1[[#This Row],[Aboard]],0)</f>
        <v>1</v>
      </c>
      <c r="X3281" s="51" t="str" cm="1">
        <f t="array" ref="X3281">_xlfn.IFS(Tabla1[[#This Row],[Porcentaje de muertes]]&lt;0.35,"LEVE",AND(Tabla1[[#This Row],[Porcentaje de muertes]]&gt;0.35,Tabla1[[#This Row],[Porcentaje de muertes]]&lt;0.65),"MEDIO",Tabla1[[#This Row],[Porcentaje de muertes]]&gt;0.65,"GRAVE")</f>
        <v>GRAVE</v>
      </c>
    </row>
    <row r="3282" spans="2:24" x14ac:dyDescent="0.3">
      <c r="B3282" s="9">
        <v>3281</v>
      </c>
      <c r="C3282" s="49">
        <v>30946</v>
      </c>
      <c r="D3282" s="9">
        <f>YEAR(Tabla1[[#This Row],[Date]])</f>
        <v>1984</v>
      </c>
      <c r="E3282" s="9" t="str" cm="1">
        <f t="array" ref="E3282">IFERROR(_xlfn.IFS(AND(D3282&lt;1980,D3282&gt;=1970),"70",AND(D3282&lt;1990,D3282&gt;=1980),"80",AND(D3282&lt;2000,D3282&gt;=1990),"90",AND(D3282&lt;2010,D3282&gt;=2000),"00",AND(D3282&lt;=2019,D3282&gt;=2010),"10"),"1908-1970")</f>
        <v>80</v>
      </c>
      <c r="F3282" s="3" t="s">
        <v>28931</v>
      </c>
      <c r="G3282" t="s">
        <v>19692</v>
      </c>
      <c r="H3282" t="s">
        <v>15187</v>
      </c>
      <c r="I3282" t="s">
        <v>28931</v>
      </c>
      <c r="J3282" t="s">
        <v>28931</v>
      </c>
      <c r="K3282" t="s">
        <v>13992</v>
      </c>
      <c r="L3282" s="7" t="s">
        <v>28931</v>
      </c>
      <c r="M3282" t="s">
        <v>28931</v>
      </c>
      <c r="N3282">
        <v>50</v>
      </c>
      <c r="O3282">
        <v>45</v>
      </c>
      <c r="P3282">
        <v>5</v>
      </c>
      <c r="Q3282">
        <v>50</v>
      </c>
      <c r="R3282">
        <v>45</v>
      </c>
      <c r="S3282">
        <v>5</v>
      </c>
      <c r="T3282">
        <v>0</v>
      </c>
      <c r="U3282" t="s">
        <v>19693</v>
      </c>
      <c r="V3282">
        <f>Tabla1[[#This Row],[Aboard]]-Tabla1[[#This Row],[Fatalities]]</f>
        <v>0</v>
      </c>
      <c r="W3282" s="50">
        <f>IFERROR(Tabla1[[#This Row],[Fatalities]]/Tabla1[[#This Row],[Aboard]],0)</f>
        <v>1</v>
      </c>
      <c r="X3282" s="51" t="str" cm="1">
        <f t="array" ref="X3282">_xlfn.IFS(Tabla1[[#This Row],[Porcentaje de muertes]]&lt;0.35,"LEVE",AND(Tabla1[[#This Row],[Porcentaje de muertes]]&gt;0.35,Tabla1[[#This Row],[Porcentaje de muertes]]&lt;0.65),"MEDIO",Tabla1[[#This Row],[Porcentaje de muertes]]&gt;0.65,"GRAVE")</f>
        <v>GRAVE</v>
      </c>
    </row>
    <row r="3283" spans="2:24" x14ac:dyDescent="0.3">
      <c r="B3283" s="9">
        <v>3282</v>
      </c>
      <c r="C3283" s="49">
        <v>30935</v>
      </c>
      <c r="D3283" s="9">
        <f>YEAR(Tabla1[[#This Row],[Date]])</f>
        <v>1984</v>
      </c>
      <c r="E3283" s="9" t="str" cm="1">
        <f t="array" ref="E3283">IFERROR(_xlfn.IFS(AND(D3283&lt;1980,D3283&gt;=1970),"70",AND(D3283&lt;1990,D3283&gt;=1980),"80",AND(D3283&lt;2000,D3283&gt;=1990),"90",AND(D3283&lt;2010,D3283&gt;=2000),"00",AND(D3283&lt;=2019,D3283&gt;=2010),"10"),"1908-1970")</f>
        <v>80</v>
      </c>
      <c r="F3283" s="3" t="s">
        <v>28931</v>
      </c>
      <c r="G3283" t="s">
        <v>19694</v>
      </c>
      <c r="H3283" t="s">
        <v>19695</v>
      </c>
      <c r="I3283" t="s">
        <v>28931</v>
      </c>
      <c r="J3283" t="s">
        <v>19696</v>
      </c>
      <c r="K3283" t="s">
        <v>14888</v>
      </c>
      <c r="L3283" s="7" t="s">
        <v>19697</v>
      </c>
      <c r="M3283">
        <v>115</v>
      </c>
      <c r="N3283">
        <v>7</v>
      </c>
      <c r="O3283">
        <v>6</v>
      </c>
      <c r="P3283">
        <v>1</v>
      </c>
      <c r="Q3283">
        <v>7</v>
      </c>
      <c r="R3283">
        <v>6</v>
      </c>
      <c r="S3283">
        <v>1</v>
      </c>
      <c r="T3283">
        <v>0</v>
      </c>
      <c r="U3283" t="s">
        <v>19698</v>
      </c>
      <c r="V3283">
        <f>Tabla1[[#This Row],[Aboard]]-Tabla1[[#This Row],[Fatalities]]</f>
        <v>0</v>
      </c>
      <c r="W3283" s="50">
        <f>IFERROR(Tabla1[[#This Row],[Fatalities]]/Tabla1[[#This Row],[Aboard]],0)</f>
        <v>1</v>
      </c>
      <c r="X3283" s="51" t="str" cm="1">
        <f t="array" ref="X3283">_xlfn.IFS(Tabla1[[#This Row],[Porcentaje de muertes]]&lt;0.35,"LEVE",AND(Tabla1[[#This Row],[Porcentaje de muertes]]&gt;0.35,Tabla1[[#This Row],[Porcentaje de muertes]]&lt;0.65),"MEDIO",Tabla1[[#This Row],[Porcentaje de muertes]]&gt;0.65,"GRAVE")</f>
        <v>GRAVE</v>
      </c>
    </row>
    <row r="3284" spans="2:24" x14ac:dyDescent="0.3">
      <c r="B3284" s="9">
        <v>3283</v>
      </c>
      <c r="C3284" s="49">
        <v>30996</v>
      </c>
      <c r="D3284" s="9">
        <f>YEAR(Tabla1[[#This Row],[Date]])</f>
        <v>1984</v>
      </c>
      <c r="E3284" s="9" t="str" cm="1">
        <f t="array" ref="E3284">IFERROR(_xlfn.IFS(AND(D3284&lt;1980,D3284&gt;=1970),"70",AND(D3284&lt;1990,D3284&gt;=1980),"80",AND(D3284&lt;2000,D3284&gt;=1990),"90",AND(D3284&lt;2010,D3284&gt;=2000),"00",AND(D3284&lt;=2019,D3284&gt;=2010),"10"),"1908-1970")</f>
        <v>80</v>
      </c>
      <c r="F3284" s="3">
        <v>0.23611111111111113</v>
      </c>
      <c r="G3284" t="s">
        <v>19699</v>
      </c>
      <c r="H3284" t="s">
        <v>6541</v>
      </c>
      <c r="I3284">
        <v>3352</v>
      </c>
      <c r="J3284" t="s">
        <v>19700</v>
      </c>
      <c r="K3284" t="s">
        <v>17443</v>
      </c>
      <c r="L3284" s="7" t="s">
        <v>19701</v>
      </c>
      <c r="M3284">
        <v>243</v>
      </c>
      <c r="N3284">
        <v>179</v>
      </c>
      <c r="O3284">
        <v>170</v>
      </c>
      <c r="P3284">
        <v>9</v>
      </c>
      <c r="Q3284">
        <v>174</v>
      </c>
      <c r="R3284">
        <v>169</v>
      </c>
      <c r="S3284">
        <v>5</v>
      </c>
      <c r="T3284">
        <v>4</v>
      </c>
      <c r="U3284" t="s">
        <v>19702</v>
      </c>
      <c r="V3284">
        <f>Tabla1[[#This Row],[Aboard]]-Tabla1[[#This Row],[Fatalities]]</f>
        <v>5</v>
      </c>
      <c r="W3284" s="50">
        <f>IFERROR(Tabla1[[#This Row],[Fatalities]]/Tabla1[[#This Row],[Aboard]],0)</f>
        <v>0.97206703910614523</v>
      </c>
      <c r="X3284" s="51" t="str" cm="1">
        <f t="array" ref="X3284">_xlfn.IFS(Tabla1[[#This Row],[Porcentaje de muertes]]&lt;0.35,"LEVE",AND(Tabla1[[#This Row],[Porcentaje de muertes]]&gt;0.35,Tabla1[[#This Row],[Porcentaje de muertes]]&lt;0.65),"MEDIO",Tabla1[[#This Row],[Porcentaje de muertes]]&gt;0.65,"GRAVE")</f>
        <v>GRAVE</v>
      </c>
    </row>
    <row r="3285" spans="2:24" x14ac:dyDescent="0.3">
      <c r="B3285" s="9">
        <v>3284</v>
      </c>
      <c r="C3285" s="49">
        <v>30996</v>
      </c>
      <c r="D3285" s="9">
        <f>YEAR(Tabla1[[#This Row],[Date]])</f>
        <v>1984</v>
      </c>
      <c r="E3285" s="9" t="str" cm="1">
        <f t="array" ref="E3285">IFERROR(_xlfn.IFS(AND(D3285&lt;1980,D3285&gt;=1970),"70",AND(D3285&lt;1990,D3285&gt;=1980),"80",AND(D3285&lt;2000,D3285&gt;=1990),"90",AND(D3285&lt;2010,D3285&gt;=2000),"00",AND(D3285&lt;=2019,D3285&gt;=2010),"10"),"1908-1970")</f>
        <v>80</v>
      </c>
      <c r="F3285" s="3">
        <v>0.73402777777777783</v>
      </c>
      <c r="G3285" t="s">
        <v>19703</v>
      </c>
      <c r="H3285" t="s">
        <v>19704</v>
      </c>
      <c r="I3285" t="s">
        <v>28931</v>
      </c>
      <c r="J3285" t="s">
        <v>19705</v>
      </c>
      <c r="K3285" t="s">
        <v>14888</v>
      </c>
      <c r="L3285" s="7" t="s">
        <v>19706</v>
      </c>
      <c r="M3285">
        <v>34</v>
      </c>
      <c r="N3285">
        <v>4</v>
      </c>
      <c r="O3285">
        <v>2</v>
      </c>
      <c r="P3285">
        <v>2</v>
      </c>
      <c r="Q3285">
        <v>4</v>
      </c>
      <c r="R3285">
        <v>2</v>
      </c>
      <c r="S3285">
        <v>2</v>
      </c>
      <c r="T3285">
        <v>0</v>
      </c>
      <c r="U3285" t="s">
        <v>19707</v>
      </c>
      <c r="V3285">
        <f>Tabla1[[#This Row],[Aboard]]-Tabla1[[#This Row],[Fatalities]]</f>
        <v>0</v>
      </c>
      <c r="W3285" s="50">
        <f>IFERROR(Tabla1[[#This Row],[Fatalities]]/Tabla1[[#This Row],[Aboard]],0)</f>
        <v>1</v>
      </c>
      <c r="X3285" s="51" t="str" cm="1">
        <f t="array" ref="X3285">_xlfn.IFS(Tabla1[[#This Row],[Porcentaje de muertes]]&lt;0.35,"LEVE",AND(Tabla1[[#This Row],[Porcentaje de muertes]]&gt;0.35,Tabla1[[#This Row],[Porcentaje de muertes]]&lt;0.65),"MEDIO",Tabla1[[#This Row],[Porcentaje de muertes]]&gt;0.65,"GRAVE")</f>
        <v>GRAVE</v>
      </c>
    </row>
    <row r="3286" spans="2:24" x14ac:dyDescent="0.3">
      <c r="B3286" s="9">
        <v>3285</v>
      </c>
      <c r="C3286" s="49">
        <v>30982</v>
      </c>
      <c r="D3286" s="9">
        <f>YEAR(Tabla1[[#This Row],[Date]])</f>
        <v>1984</v>
      </c>
      <c r="E3286" s="9" t="str" cm="1">
        <f t="array" ref="E3286">IFERROR(_xlfn.IFS(AND(D3286&lt;1980,D3286&gt;=1970),"70",AND(D3286&lt;1990,D3286&gt;=1980),"80",AND(D3286&lt;2000,D3286&gt;=1990),"90",AND(D3286&lt;2010,D3286&gt;=2000),"00",AND(D3286&lt;=2019,D3286&gt;=2010),"10"),"1908-1970")</f>
        <v>80</v>
      </c>
      <c r="F3286" s="3" t="s">
        <v>28931</v>
      </c>
      <c r="G3286" t="s">
        <v>19708</v>
      </c>
      <c r="H3286" t="s">
        <v>19709</v>
      </c>
      <c r="I3286" t="s">
        <v>28931</v>
      </c>
      <c r="J3286" t="s">
        <v>19710</v>
      </c>
      <c r="K3286" t="s">
        <v>19711</v>
      </c>
      <c r="L3286" s="7" t="s">
        <v>19712</v>
      </c>
      <c r="M3286">
        <v>83412354</v>
      </c>
      <c r="N3286">
        <v>11</v>
      </c>
      <c r="O3286">
        <v>7</v>
      </c>
      <c r="P3286">
        <v>4</v>
      </c>
      <c r="Q3286">
        <v>11</v>
      </c>
      <c r="R3286">
        <v>7</v>
      </c>
      <c r="S3286">
        <v>4</v>
      </c>
      <c r="T3286">
        <v>0</v>
      </c>
      <c r="U3286" t="s">
        <v>19713</v>
      </c>
      <c r="V3286">
        <f>Tabla1[[#This Row],[Aboard]]-Tabla1[[#This Row],[Fatalities]]</f>
        <v>0</v>
      </c>
      <c r="W3286" s="50">
        <f>IFERROR(Tabla1[[#This Row],[Fatalities]]/Tabla1[[#This Row],[Aboard]],0)</f>
        <v>1</v>
      </c>
      <c r="X3286" s="51" t="str" cm="1">
        <f t="array" ref="X3286">_xlfn.IFS(Tabla1[[#This Row],[Porcentaje de muertes]]&lt;0.35,"LEVE",AND(Tabla1[[#This Row],[Porcentaje de muertes]]&gt;0.35,Tabla1[[#This Row],[Porcentaje de muertes]]&lt;0.65),"MEDIO",Tabla1[[#This Row],[Porcentaje de muertes]]&gt;0.65,"GRAVE")</f>
        <v>GRAVE</v>
      </c>
    </row>
    <row r="3287" spans="2:24" x14ac:dyDescent="0.3">
      <c r="B3287" s="9">
        <v>3286</v>
      </c>
      <c r="C3287" s="49">
        <v>30986</v>
      </c>
      <c r="D3287" s="9">
        <f>YEAR(Tabla1[[#This Row],[Date]])</f>
        <v>1984</v>
      </c>
      <c r="E3287" s="9" t="str" cm="1">
        <f t="array" ref="E3287">IFERROR(_xlfn.IFS(AND(D3287&lt;1980,D3287&gt;=1970),"70",AND(D3287&lt;1990,D3287&gt;=1980),"80",AND(D3287&lt;2000,D3287&gt;=1990),"90",AND(D3287&lt;2010,D3287&gt;=2000),"00",AND(D3287&lt;=2019,D3287&gt;=2010),"10"),"1908-1970")</f>
        <v>80</v>
      </c>
      <c r="F3287" s="3" t="s">
        <v>28931</v>
      </c>
      <c r="G3287" t="s">
        <v>19714</v>
      </c>
      <c r="H3287" t="s">
        <v>19715</v>
      </c>
      <c r="I3287" t="s">
        <v>28931</v>
      </c>
      <c r="J3287" t="s">
        <v>19716</v>
      </c>
      <c r="K3287" t="s">
        <v>8465</v>
      </c>
      <c r="L3287" s="7" t="s">
        <v>19717</v>
      </c>
      <c r="M3287">
        <v>20811</v>
      </c>
      <c r="N3287">
        <v>4</v>
      </c>
      <c r="O3287">
        <v>0</v>
      </c>
      <c r="P3287">
        <v>4</v>
      </c>
      <c r="Q3287">
        <v>4</v>
      </c>
      <c r="R3287">
        <v>0</v>
      </c>
      <c r="S3287">
        <v>4</v>
      </c>
      <c r="T3287">
        <v>0</v>
      </c>
      <c r="U3287" t="s">
        <v>19718</v>
      </c>
      <c r="V3287">
        <f>Tabla1[[#This Row],[Aboard]]-Tabla1[[#This Row],[Fatalities]]</f>
        <v>0</v>
      </c>
      <c r="W3287" s="50">
        <f>IFERROR(Tabla1[[#This Row],[Fatalities]]/Tabla1[[#This Row],[Aboard]],0)</f>
        <v>1</v>
      </c>
      <c r="X3287" s="51" t="str" cm="1">
        <f t="array" ref="X3287">_xlfn.IFS(Tabla1[[#This Row],[Porcentaje de muertes]]&lt;0.35,"LEVE",AND(Tabla1[[#This Row],[Porcentaje de muertes]]&gt;0.35,Tabla1[[#This Row],[Porcentaje de muertes]]&lt;0.65),"MEDIO",Tabla1[[#This Row],[Porcentaje de muertes]]&gt;0.65,"GRAVE")</f>
        <v>GRAVE</v>
      </c>
    </row>
    <row r="3288" spans="2:24" x14ac:dyDescent="0.3">
      <c r="B3288" s="9">
        <v>3287</v>
      </c>
      <c r="C3288" s="49">
        <v>31006</v>
      </c>
      <c r="D3288" s="9">
        <f>YEAR(Tabla1[[#This Row],[Date]])</f>
        <v>1984</v>
      </c>
      <c r="E3288" s="9" t="str" cm="1">
        <f t="array" ref="E3288">IFERROR(_xlfn.IFS(AND(D3288&lt;1980,D3288&gt;=1970),"70",AND(D3288&lt;1990,D3288&gt;=1980),"80",AND(D3288&lt;2000,D3288&gt;=1990),"90",AND(D3288&lt;2010,D3288&gt;=2000),"00",AND(D3288&lt;=2019,D3288&gt;=2010),"10"),"1908-1970")</f>
        <v>80</v>
      </c>
      <c r="F3288" s="3" t="s">
        <v>28931</v>
      </c>
      <c r="G3288" t="s">
        <v>19719</v>
      </c>
      <c r="H3288" t="s">
        <v>17526</v>
      </c>
      <c r="I3288" t="s">
        <v>28931</v>
      </c>
      <c r="J3288" t="s">
        <v>19720</v>
      </c>
      <c r="K3288" t="s">
        <v>16680</v>
      </c>
      <c r="L3288" s="7" t="s">
        <v>19721</v>
      </c>
      <c r="M3288">
        <v>446</v>
      </c>
      <c r="N3288">
        <v>14</v>
      </c>
      <c r="O3288">
        <v>12</v>
      </c>
      <c r="P3288">
        <v>2</v>
      </c>
      <c r="Q3288">
        <v>14</v>
      </c>
      <c r="R3288">
        <v>12</v>
      </c>
      <c r="S3288">
        <v>2</v>
      </c>
      <c r="T3288">
        <v>0</v>
      </c>
      <c r="U3288" t="s">
        <v>19722</v>
      </c>
      <c r="V3288">
        <f>Tabla1[[#This Row],[Aboard]]-Tabla1[[#This Row],[Fatalities]]</f>
        <v>0</v>
      </c>
      <c r="W3288" s="50">
        <f>IFERROR(Tabla1[[#This Row],[Fatalities]]/Tabla1[[#This Row],[Aboard]],0)</f>
        <v>1</v>
      </c>
      <c r="X3288" s="51" t="str" cm="1">
        <f t="array" ref="X3288">_xlfn.IFS(Tabla1[[#This Row],[Porcentaje de muertes]]&lt;0.35,"LEVE",AND(Tabla1[[#This Row],[Porcentaje de muertes]]&gt;0.35,Tabla1[[#This Row],[Porcentaje de muertes]]&lt;0.65),"MEDIO",Tabla1[[#This Row],[Porcentaje de muertes]]&gt;0.65,"GRAVE")</f>
        <v>GRAVE</v>
      </c>
    </row>
    <row r="3289" spans="2:24" x14ac:dyDescent="0.3">
      <c r="B3289" s="9">
        <v>3288</v>
      </c>
      <c r="C3289" s="49">
        <v>30784</v>
      </c>
      <c r="D3289" s="9">
        <f>YEAR(Tabla1[[#This Row],[Date]])</f>
        <v>1984</v>
      </c>
      <c r="E3289" s="9" t="str" cm="1">
        <f t="array" ref="E3289">IFERROR(_xlfn.IFS(AND(D3289&lt;1980,D3289&gt;=1970),"70",AND(D3289&lt;1990,D3289&gt;=1980),"80",AND(D3289&lt;2000,D3289&gt;=1990),"90",AND(D3289&lt;2010,D3289&gt;=2000),"00",AND(D3289&lt;=2019,D3289&gt;=2010),"10"),"1908-1970")</f>
        <v>80</v>
      </c>
      <c r="F3289" s="3" t="s">
        <v>28931</v>
      </c>
      <c r="G3289" t="s">
        <v>19723</v>
      </c>
      <c r="H3289" t="s">
        <v>6541</v>
      </c>
      <c r="I3289" t="s">
        <v>28931</v>
      </c>
      <c r="J3289" t="s">
        <v>19724</v>
      </c>
      <c r="K3289" t="s">
        <v>19725</v>
      </c>
      <c r="L3289" s="7" t="s">
        <v>19726</v>
      </c>
      <c r="M3289">
        <v>770706</v>
      </c>
      <c r="N3289">
        <v>17</v>
      </c>
      <c r="O3289">
        <v>15</v>
      </c>
      <c r="P3289">
        <v>2</v>
      </c>
      <c r="Q3289">
        <v>17</v>
      </c>
      <c r="R3289">
        <v>15</v>
      </c>
      <c r="S3289">
        <v>2</v>
      </c>
      <c r="T3289">
        <v>0</v>
      </c>
      <c r="U3289" t="s">
        <v>19727</v>
      </c>
      <c r="V3289">
        <f>Tabla1[[#This Row],[Aboard]]-Tabla1[[#This Row],[Fatalities]]</f>
        <v>0</v>
      </c>
      <c r="W3289" s="50">
        <f>IFERROR(Tabla1[[#This Row],[Fatalities]]/Tabla1[[#This Row],[Aboard]],0)</f>
        <v>1</v>
      </c>
      <c r="X3289" s="51" t="str" cm="1">
        <f t="array" ref="X3289">_xlfn.IFS(Tabla1[[#This Row],[Porcentaje de muertes]]&lt;0.35,"LEVE",AND(Tabla1[[#This Row],[Porcentaje de muertes]]&gt;0.35,Tabla1[[#This Row],[Porcentaje de muertes]]&lt;0.65),"MEDIO",Tabla1[[#This Row],[Porcentaje de muertes]]&gt;0.65,"GRAVE")</f>
        <v>GRAVE</v>
      </c>
    </row>
    <row r="3290" spans="2:24" x14ac:dyDescent="0.3">
      <c r="B3290" s="9">
        <v>3289</v>
      </c>
      <c r="C3290" s="49">
        <v>30845</v>
      </c>
      <c r="D3290" s="9">
        <f>YEAR(Tabla1[[#This Row],[Date]])</f>
        <v>1984</v>
      </c>
      <c r="E3290" s="9" t="str" cm="1">
        <f t="array" ref="E3290">IFERROR(_xlfn.IFS(AND(D3290&lt;1980,D3290&gt;=1970),"70",AND(D3290&lt;1990,D3290&gt;=1980),"80",AND(D3290&lt;2000,D3290&gt;=1990),"90",AND(D3290&lt;2010,D3290&gt;=2000),"00",AND(D3290&lt;=2019,D3290&gt;=2010),"10"),"1908-1970")</f>
        <v>80</v>
      </c>
      <c r="F3290" s="3">
        <v>0.7597222222222223</v>
      </c>
      <c r="G3290" t="s">
        <v>8223</v>
      </c>
      <c r="H3290" t="s">
        <v>19667</v>
      </c>
      <c r="I3290">
        <v>1039</v>
      </c>
      <c r="J3290" t="s">
        <v>19728</v>
      </c>
      <c r="K3290" t="s">
        <v>18953</v>
      </c>
      <c r="L3290" s="7" t="s">
        <v>19729</v>
      </c>
      <c r="M3290" t="s">
        <v>19730</v>
      </c>
      <c r="N3290">
        <v>13</v>
      </c>
      <c r="O3290">
        <v>11</v>
      </c>
      <c r="P3290">
        <v>2</v>
      </c>
      <c r="Q3290">
        <v>13</v>
      </c>
      <c r="R3290">
        <v>11</v>
      </c>
      <c r="S3290">
        <v>2</v>
      </c>
      <c r="T3290">
        <v>0</v>
      </c>
      <c r="U3290" t="s">
        <v>19731</v>
      </c>
      <c r="V3290">
        <f>Tabla1[[#This Row],[Aboard]]-Tabla1[[#This Row],[Fatalities]]</f>
        <v>0</v>
      </c>
      <c r="W3290" s="50">
        <f>IFERROR(Tabla1[[#This Row],[Fatalities]]/Tabla1[[#This Row],[Aboard]],0)</f>
        <v>1</v>
      </c>
      <c r="X3290" s="51" t="str" cm="1">
        <f t="array" ref="X3290">_xlfn.IFS(Tabla1[[#This Row],[Porcentaje de muertes]]&lt;0.35,"LEVE",AND(Tabla1[[#This Row],[Porcentaje de muertes]]&gt;0.35,Tabla1[[#This Row],[Porcentaje de muertes]]&lt;0.65),"MEDIO",Tabla1[[#This Row],[Porcentaje de muertes]]&gt;0.65,"GRAVE")</f>
        <v>GRAVE</v>
      </c>
    </row>
    <row r="3291" spans="2:24" x14ac:dyDescent="0.3">
      <c r="B3291" s="9">
        <v>3290</v>
      </c>
      <c r="C3291" s="49">
        <v>31035</v>
      </c>
      <c r="D3291" s="9">
        <f>YEAR(Tabla1[[#This Row],[Date]])</f>
        <v>1984</v>
      </c>
      <c r="E3291" s="9" t="str" cm="1">
        <f t="array" ref="E3291">IFERROR(_xlfn.IFS(AND(D3291&lt;1980,D3291&gt;=1970),"70",AND(D3291&lt;1990,D3291&gt;=1980),"80",AND(D3291&lt;2000,D3291&gt;=1990),"90",AND(D3291&lt;2010,D3291&gt;=2000),"00",AND(D3291&lt;=2019,D3291&gt;=2010),"10"),"1908-1970")</f>
        <v>80</v>
      </c>
      <c r="F3291" s="3">
        <v>0.58333333333333337</v>
      </c>
      <c r="G3291" t="s">
        <v>19732</v>
      </c>
      <c r="H3291" t="s">
        <v>19733</v>
      </c>
      <c r="I3291" t="s">
        <v>28931</v>
      </c>
      <c r="J3291" t="s">
        <v>28931</v>
      </c>
      <c r="K3291" t="s">
        <v>16680</v>
      </c>
      <c r="L3291" s="7" t="s">
        <v>19734</v>
      </c>
      <c r="M3291">
        <v>317</v>
      </c>
      <c r="N3291">
        <v>21</v>
      </c>
      <c r="O3291">
        <v>18</v>
      </c>
      <c r="P3291">
        <v>3</v>
      </c>
      <c r="Q3291">
        <v>21</v>
      </c>
      <c r="R3291">
        <v>18</v>
      </c>
      <c r="S3291">
        <v>3</v>
      </c>
      <c r="T3291">
        <v>0</v>
      </c>
      <c r="U3291" t="s">
        <v>19735</v>
      </c>
      <c r="V3291">
        <f>Tabla1[[#This Row],[Aboard]]-Tabla1[[#This Row],[Fatalities]]</f>
        <v>0</v>
      </c>
      <c r="W3291" s="50">
        <f>IFERROR(Tabla1[[#This Row],[Fatalities]]/Tabla1[[#This Row],[Aboard]],0)</f>
        <v>1</v>
      </c>
      <c r="X3291" s="51" t="str" cm="1">
        <f t="array" ref="X3291">_xlfn.IFS(Tabla1[[#This Row],[Porcentaje de muertes]]&lt;0.35,"LEVE",AND(Tabla1[[#This Row],[Porcentaje de muertes]]&gt;0.35,Tabla1[[#This Row],[Porcentaje de muertes]]&lt;0.65),"MEDIO",Tabla1[[#This Row],[Porcentaje de muertes]]&gt;0.65,"GRAVE")</f>
        <v>GRAVE</v>
      </c>
    </row>
    <row r="3292" spans="2:24" x14ac:dyDescent="0.3">
      <c r="B3292" s="9">
        <v>3291</v>
      </c>
      <c r="C3292" s="49">
        <v>31038</v>
      </c>
      <c r="D3292" s="9">
        <f>YEAR(Tabla1[[#This Row],[Date]])</f>
        <v>1984</v>
      </c>
      <c r="E3292" s="9" t="str" cm="1">
        <f t="array" ref="E3292">IFERROR(_xlfn.IFS(AND(D3292&lt;1980,D3292&gt;=1970),"70",AND(D3292&lt;1990,D3292&gt;=1980),"80",AND(D3292&lt;2000,D3292&gt;=1990),"90",AND(D3292&lt;2010,D3292&gt;=2000),"00",AND(D3292&lt;=2019,D3292&gt;=2010),"10"),"1908-1970")</f>
        <v>80</v>
      </c>
      <c r="F3292" s="3" t="s">
        <v>28931</v>
      </c>
      <c r="G3292" t="s">
        <v>19736</v>
      </c>
      <c r="H3292" t="s">
        <v>13123</v>
      </c>
      <c r="I3292" t="s">
        <v>28931</v>
      </c>
      <c r="J3292" t="s">
        <v>19737</v>
      </c>
      <c r="K3292" t="s">
        <v>16680</v>
      </c>
      <c r="L3292" s="7" t="s">
        <v>19738</v>
      </c>
      <c r="M3292">
        <v>376</v>
      </c>
      <c r="N3292">
        <v>23</v>
      </c>
      <c r="O3292">
        <v>20</v>
      </c>
      <c r="P3292">
        <v>3</v>
      </c>
      <c r="Q3292">
        <v>15</v>
      </c>
      <c r="R3292">
        <v>12</v>
      </c>
      <c r="S3292">
        <v>3</v>
      </c>
      <c r="T3292">
        <v>0</v>
      </c>
      <c r="U3292" t="s">
        <v>19739</v>
      </c>
      <c r="V3292">
        <f>Tabla1[[#This Row],[Aboard]]-Tabla1[[#This Row],[Fatalities]]</f>
        <v>8</v>
      </c>
      <c r="W3292" s="50">
        <f>IFERROR(Tabla1[[#This Row],[Fatalities]]/Tabla1[[#This Row],[Aboard]],0)</f>
        <v>0.65217391304347827</v>
      </c>
      <c r="X3292" s="51" t="str" cm="1">
        <f t="array" ref="X3292">_xlfn.IFS(Tabla1[[#This Row],[Porcentaje de muertes]]&lt;0.35,"LEVE",AND(Tabla1[[#This Row],[Porcentaje de muertes]]&gt;0.35,Tabla1[[#This Row],[Porcentaje de muertes]]&lt;0.65),"MEDIO",Tabla1[[#This Row],[Porcentaje de muertes]]&gt;0.65,"GRAVE")</f>
        <v>GRAVE</v>
      </c>
    </row>
    <row r="3293" spans="2:24" x14ac:dyDescent="0.3">
      <c r="B3293" s="9">
        <v>3292</v>
      </c>
      <c r="C3293" s="49">
        <v>31039</v>
      </c>
      <c r="D3293" s="9">
        <f>YEAR(Tabla1[[#This Row],[Date]])</f>
        <v>1984</v>
      </c>
      <c r="E3293" s="9" t="str" cm="1">
        <f t="array" ref="E3293">IFERROR(_xlfn.IFS(AND(D3293&lt;1980,D3293&gt;=1970),"70",AND(D3293&lt;1990,D3293&gt;=1980),"80",AND(D3293&lt;2000,D3293&gt;=1990),"90",AND(D3293&lt;2010,D3293&gt;=2000),"00",AND(D3293&lt;=2019,D3293&gt;=2010),"10"),"1908-1970")</f>
        <v>80</v>
      </c>
      <c r="F3293" s="3">
        <v>0.59375</v>
      </c>
      <c r="G3293" t="s">
        <v>7861</v>
      </c>
      <c r="H3293" t="s">
        <v>6541</v>
      </c>
      <c r="I3293">
        <v>3519</v>
      </c>
      <c r="J3293" t="s">
        <v>9855</v>
      </c>
      <c r="K3293" t="s">
        <v>19013</v>
      </c>
      <c r="L3293" s="7" t="s">
        <v>19740</v>
      </c>
      <c r="M3293">
        <v>338</v>
      </c>
      <c r="N3293">
        <v>111</v>
      </c>
      <c r="O3293">
        <v>104</v>
      </c>
      <c r="P3293">
        <v>7</v>
      </c>
      <c r="Q3293">
        <v>110</v>
      </c>
      <c r="R3293">
        <v>103</v>
      </c>
      <c r="S3293">
        <v>7</v>
      </c>
      <c r="T3293">
        <v>0</v>
      </c>
      <c r="U3293" t="s">
        <v>19741</v>
      </c>
      <c r="V3293">
        <f>Tabla1[[#This Row],[Aboard]]-Tabla1[[#This Row],[Fatalities]]</f>
        <v>1</v>
      </c>
      <c r="W3293" s="50">
        <f>IFERROR(Tabla1[[#This Row],[Fatalities]]/Tabla1[[#This Row],[Aboard]],0)</f>
        <v>0.99099099099099097</v>
      </c>
      <c r="X3293" s="51" t="str" cm="1">
        <f t="array" ref="X3293">_xlfn.IFS(Tabla1[[#This Row],[Porcentaje de muertes]]&lt;0.35,"LEVE",AND(Tabla1[[#This Row],[Porcentaje de muertes]]&gt;0.35,Tabla1[[#This Row],[Porcentaje de muertes]]&lt;0.65),"MEDIO",Tabla1[[#This Row],[Porcentaje de muertes]]&gt;0.65,"GRAVE")</f>
        <v>GRAVE</v>
      </c>
    </row>
    <row r="3294" spans="2:24" x14ac:dyDescent="0.3">
      <c r="B3294" s="9">
        <v>3293</v>
      </c>
      <c r="C3294" s="49">
        <v>31048</v>
      </c>
      <c r="D3294" s="9">
        <f>YEAR(Tabla1[[#This Row],[Date]])</f>
        <v>1985</v>
      </c>
      <c r="E3294" s="9" t="str" cm="1">
        <f t="array" ref="E3294">IFERROR(_xlfn.IFS(AND(D3294&lt;1980,D3294&gt;=1970),"70",AND(D3294&lt;1990,D3294&gt;=1980),"80",AND(D3294&lt;2000,D3294&gt;=1990),"90",AND(D3294&lt;2010,D3294&gt;=2000),"00",AND(D3294&lt;=2019,D3294&gt;=2010),"10"),"1908-1970")</f>
        <v>80</v>
      </c>
      <c r="F3294" s="3">
        <v>0.85416666666666663</v>
      </c>
      <c r="G3294" t="s">
        <v>12244</v>
      </c>
      <c r="H3294" t="s">
        <v>6941</v>
      </c>
      <c r="I3294">
        <v>980</v>
      </c>
      <c r="J3294" t="s">
        <v>19742</v>
      </c>
      <c r="K3294" t="s">
        <v>19743</v>
      </c>
      <c r="L3294" s="7" t="s">
        <v>19744</v>
      </c>
      <c r="M3294" t="s">
        <v>19745</v>
      </c>
      <c r="N3294">
        <v>29</v>
      </c>
      <c r="O3294">
        <v>19</v>
      </c>
      <c r="P3294">
        <v>10</v>
      </c>
      <c r="Q3294">
        <v>29</v>
      </c>
      <c r="R3294">
        <v>19</v>
      </c>
      <c r="S3294">
        <v>10</v>
      </c>
      <c r="T3294">
        <v>0</v>
      </c>
      <c r="U3294" t="s">
        <v>19746</v>
      </c>
      <c r="V3294">
        <f>Tabla1[[#This Row],[Aboard]]-Tabla1[[#This Row],[Fatalities]]</f>
        <v>0</v>
      </c>
      <c r="W3294" s="50">
        <f>IFERROR(Tabla1[[#This Row],[Fatalities]]/Tabla1[[#This Row],[Aboard]],0)</f>
        <v>1</v>
      </c>
      <c r="X3294" s="51" t="str" cm="1">
        <f t="array" ref="X3294">_xlfn.IFS(Tabla1[[#This Row],[Porcentaje de muertes]]&lt;0.35,"LEVE",AND(Tabla1[[#This Row],[Porcentaje de muertes]]&gt;0.35,Tabla1[[#This Row],[Porcentaje de muertes]]&lt;0.65),"MEDIO",Tabla1[[#This Row],[Porcentaje de muertes]]&gt;0.65,"GRAVE")</f>
        <v>GRAVE</v>
      </c>
    </row>
    <row r="3295" spans="2:24" x14ac:dyDescent="0.3">
      <c r="B3295" s="9">
        <v>3294</v>
      </c>
      <c r="C3295" s="49">
        <v>31291</v>
      </c>
      <c r="D3295" s="9">
        <f>YEAR(Tabla1[[#This Row],[Date]])</f>
        <v>1985</v>
      </c>
      <c r="E3295" s="9" t="str" cm="1">
        <f t="array" ref="E3295">IFERROR(_xlfn.IFS(AND(D3295&lt;1980,D3295&gt;=1970),"70",AND(D3295&lt;1990,D3295&gt;=1980),"80",AND(D3295&lt;2000,D3295&gt;=1990),"90",AND(D3295&lt;2010,D3295&gt;=2000),"00",AND(D3295&lt;=2019,D3295&gt;=2010),"10"),"1908-1970")</f>
        <v>80</v>
      </c>
      <c r="F3295" s="3">
        <v>0.29166666666666669</v>
      </c>
      <c r="G3295" t="s">
        <v>19747</v>
      </c>
      <c r="H3295" t="s">
        <v>19748</v>
      </c>
      <c r="I3295" t="s">
        <v>28931</v>
      </c>
      <c r="J3295" t="s">
        <v>19749</v>
      </c>
      <c r="K3295" t="s">
        <v>17386</v>
      </c>
      <c r="L3295" s="7" t="s">
        <v>19750</v>
      </c>
      <c r="M3295">
        <v>1044</v>
      </c>
      <c r="N3295">
        <v>3</v>
      </c>
      <c r="O3295">
        <v>0</v>
      </c>
      <c r="P3295">
        <v>3</v>
      </c>
      <c r="Q3295">
        <v>3</v>
      </c>
      <c r="R3295">
        <v>0</v>
      </c>
      <c r="S3295">
        <v>3</v>
      </c>
      <c r="T3295">
        <v>0</v>
      </c>
      <c r="U3295" t="s">
        <v>19751</v>
      </c>
      <c r="V3295">
        <f>Tabla1[[#This Row],[Aboard]]-Tabla1[[#This Row],[Fatalities]]</f>
        <v>0</v>
      </c>
      <c r="W3295" s="50">
        <f>IFERROR(Tabla1[[#This Row],[Fatalities]]/Tabla1[[#This Row],[Aboard]],0)</f>
        <v>1</v>
      </c>
      <c r="X3295" s="51" t="str" cm="1">
        <f t="array" ref="X3295">_xlfn.IFS(Tabla1[[#This Row],[Porcentaje de muertes]]&lt;0.35,"LEVE",AND(Tabla1[[#This Row],[Porcentaje de muertes]]&gt;0.35,Tabla1[[#This Row],[Porcentaje de muertes]]&lt;0.65),"MEDIO",Tabla1[[#This Row],[Porcentaje de muertes]]&gt;0.65,"GRAVE")</f>
        <v>GRAVE</v>
      </c>
    </row>
    <row r="3296" spans="2:24" x14ac:dyDescent="0.3">
      <c r="B3296" s="9">
        <v>3295</v>
      </c>
      <c r="C3296" s="49">
        <v>31065</v>
      </c>
      <c r="D3296" s="9">
        <f>YEAR(Tabla1[[#This Row],[Date]])</f>
        <v>1985</v>
      </c>
      <c r="E3296" s="9" t="str" cm="1">
        <f t="array" ref="E3296">IFERROR(_xlfn.IFS(AND(D3296&lt;1980,D3296&gt;=1970),"70",AND(D3296&lt;1990,D3296&gt;=1980),"80",AND(D3296&lt;2000,D3296&gt;=1990),"90",AND(D3296&lt;2010,D3296&gt;=2000),"00",AND(D3296&lt;=2019,D3296&gt;=2010),"10"),"1908-1970")</f>
        <v>80</v>
      </c>
      <c r="F3296" s="3" t="s">
        <v>28931</v>
      </c>
      <c r="G3296" t="s">
        <v>19752</v>
      </c>
      <c r="H3296" t="s">
        <v>17531</v>
      </c>
      <c r="I3296">
        <v>5109</v>
      </c>
      <c r="J3296" t="s">
        <v>19753</v>
      </c>
      <c r="K3296" t="s">
        <v>14666</v>
      </c>
      <c r="L3296" s="7" t="s">
        <v>19754</v>
      </c>
      <c r="M3296">
        <v>27308110</v>
      </c>
      <c r="N3296">
        <v>41</v>
      </c>
      <c r="O3296">
        <v>34</v>
      </c>
      <c r="P3296">
        <v>7</v>
      </c>
      <c r="Q3296">
        <v>38</v>
      </c>
      <c r="R3296">
        <v>31</v>
      </c>
      <c r="S3296">
        <v>7</v>
      </c>
      <c r="T3296">
        <v>0</v>
      </c>
      <c r="U3296" t="s">
        <v>19755</v>
      </c>
      <c r="V3296">
        <f>Tabla1[[#This Row],[Aboard]]-Tabla1[[#This Row],[Fatalities]]</f>
        <v>3</v>
      </c>
      <c r="W3296" s="50">
        <f>IFERROR(Tabla1[[#This Row],[Fatalities]]/Tabla1[[#This Row],[Aboard]],0)</f>
        <v>0.92682926829268297</v>
      </c>
      <c r="X3296" s="51" t="str" cm="1">
        <f t="array" ref="X3296">_xlfn.IFS(Tabla1[[#This Row],[Porcentaje de muertes]]&lt;0.35,"LEVE",AND(Tabla1[[#This Row],[Porcentaje de muertes]]&gt;0.35,Tabla1[[#This Row],[Porcentaje de muertes]]&lt;0.65),"MEDIO",Tabla1[[#This Row],[Porcentaje de muertes]]&gt;0.65,"GRAVE")</f>
        <v>GRAVE</v>
      </c>
    </row>
    <row r="3297" spans="2:24" x14ac:dyDescent="0.3">
      <c r="B3297" s="9">
        <v>3296</v>
      </c>
      <c r="C3297" s="49">
        <v>31066</v>
      </c>
      <c r="D3297" s="9">
        <f>YEAR(Tabla1[[#This Row],[Date]])</f>
        <v>1985</v>
      </c>
      <c r="E3297" s="9" t="str" cm="1">
        <f t="array" ref="E3297">IFERROR(_xlfn.IFS(AND(D3297&lt;1980,D3297&gt;=1970),"70",AND(D3297&lt;1990,D3297&gt;=1980),"80",AND(D3297&lt;2000,D3297&gt;=1990),"90",AND(D3297&lt;2010,D3297&gt;=2000),"00",AND(D3297&lt;=2019,D3297&gt;=2010),"10"),"1908-1970")</f>
        <v>80</v>
      </c>
      <c r="F3297" s="3">
        <v>0.34861111111111115</v>
      </c>
      <c r="G3297" t="s">
        <v>17876</v>
      </c>
      <c r="H3297" t="s">
        <v>6524</v>
      </c>
      <c r="I3297" t="s">
        <v>28931</v>
      </c>
      <c r="J3297" t="s">
        <v>19756</v>
      </c>
      <c r="K3297" t="s">
        <v>13704</v>
      </c>
      <c r="L3297" s="7" t="s">
        <v>19757</v>
      </c>
      <c r="M3297">
        <v>188011102</v>
      </c>
      <c r="N3297">
        <v>38</v>
      </c>
      <c r="O3297">
        <v>33</v>
      </c>
      <c r="P3297">
        <v>5</v>
      </c>
      <c r="Q3297">
        <v>38</v>
      </c>
      <c r="R3297">
        <v>33</v>
      </c>
      <c r="S3297">
        <v>5</v>
      </c>
      <c r="T3297">
        <v>0</v>
      </c>
      <c r="U3297" t="s">
        <v>19758</v>
      </c>
      <c r="V3297">
        <f>Tabla1[[#This Row],[Aboard]]-Tabla1[[#This Row],[Fatalities]]</f>
        <v>0</v>
      </c>
      <c r="W3297" s="50">
        <f>IFERROR(Tabla1[[#This Row],[Fatalities]]/Tabla1[[#This Row],[Aboard]],0)</f>
        <v>1</v>
      </c>
      <c r="X3297" s="51" t="str" cm="1">
        <f t="array" ref="X3297">_xlfn.IFS(Tabla1[[#This Row],[Porcentaje de muertes]]&lt;0.35,"LEVE",AND(Tabla1[[#This Row],[Porcentaje de muertes]]&gt;0.35,Tabla1[[#This Row],[Porcentaje de muertes]]&lt;0.65),"MEDIO",Tabla1[[#This Row],[Porcentaje de muertes]]&gt;0.65,"GRAVE")</f>
        <v>GRAVE</v>
      </c>
    </row>
    <row r="3298" spans="2:24" x14ac:dyDescent="0.3">
      <c r="B3298" s="9">
        <v>3297</v>
      </c>
      <c r="C3298" s="49">
        <v>31067</v>
      </c>
      <c r="D3298" s="9">
        <f>YEAR(Tabla1[[#This Row],[Date]])</f>
        <v>1985</v>
      </c>
      <c r="E3298" s="9" t="str" cm="1">
        <f t="array" ref="E3298">IFERROR(_xlfn.IFS(AND(D3298&lt;1980,D3298&gt;=1970),"70",AND(D3298&lt;1990,D3298&gt;=1980),"80",AND(D3298&lt;2000,D3298&gt;=1990),"90",AND(D3298&lt;2010,D3298&gt;=2000),"00",AND(D3298&lt;=2019,D3298&gt;=2010),"10"),"1908-1970")</f>
        <v>80</v>
      </c>
      <c r="F3298" s="3">
        <v>0.96875</v>
      </c>
      <c r="G3298" t="s">
        <v>19759</v>
      </c>
      <c r="H3298" t="s">
        <v>19760</v>
      </c>
      <c r="I3298" t="s">
        <v>28931</v>
      </c>
      <c r="J3298" t="s">
        <v>19761</v>
      </c>
      <c r="K3298" t="s">
        <v>19762</v>
      </c>
      <c r="L3298" s="7" t="s">
        <v>19763</v>
      </c>
      <c r="M3298">
        <v>45712</v>
      </c>
      <c r="N3298">
        <v>3</v>
      </c>
      <c r="O3298">
        <v>2</v>
      </c>
      <c r="P3298">
        <v>1</v>
      </c>
      <c r="Q3298">
        <v>3</v>
      </c>
      <c r="R3298">
        <v>2</v>
      </c>
      <c r="S3298">
        <v>1</v>
      </c>
      <c r="T3298">
        <v>0</v>
      </c>
      <c r="U3298" t="s">
        <v>19764</v>
      </c>
      <c r="V3298">
        <f>Tabla1[[#This Row],[Aboard]]-Tabla1[[#This Row],[Fatalities]]</f>
        <v>0</v>
      </c>
      <c r="W3298" s="50">
        <f>IFERROR(Tabla1[[#This Row],[Fatalities]]/Tabla1[[#This Row],[Aboard]],0)</f>
        <v>1</v>
      </c>
      <c r="X3298" s="51" t="str" cm="1">
        <f t="array" ref="X3298">_xlfn.IFS(Tabla1[[#This Row],[Porcentaje de muertes]]&lt;0.35,"LEVE",AND(Tabla1[[#This Row],[Porcentaje de muertes]]&gt;0.35,Tabla1[[#This Row],[Porcentaje de muertes]]&lt;0.65),"MEDIO",Tabla1[[#This Row],[Porcentaje de muertes]]&gt;0.65,"GRAVE")</f>
        <v>GRAVE</v>
      </c>
    </row>
    <row r="3299" spans="2:24" x14ac:dyDescent="0.3">
      <c r="B3299" s="9">
        <v>3298</v>
      </c>
      <c r="C3299" s="49">
        <v>31068</v>
      </c>
      <c r="D3299" s="9">
        <f>YEAR(Tabla1[[#This Row],[Date]])</f>
        <v>1985</v>
      </c>
      <c r="E3299" s="9" t="str" cm="1">
        <f t="array" ref="E3299">IFERROR(_xlfn.IFS(AND(D3299&lt;1980,D3299&gt;=1970),"70",AND(D3299&lt;1990,D3299&gt;=1980),"80",AND(D3299&lt;2000,D3299&gt;=1990),"90",AND(D3299&lt;2010,D3299&gt;=2000),"00",AND(D3299&lt;=2019,D3299&gt;=2010),"10"),"1908-1970")</f>
        <v>80</v>
      </c>
      <c r="F3299" s="3">
        <v>4.4444444444444446E-2</v>
      </c>
      <c r="G3299" t="s">
        <v>19765</v>
      </c>
      <c r="H3299" t="s">
        <v>19766</v>
      </c>
      <c r="I3299">
        <v>203</v>
      </c>
      <c r="J3299" t="s">
        <v>19767</v>
      </c>
      <c r="K3299" t="s">
        <v>16894</v>
      </c>
      <c r="L3299" s="7" t="s">
        <v>19768</v>
      </c>
      <c r="M3299">
        <v>1121</v>
      </c>
      <c r="N3299">
        <v>71</v>
      </c>
      <c r="O3299">
        <v>65</v>
      </c>
      <c r="P3299">
        <v>6</v>
      </c>
      <c r="Q3299">
        <v>70</v>
      </c>
      <c r="R3299">
        <v>64</v>
      </c>
      <c r="S3299">
        <v>6</v>
      </c>
      <c r="T3299">
        <v>0</v>
      </c>
      <c r="U3299" t="s">
        <v>19769</v>
      </c>
      <c r="V3299">
        <f>Tabla1[[#This Row],[Aboard]]-Tabla1[[#This Row],[Fatalities]]</f>
        <v>1</v>
      </c>
      <c r="W3299" s="50">
        <f>IFERROR(Tabla1[[#This Row],[Fatalities]]/Tabla1[[#This Row],[Aboard]],0)</f>
        <v>0.9859154929577465</v>
      </c>
      <c r="X3299" s="51" t="str" cm="1">
        <f t="array" ref="X3299">_xlfn.IFS(Tabla1[[#This Row],[Porcentaje de muertes]]&lt;0.35,"LEVE",AND(Tabla1[[#This Row],[Porcentaje de muertes]]&gt;0.35,Tabla1[[#This Row],[Porcentaje de muertes]]&lt;0.65),"MEDIO",Tabla1[[#This Row],[Porcentaje de muertes]]&gt;0.65,"GRAVE")</f>
        <v>GRAVE</v>
      </c>
    </row>
    <row r="3300" spans="2:24" x14ac:dyDescent="0.3">
      <c r="B3300" s="9">
        <v>3299</v>
      </c>
      <c r="C3300" s="49">
        <v>31069</v>
      </c>
      <c r="D3300" s="9">
        <f>YEAR(Tabla1[[#This Row],[Date]])</f>
        <v>1985</v>
      </c>
      <c r="E3300" s="9" t="str" cm="1">
        <f t="array" ref="E3300">IFERROR(_xlfn.IFS(AND(D3300&lt;1980,D3300&gt;=1970),"70",AND(D3300&lt;1990,D3300&gt;=1980),"80",AND(D3300&lt;2000,D3300&gt;=1990),"90",AND(D3300&lt;2010,D3300&gt;=2000),"00",AND(D3300&lt;=2019,D3300&gt;=2010),"10"),"1908-1970")</f>
        <v>80</v>
      </c>
      <c r="F3300" s="3">
        <v>0.39930555555555558</v>
      </c>
      <c r="G3300" t="s">
        <v>19770</v>
      </c>
      <c r="H3300" t="s">
        <v>7987</v>
      </c>
      <c r="I3300" t="s">
        <v>28931</v>
      </c>
      <c r="J3300" t="s">
        <v>19771</v>
      </c>
      <c r="K3300" t="s">
        <v>19772</v>
      </c>
      <c r="L3300" s="7" t="s">
        <v>19773</v>
      </c>
      <c r="M3300">
        <v>3109</v>
      </c>
      <c r="N3300">
        <v>21</v>
      </c>
      <c r="O3300">
        <v>16</v>
      </c>
      <c r="P3300">
        <v>5</v>
      </c>
      <c r="Q3300">
        <v>21</v>
      </c>
      <c r="R3300">
        <v>16</v>
      </c>
      <c r="S3300">
        <v>5</v>
      </c>
      <c r="T3300">
        <v>0</v>
      </c>
      <c r="U3300" t="s">
        <v>19774</v>
      </c>
      <c r="V3300">
        <f>Tabla1[[#This Row],[Aboard]]-Tabla1[[#This Row],[Fatalities]]</f>
        <v>0</v>
      </c>
      <c r="W3300" s="50">
        <f>IFERROR(Tabla1[[#This Row],[Fatalities]]/Tabla1[[#This Row],[Aboard]],0)</f>
        <v>1</v>
      </c>
      <c r="X3300" s="51" t="str" cm="1">
        <f t="array" ref="X3300">_xlfn.IFS(Tabla1[[#This Row],[Porcentaje de muertes]]&lt;0.35,"LEVE",AND(Tabla1[[#This Row],[Porcentaje de muertes]]&gt;0.35,Tabla1[[#This Row],[Porcentaje de muertes]]&lt;0.65),"MEDIO",Tabla1[[#This Row],[Porcentaje de muertes]]&gt;0.65,"GRAVE")</f>
        <v>GRAVE</v>
      </c>
    </row>
    <row r="3301" spans="2:24" x14ac:dyDescent="0.3">
      <c r="B3301" s="9">
        <v>3300</v>
      </c>
      <c r="C3301" s="49">
        <v>31070</v>
      </c>
      <c r="D3301" s="9">
        <f>YEAR(Tabla1[[#This Row],[Date]])</f>
        <v>1985</v>
      </c>
      <c r="E3301" s="9" t="str" cm="1">
        <f t="array" ref="E3301">IFERROR(_xlfn.IFS(AND(D3301&lt;1980,D3301&gt;=1970),"70",AND(D3301&lt;1990,D3301&gt;=1980),"80",AND(D3301&lt;2000,D3301&gt;=1990),"90",AND(D3301&lt;2010,D3301&gt;=2000),"00",AND(D3301&lt;=2019,D3301&gt;=2010),"10"),"1908-1970")</f>
        <v>80</v>
      </c>
      <c r="F3301" s="3">
        <v>0.44097222222222227</v>
      </c>
      <c r="G3301" t="s">
        <v>19775</v>
      </c>
      <c r="H3301" t="s">
        <v>19266</v>
      </c>
      <c r="I3301" t="s">
        <v>28931</v>
      </c>
      <c r="J3301" t="s">
        <v>19776</v>
      </c>
      <c r="K3301" t="s">
        <v>16680</v>
      </c>
      <c r="L3301" s="7" t="s">
        <v>19777</v>
      </c>
      <c r="M3301">
        <v>497</v>
      </c>
      <c r="N3301">
        <v>23</v>
      </c>
      <c r="O3301">
        <v>21</v>
      </c>
      <c r="P3301">
        <v>2</v>
      </c>
      <c r="Q3301">
        <v>23</v>
      </c>
      <c r="R3301">
        <v>21</v>
      </c>
      <c r="S3301">
        <v>2</v>
      </c>
      <c r="T3301">
        <v>0</v>
      </c>
      <c r="U3301" t="s">
        <v>19778</v>
      </c>
      <c r="V3301">
        <f>Tabla1[[#This Row],[Aboard]]-Tabla1[[#This Row],[Fatalities]]</f>
        <v>0</v>
      </c>
      <c r="W3301" s="50">
        <f>IFERROR(Tabla1[[#This Row],[Fatalities]]/Tabla1[[#This Row],[Aboard]],0)</f>
        <v>1</v>
      </c>
      <c r="X3301" s="51" t="str" cm="1">
        <f t="array" ref="X3301">_xlfn.IFS(Tabla1[[#This Row],[Porcentaje de muertes]]&lt;0.35,"LEVE",AND(Tabla1[[#This Row],[Porcentaje de muertes]]&gt;0.35,Tabla1[[#This Row],[Porcentaje de muertes]]&lt;0.65),"MEDIO",Tabla1[[#This Row],[Porcentaje de muertes]]&gt;0.65,"GRAVE")</f>
        <v>GRAVE</v>
      </c>
    </row>
    <row r="3302" spans="2:24" x14ac:dyDescent="0.3">
      <c r="B3302" s="9">
        <v>3301</v>
      </c>
      <c r="C3302" s="49">
        <v>31070</v>
      </c>
      <c r="D3302" s="9">
        <f>YEAR(Tabla1[[#This Row],[Date]])</f>
        <v>1985</v>
      </c>
      <c r="E3302" s="9" t="str" cm="1">
        <f t="array" ref="E3302">IFERROR(_xlfn.IFS(AND(D3302&lt;1980,D3302&gt;=1970),"70",AND(D3302&lt;1990,D3302&gt;=1980),"80",AND(D3302&lt;2000,D3302&gt;=1990),"90",AND(D3302&lt;2010,D3302&gt;=2000),"00",AND(D3302&lt;=2019,D3302&gt;=2010),"10"),"1908-1970")</f>
        <v>80</v>
      </c>
      <c r="F3302" s="3">
        <v>0.44097222222222227</v>
      </c>
      <c r="G3302" t="s">
        <v>19779</v>
      </c>
      <c r="H3302" t="s">
        <v>19780</v>
      </c>
      <c r="I3302">
        <v>585</v>
      </c>
      <c r="J3302" t="s">
        <v>19781</v>
      </c>
      <c r="K3302" t="s">
        <v>18953</v>
      </c>
      <c r="L3302" s="7" t="s">
        <v>19782</v>
      </c>
      <c r="M3302">
        <v>110341</v>
      </c>
      <c r="N3302">
        <v>17</v>
      </c>
      <c r="O3302">
        <v>15</v>
      </c>
      <c r="P3302">
        <v>2</v>
      </c>
      <c r="Q3302">
        <v>17</v>
      </c>
      <c r="R3302">
        <v>15</v>
      </c>
      <c r="S3302">
        <v>2</v>
      </c>
      <c r="T3302">
        <v>0</v>
      </c>
      <c r="U3302" t="s">
        <v>19783</v>
      </c>
      <c r="V3302">
        <f>Tabla1[[#This Row],[Aboard]]-Tabla1[[#This Row],[Fatalities]]</f>
        <v>0</v>
      </c>
      <c r="W3302" s="50">
        <f>IFERROR(Tabla1[[#This Row],[Fatalities]]/Tabla1[[#This Row],[Aboard]],0)</f>
        <v>1</v>
      </c>
      <c r="X3302" s="51" t="str" cm="1">
        <f t="array" ref="X3302">_xlfn.IFS(Tabla1[[#This Row],[Porcentaje de muertes]]&lt;0.35,"LEVE",AND(Tabla1[[#This Row],[Porcentaje de muertes]]&gt;0.35,Tabla1[[#This Row],[Porcentaje de muertes]]&lt;0.65),"MEDIO",Tabla1[[#This Row],[Porcentaje de muertes]]&gt;0.65,"GRAVE")</f>
        <v>GRAVE</v>
      </c>
    </row>
    <row r="3303" spans="2:24" x14ac:dyDescent="0.3">
      <c r="B3303" s="9">
        <v>3302</v>
      </c>
      <c r="C3303" s="49">
        <v>31049</v>
      </c>
      <c r="D3303" s="9">
        <f>YEAR(Tabla1[[#This Row],[Date]])</f>
        <v>1985</v>
      </c>
      <c r="E3303" s="9" t="str" cm="1">
        <f t="array" ref="E3303">IFERROR(_xlfn.IFS(AND(D3303&lt;1980,D3303&gt;=1970),"70",AND(D3303&lt;1990,D3303&gt;=1980),"80",AND(D3303&lt;2000,D3303&gt;=1990),"90",AND(D3303&lt;2010,D3303&gt;=2000),"00",AND(D3303&lt;=2019,D3303&gt;=2010),"10"),"1908-1970")</f>
        <v>80</v>
      </c>
      <c r="F3303" s="3">
        <v>0.33402777777777781</v>
      </c>
      <c r="G3303" t="s">
        <v>19784</v>
      </c>
      <c r="H3303" t="s">
        <v>6541</v>
      </c>
      <c r="I3303">
        <v>7841</v>
      </c>
      <c r="J3303" t="s">
        <v>10805</v>
      </c>
      <c r="K3303" t="s">
        <v>16145</v>
      </c>
      <c r="L3303" s="7" t="s">
        <v>19785</v>
      </c>
      <c r="M3303">
        <v>63971</v>
      </c>
      <c r="N3303">
        <v>80</v>
      </c>
      <c r="O3303">
        <v>74</v>
      </c>
      <c r="P3303">
        <v>6</v>
      </c>
      <c r="Q3303">
        <v>58</v>
      </c>
      <c r="R3303">
        <v>55</v>
      </c>
      <c r="S3303">
        <v>3</v>
      </c>
      <c r="T3303">
        <v>0</v>
      </c>
      <c r="U3303" t="s">
        <v>19786</v>
      </c>
      <c r="V3303">
        <f>Tabla1[[#This Row],[Aboard]]-Tabla1[[#This Row],[Fatalities]]</f>
        <v>22</v>
      </c>
      <c r="W3303" s="50">
        <f>IFERROR(Tabla1[[#This Row],[Fatalities]]/Tabla1[[#This Row],[Aboard]],0)</f>
        <v>0.72499999999999998</v>
      </c>
      <c r="X3303" s="51" t="str" cm="1">
        <f t="array" ref="X3303">_xlfn.IFS(Tabla1[[#This Row],[Porcentaje de muertes]]&lt;0.35,"LEVE",AND(Tabla1[[#This Row],[Porcentaje de muertes]]&gt;0.35,Tabla1[[#This Row],[Porcentaje de muertes]]&lt;0.65),"MEDIO",Tabla1[[#This Row],[Porcentaje de muertes]]&gt;0.65,"GRAVE")</f>
        <v>GRAVE</v>
      </c>
    </row>
    <row r="3304" spans="2:24" x14ac:dyDescent="0.3">
      <c r="B3304" s="9">
        <v>3303</v>
      </c>
      <c r="C3304" s="49">
        <v>31139</v>
      </c>
      <c r="D3304" s="9">
        <f>YEAR(Tabla1[[#This Row],[Date]])</f>
        <v>1985</v>
      </c>
      <c r="E3304" s="9" t="str" cm="1">
        <f t="array" ref="E3304">IFERROR(_xlfn.IFS(AND(D3304&lt;1980,D3304&gt;=1970),"70",AND(D3304&lt;1990,D3304&gt;=1980),"80",AND(D3304&lt;2000,D3304&gt;=1990),"90",AND(D3304&lt;2010,D3304&gt;=2000),"00",AND(D3304&lt;=2019,D3304&gt;=2010),"10"),"1908-1970")</f>
        <v>80</v>
      </c>
      <c r="F3304" s="3">
        <v>0.82708333333333339</v>
      </c>
      <c r="G3304" t="s">
        <v>19787</v>
      </c>
      <c r="H3304" t="s">
        <v>19788</v>
      </c>
      <c r="I3304" t="s">
        <v>8152</v>
      </c>
      <c r="J3304" t="s">
        <v>19789</v>
      </c>
      <c r="K3304" t="s">
        <v>19790</v>
      </c>
      <c r="L3304" s="7" t="s">
        <v>19791</v>
      </c>
      <c r="M3304" t="s">
        <v>19792</v>
      </c>
      <c r="N3304">
        <v>9</v>
      </c>
      <c r="O3304">
        <v>8</v>
      </c>
      <c r="P3304">
        <v>1</v>
      </c>
      <c r="Q3304">
        <v>9</v>
      </c>
      <c r="R3304">
        <v>8</v>
      </c>
      <c r="S3304">
        <v>1</v>
      </c>
      <c r="T3304">
        <v>0</v>
      </c>
      <c r="U3304" t="s">
        <v>19793</v>
      </c>
      <c r="V3304">
        <f>Tabla1[[#This Row],[Aboard]]-Tabla1[[#This Row],[Fatalities]]</f>
        <v>0</v>
      </c>
      <c r="W3304" s="50">
        <f>IFERROR(Tabla1[[#This Row],[Fatalities]]/Tabla1[[#This Row],[Aboard]],0)</f>
        <v>1</v>
      </c>
      <c r="X3304" s="51" t="str" cm="1">
        <f t="array" ref="X3304">_xlfn.IFS(Tabla1[[#This Row],[Porcentaje de muertes]]&lt;0.35,"LEVE",AND(Tabla1[[#This Row],[Porcentaje de muertes]]&gt;0.35,Tabla1[[#This Row],[Porcentaje de muertes]]&lt;0.65),"MEDIO",Tabla1[[#This Row],[Porcentaje de muertes]]&gt;0.65,"GRAVE")</f>
        <v>GRAVE</v>
      </c>
    </row>
    <row r="3305" spans="2:24" x14ac:dyDescent="0.3">
      <c r="B3305" s="9">
        <v>3304</v>
      </c>
      <c r="C3305" s="49">
        <v>31097</v>
      </c>
      <c r="D3305" s="9">
        <f>YEAR(Tabla1[[#This Row],[Date]])</f>
        <v>1985</v>
      </c>
      <c r="E3305" s="9" t="str" cm="1">
        <f t="array" ref="E3305">IFERROR(_xlfn.IFS(AND(D3305&lt;1980,D3305&gt;=1970),"70",AND(D3305&lt;1990,D3305&gt;=1980),"80",AND(D3305&lt;2000,D3305&gt;=1990),"90",AND(D3305&lt;2010,D3305&gt;=2000),"00",AND(D3305&lt;=2019,D3305&gt;=2010),"10"),"1908-1970")</f>
        <v>80</v>
      </c>
      <c r="F3305" s="3">
        <v>0.42708333333333331</v>
      </c>
      <c r="G3305" t="s">
        <v>19794</v>
      </c>
      <c r="H3305" t="s">
        <v>15040</v>
      </c>
      <c r="I3305">
        <v>6</v>
      </c>
      <c r="J3305" t="s">
        <v>19795</v>
      </c>
      <c r="K3305" t="s">
        <v>19796</v>
      </c>
      <c r="L3305" s="7" t="s">
        <v>19797</v>
      </c>
      <c r="M3305" t="s">
        <v>19798</v>
      </c>
      <c r="N3305">
        <v>274</v>
      </c>
      <c r="O3305">
        <v>251</v>
      </c>
      <c r="P3305">
        <v>23</v>
      </c>
      <c r="Q3305">
        <v>0</v>
      </c>
      <c r="R3305">
        <v>0</v>
      </c>
      <c r="S3305">
        <v>0</v>
      </c>
      <c r="T3305">
        <v>0</v>
      </c>
      <c r="U3305" t="s">
        <v>19799</v>
      </c>
      <c r="V3305">
        <f>Tabla1[[#This Row],[Aboard]]-Tabla1[[#This Row],[Fatalities]]</f>
        <v>274</v>
      </c>
      <c r="W3305" s="50">
        <f>IFERROR(Tabla1[[#This Row],[Fatalities]]/Tabla1[[#This Row],[Aboard]],0)</f>
        <v>0</v>
      </c>
      <c r="X3305" s="51" t="str" cm="1">
        <f t="array" ref="X3305">_xlfn.IFS(Tabla1[[#This Row],[Porcentaje de muertes]]&lt;0.35,"LEVE",AND(Tabla1[[#This Row],[Porcentaje de muertes]]&gt;0.35,Tabla1[[#This Row],[Porcentaje de muertes]]&lt;0.65),"MEDIO",Tabla1[[#This Row],[Porcentaje de muertes]]&gt;0.65,"GRAVE")</f>
        <v>LEVE</v>
      </c>
    </row>
    <row r="3306" spans="2:24" x14ac:dyDescent="0.3">
      <c r="B3306" s="9">
        <v>3305</v>
      </c>
      <c r="C3306" s="49">
        <v>31097</v>
      </c>
      <c r="D3306" s="9">
        <f>YEAR(Tabla1[[#This Row],[Date]])</f>
        <v>1985</v>
      </c>
      <c r="E3306" s="9" t="str" cm="1">
        <f t="array" ref="E3306">IFERROR(_xlfn.IFS(AND(D3306&lt;1980,D3306&gt;=1970),"70",AND(D3306&lt;1990,D3306&gt;=1980),"80",AND(D3306&lt;2000,D3306&gt;=1990),"90",AND(D3306&lt;2010,D3306&gt;=2000),"00",AND(D3306&lt;=2019,D3306&gt;=2010),"10"),"1908-1970")</f>
        <v>80</v>
      </c>
      <c r="F3306" s="3">
        <v>0.39374999999999999</v>
      </c>
      <c r="G3306" t="s">
        <v>19800</v>
      </c>
      <c r="H3306" t="s">
        <v>5570</v>
      </c>
      <c r="I3306">
        <v>610</v>
      </c>
      <c r="J3306" t="s">
        <v>19801</v>
      </c>
      <c r="K3306" t="s">
        <v>19802</v>
      </c>
      <c r="L3306" s="7" t="s">
        <v>19803</v>
      </c>
      <c r="M3306" t="s">
        <v>19804</v>
      </c>
      <c r="N3306">
        <v>148</v>
      </c>
      <c r="O3306">
        <v>141</v>
      </c>
      <c r="P3306">
        <v>7</v>
      </c>
      <c r="Q3306">
        <v>148</v>
      </c>
      <c r="R3306">
        <v>141</v>
      </c>
      <c r="S3306">
        <v>7</v>
      </c>
      <c r="T3306">
        <v>0</v>
      </c>
      <c r="U3306" t="s">
        <v>19805</v>
      </c>
      <c r="V3306">
        <f>Tabla1[[#This Row],[Aboard]]-Tabla1[[#This Row],[Fatalities]]</f>
        <v>0</v>
      </c>
      <c r="W3306" s="50">
        <f>IFERROR(Tabla1[[#This Row],[Fatalities]]/Tabla1[[#This Row],[Aboard]],0)</f>
        <v>1</v>
      </c>
      <c r="X3306" s="51" t="str" cm="1">
        <f t="array" ref="X3306">_xlfn.IFS(Tabla1[[#This Row],[Porcentaje de muertes]]&lt;0.35,"LEVE",AND(Tabla1[[#This Row],[Porcentaje de muertes]]&gt;0.35,Tabla1[[#This Row],[Porcentaje de muertes]]&lt;0.65),"MEDIO",Tabla1[[#This Row],[Porcentaje de muertes]]&gt;0.65,"GRAVE")</f>
        <v>GRAVE</v>
      </c>
    </row>
    <row r="3307" spans="2:24" x14ac:dyDescent="0.3">
      <c r="B3307" s="9">
        <v>3306</v>
      </c>
      <c r="C3307" s="49">
        <v>31100</v>
      </c>
      <c r="D3307" s="9">
        <f>YEAR(Tabla1[[#This Row],[Date]])</f>
        <v>1985</v>
      </c>
      <c r="E3307" s="9" t="str" cm="1">
        <f t="array" ref="E3307">IFERROR(_xlfn.IFS(AND(D3307&lt;1980,D3307&gt;=1970),"70",AND(D3307&lt;1990,D3307&gt;=1980),"80",AND(D3307&lt;2000,D3307&gt;=1990),"90",AND(D3307&lt;2010,D3307&gt;=2000),"00",AND(D3307&lt;=2019,D3307&gt;=2010),"10"),"1908-1970")</f>
        <v>80</v>
      </c>
      <c r="F3307" s="3" t="s">
        <v>28931</v>
      </c>
      <c r="G3307" t="s">
        <v>19806</v>
      </c>
      <c r="H3307" t="s">
        <v>19398</v>
      </c>
      <c r="I3307" t="s">
        <v>28931</v>
      </c>
      <c r="J3307" t="s">
        <v>19807</v>
      </c>
      <c r="K3307" t="s">
        <v>15299</v>
      </c>
      <c r="L3307" s="7" t="s">
        <v>19808</v>
      </c>
      <c r="M3307">
        <v>87304104</v>
      </c>
      <c r="N3307">
        <v>51</v>
      </c>
      <c r="O3307">
        <v>49</v>
      </c>
      <c r="P3307">
        <v>2</v>
      </c>
      <c r="Q3307">
        <v>50</v>
      </c>
      <c r="R3307">
        <v>48</v>
      </c>
      <c r="S3307">
        <v>2</v>
      </c>
      <c r="T3307">
        <v>0</v>
      </c>
      <c r="U3307" t="s">
        <v>19809</v>
      </c>
      <c r="V3307">
        <f>Tabla1[[#This Row],[Aboard]]-Tabla1[[#This Row],[Fatalities]]</f>
        <v>1</v>
      </c>
      <c r="W3307" s="50">
        <f>IFERROR(Tabla1[[#This Row],[Fatalities]]/Tabla1[[#This Row],[Aboard]],0)</f>
        <v>0.98039215686274506</v>
      </c>
      <c r="X3307" s="51" t="str" cm="1">
        <f t="array" ref="X3307">_xlfn.IFS(Tabla1[[#This Row],[Porcentaje de muertes]]&lt;0.35,"LEVE",AND(Tabla1[[#This Row],[Porcentaje de muertes]]&gt;0.35,Tabla1[[#This Row],[Porcentaje de muertes]]&lt;0.65),"MEDIO",Tabla1[[#This Row],[Porcentaje de muertes]]&gt;0.65,"GRAVE")</f>
        <v>GRAVE</v>
      </c>
    </row>
    <row r="3308" spans="2:24" x14ac:dyDescent="0.3">
      <c r="B3308" s="9">
        <v>3307</v>
      </c>
      <c r="C3308" s="49">
        <v>31103</v>
      </c>
      <c r="D3308" s="9">
        <f>YEAR(Tabla1[[#This Row],[Date]])</f>
        <v>1985</v>
      </c>
      <c r="E3308" s="9" t="str" cm="1">
        <f t="array" ref="E3308">IFERROR(_xlfn.IFS(AND(D3308&lt;1980,D3308&gt;=1970),"70",AND(D3308&lt;1990,D3308&gt;=1980),"80",AND(D3308&lt;2000,D3308&gt;=1990),"90",AND(D3308&lt;2010,D3308&gt;=2000),"00",AND(D3308&lt;=2019,D3308&gt;=2010),"10"),"1908-1970")</f>
        <v>80</v>
      </c>
      <c r="F3308" s="3" t="s">
        <v>28931</v>
      </c>
      <c r="G3308" t="s">
        <v>19810</v>
      </c>
      <c r="H3308" t="s">
        <v>7987</v>
      </c>
      <c r="I3308" t="s">
        <v>28931</v>
      </c>
      <c r="J3308" t="s">
        <v>19811</v>
      </c>
      <c r="K3308" t="s">
        <v>19812</v>
      </c>
      <c r="L3308" s="7" t="s">
        <v>19813</v>
      </c>
      <c r="M3308" t="s">
        <v>19814</v>
      </c>
      <c r="N3308">
        <v>3</v>
      </c>
      <c r="O3308">
        <v>0</v>
      </c>
      <c r="P3308">
        <v>3</v>
      </c>
      <c r="Q3308">
        <v>3</v>
      </c>
      <c r="R3308">
        <v>0</v>
      </c>
      <c r="S3308">
        <v>3</v>
      </c>
      <c r="T3308">
        <v>0</v>
      </c>
      <c r="U3308" t="s">
        <v>19815</v>
      </c>
      <c r="V3308">
        <f>Tabla1[[#This Row],[Aboard]]-Tabla1[[#This Row],[Fatalities]]</f>
        <v>0</v>
      </c>
      <c r="W3308" s="50">
        <f>IFERROR(Tabla1[[#This Row],[Fatalities]]/Tabla1[[#This Row],[Aboard]],0)</f>
        <v>1</v>
      </c>
      <c r="X3308" s="51" t="str" cm="1">
        <f t="array" ref="X3308">_xlfn.IFS(Tabla1[[#This Row],[Porcentaje de muertes]]&lt;0.35,"LEVE",AND(Tabla1[[#This Row],[Porcentaje de muertes]]&gt;0.35,Tabla1[[#This Row],[Porcentaje de muertes]]&lt;0.65),"MEDIO",Tabla1[[#This Row],[Porcentaje de muertes]]&gt;0.65,"GRAVE")</f>
        <v>GRAVE</v>
      </c>
    </row>
    <row r="3309" spans="2:24" x14ac:dyDescent="0.3">
      <c r="B3309" s="9">
        <v>3308</v>
      </c>
      <c r="C3309" s="49">
        <v>31384</v>
      </c>
      <c r="D3309" s="9">
        <f>YEAR(Tabla1[[#This Row],[Date]])</f>
        <v>1985</v>
      </c>
      <c r="E3309" s="9" t="str" cm="1">
        <f t="array" ref="E3309">IFERROR(_xlfn.IFS(AND(D3309&lt;1980,D3309&gt;=1970),"70",AND(D3309&lt;1990,D3309&gt;=1980),"80",AND(D3309&lt;2000,D3309&gt;=1990),"90",AND(D3309&lt;2010,D3309&gt;=2000),"00",AND(D3309&lt;=2019,D3309&gt;=2010),"10"),"1908-1970")</f>
        <v>80</v>
      </c>
      <c r="F3309" s="3" t="s">
        <v>28931</v>
      </c>
      <c r="G3309" t="s">
        <v>19816</v>
      </c>
      <c r="H3309" t="s">
        <v>7987</v>
      </c>
      <c r="I3309" t="s">
        <v>28931</v>
      </c>
      <c r="J3309" t="s">
        <v>6190</v>
      </c>
      <c r="K3309" t="s">
        <v>18804</v>
      </c>
      <c r="L3309" s="7" t="s">
        <v>19817</v>
      </c>
      <c r="M3309">
        <v>4044</v>
      </c>
      <c r="N3309">
        <v>6</v>
      </c>
      <c r="O3309">
        <v>0</v>
      </c>
      <c r="P3309">
        <v>6</v>
      </c>
      <c r="Q3309">
        <v>6</v>
      </c>
      <c r="R3309">
        <v>0</v>
      </c>
      <c r="S3309">
        <v>6</v>
      </c>
      <c r="T3309">
        <v>0</v>
      </c>
      <c r="U3309" t="s">
        <v>19818</v>
      </c>
      <c r="V3309">
        <f>Tabla1[[#This Row],[Aboard]]-Tabla1[[#This Row],[Fatalities]]</f>
        <v>0</v>
      </c>
      <c r="W3309" s="50">
        <f>IFERROR(Tabla1[[#This Row],[Fatalities]]/Tabla1[[#This Row],[Aboard]],0)</f>
        <v>1</v>
      </c>
      <c r="X3309" s="51" t="str" cm="1">
        <f t="array" ref="X3309">_xlfn.IFS(Tabla1[[#This Row],[Porcentaje de muertes]]&lt;0.35,"LEVE",AND(Tabla1[[#This Row],[Porcentaje de muertes]]&gt;0.35,Tabla1[[#This Row],[Porcentaje de muertes]]&lt;0.65),"MEDIO",Tabla1[[#This Row],[Porcentaje de muertes]]&gt;0.65,"GRAVE")</f>
        <v>GRAVE</v>
      </c>
    </row>
    <row r="3310" spans="2:24" x14ac:dyDescent="0.3">
      <c r="B3310" s="9">
        <v>3309</v>
      </c>
      <c r="C3310" s="49">
        <v>31134</v>
      </c>
      <c r="D3310" s="9">
        <f>YEAR(Tabla1[[#This Row],[Date]])</f>
        <v>1985</v>
      </c>
      <c r="E3310" s="9" t="str" cm="1">
        <f t="array" ref="E3310">IFERROR(_xlfn.IFS(AND(D3310&lt;1980,D3310&gt;=1970),"70",AND(D3310&lt;1990,D3310&gt;=1980),"80",AND(D3310&lt;2000,D3310&gt;=1990),"90",AND(D3310&lt;2010,D3310&gt;=2000),"00",AND(D3310&lt;=2019,D3310&gt;=2010),"10"),"1908-1970")</f>
        <v>80</v>
      </c>
      <c r="F3310" s="3">
        <v>0.40972222222222227</v>
      </c>
      <c r="G3310" t="s">
        <v>19819</v>
      </c>
      <c r="H3310" t="s">
        <v>15622</v>
      </c>
      <c r="I3310" t="s">
        <v>28931</v>
      </c>
      <c r="J3310" t="s">
        <v>19820</v>
      </c>
      <c r="K3310" t="s">
        <v>19821</v>
      </c>
      <c r="L3310" s="7" t="s">
        <v>19822</v>
      </c>
      <c r="M3310">
        <v>11165</v>
      </c>
      <c r="N3310">
        <v>46</v>
      </c>
      <c r="O3310">
        <v>40</v>
      </c>
      <c r="P3310">
        <v>6</v>
      </c>
      <c r="Q3310">
        <v>46</v>
      </c>
      <c r="R3310">
        <v>40</v>
      </c>
      <c r="S3310">
        <v>6</v>
      </c>
      <c r="T3310">
        <v>0</v>
      </c>
      <c r="U3310" t="s">
        <v>19823</v>
      </c>
      <c r="V3310">
        <f>Tabla1[[#This Row],[Aboard]]-Tabla1[[#This Row],[Fatalities]]</f>
        <v>0</v>
      </c>
      <c r="W3310" s="50">
        <f>IFERROR(Tabla1[[#This Row],[Fatalities]]/Tabla1[[#This Row],[Aboard]],0)</f>
        <v>1</v>
      </c>
      <c r="X3310" s="51" t="str" cm="1">
        <f t="array" ref="X3310">_xlfn.IFS(Tabla1[[#This Row],[Porcentaje de muertes]]&lt;0.35,"LEVE",AND(Tabla1[[#This Row],[Porcentaje de muertes]]&gt;0.35,Tabla1[[#This Row],[Porcentaje de muertes]]&lt;0.65),"MEDIO",Tabla1[[#This Row],[Porcentaje de muertes]]&gt;0.65,"GRAVE")</f>
        <v>GRAVE</v>
      </c>
    </row>
    <row r="3311" spans="2:24" x14ac:dyDescent="0.3">
      <c r="B3311" s="9">
        <v>3310</v>
      </c>
      <c r="C3311" s="49">
        <v>31355</v>
      </c>
      <c r="D3311" s="9">
        <f>YEAR(Tabla1[[#This Row],[Date]])</f>
        <v>1985</v>
      </c>
      <c r="E3311" s="9" t="str" cm="1">
        <f t="array" ref="E3311">IFERROR(_xlfn.IFS(AND(D3311&lt;1980,D3311&gt;=1970),"70",AND(D3311&lt;1990,D3311&gt;=1980),"80",AND(D3311&lt;2000,D3311&gt;=1990),"90",AND(D3311&lt;2010,D3311&gt;=2000),"00",AND(D3311&lt;=2019,D3311&gt;=2010),"10"),"1908-1970")</f>
        <v>80</v>
      </c>
      <c r="F3311" s="3" t="s">
        <v>28931</v>
      </c>
      <c r="G3311" t="s">
        <v>19824</v>
      </c>
      <c r="H3311" t="s">
        <v>19825</v>
      </c>
      <c r="I3311" t="s">
        <v>28931</v>
      </c>
      <c r="J3311" t="s">
        <v>19826</v>
      </c>
      <c r="K3311" t="s">
        <v>19827</v>
      </c>
      <c r="L3311" s="7" t="s">
        <v>19828</v>
      </c>
      <c r="M3311">
        <v>257133</v>
      </c>
      <c r="N3311">
        <v>7</v>
      </c>
      <c r="O3311">
        <v>5</v>
      </c>
      <c r="P3311">
        <v>2</v>
      </c>
      <c r="Q3311">
        <v>7</v>
      </c>
      <c r="R3311">
        <v>5</v>
      </c>
      <c r="S3311">
        <v>2</v>
      </c>
      <c r="T3311">
        <v>0</v>
      </c>
      <c r="U3311" t="s">
        <v>19829</v>
      </c>
      <c r="V3311">
        <f>Tabla1[[#This Row],[Aboard]]-Tabla1[[#This Row],[Fatalities]]</f>
        <v>0</v>
      </c>
      <c r="W3311" s="50">
        <f>IFERROR(Tabla1[[#This Row],[Fatalities]]/Tabla1[[#This Row],[Aboard]],0)</f>
        <v>1</v>
      </c>
      <c r="X3311" s="51" t="str" cm="1">
        <f t="array" ref="X3311">_xlfn.IFS(Tabla1[[#This Row],[Porcentaje de muertes]]&lt;0.35,"LEVE",AND(Tabla1[[#This Row],[Porcentaje de muertes]]&gt;0.35,Tabla1[[#This Row],[Porcentaje de muertes]]&lt;0.65),"MEDIO",Tabla1[[#This Row],[Porcentaje de muertes]]&gt;0.65,"GRAVE")</f>
        <v>GRAVE</v>
      </c>
    </row>
    <row r="3312" spans="2:24" x14ac:dyDescent="0.3">
      <c r="B3312" s="9">
        <v>3311</v>
      </c>
      <c r="C3312" s="49">
        <v>31152</v>
      </c>
      <c r="D3312" s="9">
        <f>YEAR(Tabla1[[#This Row],[Date]])</f>
        <v>1985</v>
      </c>
      <c r="E3312" s="9" t="str" cm="1">
        <f t="array" ref="E3312">IFERROR(_xlfn.IFS(AND(D3312&lt;1980,D3312&gt;=1970),"70",AND(D3312&lt;1990,D3312&gt;=1980),"80",AND(D3312&lt;2000,D3312&gt;=1990),"90",AND(D3312&lt;2010,D3312&gt;=2000),"00",AND(D3312&lt;=2019,D3312&gt;=2010),"10"),"1908-1970")</f>
        <v>80</v>
      </c>
      <c r="F3312" s="3">
        <v>0.97916666666666663</v>
      </c>
      <c r="G3312" t="s">
        <v>19830</v>
      </c>
      <c r="H3312" t="s">
        <v>15100</v>
      </c>
      <c r="I3312" t="s">
        <v>28931</v>
      </c>
      <c r="J3312" t="s">
        <v>19831</v>
      </c>
      <c r="K3312" t="s">
        <v>19157</v>
      </c>
      <c r="L3312" s="7" t="s">
        <v>19832</v>
      </c>
      <c r="M3312" t="s">
        <v>19833</v>
      </c>
      <c r="N3312">
        <v>11</v>
      </c>
      <c r="O3312">
        <v>4</v>
      </c>
      <c r="P3312">
        <v>7</v>
      </c>
      <c r="Q3312">
        <v>11</v>
      </c>
      <c r="R3312">
        <v>4</v>
      </c>
      <c r="S3312">
        <v>7</v>
      </c>
      <c r="T3312">
        <v>0</v>
      </c>
      <c r="U3312" t="s">
        <v>19834</v>
      </c>
      <c r="V3312">
        <f>Tabla1[[#This Row],[Aboard]]-Tabla1[[#This Row],[Fatalities]]</f>
        <v>0</v>
      </c>
      <c r="W3312" s="50">
        <f>IFERROR(Tabla1[[#This Row],[Fatalities]]/Tabla1[[#This Row],[Aboard]],0)</f>
        <v>1</v>
      </c>
      <c r="X3312" s="51" t="str" cm="1">
        <f t="array" ref="X3312">_xlfn.IFS(Tabla1[[#This Row],[Porcentaje de muertes]]&lt;0.35,"LEVE",AND(Tabla1[[#This Row],[Porcentaje de muertes]]&gt;0.35,Tabla1[[#This Row],[Porcentaje de muertes]]&lt;0.65),"MEDIO",Tabla1[[#This Row],[Porcentaje de muertes]]&gt;0.65,"GRAVE")</f>
        <v>GRAVE</v>
      </c>
    </row>
    <row r="3313" spans="2:24" x14ac:dyDescent="0.3">
      <c r="B3313" s="9">
        <v>3312</v>
      </c>
      <c r="C3313" s="49">
        <v>31153</v>
      </c>
      <c r="D3313" s="9">
        <f>YEAR(Tabla1[[#This Row],[Date]])</f>
        <v>1985</v>
      </c>
      <c r="E3313" s="9" t="str" cm="1">
        <f t="array" ref="E3313">IFERROR(_xlfn.IFS(AND(D3313&lt;1980,D3313&gt;=1970),"70",AND(D3313&lt;1990,D3313&gt;=1980),"80",AND(D3313&lt;2000,D3313&gt;=1990),"90",AND(D3313&lt;2010,D3313&gt;=2000),"00",AND(D3313&lt;=2019,D3313&gt;=2010),"10"),"1908-1970")</f>
        <v>80</v>
      </c>
      <c r="F3313" s="3">
        <v>0.48402777777777778</v>
      </c>
      <c r="G3313" t="s">
        <v>19835</v>
      </c>
      <c r="H3313" t="s">
        <v>6536</v>
      </c>
      <c r="I3313" t="s">
        <v>28931</v>
      </c>
      <c r="J3313" t="s">
        <v>19836</v>
      </c>
      <c r="K3313" t="s">
        <v>19837</v>
      </c>
      <c r="L3313" s="7" t="s">
        <v>19838</v>
      </c>
      <c r="M3313" t="s">
        <v>19839</v>
      </c>
      <c r="N3313">
        <v>89</v>
      </c>
      <c r="O3313">
        <v>81</v>
      </c>
      <c r="P3313">
        <v>8</v>
      </c>
      <c r="Q3313">
        <v>0</v>
      </c>
      <c r="R3313">
        <v>0</v>
      </c>
      <c r="S3313">
        <v>0</v>
      </c>
      <c r="T3313">
        <v>0</v>
      </c>
      <c r="U3313" t="s">
        <v>19840</v>
      </c>
      <c r="V3313">
        <f>Tabla1[[#This Row],[Aboard]]-Tabla1[[#This Row],[Fatalities]]</f>
        <v>89</v>
      </c>
      <c r="W3313" s="50">
        <f>IFERROR(Tabla1[[#This Row],[Fatalities]]/Tabla1[[#This Row],[Aboard]],0)</f>
        <v>0</v>
      </c>
      <c r="X3313" s="51" t="str" cm="1">
        <f t="array" ref="X3313">_xlfn.IFS(Tabla1[[#This Row],[Porcentaje de muertes]]&lt;0.35,"LEVE",AND(Tabla1[[#This Row],[Porcentaje de muertes]]&gt;0.35,Tabla1[[#This Row],[Porcentaje de muertes]]&lt;0.65),"MEDIO",Tabla1[[#This Row],[Porcentaje de muertes]]&gt;0.65,"GRAVE")</f>
        <v>LEVE</v>
      </c>
    </row>
    <row r="3314" spans="2:24" x14ac:dyDescent="0.3">
      <c r="B3314" s="9">
        <v>3313</v>
      </c>
      <c r="C3314" s="49">
        <v>31157</v>
      </c>
      <c r="D3314" s="9">
        <f>YEAR(Tabla1[[#This Row],[Date]])</f>
        <v>1985</v>
      </c>
      <c r="E3314" s="9" t="str" cm="1">
        <f t="array" ref="E3314">IFERROR(_xlfn.IFS(AND(D3314&lt;1980,D3314&gt;=1970),"70",AND(D3314&lt;1990,D3314&gt;=1980),"80",AND(D3314&lt;2000,D3314&gt;=1990),"90",AND(D3314&lt;2010,D3314&gt;=2000),"00",AND(D3314&lt;=2019,D3314&gt;=2010),"10"),"1908-1970")</f>
        <v>80</v>
      </c>
      <c r="F3314" s="3" t="s">
        <v>28931</v>
      </c>
      <c r="G3314" t="s">
        <v>19841</v>
      </c>
      <c r="H3314" t="s">
        <v>19842</v>
      </c>
      <c r="I3314" t="s">
        <v>28931</v>
      </c>
      <c r="J3314" t="s">
        <v>28931</v>
      </c>
      <c r="K3314" t="s">
        <v>14237</v>
      </c>
      <c r="L3314" s="7" t="s">
        <v>19843</v>
      </c>
      <c r="M3314">
        <v>319</v>
      </c>
      <c r="N3314">
        <v>4</v>
      </c>
      <c r="O3314">
        <v>1</v>
      </c>
      <c r="P3314">
        <v>3</v>
      </c>
      <c r="Q3314">
        <v>4</v>
      </c>
      <c r="R3314">
        <v>1</v>
      </c>
      <c r="S3314">
        <v>3</v>
      </c>
      <c r="T3314">
        <v>0</v>
      </c>
      <c r="U3314" t="s">
        <v>19844</v>
      </c>
      <c r="V3314">
        <f>Tabla1[[#This Row],[Aboard]]-Tabla1[[#This Row],[Fatalities]]</f>
        <v>0</v>
      </c>
      <c r="W3314" s="50">
        <f>IFERROR(Tabla1[[#This Row],[Fatalities]]/Tabla1[[#This Row],[Aboard]],0)</f>
        <v>1</v>
      </c>
      <c r="X3314" s="51" t="str" cm="1">
        <f t="array" ref="X3314">_xlfn.IFS(Tabla1[[#This Row],[Porcentaje de muertes]]&lt;0.35,"LEVE",AND(Tabla1[[#This Row],[Porcentaje de muertes]]&gt;0.35,Tabla1[[#This Row],[Porcentaje de muertes]]&lt;0.65),"MEDIO",Tabla1[[#This Row],[Porcentaje de muertes]]&gt;0.65,"GRAVE")</f>
        <v>GRAVE</v>
      </c>
    </row>
    <row r="3315" spans="2:24" x14ac:dyDescent="0.3">
      <c r="B3315" s="9">
        <v>3314</v>
      </c>
      <c r="C3315" s="49">
        <v>31157</v>
      </c>
      <c r="D3315" s="9">
        <f>YEAR(Tabla1[[#This Row],[Date]])</f>
        <v>1985</v>
      </c>
      <c r="E3315" s="9" t="str" cm="1">
        <f t="array" ref="E3315">IFERROR(_xlfn.IFS(AND(D3315&lt;1980,D3315&gt;=1970),"70",AND(D3315&lt;1990,D3315&gt;=1980),"80",AND(D3315&lt;2000,D3315&gt;=1990),"90",AND(D3315&lt;2010,D3315&gt;=2000),"00",AND(D3315&lt;=2019,D3315&gt;=2010),"10"),"1908-1970")</f>
        <v>80</v>
      </c>
      <c r="F3315" s="3" t="s">
        <v>28931</v>
      </c>
      <c r="G3315" t="s">
        <v>19845</v>
      </c>
      <c r="H3315" t="s">
        <v>19846</v>
      </c>
      <c r="I3315" t="s">
        <v>28931</v>
      </c>
      <c r="J3315" t="s">
        <v>18533</v>
      </c>
      <c r="K3315" t="s">
        <v>12968</v>
      </c>
      <c r="L3315" s="7" t="s">
        <v>19847</v>
      </c>
      <c r="M3315">
        <v>10118</v>
      </c>
      <c r="N3315">
        <v>5</v>
      </c>
      <c r="O3315">
        <v>0</v>
      </c>
      <c r="P3315">
        <v>5</v>
      </c>
      <c r="Q3315">
        <v>2</v>
      </c>
      <c r="R3315">
        <v>0</v>
      </c>
      <c r="S3315">
        <v>2</v>
      </c>
      <c r="T3315">
        <v>0</v>
      </c>
      <c r="U3315" t="s">
        <v>19848</v>
      </c>
      <c r="V3315">
        <f>Tabla1[[#This Row],[Aboard]]-Tabla1[[#This Row],[Fatalities]]</f>
        <v>3</v>
      </c>
      <c r="W3315" s="50">
        <f>IFERROR(Tabla1[[#This Row],[Fatalities]]/Tabla1[[#This Row],[Aboard]],0)</f>
        <v>0.4</v>
      </c>
      <c r="X3315" s="51" t="str" cm="1">
        <f t="array" ref="X3315">_xlfn.IFS(Tabla1[[#This Row],[Porcentaje de muertes]]&lt;0.35,"LEVE",AND(Tabla1[[#This Row],[Porcentaje de muertes]]&gt;0.35,Tabla1[[#This Row],[Porcentaje de muertes]]&lt;0.65),"MEDIO",Tabla1[[#This Row],[Porcentaje de muertes]]&gt;0.65,"GRAVE")</f>
        <v>MEDIO</v>
      </c>
    </row>
    <row r="3316" spans="2:24" x14ac:dyDescent="0.3">
      <c r="B3316" s="9">
        <v>3315</v>
      </c>
      <c r="C3316" s="49">
        <v>31111</v>
      </c>
      <c r="D3316" s="9">
        <f>YEAR(Tabla1[[#This Row],[Date]])</f>
        <v>1985</v>
      </c>
      <c r="E3316" s="9" t="str" cm="1">
        <f t="array" ref="E3316">IFERROR(_xlfn.IFS(AND(D3316&lt;1980,D3316&gt;=1970),"70",AND(D3316&lt;1990,D3316&gt;=1980),"80",AND(D3316&lt;2000,D3316&gt;=1990),"90",AND(D3316&lt;2010,D3316&gt;=2000),"00",AND(D3316&lt;=2019,D3316&gt;=2010),"10"),"1908-1970")</f>
        <v>80</v>
      </c>
      <c r="F3316" s="3">
        <v>0.50902777777777775</v>
      </c>
      <c r="G3316" t="s">
        <v>19849</v>
      </c>
      <c r="H3316" t="s">
        <v>19850</v>
      </c>
      <c r="I3316">
        <v>8381</v>
      </c>
      <c r="J3316" t="s">
        <v>19851</v>
      </c>
      <c r="K3316" t="s">
        <v>19852</v>
      </c>
      <c r="L3316" s="7" t="s">
        <v>19853</v>
      </c>
      <c r="M3316" t="s">
        <v>19854</v>
      </c>
      <c r="N3316">
        <v>76</v>
      </c>
      <c r="O3316">
        <v>73</v>
      </c>
      <c r="P3316">
        <v>3</v>
      </c>
      <c r="Q3316">
        <v>76</v>
      </c>
      <c r="R3316">
        <v>73</v>
      </c>
      <c r="S3316">
        <v>3</v>
      </c>
      <c r="T3316">
        <v>0</v>
      </c>
      <c r="U3316" t="s">
        <v>19855</v>
      </c>
      <c r="V3316">
        <f>Tabla1[[#This Row],[Aboard]]-Tabla1[[#This Row],[Fatalities]]</f>
        <v>0</v>
      </c>
      <c r="W3316" s="50">
        <f>IFERROR(Tabla1[[#This Row],[Fatalities]]/Tabla1[[#This Row],[Aboard]],0)</f>
        <v>1</v>
      </c>
      <c r="X3316" s="51" t="str" cm="1">
        <f t="array" ref="X3316">_xlfn.IFS(Tabla1[[#This Row],[Porcentaje de muertes]]&lt;0.35,"LEVE",AND(Tabla1[[#This Row],[Porcentaje de muertes]]&gt;0.35,Tabla1[[#This Row],[Porcentaje de muertes]]&lt;0.65),"MEDIO",Tabla1[[#This Row],[Porcentaje de muertes]]&gt;0.65,"GRAVE")</f>
        <v>GRAVE</v>
      </c>
    </row>
    <row r="3317" spans="2:24" x14ac:dyDescent="0.3">
      <c r="B3317" s="9">
        <v>3316</v>
      </c>
      <c r="C3317" s="49">
        <v>31203</v>
      </c>
      <c r="D3317" s="9">
        <f>YEAR(Tabla1[[#This Row],[Date]])</f>
        <v>1985</v>
      </c>
      <c r="E3317" s="9" t="str" cm="1">
        <f t="array" ref="E3317">IFERROR(_xlfn.IFS(AND(D3317&lt;1980,D3317&gt;=1970),"70",AND(D3317&lt;1990,D3317&gt;=1980),"80",AND(D3317&lt;2000,D3317&gt;=1990),"90",AND(D3317&lt;2010,D3317&gt;=2000),"00",AND(D3317&lt;=2019,D3317&gt;=2010),"10"),"1908-1970")</f>
        <v>80</v>
      </c>
      <c r="F3317" s="3">
        <v>0.53472222222222221</v>
      </c>
      <c r="G3317" t="s">
        <v>19856</v>
      </c>
      <c r="H3317" t="s">
        <v>8891</v>
      </c>
      <c r="I3317" t="s">
        <v>28931</v>
      </c>
      <c r="J3317" t="s">
        <v>19857</v>
      </c>
      <c r="K3317" t="s">
        <v>19858</v>
      </c>
      <c r="L3317" s="7">
        <v>157138</v>
      </c>
      <c r="M3317" t="s">
        <v>19859</v>
      </c>
      <c r="N3317">
        <v>17</v>
      </c>
      <c r="O3317">
        <v>15</v>
      </c>
      <c r="P3317">
        <v>2</v>
      </c>
      <c r="Q3317">
        <v>17</v>
      </c>
      <c r="R3317">
        <v>15</v>
      </c>
      <c r="S3317">
        <v>2</v>
      </c>
      <c r="T3317">
        <v>0</v>
      </c>
      <c r="U3317" t="s">
        <v>19860</v>
      </c>
      <c r="V3317">
        <f>Tabla1[[#This Row],[Aboard]]-Tabla1[[#This Row],[Fatalities]]</f>
        <v>0</v>
      </c>
      <c r="W3317" s="50">
        <f>IFERROR(Tabla1[[#This Row],[Fatalities]]/Tabla1[[#This Row],[Aboard]],0)</f>
        <v>1</v>
      </c>
      <c r="X3317" s="51" t="str" cm="1">
        <f t="array" ref="X3317">_xlfn.IFS(Tabla1[[#This Row],[Porcentaje de muertes]]&lt;0.35,"LEVE",AND(Tabla1[[#This Row],[Porcentaje de muertes]]&gt;0.35,Tabla1[[#This Row],[Porcentaje de muertes]]&lt;0.65),"MEDIO",Tabla1[[#This Row],[Porcentaje de muertes]]&gt;0.65,"GRAVE")</f>
        <v>GRAVE</v>
      </c>
    </row>
    <row r="3318" spans="2:24" x14ac:dyDescent="0.3">
      <c r="B3318" s="9">
        <v>3317</v>
      </c>
      <c r="C3318" s="49">
        <v>31195</v>
      </c>
      <c r="D3318" s="9">
        <f>YEAR(Tabla1[[#This Row],[Date]])</f>
        <v>1985</v>
      </c>
      <c r="E3318" s="9" t="str" cm="1">
        <f t="array" ref="E3318">IFERROR(_xlfn.IFS(AND(D3318&lt;1980,D3318&gt;=1970),"70",AND(D3318&lt;1990,D3318&gt;=1980),"80",AND(D3318&lt;2000,D3318&gt;=1990),"90",AND(D3318&lt;2010,D3318&gt;=2000),"00",AND(D3318&lt;=2019,D3318&gt;=2010),"10"),"1908-1970")</f>
        <v>80</v>
      </c>
      <c r="F3318" s="3" t="s">
        <v>28931</v>
      </c>
      <c r="G3318" t="s">
        <v>19861</v>
      </c>
      <c r="H3318" t="s">
        <v>9576</v>
      </c>
      <c r="I3318" t="s">
        <v>28931</v>
      </c>
      <c r="J3318" t="s">
        <v>19862</v>
      </c>
      <c r="K3318" t="s">
        <v>14857</v>
      </c>
      <c r="L3318" s="7" t="s">
        <v>19863</v>
      </c>
      <c r="M3318">
        <v>157</v>
      </c>
      <c r="N3318">
        <v>13</v>
      </c>
      <c r="O3318">
        <v>8</v>
      </c>
      <c r="P3318">
        <v>5</v>
      </c>
      <c r="Q3318">
        <v>2</v>
      </c>
      <c r="R3318">
        <v>0</v>
      </c>
      <c r="S3318">
        <v>2</v>
      </c>
      <c r="T3318">
        <v>0</v>
      </c>
      <c r="U3318" t="s">
        <v>19864</v>
      </c>
      <c r="V3318">
        <f>Tabla1[[#This Row],[Aboard]]-Tabla1[[#This Row],[Fatalities]]</f>
        <v>11</v>
      </c>
      <c r="W3318" s="50">
        <f>IFERROR(Tabla1[[#This Row],[Fatalities]]/Tabla1[[#This Row],[Aboard]],0)</f>
        <v>0.15384615384615385</v>
      </c>
      <c r="X3318" s="51" t="str" cm="1">
        <f t="array" ref="X3318">_xlfn.IFS(Tabla1[[#This Row],[Porcentaje de muertes]]&lt;0.35,"LEVE",AND(Tabla1[[#This Row],[Porcentaje de muertes]]&gt;0.35,Tabla1[[#This Row],[Porcentaje de muertes]]&lt;0.65),"MEDIO",Tabla1[[#This Row],[Porcentaje de muertes]]&gt;0.65,"GRAVE")</f>
        <v>LEVE</v>
      </c>
    </row>
    <row r="3319" spans="2:24" x14ac:dyDescent="0.3">
      <c r="B3319" s="9">
        <v>3318</v>
      </c>
      <c r="C3319" s="49">
        <v>31198</v>
      </c>
      <c r="D3319" s="9">
        <f>YEAR(Tabla1[[#This Row],[Date]])</f>
        <v>1985</v>
      </c>
      <c r="E3319" s="9" t="str" cm="1">
        <f t="array" ref="E3319">IFERROR(_xlfn.IFS(AND(D3319&lt;1980,D3319&gt;=1970),"70",AND(D3319&lt;1990,D3319&gt;=1980),"80",AND(D3319&lt;2000,D3319&gt;=1990),"90",AND(D3319&lt;2010,D3319&gt;=2000),"00",AND(D3319&lt;=2019,D3319&gt;=2010),"10"),"1908-1970")</f>
        <v>80</v>
      </c>
      <c r="F3319" s="3">
        <v>0.95833333333333337</v>
      </c>
      <c r="G3319" t="s">
        <v>19865</v>
      </c>
      <c r="H3319" t="s">
        <v>19866</v>
      </c>
      <c r="I3319">
        <v>115</v>
      </c>
      <c r="J3319" t="s">
        <v>19867</v>
      </c>
      <c r="K3319" t="s">
        <v>19868</v>
      </c>
      <c r="L3319" s="7" t="s">
        <v>19869</v>
      </c>
      <c r="M3319">
        <v>181</v>
      </c>
      <c r="N3319">
        <v>2</v>
      </c>
      <c r="O3319">
        <v>0</v>
      </c>
      <c r="P3319">
        <v>2</v>
      </c>
      <c r="Q3319">
        <v>2</v>
      </c>
      <c r="R3319">
        <v>0</v>
      </c>
      <c r="S3319">
        <v>2</v>
      </c>
      <c r="T3319">
        <v>0</v>
      </c>
      <c r="U3319" t="s">
        <v>19870</v>
      </c>
      <c r="V3319">
        <f>Tabla1[[#This Row],[Aboard]]-Tabla1[[#This Row],[Fatalities]]</f>
        <v>0</v>
      </c>
      <c r="W3319" s="50">
        <f>IFERROR(Tabla1[[#This Row],[Fatalities]]/Tabla1[[#This Row],[Aboard]],0)</f>
        <v>1</v>
      </c>
      <c r="X3319" s="51" t="str" cm="1">
        <f t="array" ref="X3319">_xlfn.IFS(Tabla1[[#This Row],[Porcentaje de muertes]]&lt;0.35,"LEVE",AND(Tabla1[[#This Row],[Porcentaje de muertes]]&gt;0.35,Tabla1[[#This Row],[Porcentaje de muertes]]&lt;0.65),"MEDIO",Tabla1[[#This Row],[Porcentaje de muertes]]&gt;0.65,"GRAVE")</f>
        <v>GRAVE</v>
      </c>
    </row>
    <row r="3320" spans="2:24" x14ac:dyDescent="0.3">
      <c r="B3320" s="9">
        <v>3319</v>
      </c>
      <c r="C3320" s="49">
        <v>31212</v>
      </c>
      <c r="D3320" s="9">
        <f>YEAR(Tabla1[[#This Row],[Date]])</f>
        <v>1985</v>
      </c>
      <c r="E3320" s="9" t="str" cm="1">
        <f t="array" ref="E3320">IFERROR(_xlfn.IFS(AND(D3320&lt;1980,D3320&gt;=1970),"70",AND(D3320&lt;1990,D3320&gt;=1980),"80",AND(D3320&lt;2000,D3320&gt;=1990),"90",AND(D3320&lt;2010,D3320&gt;=2000),"00",AND(D3320&lt;=2019,D3320&gt;=2010),"10"),"1908-1970")</f>
        <v>80</v>
      </c>
      <c r="F3320" s="3" t="s">
        <v>28931</v>
      </c>
      <c r="G3320" t="s">
        <v>12791</v>
      </c>
      <c r="H3320" t="s">
        <v>10166</v>
      </c>
      <c r="I3320">
        <v>847</v>
      </c>
      <c r="J3320" t="s">
        <v>19871</v>
      </c>
      <c r="K3320" t="s">
        <v>17227</v>
      </c>
      <c r="L3320" s="7" t="s">
        <v>19872</v>
      </c>
      <c r="M3320" t="s">
        <v>19873</v>
      </c>
      <c r="N3320">
        <v>153</v>
      </c>
      <c r="O3320">
        <v>145</v>
      </c>
      <c r="P3320">
        <v>8</v>
      </c>
      <c r="Q3320">
        <v>1</v>
      </c>
      <c r="R3320">
        <v>1</v>
      </c>
      <c r="S3320">
        <v>0</v>
      </c>
      <c r="T3320">
        <v>0</v>
      </c>
      <c r="U3320" t="s">
        <v>19874</v>
      </c>
      <c r="V3320">
        <f>Tabla1[[#This Row],[Aboard]]-Tabla1[[#This Row],[Fatalities]]</f>
        <v>152</v>
      </c>
      <c r="W3320" s="50">
        <f>IFERROR(Tabla1[[#This Row],[Fatalities]]/Tabla1[[#This Row],[Aboard]],0)</f>
        <v>6.5359477124183009E-3</v>
      </c>
      <c r="X3320" s="51" t="str" cm="1">
        <f t="array" ref="X3320">_xlfn.IFS(Tabla1[[#This Row],[Porcentaje de muertes]]&lt;0.35,"LEVE",AND(Tabla1[[#This Row],[Porcentaje de muertes]]&gt;0.35,Tabla1[[#This Row],[Porcentaje de muertes]]&lt;0.65),"MEDIO",Tabla1[[#This Row],[Porcentaje de muertes]]&gt;0.65,"GRAVE")</f>
        <v>LEVE</v>
      </c>
    </row>
    <row r="3321" spans="2:24" x14ac:dyDescent="0.3">
      <c r="B3321" s="9">
        <v>3320</v>
      </c>
      <c r="C3321" s="49">
        <v>31221</v>
      </c>
      <c r="D3321" s="9">
        <f>YEAR(Tabla1[[#This Row],[Date]])</f>
        <v>1985</v>
      </c>
      <c r="E3321" s="9" t="str" cm="1">
        <f t="array" ref="E3321">IFERROR(_xlfn.IFS(AND(D3321&lt;1980,D3321&gt;=1970),"70",AND(D3321&lt;1990,D3321&gt;=1980),"80",AND(D3321&lt;2000,D3321&gt;=1990),"90",AND(D3321&lt;2010,D3321&gt;=2000),"00",AND(D3321&lt;=2019,D3321&gt;=2010),"10"),"1908-1970")</f>
        <v>80</v>
      </c>
      <c r="F3321" s="3" t="s">
        <v>28931</v>
      </c>
      <c r="G3321" t="s">
        <v>19875</v>
      </c>
      <c r="H3321" t="s">
        <v>18080</v>
      </c>
      <c r="I3321" t="s">
        <v>28931</v>
      </c>
      <c r="J3321" t="s">
        <v>19876</v>
      </c>
      <c r="K3321" t="s">
        <v>18081</v>
      </c>
      <c r="L3321" s="7" t="s">
        <v>19877</v>
      </c>
      <c r="M3321" t="s">
        <v>19878</v>
      </c>
      <c r="N3321">
        <v>17</v>
      </c>
      <c r="O3321">
        <v>15</v>
      </c>
      <c r="P3321">
        <v>2</v>
      </c>
      <c r="Q3321">
        <v>17</v>
      </c>
      <c r="R3321">
        <v>15</v>
      </c>
      <c r="S3321">
        <v>2</v>
      </c>
      <c r="T3321">
        <v>0</v>
      </c>
      <c r="U3321" t="s">
        <v>19879</v>
      </c>
      <c r="V3321">
        <f>Tabla1[[#This Row],[Aboard]]-Tabla1[[#This Row],[Fatalities]]</f>
        <v>0</v>
      </c>
      <c r="W3321" s="50">
        <f>IFERROR(Tabla1[[#This Row],[Fatalities]]/Tabla1[[#This Row],[Aboard]],0)</f>
        <v>1</v>
      </c>
      <c r="X3321" s="51" t="str" cm="1">
        <f t="array" ref="X3321">_xlfn.IFS(Tabla1[[#This Row],[Porcentaje de muertes]]&lt;0.35,"LEVE",AND(Tabla1[[#This Row],[Porcentaje de muertes]]&gt;0.35,Tabla1[[#This Row],[Porcentaje de muertes]]&lt;0.65),"MEDIO",Tabla1[[#This Row],[Porcentaje de muertes]]&gt;0.65,"GRAVE")</f>
        <v>GRAVE</v>
      </c>
    </row>
    <row r="3322" spans="2:24" x14ac:dyDescent="0.3">
      <c r="B3322" s="9">
        <v>3321</v>
      </c>
      <c r="C3322" s="49">
        <v>31221</v>
      </c>
      <c r="D3322" s="9">
        <f>YEAR(Tabla1[[#This Row],[Date]])</f>
        <v>1985</v>
      </c>
      <c r="E3322" s="9" t="str" cm="1">
        <f t="array" ref="E3322">IFERROR(_xlfn.IFS(AND(D3322&lt;1980,D3322&gt;=1970),"70",AND(D3322&lt;1990,D3322&gt;=1980),"80",AND(D3322&lt;2000,D3322&gt;=1990),"90",AND(D3322&lt;2010,D3322&gt;=2000),"00",AND(D3322&lt;=2019,D3322&gt;=2010),"10"),"1908-1970")</f>
        <v>80</v>
      </c>
      <c r="F3322" s="3">
        <v>0.30208333333333331</v>
      </c>
      <c r="G3322" t="s">
        <v>19880</v>
      </c>
      <c r="H3322" t="s">
        <v>9312</v>
      </c>
      <c r="I3322">
        <v>182</v>
      </c>
      <c r="J3322" t="s">
        <v>19881</v>
      </c>
      <c r="K3322" t="s">
        <v>18070</v>
      </c>
      <c r="L3322" s="7" t="s">
        <v>19882</v>
      </c>
      <c r="M3322" t="s">
        <v>19883</v>
      </c>
      <c r="N3322">
        <v>329</v>
      </c>
      <c r="O3322">
        <v>307</v>
      </c>
      <c r="P3322">
        <v>22</v>
      </c>
      <c r="Q3322">
        <v>329</v>
      </c>
      <c r="R3322">
        <v>307</v>
      </c>
      <c r="S3322">
        <v>22</v>
      </c>
      <c r="T3322">
        <v>0</v>
      </c>
      <c r="U3322" t="s">
        <v>19884</v>
      </c>
      <c r="V3322">
        <f>Tabla1[[#This Row],[Aboard]]-Tabla1[[#This Row],[Fatalities]]</f>
        <v>0</v>
      </c>
      <c r="W3322" s="50">
        <f>IFERROR(Tabla1[[#This Row],[Fatalities]]/Tabla1[[#This Row],[Aboard]],0)</f>
        <v>1</v>
      </c>
      <c r="X3322" s="51" t="str" cm="1">
        <f t="array" ref="X3322">_xlfn.IFS(Tabla1[[#This Row],[Porcentaje de muertes]]&lt;0.35,"LEVE",AND(Tabla1[[#This Row],[Porcentaje de muertes]]&gt;0.35,Tabla1[[#This Row],[Porcentaje de muertes]]&lt;0.65),"MEDIO",Tabla1[[#This Row],[Porcentaje de muertes]]&gt;0.65,"GRAVE")</f>
        <v>GRAVE</v>
      </c>
    </row>
    <row r="3323" spans="2:24" x14ac:dyDescent="0.3">
      <c r="B3323" s="9">
        <v>3322</v>
      </c>
      <c r="C3323" s="49">
        <v>31327</v>
      </c>
      <c r="D3323" s="9">
        <f>YEAR(Tabla1[[#This Row],[Date]])</f>
        <v>1985</v>
      </c>
      <c r="E3323" s="9" t="str" cm="1">
        <f t="array" ref="E3323">IFERROR(_xlfn.IFS(AND(D3323&lt;1980,D3323&gt;=1970),"70",AND(D3323&lt;1990,D3323&gt;=1980),"80",AND(D3323&lt;2000,D3323&gt;=1990),"90",AND(D3323&lt;2010,D3323&gt;=2000),"00",AND(D3323&lt;=2019,D3323&gt;=2010),"10"),"1908-1970")</f>
        <v>80</v>
      </c>
      <c r="F3323" s="3">
        <v>0.9902777777777777</v>
      </c>
      <c r="G3323" t="s">
        <v>19885</v>
      </c>
      <c r="H3323" t="s">
        <v>6541</v>
      </c>
      <c r="I3323">
        <v>7425</v>
      </c>
      <c r="J3323" t="s">
        <v>19886</v>
      </c>
      <c r="K3323" t="s">
        <v>19013</v>
      </c>
      <c r="L3323" s="7" t="s">
        <v>19887</v>
      </c>
      <c r="M3323">
        <v>311</v>
      </c>
      <c r="N3323">
        <v>200</v>
      </c>
      <c r="O3323">
        <v>191</v>
      </c>
      <c r="P3323">
        <v>9</v>
      </c>
      <c r="Q3323">
        <v>200</v>
      </c>
      <c r="R3323">
        <v>191</v>
      </c>
      <c r="S3323">
        <v>9</v>
      </c>
      <c r="T3323">
        <v>0</v>
      </c>
      <c r="U3323" t="s">
        <v>19888</v>
      </c>
      <c r="V3323">
        <f>Tabla1[[#This Row],[Aboard]]-Tabla1[[#This Row],[Fatalities]]</f>
        <v>0</v>
      </c>
      <c r="W3323" s="50">
        <f>IFERROR(Tabla1[[#This Row],[Fatalities]]/Tabla1[[#This Row],[Aboard]],0)</f>
        <v>1</v>
      </c>
      <c r="X3323" s="51" t="str" cm="1">
        <f t="array" ref="X3323">_xlfn.IFS(Tabla1[[#This Row],[Porcentaje de muertes]]&lt;0.35,"LEVE",AND(Tabla1[[#This Row],[Porcentaje de muertes]]&gt;0.35,Tabla1[[#This Row],[Porcentaje de muertes]]&lt;0.65),"MEDIO",Tabla1[[#This Row],[Porcentaje de muertes]]&gt;0.65,"GRAVE")</f>
        <v>GRAVE</v>
      </c>
    </row>
    <row r="3324" spans="2:24" x14ac:dyDescent="0.3">
      <c r="B3324" s="9">
        <v>3323</v>
      </c>
      <c r="C3324" s="49">
        <v>31252</v>
      </c>
      <c r="D3324" s="9">
        <f>YEAR(Tabla1[[#This Row],[Date]])</f>
        <v>1985</v>
      </c>
      <c r="E3324" s="9" t="str" cm="1">
        <f t="array" ref="E3324">IFERROR(_xlfn.IFS(AND(D3324&lt;1980,D3324&gt;=1970),"70",AND(D3324&lt;1990,D3324&gt;=1980),"80",AND(D3324&lt;2000,D3324&gt;=1990),"90",AND(D3324&lt;2010,D3324&gt;=2000),"00",AND(D3324&lt;=2019,D3324&gt;=2010),"10"),"1908-1970")</f>
        <v>80</v>
      </c>
      <c r="F3324" s="3">
        <v>0.70833333333333337</v>
      </c>
      <c r="G3324" t="s">
        <v>19889</v>
      </c>
      <c r="H3324" t="s">
        <v>19890</v>
      </c>
      <c r="I3324" t="s">
        <v>28931</v>
      </c>
      <c r="J3324" t="s">
        <v>19891</v>
      </c>
      <c r="K3324" t="s">
        <v>10428</v>
      </c>
      <c r="L3324" s="7" t="s">
        <v>19892</v>
      </c>
      <c r="M3324" t="s">
        <v>19893</v>
      </c>
      <c r="N3324">
        <v>80</v>
      </c>
      <c r="O3324">
        <v>76</v>
      </c>
      <c r="P3324">
        <v>4</v>
      </c>
      <c r="Q3324">
        <v>80</v>
      </c>
      <c r="R3324">
        <v>76</v>
      </c>
      <c r="S3324">
        <v>4</v>
      </c>
      <c r="T3324">
        <v>0</v>
      </c>
      <c r="U3324" t="s">
        <v>19894</v>
      </c>
      <c r="V3324">
        <f>Tabla1[[#This Row],[Aboard]]-Tabla1[[#This Row],[Fatalities]]</f>
        <v>0</v>
      </c>
      <c r="W3324" s="50">
        <f>IFERROR(Tabla1[[#This Row],[Fatalities]]/Tabla1[[#This Row],[Aboard]],0)</f>
        <v>1</v>
      </c>
      <c r="X3324" s="51" t="str" cm="1">
        <f t="array" ref="X3324">_xlfn.IFS(Tabla1[[#This Row],[Porcentaje de muertes]]&lt;0.35,"LEVE",AND(Tabla1[[#This Row],[Porcentaje de muertes]]&gt;0.35,Tabla1[[#This Row],[Porcentaje de muertes]]&lt;0.65),"MEDIO",Tabla1[[#This Row],[Porcentaje de muertes]]&gt;0.65,"GRAVE")</f>
        <v>GRAVE</v>
      </c>
    </row>
    <row r="3325" spans="2:24" x14ac:dyDescent="0.3">
      <c r="B3325" s="9">
        <v>3324</v>
      </c>
      <c r="C3325" s="49">
        <v>31086</v>
      </c>
      <c r="D3325" s="9">
        <f>YEAR(Tabla1[[#This Row],[Date]])</f>
        <v>1985</v>
      </c>
      <c r="E3325" s="9" t="str" cm="1">
        <f t="array" ref="E3325">IFERROR(_xlfn.IFS(AND(D3325&lt;1980,D3325&gt;=1970),"70",AND(D3325&lt;1990,D3325&gt;=1980),"80",AND(D3325&lt;2000,D3325&gt;=1990),"90",AND(D3325&lt;2010,D3325&gt;=2000),"00",AND(D3325&lt;=2019,D3325&gt;=2010),"10"),"1908-1970")</f>
        <v>80</v>
      </c>
      <c r="F3325" s="3">
        <v>0.75416666666666676</v>
      </c>
      <c r="G3325" t="s">
        <v>19895</v>
      </c>
      <c r="H3325" t="s">
        <v>6658</v>
      </c>
      <c r="I3325">
        <v>191</v>
      </c>
      <c r="J3325" t="s">
        <v>19896</v>
      </c>
      <c r="K3325" t="s">
        <v>19897</v>
      </c>
      <c r="L3325" s="7" t="s">
        <v>19898</v>
      </c>
      <c r="M3325">
        <v>1163</v>
      </c>
      <c r="N3325">
        <v>163</v>
      </c>
      <c r="O3325">
        <v>152</v>
      </c>
      <c r="P3325">
        <v>11</v>
      </c>
      <c r="Q3325">
        <v>134</v>
      </c>
      <c r="R3325">
        <v>126</v>
      </c>
      <c r="S3325">
        <v>8</v>
      </c>
      <c r="T3325">
        <v>1</v>
      </c>
      <c r="U3325" t="s">
        <v>19899</v>
      </c>
      <c r="V3325">
        <f>Tabla1[[#This Row],[Aboard]]-Tabla1[[#This Row],[Fatalities]]</f>
        <v>29</v>
      </c>
      <c r="W3325" s="50">
        <f>IFERROR(Tabla1[[#This Row],[Fatalities]]/Tabla1[[#This Row],[Aboard]],0)</f>
        <v>0.82208588957055218</v>
      </c>
      <c r="X3325" s="51" t="str" cm="1">
        <f t="array" ref="X3325">_xlfn.IFS(Tabla1[[#This Row],[Porcentaje de muertes]]&lt;0.35,"LEVE",AND(Tabla1[[#This Row],[Porcentaje de muertes]]&gt;0.35,Tabla1[[#This Row],[Porcentaje de muertes]]&lt;0.65),"MEDIO",Tabla1[[#This Row],[Porcentaje de muertes]]&gt;0.65,"GRAVE")</f>
        <v>GRAVE</v>
      </c>
    </row>
    <row r="3326" spans="2:24" x14ac:dyDescent="0.3">
      <c r="B3326" s="9">
        <v>3325</v>
      </c>
      <c r="C3326" s="49">
        <v>31389</v>
      </c>
      <c r="D3326" s="9">
        <f>YEAR(Tabla1[[#This Row],[Date]])</f>
        <v>1985</v>
      </c>
      <c r="E3326" s="9" t="str" cm="1">
        <f t="array" ref="E3326">IFERROR(_xlfn.IFS(AND(D3326&lt;1980,D3326&gt;=1970),"70",AND(D3326&lt;1990,D3326&gt;=1980),"80",AND(D3326&lt;2000,D3326&gt;=1990),"90",AND(D3326&lt;2010,D3326&gt;=2000),"00",AND(D3326&lt;=2019,D3326&gt;=2010),"10"),"1908-1970")</f>
        <v>80</v>
      </c>
      <c r="F3326" s="3">
        <v>0.78888888888888886</v>
      </c>
      <c r="G3326" t="s">
        <v>19900</v>
      </c>
      <c r="H3326" t="s">
        <v>10695</v>
      </c>
      <c r="I3326">
        <v>123</v>
      </c>
      <c r="J3326" t="s">
        <v>10696</v>
      </c>
      <c r="K3326" t="s">
        <v>19901</v>
      </c>
      <c r="L3326" s="7" t="s">
        <v>19902</v>
      </c>
      <c r="M3326" t="s">
        <v>19903</v>
      </c>
      <c r="N3326">
        <v>524</v>
      </c>
      <c r="O3326">
        <v>509</v>
      </c>
      <c r="P3326">
        <v>15</v>
      </c>
      <c r="Q3326">
        <v>520</v>
      </c>
      <c r="R3326">
        <v>505</v>
      </c>
      <c r="S3326">
        <v>15</v>
      </c>
      <c r="T3326">
        <v>0</v>
      </c>
      <c r="U3326" t="s">
        <v>19904</v>
      </c>
      <c r="V3326">
        <f>Tabla1[[#This Row],[Aboard]]-Tabla1[[#This Row],[Fatalities]]</f>
        <v>4</v>
      </c>
      <c r="W3326" s="50">
        <f>IFERROR(Tabla1[[#This Row],[Fatalities]]/Tabla1[[#This Row],[Aboard]],0)</f>
        <v>0.99236641221374045</v>
      </c>
      <c r="X3326" s="51" t="str" cm="1">
        <f t="array" ref="X3326">_xlfn.IFS(Tabla1[[#This Row],[Porcentaje de muertes]]&lt;0.35,"LEVE",AND(Tabla1[[#This Row],[Porcentaje de muertes]]&gt;0.35,Tabla1[[#This Row],[Porcentaje de muertes]]&lt;0.65),"MEDIO",Tabla1[[#This Row],[Porcentaje de muertes]]&gt;0.65,"GRAVE")</f>
        <v>GRAVE</v>
      </c>
    </row>
    <row r="3327" spans="2:24" x14ac:dyDescent="0.3">
      <c r="B3327" s="9">
        <v>3326</v>
      </c>
      <c r="C3327" s="49">
        <v>31389</v>
      </c>
      <c r="D3327" s="9">
        <f>YEAR(Tabla1[[#This Row],[Date]])</f>
        <v>1985</v>
      </c>
      <c r="E3327" s="9" t="str" cm="1">
        <f t="array" ref="E3327">IFERROR(_xlfn.IFS(AND(D3327&lt;1980,D3327&gt;=1970),"70",AND(D3327&lt;1990,D3327&gt;=1980),"80",AND(D3327&lt;2000,D3327&gt;=1990),"90",AND(D3327&lt;2010,D3327&gt;=2000),"00",AND(D3327&lt;=2019,D3327&gt;=2010),"10"),"1908-1970")</f>
        <v>80</v>
      </c>
      <c r="F3327" s="3" t="s">
        <v>28931</v>
      </c>
      <c r="G3327" t="s">
        <v>19905</v>
      </c>
      <c r="H3327" t="s">
        <v>16296</v>
      </c>
      <c r="I3327" t="s">
        <v>28931</v>
      </c>
      <c r="J3327" t="s">
        <v>28931</v>
      </c>
      <c r="K3327" t="s">
        <v>16680</v>
      </c>
      <c r="L3327" s="7" t="s">
        <v>19906</v>
      </c>
      <c r="M3327">
        <v>346</v>
      </c>
      <c r="N3327">
        <v>19</v>
      </c>
      <c r="O3327">
        <v>16</v>
      </c>
      <c r="P3327">
        <v>3</v>
      </c>
      <c r="Q3327">
        <v>8</v>
      </c>
      <c r="R3327">
        <v>8</v>
      </c>
      <c r="S3327">
        <v>0</v>
      </c>
      <c r="T3327">
        <v>0</v>
      </c>
      <c r="U3327" t="s">
        <v>17344</v>
      </c>
      <c r="V3327">
        <f>Tabla1[[#This Row],[Aboard]]-Tabla1[[#This Row],[Fatalities]]</f>
        <v>11</v>
      </c>
      <c r="W3327" s="50">
        <f>IFERROR(Tabla1[[#This Row],[Fatalities]]/Tabla1[[#This Row],[Aboard]],0)</f>
        <v>0.42105263157894735</v>
      </c>
      <c r="X3327" s="51" t="str" cm="1">
        <f t="array" ref="X3327">_xlfn.IFS(Tabla1[[#This Row],[Porcentaje de muertes]]&lt;0.35,"LEVE",AND(Tabla1[[#This Row],[Porcentaje de muertes]]&gt;0.35,Tabla1[[#This Row],[Porcentaje de muertes]]&lt;0.65),"MEDIO",Tabla1[[#This Row],[Porcentaje de muertes]]&gt;0.65,"GRAVE")</f>
        <v>MEDIO</v>
      </c>
    </row>
    <row r="3328" spans="2:24" x14ac:dyDescent="0.3">
      <c r="B3328" s="9">
        <v>3327</v>
      </c>
      <c r="C3328" s="49">
        <v>31274</v>
      </c>
      <c r="D3328" s="9">
        <f>YEAR(Tabla1[[#This Row],[Date]])</f>
        <v>1985</v>
      </c>
      <c r="E3328" s="9" t="str" cm="1">
        <f t="array" ref="E3328">IFERROR(_xlfn.IFS(AND(D3328&lt;1980,D3328&gt;=1970),"70",AND(D3328&lt;1990,D3328&gt;=1980),"80",AND(D3328&lt;2000,D3328&gt;=1990),"90",AND(D3328&lt;2010,D3328&gt;=2000),"00",AND(D3328&lt;=2019,D3328&gt;=2010),"10"),"1908-1970")</f>
        <v>80</v>
      </c>
      <c r="F3328" s="3" t="s">
        <v>28931</v>
      </c>
      <c r="G3328" t="s">
        <v>19907</v>
      </c>
      <c r="H3328" t="s">
        <v>19908</v>
      </c>
      <c r="I3328" t="s">
        <v>28931</v>
      </c>
      <c r="J3328" t="s">
        <v>19909</v>
      </c>
      <c r="K3328" t="s">
        <v>19910</v>
      </c>
      <c r="L3328" s="7" t="s">
        <v>19911</v>
      </c>
      <c r="M3328" t="s">
        <v>19912</v>
      </c>
      <c r="N3328">
        <v>73</v>
      </c>
      <c r="O3328">
        <v>65</v>
      </c>
      <c r="P3328">
        <v>8</v>
      </c>
      <c r="Q3328">
        <v>3</v>
      </c>
      <c r="R3328">
        <v>1</v>
      </c>
      <c r="S3328">
        <v>2</v>
      </c>
      <c r="T3328">
        <v>0</v>
      </c>
      <c r="U3328" t="s">
        <v>19913</v>
      </c>
      <c r="V3328">
        <f>Tabla1[[#This Row],[Aboard]]-Tabla1[[#This Row],[Fatalities]]</f>
        <v>70</v>
      </c>
      <c r="W3328" s="50">
        <f>IFERROR(Tabla1[[#This Row],[Fatalities]]/Tabla1[[#This Row],[Aboard]],0)</f>
        <v>4.1095890410958902E-2</v>
      </c>
      <c r="X3328" s="51" t="str" cm="1">
        <f t="array" ref="X3328">_xlfn.IFS(Tabla1[[#This Row],[Porcentaje de muertes]]&lt;0.35,"LEVE",AND(Tabla1[[#This Row],[Porcentaje de muertes]]&gt;0.35,Tabla1[[#This Row],[Porcentaje de muertes]]&lt;0.65),"MEDIO",Tabla1[[#This Row],[Porcentaje de muertes]]&gt;0.65,"GRAVE")</f>
        <v>LEVE</v>
      </c>
    </row>
    <row r="3329" spans="2:24" x14ac:dyDescent="0.3">
      <c r="B3329" s="9">
        <v>3328</v>
      </c>
      <c r="C3329" s="49">
        <v>31281</v>
      </c>
      <c r="D3329" s="9">
        <f>YEAR(Tabla1[[#This Row],[Date]])</f>
        <v>1985</v>
      </c>
      <c r="E3329" s="9" t="str" cm="1">
        <f t="array" ref="E3329">IFERROR(_xlfn.IFS(AND(D3329&lt;1980,D3329&gt;=1970),"70",AND(D3329&lt;1990,D3329&gt;=1980),"80",AND(D3329&lt;2000,D3329&gt;=1990),"90",AND(D3329&lt;2010,D3329&gt;=2000),"00",AND(D3329&lt;=2019,D3329&gt;=2010),"10"),"1908-1970")</f>
        <v>80</v>
      </c>
      <c r="F3329" s="3">
        <v>0.2590277777777778</v>
      </c>
      <c r="G3329" t="s">
        <v>10359</v>
      </c>
      <c r="H3329" t="s">
        <v>19914</v>
      </c>
      <c r="I3329" t="s">
        <v>19915</v>
      </c>
      <c r="J3329" t="s">
        <v>19916</v>
      </c>
      <c r="K3329" t="s">
        <v>19917</v>
      </c>
      <c r="L3329" s="7" t="s">
        <v>19918</v>
      </c>
      <c r="M3329" t="s">
        <v>19919</v>
      </c>
      <c r="N3329">
        <v>137</v>
      </c>
      <c r="O3329">
        <v>131</v>
      </c>
      <c r="P3329">
        <v>6</v>
      </c>
      <c r="Q3329">
        <v>55</v>
      </c>
      <c r="R3329">
        <v>53</v>
      </c>
      <c r="S3329">
        <v>2</v>
      </c>
      <c r="T3329">
        <v>0</v>
      </c>
      <c r="U3329" t="s">
        <v>19920</v>
      </c>
      <c r="V3329">
        <f>Tabla1[[#This Row],[Aboard]]-Tabla1[[#This Row],[Fatalities]]</f>
        <v>82</v>
      </c>
      <c r="W3329" s="50">
        <f>IFERROR(Tabla1[[#This Row],[Fatalities]]/Tabla1[[#This Row],[Aboard]],0)</f>
        <v>0.40145985401459855</v>
      </c>
      <c r="X3329" s="51" t="str" cm="1">
        <f t="array" ref="X3329">_xlfn.IFS(Tabla1[[#This Row],[Porcentaje de muertes]]&lt;0.35,"LEVE",AND(Tabla1[[#This Row],[Porcentaje de muertes]]&gt;0.35,Tabla1[[#This Row],[Porcentaje de muertes]]&lt;0.65),"MEDIO",Tabla1[[#This Row],[Porcentaje de muertes]]&gt;0.65,"GRAVE")</f>
        <v>MEDIO</v>
      </c>
    </row>
    <row r="3330" spans="2:24" x14ac:dyDescent="0.3">
      <c r="B3330" s="9">
        <v>3329</v>
      </c>
      <c r="C3330" s="49">
        <v>31284</v>
      </c>
      <c r="D3330" s="9">
        <f>YEAR(Tabla1[[#This Row],[Date]])</f>
        <v>1985</v>
      </c>
      <c r="E3330" s="9" t="str" cm="1">
        <f t="array" ref="E3330">IFERROR(_xlfn.IFS(AND(D3330&lt;1980,D3330&gt;=1970),"70",AND(D3330&lt;1990,D3330&gt;=1980),"80",AND(D3330&lt;2000,D3330&gt;=1990),"90",AND(D3330&lt;2010,D3330&gt;=2000),"00",AND(D3330&lt;=2019,D3330&gt;=2010),"10"),"1908-1970")</f>
        <v>80</v>
      </c>
      <c r="F3330" s="3">
        <v>0.92013888888888884</v>
      </c>
      <c r="G3330" t="s">
        <v>19921</v>
      </c>
      <c r="H3330" t="s">
        <v>19922</v>
      </c>
      <c r="I3330">
        <v>1808</v>
      </c>
      <c r="J3330" t="s">
        <v>19923</v>
      </c>
      <c r="K3330" t="s">
        <v>17091</v>
      </c>
      <c r="L3330" s="7" t="s">
        <v>19924</v>
      </c>
      <c r="M3330" t="s">
        <v>19925</v>
      </c>
      <c r="N3330">
        <v>8</v>
      </c>
      <c r="O3330">
        <v>6</v>
      </c>
      <c r="P3330">
        <v>2</v>
      </c>
      <c r="Q3330">
        <v>8</v>
      </c>
      <c r="R3330">
        <v>6</v>
      </c>
      <c r="S3330">
        <v>2</v>
      </c>
      <c r="T3330">
        <v>0</v>
      </c>
      <c r="U3330" t="s">
        <v>19926</v>
      </c>
      <c r="V3330">
        <f>Tabla1[[#This Row],[Aboard]]-Tabla1[[#This Row],[Fatalities]]</f>
        <v>0</v>
      </c>
      <c r="W3330" s="50">
        <f>IFERROR(Tabla1[[#This Row],[Fatalities]]/Tabla1[[#This Row],[Aboard]],0)</f>
        <v>1</v>
      </c>
      <c r="X3330" s="51" t="str" cm="1">
        <f t="array" ref="X3330">_xlfn.IFS(Tabla1[[#This Row],[Porcentaje de muertes]]&lt;0.35,"LEVE",AND(Tabla1[[#This Row],[Porcentaje de muertes]]&gt;0.35,Tabla1[[#This Row],[Porcentaje de muertes]]&lt;0.65),"MEDIO",Tabla1[[#This Row],[Porcentaje de muertes]]&gt;0.65,"GRAVE")</f>
        <v>GRAVE</v>
      </c>
    </row>
    <row r="3331" spans="2:24" x14ac:dyDescent="0.3">
      <c r="B3331" s="9">
        <v>3330</v>
      </c>
      <c r="C3331" s="49">
        <v>31286</v>
      </c>
      <c r="D3331" s="9">
        <f>YEAR(Tabla1[[#This Row],[Date]])</f>
        <v>1985</v>
      </c>
      <c r="E3331" s="9" t="str" cm="1">
        <f t="array" ref="E3331">IFERROR(_xlfn.IFS(AND(D3331&lt;1980,D3331&gt;=1970),"70",AND(D3331&lt;1990,D3331&gt;=1980),"80",AND(D3331&lt;2000,D3331&gt;=1990),"90",AND(D3331&lt;2010,D3331&gt;=2000),"00",AND(D3331&lt;=2019,D3331&gt;=2010),"10"),"1908-1970")</f>
        <v>80</v>
      </c>
      <c r="F3331" s="3" t="s">
        <v>28931</v>
      </c>
      <c r="G3331" t="s">
        <v>19927</v>
      </c>
      <c r="H3331" t="s">
        <v>7987</v>
      </c>
      <c r="I3331" t="s">
        <v>28931</v>
      </c>
      <c r="J3331" t="s">
        <v>6190</v>
      </c>
      <c r="K3331" t="s">
        <v>12399</v>
      </c>
      <c r="L3331" s="7" t="s">
        <v>19928</v>
      </c>
      <c r="M3331">
        <v>17931</v>
      </c>
      <c r="N3331">
        <v>7</v>
      </c>
      <c r="O3331">
        <v>0</v>
      </c>
      <c r="P3331">
        <v>7</v>
      </c>
      <c r="Q3331">
        <v>7</v>
      </c>
      <c r="R3331">
        <v>0</v>
      </c>
      <c r="S3331">
        <v>7</v>
      </c>
      <c r="T3331">
        <v>0</v>
      </c>
      <c r="U3331" t="s">
        <v>19929</v>
      </c>
      <c r="V3331">
        <f>Tabla1[[#This Row],[Aboard]]-Tabla1[[#This Row],[Fatalities]]</f>
        <v>0</v>
      </c>
      <c r="W3331" s="50">
        <f>IFERROR(Tabla1[[#This Row],[Fatalities]]/Tabla1[[#This Row],[Aboard]],0)</f>
        <v>1</v>
      </c>
      <c r="X3331" s="51" t="str" cm="1">
        <f t="array" ref="X3331">_xlfn.IFS(Tabla1[[#This Row],[Porcentaje de muertes]]&lt;0.35,"LEVE",AND(Tabla1[[#This Row],[Porcentaje de muertes]]&gt;0.35,Tabla1[[#This Row],[Porcentaje de muertes]]&lt;0.65),"MEDIO",Tabla1[[#This Row],[Porcentaje de muertes]]&gt;0.65,"GRAVE")</f>
        <v>GRAVE</v>
      </c>
    </row>
    <row r="3332" spans="2:24" x14ac:dyDescent="0.3">
      <c r="B3332" s="9">
        <v>3331</v>
      </c>
      <c r="C3332" s="49">
        <v>31146</v>
      </c>
      <c r="D3332" s="9">
        <f>YEAR(Tabla1[[#This Row],[Date]])</f>
        <v>1985</v>
      </c>
      <c r="E3332" s="9" t="str" cm="1">
        <f t="array" ref="E3332">IFERROR(_xlfn.IFS(AND(D3332&lt;1980,D3332&gt;=1970),"70",AND(D3332&lt;1990,D3332&gt;=1980),"80",AND(D3332&lt;2000,D3332&gt;=1990),"90",AND(D3332&lt;2010,D3332&gt;=2000),"00",AND(D3332&lt;=2019,D3332&gt;=2010),"10"),"1908-1970")</f>
        <v>80</v>
      </c>
      <c r="F3332" s="3">
        <v>0.45833333333333331</v>
      </c>
      <c r="G3332" t="s">
        <v>19930</v>
      </c>
      <c r="H3332" t="s">
        <v>11177</v>
      </c>
      <c r="I3332" t="s">
        <v>28931</v>
      </c>
      <c r="J3332" t="s">
        <v>19931</v>
      </c>
      <c r="K3332" t="s">
        <v>17904</v>
      </c>
      <c r="L3332" s="7" t="s">
        <v>19932</v>
      </c>
      <c r="M3332">
        <v>57314106</v>
      </c>
      <c r="N3332">
        <v>52</v>
      </c>
      <c r="O3332">
        <v>47</v>
      </c>
      <c r="P3332">
        <v>5</v>
      </c>
      <c r="Q3332">
        <v>52</v>
      </c>
      <c r="R3332">
        <v>47</v>
      </c>
      <c r="S3332">
        <v>5</v>
      </c>
      <c r="T3332">
        <v>0</v>
      </c>
      <c r="U3332" t="s">
        <v>19933</v>
      </c>
      <c r="V3332">
        <f>Tabla1[[#This Row],[Aboard]]-Tabla1[[#This Row],[Fatalities]]</f>
        <v>0</v>
      </c>
      <c r="W3332" s="50">
        <f>IFERROR(Tabla1[[#This Row],[Fatalities]]/Tabla1[[#This Row],[Aboard]],0)</f>
        <v>1</v>
      </c>
      <c r="X3332" s="51" t="str" cm="1">
        <f t="array" ref="X3332">_xlfn.IFS(Tabla1[[#This Row],[Porcentaje de muertes]]&lt;0.35,"LEVE",AND(Tabla1[[#This Row],[Porcentaje de muertes]]&gt;0.35,Tabla1[[#This Row],[Porcentaje de muertes]]&lt;0.65),"MEDIO",Tabla1[[#This Row],[Porcentaje de muertes]]&gt;0.65,"GRAVE")</f>
        <v>GRAVE</v>
      </c>
    </row>
    <row r="3333" spans="2:24" x14ac:dyDescent="0.3">
      <c r="B3333" s="9">
        <v>3332</v>
      </c>
      <c r="C3333" s="49">
        <v>31207</v>
      </c>
      <c r="D3333" s="9">
        <f>YEAR(Tabla1[[#This Row],[Date]])</f>
        <v>1985</v>
      </c>
      <c r="E3333" s="9" t="str" cm="1">
        <f t="array" ref="E3333">IFERROR(_xlfn.IFS(AND(D3333&lt;1980,D3333&gt;=1970),"70",AND(D3333&lt;1990,D3333&gt;=1980),"80",AND(D3333&lt;2000,D3333&gt;=1990),"90",AND(D3333&lt;2010,D3333&gt;=2000),"00",AND(D3333&lt;=2019,D3333&gt;=2010),"10"),"1908-1970")</f>
        <v>80</v>
      </c>
      <c r="F3333" s="3">
        <v>0.63958333333333328</v>
      </c>
      <c r="G3333" t="s">
        <v>15280</v>
      </c>
      <c r="H3333" t="s">
        <v>19934</v>
      </c>
      <c r="I3333">
        <v>105</v>
      </c>
      <c r="J3333" t="s">
        <v>19935</v>
      </c>
      <c r="K3333" t="s">
        <v>14763</v>
      </c>
      <c r="L3333" s="7" t="s">
        <v>19936</v>
      </c>
      <c r="M3333" t="s">
        <v>19937</v>
      </c>
      <c r="N3333">
        <v>31</v>
      </c>
      <c r="O3333">
        <v>27</v>
      </c>
      <c r="P3333">
        <v>4</v>
      </c>
      <c r="Q3333">
        <v>31</v>
      </c>
      <c r="R3333">
        <v>27</v>
      </c>
      <c r="S3333">
        <v>4</v>
      </c>
      <c r="T3333">
        <v>0</v>
      </c>
      <c r="U3333" t="s">
        <v>19938</v>
      </c>
      <c r="V3333">
        <f>Tabla1[[#This Row],[Aboard]]-Tabla1[[#This Row],[Fatalities]]</f>
        <v>0</v>
      </c>
      <c r="W3333" s="50">
        <f>IFERROR(Tabla1[[#This Row],[Fatalities]]/Tabla1[[#This Row],[Aboard]],0)</f>
        <v>1</v>
      </c>
      <c r="X3333" s="51" t="str" cm="1">
        <f t="array" ref="X3333">_xlfn.IFS(Tabla1[[#This Row],[Porcentaje de muertes]]&lt;0.35,"LEVE",AND(Tabla1[[#This Row],[Porcentaje de muertes]]&gt;0.35,Tabla1[[#This Row],[Porcentaje de muertes]]&lt;0.65),"MEDIO",Tabla1[[#This Row],[Porcentaje de muertes]]&gt;0.65,"GRAVE")</f>
        <v>GRAVE</v>
      </c>
    </row>
    <row r="3334" spans="2:24" x14ac:dyDescent="0.3">
      <c r="B3334" s="9">
        <v>3333</v>
      </c>
      <c r="C3334" s="49">
        <v>31312</v>
      </c>
      <c r="D3334" s="9">
        <f>YEAR(Tabla1[[#This Row],[Date]])</f>
        <v>1985</v>
      </c>
      <c r="E3334" s="9" t="str" cm="1">
        <f t="array" ref="E3334">IFERROR(_xlfn.IFS(AND(D3334&lt;1980,D3334&gt;=1970),"70",AND(D3334&lt;1990,D3334&gt;=1980),"80",AND(D3334&lt;2000,D3334&gt;=1990),"90",AND(D3334&lt;2010,D3334&gt;=2000),"00",AND(D3334&lt;=2019,D3334&gt;=2010),"10"),"1908-1970")</f>
        <v>80</v>
      </c>
      <c r="F3334" s="3" t="s">
        <v>28931</v>
      </c>
      <c r="G3334" t="s">
        <v>19939</v>
      </c>
      <c r="H3334" t="s">
        <v>9999</v>
      </c>
      <c r="I3334" t="s">
        <v>28931</v>
      </c>
      <c r="J3334" t="s">
        <v>28931</v>
      </c>
      <c r="K3334" t="s">
        <v>13992</v>
      </c>
      <c r="L3334" s="7" t="s">
        <v>28931</v>
      </c>
      <c r="M3334" t="s">
        <v>28931</v>
      </c>
      <c r="N3334">
        <v>26</v>
      </c>
      <c r="O3334">
        <v>22</v>
      </c>
      <c r="P3334">
        <v>4</v>
      </c>
      <c r="Q3334">
        <v>26</v>
      </c>
      <c r="R3334">
        <v>22</v>
      </c>
      <c r="S3334">
        <v>4</v>
      </c>
      <c r="T3334">
        <v>0</v>
      </c>
      <c r="U3334" t="s">
        <v>19693</v>
      </c>
      <c r="V3334">
        <f>Tabla1[[#This Row],[Aboard]]-Tabla1[[#This Row],[Fatalities]]</f>
        <v>0</v>
      </c>
      <c r="W3334" s="50">
        <f>IFERROR(Tabla1[[#This Row],[Fatalities]]/Tabla1[[#This Row],[Aboard]],0)</f>
        <v>1</v>
      </c>
      <c r="X3334" s="51" t="str" cm="1">
        <f t="array" ref="X3334">_xlfn.IFS(Tabla1[[#This Row],[Porcentaje de muertes]]&lt;0.35,"LEVE",AND(Tabla1[[#This Row],[Porcentaje de muertes]]&gt;0.35,Tabla1[[#This Row],[Porcentaje de muertes]]&lt;0.65),"MEDIO",Tabla1[[#This Row],[Porcentaje de muertes]]&gt;0.65,"GRAVE")</f>
        <v>GRAVE</v>
      </c>
    </row>
    <row r="3335" spans="2:24" x14ac:dyDescent="0.3">
      <c r="B3335" s="9">
        <v>3334</v>
      </c>
      <c r="C3335" s="49">
        <v>31315</v>
      </c>
      <c r="D3335" s="9">
        <f>YEAR(Tabla1[[#This Row],[Date]])</f>
        <v>1985</v>
      </c>
      <c r="E3335" s="9" t="str" cm="1">
        <f t="array" ref="E3335">IFERROR(_xlfn.IFS(AND(D3335&lt;1980,D3335&gt;=1970),"70",AND(D3335&lt;1990,D3335&gt;=1980),"80",AND(D3335&lt;2000,D3335&gt;=1990),"90",AND(D3335&lt;2010,D3335&gt;=2000),"00",AND(D3335&lt;=2019,D3335&gt;=2010),"10"),"1908-1970")</f>
        <v>80</v>
      </c>
      <c r="F3335" s="3" t="s">
        <v>28931</v>
      </c>
      <c r="G3335" t="s">
        <v>19940</v>
      </c>
      <c r="H3335" t="s">
        <v>19941</v>
      </c>
      <c r="I3335" t="s">
        <v>28931</v>
      </c>
      <c r="J3335" t="s">
        <v>19942</v>
      </c>
      <c r="K3335" t="s">
        <v>18274</v>
      </c>
      <c r="L3335" s="7" t="s">
        <v>19943</v>
      </c>
      <c r="M3335">
        <v>1901708</v>
      </c>
      <c r="N3335">
        <v>9</v>
      </c>
      <c r="O3335">
        <v>4</v>
      </c>
      <c r="P3335">
        <v>5</v>
      </c>
      <c r="Q3335">
        <v>9</v>
      </c>
      <c r="R3335">
        <v>4</v>
      </c>
      <c r="S3335">
        <v>5</v>
      </c>
      <c r="T3335">
        <v>0</v>
      </c>
      <c r="U3335" t="s">
        <v>19944</v>
      </c>
      <c r="V3335">
        <f>Tabla1[[#This Row],[Aboard]]-Tabla1[[#This Row],[Fatalities]]</f>
        <v>0</v>
      </c>
      <c r="W3335" s="50">
        <f>IFERROR(Tabla1[[#This Row],[Fatalities]]/Tabla1[[#This Row],[Aboard]],0)</f>
        <v>1</v>
      </c>
      <c r="X3335" s="51" t="str" cm="1">
        <f t="array" ref="X3335">_xlfn.IFS(Tabla1[[#This Row],[Porcentaje de muertes]]&lt;0.35,"LEVE",AND(Tabla1[[#This Row],[Porcentaje de muertes]]&gt;0.35,Tabla1[[#This Row],[Porcentaje de muertes]]&lt;0.65),"MEDIO",Tabla1[[#This Row],[Porcentaje de muertes]]&gt;0.65,"GRAVE")</f>
        <v>GRAVE</v>
      </c>
    </row>
    <row r="3336" spans="2:24" x14ac:dyDescent="0.3">
      <c r="B3336" s="9">
        <v>3335</v>
      </c>
      <c r="C3336" s="49">
        <v>31319</v>
      </c>
      <c r="D3336" s="9">
        <f>YEAR(Tabla1[[#This Row],[Date]])</f>
        <v>1985</v>
      </c>
      <c r="E3336" s="9" t="str" cm="1">
        <f t="array" ref="E3336">IFERROR(_xlfn.IFS(AND(D3336&lt;1980,D3336&gt;=1970),"70",AND(D3336&lt;1990,D3336&gt;=1980),"80",AND(D3336&lt;2000,D3336&gt;=1990),"90",AND(D3336&lt;2010,D3336&gt;=2000),"00",AND(D3336&lt;=2019,D3336&gt;=2010),"10"),"1908-1970")</f>
        <v>80</v>
      </c>
      <c r="F3336" s="3">
        <v>0.52083333333333337</v>
      </c>
      <c r="G3336" t="s">
        <v>19945</v>
      </c>
      <c r="H3336" t="s">
        <v>19946</v>
      </c>
      <c r="I3336" t="s">
        <v>28931</v>
      </c>
      <c r="J3336" t="s">
        <v>19947</v>
      </c>
      <c r="K3336" t="s">
        <v>19948</v>
      </c>
      <c r="L3336" s="7" t="s">
        <v>19949</v>
      </c>
      <c r="M3336" t="s">
        <v>19950</v>
      </c>
      <c r="N3336">
        <v>17</v>
      </c>
      <c r="O3336">
        <v>16</v>
      </c>
      <c r="P3336">
        <v>1</v>
      </c>
      <c r="Q3336">
        <v>17</v>
      </c>
      <c r="R3336">
        <v>16</v>
      </c>
      <c r="S3336">
        <v>1</v>
      </c>
      <c r="T3336">
        <v>0</v>
      </c>
      <c r="U3336" t="s">
        <v>19951</v>
      </c>
      <c r="V3336">
        <f>Tabla1[[#This Row],[Aboard]]-Tabla1[[#This Row],[Fatalities]]</f>
        <v>0</v>
      </c>
      <c r="W3336" s="50">
        <f>IFERROR(Tabla1[[#This Row],[Fatalities]]/Tabla1[[#This Row],[Aboard]],0)</f>
        <v>1</v>
      </c>
      <c r="X3336" s="51" t="str" cm="1">
        <f t="array" ref="X3336">_xlfn.IFS(Tabla1[[#This Row],[Porcentaje de muertes]]&lt;0.35,"LEVE",AND(Tabla1[[#This Row],[Porcentaje de muertes]]&gt;0.35,Tabla1[[#This Row],[Porcentaje de muertes]]&lt;0.65),"MEDIO",Tabla1[[#This Row],[Porcentaje de muertes]]&gt;0.65,"GRAVE")</f>
        <v>GRAVE</v>
      </c>
    </row>
    <row r="3337" spans="2:24" x14ac:dyDescent="0.3">
      <c r="B3337" s="9">
        <v>3336</v>
      </c>
      <c r="C3337" s="49">
        <v>31300</v>
      </c>
      <c r="D3337" s="9">
        <f>YEAR(Tabla1[[#This Row],[Date]])</f>
        <v>1985</v>
      </c>
      <c r="E3337" s="9" t="str" cm="1">
        <f t="array" ref="E3337">IFERROR(_xlfn.IFS(AND(D3337&lt;1980,D3337&gt;=1970),"70",AND(D3337&lt;1990,D3337&gt;=1980),"80",AND(D3337&lt;2000,D3337&gt;=1990),"90",AND(D3337&lt;2010,D3337&gt;=2000),"00",AND(D3337&lt;=2019,D3337&gt;=2010),"10"),"1908-1970")</f>
        <v>80</v>
      </c>
      <c r="F3337" s="3">
        <v>0.79166666666666663</v>
      </c>
      <c r="G3337" t="s">
        <v>19952</v>
      </c>
      <c r="H3337" t="s">
        <v>17722</v>
      </c>
      <c r="I3337" t="s">
        <v>28931</v>
      </c>
      <c r="J3337" t="s">
        <v>19953</v>
      </c>
      <c r="K3337" t="s">
        <v>17332</v>
      </c>
      <c r="L3337" s="7" t="s">
        <v>19954</v>
      </c>
      <c r="M3337">
        <v>110090</v>
      </c>
      <c r="N3337">
        <v>2</v>
      </c>
      <c r="O3337">
        <v>0</v>
      </c>
      <c r="P3337">
        <v>2</v>
      </c>
      <c r="Q3337">
        <v>2</v>
      </c>
      <c r="R3337">
        <v>0</v>
      </c>
      <c r="S3337">
        <v>2</v>
      </c>
      <c r="T3337">
        <v>0</v>
      </c>
      <c r="U3337" t="s">
        <v>19955</v>
      </c>
      <c r="V3337">
        <f>Tabla1[[#This Row],[Aboard]]-Tabla1[[#This Row],[Fatalities]]</f>
        <v>0</v>
      </c>
      <c r="W3337" s="50">
        <f>IFERROR(Tabla1[[#This Row],[Fatalities]]/Tabla1[[#This Row],[Aboard]],0)</f>
        <v>1</v>
      </c>
      <c r="X3337" s="51" t="str" cm="1">
        <f t="array" ref="X3337">_xlfn.IFS(Tabla1[[#This Row],[Porcentaje de muertes]]&lt;0.35,"LEVE",AND(Tabla1[[#This Row],[Porcentaje de muertes]]&gt;0.35,Tabla1[[#This Row],[Porcentaje de muertes]]&lt;0.65),"MEDIO",Tabla1[[#This Row],[Porcentaje de muertes]]&gt;0.65,"GRAVE")</f>
        <v>GRAVE</v>
      </c>
    </row>
    <row r="3338" spans="2:24" x14ac:dyDescent="0.3">
      <c r="B3338" s="9">
        <v>3337</v>
      </c>
      <c r="C3338" s="49">
        <v>31330</v>
      </c>
      <c r="D3338" s="9">
        <f>YEAR(Tabla1[[#This Row],[Date]])</f>
        <v>1985</v>
      </c>
      <c r="E3338" s="9" t="str" cm="1">
        <f t="array" ref="E3338">IFERROR(_xlfn.IFS(AND(D3338&lt;1980,D3338&gt;=1970),"70",AND(D3338&lt;1990,D3338&gt;=1980),"80",AND(D3338&lt;2000,D3338&gt;=1990),"90",AND(D3338&lt;2010,D3338&gt;=2000),"00",AND(D3338&lt;=2019,D3338&gt;=2010),"10"),"1908-1970")</f>
        <v>80</v>
      </c>
      <c r="F3338" s="3">
        <v>4.1666666666666664E-2</v>
      </c>
      <c r="G3338" t="s">
        <v>19956</v>
      </c>
      <c r="H3338" t="s">
        <v>19957</v>
      </c>
      <c r="I3338" t="s">
        <v>28931</v>
      </c>
      <c r="J3338" t="s">
        <v>19958</v>
      </c>
      <c r="K3338" t="s">
        <v>19959</v>
      </c>
      <c r="L3338" s="7" t="s">
        <v>19960</v>
      </c>
      <c r="M3338">
        <v>371</v>
      </c>
      <c r="N3338">
        <v>2</v>
      </c>
      <c r="O3338">
        <v>0</v>
      </c>
      <c r="P3338">
        <v>2</v>
      </c>
      <c r="Q3338">
        <v>2</v>
      </c>
      <c r="R3338">
        <v>0</v>
      </c>
      <c r="S3338">
        <v>2</v>
      </c>
      <c r="T3338">
        <v>0</v>
      </c>
      <c r="U3338" t="s">
        <v>19961</v>
      </c>
      <c r="V3338">
        <f>Tabla1[[#This Row],[Aboard]]-Tabla1[[#This Row],[Fatalities]]</f>
        <v>0</v>
      </c>
      <c r="W3338" s="50">
        <f>IFERROR(Tabla1[[#This Row],[Fatalities]]/Tabla1[[#This Row],[Aboard]],0)</f>
        <v>1</v>
      </c>
      <c r="X3338" s="51" t="str" cm="1">
        <f t="array" ref="X3338">_xlfn.IFS(Tabla1[[#This Row],[Porcentaje de muertes]]&lt;0.35,"LEVE",AND(Tabla1[[#This Row],[Porcentaje de muertes]]&gt;0.35,Tabla1[[#This Row],[Porcentaje de muertes]]&lt;0.65),"MEDIO",Tabla1[[#This Row],[Porcentaje de muertes]]&gt;0.65,"GRAVE")</f>
        <v>GRAVE</v>
      </c>
    </row>
    <row r="3339" spans="2:24" x14ac:dyDescent="0.3">
      <c r="B3339" s="9">
        <v>3338</v>
      </c>
      <c r="C3339" s="49">
        <v>31361</v>
      </c>
      <c r="D3339" s="9">
        <f>YEAR(Tabla1[[#This Row],[Date]])</f>
        <v>1985</v>
      </c>
      <c r="E3339" s="9" t="str" cm="1">
        <f t="array" ref="E3339">IFERROR(_xlfn.IFS(AND(D3339&lt;1980,D3339&gt;=1970),"70",AND(D3339&lt;1990,D3339&gt;=1980),"80",AND(D3339&lt;2000,D3339&gt;=1990),"90",AND(D3339&lt;2010,D3339&gt;=2000),"00",AND(D3339&lt;=2019,D3339&gt;=2010),"10"),"1908-1970")</f>
        <v>80</v>
      </c>
      <c r="F3339" s="3">
        <v>0.42291666666666666</v>
      </c>
      <c r="G3339" t="s">
        <v>19962</v>
      </c>
      <c r="H3339" t="s">
        <v>6541</v>
      </c>
      <c r="I3339" t="s">
        <v>19963</v>
      </c>
      <c r="J3339" t="s">
        <v>19964</v>
      </c>
      <c r="K3339" t="s">
        <v>15961</v>
      </c>
      <c r="L3339" s="7" t="s">
        <v>19965</v>
      </c>
      <c r="M3339">
        <v>9230923</v>
      </c>
      <c r="N3339">
        <v>14</v>
      </c>
      <c r="O3339">
        <v>10</v>
      </c>
      <c r="P3339">
        <v>4</v>
      </c>
      <c r="Q3339">
        <v>14</v>
      </c>
      <c r="R3339">
        <v>10</v>
      </c>
      <c r="S3339">
        <v>4</v>
      </c>
      <c r="T3339">
        <v>0</v>
      </c>
      <c r="U3339" t="s">
        <v>19966</v>
      </c>
      <c r="V3339">
        <f>Tabla1[[#This Row],[Aboard]]-Tabla1[[#This Row],[Fatalities]]</f>
        <v>0</v>
      </c>
      <c r="W3339" s="50">
        <f>IFERROR(Tabla1[[#This Row],[Fatalities]]/Tabla1[[#This Row],[Aboard]],0)</f>
        <v>1</v>
      </c>
      <c r="X3339" s="51" t="str" cm="1">
        <f t="array" ref="X3339">_xlfn.IFS(Tabla1[[#This Row],[Porcentaje de muertes]]&lt;0.35,"LEVE",AND(Tabla1[[#This Row],[Porcentaje de muertes]]&gt;0.35,Tabla1[[#This Row],[Porcentaje de muertes]]&lt;0.65),"MEDIO",Tabla1[[#This Row],[Porcentaje de muertes]]&gt;0.65,"GRAVE")</f>
        <v>GRAVE</v>
      </c>
    </row>
    <row r="3340" spans="2:24" x14ac:dyDescent="0.3">
      <c r="B3340" s="9">
        <v>3339</v>
      </c>
      <c r="C3340" s="49">
        <v>31361</v>
      </c>
      <c r="D3340" s="9">
        <f>YEAR(Tabla1[[#This Row],[Date]])</f>
        <v>1985</v>
      </c>
      <c r="E3340" s="9" t="str" cm="1">
        <f t="array" ref="E3340">IFERROR(_xlfn.IFS(AND(D3340&lt;1980,D3340&gt;=1970),"70",AND(D3340&lt;1990,D3340&gt;=1980),"80",AND(D3340&lt;2000,D3340&gt;=1990),"90",AND(D3340&lt;2010,D3340&gt;=2000),"00",AND(D3340&lt;=2019,D3340&gt;=2010),"10"),"1908-1970")</f>
        <v>80</v>
      </c>
      <c r="F3340" s="3" t="s">
        <v>28931</v>
      </c>
      <c r="G3340" t="s">
        <v>19967</v>
      </c>
      <c r="H3340" t="s">
        <v>19968</v>
      </c>
      <c r="I3340" t="s">
        <v>28931</v>
      </c>
      <c r="J3340" t="s">
        <v>19969</v>
      </c>
      <c r="K3340" t="s">
        <v>8433</v>
      </c>
      <c r="L3340" s="7" t="s">
        <v>19970</v>
      </c>
      <c r="M3340">
        <v>32936</v>
      </c>
      <c r="N3340">
        <v>2</v>
      </c>
      <c r="O3340">
        <v>0</v>
      </c>
      <c r="P3340">
        <v>2</v>
      </c>
      <c r="Q3340">
        <v>2</v>
      </c>
      <c r="R3340">
        <v>0</v>
      </c>
      <c r="S3340">
        <v>2</v>
      </c>
      <c r="T3340">
        <v>0</v>
      </c>
      <c r="U3340" t="s">
        <v>19971</v>
      </c>
      <c r="V3340">
        <f>Tabla1[[#This Row],[Aboard]]-Tabla1[[#This Row],[Fatalities]]</f>
        <v>0</v>
      </c>
      <c r="W3340" s="50">
        <f>IFERROR(Tabla1[[#This Row],[Fatalities]]/Tabla1[[#This Row],[Aboard]],0)</f>
        <v>1</v>
      </c>
      <c r="X3340" s="51" t="str" cm="1">
        <f t="array" ref="X3340">_xlfn.IFS(Tabla1[[#This Row],[Porcentaje de muertes]]&lt;0.35,"LEVE",AND(Tabla1[[#This Row],[Porcentaje de muertes]]&gt;0.35,Tabla1[[#This Row],[Porcentaje de muertes]]&lt;0.65),"MEDIO",Tabla1[[#This Row],[Porcentaje de muertes]]&gt;0.65,"GRAVE")</f>
        <v>GRAVE</v>
      </c>
    </row>
    <row r="3341" spans="2:24" x14ac:dyDescent="0.3">
      <c r="B3341" s="9">
        <v>3340</v>
      </c>
      <c r="C3341" s="49">
        <v>31361</v>
      </c>
      <c r="D3341" s="9">
        <f>YEAR(Tabla1[[#This Row],[Date]])</f>
        <v>1985</v>
      </c>
      <c r="E3341" s="9" t="str" cm="1">
        <f t="array" ref="E3341">IFERROR(_xlfn.IFS(AND(D3341&lt;1980,D3341&gt;=1970),"70",AND(D3341&lt;1990,D3341&gt;=1980),"80",AND(D3341&lt;2000,D3341&gt;=1990),"90",AND(D3341&lt;2010,D3341&gt;=2000),"00",AND(D3341&lt;=2019,D3341&gt;=2010),"10"),"1908-1970")</f>
        <v>80</v>
      </c>
      <c r="F3341" s="3">
        <v>0.90277777777777779</v>
      </c>
      <c r="G3341" t="s">
        <v>19972</v>
      </c>
      <c r="H3341" t="s">
        <v>19973</v>
      </c>
      <c r="I3341" t="s">
        <v>28931</v>
      </c>
      <c r="J3341" t="s">
        <v>19974</v>
      </c>
      <c r="K3341" t="s">
        <v>15361</v>
      </c>
      <c r="L3341" s="7" t="s">
        <v>19975</v>
      </c>
      <c r="M3341">
        <v>192</v>
      </c>
      <c r="N3341">
        <v>1</v>
      </c>
      <c r="O3341">
        <v>0</v>
      </c>
      <c r="P3341">
        <v>1</v>
      </c>
      <c r="Q3341">
        <v>1</v>
      </c>
      <c r="R3341">
        <v>0</v>
      </c>
      <c r="S3341">
        <v>1</v>
      </c>
      <c r="T3341">
        <v>0</v>
      </c>
      <c r="U3341" t="s">
        <v>19976</v>
      </c>
      <c r="V3341">
        <f>Tabla1[[#This Row],[Aboard]]-Tabla1[[#This Row],[Fatalities]]</f>
        <v>0</v>
      </c>
      <c r="W3341" s="50">
        <f>IFERROR(Tabla1[[#This Row],[Fatalities]]/Tabla1[[#This Row],[Aboard]],0)</f>
        <v>1</v>
      </c>
      <c r="X3341" s="51" t="str" cm="1">
        <f t="array" ref="X3341">_xlfn.IFS(Tabla1[[#This Row],[Porcentaje de muertes]]&lt;0.35,"LEVE",AND(Tabla1[[#This Row],[Porcentaje de muertes]]&gt;0.35,Tabla1[[#This Row],[Porcentaje de muertes]]&lt;0.65),"MEDIO",Tabla1[[#This Row],[Porcentaje de muertes]]&gt;0.65,"GRAVE")</f>
        <v>GRAVE</v>
      </c>
    </row>
    <row r="3342" spans="2:24" x14ac:dyDescent="0.3">
      <c r="B3342" s="9">
        <v>3341</v>
      </c>
      <c r="C3342" s="49">
        <v>31391</v>
      </c>
      <c r="D3342" s="9">
        <f>YEAR(Tabla1[[#This Row],[Date]])</f>
        <v>1985</v>
      </c>
      <c r="E3342" s="9" t="str" cm="1">
        <f t="array" ref="E3342">IFERROR(_xlfn.IFS(AND(D3342&lt;1980,D3342&gt;=1970),"70",AND(D3342&lt;1990,D3342&gt;=1980),"80",AND(D3342&lt;2000,D3342&gt;=1990),"90",AND(D3342&lt;2010,D3342&gt;=2000),"00",AND(D3342&lt;=2019,D3342&gt;=2010),"10"),"1908-1970")</f>
        <v>80</v>
      </c>
      <c r="F3342" s="3" t="s">
        <v>28931</v>
      </c>
      <c r="G3342" t="s">
        <v>19977</v>
      </c>
      <c r="H3342" t="s">
        <v>16549</v>
      </c>
      <c r="I3342" t="s">
        <v>28931</v>
      </c>
      <c r="J3342" t="s">
        <v>28931</v>
      </c>
      <c r="K3342" t="s">
        <v>15526</v>
      </c>
      <c r="L3342" s="7" t="s">
        <v>19978</v>
      </c>
      <c r="M3342">
        <v>10501</v>
      </c>
      <c r="N3342">
        <v>4</v>
      </c>
      <c r="O3342">
        <v>2</v>
      </c>
      <c r="P3342">
        <v>2</v>
      </c>
      <c r="Q3342">
        <v>4</v>
      </c>
      <c r="R3342">
        <v>2</v>
      </c>
      <c r="S3342">
        <v>2</v>
      </c>
      <c r="T3342">
        <v>0</v>
      </c>
      <c r="U3342" t="s">
        <v>19979</v>
      </c>
      <c r="V3342">
        <f>Tabla1[[#This Row],[Aboard]]-Tabla1[[#This Row],[Fatalities]]</f>
        <v>0</v>
      </c>
      <c r="W3342" s="50">
        <f>IFERROR(Tabla1[[#This Row],[Fatalities]]/Tabla1[[#This Row],[Aboard]],0)</f>
        <v>1</v>
      </c>
      <c r="X3342" s="51" t="str" cm="1">
        <f t="array" ref="X3342">_xlfn.IFS(Tabla1[[#This Row],[Porcentaje de muertes]]&lt;0.35,"LEVE",AND(Tabla1[[#This Row],[Porcentaje de muertes]]&gt;0.35,Tabla1[[#This Row],[Porcentaje de muertes]]&lt;0.65),"MEDIO",Tabla1[[#This Row],[Porcentaje de muertes]]&gt;0.65,"GRAVE")</f>
        <v>GRAVE</v>
      </c>
    </row>
    <row r="3343" spans="2:24" x14ac:dyDescent="0.3">
      <c r="B3343" s="9">
        <v>3342</v>
      </c>
      <c r="C3343" s="49">
        <v>31366</v>
      </c>
      <c r="D3343" s="9">
        <f>YEAR(Tabla1[[#This Row],[Date]])</f>
        <v>1985</v>
      </c>
      <c r="E3343" s="9" t="str" cm="1">
        <f t="array" ref="E3343">IFERROR(_xlfn.IFS(AND(D3343&lt;1980,D3343&gt;=1970),"70",AND(D3343&lt;1990,D3343&gt;=1980),"80",AND(D3343&lt;2000,D3343&gt;=1990),"90",AND(D3343&lt;2010,D3343&gt;=2000),"00",AND(D3343&lt;=2019,D3343&gt;=2010),"10"),"1908-1970")</f>
        <v>80</v>
      </c>
      <c r="F3343" s="3" t="s">
        <v>28931</v>
      </c>
      <c r="G3343" t="s">
        <v>19980</v>
      </c>
      <c r="H3343" t="s">
        <v>7987</v>
      </c>
      <c r="I3343" t="s">
        <v>28931</v>
      </c>
      <c r="J3343" t="s">
        <v>5028</v>
      </c>
      <c r="K3343" t="s">
        <v>11455</v>
      </c>
      <c r="L3343" s="7" t="s">
        <v>19981</v>
      </c>
      <c r="M3343">
        <v>221</v>
      </c>
      <c r="N3343">
        <v>4</v>
      </c>
      <c r="O3343">
        <v>0</v>
      </c>
      <c r="P3343">
        <v>4</v>
      </c>
      <c r="Q3343">
        <v>4</v>
      </c>
      <c r="R3343">
        <v>0</v>
      </c>
      <c r="S3343">
        <v>4</v>
      </c>
      <c r="T3343">
        <v>0</v>
      </c>
      <c r="U3343" t="s">
        <v>19982</v>
      </c>
      <c r="V3343">
        <f>Tabla1[[#This Row],[Aboard]]-Tabla1[[#This Row],[Fatalities]]</f>
        <v>0</v>
      </c>
      <c r="W3343" s="50">
        <f>IFERROR(Tabla1[[#This Row],[Fatalities]]/Tabla1[[#This Row],[Aboard]],0)</f>
        <v>1</v>
      </c>
      <c r="X3343" s="51" t="str" cm="1">
        <f t="array" ref="X3343">_xlfn.IFS(Tabla1[[#This Row],[Porcentaje de muertes]]&lt;0.35,"LEVE",AND(Tabla1[[#This Row],[Porcentaje de muertes]]&gt;0.35,Tabla1[[#This Row],[Porcentaje de muertes]]&lt;0.65),"MEDIO",Tabla1[[#This Row],[Porcentaje de muertes]]&gt;0.65,"GRAVE")</f>
        <v>GRAVE</v>
      </c>
    </row>
    <row r="3344" spans="2:24" x14ac:dyDescent="0.3">
      <c r="B3344" s="9">
        <v>3343</v>
      </c>
      <c r="C3344" s="49">
        <v>31372</v>
      </c>
      <c r="D3344" s="9">
        <f>YEAR(Tabla1[[#This Row],[Date]])</f>
        <v>1985</v>
      </c>
      <c r="E3344" s="9" t="str" cm="1">
        <f t="array" ref="E3344">IFERROR(_xlfn.IFS(AND(D3344&lt;1980,D3344&gt;=1970),"70",AND(D3344&lt;1990,D3344&gt;=1980),"80",AND(D3344&lt;2000,D3344&gt;=1990),"90",AND(D3344&lt;2010,D3344&gt;=2000),"00",AND(D3344&lt;=2019,D3344&gt;=2010),"10"),"1908-1970")</f>
        <v>80</v>
      </c>
      <c r="F3344" s="3" t="s">
        <v>28931</v>
      </c>
      <c r="G3344" t="s">
        <v>19983</v>
      </c>
      <c r="H3344" t="s">
        <v>19984</v>
      </c>
      <c r="I3344" t="s">
        <v>28931</v>
      </c>
      <c r="J3344" t="s">
        <v>28931</v>
      </c>
      <c r="K3344" t="s">
        <v>18896</v>
      </c>
      <c r="L3344" s="7" t="s">
        <v>19985</v>
      </c>
      <c r="M3344">
        <v>4898</v>
      </c>
      <c r="N3344">
        <v>11</v>
      </c>
      <c r="O3344">
        <v>0</v>
      </c>
      <c r="P3344">
        <v>11</v>
      </c>
      <c r="Q3344">
        <v>11</v>
      </c>
      <c r="R3344">
        <v>0</v>
      </c>
      <c r="S3344">
        <v>11</v>
      </c>
      <c r="T3344">
        <v>0</v>
      </c>
      <c r="U3344" t="s">
        <v>19986</v>
      </c>
      <c r="V3344">
        <f>Tabla1[[#This Row],[Aboard]]-Tabla1[[#This Row],[Fatalities]]</f>
        <v>0</v>
      </c>
      <c r="W3344" s="50">
        <f>IFERROR(Tabla1[[#This Row],[Fatalities]]/Tabla1[[#This Row],[Aboard]],0)</f>
        <v>1</v>
      </c>
      <c r="X3344" s="51" t="str" cm="1">
        <f t="array" ref="X3344">_xlfn.IFS(Tabla1[[#This Row],[Porcentaje de muertes]]&lt;0.35,"LEVE",AND(Tabla1[[#This Row],[Porcentaje de muertes]]&gt;0.35,Tabla1[[#This Row],[Porcentaje de muertes]]&lt;0.65),"MEDIO",Tabla1[[#This Row],[Porcentaje de muertes]]&gt;0.65,"GRAVE")</f>
        <v>GRAVE</v>
      </c>
    </row>
    <row r="3345" spans="2:24" x14ac:dyDescent="0.3">
      <c r="B3345" s="9">
        <v>3344</v>
      </c>
      <c r="C3345" s="49">
        <v>31375</v>
      </c>
      <c r="D3345" s="9">
        <f>YEAR(Tabla1[[#This Row],[Date]])</f>
        <v>1985</v>
      </c>
      <c r="E3345" s="9" t="str" cm="1">
        <f t="array" ref="E3345">IFERROR(_xlfn.IFS(AND(D3345&lt;1980,D3345&gt;=1970),"70",AND(D3345&lt;1990,D3345&gt;=1980),"80",AND(D3345&lt;2000,D3345&gt;=1990),"90",AND(D3345&lt;2010,D3345&gt;=2000),"00",AND(D3345&lt;=2019,D3345&gt;=2010),"10"),"1908-1970")</f>
        <v>80</v>
      </c>
      <c r="F3345" s="3">
        <v>0.84375</v>
      </c>
      <c r="G3345" t="s">
        <v>19987</v>
      </c>
      <c r="H3345" t="s">
        <v>17763</v>
      </c>
      <c r="I3345">
        <v>648</v>
      </c>
      <c r="J3345" t="s">
        <v>12285</v>
      </c>
      <c r="K3345" t="s">
        <v>19988</v>
      </c>
      <c r="L3345" s="7" t="s">
        <v>19989</v>
      </c>
      <c r="M3345" t="s">
        <v>19990</v>
      </c>
      <c r="N3345">
        <v>103</v>
      </c>
      <c r="O3345">
        <v>97</v>
      </c>
      <c r="P3345">
        <v>6</v>
      </c>
      <c r="Q3345">
        <v>60</v>
      </c>
      <c r="R3345" t="s">
        <v>5038</v>
      </c>
      <c r="S3345" t="s">
        <v>5038</v>
      </c>
      <c r="T3345">
        <v>0</v>
      </c>
      <c r="U3345" t="s">
        <v>19991</v>
      </c>
      <c r="V3345">
        <f>Tabla1[[#This Row],[Aboard]]-Tabla1[[#This Row],[Fatalities]]</f>
        <v>43</v>
      </c>
      <c r="W3345" s="50">
        <f>IFERROR(Tabla1[[#This Row],[Fatalities]]/Tabla1[[#This Row],[Aboard]],0)</f>
        <v>0.58252427184466016</v>
      </c>
      <c r="X3345" s="51" t="str" cm="1">
        <f t="array" ref="X3345">_xlfn.IFS(Tabla1[[#This Row],[Porcentaje de muertes]]&lt;0.35,"LEVE",AND(Tabla1[[#This Row],[Porcentaje de muertes]]&gt;0.35,Tabla1[[#This Row],[Porcentaje de muertes]]&lt;0.65),"MEDIO",Tabla1[[#This Row],[Porcentaje de muertes]]&gt;0.65,"GRAVE")</f>
        <v>MEDIO</v>
      </c>
    </row>
    <row r="3346" spans="2:24" x14ac:dyDescent="0.3">
      <c r="B3346" s="9">
        <v>3345</v>
      </c>
      <c r="C3346" s="49">
        <v>31376</v>
      </c>
      <c r="D3346" s="9">
        <f>YEAR(Tabla1[[#This Row],[Date]])</f>
        <v>1985</v>
      </c>
      <c r="E3346" s="9" t="str" cm="1">
        <f t="array" ref="E3346">IFERROR(_xlfn.IFS(AND(D3346&lt;1980,D3346&gt;=1970),"70",AND(D3346&lt;1990,D3346&gt;=1980),"80",AND(D3346&lt;2000,D3346&gt;=1990),"90",AND(D3346&lt;2010,D3346&gt;=2000),"00",AND(D3346&lt;=2019,D3346&gt;=2010),"10"),"1908-1970")</f>
        <v>80</v>
      </c>
      <c r="F3346" s="3" t="s">
        <v>28931</v>
      </c>
      <c r="G3346" t="s">
        <v>19992</v>
      </c>
      <c r="H3346" t="s">
        <v>17903</v>
      </c>
      <c r="I3346" t="s">
        <v>28931</v>
      </c>
      <c r="J3346" t="s">
        <v>19993</v>
      </c>
      <c r="K3346" t="s">
        <v>17904</v>
      </c>
      <c r="L3346" s="7" t="s">
        <v>19994</v>
      </c>
      <c r="M3346">
        <v>5343609</v>
      </c>
      <c r="N3346">
        <v>22</v>
      </c>
      <c r="O3346" t="s">
        <v>5038</v>
      </c>
      <c r="P3346" t="s">
        <v>5038</v>
      </c>
      <c r="Q3346">
        <v>22</v>
      </c>
      <c r="R3346" t="s">
        <v>5038</v>
      </c>
      <c r="S3346" t="s">
        <v>5038</v>
      </c>
      <c r="T3346">
        <v>0</v>
      </c>
      <c r="U3346" t="s">
        <v>19995</v>
      </c>
      <c r="V3346">
        <f>Tabla1[[#This Row],[Aboard]]-Tabla1[[#This Row],[Fatalities]]</f>
        <v>0</v>
      </c>
      <c r="W3346" s="50">
        <f>IFERROR(Tabla1[[#This Row],[Fatalities]]/Tabla1[[#This Row],[Aboard]],0)</f>
        <v>1</v>
      </c>
      <c r="X3346" s="51" t="str" cm="1">
        <f t="array" ref="X3346">_xlfn.IFS(Tabla1[[#This Row],[Porcentaje de muertes]]&lt;0.35,"LEVE",AND(Tabla1[[#This Row],[Porcentaje de muertes]]&gt;0.35,Tabla1[[#This Row],[Porcentaje de muertes]]&lt;0.65),"MEDIO",Tabla1[[#This Row],[Porcentaje de muertes]]&gt;0.65,"GRAVE")</f>
        <v>GRAVE</v>
      </c>
    </row>
    <row r="3347" spans="2:24" x14ac:dyDescent="0.3">
      <c r="B3347" s="9">
        <v>3346</v>
      </c>
      <c r="C3347" s="49">
        <v>31393</v>
      </c>
      <c r="D3347" s="9">
        <f>YEAR(Tabla1[[#This Row],[Date]])</f>
        <v>1985</v>
      </c>
      <c r="E3347" s="9" t="str" cm="1">
        <f t="array" ref="E3347">IFERROR(_xlfn.IFS(AND(D3347&lt;1980,D3347&gt;=1970),"70",AND(D3347&lt;1990,D3347&gt;=1980),"80",AND(D3347&lt;2000,D3347&gt;=1990),"90",AND(D3347&lt;2010,D3347&gt;=2000),"00",AND(D3347&lt;=2019,D3347&gt;=2010),"10"),"1908-1970")</f>
        <v>80</v>
      </c>
      <c r="F3347" s="3">
        <v>0.28125</v>
      </c>
      <c r="G3347" t="s">
        <v>19996</v>
      </c>
      <c r="H3347" t="s">
        <v>19997</v>
      </c>
      <c r="I3347" t="s">
        <v>19998</v>
      </c>
      <c r="J3347" t="s">
        <v>19999</v>
      </c>
      <c r="K3347" t="s">
        <v>20000</v>
      </c>
      <c r="L3347" s="7" t="s">
        <v>20001</v>
      </c>
      <c r="M3347" t="s">
        <v>20002</v>
      </c>
      <c r="N3347">
        <v>256</v>
      </c>
      <c r="O3347">
        <v>248</v>
      </c>
      <c r="P3347">
        <v>8</v>
      </c>
      <c r="Q3347">
        <v>256</v>
      </c>
      <c r="R3347">
        <v>248</v>
      </c>
      <c r="S3347">
        <v>8</v>
      </c>
      <c r="T3347">
        <v>0</v>
      </c>
      <c r="U3347" t="s">
        <v>20003</v>
      </c>
      <c r="V3347">
        <f>Tabla1[[#This Row],[Aboard]]-Tabla1[[#This Row],[Fatalities]]</f>
        <v>0</v>
      </c>
      <c r="W3347" s="50">
        <f>IFERROR(Tabla1[[#This Row],[Fatalities]]/Tabla1[[#This Row],[Aboard]],0)</f>
        <v>1</v>
      </c>
      <c r="X3347" s="51" t="str" cm="1">
        <f t="array" ref="X3347">_xlfn.IFS(Tabla1[[#This Row],[Porcentaje de muertes]]&lt;0.35,"LEVE",AND(Tabla1[[#This Row],[Porcentaje de muertes]]&gt;0.35,Tabla1[[#This Row],[Porcentaje de muertes]]&lt;0.65),"MEDIO",Tabla1[[#This Row],[Porcentaje de muertes]]&gt;0.65,"GRAVE")</f>
        <v>GRAVE</v>
      </c>
    </row>
    <row r="3348" spans="2:24" x14ac:dyDescent="0.3">
      <c r="B3348" s="9">
        <v>3347</v>
      </c>
      <c r="C3348" s="49">
        <v>31411</v>
      </c>
      <c r="D3348" s="9">
        <f>YEAR(Tabla1[[#This Row],[Date]])</f>
        <v>1985</v>
      </c>
      <c r="E3348" s="9" t="str" cm="1">
        <f t="array" ref="E3348">IFERROR(_xlfn.IFS(AND(D3348&lt;1980,D3348&gt;=1970),"70",AND(D3348&lt;1990,D3348&gt;=1980),"80",AND(D3348&lt;2000,D3348&gt;=1990),"90",AND(D3348&lt;2010,D3348&gt;=2000),"00",AND(D3348&lt;=2019,D3348&gt;=2010),"10"),"1908-1970")</f>
        <v>80</v>
      </c>
      <c r="F3348" s="3" t="s">
        <v>28931</v>
      </c>
      <c r="G3348" t="s">
        <v>20004</v>
      </c>
      <c r="H3348" t="s">
        <v>16583</v>
      </c>
      <c r="I3348" t="s">
        <v>28931</v>
      </c>
      <c r="J3348" t="s">
        <v>28931</v>
      </c>
      <c r="K3348" t="s">
        <v>20005</v>
      </c>
      <c r="L3348" s="7" t="s">
        <v>20006</v>
      </c>
      <c r="M3348" t="s">
        <v>20007</v>
      </c>
      <c r="N3348">
        <v>25</v>
      </c>
      <c r="O3348">
        <v>22</v>
      </c>
      <c r="P3348">
        <v>3</v>
      </c>
      <c r="Q3348">
        <v>25</v>
      </c>
      <c r="R3348">
        <v>22</v>
      </c>
      <c r="S3348">
        <v>3</v>
      </c>
      <c r="T3348">
        <v>0</v>
      </c>
      <c r="U3348" t="s">
        <v>20008</v>
      </c>
      <c r="V3348">
        <f>Tabla1[[#This Row],[Aboard]]-Tabla1[[#This Row],[Fatalities]]</f>
        <v>0</v>
      </c>
      <c r="W3348" s="50">
        <f>IFERROR(Tabla1[[#This Row],[Fatalities]]/Tabla1[[#This Row],[Aboard]],0)</f>
        <v>1</v>
      </c>
      <c r="X3348" s="51" t="str" cm="1">
        <f t="array" ref="X3348">_xlfn.IFS(Tabla1[[#This Row],[Porcentaje de muertes]]&lt;0.35,"LEVE",AND(Tabla1[[#This Row],[Porcentaje de muertes]]&gt;0.35,Tabla1[[#This Row],[Porcentaje de muertes]]&lt;0.65),"MEDIO",Tabla1[[#This Row],[Porcentaje de muertes]]&gt;0.65,"GRAVE")</f>
        <v>GRAVE</v>
      </c>
    </row>
    <row r="3349" spans="2:24" x14ac:dyDescent="0.3">
      <c r="B3349" s="9">
        <v>3348</v>
      </c>
      <c r="C3349" s="49">
        <v>31412</v>
      </c>
      <c r="D3349" s="9">
        <f>YEAR(Tabla1[[#This Row],[Date]])</f>
        <v>1985</v>
      </c>
      <c r="E3349" s="9" t="str" cm="1">
        <f t="array" ref="E3349">IFERROR(_xlfn.IFS(AND(D3349&lt;1980,D3349&gt;=1970),"70",AND(D3349&lt;1990,D3349&gt;=1980),"80",AND(D3349&lt;2000,D3349&gt;=1990),"90",AND(D3349&lt;2010,D3349&gt;=2000),"00",AND(D3349&lt;=2019,D3349&gt;=2010),"10"),"1908-1970")</f>
        <v>80</v>
      </c>
      <c r="F3349" s="3">
        <v>0.71805555555555556</v>
      </c>
      <c r="G3349" t="s">
        <v>20009</v>
      </c>
      <c r="H3349" t="s">
        <v>5032</v>
      </c>
      <c r="I3349" t="s">
        <v>28931</v>
      </c>
      <c r="J3349" t="s">
        <v>20010</v>
      </c>
      <c r="K3349" t="s">
        <v>7057</v>
      </c>
      <c r="L3349" s="7" t="s">
        <v>20011</v>
      </c>
      <c r="M3349">
        <v>13658</v>
      </c>
      <c r="N3349">
        <v>9</v>
      </c>
      <c r="O3349">
        <v>7</v>
      </c>
      <c r="P3349">
        <v>2</v>
      </c>
      <c r="Q3349">
        <v>7</v>
      </c>
      <c r="R3349">
        <v>7</v>
      </c>
      <c r="S3349">
        <v>0</v>
      </c>
      <c r="T3349">
        <v>0</v>
      </c>
      <c r="U3349" t="s">
        <v>20012</v>
      </c>
      <c r="V3349">
        <f>Tabla1[[#This Row],[Aboard]]-Tabla1[[#This Row],[Fatalities]]</f>
        <v>2</v>
      </c>
      <c r="W3349" s="50">
        <f>IFERROR(Tabla1[[#This Row],[Fatalities]]/Tabla1[[#This Row],[Aboard]],0)</f>
        <v>0.77777777777777779</v>
      </c>
      <c r="X3349" s="51" t="str" cm="1">
        <f t="array" ref="X3349">_xlfn.IFS(Tabla1[[#This Row],[Porcentaje de muertes]]&lt;0.35,"LEVE",AND(Tabla1[[#This Row],[Porcentaje de muertes]]&gt;0.35,Tabla1[[#This Row],[Porcentaje de muertes]]&lt;0.65),"MEDIO",Tabla1[[#This Row],[Porcentaje de muertes]]&gt;0.65,"GRAVE")</f>
        <v>GRAVE</v>
      </c>
    </row>
    <row r="3350" spans="2:24" x14ac:dyDescent="0.3">
      <c r="B3350" s="9">
        <v>3349</v>
      </c>
      <c r="C3350" s="49">
        <v>31430</v>
      </c>
      <c r="D3350" s="9">
        <f>YEAR(Tabla1[[#This Row],[Date]])</f>
        <v>1986</v>
      </c>
      <c r="E3350" s="9" t="str" cm="1">
        <f t="array" ref="E3350">IFERROR(_xlfn.IFS(AND(D3350&lt;1980,D3350&gt;=1970),"70",AND(D3350&lt;1990,D3350&gt;=1980),"80",AND(D3350&lt;2000,D3350&gt;=1990),"90",AND(D3350&lt;2010,D3350&gt;=2000),"00",AND(D3350&lt;=2019,D3350&gt;=2010),"10"),"1908-1970")</f>
        <v>80</v>
      </c>
      <c r="F3350" s="3">
        <v>0.33333333333333331</v>
      </c>
      <c r="G3350" t="s">
        <v>20013</v>
      </c>
      <c r="H3350" t="s">
        <v>20014</v>
      </c>
      <c r="I3350" t="s">
        <v>28931</v>
      </c>
      <c r="J3350" t="s">
        <v>20015</v>
      </c>
      <c r="K3350" t="s">
        <v>16987</v>
      </c>
      <c r="L3350" s="7" t="s">
        <v>20016</v>
      </c>
      <c r="M3350">
        <v>40</v>
      </c>
      <c r="N3350">
        <v>94</v>
      </c>
      <c r="O3350">
        <v>88</v>
      </c>
      <c r="P3350">
        <v>6</v>
      </c>
      <c r="Q3350">
        <v>94</v>
      </c>
      <c r="R3350">
        <v>88</v>
      </c>
      <c r="S3350">
        <v>6</v>
      </c>
      <c r="T3350">
        <v>0</v>
      </c>
      <c r="U3350" t="s">
        <v>20017</v>
      </c>
      <c r="V3350">
        <f>Tabla1[[#This Row],[Aboard]]-Tabla1[[#This Row],[Fatalities]]</f>
        <v>0</v>
      </c>
      <c r="W3350" s="50">
        <f>IFERROR(Tabla1[[#This Row],[Fatalities]]/Tabla1[[#This Row],[Aboard]],0)</f>
        <v>1</v>
      </c>
      <c r="X3350" s="51" t="str" cm="1">
        <f t="array" ref="X3350">_xlfn.IFS(Tabla1[[#This Row],[Porcentaje de muertes]]&lt;0.35,"LEVE",AND(Tabla1[[#This Row],[Porcentaje de muertes]]&gt;0.35,Tabla1[[#This Row],[Porcentaje de muertes]]&lt;0.65),"MEDIO",Tabla1[[#This Row],[Porcentaje de muertes]]&gt;0.65,"GRAVE")</f>
        <v>GRAVE</v>
      </c>
    </row>
    <row r="3351" spans="2:24" x14ac:dyDescent="0.3">
      <c r="B3351" s="9">
        <v>3350</v>
      </c>
      <c r="C3351" s="49">
        <v>31433</v>
      </c>
      <c r="D3351" s="9">
        <f>YEAR(Tabla1[[#This Row],[Date]])</f>
        <v>1986</v>
      </c>
      <c r="E3351" s="9" t="str" cm="1">
        <f t="array" ref="E3351">IFERROR(_xlfn.IFS(AND(D3351&lt;1980,D3351&gt;=1970),"70",AND(D3351&lt;1990,D3351&gt;=1980),"80",AND(D3351&lt;2000,D3351&gt;=1990),"90",AND(D3351&lt;2010,D3351&gt;=2000),"00",AND(D3351&lt;=2019,D3351&gt;=2010),"10"),"1908-1970")</f>
        <v>80</v>
      </c>
      <c r="F3351" s="3">
        <v>0.18402777777777779</v>
      </c>
      <c r="G3351" t="s">
        <v>20018</v>
      </c>
      <c r="H3351" t="s">
        <v>20019</v>
      </c>
      <c r="I3351" t="s">
        <v>28931</v>
      </c>
      <c r="J3351" t="s">
        <v>28931</v>
      </c>
      <c r="K3351" t="s">
        <v>20020</v>
      </c>
      <c r="L3351" s="7" t="s">
        <v>20021</v>
      </c>
      <c r="M3351">
        <v>425</v>
      </c>
      <c r="N3351">
        <v>3</v>
      </c>
      <c r="O3351">
        <v>2</v>
      </c>
      <c r="P3351">
        <v>1</v>
      </c>
      <c r="Q3351">
        <v>3</v>
      </c>
      <c r="R3351">
        <v>2</v>
      </c>
      <c r="S3351">
        <v>1</v>
      </c>
      <c r="T3351">
        <v>0</v>
      </c>
      <c r="U3351" t="s">
        <v>20022</v>
      </c>
      <c r="V3351">
        <f>Tabla1[[#This Row],[Aboard]]-Tabla1[[#This Row],[Fatalities]]</f>
        <v>0</v>
      </c>
      <c r="W3351" s="50">
        <f>IFERROR(Tabla1[[#This Row],[Fatalities]]/Tabla1[[#This Row],[Aboard]],0)</f>
        <v>1</v>
      </c>
      <c r="X3351" s="51" t="str" cm="1">
        <f t="array" ref="X3351">_xlfn.IFS(Tabla1[[#This Row],[Porcentaje de muertes]]&lt;0.35,"LEVE",AND(Tabla1[[#This Row],[Porcentaje de muertes]]&gt;0.35,Tabla1[[#This Row],[Porcentaje de muertes]]&lt;0.65),"MEDIO",Tabla1[[#This Row],[Porcentaje de muertes]]&gt;0.65,"GRAVE")</f>
        <v>GRAVE</v>
      </c>
    </row>
    <row r="3352" spans="2:24" x14ac:dyDescent="0.3">
      <c r="B3352" s="9">
        <v>3351</v>
      </c>
      <c r="C3352" s="49">
        <v>31440</v>
      </c>
      <c r="D3352" s="9">
        <f>YEAR(Tabla1[[#This Row],[Date]])</f>
        <v>1986</v>
      </c>
      <c r="E3352" s="9" t="str" cm="1">
        <f t="array" ref="E3352">IFERROR(_xlfn.IFS(AND(D3352&lt;1980,D3352&gt;=1970),"70",AND(D3352&lt;1990,D3352&gt;=1980),"80",AND(D3352&lt;2000,D3352&gt;=1990),"90",AND(D3352&lt;2010,D3352&gt;=2000),"00",AND(D3352&lt;=2019,D3352&gt;=2010),"10"),"1908-1970")</f>
        <v>80</v>
      </c>
      <c r="F3352" s="3">
        <v>0.32291666666666669</v>
      </c>
      <c r="G3352" t="s">
        <v>7197</v>
      </c>
      <c r="H3352" t="s">
        <v>7581</v>
      </c>
      <c r="I3352" t="s">
        <v>28931</v>
      </c>
      <c r="J3352" t="s">
        <v>20023</v>
      </c>
      <c r="K3352" t="s">
        <v>20024</v>
      </c>
      <c r="L3352" s="7" t="s">
        <v>20025</v>
      </c>
      <c r="M3352" t="s">
        <v>20026</v>
      </c>
      <c r="N3352">
        <v>72</v>
      </c>
      <c r="O3352">
        <v>67</v>
      </c>
      <c r="P3352">
        <v>5</v>
      </c>
      <c r="Q3352">
        <v>1</v>
      </c>
      <c r="R3352">
        <v>1</v>
      </c>
      <c r="S3352">
        <v>0</v>
      </c>
      <c r="T3352">
        <v>0</v>
      </c>
      <c r="U3352" t="s">
        <v>20027</v>
      </c>
      <c r="V3352">
        <f>Tabla1[[#This Row],[Aboard]]-Tabla1[[#This Row],[Fatalities]]</f>
        <v>71</v>
      </c>
      <c r="W3352" s="50">
        <f>IFERROR(Tabla1[[#This Row],[Fatalities]]/Tabla1[[#This Row],[Aboard]],0)</f>
        <v>1.3888888888888888E-2</v>
      </c>
      <c r="X3352" s="51" t="str" cm="1">
        <f t="array" ref="X3352">_xlfn.IFS(Tabla1[[#This Row],[Porcentaje de muertes]]&lt;0.35,"LEVE",AND(Tabla1[[#This Row],[Porcentaje de muertes]]&gt;0.35,Tabla1[[#This Row],[Porcentaje de muertes]]&lt;0.65),"MEDIO",Tabla1[[#This Row],[Porcentaje de muertes]]&gt;0.65,"GRAVE")</f>
        <v>LEVE</v>
      </c>
    </row>
    <row r="3353" spans="2:24" x14ac:dyDescent="0.3">
      <c r="B3353" s="9">
        <v>3352</v>
      </c>
      <c r="C3353" s="49">
        <v>31441</v>
      </c>
      <c r="D3353" s="9">
        <f>YEAR(Tabla1[[#This Row],[Date]])</f>
        <v>1986</v>
      </c>
      <c r="E3353" s="9" t="str" cm="1">
        <f t="array" ref="E3353">IFERROR(_xlfn.IFS(AND(D3353&lt;1980,D3353&gt;=1970),"70",AND(D3353&lt;1990,D3353&gt;=1980),"80",AND(D3353&lt;2000,D3353&gt;=1990),"90",AND(D3353&lt;2010,D3353&gt;=2000),"00",AND(D3353&lt;=2019,D3353&gt;=2010),"10"),"1908-1970")</f>
        <v>80</v>
      </c>
      <c r="F3353" s="3" t="s">
        <v>28931</v>
      </c>
      <c r="G3353" t="s">
        <v>20028</v>
      </c>
      <c r="H3353" t="s">
        <v>20029</v>
      </c>
      <c r="I3353" t="s">
        <v>28931</v>
      </c>
      <c r="J3353" t="s">
        <v>20030</v>
      </c>
      <c r="K3353" t="s">
        <v>20031</v>
      </c>
      <c r="L3353" s="7" t="s">
        <v>20032</v>
      </c>
      <c r="M3353">
        <v>1547</v>
      </c>
      <c r="N3353">
        <v>21</v>
      </c>
      <c r="O3353">
        <v>18</v>
      </c>
      <c r="P3353">
        <v>3</v>
      </c>
      <c r="Q3353">
        <v>21</v>
      </c>
      <c r="R3353">
        <v>18</v>
      </c>
      <c r="S3353">
        <v>3</v>
      </c>
      <c r="T3353">
        <v>0</v>
      </c>
      <c r="U3353" t="s">
        <v>20033</v>
      </c>
      <c r="V3353">
        <f>Tabla1[[#This Row],[Aboard]]-Tabla1[[#This Row],[Fatalities]]</f>
        <v>0</v>
      </c>
      <c r="W3353" s="50">
        <f>IFERROR(Tabla1[[#This Row],[Fatalities]]/Tabla1[[#This Row],[Aboard]],0)</f>
        <v>1</v>
      </c>
      <c r="X3353" s="51" t="str" cm="1">
        <f t="array" ref="X3353">_xlfn.IFS(Tabla1[[#This Row],[Porcentaje de muertes]]&lt;0.35,"LEVE",AND(Tabla1[[#This Row],[Porcentaje de muertes]]&gt;0.35,Tabla1[[#This Row],[Porcentaje de muertes]]&lt;0.65),"MEDIO",Tabla1[[#This Row],[Porcentaje de muertes]]&gt;0.65,"GRAVE")</f>
        <v>GRAVE</v>
      </c>
    </row>
    <row r="3354" spans="2:24" x14ac:dyDescent="0.3">
      <c r="B3354" s="9">
        <v>3353</v>
      </c>
      <c r="C3354" s="49">
        <v>31534</v>
      </c>
      <c r="D3354" s="9">
        <f>YEAR(Tabla1[[#This Row],[Date]])</f>
        <v>1986</v>
      </c>
      <c r="E3354" s="9" t="str" cm="1">
        <f t="array" ref="E3354">IFERROR(_xlfn.IFS(AND(D3354&lt;1980,D3354&gt;=1970),"70",AND(D3354&lt;1990,D3354&gt;=1980),"80",AND(D3354&lt;2000,D3354&gt;=1990),"90",AND(D3354&lt;2010,D3354&gt;=2000),"00",AND(D3354&lt;=2019,D3354&gt;=2010),"10"),"1908-1970")</f>
        <v>80</v>
      </c>
      <c r="F3354" s="3" t="s">
        <v>28931</v>
      </c>
      <c r="G3354" t="s">
        <v>20034</v>
      </c>
      <c r="H3354" t="s">
        <v>20035</v>
      </c>
      <c r="I3354" t="s">
        <v>28931</v>
      </c>
      <c r="J3354" t="s">
        <v>20036</v>
      </c>
      <c r="K3354" t="s">
        <v>17386</v>
      </c>
      <c r="L3354" s="7" t="s">
        <v>20037</v>
      </c>
      <c r="M3354">
        <v>1045</v>
      </c>
      <c r="N3354">
        <v>14</v>
      </c>
      <c r="O3354">
        <v>10</v>
      </c>
      <c r="P3354">
        <v>4</v>
      </c>
      <c r="Q3354">
        <v>2</v>
      </c>
      <c r="R3354">
        <v>2</v>
      </c>
      <c r="S3354">
        <v>0</v>
      </c>
      <c r="T3354">
        <v>0</v>
      </c>
      <c r="U3354" t="s">
        <v>20038</v>
      </c>
      <c r="V3354">
        <f>Tabla1[[#This Row],[Aboard]]-Tabla1[[#This Row],[Fatalities]]</f>
        <v>12</v>
      </c>
      <c r="W3354" s="50">
        <f>IFERROR(Tabla1[[#This Row],[Fatalities]]/Tabla1[[#This Row],[Aboard]],0)</f>
        <v>0.14285714285714285</v>
      </c>
      <c r="X3354" s="51" t="str" cm="1">
        <f t="array" ref="X3354">_xlfn.IFS(Tabla1[[#This Row],[Porcentaje de muertes]]&lt;0.35,"LEVE",AND(Tabla1[[#This Row],[Porcentaje de muertes]]&gt;0.35,Tabla1[[#This Row],[Porcentaje de muertes]]&lt;0.65),"MEDIO",Tabla1[[#This Row],[Porcentaje de muertes]]&gt;0.65,"GRAVE")</f>
        <v>LEVE</v>
      </c>
    </row>
    <row r="3355" spans="2:24" x14ac:dyDescent="0.3">
      <c r="B3355" s="9">
        <v>3354</v>
      </c>
      <c r="C3355" s="49">
        <v>31459</v>
      </c>
      <c r="D3355" s="9">
        <f>YEAR(Tabla1[[#This Row],[Date]])</f>
        <v>1986</v>
      </c>
      <c r="E3355" s="9" t="str" cm="1">
        <f t="array" ref="E3355">IFERROR(_xlfn.IFS(AND(D3355&lt;1980,D3355&gt;=1970),"70",AND(D3355&lt;1990,D3355&gt;=1980),"80",AND(D3355&lt;2000,D3355&gt;=1990),"90",AND(D3355&lt;2010,D3355&gt;=2000),"00",AND(D3355&lt;=2019,D3355&gt;=2010),"10"),"1908-1970")</f>
        <v>80</v>
      </c>
      <c r="F3355" s="3">
        <v>0.78472222222222221</v>
      </c>
      <c r="G3355" t="s">
        <v>20039</v>
      </c>
      <c r="H3355" t="s">
        <v>15040</v>
      </c>
      <c r="I3355" t="s">
        <v>28931</v>
      </c>
      <c r="J3355" t="s">
        <v>20040</v>
      </c>
      <c r="K3355" t="s">
        <v>20041</v>
      </c>
      <c r="L3355" s="7" t="s">
        <v>20042</v>
      </c>
      <c r="M3355" t="s">
        <v>20043</v>
      </c>
      <c r="N3355">
        <v>13</v>
      </c>
      <c r="O3355">
        <v>6</v>
      </c>
      <c r="P3355">
        <v>7</v>
      </c>
      <c r="Q3355">
        <v>13</v>
      </c>
      <c r="R3355">
        <v>6</v>
      </c>
      <c r="S3355">
        <v>7</v>
      </c>
      <c r="T3355">
        <v>0</v>
      </c>
      <c r="U3355" t="s">
        <v>20044</v>
      </c>
      <c r="V3355">
        <f>Tabla1[[#This Row],[Aboard]]-Tabla1[[#This Row],[Fatalities]]</f>
        <v>0</v>
      </c>
      <c r="W3355" s="50">
        <f>IFERROR(Tabla1[[#This Row],[Fatalities]]/Tabla1[[#This Row],[Aboard]],0)</f>
        <v>1</v>
      </c>
      <c r="X3355" s="51" t="str" cm="1">
        <f t="array" ref="X3355">_xlfn.IFS(Tabla1[[#This Row],[Porcentaje de muertes]]&lt;0.35,"LEVE",AND(Tabla1[[#This Row],[Porcentaje de muertes]]&gt;0.35,Tabla1[[#This Row],[Porcentaje de muertes]]&lt;0.65),"MEDIO",Tabla1[[#This Row],[Porcentaje de muertes]]&gt;0.65,"GRAVE")</f>
        <v>GRAVE</v>
      </c>
    </row>
    <row r="3356" spans="2:24" x14ac:dyDescent="0.3">
      <c r="B3356" s="9">
        <v>3355</v>
      </c>
      <c r="C3356" s="49">
        <v>31446</v>
      </c>
      <c r="D3356" s="9">
        <f>YEAR(Tabla1[[#This Row],[Date]])</f>
        <v>1986</v>
      </c>
      <c r="E3356" s="9" t="str" cm="1">
        <f t="array" ref="E3356">IFERROR(_xlfn.IFS(AND(D3356&lt;1980,D3356&gt;=1970),"70",AND(D3356&lt;1990,D3356&gt;=1980),"80",AND(D3356&lt;2000,D3356&gt;=1990),"90",AND(D3356&lt;2010,D3356&gt;=2000),"00",AND(D3356&lt;=2019,D3356&gt;=2010),"10"),"1908-1970")</f>
        <v>80</v>
      </c>
      <c r="F3356" s="3">
        <v>0.12708333333333333</v>
      </c>
      <c r="G3356" t="s">
        <v>20045</v>
      </c>
      <c r="H3356" t="s">
        <v>6541</v>
      </c>
      <c r="I3356" t="s">
        <v>28931</v>
      </c>
      <c r="J3356" t="s">
        <v>20046</v>
      </c>
      <c r="K3356" t="s">
        <v>14666</v>
      </c>
      <c r="L3356" s="7" t="s">
        <v>20047</v>
      </c>
      <c r="M3356">
        <v>7304108</v>
      </c>
      <c r="N3356">
        <v>38</v>
      </c>
      <c r="O3356">
        <v>34</v>
      </c>
      <c r="P3356">
        <v>4</v>
      </c>
      <c r="Q3356">
        <v>38</v>
      </c>
      <c r="R3356">
        <v>34</v>
      </c>
      <c r="S3356">
        <v>4</v>
      </c>
      <c r="T3356">
        <v>0</v>
      </c>
      <c r="U3356" t="s">
        <v>20048</v>
      </c>
      <c r="V3356">
        <f>Tabla1[[#This Row],[Aboard]]-Tabla1[[#This Row],[Fatalities]]</f>
        <v>0</v>
      </c>
      <c r="W3356" s="50">
        <f>IFERROR(Tabla1[[#This Row],[Fatalities]]/Tabla1[[#This Row],[Aboard]],0)</f>
        <v>1</v>
      </c>
      <c r="X3356" s="51" t="str" cm="1">
        <f t="array" ref="X3356">_xlfn.IFS(Tabla1[[#This Row],[Porcentaje de muertes]]&lt;0.35,"LEVE",AND(Tabla1[[#This Row],[Porcentaje de muertes]]&gt;0.35,Tabla1[[#This Row],[Porcentaje de muertes]]&lt;0.65),"MEDIO",Tabla1[[#This Row],[Porcentaje de muertes]]&gt;0.65,"GRAVE")</f>
        <v>GRAVE</v>
      </c>
    </row>
    <row r="3357" spans="2:24" x14ac:dyDescent="0.3">
      <c r="B3357" s="9">
        <v>3356</v>
      </c>
      <c r="C3357" s="49">
        <v>31484</v>
      </c>
      <c r="D3357" s="9">
        <f>YEAR(Tabla1[[#This Row],[Date]])</f>
        <v>1986</v>
      </c>
      <c r="E3357" s="9" t="str" cm="1">
        <f t="array" ref="E3357">IFERROR(_xlfn.IFS(AND(D3357&lt;1980,D3357&gt;=1970),"70",AND(D3357&lt;1990,D3357&gt;=1980),"80",AND(D3357&lt;2000,D3357&gt;=1990),"90",AND(D3357&lt;2010,D3357&gt;=2000),"00",AND(D3357&lt;=2019,D3357&gt;=2010),"10"),"1908-1970")</f>
        <v>80</v>
      </c>
      <c r="F3357" s="3">
        <v>0.92708333333333337</v>
      </c>
      <c r="G3357" t="s">
        <v>20049</v>
      </c>
      <c r="H3357" t="s">
        <v>20050</v>
      </c>
      <c r="I3357">
        <v>1746</v>
      </c>
      <c r="J3357" t="s">
        <v>20051</v>
      </c>
      <c r="K3357" t="s">
        <v>18953</v>
      </c>
      <c r="L3357" s="7" t="s">
        <v>20052</v>
      </c>
      <c r="M3357">
        <v>110370</v>
      </c>
      <c r="N3357">
        <v>9</v>
      </c>
      <c r="O3357">
        <v>7</v>
      </c>
      <c r="P3357">
        <v>2</v>
      </c>
      <c r="Q3357">
        <v>3</v>
      </c>
      <c r="R3357">
        <v>2</v>
      </c>
      <c r="S3357">
        <v>1</v>
      </c>
      <c r="T3357">
        <v>0</v>
      </c>
      <c r="U3357" t="s">
        <v>20053</v>
      </c>
      <c r="V3357">
        <f>Tabla1[[#This Row],[Aboard]]-Tabla1[[#This Row],[Fatalities]]</f>
        <v>6</v>
      </c>
      <c r="W3357" s="50">
        <f>IFERROR(Tabla1[[#This Row],[Fatalities]]/Tabla1[[#This Row],[Aboard]],0)</f>
        <v>0.33333333333333331</v>
      </c>
      <c r="X3357" s="51" t="str" cm="1">
        <f t="array" ref="X3357">_xlfn.IFS(Tabla1[[#This Row],[Porcentaje de muertes]]&lt;0.35,"LEVE",AND(Tabla1[[#This Row],[Porcentaje de muertes]]&gt;0.35,Tabla1[[#This Row],[Porcentaje de muertes]]&lt;0.65),"MEDIO",Tabla1[[#This Row],[Porcentaje de muertes]]&gt;0.65,"GRAVE")</f>
        <v>LEVE</v>
      </c>
    </row>
    <row r="3358" spans="2:24" x14ac:dyDescent="0.3">
      <c r="B3358" s="9">
        <v>3357</v>
      </c>
      <c r="C3358" s="49">
        <v>31491</v>
      </c>
      <c r="D3358" s="9">
        <f>YEAR(Tabla1[[#This Row],[Date]])</f>
        <v>1986</v>
      </c>
      <c r="E3358" s="9" t="str" cm="1">
        <f t="array" ref="E3358">IFERROR(_xlfn.IFS(AND(D3358&lt;1980,D3358&gt;=1970),"70",AND(D3358&lt;1990,D3358&gt;=1980),"80",AND(D3358&lt;2000,D3358&gt;=1990),"90",AND(D3358&lt;2010,D3358&gt;=2000),"00",AND(D3358&lt;=2019,D3358&gt;=2010),"10"),"1908-1970")</f>
        <v>80</v>
      </c>
      <c r="F3358" s="3" t="s">
        <v>28931</v>
      </c>
      <c r="G3358" t="s">
        <v>20054</v>
      </c>
      <c r="H3358" t="s">
        <v>16296</v>
      </c>
      <c r="I3358" t="s">
        <v>28931</v>
      </c>
      <c r="J3358" t="s">
        <v>20055</v>
      </c>
      <c r="K3358" t="s">
        <v>18608</v>
      </c>
      <c r="L3358" s="7" t="s">
        <v>20056</v>
      </c>
      <c r="M3358" t="s">
        <v>20057</v>
      </c>
      <c r="N3358">
        <v>16</v>
      </c>
      <c r="O3358">
        <v>14</v>
      </c>
      <c r="P3358">
        <v>2</v>
      </c>
      <c r="Q3358">
        <v>2</v>
      </c>
      <c r="R3358">
        <v>0</v>
      </c>
      <c r="S3358">
        <v>2</v>
      </c>
      <c r="T3358">
        <v>0</v>
      </c>
      <c r="U3358" t="s">
        <v>20058</v>
      </c>
      <c r="V3358">
        <f>Tabla1[[#This Row],[Aboard]]-Tabla1[[#This Row],[Fatalities]]</f>
        <v>14</v>
      </c>
      <c r="W3358" s="50">
        <f>IFERROR(Tabla1[[#This Row],[Fatalities]]/Tabla1[[#This Row],[Aboard]],0)</f>
        <v>0.125</v>
      </c>
      <c r="X3358" s="51" t="str" cm="1">
        <f t="array" ref="X3358">_xlfn.IFS(Tabla1[[#This Row],[Porcentaje de muertes]]&lt;0.35,"LEVE",AND(Tabla1[[#This Row],[Porcentaje de muertes]]&gt;0.35,Tabla1[[#This Row],[Porcentaje de muertes]]&lt;0.65),"MEDIO",Tabla1[[#This Row],[Porcentaje de muertes]]&gt;0.65,"GRAVE")</f>
        <v>LEVE</v>
      </c>
    </row>
    <row r="3359" spans="2:24" x14ac:dyDescent="0.3">
      <c r="B3359" s="9">
        <v>3358</v>
      </c>
      <c r="C3359" s="49">
        <v>31495</v>
      </c>
      <c r="D3359" s="9">
        <f>YEAR(Tabla1[[#This Row],[Date]])</f>
        <v>1986</v>
      </c>
      <c r="E3359" s="9" t="str" cm="1">
        <f t="array" ref="E3359">IFERROR(_xlfn.IFS(AND(D3359&lt;1980,D3359&gt;=1970),"70",AND(D3359&lt;1990,D3359&gt;=1980),"80",AND(D3359&lt;2000,D3359&gt;=1990),"90",AND(D3359&lt;2010,D3359&gt;=2000),"00",AND(D3359&lt;=2019,D3359&gt;=2010),"10"),"1908-1970")</f>
        <v>80</v>
      </c>
      <c r="F3359" s="3">
        <v>0.41319444444444442</v>
      </c>
      <c r="G3359" t="s">
        <v>19703</v>
      </c>
      <c r="H3359" t="s">
        <v>20059</v>
      </c>
      <c r="I3359" t="s">
        <v>28931</v>
      </c>
      <c r="J3359" t="s">
        <v>20060</v>
      </c>
      <c r="K3359" t="s">
        <v>12223</v>
      </c>
      <c r="L3359" s="7" t="s">
        <v>20061</v>
      </c>
      <c r="M3359">
        <v>400</v>
      </c>
      <c r="N3359">
        <v>5</v>
      </c>
      <c r="O3359">
        <v>4</v>
      </c>
      <c r="P3359">
        <v>1</v>
      </c>
      <c r="Q3359">
        <v>4</v>
      </c>
      <c r="R3359">
        <v>3</v>
      </c>
      <c r="S3359">
        <v>1</v>
      </c>
      <c r="T3359">
        <v>0</v>
      </c>
      <c r="U3359" t="s">
        <v>20062</v>
      </c>
      <c r="V3359">
        <f>Tabla1[[#This Row],[Aboard]]-Tabla1[[#This Row],[Fatalities]]</f>
        <v>1</v>
      </c>
      <c r="W3359" s="50">
        <f>IFERROR(Tabla1[[#This Row],[Fatalities]]/Tabla1[[#This Row],[Aboard]],0)</f>
        <v>0.8</v>
      </c>
      <c r="X3359" s="51" t="str" cm="1">
        <f t="array" ref="X3359">_xlfn.IFS(Tabla1[[#This Row],[Porcentaje de muertes]]&lt;0.35,"LEVE",AND(Tabla1[[#This Row],[Porcentaje de muertes]]&gt;0.35,Tabla1[[#This Row],[Porcentaje de muertes]]&lt;0.65),"MEDIO",Tabla1[[#This Row],[Porcentaje de muertes]]&gt;0.65,"GRAVE")</f>
        <v>GRAVE</v>
      </c>
    </row>
    <row r="3360" spans="2:24" x14ac:dyDescent="0.3">
      <c r="B3360" s="9">
        <v>3359</v>
      </c>
      <c r="C3360" s="49">
        <v>31496</v>
      </c>
      <c r="D3360" s="9">
        <f>YEAR(Tabla1[[#This Row],[Date]])</f>
        <v>1986</v>
      </c>
      <c r="E3360" s="9" t="str" cm="1">
        <f t="array" ref="E3360">IFERROR(_xlfn.IFS(AND(D3360&lt;1980,D3360&gt;=1970),"70",AND(D3360&lt;1990,D3360&gt;=1980),"80",AND(D3360&lt;2000,D3360&gt;=1990),"90",AND(D3360&lt;2010,D3360&gt;=2000),"00",AND(D3360&lt;=2019,D3360&gt;=2010),"10"),"1908-1970")</f>
        <v>80</v>
      </c>
      <c r="F3360" s="3" t="s">
        <v>28931</v>
      </c>
      <c r="G3360" t="s">
        <v>20063</v>
      </c>
      <c r="H3360" t="s">
        <v>20064</v>
      </c>
      <c r="I3360" t="s">
        <v>28931</v>
      </c>
      <c r="J3360" t="s">
        <v>28931</v>
      </c>
      <c r="K3360" t="s">
        <v>20065</v>
      </c>
      <c r="L3360" s="7" t="s">
        <v>20066</v>
      </c>
      <c r="M3360">
        <v>1400103</v>
      </c>
      <c r="N3360">
        <v>9</v>
      </c>
      <c r="O3360">
        <v>3</v>
      </c>
      <c r="P3360">
        <v>6</v>
      </c>
      <c r="Q3360">
        <v>9</v>
      </c>
      <c r="R3360">
        <v>3</v>
      </c>
      <c r="S3360">
        <v>6</v>
      </c>
      <c r="T3360">
        <v>0</v>
      </c>
      <c r="U3360" t="s">
        <v>20067</v>
      </c>
      <c r="V3360">
        <f>Tabla1[[#This Row],[Aboard]]-Tabla1[[#This Row],[Fatalities]]</f>
        <v>0</v>
      </c>
      <c r="W3360" s="50">
        <f>IFERROR(Tabla1[[#This Row],[Fatalities]]/Tabla1[[#This Row],[Aboard]],0)</f>
        <v>1</v>
      </c>
      <c r="X3360" s="51" t="str" cm="1">
        <f t="array" ref="X3360">_xlfn.IFS(Tabla1[[#This Row],[Porcentaje de muertes]]&lt;0.35,"LEVE",AND(Tabla1[[#This Row],[Porcentaje de muertes]]&gt;0.35,Tabla1[[#This Row],[Porcentaje de muertes]]&lt;0.65),"MEDIO",Tabla1[[#This Row],[Porcentaje de muertes]]&gt;0.65,"GRAVE")</f>
        <v>GRAVE</v>
      </c>
    </row>
    <row r="3361" spans="2:24" x14ac:dyDescent="0.3">
      <c r="B3361" s="9">
        <v>3360</v>
      </c>
      <c r="C3361" s="49">
        <v>31498</v>
      </c>
      <c r="D3361" s="9">
        <f>YEAR(Tabla1[[#This Row],[Date]])</f>
        <v>1986</v>
      </c>
      <c r="E3361" s="9" t="str" cm="1">
        <f t="array" ref="E3361">IFERROR(_xlfn.IFS(AND(D3361&lt;1980,D3361&gt;=1970),"70",AND(D3361&lt;1990,D3361&gt;=1980),"80",AND(D3361&lt;2000,D3361&gt;=1990),"90",AND(D3361&lt;2010,D3361&gt;=2000),"00",AND(D3361&lt;=2019,D3361&gt;=2010),"10"),"1908-1970")</f>
        <v>80</v>
      </c>
      <c r="F3361" s="3" t="s">
        <v>28931</v>
      </c>
      <c r="G3361" t="s">
        <v>20068</v>
      </c>
      <c r="H3361" t="s">
        <v>13495</v>
      </c>
      <c r="I3361" t="s">
        <v>28931</v>
      </c>
      <c r="J3361" t="s">
        <v>28931</v>
      </c>
      <c r="K3361" t="s">
        <v>20069</v>
      </c>
      <c r="L3361" s="7" t="s">
        <v>28931</v>
      </c>
      <c r="M3361" t="s">
        <v>28931</v>
      </c>
      <c r="N3361">
        <v>0</v>
      </c>
      <c r="O3361">
        <v>0</v>
      </c>
      <c r="P3361">
        <v>0</v>
      </c>
      <c r="Q3361">
        <v>0</v>
      </c>
      <c r="R3361">
        <v>0</v>
      </c>
      <c r="S3361">
        <v>0</v>
      </c>
      <c r="T3361">
        <v>35</v>
      </c>
      <c r="U3361" t="s">
        <v>20070</v>
      </c>
      <c r="V3361">
        <f>Tabla1[[#This Row],[Aboard]]-Tabla1[[#This Row],[Fatalities]]</f>
        <v>0</v>
      </c>
      <c r="W3361" s="50">
        <f>IFERROR(Tabla1[[#This Row],[Fatalities]]/Tabla1[[#This Row],[Aboard]],0)</f>
        <v>0</v>
      </c>
      <c r="X3361" s="51" t="str" cm="1">
        <f t="array" ref="X3361">_xlfn.IFS(Tabla1[[#This Row],[Porcentaje de muertes]]&lt;0.35,"LEVE",AND(Tabla1[[#This Row],[Porcentaje de muertes]]&gt;0.35,Tabla1[[#This Row],[Porcentaje de muertes]]&lt;0.65),"MEDIO",Tabla1[[#This Row],[Porcentaje de muertes]]&gt;0.65,"GRAVE")</f>
        <v>LEVE</v>
      </c>
    </row>
    <row r="3362" spans="2:24" x14ac:dyDescent="0.3">
      <c r="B3362" s="9">
        <v>3361</v>
      </c>
      <c r="C3362" s="49">
        <v>31501</v>
      </c>
      <c r="D3362" s="9">
        <f>YEAR(Tabla1[[#This Row],[Date]])</f>
        <v>1986</v>
      </c>
      <c r="E3362" s="9" t="str" cm="1">
        <f t="array" ref="E3362">IFERROR(_xlfn.IFS(AND(D3362&lt;1980,D3362&gt;=1970),"70",AND(D3362&lt;1990,D3362&gt;=1980),"80",AND(D3362&lt;2000,D3362&gt;=1990),"90",AND(D3362&lt;2010,D3362&gt;=2000),"00",AND(D3362&lt;=2019,D3362&gt;=2010),"10"),"1908-1970")</f>
        <v>80</v>
      </c>
      <c r="F3362" s="3">
        <v>0.42708333333333331</v>
      </c>
      <c r="G3362" t="s">
        <v>20071</v>
      </c>
      <c r="H3362" t="s">
        <v>20072</v>
      </c>
      <c r="I3362" t="s">
        <v>20073</v>
      </c>
      <c r="J3362" t="s">
        <v>20074</v>
      </c>
      <c r="K3362" t="s">
        <v>17904</v>
      </c>
      <c r="L3362" s="7">
        <v>42</v>
      </c>
      <c r="M3362" t="s">
        <v>28931</v>
      </c>
      <c r="N3362">
        <v>54</v>
      </c>
      <c r="O3362">
        <v>51</v>
      </c>
      <c r="P3362">
        <v>3</v>
      </c>
      <c r="Q3362">
        <v>49</v>
      </c>
      <c r="R3362">
        <v>46</v>
      </c>
      <c r="S3362">
        <v>3</v>
      </c>
      <c r="T3362">
        <v>0</v>
      </c>
      <c r="U3362" t="s">
        <v>20075</v>
      </c>
      <c r="V3362">
        <f>Tabla1[[#This Row],[Aboard]]-Tabla1[[#This Row],[Fatalities]]</f>
        <v>5</v>
      </c>
      <c r="W3362" s="50">
        <f>IFERROR(Tabla1[[#This Row],[Fatalities]]/Tabla1[[#This Row],[Aboard]],0)</f>
        <v>0.90740740740740744</v>
      </c>
      <c r="X3362" s="51" t="str" cm="1">
        <f t="array" ref="X3362">_xlfn.IFS(Tabla1[[#This Row],[Porcentaje de muertes]]&lt;0.35,"LEVE",AND(Tabla1[[#This Row],[Porcentaje de muertes]]&gt;0.35,Tabla1[[#This Row],[Porcentaje de muertes]]&lt;0.65),"MEDIO",Tabla1[[#This Row],[Porcentaje de muertes]]&gt;0.65,"GRAVE")</f>
        <v>GRAVE</v>
      </c>
    </row>
    <row r="3363" spans="2:24" x14ac:dyDescent="0.3">
      <c r="B3363" s="9">
        <v>3362</v>
      </c>
      <c r="C3363" s="49">
        <v>31502</v>
      </c>
      <c r="D3363" s="9">
        <f>YEAR(Tabla1[[#This Row],[Date]])</f>
        <v>1986</v>
      </c>
      <c r="E3363" s="9" t="str" cm="1">
        <f t="array" ref="E3363">IFERROR(_xlfn.IFS(AND(D3363&lt;1980,D3363&gt;=1970),"70",AND(D3363&lt;1990,D3363&gt;=1980),"80",AND(D3363&lt;2000,D3363&gt;=1990),"90",AND(D3363&lt;2010,D3363&gt;=2000),"00",AND(D3363&lt;=2019,D3363&gt;=2010),"10"),"1908-1970")</f>
        <v>80</v>
      </c>
      <c r="F3363" s="3">
        <v>0.38263888888888892</v>
      </c>
      <c r="G3363" t="s">
        <v>20076</v>
      </c>
      <c r="H3363" t="s">
        <v>5740</v>
      </c>
      <c r="I3363">
        <v>940</v>
      </c>
      <c r="J3363" t="s">
        <v>20077</v>
      </c>
      <c r="K3363" t="s">
        <v>20078</v>
      </c>
      <c r="L3363" s="7" t="s">
        <v>20079</v>
      </c>
      <c r="M3363" t="s">
        <v>20080</v>
      </c>
      <c r="N3363">
        <v>167</v>
      </c>
      <c r="O3363">
        <v>159</v>
      </c>
      <c r="P3363">
        <v>8</v>
      </c>
      <c r="Q3363">
        <v>167</v>
      </c>
      <c r="R3363">
        <v>159</v>
      </c>
      <c r="S3363">
        <v>8</v>
      </c>
      <c r="T3363">
        <v>0</v>
      </c>
      <c r="U3363" t="s">
        <v>20081</v>
      </c>
      <c r="V3363">
        <f>Tabla1[[#This Row],[Aboard]]-Tabla1[[#This Row],[Fatalities]]</f>
        <v>0</v>
      </c>
      <c r="W3363" s="50">
        <f>IFERROR(Tabla1[[#This Row],[Fatalities]]/Tabla1[[#This Row],[Aboard]],0)</f>
        <v>1</v>
      </c>
      <c r="X3363" s="51" t="str" cm="1">
        <f t="array" ref="X3363">_xlfn.IFS(Tabla1[[#This Row],[Porcentaje de muertes]]&lt;0.35,"LEVE",AND(Tabla1[[#This Row],[Porcentaje de muertes]]&gt;0.35,Tabla1[[#This Row],[Porcentaje de muertes]]&lt;0.65),"MEDIO",Tabla1[[#This Row],[Porcentaje de muertes]]&gt;0.65,"GRAVE")</f>
        <v>GRAVE</v>
      </c>
    </row>
    <row r="3364" spans="2:24" x14ac:dyDescent="0.3">
      <c r="B3364" s="9">
        <v>3363</v>
      </c>
      <c r="C3364" s="49">
        <v>31447</v>
      </c>
      <c r="D3364" s="9">
        <f>YEAR(Tabla1[[#This Row],[Date]])</f>
        <v>1986</v>
      </c>
      <c r="E3364" s="9" t="str" cm="1">
        <f t="array" ref="E3364">IFERROR(_xlfn.IFS(AND(D3364&lt;1980,D3364&gt;=1970),"70",AND(D3364&lt;1990,D3364&gt;=1980),"80",AND(D3364&lt;2000,D3364&gt;=1990),"90",AND(D3364&lt;2010,D3364&gt;=2000),"00",AND(D3364&lt;=2019,D3364&gt;=2010),"10"),"1908-1970")</f>
        <v>80</v>
      </c>
      <c r="F3364" s="3">
        <v>0.54513888888888895</v>
      </c>
      <c r="G3364" t="s">
        <v>20082</v>
      </c>
      <c r="H3364" t="s">
        <v>10166</v>
      </c>
      <c r="I3364">
        <v>840</v>
      </c>
      <c r="J3364" t="s">
        <v>9677</v>
      </c>
      <c r="K3364" t="s">
        <v>18530</v>
      </c>
      <c r="L3364" s="7" t="s">
        <v>20083</v>
      </c>
      <c r="M3364" t="s">
        <v>20084</v>
      </c>
      <c r="N3364">
        <v>121</v>
      </c>
      <c r="O3364">
        <v>114</v>
      </c>
      <c r="P3364">
        <v>7</v>
      </c>
      <c r="Q3364">
        <v>4</v>
      </c>
      <c r="R3364">
        <v>4</v>
      </c>
      <c r="S3364">
        <v>0</v>
      </c>
      <c r="T3364">
        <v>0</v>
      </c>
      <c r="U3364" t="s">
        <v>20085</v>
      </c>
      <c r="V3364">
        <f>Tabla1[[#This Row],[Aboard]]-Tabla1[[#This Row],[Fatalities]]</f>
        <v>117</v>
      </c>
      <c r="W3364" s="50">
        <f>IFERROR(Tabla1[[#This Row],[Fatalities]]/Tabla1[[#This Row],[Aboard]],0)</f>
        <v>3.3057851239669422E-2</v>
      </c>
      <c r="X3364" s="51" t="str" cm="1">
        <f t="array" ref="X3364">_xlfn.IFS(Tabla1[[#This Row],[Porcentaje de muertes]]&lt;0.35,"LEVE",AND(Tabla1[[#This Row],[Porcentaje de muertes]]&gt;0.35,Tabla1[[#This Row],[Porcentaje de muertes]]&lt;0.65),"MEDIO",Tabla1[[#This Row],[Porcentaje de muertes]]&gt;0.65,"GRAVE")</f>
        <v>LEVE</v>
      </c>
    </row>
    <row r="3365" spans="2:24" x14ac:dyDescent="0.3">
      <c r="B3365" s="9">
        <v>3364</v>
      </c>
      <c r="C3365" s="49">
        <v>31447</v>
      </c>
      <c r="D3365" s="9">
        <f>YEAR(Tabla1[[#This Row],[Date]])</f>
        <v>1986</v>
      </c>
      <c r="E3365" s="9" t="str" cm="1">
        <f t="array" ref="E3365">IFERROR(_xlfn.IFS(AND(D3365&lt;1980,D3365&gt;=1970),"70",AND(D3365&lt;1990,D3365&gt;=1980),"80",AND(D3365&lt;2000,D3365&gt;=1990),"90",AND(D3365&lt;2010,D3365&gt;=2000),"00",AND(D3365&lt;=2019,D3365&gt;=2010),"10"),"1908-1970")</f>
        <v>80</v>
      </c>
      <c r="F3365" s="3" t="s">
        <v>28931</v>
      </c>
      <c r="G3365" t="s">
        <v>20086</v>
      </c>
      <c r="H3365" t="s">
        <v>7987</v>
      </c>
      <c r="I3365" t="s">
        <v>28931</v>
      </c>
      <c r="J3365" t="s">
        <v>28931</v>
      </c>
      <c r="K3365" t="s">
        <v>20087</v>
      </c>
      <c r="L3365" s="7" t="s">
        <v>20088</v>
      </c>
      <c r="M3365">
        <v>4161</v>
      </c>
      <c r="N3365">
        <v>11</v>
      </c>
      <c r="O3365">
        <v>0</v>
      </c>
      <c r="P3365">
        <v>11</v>
      </c>
      <c r="Q3365">
        <v>11</v>
      </c>
      <c r="R3365">
        <v>0</v>
      </c>
      <c r="S3365">
        <v>11</v>
      </c>
      <c r="T3365">
        <v>0</v>
      </c>
      <c r="U3365" t="s">
        <v>20089</v>
      </c>
      <c r="V3365">
        <f>Tabla1[[#This Row],[Aboard]]-Tabla1[[#This Row],[Fatalities]]</f>
        <v>0</v>
      </c>
      <c r="W3365" s="50">
        <f>IFERROR(Tabla1[[#This Row],[Fatalities]]/Tabla1[[#This Row],[Aboard]],0)</f>
        <v>1</v>
      </c>
      <c r="X3365" s="51" t="str" cm="1">
        <f t="array" ref="X3365">_xlfn.IFS(Tabla1[[#This Row],[Porcentaje de muertes]]&lt;0.35,"LEVE",AND(Tabla1[[#This Row],[Porcentaje de muertes]]&gt;0.35,Tabla1[[#This Row],[Porcentaje de muertes]]&lt;0.65),"MEDIO",Tabla1[[#This Row],[Porcentaje de muertes]]&gt;0.65,"GRAVE")</f>
        <v>GRAVE</v>
      </c>
    </row>
    <row r="3366" spans="2:24" x14ac:dyDescent="0.3">
      <c r="B3366" s="9">
        <v>3365</v>
      </c>
      <c r="C3366" s="49">
        <v>31529</v>
      </c>
      <c r="D3366" s="9">
        <f>YEAR(Tabla1[[#This Row],[Date]])</f>
        <v>1986</v>
      </c>
      <c r="E3366" s="9" t="str" cm="1">
        <f t="array" ref="E3366">IFERROR(_xlfn.IFS(AND(D3366&lt;1980,D3366&gt;=1970),"70",AND(D3366&lt;1990,D3366&gt;=1980),"80",AND(D3366&lt;2000,D3366&gt;=1990),"90",AND(D3366&lt;2010,D3366&gt;=2000),"00",AND(D3366&lt;=2019,D3366&gt;=2010),"10"),"1908-1970")</f>
        <v>80</v>
      </c>
      <c r="F3366" s="3">
        <v>0.3576388888888889</v>
      </c>
      <c r="G3366" t="s">
        <v>20090</v>
      </c>
      <c r="H3366" t="s">
        <v>19047</v>
      </c>
      <c r="I3366" t="s">
        <v>28931</v>
      </c>
      <c r="J3366" t="s">
        <v>20091</v>
      </c>
      <c r="K3366" t="s">
        <v>16680</v>
      </c>
      <c r="L3366" s="7" t="s">
        <v>20092</v>
      </c>
      <c r="M3366">
        <v>780</v>
      </c>
      <c r="N3366">
        <v>13</v>
      </c>
      <c r="O3366">
        <v>11</v>
      </c>
      <c r="P3366">
        <v>2</v>
      </c>
      <c r="Q3366">
        <v>13</v>
      </c>
      <c r="R3366">
        <v>11</v>
      </c>
      <c r="S3366">
        <v>2</v>
      </c>
      <c r="T3366">
        <v>0</v>
      </c>
      <c r="U3366" t="s">
        <v>20093</v>
      </c>
      <c r="V3366">
        <f>Tabla1[[#This Row],[Aboard]]-Tabla1[[#This Row],[Fatalities]]</f>
        <v>0</v>
      </c>
      <c r="W3366" s="50">
        <f>IFERROR(Tabla1[[#This Row],[Fatalities]]/Tabla1[[#This Row],[Aboard]],0)</f>
        <v>1</v>
      </c>
      <c r="X3366" s="51" t="str" cm="1">
        <f t="array" ref="X3366">_xlfn.IFS(Tabla1[[#This Row],[Porcentaje de muertes]]&lt;0.35,"LEVE",AND(Tabla1[[#This Row],[Porcentaje de muertes]]&gt;0.35,Tabla1[[#This Row],[Porcentaje de muertes]]&lt;0.65),"MEDIO",Tabla1[[#This Row],[Porcentaje de muertes]]&gt;0.65,"GRAVE")</f>
        <v>GRAVE</v>
      </c>
    </row>
    <row r="3367" spans="2:24" x14ac:dyDescent="0.3">
      <c r="B3367" s="9">
        <v>3366</v>
      </c>
      <c r="C3367" s="49">
        <v>31417</v>
      </c>
      <c r="D3367" s="9">
        <f>YEAR(Tabla1[[#This Row],[Date]])</f>
        <v>1986</v>
      </c>
      <c r="E3367" s="9" t="str" cm="1">
        <f t="array" ref="E3367">IFERROR(_xlfn.IFS(AND(D3367&lt;1980,D3367&gt;=1970),"70",AND(D3367&lt;1990,D3367&gt;=1980),"80",AND(D3367&lt;2000,D3367&gt;=1990),"90",AND(D3367&lt;2010,D3367&gt;=2000),"00",AND(D3367&lt;=2019,D3367&gt;=2010),"10"),"1908-1970")</f>
        <v>80</v>
      </c>
      <c r="F3367" s="3">
        <v>0.2722222222222222</v>
      </c>
      <c r="G3367" t="s">
        <v>20094</v>
      </c>
      <c r="H3367" t="s">
        <v>20095</v>
      </c>
      <c r="I3367" t="s">
        <v>28931</v>
      </c>
      <c r="J3367" t="s">
        <v>20096</v>
      </c>
      <c r="K3367" t="s">
        <v>9230</v>
      </c>
      <c r="L3367" s="7" t="s">
        <v>20097</v>
      </c>
      <c r="M3367">
        <v>45078</v>
      </c>
      <c r="N3367">
        <v>37</v>
      </c>
      <c r="O3367">
        <v>33</v>
      </c>
      <c r="P3367">
        <v>4</v>
      </c>
      <c r="Q3367">
        <v>37</v>
      </c>
      <c r="R3367">
        <v>33</v>
      </c>
      <c r="S3367">
        <v>4</v>
      </c>
      <c r="T3367">
        <v>0</v>
      </c>
      <c r="U3367" t="s">
        <v>20098</v>
      </c>
      <c r="V3367">
        <f>Tabla1[[#This Row],[Aboard]]-Tabla1[[#This Row],[Fatalities]]</f>
        <v>0</v>
      </c>
      <c r="W3367" s="50">
        <f>IFERROR(Tabla1[[#This Row],[Fatalities]]/Tabla1[[#This Row],[Aboard]],0)</f>
        <v>1</v>
      </c>
      <c r="X3367" s="51" t="str" cm="1">
        <f t="array" ref="X3367">_xlfn.IFS(Tabla1[[#This Row],[Porcentaje de muertes]]&lt;0.35,"LEVE",AND(Tabla1[[#This Row],[Porcentaje de muertes]]&gt;0.35,Tabla1[[#This Row],[Porcentaje de muertes]]&lt;0.65),"MEDIO",Tabla1[[#This Row],[Porcentaje de muertes]]&gt;0.65,"GRAVE")</f>
        <v>GRAVE</v>
      </c>
    </row>
    <row r="3368" spans="2:24" x14ac:dyDescent="0.3">
      <c r="B3368" s="9">
        <v>3367</v>
      </c>
      <c r="C3368" s="49">
        <v>31476</v>
      </c>
      <c r="D3368" s="9">
        <f>YEAR(Tabla1[[#This Row],[Date]])</f>
        <v>1986</v>
      </c>
      <c r="E3368" s="9" t="str" cm="1">
        <f t="array" ref="E3368">IFERROR(_xlfn.IFS(AND(D3368&lt;1980,D3368&gt;=1970),"70",AND(D3368&lt;1990,D3368&gt;=1980),"80",AND(D3368&lt;2000,D3368&gt;=1990),"90",AND(D3368&lt;2010,D3368&gt;=2000),"00",AND(D3368&lt;=2019,D3368&gt;=2010),"10"),"1908-1970")</f>
        <v>80</v>
      </c>
      <c r="F3368" s="3">
        <v>0.37847222222222227</v>
      </c>
      <c r="G3368" t="s">
        <v>20099</v>
      </c>
      <c r="H3368" t="s">
        <v>20100</v>
      </c>
      <c r="I3368">
        <v>512</v>
      </c>
      <c r="J3368" t="s">
        <v>20101</v>
      </c>
      <c r="K3368" t="s">
        <v>20102</v>
      </c>
      <c r="L3368" s="7" t="s">
        <v>20103</v>
      </c>
      <c r="M3368">
        <v>1061</v>
      </c>
      <c r="N3368">
        <v>150</v>
      </c>
      <c r="O3368">
        <v>128</v>
      </c>
      <c r="P3368">
        <v>22</v>
      </c>
      <c r="Q3368">
        <v>22</v>
      </c>
      <c r="R3368">
        <v>22</v>
      </c>
      <c r="S3368">
        <v>0</v>
      </c>
      <c r="T3368">
        <v>0</v>
      </c>
      <c r="U3368" t="s">
        <v>20104</v>
      </c>
      <c r="V3368">
        <f>Tabla1[[#This Row],[Aboard]]-Tabla1[[#This Row],[Fatalities]]</f>
        <v>128</v>
      </c>
      <c r="W3368" s="50">
        <f>IFERROR(Tabla1[[#This Row],[Fatalities]]/Tabla1[[#This Row],[Aboard]],0)</f>
        <v>0.14666666666666667</v>
      </c>
      <c r="X3368" s="51" t="str" cm="1">
        <f t="array" ref="X3368">_xlfn.IFS(Tabla1[[#This Row],[Porcentaje de muertes]]&lt;0.35,"LEVE",AND(Tabla1[[#This Row],[Porcentaje de muertes]]&gt;0.35,Tabla1[[#This Row],[Porcentaje de muertes]]&lt;0.65),"MEDIO",Tabla1[[#This Row],[Porcentaje de muertes]]&gt;0.65,"GRAVE")</f>
        <v>LEVE</v>
      </c>
    </row>
    <row r="3369" spans="2:24" x14ac:dyDescent="0.3">
      <c r="B3369" s="9">
        <v>3368</v>
      </c>
      <c r="C3369" s="49">
        <v>31476</v>
      </c>
      <c r="D3369" s="9">
        <f>YEAR(Tabla1[[#This Row],[Date]])</f>
        <v>1986</v>
      </c>
      <c r="E3369" s="9" t="str" cm="1">
        <f t="array" ref="E3369">IFERROR(_xlfn.IFS(AND(D3369&lt;1980,D3369&gt;=1970),"70",AND(D3369&lt;1990,D3369&gt;=1980),"80",AND(D3369&lt;2000,D3369&gt;=1990),"90",AND(D3369&lt;2010,D3369&gt;=2000),"00",AND(D3369&lt;=2019,D3369&gt;=2010),"10"),"1908-1970")</f>
        <v>80</v>
      </c>
      <c r="F3369" s="3" t="s">
        <v>28931</v>
      </c>
      <c r="G3369" t="s">
        <v>15985</v>
      </c>
      <c r="H3369" t="s">
        <v>19384</v>
      </c>
      <c r="I3369" t="s">
        <v>28931</v>
      </c>
      <c r="J3369" t="s">
        <v>28931</v>
      </c>
      <c r="K3369" t="s">
        <v>20105</v>
      </c>
      <c r="L3369" s="7" t="s">
        <v>28931</v>
      </c>
      <c r="M3369" t="s">
        <v>28931</v>
      </c>
      <c r="N3369">
        <v>22</v>
      </c>
      <c r="O3369" t="s">
        <v>5038</v>
      </c>
      <c r="P3369" t="s">
        <v>5038</v>
      </c>
      <c r="Q3369">
        <v>22</v>
      </c>
      <c r="R3369" t="s">
        <v>5038</v>
      </c>
      <c r="S3369" t="s">
        <v>5038</v>
      </c>
      <c r="T3369">
        <v>0</v>
      </c>
      <c r="U3369" t="s">
        <v>20106</v>
      </c>
      <c r="V3369">
        <f>Tabla1[[#This Row],[Aboard]]-Tabla1[[#This Row],[Fatalities]]</f>
        <v>0</v>
      </c>
      <c r="W3369" s="50">
        <f>IFERROR(Tabla1[[#This Row],[Fatalities]]/Tabla1[[#This Row],[Aboard]],0)</f>
        <v>1</v>
      </c>
      <c r="X3369" s="51" t="str" cm="1">
        <f t="array" ref="X3369">_xlfn.IFS(Tabla1[[#This Row],[Porcentaje de muertes]]&lt;0.35,"LEVE",AND(Tabla1[[#This Row],[Porcentaje de muertes]]&gt;0.35,Tabla1[[#This Row],[Porcentaje de muertes]]&lt;0.65),"MEDIO",Tabla1[[#This Row],[Porcentaje de muertes]]&gt;0.65,"GRAVE")</f>
        <v>GRAVE</v>
      </c>
    </row>
    <row r="3370" spans="2:24" x14ac:dyDescent="0.3">
      <c r="B3370" s="9">
        <v>3369</v>
      </c>
      <c r="C3370" s="49">
        <v>31550</v>
      </c>
      <c r="D3370" s="9">
        <f>YEAR(Tabla1[[#This Row],[Date]])</f>
        <v>1986</v>
      </c>
      <c r="E3370" s="9" t="str" cm="1">
        <f t="array" ref="E3370">IFERROR(_xlfn.IFS(AND(D3370&lt;1980,D3370&gt;=1970),"70",AND(D3370&lt;1990,D3370&gt;=1980),"80",AND(D3370&lt;2000,D3370&gt;=1990),"90",AND(D3370&lt;2010,D3370&gt;=2000),"00",AND(D3370&lt;=2019,D3370&gt;=2010),"10"),"1908-1970")</f>
        <v>80</v>
      </c>
      <c r="F3370" s="3">
        <v>0.35416666666666669</v>
      </c>
      <c r="G3370" t="s">
        <v>20107</v>
      </c>
      <c r="H3370" t="s">
        <v>13039</v>
      </c>
      <c r="I3370" t="s">
        <v>28931</v>
      </c>
      <c r="J3370" t="s">
        <v>28931</v>
      </c>
      <c r="K3370" t="s">
        <v>20108</v>
      </c>
      <c r="L3370" s="7">
        <v>19</v>
      </c>
      <c r="M3370">
        <v>19</v>
      </c>
      <c r="N3370">
        <v>19</v>
      </c>
      <c r="O3370">
        <v>14</v>
      </c>
      <c r="P3370">
        <v>5</v>
      </c>
      <c r="Q3370">
        <v>19</v>
      </c>
      <c r="R3370">
        <v>14</v>
      </c>
      <c r="S3370">
        <v>5</v>
      </c>
      <c r="T3370">
        <v>0</v>
      </c>
      <c r="U3370" t="s">
        <v>20109</v>
      </c>
      <c r="V3370">
        <f>Tabla1[[#This Row],[Aboard]]-Tabla1[[#This Row],[Fatalities]]</f>
        <v>0</v>
      </c>
      <c r="W3370" s="50">
        <f>IFERROR(Tabla1[[#This Row],[Fatalities]]/Tabla1[[#This Row],[Aboard]],0)</f>
        <v>1</v>
      </c>
      <c r="X3370" s="51" t="str" cm="1">
        <f t="array" ref="X3370">_xlfn.IFS(Tabla1[[#This Row],[Porcentaje de muertes]]&lt;0.35,"LEVE",AND(Tabla1[[#This Row],[Porcentaje de muertes]]&gt;0.35,Tabla1[[#This Row],[Porcentaje de muertes]]&lt;0.65),"MEDIO",Tabla1[[#This Row],[Porcentaje de muertes]]&gt;0.65,"GRAVE")</f>
        <v>GRAVE</v>
      </c>
    </row>
    <row r="3371" spans="2:24" x14ac:dyDescent="0.3">
      <c r="B3371" s="9">
        <v>3370</v>
      </c>
      <c r="C3371" s="49">
        <v>31556</v>
      </c>
      <c r="D3371" s="9">
        <f>YEAR(Tabla1[[#This Row],[Date]])</f>
        <v>1986</v>
      </c>
      <c r="E3371" s="9" t="str" cm="1">
        <f t="array" ref="E3371">IFERROR(_xlfn.IFS(AND(D3371&lt;1980,D3371&gt;=1970),"70",AND(D3371&lt;1990,D3371&gt;=1980),"80",AND(D3371&lt;2000,D3371&gt;=1990),"90",AND(D3371&lt;2010,D3371&gt;=2000),"00",AND(D3371&lt;=2019,D3371&gt;=2010),"10"),"1908-1970")</f>
        <v>80</v>
      </c>
      <c r="F3371" s="3" t="s">
        <v>28931</v>
      </c>
      <c r="G3371" t="s">
        <v>5889</v>
      </c>
      <c r="H3371" t="s">
        <v>20110</v>
      </c>
      <c r="I3371" t="s">
        <v>28931</v>
      </c>
      <c r="J3371" t="s">
        <v>20111</v>
      </c>
      <c r="K3371" t="s">
        <v>7826</v>
      </c>
      <c r="L3371" s="7" t="s">
        <v>28931</v>
      </c>
      <c r="M3371" t="s">
        <v>28931</v>
      </c>
      <c r="N3371">
        <v>13</v>
      </c>
      <c r="O3371">
        <v>0</v>
      </c>
      <c r="P3371">
        <v>13</v>
      </c>
      <c r="Q3371">
        <v>13</v>
      </c>
      <c r="R3371">
        <v>0</v>
      </c>
      <c r="S3371">
        <v>13</v>
      </c>
      <c r="T3371">
        <v>0</v>
      </c>
      <c r="U3371" t="s">
        <v>20112</v>
      </c>
      <c r="V3371">
        <f>Tabla1[[#This Row],[Aboard]]-Tabla1[[#This Row],[Fatalities]]</f>
        <v>0</v>
      </c>
      <c r="W3371" s="50">
        <f>IFERROR(Tabla1[[#This Row],[Fatalities]]/Tabla1[[#This Row],[Aboard]],0)</f>
        <v>1</v>
      </c>
      <c r="X3371" s="51" t="str" cm="1">
        <f t="array" ref="X3371">_xlfn.IFS(Tabla1[[#This Row],[Porcentaje de muertes]]&lt;0.35,"LEVE",AND(Tabla1[[#This Row],[Porcentaje de muertes]]&gt;0.35,Tabla1[[#This Row],[Porcentaje de muertes]]&lt;0.65),"MEDIO",Tabla1[[#This Row],[Porcentaje de muertes]]&gt;0.65,"GRAVE")</f>
        <v>GRAVE</v>
      </c>
    </row>
    <row r="3372" spans="2:24" x14ac:dyDescent="0.3">
      <c r="B3372" s="9">
        <v>3371</v>
      </c>
      <c r="C3372" s="49">
        <v>31691</v>
      </c>
      <c r="D3372" s="9">
        <f>YEAR(Tabla1[[#This Row],[Date]])</f>
        <v>1986</v>
      </c>
      <c r="E3372" s="9" t="str" cm="1">
        <f t="array" ref="E3372">IFERROR(_xlfn.IFS(AND(D3372&lt;1980,D3372&gt;=1970),"70",AND(D3372&lt;1990,D3372&gt;=1980),"80",AND(D3372&lt;2000,D3372&gt;=1990),"90",AND(D3372&lt;2010,D3372&gt;=2000),"00",AND(D3372&lt;=2019,D3372&gt;=2010),"10"),"1908-1970")</f>
        <v>80</v>
      </c>
      <c r="F3372" s="3" t="s">
        <v>28931</v>
      </c>
      <c r="G3372" t="s">
        <v>11159</v>
      </c>
      <c r="H3372" t="s">
        <v>17763</v>
      </c>
      <c r="I3372" t="s">
        <v>28931</v>
      </c>
      <c r="J3372" t="s">
        <v>20113</v>
      </c>
      <c r="K3372" t="s">
        <v>16099</v>
      </c>
      <c r="L3372" s="7" t="s">
        <v>20114</v>
      </c>
      <c r="M3372">
        <v>10659</v>
      </c>
      <c r="N3372">
        <v>26</v>
      </c>
      <c r="O3372">
        <v>21</v>
      </c>
      <c r="P3372">
        <v>5</v>
      </c>
      <c r="Q3372">
        <v>23</v>
      </c>
      <c r="R3372">
        <v>18</v>
      </c>
      <c r="S3372">
        <v>5</v>
      </c>
      <c r="T3372">
        <v>0</v>
      </c>
      <c r="U3372" t="s">
        <v>20115</v>
      </c>
      <c r="V3372">
        <f>Tabla1[[#This Row],[Aboard]]-Tabla1[[#This Row],[Fatalities]]</f>
        <v>3</v>
      </c>
      <c r="W3372" s="50">
        <f>IFERROR(Tabla1[[#This Row],[Fatalities]]/Tabla1[[#This Row],[Aboard]],0)</f>
        <v>0.88461538461538458</v>
      </c>
      <c r="X3372" s="51" t="str" cm="1">
        <f t="array" ref="X3372">_xlfn.IFS(Tabla1[[#This Row],[Porcentaje de muertes]]&lt;0.35,"LEVE",AND(Tabla1[[#This Row],[Porcentaje de muertes]]&gt;0.35,Tabla1[[#This Row],[Porcentaje de muertes]]&lt;0.65),"MEDIO",Tabla1[[#This Row],[Porcentaje de muertes]]&gt;0.65,"GRAVE")</f>
        <v>GRAVE</v>
      </c>
    </row>
    <row r="3373" spans="2:24" x14ac:dyDescent="0.3">
      <c r="B3373" s="9">
        <v>3372</v>
      </c>
      <c r="C3373" s="49">
        <v>31752</v>
      </c>
      <c r="D3373" s="9">
        <f>YEAR(Tabla1[[#This Row],[Date]])</f>
        <v>1986</v>
      </c>
      <c r="E3373" s="9" t="str" cm="1">
        <f t="array" ref="E3373">IFERROR(_xlfn.IFS(AND(D3373&lt;1980,D3373&gt;=1970),"70",AND(D3373&lt;1990,D3373&gt;=1980),"80",AND(D3373&lt;2000,D3373&gt;=1990),"90",AND(D3373&lt;2010,D3373&gt;=2000),"00",AND(D3373&lt;=2019,D3373&gt;=2010),"10"),"1908-1970")</f>
        <v>80</v>
      </c>
      <c r="F3373" s="3">
        <v>0.64027777777777783</v>
      </c>
      <c r="G3373" t="s">
        <v>20116</v>
      </c>
      <c r="H3373" t="s">
        <v>20117</v>
      </c>
      <c r="I3373">
        <v>423</v>
      </c>
      <c r="J3373" t="s">
        <v>20118</v>
      </c>
      <c r="K3373" t="s">
        <v>16680</v>
      </c>
      <c r="L3373" s="7" t="s">
        <v>20119</v>
      </c>
      <c r="M3373">
        <v>635</v>
      </c>
      <c r="N3373">
        <v>16</v>
      </c>
      <c r="O3373">
        <v>14</v>
      </c>
      <c r="P3373">
        <v>2</v>
      </c>
      <c r="Q3373">
        <v>1</v>
      </c>
      <c r="R3373">
        <v>0</v>
      </c>
      <c r="S3373">
        <v>1</v>
      </c>
      <c r="T3373">
        <v>0</v>
      </c>
      <c r="U3373" t="s">
        <v>20120</v>
      </c>
      <c r="V3373">
        <f>Tabla1[[#This Row],[Aboard]]-Tabla1[[#This Row],[Fatalities]]</f>
        <v>15</v>
      </c>
      <c r="W3373" s="50">
        <f>IFERROR(Tabla1[[#This Row],[Fatalities]]/Tabla1[[#This Row],[Aboard]],0)</f>
        <v>6.25E-2</v>
      </c>
      <c r="X3373" s="51" t="str" cm="1">
        <f t="array" ref="X3373">_xlfn.IFS(Tabla1[[#This Row],[Porcentaje de muertes]]&lt;0.35,"LEVE",AND(Tabla1[[#This Row],[Porcentaje de muertes]]&gt;0.35,Tabla1[[#This Row],[Porcentaje de muertes]]&lt;0.65),"MEDIO",Tabla1[[#This Row],[Porcentaje de muertes]]&gt;0.65,"GRAVE")</f>
        <v>LEVE</v>
      </c>
    </row>
    <row r="3374" spans="2:24" x14ac:dyDescent="0.3">
      <c r="B3374" s="9">
        <v>3373</v>
      </c>
      <c r="C3374" s="49">
        <v>31581</v>
      </c>
      <c r="D3374" s="9">
        <f>YEAR(Tabla1[[#This Row],[Date]])</f>
        <v>1986</v>
      </c>
      <c r="E3374" s="9" t="str" cm="1">
        <f t="array" ref="E3374">IFERROR(_xlfn.IFS(AND(D3374&lt;1980,D3374&gt;=1970),"70",AND(D3374&lt;1990,D3374&gt;=1980),"80",AND(D3374&lt;2000,D3374&gt;=1990),"90",AND(D3374&lt;2010,D3374&gt;=2000),"00",AND(D3374&lt;=2019,D3374&gt;=2010),"10"),"1908-1970")</f>
        <v>80</v>
      </c>
      <c r="F3374" s="3">
        <v>0.3979166666666667</v>
      </c>
      <c r="G3374" t="s">
        <v>11807</v>
      </c>
      <c r="H3374" t="s">
        <v>20121</v>
      </c>
      <c r="I3374" s="5">
        <v>44598</v>
      </c>
      <c r="J3374" t="s">
        <v>20122</v>
      </c>
      <c r="K3374" t="s">
        <v>20123</v>
      </c>
      <c r="L3374" s="7" t="s">
        <v>20124</v>
      </c>
      <c r="M3374" t="s">
        <v>20125</v>
      </c>
      <c r="N3374">
        <v>25</v>
      </c>
      <c r="O3374">
        <v>22</v>
      </c>
      <c r="P3374">
        <v>3</v>
      </c>
      <c r="Q3374">
        <v>25</v>
      </c>
      <c r="R3374">
        <v>22</v>
      </c>
      <c r="S3374">
        <v>3</v>
      </c>
      <c r="T3374">
        <v>0</v>
      </c>
      <c r="U3374" t="s">
        <v>20126</v>
      </c>
      <c r="V3374">
        <f>Tabla1[[#This Row],[Aboard]]-Tabla1[[#This Row],[Fatalities]]</f>
        <v>0</v>
      </c>
      <c r="W3374" s="50">
        <f>IFERROR(Tabla1[[#This Row],[Fatalities]]/Tabla1[[#This Row],[Aboard]],0)</f>
        <v>1</v>
      </c>
      <c r="X3374" s="51" t="str" cm="1">
        <f t="array" ref="X3374">_xlfn.IFS(Tabla1[[#This Row],[Porcentaje de muertes]]&lt;0.35,"LEVE",AND(Tabla1[[#This Row],[Porcentaje de muertes]]&gt;0.35,Tabla1[[#This Row],[Porcentaje de muertes]]&lt;0.65),"MEDIO",Tabla1[[#This Row],[Porcentaje de muertes]]&gt;0.65,"GRAVE")</f>
        <v>GRAVE</v>
      </c>
    </row>
    <row r="3375" spans="2:24" x14ac:dyDescent="0.3">
      <c r="B3375" s="9">
        <v>3374</v>
      </c>
      <c r="C3375" s="49">
        <v>31450</v>
      </c>
      <c r="D3375" s="9">
        <f>YEAR(Tabla1[[#This Row],[Date]])</f>
        <v>1986</v>
      </c>
      <c r="E3375" s="9" t="str" cm="1">
        <f t="array" ref="E3375">IFERROR(_xlfn.IFS(AND(D3375&lt;1980,D3375&gt;=1970),"70",AND(D3375&lt;1990,D3375&gt;=1980),"80",AND(D3375&lt;2000,D3375&gt;=1990),"90",AND(D3375&lt;2010,D3375&gt;=2000),"00",AND(D3375&lt;=2019,D3375&gt;=2010),"10"),"1908-1970")</f>
        <v>80</v>
      </c>
      <c r="F3375" s="3">
        <v>0.43541666666666662</v>
      </c>
      <c r="G3375" t="s">
        <v>20127</v>
      </c>
      <c r="H3375" t="s">
        <v>6541</v>
      </c>
      <c r="I3375">
        <v>2306</v>
      </c>
      <c r="J3375" t="s">
        <v>20128</v>
      </c>
      <c r="K3375" t="s">
        <v>16145</v>
      </c>
      <c r="L3375" s="7" t="s">
        <v>20129</v>
      </c>
      <c r="M3375">
        <v>60482</v>
      </c>
      <c r="N3375">
        <v>92</v>
      </c>
      <c r="O3375">
        <v>86</v>
      </c>
      <c r="P3375">
        <v>6</v>
      </c>
      <c r="Q3375">
        <v>54</v>
      </c>
      <c r="R3375">
        <v>52</v>
      </c>
      <c r="S3375">
        <v>2</v>
      </c>
      <c r="T3375">
        <v>0</v>
      </c>
      <c r="U3375" t="s">
        <v>20130</v>
      </c>
      <c r="V3375">
        <f>Tabla1[[#This Row],[Aboard]]-Tabla1[[#This Row],[Fatalities]]</f>
        <v>38</v>
      </c>
      <c r="W3375" s="50">
        <f>IFERROR(Tabla1[[#This Row],[Fatalities]]/Tabla1[[#This Row],[Aboard]],0)</f>
        <v>0.58695652173913049</v>
      </c>
      <c r="X3375" s="51" t="str" cm="1">
        <f t="array" ref="X3375">_xlfn.IFS(Tabla1[[#This Row],[Porcentaje de muertes]]&lt;0.35,"LEVE",AND(Tabla1[[#This Row],[Porcentaje de muertes]]&gt;0.35,Tabla1[[#This Row],[Porcentaje de muertes]]&lt;0.65),"MEDIO",Tabla1[[#This Row],[Porcentaje de muertes]]&gt;0.65,"GRAVE")</f>
        <v>MEDIO</v>
      </c>
    </row>
    <row r="3376" spans="2:24" x14ac:dyDescent="0.3">
      <c r="B3376" s="9">
        <v>3375</v>
      </c>
      <c r="C3376" s="49">
        <v>31692</v>
      </c>
      <c r="D3376" s="9">
        <f>YEAR(Tabla1[[#This Row],[Date]])</f>
        <v>1986</v>
      </c>
      <c r="E3376" s="9" t="str" cm="1">
        <f t="array" ref="E3376">IFERROR(_xlfn.IFS(AND(D3376&lt;1980,D3376&gt;=1970),"70",AND(D3376&lt;1990,D3376&gt;=1980),"80",AND(D3376&lt;2000,D3376&gt;=1990),"90",AND(D3376&lt;2010,D3376&gt;=2000),"00",AND(D3376&lt;=2019,D3376&gt;=2010),"10"),"1908-1970")</f>
        <v>80</v>
      </c>
      <c r="F3376" s="3" t="s">
        <v>28931</v>
      </c>
      <c r="G3376" t="s">
        <v>20131</v>
      </c>
      <c r="H3376" t="s">
        <v>20132</v>
      </c>
      <c r="I3376" t="s">
        <v>28931</v>
      </c>
      <c r="J3376" t="s">
        <v>20133</v>
      </c>
      <c r="K3376" t="s">
        <v>8105</v>
      </c>
      <c r="L3376" s="7">
        <v>7312</v>
      </c>
      <c r="M3376">
        <v>9492</v>
      </c>
      <c r="N3376">
        <v>17</v>
      </c>
      <c r="O3376">
        <v>13</v>
      </c>
      <c r="P3376">
        <v>4</v>
      </c>
      <c r="Q3376">
        <v>17</v>
      </c>
      <c r="R3376">
        <v>13</v>
      </c>
      <c r="S3376">
        <v>4</v>
      </c>
      <c r="T3376">
        <v>0</v>
      </c>
      <c r="U3376" t="s">
        <v>10178</v>
      </c>
      <c r="V3376">
        <f>Tabla1[[#This Row],[Aboard]]-Tabla1[[#This Row],[Fatalities]]</f>
        <v>0</v>
      </c>
      <c r="W3376" s="50">
        <f>IFERROR(Tabla1[[#This Row],[Fatalities]]/Tabla1[[#This Row],[Aboard]],0)</f>
        <v>1</v>
      </c>
      <c r="X3376" s="51" t="str" cm="1">
        <f t="array" ref="X3376">_xlfn.IFS(Tabla1[[#This Row],[Porcentaje de muertes]]&lt;0.35,"LEVE",AND(Tabla1[[#This Row],[Porcentaje de muertes]]&gt;0.35,Tabla1[[#This Row],[Porcentaje de muertes]]&lt;0.65),"MEDIO",Tabla1[[#This Row],[Porcentaje de muertes]]&gt;0.65,"GRAVE")</f>
        <v>GRAVE</v>
      </c>
    </row>
    <row r="3377" spans="2:24" x14ac:dyDescent="0.3">
      <c r="B3377" s="9">
        <v>3376</v>
      </c>
      <c r="C3377" s="49">
        <v>31510</v>
      </c>
      <c r="D3377" s="9">
        <f>YEAR(Tabla1[[#This Row],[Date]])</f>
        <v>1986</v>
      </c>
      <c r="E3377" s="9" t="str" cm="1">
        <f t="array" ref="E3377">IFERROR(_xlfn.IFS(AND(D3377&lt;1980,D3377&gt;=1970),"70",AND(D3377&lt;1990,D3377&gt;=1980),"80",AND(D3377&lt;2000,D3377&gt;=1990),"90",AND(D3377&lt;2010,D3377&gt;=2000),"00",AND(D3377&lt;=2019,D3377&gt;=2010),"10"),"1908-1970")</f>
        <v>80</v>
      </c>
      <c r="F3377" s="3">
        <v>1.5972222222222224E-2</v>
      </c>
      <c r="G3377" t="s">
        <v>20134</v>
      </c>
      <c r="H3377" t="s">
        <v>20135</v>
      </c>
      <c r="I3377" t="s">
        <v>28931</v>
      </c>
      <c r="J3377" t="s">
        <v>20136</v>
      </c>
      <c r="K3377" t="s">
        <v>16680</v>
      </c>
      <c r="L3377" s="7" t="s">
        <v>20137</v>
      </c>
      <c r="M3377">
        <v>785</v>
      </c>
      <c r="N3377">
        <v>13</v>
      </c>
      <c r="O3377">
        <v>11</v>
      </c>
      <c r="P3377">
        <v>2</v>
      </c>
      <c r="Q3377">
        <v>13</v>
      </c>
      <c r="R3377">
        <v>11</v>
      </c>
      <c r="S3377">
        <v>2</v>
      </c>
      <c r="T3377">
        <v>0</v>
      </c>
      <c r="U3377" t="s">
        <v>10939</v>
      </c>
      <c r="V3377">
        <f>Tabla1[[#This Row],[Aboard]]-Tabla1[[#This Row],[Fatalities]]</f>
        <v>0</v>
      </c>
      <c r="W3377" s="50">
        <f>IFERROR(Tabla1[[#This Row],[Fatalities]]/Tabla1[[#This Row],[Aboard]],0)</f>
        <v>1</v>
      </c>
      <c r="X3377" s="51" t="str" cm="1">
        <f t="array" ref="X3377">_xlfn.IFS(Tabla1[[#This Row],[Porcentaje de muertes]]&lt;0.35,"LEVE",AND(Tabla1[[#This Row],[Porcentaje de muertes]]&gt;0.35,Tabla1[[#This Row],[Porcentaje de muertes]]&lt;0.65),"MEDIO",Tabla1[[#This Row],[Porcentaje de muertes]]&gt;0.65,"GRAVE")</f>
        <v>GRAVE</v>
      </c>
    </row>
    <row r="3378" spans="2:24" x14ac:dyDescent="0.3">
      <c r="B3378" s="9">
        <v>3377</v>
      </c>
      <c r="C3378" s="49">
        <v>31638</v>
      </c>
      <c r="D3378" s="9">
        <f>YEAR(Tabla1[[#This Row],[Date]])</f>
        <v>1986</v>
      </c>
      <c r="E3378" s="9" t="str" cm="1">
        <f t="array" ref="E3378">IFERROR(_xlfn.IFS(AND(D3378&lt;1980,D3378&gt;=1970),"70",AND(D3378&lt;1990,D3378&gt;=1980),"80",AND(D3378&lt;2000,D3378&gt;=1990),"90",AND(D3378&lt;2010,D3378&gt;=2000),"00",AND(D3378&lt;=2019,D3378&gt;=2010),"10"),"1908-1970")</f>
        <v>80</v>
      </c>
      <c r="F3378" s="3">
        <v>0.47916666666666669</v>
      </c>
      <c r="G3378" t="s">
        <v>20138</v>
      </c>
      <c r="H3378" t="s">
        <v>17920</v>
      </c>
      <c r="I3378" t="s">
        <v>28931</v>
      </c>
      <c r="J3378" t="s">
        <v>20139</v>
      </c>
      <c r="K3378" t="s">
        <v>20140</v>
      </c>
      <c r="L3378" s="7">
        <v>556</v>
      </c>
      <c r="M3378">
        <v>3194</v>
      </c>
      <c r="N3378">
        <v>59</v>
      </c>
      <c r="O3378">
        <v>53</v>
      </c>
      <c r="P3378">
        <v>6</v>
      </c>
      <c r="Q3378">
        <v>59</v>
      </c>
      <c r="R3378">
        <v>53</v>
      </c>
      <c r="S3378">
        <v>6</v>
      </c>
      <c r="T3378">
        <v>0</v>
      </c>
      <c r="U3378" t="s">
        <v>20141</v>
      </c>
      <c r="V3378">
        <f>Tabla1[[#This Row],[Aboard]]-Tabla1[[#This Row],[Fatalities]]</f>
        <v>0</v>
      </c>
      <c r="W3378" s="50">
        <f>IFERROR(Tabla1[[#This Row],[Fatalities]]/Tabla1[[#This Row],[Aboard]],0)</f>
        <v>1</v>
      </c>
      <c r="X3378" s="51" t="str" cm="1">
        <f t="array" ref="X3378">_xlfn.IFS(Tabla1[[#This Row],[Porcentaje de muertes]]&lt;0.35,"LEVE",AND(Tabla1[[#This Row],[Porcentaje de muertes]]&gt;0.35,Tabla1[[#This Row],[Porcentaje de muertes]]&lt;0.65),"MEDIO",Tabla1[[#This Row],[Porcentaje de muertes]]&gt;0.65,"GRAVE")</f>
        <v>GRAVE</v>
      </c>
    </row>
    <row r="3379" spans="2:24" x14ac:dyDescent="0.3">
      <c r="B3379" s="9">
        <v>3378</v>
      </c>
      <c r="C3379" s="49">
        <v>31640</v>
      </c>
      <c r="D3379" s="9">
        <f>YEAR(Tabla1[[#This Row],[Date]])</f>
        <v>1986</v>
      </c>
      <c r="E3379" s="9" t="str" cm="1">
        <f t="array" ref="E3379">IFERROR(_xlfn.IFS(AND(D3379&lt;1980,D3379&gt;=1970),"70",AND(D3379&lt;1990,D3379&gt;=1980),"80",AND(D3379&lt;2000,D3379&gt;=1990),"90",AND(D3379&lt;2010,D3379&gt;=2000),"00",AND(D3379&lt;=2019,D3379&gt;=2010),"10"),"1908-1970")</f>
        <v>80</v>
      </c>
      <c r="F3379" s="3">
        <v>0.4375</v>
      </c>
      <c r="G3379" t="s">
        <v>20142</v>
      </c>
      <c r="H3379" t="s">
        <v>16326</v>
      </c>
      <c r="I3379" t="s">
        <v>28931</v>
      </c>
      <c r="J3379" t="s">
        <v>20143</v>
      </c>
      <c r="K3379" t="s">
        <v>15897</v>
      </c>
      <c r="L3379" s="7" t="s">
        <v>20144</v>
      </c>
      <c r="M3379">
        <v>10277</v>
      </c>
      <c r="N3379">
        <v>60</v>
      </c>
      <c r="O3379">
        <v>57</v>
      </c>
      <c r="P3379">
        <v>3</v>
      </c>
      <c r="Q3379">
        <v>60</v>
      </c>
      <c r="R3379">
        <v>57</v>
      </c>
      <c r="S3379">
        <v>3</v>
      </c>
      <c r="T3379">
        <v>0</v>
      </c>
      <c r="U3379" t="s">
        <v>20145</v>
      </c>
      <c r="V3379">
        <f>Tabla1[[#This Row],[Aboard]]-Tabla1[[#This Row],[Fatalities]]</f>
        <v>0</v>
      </c>
      <c r="W3379" s="50">
        <f>IFERROR(Tabla1[[#This Row],[Fatalities]]/Tabla1[[#This Row],[Aboard]],0)</f>
        <v>1</v>
      </c>
      <c r="X3379" s="51" t="str" cm="1">
        <f t="array" ref="X3379">_xlfn.IFS(Tabla1[[#This Row],[Porcentaje de muertes]]&lt;0.35,"LEVE",AND(Tabla1[[#This Row],[Porcentaje de muertes]]&gt;0.35,Tabla1[[#This Row],[Porcentaje de muertes]]&lt;0.65),"MEDIO",Tabla1[[#This Row],[Porcentaje de muertes]]&gt;0.65,"GRAVE")</f>
        <v>GRAVE</v>
      </c>
    </row>
    <row r="3380" spans="2:24" x14ac:dyDescent="0.3">
      <c r="B3380" s="9">
        <v>3379</v>
      </c>
      <c r="C3380" s="49">
        <v>31652</v>
      </c>
      <c r="D3380" s="9">
        <f>YEAR(Tabla1[[#This Row],[Date]])</f>
        <v>1986</v>
      </c>
      <c r="E3380" s="9" t="str" cm="1">
        <f t="array" ref="E3380">IFERROR(_xlfn.IFS(AND(D3380&lt;1980,D3380&gt;=1970),"70",AND(D3380&lt;1990,D3380&gt;=1980),"80",AND(D3380&lt;2000,D3380&gt;=1990),"90",AND(D3380&lt;2010,D3380&gt;=2000),"00",AND(D3380&lt;=2019,D3380&gt;=2010),"10"),"1908-1970")</f>
        <v>80</v>
      </c>
      <c r="F3380" s="3">
        <v>0.28680555555555554</v>
      </c>
      <c r="G3380" t="s">
        <v>20146</v>
      </c>
      <c r="H3380" t="s">
        <v>20147</v>
      </c>
      <c r="I3380" t="s">
        <v>28931</v>
      </c>
      <c r="J3380" t="s">
        <v>20148</v>
      </c>
      <c r="K3380" t="s">
        <v>20149</v>
      </c>
      <c r="L3380" s="7" t="s">
        <v>20150</v>
      </c>
      <c r="M3380">
        <v>2596</v>
      </c>
      <c r="N3380">
        <v>2</v>
      </c>
      <c r="O3380">
        <v>0</v>
      </c>
      <c r="P3380">
        <v>2</v>
      </c>
      <c r="Q3380">
        <v>2</v>
      </c>
      <c r="R3380">
        <v>0</v>
      </c>
      <c r="S3380">
        <v>2</v>
      </c>
      <c r="T3380">
        <v>0</v>
      </c>
      <c r="U3380" t="s">
        <v>20151</v>
      </c>
      <c r="V3380">
        <f>Tabla1[[#This Row],[Aboard]]-Tabla1[[#This Row],[Fatalities]]</f>
        <v>0</v>
      </c>
      <c r="W3380" s="50">
        <f>IFERROR(Tabla1[[#This Row],[Fatalities]]/Tabla1[[#This Row],[Aboard]],0)</f>
        <v>1</v>
      </c>
      <c r="X3380" s="51" t="str" cm="1">
        <f t="array" ref="X3380">_xlfn.IFS(Tabla1[[#This Row],[Porcentaje de muertes]]&lt;0.35,"LEVE",AND(Tabla1[[#This Row],[Porcentaje de muertes]]&gt;0.35,Tabla1[[#This Row],[Porcentaje de muertes]]&lt;0.65),"MEDIO",Tabla1[[#This Row],[Porcentaje de muertes]]&gt;0.65,"GRAVE")</f>
        <v>GRAVE</v>
      </c>
    </row>
    <row r="3381" spans="2:24" x14ac:dyDescent="0.3">
      <c r="B3381" s="9">
        <v>3380</v>
      </c>
      <c r="C3381" s="49">
        <v>31655</v>
      </c>
      <c r="D3381" s="9">
        <f>YEAR(Tabla1[[#This Row],[Date]])</f>
        <v>1986</v>
      </c>
      <c r="E3381" s="9" t="str" cm="1">
        <f t="array" ref="E3381">IFERROR(_xlfn.IFS(AND(D3381&lt;1980,D3381&gt;=1970),"70",AND(D3381&lt;1990,D3381&gt;=1980),"80",AND(D3381&lt;2000,D3381&gt;=1990),"90",AND(D3381&lt;2010,D3381&gt;=2000),"00",AND(D3381&lt;=2019,D3381&gt;=2010),"10"),"1908-1970")</f>
        <v>80</v>
      </c>
      <c r="F3381" s="3">
        <v>0.49444444444444446</v>
      </c>
      <c r="G3381" t="s">
        <v>20152</v>
      </c>
      <c r="H3381" t="s">
        <v>20153</v>
      </c>
      <c r="I3381">
        <v>498</v>
      </c>
      <c r="J3381" t="s">
        <v>20154</v>
      </c>
      <c r="K3381" t="s">
        <v>20155</v>
      </c>
      <c r="L3381" s="7" t="s">
        <v>20156</v>
      </c>
      <c r="M3381" t="s">
        <v>20157</v>
      </c>
      <c r="N3381">
        <v>67</v>
      </c>
      <c r="O3381">
        <v>58</v>
      </c>
      <c r="P3381">
        <v>9</v>
      </c>
      <c r="Q3381">
        <v>67</v>
      </c>
      <c r="R3381">
        <v>58</v>
      </c>
      <c r="S3381">
        <v>9</v>
      </c>
      <c r="T3381">
        <v>15</v>
      </c>
      <c r="U3381" t="s">
        <v>20158</v>
      </c>
      <c r="V3381">
        <f>Tabla1[[#This Row],[Aboard]]-Tabla1[[#This Row],[Fatalities]]</f>
        <v>0</v>
      </c>
      <c r="W3381" s="50">
        <f>IFERROR(Tabla1[[#This Row],[Fatalities]]/Tabla1[[#This Row],[Aboard]],0)</f>
        <v>1</v>
      </c>
      <c r="X3381" s="51" t="str" cm="1">
        <f t="array" ref="X3381">_xlfn.IFS(Tabla1[[#This Row],[Porcentaje de muertes]]&lt;0.35,"LEVE",AND(Tabla1[[#This Row],[Porcentaje de muertes]]&gt;0.35,Tabla1[[#This Row],[Porcentaje de muertes]]&lt;0.65),"MEDIO",Tabla1[[#This Row],[Porcentaje de muertes]]&gt;0.65,"GRAVE")</f>
        <v>GRAVE</v>
      </c>
    </row>
    <row r="3382" spans="2:24" x14ac:dyDescent="0.3">
      <c r="B3382" s="9">
        <v>3381</v>
      </c>
      <c r="C3382" s="49">
        <v>31541</v>
      </c>
      <c r="D3382" s="9">
        <f>YEAR(Tabla1[[#This Row],[Date]])</f>
        <v>1986</v>
      </c>
      <c r="E3382" s="9" t="str" cm="1">
        <f t="array" ref="E3382">IFERROR(_xlfn.IFS(AND(D3382&lt;1980,D3382&gt;=1970),"70",AND(D3382&lt;1990,D3382&gt;=1980),"80",AND(D3382&lt;2000,D3382&gt;=1990),"90",AND(D3382&lt;2010,D3382&gt;=2000),"00",AND(D3382&lt;=2019,D3382&gt;=2010),"10"),"1908-1970")</f>
        <v>80</v>
      </c>
      <c r="F3382" s="3">
        <v>0.25</v>
      </c>
      <c r="G3382" t="s">
        <v>9559</v>
      </c>
      <c r="H3382" t="s">
        <v>7121</v>
      </c>
      <c r="I3382">
        <v>73</v>
      </c>
      <c r="J3382" t="s">
        <v>20159</v>
      </c>
      <c r="K3382" t="s">
        <v>16214</v>
      </c>
      <c r="L3382" s="7" t="s">
        <v>20160</v>
      </c>
      <c r="M3382" t="s">
        <v>20161</v>
      </c>
      <c r="N3382">
        <v>384</v>
      </c>
      <c r="O3382">
        <v>364</v>
      </c>
      <c r="P3382">
        <v>20</v>
      </c>
      <c r="Q3382">
        <v>16</v>
      </c>
      <c r="R3382">
        <v>14</v>
      </c>
      <c r="S3382">
        <v>1</v>
      </c>
      <c r="T3382">
        <v>1</v>
      </c>
      <c r="U3382" t="s">
        <v>20162</v>
      </c>
      <c r="V3382">
        <f>Tabla1[[#This Row],[Aboard]]-Tabla1[[#This Row],[Fatalities]]</f>
        <v>368</v>
      </c>
      <c r="W3382" s="50">
        <f>IFERROR(Tabla1[[#This Row],[Fatalities]]/Tabla1[[#This Row],[Aboard]],0)</f>
        <v>4.1666666666666664E-2</v>
      </c>
      <c r="X3382" s="51" t="str" cm="1">
        <f t="array" ref="X3382">_xlfn.IFS(Tabla1[[#This Row],[Porcentaje de muertes]]&lt;0.35,"LEVE",AND(Tabla1[[#This Row],[Porcentaje de muertes]]&gt;0.35,Tabla1[[#This Row],[Porcentaje de muertes]]&lt;0.65),"MEDIO",Tabla1[[#This Row],[Porcentaje de muertes]]&gt;0.65,"GRAVE")</f>
        <v>LEVE</v>
      </c>
    </row>
    <row r="3383" spans="2:24" x14ac:dyDescent="0.3">
      <c r="B3383" s="9">
        <v>3382</v>
      </c>
      <c r="C3383" s="49">
        <v>31664</v>
      </c>
      <c r="D3383" s="9">
        <f>YEAR(Tabla1[[#This Row],[Date]])</f>
        <v>1986</v>
      </c>
      <c r="E3383" s="9" t="str" cm="1">
        <f t="array" ref="E3383">IFERROR(_xlfn.IFS(AND(D3383&lt;1980,D3383&gt;=1970),"70",AND(D3383&lt;1990,D3383&gt;=1980),"80",AND(D3383&lt;2000,D3383&gt;=1990),"90",AND(D3383&lt;2010,D3383&gt;=2000),"00",AND(D3383&lt;=2019,D3383&gt;=2010),"10"),"1908-1970")</f>
        <v>80</v>
      </c>
      <c r="F3383" s="3" t="s">
        <v>28931</v>
      </c>
      <c r="G3383" t="s">
        <v>20163</v>
      </c>
      <c r="H3383" t="s">
        <v>7987</v>
      </c>
      <c r="I3383" t="s">
        <v>28931</v>
      </c>
      <c r="J3383" t="s">
        <v>28931</v>
      </c>
      <c r="K3383" t="s">
        <v>12471</v>
      </c>
      <c r="L3383" s="7" t="s">
        <v>20164</v>
      </c>
      <c r="M3383">
        <v>3076</v>
      </c>
      <c r="N3383">
        <v>4</v>
      </c>
      <c r="O3383">
        <v>0</v>
      </c>
      <c r="P3383">
        <v>4</v>
      </c>
      <c r="Q3383">
        <v>3</v>
      </c>
      <c r="R3383">
        <v>0</v>
      </c>
      <c r="S3383">
        <v>3</v>
      </c>
      <c r="T3383">
        <v>0</v>
      </c>
      <c r="U3383" t="s">
        <v>20165</v>
      </c>
      <c r="V3383">
        <f>Tabla1[[#This Row],[Aboard]]-Tabla1[[#This Row],[Fatalities]]</f>
        <v>1</v>
      </c>
      <c r="W3383" s="50">
        <f>IFERROR(Tabla1[[#This Row],[Fatalities]]/Tabla1[[#This Row],[Aboard]],0)</f>
        <v>0.75</v>
      </c>
      <c r="X3383" s="51" t="str" cm="1">
        <f t="array" ref="X3383">_xlfn.IFS(Tabla1[[#This Row],[Porcentaje de muertes]]&lt;0.35,"LEVE",AND(Tabla1[[#This Row],[Porcentaje de muertes]]&gt;0.35,Tabla1[[#This Row],[Porcentaje de muertes]]&lt;0.65),"MEDIO",Tabla1[[#This Row],[Porcentaje de muertes]]&gt;0.65,"GRAVE")</f>
        <v>GRAVE</v>
      </c>
    </row>
    <row r="3384" spans="2:24" x14ac:dyDescent="0.3">
      <c r="B3384" s="9">
        <v>3383</v>
      </c>
      <c r="C3384" s="49">
        <v>31674</v>
      </c>
      <c r="D3384" s="9">
        <f>YEAR(Tabla1[[#This Row],[Date]])</f>
        <v>1986</v>
      </c>
      <c r="E3384" s="9" t="str" cm="1">
        <f t="array" ref="E3384">IFERROR(_xlfn.IFS(AND(D3384&lt;1980,D3384&gt;=1970),"70",AND(D3384&lt;1990,D3384&gt;=1980),"80",AND(D3384&lt;2000,D3384&gt;=1990),"90",AND(D3384&lt;2010,D3384&gt;=2000),"00",AND(D3384&lt;=2019,D3384&gt;=2010),"10"),"1908-1970")</f>
        <v>80</v>
      </c>
      <c r="F3384" s="3">
        <v>0.62361111111111112</v>
      </c>
      <c r="G3384" t="s">
        <v>20166</v>
      </c>
      <c r="H3384" t="s">
        <v>20167</v>
      </c>
      <c r="I3384" t="s">
        <v>28931</v>
      </c>
      <c r="J3384" t="s">
        <v>20168</v>
      </c>
      <c r="K3384" t="s">
        <v>20169</v>
      </c>
      <c r="L3384" s="7" t="s">
        <v>20170</v>
      </c>
      <c r="M3384">
        <v>120019</v>
      </c>
      <c r="N3384">
        <v>5</v>
      </c>
      <c r="O3384">
        <v>3</v>
      </c>
      <c r="P3384">
        <v>2</v>
      </c>
      <c r="Q3384">
        <v>5</v>
      </c>
      <c r="R3384">
        <v>3</v>
      </c>
      <c r="S3384">
        <v>2</v>
      </c>
      <c r="T3384">
        <v>0</v>
      </c>
      <c r="U3384" t="s">
        <v>20171</v>
      </c>
      <c r="V3384">
        <f>Tabla1[[#This Row],[Aboard]]-Tabla1[[#This Row],[Fatalities]]</f>
        <v>0</v>
      </c>
      <c r="W3384" s="50">
        <f>IFERROR(Tabla1[[#This Row],[Fatalities]]/Tabla1[[#This Row],[Aboard]],0)</f>
        <v>1</v>
      </c>
      <c r="X3384" s="51" t="str" cm="1">
        <f t="array" ref="X3384">_xlfn.IFS(Tabla1[[#This Row],[Porcentaje de muertes]]&lt;0.35,"LEVE",AND(Tabla1[[#This Row],[Porcentaje de muertes]]&gt;0.35,Tabla1[[#This Row],[Porcentaje de muertes]]&lt;0.65),"MEDIO",Tabla1[[#This Row],[Porcentaje de muertes]]&gt;0.65,"GRAVE")</f>
        <v>GRAVE</v>
      </c>
    </row>
    <row r="3385" spans="2:24" x14ac:dyDescent="0.3">
      <c r="B3385" s="9">
        <v>3384</v>
      </c>
      <c r="C3385" s="49">
        <v>31512</v>
      </c>
      <c r="D3385" s="9">
        <f>YEAR(Tabla1[[#This Row],[Date]])</f>
        <v>1986</v>
      </c>
      <c r="E3385" s="9" t="str" cm="1">
        <f t="array" ref="E3385">IFERROR(_xlfn.IFS(AND(D3385&lt;1980,D3385&gt;=1970),"70",AND(D3385&lt;1990,D3385&gt;=1980),"80",AND(D3385&lt;2000,D3385&gt;=1990),"90",AND(D3385&lt;2010,D3385&gt;=2000),"00",AND(D3385&lt;=2019,D3385&gt;=2010),"10"),"1908-1970")</f>
        <v>80</v>
      </c>
      <c r="F3385" s="3">
        <v>0.17361111111111113</v>
      </c>
      <c r="G3385" t="s">
        <v>20172</v>
      </c>
      <c r="H3385" t="s">
        <v>20173</v>
      </c>
      <c r="I3385">
        <v>15</v>
      </c>
      <c r="J3385" t="s">
        <v>20174</v>
      </c>
      <c r="K3385" t="s">
        <v>17107</v>
      </c>
      <c r="L3385" s="7" t="s">
        <v>20175</v>
      </c>
      <c r="M3385">
        <v>4391</v>
      </c>
      <c r="N3385">
        <v>3</v>
      </c>
      <c r="O3385">
        <v>0</v>
      </c>
      <c r="P3385">
        <v>3</v>
      </c>
      <c r="Q3385">
        <v>3</v>
      </c>
      <c r="R3385">
        <v>0</v>
      </c>
      <c r="S3385">
        <v>3</v>
      </c>
      <c r="T3385">
        <v>0</v>
      </c>
      <c r="U3385" t="s">
        <v>20176</v>
      </c>
      <c r="V3385">
        <f>Tabla1[[#This Row],[Aboard]]-Tabla1[[#This Row],[Fatalities]]</f>
        <v>0</v>
      </c>
      <c r="W3385" s="50">
        <f>IFERROR(Tabla1[[#This Row],[Fatalities]]/Tabla1[[#This Row],[Aboard]],0)</f>
        <v>1</v>
      </c>
      <c r="X3385" s="51" t="str" cm="1">
        <f t="array" ref="X3385">_xlfn.IFS(Tabla1[[#This Row],[Porcentaje de muertes]]&lt;0.35,"LEVE",AND(Tabla1[[#This Row],[Porcentaje de muertes]]&gt;0.35,Tabla1[[#This Row],[Porcentaje de muertes]]&lt;0.65),"MEDIO",Tabla1[[#This Row],[Porcentaje de muertes]]&gt;0.65,"GRAVE")</f>
        <v>GRAVE</v>
      </c>
    </row>
    <row r="3386" spans="2:24" x14ac:dyDescent="0.3">
      <c r="B3386" s="9">
        <v>3385</v>
      </c>
      <c r="C3386" s="49">
        <v>31699</v>
      </c>
      <c r="D3386" s="9">
        <f>YEAR(Tabla1[[#This Row],[Date]])</f>
        <v>1986</v>
      </c>
      <c r="E3386" s="9" t="str" cm="1">
        <f t="array" ref="E3386">IFERROR(_xlfn.IFS(AND(D3386&lt;1980,D3386&gt;=1970),"70",AND(D3386&lt;1990,D3386&gt;=1980),"80",AND(D3386&lt;2000,D3386&gt;=1990),"90",AND(D3386&lt;2010,D3386&gt;=2000),"00",AND(D3386&lt;=2019,D3386&gt;=2010),"10"),"1908-1970")</f>
        <v>80</v>
      </c>
      <c r="F3386" s="3">
        <v>0.3430555555555555</v>
      </c>
      <c r="G3386" t="s">
        <v>20177</v>
      </c>
      <c r="H3386" t="s">
        <v>6541</v>
      </c>
      <c r="I3386" t="s">
        <v>28931</v>
      </c>
      <c r="J3386" t="s">
        <v>20178</v>
      </c>
      <c r="K3386" t="s">
        <v>20179</v>
      </c>
      <c r="L3386" s="7" t="s">
        <v>20180</v>
      </c>
      <c r="M3386">
        <v>780905</v>
      </c>
      <c r="N3386">
        <v>14</v>
      </c>
      <c r="O3386">
        <v>12</v>
      </c>
      <c r="P3386">
        <v>2</v>
      </c>
      <c r="Q3386">
        <v>14</v>
      </c>
      <c r="R3386">
        <v>12</v>
      </c>
      <c r="S3386">
        <v>2</v>
      </c>
      <c r="T3386">
        <v>0</v>
      </c>
      <c r="U3386" t="s">
        <v>20181</v>
      </c>
      <c r="V3386">
        <f>Tabla1[[#This Row],[Aboard]]-Tabla1[[#This Row],[Fatalities]]</f>
        <v>0</v>
      </c>
      <c r="W3386" s="50">
        <f>IFERROR(Tabla1[[#This Row],[Fatalities]]/Tabla1[[#This Row],[Aboard]],0)</f>
        <v>1</v>
      </c>
      <c r="X3386" s="51" t="str" cm="1">
        <f t="array" ref="X3386">_xlfn.IFS(Tabla1[[#This Row],[Porcentaje de muertes]]&lt;0.35,"LEVE",AND(Tabla1[[#This Row],[Porcentaje de muertes]]&gt;0.35,Tabla1[[#This Row],[Porcentaje de muertes]]&lt;0.65),"MEDIO",Tabla1[[#This Row],[Porcentaje de muertes]]&gt;0.65,"GRAVE")</f>
        <v>GRAVE</v>
      </c>
    </row>
    <row r="3387" spans="2:24" x14ac:dyDescent="0.3">
      <c r="B3387" s="9">
        <v>3386</v>
      </c>
      <c r="C3387" s="49">
        <v>31700</v>
      </c>
      <c r="D3387" s="9">
        <f>YEAR(Tabla1[[#This Row],[Date]])</f>
        <v>1986</v>
      </c>
      <c r="E3387" s="9" t="str" cm="1">
        <f t="array" ref="E3387">IFERROR(_xlfn.IFS(AND(D3387&lt;1980,D3387&gt;=1970),"70",AND(D3387&lt;1990,D3387&gt;=1980),"80",AND(D3387&lt;2000,D3387&gt;=1990),"90",AND(D3387&lt;2010,D3387&gt;=2000),"00",AND(D3387&lt;=2019,D3387&gt;=2010),"10"),"1908-1970")</f>
        <v>80</v>
      </c>
      <c r="F3387" s="3">
        <v>0.70833333333333337</v>
      </c>
      <c r="G3387" t="s">
        <v>20182</v>
      </c>
      <c r="H3387" t="s">
        <v>10176</v>
      </c>
      <c r="I3387" t="s">
        <v>28931</v>
      </c>
      <c r="J3387" t="s">
        <v>20183</v>
      </c>
      <c r="K3387" t="s">
        <v>20184</v>
      </c>
      <c r="L3387" s="7" t="s">
        <v>20185</v>
      </c>
      <c r="M3387" t="s">
        <v>20186</v>
      </c>
      <c r="N3387">
        <v>80</v>
      </c>
      <c r="O3387">
        <v>75</v>
      </c>
      <c r="P3387">
        <v>5</v>
      </c>
      <c r="Q3387">
        <v>3</v>
      </c>
      <c r="R3387">
        <v>3</v>
      </c>
      <c r="S3387">
        <v>0</v>
      </c>
      <c r="T3387">
        <v>0</v>
      </c>
      <c r="U3387" t="s">
        <v>20187</v>
      </c>
      <c r="V3387">
        <f>Tabla1[[#This Row],[Aboard]]-Tabla1[[#This Row],[Fatalities]]</f>
        <v>77</v>
      </c>
      <c r="W3387" s="50">
        <f>IFERROR(Tabla1[[#This Row],[Fatalities]]/Tabla1[[#This Row],[Aboard]],0)</f>
        <v>3.7499999999999999E-2</v>
      </c>
      <c r="X3387" s="51" t="str" cm="1">
        <f t="array" ref="X3387">_xlfn.IFS(Tabla1[[#This Row],[Porcentaje de muertes]]&lt;0.35,"LEVE",AND(Tabla1[[#This Row],[Porcentaje de muertes]]&gt;0.35,Tabla1[[#This Row],[Porcentaje de muertes]]&lt;0.65),"MEDIO",Tabla1[[#This Row],[Porcentaje de muertes]]&gt;0.65,"GRAVE")</f>
        <v>LEVE</v>
      </c>
    </row>
    <row r="3388" spans="2:24" x14ac:dyDescent="0.3">
      <c r="B3388" s="9">
        <v>3387</v>
      </c>
      <c r="C3388" s="49">
        <v>31704</v>
      </c>
      <c r="D3388" s="9">
        <f>YEAR(Tabla1[[#This Row],[Date]])</f>
        <v>1986</v>
      </c>
      <c r="E3388" s="9" t="str" cm="1">
        <f t="array" ref="E3388">IFERROR(_xlfn.IFS(AND(D3388&lt;1980,D3388&gt;=1970),"70",AND(D3388&lt;1990,D3388&gt;=1980),"80",AND(D3388&lt;2000,D3388&gt;=1990),"90",AND(D3388&lt;2010,D3388&gt;=2000),"00",AND(D3388&lt;=2019,D3388&gt;=2010),"10"),"1908-1970")</f>
        <v>80</v>
      </c>
      <c r="F3388" s="3">
        <v>0.80625000000000002</v>
      </c>
      <c r="G3388" t="s">
        <v>20188</v>
      </c>
      <c r="H3388" t="s">
        <v>20189</v>
      </c>
      <c r="I3388" t="s">
        <v>28931</v>
      </c>
      <c r="J3388" t="s">
        <v>20190</v>
      </c>
      <c r="K3388" t="s">
        <v>16145</v>
      </c>
      <c r="L3388" s="7" t="s">
        <v>20191</v>
      </c>
      <c r="M3388">
        <v>63457</v>
      </c>
      <c r="N3388">
        <v>44</v>
      </c>
      <c r="O3388">
        <v>35</v>
      </c>
      <c r="P3388">
        <v>9</v>
      </c>
      <c r="Q3388">
        <v>34</v>
      </c>
      <c r="R3388">
        <v>26</v>
      </c>
      <c r="S3388">
        <v>8</v>
      </c>
      <c r="T3388">
        <v>0</v>
      </c>
      <c r="U3388" t="s">
        <v>20192</v>
      </c>
      <c r="V3388">
        <f>Tabla1[[#This Row],[Aboard]]-Tabla1[[#This Row],[Fatalities]]</f>
        <v>10</v>
      </c>
      <c r="W3388" s="50">
        <f>IFERROR(Tabla1[[#This Row],[Fatalities]]/Tabla1[[#This Row],[Aboard]],0)</f>
        <v>0.77272727272727271</v>
      </c>
      <c r="X3388" s="51" t="str" cm="1">
        <f t="array" ref="X3388">_xlfn.IFS(Tabla1[[#This Row],[Porcentaje de muertes]]&lt;0.35,"LEVE",AND(Tabla1[[#This Row],[Porcentaje de muertes]]&gt;0.35,Tabla1[[#This Row],[Porcentaje de muertes]]&lt;0.65),"MEDIO",Tabla1[[#This Row],[Porcentaje de muertes]]&gt;0.65,"GRAVE")</f>
        <v>GRAVE</v>
      </c>
    </row>
    <row r="3389" spans="2:24" x14ac:dyDescent="0.3">
      <c r="B3389" s="9">
        <v>3388</v>
      </c>
      <c r="C3389" s="49">
        <v>31705</v>
      </c>
      <c r="D3389" s="9">
        <f>YEAR(Tabla1[[#This Row],[Date]])</f>
        <v>1986</v>
      </c>
      <c r="E3389" s="9" t="str" cm="1">
        <f t="array" ref="E3389">IFERROR(_xlfn.IFS(AND(D3389&lt;1980,D3389&gt;=1970),"70",AND(D3389&lt;1990,D3389&gt;=1980),"80",AND(D3389&lt;2000,D3389&gt;=1990),"90",AND(D3389&lt;2010,D3389&gt;=2000),"00",AND(D3389&lt;=2019,D3389&gt;=2010),"10"),"1908-1970")</f>
        <v>80</v>
      </c>
      <c r="F3389" s="3">
        <v>0.66527777777777775</v>
      </c>
      <c r="G3389" t="s">
        <v>20193</v>
      </c>
      <c r="H3389" t="s">
        <v>6541</v>
      </c>
      <c r="I3389" t="s">
        <v>28931</v>
      </c>
      <c r="J3389" t="s">
        <v>20194</v>
      </c>
      <c r="K3389" t="s">
        <v>16145</v>
      </c>
      <c r="L3389" s="7" t="s">
        <v>20195</v>
      </c>
      <c r="M3389">
        <v>62327</v>
      </c>
      <c r="N3389">
        <v>93</v>
      </c>
      <c r="O3389">
        <v>85</v>
      </c>
      <c r="P3389">
        <v>8</v>
      </c>
      <c r="Q3389">
        <v>70</v>
      </c>
      <c r="R3389">
        <v>66</v>
      </c>
      <c r="S3389">
        <v>4</v>
      </c>
      <c r="T3389">
        <v>0</v>
      </c>
      <c r="U3389" t="s">
        <v>20196</v>
      </c>
      <c r="V3389">
        <f>Tabla1[[#This Row],[Aboard]]-Tabla1[[#This Row],[Fatalities]]</f>
        <v>23</v>
      </c>
      <c r="W3389" s="50">
        <f>IFERROR(Tabla1[[#This Row],[Fatalities]]/Tabla1[[#This Row],[Aboard]],0)</f>
        <v>0.75268817204301075</v>
      </c>
      <c r="X3389" s="51" t="str" cm="1">
        <f t="array" ref="X3389">_xlfn.IFS(Tabla1[[#This Row],[Porcentaje de muertes]]&lt;0.35,"LEVE",AND(Tabla1[[#This Row],[Porcentaje de muertes]]&gt;0.35,Tabla1[[#This Row],[Porcentaje de muertes]]&lt;0.65),"MEDIO",Tabla1[[#This Row],[Porcentaje de muertes]]&gt;0.65,"GRAVE")</f>
        <v>GRAVE</v>
      </c>
    </row>
    <row r="3390" spans="2:24" x14ac:dyDescent="0.3">
      <c r="B3390" s="9">
        <v>3389</v>
      </c>
      <c r="C3390" s="49">
        <v>31707</v>
      </c>
      <c r="D3390" s="9">
        <f>YEAR(Tabla1[[#This Row],[Date]])</f>
        <v>1986</v>
      </c>
      <c r="E3390" s="9" t="str" cm="1">
        <f t="array" ref="E3390">IFERROR(_xlfn.IFS(AND(D3390&lt;1980,D3390&gt;=1970),"70",AND(D3390&lt;1990,D3390&gt;=1980),"80",AND(D3390&lt;2000,D3390&gt;=1990),"90",AND(D3390&lt;2010,D3390&gt;=2000),"00",AND(D3390&lt;=2019,D3390&gt;=2010),"10"),"1908-1970")</f>
        <v>80</v>
      </c>
      <c r="F3390" s="3">
        <v>0.69791666666666663</v>
      </c>
      <c r="G3390" t="s">
        <v>20197</v>
      </c>
      <c r="H3390" t="s">
        <v>20198</v>
      </c>
      <c r="I3390" t="s">
        <v>8152</v>
      </c>
      <c r="J3390" t="s">
        <v>20199</v>
      </c>
      <c r="K3390" t="s">
        <v>20200</v>
      </c>
      <c r="L3390" s="7" t="s">
        <v>20201</v>
      </c>
      <c r="M3390">
        <v>700</v>
      </c>
      <c r="N3390">
        <v>2</v>
      </c>
      <c r="O3390">
        <v>1</v>
      </c>
      <c r="P3390">
        <v>1</v>
      </c>
      <c r="Q3390">
        <v>2</v>
      </c>
      <c r="R3390">
        <v>1</v>
      </c>
      <c r="S3390">
        <v>1</v>
      </c>
      <c r="T3390">
        <v>0</v>
      </c>
      <c r="U3390" t="s">
        <v>20202</v>
      </c>
      <c r="V3390">
        <f>Tabla1[[#This Row],[Aboard]]-Tabla1[[#This Row],[Fatalities]]</f>
        <v>0</v>
      </c>
      <c r="W3390" s="50">
        <f>IFERROR(Tabla1[[#This Row],[Fatalities]]/Tabla1[[#This Row],[Aboard]],0)</f>
        <v>1</v>
      </c>
      <c r="X3390" s="51" t="str" cm="1">
        <f t="array" ref="X3390">_xlfn.IFS(Tabla1[[#This Row],[Porcentaje de muertes]]&lt;0.35,"LEVE",AND(Tabla1[[#This Row],[Porcentaje de muertes]]&gt;0.35,Tabla1[[#This Row],[Porcentaje de muertes]]&lt;0.65),"MEDIO",Tabla1[[#This Row],[Porcentaje de muertes]]&gt;0.65,"GRAVE")</f>
        <v>GRAVE</v>
      </c>
    </row>
    <row r="3391" spans="2:24" x14ac:dyDescent="0.3">
      <c r="B3391" s="9">
        <v>3390</v>
      </c>
      <c r="C3391" s="49">
        <v>31708</v>
      </c>
      <c r="D3391" s="9">
        <f>YEAR(Tabla1[[#This Row],[Date]])</f>
        <v>1986</v>
      </c>
      <c r="E3391" s="9" t="str" cm="1">
        <f t="array" ref="E3391">IFERROR(_xlfn.IFS(AND(D3391&lt;1980,D3391&gt;=1970),"70",AND(D3391&lt;1990,D3391&gt;=1980),"80",AND(D3391&lt;2000,D3391&gt;=1990),"90",AND(D3391&lt;2010,D3391&gt;=2000),"00",AND(D3391&lt;=2019,D3391&gt;=2010),"10"),"1908-1970")</f>
        <v>80</v>
      </c>
      <c r="F3391" s="3">
        <v>0.86736111111111114</v>
      </c>
      <c r="G3391" t="s">
        <v>20203</v>
      </c>
      <c r="H3391" t="s">
        <v>11736</v>
      </c>
      <c r="I3391" t="s">
        <v>28931</v>
      </c>
      <c r="J3391" t="s">
        <v>20204</v>
      </c>
      <c r="K3391" t="s">
        <v>15526</v>
      </c>
      <c r="L3391" s="7" t="s">
        <v>20205</v>
      </c>
      <c r="M3391">
        <v>10335</v>
      </c>
      <c r="N3391">
        <v>54</v>
      </c>
      <c r="O3391">
        <v>49</v>
      </c>
      <c r="P3391">
        <v>5</v>
      </c>
      <c r="Q3391">
        <v>13</v>
      </c>
      <c r="R3391">
        <v>9</v>
      </c>
      <c r="S3391">
        <v>4</v>
      </c>
      <c r="T3391">
        <v>0</v>
      </c>
      <c r="U3391" t="s">
        <v>20206</v>
      </c>
      <c r="V3391">
        <f>Tabla1[[#This Row],[Aboard]]-Tabla1[[#This Row],[Fatalities]]</f>
        <v>41</v>
      </c>
      <c r="W3391" s="50">
        <f>IFERROR(Tabla1[[#This Row],[Fatalities]]/Tabla1[[#This Row],[Aboard]],0)</f>
        <v>0.24074074074074073</v>
      </c>
      <c r="X3391" s="51" t="str" cm="1">
        <f t="array" ref="X3391">_xlfn.IFS(Tabla1[[#This Row],[Porcentaje de muertes]]&lt;0.35,"LEVE",AND(Tabla1[[#This Row],[Porcentaje de muertes]]&gt;0.35,Tabla1[[#This Row],[Porcentaje de muertes]]&lt;0.65),"MEDIO",Tabla1[[#This Row],[Porcentaje de muertes]]&gt;0.65,"GRAVE")</f>
        <v>LEVE</v>
      </c>
    </row>
    <row r="3392" spans="2:24" x14ac:dyDescent="0.3">
      <c r="B3392" s="9">
        <v>3391</v>
      </c>
      <c r="C3392" s="49">
        <v>31715</v>
      </c>
      <c r="D3392" s="9">
        <f>YEAR(Tabla1[[#This Row],[Date]])</f>
        <v>1986</v>
      </c>
      <c r="E3392" s="9" t="str" cm="1">
        <f t="array" ref="E3392">IFERROR(_xlfn.IFS(AND(D3392&lt;1980,D3392&gt;=1970),"70",AND(D3392&lt;1990,D3392&gt;=1980),"80",AND(D3392&lt;2000,D3392&gt;=1990),"90",AND(D3392&lt;2010,D3392&gt;=2000),"00",AND(D3392&lt;=2019,D3392&gt;=2010),"10"),"1908-1970")</f>
        <v>80</v>
      </c>
      <c r="F3392" s="3">
        <v>0.70833333333333337</v>
      </c>
      <c r="G3392" t="s">
        <v>19225</v>
      </c>
      <c r="H3392" t="s">
        <v>17404</v>
      </c>
      <c r="I3392" t="s">
        <v>28931</v>
      </c>
      <c r="J3392" t="s">
        <v>28931</v>
      </c>
      <c r="K3392" t="s">
        <v>20207</v>
      </c>
      <c r="L3392" s="7">
        <v>294</v>
      </c>
      <c r="M3392" t="s">
        <v>28931</v>
      </c>
      <c r="N3392">
        <v>23</v>
      </c>
      <c r="O3392">
        <v>20</v>
      </c>
      <c r="P3392">
        <v>3</v>
      </c>
      <c r="Q3392">
        <v>21</v>
      </c>
      <c r="R3392">
        <v>19</v>
      </c>
      <c r="S3392">
        <v>2</v>
      </c>
      <c r="T3392">
        <v>0</v>
      </c>
      <c r="U3392" t="s">
        <v>20208</v>
      </c>
      <c r="V3392">
        <f>Tabla1[[#This Row],[Aboard]]-Tabla1[[#This Row],[Fatalities]]</f>
        <v>2</v>
      </c>
      <c r="W3392" s="50">
        <f>IFERROR(Tabla1[[#This Row],[Fatalities]]/Tabla1[[#This Row],[Aboard]],0)</f>
        <v>0.91304347826086951</v>
      </c>
      <c r="X3392" s="51" t="str" cm="1">
        <f t="array" ref="X3392">_xlfn.IFS(Tabla1[[#This Row],[Porcentaje de muertes]]&lt;0.35,"LEVE",AND(Tabla1[[#This Row],[Porcentaje de muertes]]&gt;0.35,Tabla1[[#This Row],[Porcentaje de muertes]]&lt;0.65),"MEDIO",Tabla1[[#This Row],[Porcentaje de muertes]]&gt;0.65,"GRAVE")</f>
        <v>GRAVE</v>
      </c>
    </row>
    <row r="3393" spans="2:24" x14ac:dyDescent="0.3">
      <c r="B3393" s="9">
        <v>3392</v>
      </c>
      <c r="C3393" s="49">
        <v>31454</v>
      </c>
      <c r="D3393" s="9">
        <f>YEAR(Tabla1[[#This Row],[Date]])</f>
        <v>1986</v>
      </c>
      <c r="E3393" s="9" t="str" cm="1">
        <f t="array" ref="E3393">IFERROR(_xlfn.IFS(AND(D3393&lt;1980,D3393&gt;=1970),"70",AND(D3393&lt;1990,D3393&gt;=1980),"80",AND(D3393&lt;2000,D3393&gt;=1990),"90",AND(D3393&lt;2010,D3393&gt;=2000),"00",AND(D3393&lt;=2019,D3393&gt;=2010),"10"),"1908-1970")</f>
        <v>80</v>
      </c>
      <c r="F3393" s="3">
        <v>0.80902777777777779</v>
      </c>
      <c r="G3393" t="s">
        <v>20209</v>
      </c>
      <c r="H3393" t="s">
        <v>18972</v>
      </c>
      <c r="I3393" t="s">
        <v>28931</v>
      </c>
      <c r="J3393" t="s">
        <v>20210</v>
      </c>
      <c r="K3393" t="s">
        <v>20211</v>
      </c>
      <c r="L3393" s="7" t="s">
        <v>28931</v>
      </c>
      <c r="M3393" t="s">
        <v>28931</v>
      </c>
      <c r="N3393">
        <v>103</v>
      </c>
      <c r="O3393">
        <v>96</v>
      </c>
      <c r="P3393">
        <v>7</v>
      </c>
      <c r="Q3393">
        <v>103</v>
      </c>
      <c r="R3393">
        <v>96</v>
      </c>
      <c r="S3393">
        <v>7</v>
      </c>
      <c r="T3393">
        <v>0</v>
      </c>
      <c r="U3393" t="s">
        <v>20212</v>
      </c>
      <c r="V3393">
        <f>Tabla1[[#This Row],[Aboard]]-Tabla1[[#This Row],[Fatalities]]</f>
        <v>0</v>
      </c>
      <c r="W3393" s="50">
        <f>IFERROR(Tabla1[[#This Row],[Fatalities]]/Tabla1[[#This Row],[Aboard]],0)</f>
        <v>1</v>
      </c>
      <c r="X3393" s="51" t="str" cm="1">
        <f t="array" ref="X3393">_xlfn.IFS(Tabla1[[#This Row],[Porcentaje de muertes]]&lt;0.35,"LEVE",AND(Tabla1[[#This Row],[Porcentaje de muertes]]&gt;0.35,Tabla1[[#This Row],[Porcentaje de muertes]]&lt;0.65),"MEDIO",Tabla1[[#This Row],[Porcentaje de muertes]]&gt;0.65,"GRAVE")</f>
        <v>GRAVE</v>
      </c>
    </row>
    <row r="3394" spans="2:24" x14ac:dyDescent="0.3">
      <c r="B3394" s="9">
        <v>3393</v>
      </c>
      <c r="C3394" s="49">
        <v>31574</v>
      </c>
      <c r="D3394" s="9">
        <f>YEAR(Tabla1[[#This Row],[Date]])</f>
        <v>1986</v>
      </c>
      <c r="E3394" s="9" t="str" cm="1">
        <f t="array" ref="E3394">IFERROR(_xlfn.IFS(AND(D3394&lt;1980,D3394&gt;=1970),"70",AND(D3394&lt;1990,D3394&gt;=1980),"80",AND(D3394&lt;2000,D3394&gt;=1990),"90",AND(D3394&lt;2010,D3394&gt;=2000),"00",AND(D3394&lt;=2019,D3394&gt;=2010),"10"),"1908-1970")</f>
        <v>80</v>
      </c>
      <c r="F3394" s="3" t="s">
        <v>28931</v>
      </c>
      <c r="G3394" t="s">
        <v>20213</v>
      </c>
      <c r="H3394" t="s">
        <v>20214</v>
      </c>
      <c r="I3394" t="s">
        <v>28931</v>
      </c>
      <c r="J3394" t="s">
        <v>28931</v>
      </c>
      <c r="K3394" t="s">
        <v>20215</v>
      </c>
      <c r="L3394" s="7" t="s">
        <v>20216</v>
      </c>
      <c r="M3394" t="s">
        <v>20217</v>
      </c>
      <c r="N3394">
        <v>47</v>
      </c>
      <c r="O3394">
        <v>45</v>
      </c>
      <c r="P3394">
        <v>2</v>
      </c>
      <c r="Q3394">
        <v>45</v>
      </c>
      <c r="R3394">
        <v>43</v>
      </c>
      <c r="S3394">
        <v>2</v>
      </c>
      <c r="T3394">
        <v>0</v>
      </c>
      <c r="U3394" t="s">
        <v>20218</v>
      </c>
      <c r="V3394">
        <f>Tabla1[[#This Row],[Aboard]]-Tabla1[[#This Row],[Fatalities]]</f>
        <v>2</v>
      </c>
      <c r="W3394" s="50">
        <f>IFERROR(Tabla1[[#This Row],[Fatalities]]/Tabla1[[#This Row],[Aboard]],0)</f>
        <v>0.95744680851063835</v>
      </c>
      <c r="X3394" s="51" t="str" cm="1">
        <f t="array" ref="X3394">_xlfn.IFS(Tabla1[[#This Row],[Porcentaje de muertes]]&lt;0.35,"LEVE",AND(Tabla1[[#This Row],[Porcentaje de muertes]]&gt;0.35,Tabla1[[#This Row],[Porcentaje de muertes]]&lt;0.65),"MEDIO",Tabla1[[#This Row],[Porcentaje de muertes]]&gt;0.65,"GRAVE")</f>
        <v>GRAVE</v>
      </c>
    </row>
    <row r="3395" spans="2:24" x14ac:dyDescent="0.3">
      <c r="B3395" s="9">
        <v>3394</v>
      </c>
      <c r="C3395" s="49">
        <v>31741</v>
      </c>
      <c r="D3395" s="9">
        <f>YEAR(Tabla1[[#This Row],[Date]])</f>
        <v>1986</v>
      </c>
      <c r="E3395" s="9" t="str" cm="1">
        <f t="array" ref="E3395">IFERROR(_xlfn.IFS(AND(D3395&lt;1980,D3395&gt;=1970),"70",AND(D3395&lt;1990,D3395&gt;=1980),"80",AND(D3395&lt;2000,D3395&gt;=1990),"90",AND(D3395&lt;2010,D3395&gt;=2000),"00",AND(D3395&lt;=2019,D3395&gt;=2010),"10"),"1908-1970")</f>
        <v>80</v>
      </c>
      <c r="F3395" s="3" t="s">
        <v>28931</v>
      </c>
      <c r="G3395" t="s">
        <v>20219</v>
      </c>
      <c r="H3395" t="s">
        <v>20220</v>
      </c>
      <c r="I3395" t="s">
        <v>28931</v>
      </c>
      <c r="J3395" t="s">
        <v>28931</v>
      </c>
      <c r="K3395" t="s">
        <v>12828</v>
      </c>
      <c r="L3395" s="7" t="s">
        <v>28931</v>
      </c>
      <c r="M3395" t="s">
        <v>28931</v>
      </c>
      <c r="N3395">
        <v>40</v>
      </c>
      <c r="O3395">
        <v>35</v>
      </c>
      <c r="P3395">
        <v>5</v>
      </c>
      <c r="Q3395">
        <v>40</v>
      </c>
      <c r="R3395">
        <v>35</v>
      </c>
      <c r="S3395">
        <v>5</v>
      </c>
      <c r="T3395">
        <v>0</v>
      </c>
      <c r="U3395" t="s">
        <v>19693</v>
      </c>
      <c r="V3395">
        <f>Tabla1[[#This Row],[Aboard]]-Tabla1[[#This Row],[Fatalities]]</f>
        <v>0</v>
      </c>
      <c r="W3395" s="50">
        <f>IFERROR(Tabla1[[#This Row],[Fatalities]]/Tabla1[[#This Row],[Aboard]],0)</f>
        <v>1</v>
      </c>
      <c r="X3395" s="51" t="str" cm="1">
        <f t="array" ref="X3395">_xlfn.IFS(Tabla1[[#This Row],[Porcentaje de muertes]]&lt;0.35,"LEVE",AND(Tabla1[[#This Row],[Porcentaje de muertes]]&gt;0.35,Tabla1[[#This Row],[Porcentaje de muertes]]&lt;0.65),"MEDIO",Tabla1[[#This Row],[Porcentaje de muertes]]&gt;0.65,"GRAVE")</f>
        <v>GRAVE</v>
      </c>
    </row>
    <row r="3396" spans="2:24" x14ac:dyDescent="0.3">
      <c r="B3396" s="9">
        <v>3395</v>
      </c>
      <c r="C3396" s="49">
        <v>31758</v>
      </c>
      <c r="D3396" s="9">
        <f>YEAR(Tabla1[[#This Row],[Date]])</f>
        <v>1986</v>
      </c>
      <c r="E3396" s="9" t="str" cm="1">
        <f t="array" ref="E3396">IFERROR(_xlfn.IFS(AND(D3396&lt;1980,D3396&gt;=1970),"70",AND(D3396&lt;1990,D3396&gt;=1980),"80",AND(D3396&lt;2000,D3396&gt;=1990),"90",AND(D3396&lt;2010,D3396&gt;=2000),"00",AND(D3396&lt;=2019,D3396&gt;=2010),"10"),"1908-1970")</f>
        <v>80</v>
      </c>
      <c r="F3396" s="3" t="s">
        <v>28931</v>
      </c>
      <c r="G3396" t="s">
        <v>20221</v>
      </c>
      <c r="H3396" t="s">
        <v>6541</v>
      </c>
      <c r="I3396" t="s">
        <v>28931</v>
      </c>
      <c r="J3396" t="s">
        <v>20222</v>
      </c>
      <c r="K3396" t="s">
        <v>16145</v>
      </c>
      <c r="L3396" s="7" t="s">
        <v>20223</v>
      </c>
      <c r="M3396">
        <v>63145</v>
      </c>
      <c r="N3396">
        <v>82</v>
      </c>
      <c r="O3396">
        <v>73</v>
      </c>
      <c r="P3396">
        <v>9</v>
      </c>
      <c r="Q3396">
        <v>72</v>
      </c>
      <c r="R3396">
        <v>63</v>
      </c>
      <c r="S3396">
        <v>9</v>
      </c>
      <c r="T3396">
        <v>0</v>
      </c>
      <c r="U3396" t="s">
        <v>20224</v>
      </c>
      <c r="V3396">
        <f>Tabla1[[#This Row],[Aboard]]-Tabla1[[#This Row],[Fatalities]]</f>
        <v>10</v>
      </c>
      <c r="W3396" s="50">
        <f>IFERROR(Tabla1[[#This Row],[Fatalities]]/Tabla1[[#This Row],[Aboard]],0)</f>
        <v>0.87804878048780488</v>
      </c>
      <c r="X3396" s="51" t="str" cm="1">
        <f t="array" ref="X3396">_xlfn.IFS(Tabla1[[#This Row],[Porcentaje de muertes]]&lt;0.35,"LEVE",AND(Tabla1[[#This Row],[Porcentaje de muertes]]&gt;0.35,Tabla1[[#This Row],[Porcentaje de muertes]]&lt;0.65),"MEDIO",Tabla1[[#This Row],[Porcentaje de muertes]]&gt;0.65,"GRAVE")</f>
        <v>GRAVE</v>
      </c>
    </row>
    <row r="3397" spans="2:24" x14ac:dyDescent="0.3">
      <c r="B3397" s="9">
        <v>3396</v>
      </c>
      <c r="C3397" s="49">
        <v>31761</v>
      </c>
      <c r="D3397" s="9">
        <f>YEAR(Tabla1[[#This Row],[Date]])</f>
        <v>1986</v>
      </c>
      <c r="E3397" s="9" t="str" cm="1">
        <f t="array" ref="E3397">IFERROR(_xlfn.IFS(AND(D3397&lt;1980,D3397&gt;=1970),"70",AND(D3397&lt;1990,D3397&gt;=1980),"80",AND(D3397&lt;2000,D3397&gt;=1990),"90",AND(D3397&lt;2010,D3397&gt;=2000),"00",AND(D3397&lt;=2019,D3397&gt;=2010),"10"),"1908-1970")</f>
        <v>80</v>
      </c>
      <c r="F3397" s="3" t="s">
        <v>28931</v>
      </c>
      <c r="G3397" t="s">
        <v>20225</v>
      </c>
      <c r="H3397" t="s">
        <v>17531</v>
      </c>
      <c r="I3397" t="s">
        <v>28931</v>
      </c>
      <c r="J3397" t="s">
        <v>20226</v>
      </c>
      <c r="K3397" t="s">
        <v>17266</v>
      </c>
      <c r="L3397" s="7" t="s">
        <v>20227</v>
      </c>
      <c r="M3397">
        <v>37308907</v>
      </c>
      <c r="N3397">
        <v>44</v>
      </c>
      <c r="O3397">
        <v>37</v>
      </c>
      <c r="P3397">
        <v>7</v>
      </c>
      <c r="Q3397">
        <v>6</v>
      </c>
      <c r="R3397">
        <v>6</v>
      </c>
      <c r="S3397">
        <v>0</v>
      </c>
      <c r="T3397">
        <v>0</v>
      </c>
      <c r="U3397" t="s">
        <v>20228</v>
      </c>
      <c r="V3397">
        <f>Tabla1[[#This Row],[Aboard]]-Tabla1[[#This Row],[Fatalities]]</f>
        <v>38</v>
      </c>
      <c r="W3397" s="50">
        <f>IFERROR(Tabla1[[#This Row],[Fatalities]]/Tabla1[[#This Row],[Aboard]],0)</f>
        <v>0.13636363636363635</v>
      </c>
      <c r="X3397" s="51" t="str" cm="1">
        <f t="array" ref="X3397">_xlfn.IFS(Tabla1[[#This Row],[Porcentaje de muertes]]&lt;0.35,"LEVE",AND(Tabla1[[#This Row],[Porcentaje de muertes]]&gt;0.35,Tabla1[[#This Row],[Porcentaje de muertes]]&lt;0.65),"MEDIO",Tabla1[[#This Row],[Porcentaje de muertes]]&gt;0.65,"GRAVE")</f>
        <v>LEVE</v>
      </c>
    </row>
    <row r="3398" spans="2:24" x14ac:dyDescent="0.3">
      <c r="B3398" s="9">
        <v>3397</v>
      </c>
      <c r="C3398" s="49">
        <v>31771</v>
      </c>
      <c r="D3398" s="9">
        <f>YEAR(Tabla1[[#This Row],[Date]])</f>
        <v>1986</v>
      </c>
      <c r="E3398" s="9" t="str" cm="1">
        <f t="array" ref="E3398">IFERROR(_xlfn.IFS(AND(D3398&lt;1980,D3398&gt;=1970),"70",AND(D3398&lt;1990,D3398&gt;=1980),"80",AND(D3398&lt;2000,D3398&gt;=1990),"90",AND(D3398&lt;2010,D3398&gt;=2000),"00",AND(D3398&lt;=2019,D3398&gt;=2010),"10"),"1908-1970")</f>
        <v>80</v>
      </c>
      <c r="F3398" s="3">
        <v>0.52083333333333337</v>
      </c>
      <c r="G3398" t="s">
        <v>20229</v>
      </c>
      <c r="H3398" t="s">
        <v>20230</v>
      </c>
      <c r="I3398" t="s">
        <v>28931</v>
      </c>
      <c r="J3398" t="s">
        <v>20231</v>
      </c>
      <c r="K3398" t="s">
        <v>20232</v>
      </c>
      <c r="L3398" s="7" t="s">
        <v>20233</v>
      </c>
      <c r="M3398">
        <v>21183</v>
      </c>
      <c r="N3398">
        <v>106</v>
      </c>
      <c r="O3398">
        <v>91</v>
      </c>
      <c r="P3398">
        <v>15</v>
      </c>
      <c r="Q3398">
        <v>63</v>
      </c>
      <c r="R3398">
        <v>60</v>
      </c>
      <c r="S3398">
        <v>3</v>
      </c>
      <c r="T3398">
        <v>0</v>
      </c>
      <c r="U3398" t="s">
        <v>20234</v>
      </c>
      <c r="V3398">
        <f>Tabla1[[#This Row],[Aboard]]-Tabla1[[#This Row],[Fatalities]]</f>
        <v>43</v>
      </c>
      <c r="W3398" s="50">
        <f>IFERROR(Tabla1[[#This Row],[Fatalities]]/Tabla1[[#This Row],[Aboard]],0)</f>
        <v>0.59433962264150941</v>
      </c>
      <c r="X3398" s="51" t="str" cm="1">
        <f t="array" ref="X3398">_xlfn.IFS(Tabla1[[#This Row],[Porcentaje de muertes]]&lt;0.35,"LEVE",AND(Tabla1[[#This Row],[Porcentaje de muertes]]&gt;0.35,Tabla1[[#This Row],[Porcentaje de muertes]]&lt;0.65),"MEDIO",Tabla1[[#This Row],[Porcentaje de muertes]]&gt;0.65,"GRAVE")</f>
        <v>MEDIO</v>
      </c>
    </row>
    <row r="3399" spans="2:24" x14ac:dyDescent="0.3">
      <c r="B3399" s="9">
        <v>3398</v>
      </c>
      <c r="C3399" s="49">
        <v>31773</v>
      </c>
      <c r="D3399" s="9">
        <f>YEAR(Tabla1[[#This Row],[Date]])</f>
        <v>1986</v>
      </c>
      <c r="E3399" s="9" t="str" cm="1">
        <f t="array" ref="E3399">IFERROR(_xlfn.IFS(AND(D3399&lt;1980,D3399&gt;=1970),"70",AND(D3399&lt;1990,D3399&gt;=1980),"80",AND(D3399&lt;2000,D3399&gt;=1990),"90",AND(D3399&lt;2010,D3399&gt;=2000),"00",AND(D3399&lt;=2019,D3399&gt;=2010),"10"),"1908-1970")</f>
        <v>80</v>
      </c>
      <c r="F3399" s="3">
        <v>0.57500000000000007</v>
      </c>
      <c r="G3399" t="s">
        <v>20235</v>
      </c>
      <c r="H3399" t="s">
        <v>20236</v>
      </c>
      <c r="I3399" t="s">
        <v>28931</v>
      </c>
      <c r="J3399" t="s">
        <v>20237</v>
      </c>
      <c r="K3399" t="s">
        <v>11884</v>
      </c>
      <c r="L3399" s="7" t="s">
        <v>20238</v>
      </c>
      <c r="M3399">
        <v>14056</v>
      </c>
      <c r="N3399">
        <v>14</v>
      </c>
      <c r="O3399">
        <v>12</v>
      </c>
      <c r="P3399">
        <v>2</v>
      </c>
      <c r="Q3399">
        <v>11</v>
      </c>
      <c r="R3399">
        <v>9</v>
      </c>
      <c r="S3399">
        <v>2</v>
      </c>
      <c r="T3399">
        <v>0</v>
      </c>
      <c r="U3399" t="s">
        <v>20239</v>
      </c>
      <c r="V3399">
        <f>Tabla1[[#This Row],[Aboard]]-Tabla1[[#This Row],[Fatalities]]</f>
        <v>3</v>
      </c>
      <c r="W3399" s="50">
        <f>IFERROR(Tabla1[[#This Row],[Fatalities]]/Tabla1[[#This Row],[Aboard]],0)</f>
        <v>0.7857142857142857</v>
      </c>
      <c r="X3399" s="51" t="str" cm="1">
        <f t="array" ref="X3399">_xlfn.IFS(Tabla1[[#This Row],[Porcentaje de muertes]]&lt;0.35,"LEVE",AND(Tabla1[[#This Row],[Porcentaje de muertes]]&gt;0.35,Tabla1[[#This Row],[Porcentaje de muertes]]&lt;0.65),"MEDIO",Tabla1[[#This Row],[Porcentaje de muertes]]&gt;0.65,"GRAVE")</f>
        <v>GRAVE</v>
      </c>
    </row>
    <row r="3400" spans="2:24" x14ac:dyDescent="0.3">
      <c r="B3400" s="9">
        <v>3399</v>
      </c>
      <c r="C3400" s="49">
        <v>31809</v>
      </c>
      <c r="D3400" s="9">
        <f>YEAR(Tabla1[[#This Row],[Date]])</f>
        <v>1987</v>
      </c>
      <c r="E3400" s="9" t="str" cm="1">
        <f t="array" ref="E3400">IFERROR(_xlfn.IFS(AND(D3400&lt;1980,D3400&gt;=1970),"70",AND(D3400&lt;1990,D3400&gt;=1980),"80",AND(D3400&lt;2000,D3400&gt;=1990),"90",AND(D3400&lt;2010,D3400&gt;=2000),"00",AND(D3400&lt;=2019,D3400&gt;=2010),"10"),"1908-1970")</f>
        <v>80</v>
      </c>
      <c r="F3400" s="3">
        <v>0.6875</v>
      </c>
      <c r="G3400" t="s">
        <v>20240</v>
      </c>
      <c r="H3400" t="s">
        <v>20241</v>
      </c>
      <c r="I3400" t="s">
        <v>28931</v>
      </c>
      <c r="J3400" t="s">
        <v>20242</v>
      </c>
      <c r="K3400" t="s">
        <v>20243</v>
      </c>
      <c r="L3400" s="7" t="s">
        <v>20244</v>
      </c>
      <c r="M3400">
        <v>65</v>
      </c>
      <c r="N3400">
        <v>22</v>
      </c>
      <c r="O3400">
        <v>19</v>
      </c>
      <c r="P3400">
        <v>3</v>
      </c>
      <c r="Q3400">
        <v>22</v>
      </c>
      <c r="R3400">
        <v>19</v>
      </c>
      <c r="S3400">
        <v>3</v>
      </c>
      <c r="T3400">
        <v>0</v>
      </c>
      <c r="U3400" t="s">
        <v>20245</v>
      </c>
      <c r="V3400">
        <f>Tabla1[[#This Row],[Aboard]]-Tabla1[[#This Row],[Fatalities]]</f>
        <v>0</v>
      </c>
      <c r="W3400" s="50">
        <f>IFERROR(Tabla1[[#This Row],[Fatalities]]/Tabla1[[#This Row],[Aboard]],0)</f>
        <v>1</v>
      </c>
      <c r="X3400" s="51" t="str" cm="1">
        <f t="array" ref="X3400">_xlfn.IFS(Tabla1[[#This Row],[Porcentaje de muertes]]&lt;0.35,"LEVE",AND(Tabla1[[#This Row],[Porcentaje de muertes]]&gt;0.35,Tabla1[[#This Row],[Porcentaje de muertes]]&lt;0.65),"MEDIO",Tabla1[[#This Row],[Porcentaje de muertes]]&gt;0.65,"GRAVE")</f>
        <v>GRAVE</v>
      </c>
    </row>
    <row r="3401" spans="2:24" x14ac:dyDescent="0.3">
      <c r="B3401" s="9">
        <v>3400</v>
      </c>
      <c r="C3401" s="49">
        <v>31837</v>
      </c>
      <c r="D3401" s="9">
        <f>YEAR(Tabla1[[#This Row],[Date]])</f>
        <v>1987</v>
      </c>
      <c r="E3401" s="9" t="str" cm="1">
        <f t="array" ref="E3401">IFERROR(_xlfn.IFS(AND(D3401&lt;1980,D3401&gt;=1970),"70",AND(D3401&lt;1990,D3401&gt;=1980),"80",AND(D3401&lt;2000,D3401&gt;=1990),"90",AND(D3401&lt;2010,D3401&gt;=2000),"00",AND(D3401&lt;=2019,D3401&gt;=2010),"10"),"1908-1970")</f>
        <v>80</v>
      </c>
      <c r="F3401" s="3">
        <v>7.2916666666666671E-2</v>
      </c>
      <c r="G3401" t="s">
        <v>20246</v>
      </c>
      <c r="H3401" t="s">
        <v>8118</v>
      </c>
      <c r="I3401">
        <v>797</v>
      </c>
      <c r="J3401" t="s">
        <v>20247</v>
      </c>
      <c r="K3401" t="s">
        <v>20248</v>
      </c>
      <c r="L3401" s="7" t="s">
        <v>20249</v>
      </c>
      <c r="M3401" t="s">
        <v>20250</v>
      </c>
      <c r="N3401">
        <v>51</v>
      </c>
      <c r="O3401">
        <v>39</v>
      </c>
      <c r="P3401">
        <v>12</v>
      </c>
      <c r="Q3401">
        <v>50</v>
      </c>
      <c r="R3401">
        <v>38</v>
      </c>
      <c r="S3401">
        <v>12</v>
      </c>
      <c r="T3401">
        <v>0</v>
      </c>
      <c r="U3401" t="s">
        <v>20251</v>
      </c>
      <c r="V3401">
        <f>Tabla1[[#This Row],[Aboard]]-Tabla1[[#This Row],[Fatalities]]</f>
        <v>1</v>
      </c>
      <c r="W3401" s="50">
        <f>IFERROR(Tabla1[[#This Row],[Fatalities]]/Tabla1[[#This Row],[Aboard]],0)</f>
        <v>0.98039215686274506</v>
      </c>
      <c r="X3401" s="51" t="str" cm="1">
        <f t="array" ref="X3401">_xlfn.IFS(Tabla1[[#This Row],[Porcentaje de muertes]]&lt;0.35,"LEVE",AND(Tabla1[[#This Row],[Porcentaje de muertes]]&gt;0.35,Tabla1[[#This Row],[Porcentaje de muertes]]&lt;0.65),"MEDIO",Tabla1[[#This Row],[Porcentaje de muertes]]&gt;0.65,"GRAVE")</f>
        <v>GRAVE</v>
      </c>
    </row>
    <row r="3402" spans="2:24" x14ac:dyDescent="0.3">
      <c r="B3402" s="9">
        <v>3401</v>
      </c>
      <c r="C3402" s="49">
        <v>31790</v>
      </c>
      <c r="D3402" s="9">
        <f>YEAR(Tabla1[[#This Row],[Date]])</f>
        <v>1987</v>
      </c>
      <c r="E3402" s="9" t="str" cm="1">
        <f t="array" ref="E3402">IFERROR(_xlfn.IFS(AND(D3402&lt;1980,D3402&gt;=1970),"70",AND(D3402&lt;1990,D3402&gt;=1980),"80",AND(D3402&lt;2000,D3402&gt;=1990),"90",AND(D3402&lt;2010,D3402&gt;=2000),"00",AND(D3402&lt;=2019,D3402&gt;=2010),"10"),"1908-1970")</f>
        <v>80</v>
      </c>
      <c r="F3402" s="3">
        <v>0.5625</v>
      </c>
      <c r="G3402" t="s">
        <v>20252</v>
      </c>
      <c r="H3402" t="s">
        <v>19061</v>
      </c>
      <c r="I3402" t="s">
        <v>28931</v>
      </c>
      <c r="J3402" t="s">
        <v>20253</v>
      </c>
      <c r="K3402" t="s">
        <v>13992</v>
      </c>
      <c r="L3402" s="7" t="s">
        <v>28931</v>
      </c>
      <c r="M3402" t="s">
        <v>28931</v>
      </c>
      <c r="N3402">
        <v>54</v>
      </c>
      <c r="O3402">
        <v>49</v>
      </c>
      <c r="P3402">
        <v>5</v>
      </c>
      <c r="Q3402">
        <v>54</v>
      </c>
      <c r="R3402">
        <v>49</v>
      </c>
      <c r="S3402">
        <v>5</v>
      </c>
      <c r="T3402">
        <v>0</v>
      </c>
      <c r="U3402" t="s">
        <v>20254</v>
      </c>
      <c r="V3402">
        <f>Tabla1[[#This Row],[Aboard]]-Tabla1[[#This Row],[Fatalities]]</f>
        <v>0</v>
      </c>
      <c r="W3402" s="50">
        <f>IFERROR(Tabla1[[#This Row],[Fatalities]]/Tabla1[[#This Row],[Aboard]],0)</f>
        <v>1</v>
      </c>
      <c r="X3402" s="51" t="str" cm="1">
        <f t="array" ref="X3402">_xlfn.IFS(Tabla1[[#This Row],[Porcentaje de muertes]]&lt;0.35,"LEVE",AND(Tabla1[[#This Row],[Porcentaje de muertes]]&gt;0.35,Tabla1[[#This Row],[Porcentaje de muertes]]&lt;0.65),"MEDIO",Tabla1[[#This Row],[Porcentaje de muertes]]&gt;0.65,"GRAVE")</f>
        <v>GRAVE</v>
      </c>
    </row>
    <row r="3403" spans="2:24" x14ac:dyDescent="0.3">
      <c r="B3403" s="9">
        <v>3402</v>
      </c>
      <c r="C3403" s="49">
        <v>31792</v>
      </c>
      <c r="D3403" s="9">
        <f>YEAR(Tabla1[[#This Row],[Date]])</f>
        <v>1987</v>
      </c>
      <c r="E3403" s="9" t="str" cm="1">
        <f t="array" ref="E3403">IFERROR(_xlfn.IFS(AND(D3403&lt;1980,D3403&gt;=1970),"70",AND(D3403&lt;1990,D3403&gt;=1980),"80",AND(D3403&lt;2000,D3403&gt;=1990),"90",AND(D3403&lt;2010,D3403&gt;=2000),"00",AND(D3403&lt;=2019,D3403&gt;=2010),"10"),"1908-1970")</f>
        <v>80</v>
      </c>
      <c r="F3403" s="3">
        <v>0.53611111111111109</v>
      </c>
      <c r="G3403" t="s">
        <v>6130</v>
      </c>
      <c r="H3403" t="s">
        <v>20255</v>
      </c>
      <c r="I3403">
        <v>1834</v>
      </c>
      <c r="J3403" t="s">
        <v>20256</v>
      </c>
      <c r="K3403" t="s">
        <v>20257</v>
      </c>
      <c r="L3403" s="7" t="s">
        <v>20258</v>
      </c>
      <c r="M3403" t="s">
        <v>20259</v>
      </c>
      <c r="N3403">
        <v>10</v>
      </c>
      <c r="O3403">
        <v>8</v>
      </c>
      <c r="P3403">
        <v>2</v>
      </c>
      <c r="Q3403">
        <v>10</v>
      </c>
      <c r="R3403">
        <v>8</v>
      </c>
      <c r="S3403">
        <v>2</v>
      </c>
      <c r="T3403">
        <v>0</v>
      </c>
      <c r="U3403" t="s">
        <v>20260</v>
      </c>
      <c r="V3403">
        <f>Tabla1[[#This Row],[Aboard]]-Tabla1[[#This Row],[Fatalities]]</f>
        <v>0</v>
      </c>
      <c r="W3403" s="50">
        <f>IFERROR(Tabla1[[#This Row],[Fatalities]]/Tabla1[[#This Row],[Aboard]],0)</f>
        <v>1</v>
      </c>
      <c r="X3403" s="51" t="str" cm="1">
        <f t="array" ref="X3403">_xlfn.IFS(Tabla1[[#This Row],[Porcentaje de muertes]]&lt;0.35,"LEVE",AND(Tabla1[[#This Row],[Porcentaje de muertes]]&gt;0.35,Tabla1[[#This Row],[Porcentaje de muertes]]&lt;0.65),"MEDIO",Tabla1[[#This Row],[Porcentaje de muertes]]&gt;0.65,"GRAVE")</f>
        <v>GRAVE</v>
      </c>
    </row>
    <row r="3404" spans="2:24" x14ac:dyDescent="0.3">
      <c r="B3404" s="9">
        <v>3403</v>
      </c>
      <c r="C3404" s="49">
        <v>31793</v>
      </c>
      <c r="D3404" s="9">
        <f>YEAR(Tabla1[[#This Row],[Date]])</f>
        <v>1987</v>
      </c>
      <c r="E3404" s="9" t="str" cm="1">
        <f t="array" ref="E3404">IFERROR(_xlfn.IFS(AND(D3404&lt;1980,D3404&gt;=1970),"70",AND(D3404&lt;1990,D3404&gt;=1980),"80",AND(D3404&lt;2000,D3404&gt;=1990),"90",AND(D3404&lt;2010,D3404&gt;=2000),"00",AND(D3404&lt;=2019,D3404&gt;=2010),"10"),"1908-1970")</f>
        <v>80</v>
      </c>
      <c r="F3404" s="3">
        <v>0.34097222222222223</v>
      </c>
      <c r="G3404" t="s">
        <v>20261</v>
      </c>
      <c r="H3404" t="s">
        <v>6541</v>
      </c>
      <c r="I3404" t="s">
        <v>20262</v>
      </c>
      <c r="J3404" t="s">
        <v>20263</v>
      </c>
      <c r="K3404" t="s">
        <v>15961</v>
      </c>
      <c r="L3404" s="7" t="s">
        <v>20264</v>
      </c>
      <c r="M3404">
        <v>9131918</v>
      </c>
      <c r="N3404">
        <v>9</v>
      </c>
      <c r="O3404">
        <v>5</v>
      </c>
      <c r="P3404">
        <v>4</v>
      </c>
      <c r="Q3404">
        <v>9</v>
      </c>
      <c r="R3404">
        <v>5</v>
      </c>
      <c r="S3404">
        <v>4</v>
      </c>
      <c r="T3404">
        <v>0</v>
      </c>
      <c r="U3404" t="s">
        <v>20265</v>
      </c>
      <c r="V3404">
        <f>Tabla1[[#This Row],[Aboard]]-Tabla1[[#This Row],[Fatalities]]</f>
        <v>0</v>
      </c>
      <c r="W3404" s="50">
        <f>IFERROR(Tabla1[[#This Row],[Fatalities]]/Tabla1[[#This Row],[Aboard]],0)</f>
        <v>1</v>
      </c>
      <c r="X3404" s="51" t="str" cm="1">
        <f t="array" ref="X3404">_xlfn.IFS(Tabla1[[#This Row],[Porcentaje de muertes]]&lt;0.35,"LEVE",AND(Tabla1[[#This Row],[Porcentaje de muertes]]&gt;0.35,Tabla1[[#This Row],[Porcentaje de muertes]]&lt;0.65),"MEDIO",Tabla1[[#This Row],[Porcentaje de muertes]]&gt;0.65,"GRAVE")</f>
        <v>GRAVE</v>
      </c>
    </row>
    <row r="3405" spans="2:24" x14ac:dyDescent="0.3">
      <c r="B3405" s="9">
        <v>3404</v>
      </c>
      <c r="C3405" s="49">
        <v>31930</v>
      </c>
      <c r="D3405" s="9">
        <f>YEAR(Tabla1[[#This Row],[Date]])</f>
        <v>1987</v>
      </c>
      <c r="E3405" s="9" t="str" cm="1">
        <f t="array" ref="E3405">IFERROR(_xlfn.IFS(AND(D3405&lt;1980,D3405&gt;=1970),"70",AND(D3405&lt;1990,D3405&gt;=1980),"80",AND(D3405&lt;2000,D3405&gt;=1990),"90",AND(D3405&lt;2010,D3405&gt;=2000),"00",AND(D3405&lt;=2019,D3405&gt;=2010),"10"),"1908-1970")</f>
        <v>80</v>
      </c>
      <c r="F3405" s="3" t="s">
        <v>28931</v>
      </c>
      <c r="G3405" t="s">
        <v>20266</v>
      </c>
      <c r="H3405" t="s">
        <v>19661</v>
      </c>
      <c r="I3405" t="s">
        <v>28931</v>
      </c>
      <c r="J3405" t="s">
        <v>20267</v>
      </c>
      <c r="K3405" t="s">
        <v>20268</v>
      </c>
      <c r="L3405" s="7" t="s">
        <v>20269</v>
      </c>
      <c r="M3405" t="s">
        <v>20270</v>
      </c>
      <c r="N3405">
        <v>17</v>
      </c>
      <c r="O3405">
        <v>15</v>
      </c>
      <c r="P3405">
        <v>2</v>
      </c>
      <c r="Q3405">
        <v>14</v>
      </c>
      <c r="R3405">
        <v>12</v>
      </c>
      <c r="S3405">
        <v>2</v>
      </c>
      <c r="T3405">
        <v>0</v>
      </c>
      <c r="U3405" t="s">
        <v>20271</v>
      </c>
      <c r="V3405">
        <f>Tabla1[[#This Row],[Aboard]]-Tabla1[[#This Row],[Fatalities]]</f>
        <v>3</v>
      </c>
      <c r="W3405" s="50">
        <f>IFERROR(Tabla1[[#This Row],[Fatalities]]/Tabla1[[#This Row],[Aboard]],0)</f>
        <v>0.82352941176470584</v>
      </c>
      <c r="X3405" s="51" t="str" cm="1">
        <f t="array" ref="X3405">_xlfn.IFS(Tabla1[[#This Row],[Porcentaje de muertes]]&lt;0.35,"LEVE",AND(Tabla1[[#This Row],[Porcentaje de muertes]]&gt;0.35,Tabla1[[#This Row],[Porcentaje de muertes]]&lt;0.65),"MEDIO",Tabla1[[#This Row],[Porcentaje de muertes]]&gt;0.65,"GRAVE")</f>
        <v>GRAVE</v>
      </c>
    </row>
    <row r="3406" spans="2:24" x14ac:dyDescent="0.3">
      <c r="B3406" s="9">
        <v>3405</v>
      </c>
      <c r="C3406" s="49">
        <v>32022</v>
      </c>
      <c r="D3406" s="9">
        <f>YEAR(Tabla1[[#This Row],[Date]])</f>
        <v>1987</v>
      </c>
      <c r="E3406" s="9" t="str" cm="1">
        <f t="array" ref="E3406">IFERROR(_xlfn.IFS(AND(D3406&lt;1980,D3406&gt;=1970),"70",AND(D3406&lt;1990,D3406&gt;=1980),"80",AND(D3406&lt;2000,D3406&gt;=1990),"90",AND(D3406&lt;2010,D3406&gt;=2000),"00",AND(D3406&lt;=2019,D3406&gt;=2010),"10"),"1908-1970")</f>
        <v>80</v>
      </c>
      <c r="F3406" s="3">
        <v>0.47916666666666669</v>
      </c>
      <c r="G3406" t="s">
        <v>20272</v>
      </c>
      <c r="H3406" t="s">
        <v>20220</v>
      </c>
      <c r="I3406" t="s">
        <v>28931</v>
      </c>
      <c r="J3406" t="s">
        <v>20273</v>
      </c>
      <c r="K3406" t="s">
        <v>17904</v>
      </c>
      <c r="L3406" s="7" t="s">
        <v>28931</v>
      </c>
      <c r="M3406" t="s">
        <v>28931</v>
      </c>
      <c r="N3406">
        <v>36</v>
      </c>
      <c r="O3406">
        <v>30</v>
      </c>
      <c r="P3406">
        <v>6</v>
      </c>
      <c r="Q3406">
        <v>36</v>
      </c>
      <c r="R3406">
        <v>30</v>
      </c>
      <c r="S3406">
        <v>6</v>
      </c>
      <c r="T3406">
        <v>0</v>
      </c>
      <c r="U3406" t="s">
        <v>20274</v>
      </c>
      <c r="V3406">
        <f>Tabla1[[#This Row],[Aboard]]-Tabla1[[#This Row],[Fatalities]]</f>
        <v>0</v>
      </c>
      <c r="W3406" s="50">
        <f>IFERROR(Tabla1[[#This Row],[Fatalities]]/Tabla1[[#This Row],[Aboard]],0)</f>
        <v>1</v>
      </c>
      <c r="X3406" s="51" t="str" cm="1">
        <f t="array" ref="X3406">_xlfn.IFS(Tabla1[[#This Row],[Porcentaje de muertes]]&lt;0.35,"LEVE",AND(Tabla1[[#This Row],[Porcentaje de muertes]]&gt;0.35,Tabla1[[#This Row],[Porcentaje de muertes]]&lt;0.65),"MEDIO",Tabla1[[#This Row],[Porcentaje de muertes]]&gt;0.65,"GRAVE")</f>
        <v>GRAVE</v>
      </c>
    </row>
    <row r="3407" spans="2:24" x14ac:dyDescent="0.3">
      <c r="B3407" s="9">
        <v>3406</v>
      </c>
      <c r="C3407" s="49">
        <v>31870</v>
      </c>
      <c r="D3407" s="9">
        <f>YEAR(Tabla1[[#This Row],[Date]])</f>
        <v>1987</v>
      </c>
      <c r="E3407" s="9" t="str" cm="1">
        <f t="array" ref="E3407">IFERROR(_xlfn.IFS(AND(D3407&lt;1980,D3407&gt;=1970),"70",AND(D3407&lt;1990,D3407&gt;=1980),"80",AND(D3407&lt;2000,D3407&gt;=1990),"90",AND(D3407&lt;2010,D3407&gt;=2000),"00",AND(D3407&lt;=2019,D3407&gt;=2010),"10"),"1908-1970")</f>
        <v>80</v>
      </c>
      <c r="F3407" s="3">
        <v>0.6069444444444444</v>
      </c>
      <c r="G3407" t="s">
        <v>14275</v>
      </c>
      <c r="H3407" t="s">
        <v>20275</v>
      </c>
      <c r="I3407">
        <v>2268</v>
      </c>
      <c r="J3407" t="s">
        <v>15758</v>
      </c>
      <c r="K3407" t="s">
        <v>20276</v>
      </c>
      <c r="L3407" s="7" t="s">
        <v>20277</v>
      </c>
      <c r="M3407">
        <v>160</v>
      </c>
      <c r="N3407">
        <v>22</v>
      </c>
      <c r="O3407">
        <v>20</v>
      </c>
      <c r="P3407">
        <v>2</v>
      </c>
      <c r="Q3407">
        <v>9</v>
      </c>
      <c r="R3407">
        <v>7</v>
      </c>
      <c r="S3407">
        <v>2</v>
      </c>
      <c r="T3407">
        <v>0</v>
      </c>
      <c r="U3407" t="s">
        <v>20278</v>
      </c>
      <c r="V3407">
        <f>Tabla1[[#This Row],[Aboard]]-Tabla1[[#This Row],[Fatalities]]</f>
        <v>13</v>
      </c>
      <c r="W3407" s="50">
        <f>IFERROR(Tabla1[[#This Row],[Fatalities]]/Tabla1[[#This Row],[Aboard]],0)</f>
        <v>0.40909090909090912</v>
      </c>
      <c r="X3407" s="51" t="str" cm="1">
        <f t="array" ref="X3407">_xlfn.IFS(Tabla1[[#This Row],[Porcentaje de muertes]]&lt;0.35,"LEVE",AND(Tabla1[[#This Row],[Porcentaje de muertes]]&gt;0.35,Tabla1[[#This Row],[Porcentaje de muertes]]&lt;0.65),"MEDIO",Tabla1[[#This Row],[Porcentaje de muertes]]&gt;0.65,"GRAVE")</f>
        <v>MEDIO</v>
      </c>
    </row>
    <row r="3408" spans="2:24" x14ac:dyDescent="0.3">
      <c r="B3408" s="9">
        <v>3407</v>
      </c>
      <c r="C3408" s="49">
        <v>31931</v>
      </c>
      <c r="D3408" s="9">
        <f>YEAR(Tabla1[[#This Row],[Date]])</f>
        <v>1987</v>
      </c>
      <c r="E3408" s="9" t="str" cm="1">
        <f t="array" ref="E3408">IFERROR(_xlfn.IFS(AND(D3408&lt;1980,D3408&gt;=1970),"70",AND(D3408&lt;1990,D3408&gt;=1980),"80",AND(D3408&lt;2000,D3408&gt;=1990),"90",AND(D3408&lt;2010,D3408&gt;=2000),"00",AND(D3408&lt;=2019,D3408&gt;=2010),"10"),"1908-1970")</f>
        <v>80</v>
      </c>
      <c r="F3408" s="3">
        <v>0.79861111111111116</v>
      </c>
      <c r="G3408" t="s">
        <v>20279</v>
      </c>
      <c r="H3408" t="s">
        <v>6541</v>
      </c>
      <c r="I3408" t="s">
        <v>28931</v>
      </c>
      <c r="J3408" t="s">
        <v>20280</v>
      </c>
      <c r="K3408" t="s">
        <v>16446</v>
      </c>
      <c r="L3408" s="7" t="s">
        <v>20281</v>
      </c>
      <c r="M3408">
        <v>9901</v>
      </c>
      <c r="N3408">
        <v>9</v>
      </c>
      <c r="O3408">
        <v>4</v>
      </c>
      <c r="P3408">
        <v>5</v>
      </c>
      <c r="Q3408">
        <v>9</v>
      </c>
      <c r="R3408">
        <v>4</v>
      </c>
      <c r="S3408">
        <v>5</v>
      </c>
      <c r="T3408">
        <v>0</v>
      </c>
      <c r="U3408" t="s">
        <v>20282</v>
      </c>
      <c r="V3408">
        <f>Tabla1[[#This Row],[Aboard]]-Tabla1[[#This Row],[Fatalities]]</f>
        <v>0</v>
      </c>
      <c r="W3408" s="50">
        <f>IFERROR(Tabla1[[#This Row],[Fatalities]]/Tabla1[[#This Row],[Aboard]],0)</f>
        <v>1</v>
      </c>
      <c r="X3408" s="51" t="str" cm="1">
        <f t="array" ref="X3408">_xlfn.IFS(Tabla1[[#This Row],[Porcentaje de muertes]]&lt;0.35,"LEVE",AND(Tabla1[[#This Row],[Porcentaje de muertes]]&gt;0.35,Tabla1[[#This Row],[Porcentaje de muertes]]&lt;0.65),"MEDIO",Tabla1[[#This Row],[Porcentaje de muertes]]&gt;0.65,"GRAVE")</f>
        <v>GRAVE</v>
      </c>
    </row>
    <row r="3409" spans="2:24" x14ac:dyDescent="0.3">
      <c r="B3409" s="9">
        <v>3408</v>
      </c>
      <c r="C3409" s="49">
        <v>31849</v>
      </c>
      <c r="D3409" s="9">
        <f>YEAR(Tabla1[[#This Row],[Date]])</f>
        <v>1987</v>
      </c>
      <c r="E3409" s="9" t="str" cm="1">
        <f t="array" ref="E3409">IFERROR(_xlfn.IFS(AND(D3409&lt;1980,D3409&gt;=1970),"70",AND(D3409&lt;1990,D3409&gt;=1980),"80",AND(D3409&lt;2000,D3409&gt;=1990),"90",AND(D3409&lt;2010,D3409&gt;=2000),"00",AND(D3409&lt;=2019,D3409&gt;=2010),"10"),"1908-1970")</f>
        <v>80</v>
      </c>
      <c r="F3409" s="3" t="s">
        <v>28931</v>
      </c>
      <c r="G3409" t="s">
        <v>18807</v>
      </c>
      <c r="H3409" t="s">
        <v>7987</v>
      </c>
      <c r="I3409" t="s">
        <v>28931</v>
      </c>
      <c r="J3409" t="s">
        <v>6190</v>
      </c>
      <c r="K3409" t="s">
        <v>20283</v>
      </c>
      <c r="L3409" s="7" t="s">
        <v>20284</v>
      </c>
      <c r="M3409" t="s">
        <v>20285</v>
      </c>
      <c r="N3409">
        <v>6</v>
      </c>
      <c r="O3409">
        <v>0</v>
      </c>
      <c r="P3409">
        <v>6</v>
      </c>
      <c r="Q3409">
        <v>6</v>
      </c>
      <c r="R3409">
        <v>0</v>
      </c>
      <c r="S3409">
        <v>6</v>
      </c>
      <c r="T3409">
        <v>1</v>
      </c>
      <c r="U3409" t="s">
        <v>20286</v>
      </c>
      <c r="V3409">
        <f>Tabla1[[#This Row],[Aboard]]-Tabla1[[#This Row],[Fatalities]]</f>
        <v>0</v>
      </c>
      <c r="W3409" s="50">
        <f>IFERROR(Tabla1[[#This Row],[Fatalities]]/Tabla1[[#This Row],[Aboard]],0)</f>
        <v>1</v>
      </c>
      <c r="X3409" s="51" t="str" cm="1">
        <f t="array" ref="X3409">_xlfn.IFS(Tabla1[[#This Row],[Porcentaje de muertes]]&lt;0.35,"LEVE",AND(Tabla1[[#This Row],[Porcentaje de muertes]]&gt;0.35,Tabla1[[#This Row],[Porcentaje de muertes]]&lt;0.65),"MEDIO",Tabla1[[#This Row],[Porcentaje de muertes]]&gt;0.65,"GRAVE")</f>
        <v>GRAVE</v>
      </c>
    </row>
    <row r="3410" spans="2:24" x14ac:dyDescent="0.3">
      <c r="B3410" s="9">
        <v>3409</v>
      </c>
      <c r="C3410" s="49">
        <v>31857</v>
      </c>
      <c r="D3410" s="9">
        <f>YEAR(Tabla1[[#This Row],[Date]])</f>
        <v>1987</v>
      </c>
      <c r="E3410" s="9" t="str" cm="1">
        <f t="array" ref="E3410">IFERROR(_xlfn.IFS(AND(D3410&lt;1980,D3410&gt;=1970),"70",AND(D3410&lt;1990,D3410&gt;=1980),"80",AND(D3410&lt;2000,D3410&gt;=1990),"90",AND(D3410&lt;2010,D3410&gt;=2000),"00",AND(D3410&lt;=2019,D3410&gt;=2010),"10"),"1908-1970")</f>
        <v>80</v>
      </c>
      <c r="F3410" s="3">
        <v>0.57986111111111105</v>
      </c>
      <c r="G3410" t="s">
        <v>20287</v>
      </c>
      <c r="H3410" t="s">
        <v>20288</v>
      </c>
      <c r="I3410" t="s">
        <v>28931</v>
      </c>
      <c r="J3410" t="s">
        <v>28931</v>
      </c>
      <c r="K3410" t="s">
        <v>20289</v>
      </c>
      <c r="L3410" s="7" t="s">
        <v>20290</v>
      </c>
      <c r="M3410">
        <v>1403</v>
      </c>
      <c r="N3410">
        <v>2</v>
      </c>
      <c r="O3410">
        <v>0</v>
      </c>
      <c r="P3410">
        <v>2</v>
      </c>
      <c r="Q3410">
        <v>2</v>
      </c>
      <c r="R3410">
        <v>0</v>
      </c>
      <c r="S3410">
        <v>2</v>
      </c>
      <c r="T3410">
        <v>0</v>
      </c>
      <c r="U3410" t="s">
        <v>20291</v>
      </c>
      <c r="V3410">
        <f>Tabla1[[#This Row],[Aboard]]-Tabla1[[#This Row],[Fatalities]]</f>
        <v>0</v>
      </c>
      <c r="W3410" s="50">
        <f>IFERROR(Tabla1[[#This Row],[Fatalities]]/Tabla1[[#This Row],[Aboard]],0)</f>
        <v>1</v>
      </c>
      <c r="X3410" s="51" t="str" cm="1">
        <f t="array" ref="X3410">_xlfn.IFS(Tabla1[[#This Row],[Porcentaje de muertes]]&lt;0.35,"LEVE",AND(Tabla1[[#This Row],[Porcentaje de muertes]]&gt;0.35,Tabla1[[#This Row],[Porcentaje de muertes]]&lt;0.65),"MEDIO",Tabla1[[#This Row],[Porcentaje de muertes]]&gt;0.65,"GRAVE")</f>
        <v>GRAVE</v>
      </c>
    </row>
    <row r="3411" spans="2:24" x14ac:dyDescent="0.3">
      <c r="B3411" s="9">
        <v>3410</v>
      </c>
      <c r="C3411" s="49">
        <v>31866</v>
      </c>
      <c r="D3411" s="9">
        <f>YEAR(Tabla1[[#This Row],[Date]])</f>
        <v>1987</v>
      </c>
      <c r="E3411" s="9" t="str" cm="1">
        <f t="array" ref="E3411">IFERROR(_xlfn.IFS(AND(D3411&lt;1980,D3411&gt;=1970),"70",AND(D3411&lt;1990,D3411&gt;=1980),"80",AND(D3411&lt;2000,D3411&gt;=1990),"90",AND(D3411&lt;2010,D3411&gt;=2000),"00",AND(D3411&lt;=2019,D3411&gt;=2010),"10"),"1908-1970")</f>
        <v>80</v>
      </c>
      <c r="F3411" s="3">
        <v>0.45833333333333331</v>
      </c>
      <c r="G3411" t="s">
        <v>20292</v>
      </c>
      <c r="H3411" t="s">
        <v>20220</v>
      </c>
      <c r="I3411" t="s">
        <v>28931</v>
      </c>
      <c r="J3411" t="s">
        <v>20293</v>
      </c>
      <c r="K3411" t="s">
        <v>17904</v>
      </c>
      <c r="L3411" s="7" t="s">
        <v>28931</v>
      </c>
      <c r="M3411" t="s">
        <v>28931</v>
      </c>
      <c r="N3411">
        <v>40</v>
      </c>
      <c r="O3411">
        <v>36</v>
      </c>
      <c r="P3411">
        <v>4</v>
      </c>
      <c r="Q3411">
        <v>40</v>
      </c>
      <c r="R3411">
        <v>36</v>
      </c>
      <c r="S3411">
        <v>4</v>
      </c>
      <c r="T3411">
        <v>0</v>
      </c>
      <c r="U3411" t="s">
        <v>20294</v>
      </c>
      <c r="V3411">
        <f>Tabla1[[#This Row],[Aboard]]-Tabla1[[#This Row],[Fatalities]]</f>
        <v>0</v>
      </c>
      <c r="W3411" s="50">
        <f>IFERROR(Tabla1[[#This Row],[Fatalities]]/Tabla1[[#This Row],[Aboard]],0)</f>
        <v>1</v>
      </c>
      <c r="X3411" s="51" t="str" cm="1">
        <f t="array" ref="X3411">_xlfn.IFS(Tabla1[[#This Row],[Porcentaje de muertes]]&lt;0.35,"LEVE",AND(Tabla1[[#This Row],[Porcentaje de muertes]]&gt;0.35,Tabla1[[#This Row],[Porcentaje de muertes]]&lt;0.65),"MEDIO",Tabla1[[#This Row],[Porcentaje de muertes]]&gt;0.65,"GRAVE")</f>
        <v>GRAVE</v>
      </c>
    </row>
    <row r="3412" spans="2:24" x14ac:dyDescent="0.3">
      <c r="B3412" s="9">
        <v>3411</v>
      </c>
      <c r="C3412" s="49">
        <v>31871</v>
      </c>
      <c r="D3412" s="9">
        <f>YEAR(Tabla1[[#This Row],[Date]])</f>
        <v>1987</v>
      </c>
      <c r="E3412" s="9" t="str" cm="1">
        <f t="array" ref="E3412">IFERROR(_xlfn.IFS(AND(D3412&lt;1980,D3412&gt;=1970),"70",AND(D3412&lt;1990,D3412&gt;=1980),"80",AND(D3412&lt;2000,D3412&gt;=1990),"90",AND(D3412&lt;2010,D3412&gt;=2000),"00",AND(D3412&lt;=2019,D3412&gt;=2010),"10"),"1908-1970")</f>
        <v>80</v>
      </c>
      <c r="F3412" s="3">
        <v>0.61111111111111105</v>
      </c>
      <c r="G3412" t="s">
        <v>20295</v>
      </c>
      <c r="H3412" t="s">
        <v>10225</v>
      </c>
      <c r="I3412">
        <v>35</v>
      </c>
      <c r="J3412" t="s">
        <v>20296</v>
      </c>
      <c r="K3412" t="s">
        <v>15468</v>
      </c>
      <c r="L3412" s="7" t="s">
        <v>20297</v>
      </c>
      <c r="M3412" t="s">
        <v>20298</v>
      </c>
      <c r="N3412">
        <v>45</v>
      </c>
      <c r="O3412">
        <v>37</v>
      </c>
      <c r="P3412">
        <v>8</v>
      </c>
      <c r="Q3412">
        <v>27</v>
      </c>
      <c r="R3412">
        <v>23</v>
      </c>
      <c r="S3412">
        <v>4</v>
      </c>
      <c r="T3412">
        <v>0</v>
      </c>
      <c r="U3412" t="s">
        <v>20299</v>
      </c>
      <c r="V3412">
        <f>Tabla1[[#This Row],[Aboard]]-Tabla1[[#This Row],[Fatalities]]</f>
        <v>18</v>
      </c>
      <c r="W3412" s="50">
        <f>IFERROR(Tabla1[[#This Row],[Fatalities]]/Tabla1[[#This Row],[Aboard]],0)</f>
        <v>0.6</v>
      </c>
      <c r="X3412" s="51" t="str" cm="1">
        <f t="array" ref="X3412">_xlfn.IFS(Tabla1[[#This Row],[Porcentaje de muertes]]&lt;0.35,"LEVE",AND(Tabla1[[#This Row],[Porcentaje de muertes]]&gt;0.35,Tabla1[[#This Row],[Porcentaje de muertes]]&lt;0.65),"MEDIO",Tabla1[[#This Row],[Porcentaje de muertes]]&gt;0.65,"GRAVE")</f>
        <v>MEDIO</v>
      </c>
    </row>
    <row r="3413" spans="2:24" x14ac:dyDescent="0.3">
      <c r="B3413" s="9">
        <v>3412</v>
      </c>
      <c r="C3413" s="49">
        <v>31880</v>
      </c>
      <c r="D3413" s="9">
        <f>YEAR(Tabla1[[#This Row],[Date]])</f>
        <v>1987</v>
      </c>
      <c r="E3413" s="9" t="str" cm="1">
        <f t="array" ref="E3413">IFERROR(_xlfn.IFS(AND(D3413&lt;1980,D3413&gt;=1970),"70",AND(D3413&lt;1990,D3413&gt;=1980),"80",AND(D3413&lt;2000,D3413&gt;=1990),"90",AND(D3413&lt;2010,D3413&gt;=2000),"00",AND(D3413&lt;=2019,D3413&gt;=2010),"10"),"1908-1970")</f>
        <v>80</v>
      </c>
      <c r="F3413" s="3">
        <v>0.91319444444444453</v>
      </c>
      <c r="G3413" t="s">
        <v>19747</v>
      </c>
      <c r="H3413" t="s">
        <v>20300</v>
      </c>
      <c r="I3413" t="s">
        <v>28931</v>
      </c>
      <c r="J3413" t="s">
        <v>20301</v>
      </c>
      <c r="K3413" t="s">
        <v>20302</v>
      </c>
      <c r="L3413" s="7" t="s">
        <v>20303</v>
      </c>
      <c r="M3413" t="s">
        <v>20304</v>
      </c>
      <c r="N3413">
        <v>4</v>
      </c>
      <c r="O3413">
        <v>1</v>
      </c>
      <c r="P3413">
        <v>3</v>
      </c>
      <c r="Q3413">
        <v>4</v>
      </c>
      <c r="R3413">
        <v>1</v>
      </c>
      <c r="S3413">
        <v>3</v>
      </c>
      <c r="T3413">
        <v>0</v>
      </c>
      <c r="U3413" t="s">
        <v>20305</v>
      </c>
      <c r="V3413">
        <f>Tabla1[[#This Row],[Aboard]]-Tabla1[[#This Row],[Fatalities]]</f>
        <v>0</v>
      </c>
      <c r="W3413" s="50">
        <f>IFERROR(Tabla1[[#This Row],[Fatalities]]/Tabla1[[#This Row],[Aboard]],0)</f>
        <v>1</v>
      </c>
      <c r="X3413" s="51" t="str" cm="1">
        <f t="array" ref="X3413">_xlfn.IFS(Tabla1[[#This Row],[Porcentaje de muertes]]&lt;0.35,"LEVE",AND(Tabla1[[#This Row],[Porcentaje de muertes]]&gt;0.35,Tabla1[[#This Row],[Porcentaje de muertes]]&lt;0.65),"MEDIO",Tabla1[[#This Row],[Porcentaje de muertes]]&gt;0.65,"GRAVE")</f>
        <v>GRAVE</v>
      </c>
    </row>
    <row r="3414" spans="2:24" x14ac:dyDescent="0.3">
      <c r="B3414" s="9">
        <v>3413</v>
      </c>
      <c r="C3414" s="49">
        <v>31890</v>
      </c>
      <c r="D3414" s="9">
        <f>YEAR(Tabla1[[#This Row],[Date]])</f>
        <v>1987</v>
      </c>
      <c r="E3414" s="9" t="str" cm="1">
        <f t="array" ref="E3414">IFERROR(_xlfn.IFS(AND(D3414&lt;1980,D3414&gt;=1970),"70",AND(D3414&lt;1990,D3414&gt;=1980),"80",AND(D3414&lt;2000,D3414&gt;=1990),"90",AND(D3414&lt;2010,D3414&gt;=2000),"00",AND(D3414&lt;=2019,D3414&gt;=2010),"10"),"1908-1970")</f>
        <v>80</v>
      </c>
      <c r="F3414" s="3">
        <v>0.81597222222222221</v>
      </c>
      <c r="G3414" t="s">
        <v>20306</v>
      </c>
      <c r="H3414" t="s">
        <v>20307</v>
      </c>
      <c r="I3414" t="s">
        <v>28931</v>
      </c>
      <c r="J3414" t="s">
        <v>20308</v>
      </c>
      <c r="K3414" t="s">
        <v>20309</v>
      </c>
      <c r="L3414" s="7" t="s">
        <v>20310</v>
      </c>
      <c r="M3414" t="s">
        <v>20311</v>
      </c>
      <c r="N3414">
        <v>2</v>
      </c>
      <c r="O3414">
        <v>0</v>
      </c>
      <c r="P3414">
        <v>2</v>
      </c>
      <c r="Q3414">
        <v>2</v>
      </c>
      <c r="R3414">
        <v>0</v>
      </c>
      <c r="S3414">
        <v>2</v>
      </c>
      <c r="T3414">
        <v>0</v>
      </c>
      <c r="U3414" t="s">
        <v>20312</v>
      </c>
      <c r="V3414">
        <f>Tabla1[[#This Row],[Aboard]]-Tabla1[[#This Row],[Fatalities]]</f>
        <v>0</v>
      </c>
      <c r="W3414" s="50">
        <f>IFERROR(Tabla1[[#This Row],[Fatalities]]/Tabla1[[#This Row],[Aboard]],0)</f>
        <v>1</v>
      </c>
      <c r="X3414" s="51" t="str" cm="1">
        <f t="array" ref="X3414">_xlfn.IFS(Tabla1[[#This Row],[Porcentaje de muertes]]&lt;0.35,"LEVE",AND(Tabla1[[#This Row],[Porcentaje de muertes]]&gt;0.35,Tabla1[[#This Row],[Porcentaje de muertes]]&lt;0.65),"MEDIO",Tabla1[[#This Row],[Porcentaje de muertes]]&gt;0.65,"GRAVE")</f>
        <v>GRAVE</v>
      </c>
    </row>
    <row r="3415" spans="2:24" x14ac:dyDescent="0.3">
      <c r="B3415" s="9">
        <v>3414</v>
      </c>
      <c r="C3415" s="49">
        <v>31902</v>
      </c>
      <c r="D3415" s="9">
        <f>YEAR(Tabla1[[#This Row],[Date]])</f>
        <v>1987</v>
      </c>
      <c r="E3415" s="9" t="str" cm="1">
        <f t="array" ref="E3415">IFERROR(_xlfn.IFS(AND(D3415&lt;1980,D3415&gt;=1970),"70",AND(D3415&lt;1990,D3415&gt;=1980),"80",AND(D3415&lt;2000,D3415&gt;=1990),"90",AND(D3415&lt;2010,D3415&gt;=2000),"00",AND(D3415&lt;=2019,D3415&gt;=2010),"10"),"1908-1970")</f>
        <v>80</v>
      </c>
      <c r="F3415" s="3" t="s">
        <v>28931</v>
      </c>
      <c r="G3415" t="s">
        <v>20142</v>
      </c>
      <c r="H3415" t="s">
        <v>20313</v>
      </c>
      <c r="I3415" t="s">
        <v>28931</v>
      </c>
      <c r="J3415" t="s">
        <v>20314</v>
      </c>
      <c r="K3415" t="s">
        <v>20315</v>
      </c>
      <c r="L3415" s="7" t="s">
        <v>20316</v>
      </c>
      <c r="M3415" t="s">
        <v>20317</v>
      </c>
      <c r="N3415">
        <v>14</v>
      </c>
      <c r="O3415">
        <v>12</v>
      </c>
      <c r="P3415">
        <v>2</v>
      </c>
      <c r="Q3415">
        <v>14</v>
      </c>
      <c r="R3415">
        <v>12</v>
      </c>
      <c r="S3415">
        <v>2</v>
      </c>
      <c r="T3415">
        <v>0</v>
      </c>
      <c r="U3415" t="s">
        <v>20318</v>
      </c>
      <c r="V3415">
        <f>Tabla1[[#This Row],[Aboard]]-Tabla1[[#This Row],[Fatalities]]</f>
        <v>0</v>
      </c>
      <c r="W3415" s="50">
        <f>IFERROR(Tabla1[[#This Row],[Fatalities]]/Tabla1[[#This Row],[Aboard]],0)</f>
        <v>1</v>
      </c>
      <c r="X3415" s="51" t="str" cm="1">
        <f t="array" ref="X3415">_xlfn.IFS(Tabla1[[#This Row],[Porcentaje de muertes]]&lt;0.35,"LEVE",AND(Tabla1[[#This Row],[Porcentaje de muertes]]&gt;0.35,Tabla1[[#This Row],[Porcentaje de muertes]]&lt;0.65),"MEDIO",Tabla1[[#This Row],[Porcentaje de muertes]]&gt;0.65,"GRAVE")</f>
        <v>GRAVE</v>
      </c>
    </row>
    <row r="3416" spans="2:24" x14ac:dyDescent="0.3">
      <c r="B3416" s="9">
        <v>3415</v>
      </c>
      <c r="C3416" s="49">
        <v>31994</v>
      </c>
      <c r="D3416" s="9">
        <f>YEAR(Tabla1[[#This Row],[Date]])</f>
        <v>1987</v>
      </c>
      <c r="E3416" s="9" t="str" cm="1">
        <f t="array" ref="E3416">IFERROR(_xlfn.IFS(AND(D3416&lt;1980,D3416&gt;=1970),"70",AND(D3416&lt;1990,D3416&gt;=1980),"80",AND(D3416&lt;2000,D3416&gt;=1990),"90",AND(D3416&lt;2010,D3416&gt;=2000),"00",AND(D3416&lt;=2019,D3416&gt;=2010),"10"),"1908-1970")</f>
        <v>80</v>
      </c>
      <c r="F3416" s="3">
        <v>0.28472222222222221</v>
      </c>
      <c r="G3416" t="s">
        <v>20319</v>
      </c>
      <c r="H3416" t="s">
        <v>20320</v>
      </c>
      <c r="I3416">
        <v>5452</v>
      </c>
      <c r="J3416" t="s">
        <v>20321</v>
      </c>
      <c r="K3416" t="s">
        <v>20276</v>
      </c>
      <c r="L3416" s="7" t="s">
        <v>20322</v>
      </c>
      <c r="M3416">
        <v>271</v>
      </c>
      <c r="N3416">
        <v>6</v>
      </c>
      <c r="O3416">
        <v>4</v>
      </c>
      <c r="P3416">
        <v>2</v>
      </c>
      <c r="Q3416">
        <v>2</v>
      </c>
      <c r="R3416">
        <v>0</v>
      </c>
      <c r="S3416">
        <v>2</v>
      </c>
      <c r="T3416">
        <v>0</v>
      </c>
      <c r="U3416" t="s">
        <v>20323</v>
      </c>
      <c r="V3416">
        <f>Tabla1[[#This Row],[Aboard]]-Tabla1[[#This Row],[Fatalities]]</f>
        <v>4</v>
      </c>
      <c r="W3416" s="50">
        <f>IFERROR(Tabla1[[#This Row],[Fatalities]]/Tabla1[[#This Row],[Aboard]],0)</f>
        <v>0.33333333333333331</v>
      </c>
      <c r="X3416" s="51" t="str" cm="1">
        <f t="array" ref="X3416">_xlfn.IFS(Tabla1[[#This Row],[Porcentaje de muertes]]&lt;0.35,"LEVE",AND(Tabla1[[#This Row],[Porcentaje de muertes]]&gt;0.35,Tabla1[[#This Row],[Porcentaje de muertes]]&lt;0.65),"MEDIO",Tabla1[[#This Row],[Porcentaje de muertes]]&gt;0.65,"GRAVE")</f>
        <v>LEVE</v>
      </c>
    </row>
    <row r="3417" spans="2:24" x14ac:dyDescent="0.3">
      <c r="B3417" s="9">
        <v>3416</v>
      </c>
      <c r="C3417" s="49">
        <v>32025</v>
      </c>
      <c r="D3417" s="9">
        <f>YEAR(Tabla1[[#This Row],[Date]])</f>
        <v>1987</v>
      </c>
      <c r="E3417" s="9" t="str" cm="1">
        <f t="array" ref="E3417">IFERROR(_xlfn.IFS(AND(D3417&lt;1980,D3417&gt;=1970),"70",AND(D3417&lt;1990,D3417&gt;=1980),"80",AND(D3417&lt;2000,D3417&gt;=1990),"90",AND(D3417&lt;2010,D3417&gt;=2000),"00",AND(D3417&lt;=2019,D3417&gt;=2010),"10"),"1908-1970")</f>
        <v>80</v>
      </c>
      <c r="F3417" s="3">
        <v>0.46666666666666662</v>
      </c>
      <c r="G3417" t="s">
        <v>7069</v>
      </c>
      <c r="H3417" t="s">
        <v>7237</v>
      </c>
      <c r="I3417">
        <v>5055</v>
      </c>
      <c r="J3417" t="s">
        <v>20324</v>
      </c>
      <c r="K3417" t="s">
        <v>17879</v>
      </c>
      <c r="L3417" s="7" t="s">
        <v>20325</v>
      </c>
      <c r="M3417">
        <v>3344942</v>
      </c>
      <c r="N3417">
        <v>183</v>
      </c>
      <c r="O3417">
        <v>172</v>
      </c>
      <c r="P3417">
        <v>11</v>
      </c>
      <c r="Q3417">
        <v>183</v>
      </c>
      <c r="R3417">
        <v>172</v>
      </c>
      <c r="S3417">
        <v>11</v>
      </c>
      <c r="T3417">
        <v>0</v>
      </c>
      <c r="U3417" t="s">
        <v>20326</v>
      </c>
      <c r="V3417">
        <f>Tabla1[[#This Row],[Aboard]]-Tabla1[[#This Row],[Fatalities]]</f>
        <v>0</v>
      </c>
      <c r="W3417" s="50">
        <f>IFERROR(Tabla1[[#This Row],[Fatalities]]/Tabla1[[#This Row],[Aboard]],0)</f>
        <v>1</v>
      </c>
      <c r="X3417" s="51" t="str" cm="1">
        <f t="array" ref="X3417">_xlfn.IFS(Tabla1[[#This Row],[Porcentaje de muertes]]&lt;0.35,"LEVE",AND(Tabla1[[#This Row],[Porcentaje de muertes]]&gt;0.35,Tabla1[[#This Row],[Porcentaje de muertes]]&lt;0.65),"MEDIO",Tabla1[[#This Row],[Porcentaje de muertes]]&gt;0.65,"GRAVE")</f>
        <v>GRAVE</v>
      </c>
    </row>
    <row r="3418" spans="2:24" x14ac:dyDescent="0.3">
      <c r="B3418" s="9">
        <v>3417</v>
      </c>
      <c r="C3418" s="49">
        <v>32086</v>
      </c>
      <c r="D3418" s="9">
        <f>YEAR(Tabla1[[#This Row],[Date]])</f>
        <v>1987</v>
      </c>
      <c r="E3418" s="9" t="str" cm="1">
        <f t="array" ref="E3418">IFERROR(_xlfn.IFS(AND(D3418&lt;1980,D3418&gt;=1970),"70",AND(D3418&lt;1990,D3418&gt;=1980),"80",AND(D3418&lt;2000,D3418&gt;=1990),"90",AND(D3418&lt;2010,D3418&gt;=2000),"00",AND(D3418&lt;=2019,D3418&gt;=2010),"10"),"1908-1970")</f>
        <v>80</v>
      </c>
      <c r="F3418" s="3">
        <v>0.75</v>
      </c>
      <c r="G3418" t="s">
        <v>20327</v>
      </c>
      <c r="H3418" t="s">
        <v>20328</v>
      </c>
      <c r="I3418" t="s">
        <v>28931</v>
      </c>
      <c r="J3418" t="s">
        <v>20329</v>
      </c>
      <c r="K3418" t="s">
        <v>8465</v>
      </c>
      <c r="L3418" s="7" t="s">
        <v>20330</v>
      </c>
      <c r="M3418">
        <v>26324</v>
      </c>
      <c r="N3418">
        <v>2</v>
      </c>
      <c r="O3418">
        <v>0</v>
      </c>
      <c r="P3418">
        <v>2</v>
      </c>
      <c r="Q3418">
        <v>2</v>
      </c>
      <c r="R3418">
        <v>0</v>
      </c>
      <c r="S3418">
        <v>2</v>
      </c>
      <c r="T3418">
        <v>0</v>
      </c>
      <c r="U3418" t="s">
        <v>20331</v>
      </c>
      <c r="V3418">
        <f>Tabla1[[#This Row],[Aboard]]-Tabla1[[#This Row],[Fatalities]]</f>
        <v>0</v>
      </c>
      <c r="W3418" s="50">
        <f>IFERROR(Tabla1[[#This Row],[Fatalities]]/Tabla1[[#This Row],[Aboard]],0)</f>
        <v>1</v>
      </c>
      <c r="X3418" s="51" t="str" cm="1">
        <f t="array" ref="X3418">_xlfn.IFS(Tabla1[[#This Row],[Porcentaje de muertes]]&lt;0.35,"LEVE",AND(Tabla1[[#This Row],[Porcentaje de muertes]]&gt;0.35,Tabla1[[#This Row],[Porcentaje de muertes]]&lt;0.65),"MEDIO",Tabla1[[#This Row],[Porcentaje de muertes]]&gt;0.65,"GRAVE")</f>
        <v>GRAVE</v>
      </c>
    </row>
    <row r="3419" spans="2:24" x14ac:dyDescent="0.3">
      <c r="B3419" s="9">
        <v>3418</v>
      </c>
      <c r="C3419" s="49">
        <v>31917</v>
      </c>
      <c r="D3419" s="9">
        <f>YEAR(Tabla1[[#This Row],[Date]])</f>
        <v>1987</v>
      </c>
      <c r="E3419" s="9" t="str" cm="1">
        <f t="array" ref="E3419">IFERROR(_xlfn.IFS(AND(D3419&lt;1980,D3419&gt;=1970),"70",AND(D3419&lt;1990,D3419&gt;=1980),"80",AND(D3419&lt;2000,D3419&gt;=1990),"90",AND(D3419&lt;2010,D3419&gt;=2000),"00",AND(D3419&lt;=2019,D3419&gt;=2010),"10"),"1908-1970")</f>
        <v>80</v>
      </c>
      <c r="F3419" s="3" t="s">
        <v>28931</v>
      </c>
      <c r="G3419" t="s">
        <v>17712</v>
      </c>
      <c r="H3419" t="s">
        <v>20332</v>
      </c>
      <c r="I3419" t="s">
        <v>28931</v>
      </c>
      <c r="J3419" t="s">
        <v>20333</v>
      </c>
      <c r="K3419" t="s">
        <v>16680</v>
      </c>
      <c r="L3419" s="7" t="s">
        <v>20334</v>
      </c>
      <c r="M3419">
        <v>363</v>
      </c>
      <c r="N3419">
        <v>16</v>
      </c>
      <c r="O3419">
        <v>13</v>
      </c>
      <c r="P3419">
        <v>3</v>
      </c>
      <c r="Q3419">
        <v>14</v>
      </c>
      <c r="R3419">
        <v>11</v>
      </c>
      <c r="S3419">
        <v>3</v>
      </c>
      <c r="T3419">
        <v>0</v>
      </c>
      <c r="U3419" t="s">
        <v>20335</v>
      </c>
      <c r="V3419">
        <f>Tabla1[[#This Row],[Aboard]]-Tabla1[[#This Row],[Fatalities]]</f>
        <v>2</v>
      </c>
      <c r="W3419" s="50">
        <f>IFERROR(Tabla1[[#This Row],[Fatalities]]/Tabla1[[#This Row],[Aboard]],0)</f>
        <v>0.875</v>
      </c>
      <c r="X3419" s="51" t="str" cm="1">
        <f t="array" ref="X3419">_xlfn.IFS(Tabla1[[#This Row],[Porcentaje de muertes]]&lt;0.35,"LEVE",AND(Tabla1[[#This Row],[Porcentaje de muertes]]&gt;0.35,Tabla1[[#This Row],[Porcentaje de muertes]]&lt;0.65),"MEDIO",Tabla1[[#This Row],[Porcentaje de muertes]]&gt;0.65,"GRAVE")</f>
        <v>GRAVE</v>
      </c>
    </row>
    <row r="3420" spans="2:24" x14ac:dyDescent="0.3">
      <c r="B3420" s="9">
        <v>3419</v>
      </c>
      <c r="C3420" s="49">
        <v>31920</v>
      </c>
      <c r="D3420" s="9">
        <f>YEAR(Tabla1[[#This Row],[Date]])</f>
        <v>1987</v>
      </c>
      <c r="E3420" s="9" t="str" cm="1">
        <f t="array" ref="E3420">IFERROR(_xlfn.IFS(AND(D3420&lt;1980,D3420&gt;=1970),"70",AND(D3420&lt;1990,D3420&gt;=1980),"80",AND(D3420&lt;2000,D3420&gt;=1990),"90",AND(D3420&lt;2010,D3420&gt;=2000),"00",AND(D3420&lt;=2019,D3420&gt;=2010),"10"),"1908-1970")</f>
        <v>80</v>
      </c>
      <c r="F3420" s="3" t="s">
        <v>28931</v>
      </c>
      <c r="G3420" t="s">
        <v>20336</v>
      </c>
      <c r="H3420" t="s">
        <v>16296</v>
      </c>
      <c r="I3420" t="s">
        <v>28931</v>
      </c>
      <c r="J3420" t="s">
        <v>28931</v>
      </c>
      <c r="K3420" t="s">
        <v>16680</v>
      </c>
      <c r="L3420" s="7" t="s">
        <v>20337</v>
      </c>
      <c r="M3420">
        <v>474</v>
      </c>
      <c r="N3420">
        <v>8</v>
      </c>
      <c r="O3420">
        <v>6</v>
      </c>
      <c r="P3420">
        <v>2</v>
      </c>
      <c r="Q3420">
        <v>8</v>
      </c>
      <c r="R3420">
        <v>6</v>
      </c>
      <c r="S3420">
        <v>2</v>
      </c>
      <c r="T3420">
        <v>0</v>
      </c>
      <c r="U3420" t="s">
        <v>20338</v>
      </c>
      <c r="V3420">
        <f>Tabla1[[#This Row],[Aboard]]-Tabla1[[#This Row],[Fatalities]]</f>
        <v>0</v>
      </c>
      <c r="W3420" s="50">
        <f>IFERROR(Tabla1[[#This Row],[Fatalities]]/Tabla1[[#This Row],[Aboard]],0)</f>
        <v>1</v>
      </c>
      <c r="X3420" s="51" t="str" cm="1">
        <f t="array" ref="X3420">_xlfn.IFS(Tabla1[[#This Row],[Porcentaje de muertes]]&lt;0.35,"LEVE",AND(Tabla1[[#This Row],[Porcentaje de muertes]]&gt;0.35,Tabla1[[#This Row],[Porcentaje de muertes]]&lt;0.65),"MEDIO",Tabla1[[#This Row],[Porcentaje de muertes]]&gt;0.65,"GRAVE")</f>
        <v>GRAVE</v>
      </c>
    </row>
    <row r="3421" spans="2:24" x14ac:dyDescent="0.3">
      <c r="B3421" s="9">
        <v>3420</v>
      </c>
      <c r="C3421" s="49">
        <v>31922</v>
      </c>
      <c r="D3421" s="9">
        <f>YEAR(Tabla1[[#This Row],[Date]])</f>
        <v>1987</v>
      </c>
      <c r="E3421" s="9" t="str" cm="1">
        <f t="array" ref="E3421">IFERROR(_xlfn.IFS(AND(D3421&lt;1980,D3421&gt;=1970),"70",AND(D3421&lt;1990,D3421&gt;=1980),"80",AND(D3421&lt;2000,D3421&gt;=1990),"90",AND(D3421&lt;2010,D3421&gt;=2000),"00",AND(D3421&lt;=2019,D3421&gt;=2010),"10"),"1908-1970")</f>
        <v>80</v>
      </c>
      <c r="F3421" s="3" t="s">
        <v>28931</v>
      </c>
      <c r="G3421" t="s">
        <v>20339</v>
      </c>
      <c r="H3421" t="s">
        <v>20340</v>
      </c>
      <c r="I3421" t="s">
        <v>28931</v>
      </c>
      <c r="J3421" t="s">
        <v>28931</v>
      </c>
      <c r="K3421" t="s">
        <v>14888</v>
      </c>
      <c r="L3421" s="7" t="s">
        <v>20341</v>
      </c>
      <c r="M3421">
        <v>76</v>
      </c>
      <c r="N3421">
        <v>30</v>
      </c>
      <c r="O3421">
        <v>29</v>
      </c>
      <c r="P3421">
        <v>1</v>
      </c>
      <c r="Q3421">
        <v>7</v>
      </c>
      <c r="R3421">
        <v>6</v>
      </c>
      <c r="S3421">
        <v>1</v>
      </c>
      <c r="T3421">
        <v>0</v>
      </c>
      <c r="U3421" t="s">
        <v>20342</v>
      </c>
      <c r="V3421">
        <f>Tabla1[[#This Row],[Aboard]]-Tabla1[[#This Row],[Fatalities]]</f>
        <v>23</v>
      </c>
      <c r="W3421" s="50">
        <f>IFERROR(Tabla1[[#This Row],[Fatalities]]/Tabla1[[#This Row],[Aboard]],0)</f>
        <v>0.23333333333333334</v>
      </c>
      <c r="X3421" s="51" t="str" cm="1">
        <f t="array" ref="X3421">_xlfn.IFS(Tabla1[[#This Row],[Porcentaje de muertes]]&lt;0.35,"LEVE",AND(Tabla1[[#This Row],[Porcentaje de muertes]]&gt;0.35,Tabla1[[#This Row],[Porcentaje de muertes]]&lt;0.65),"MEDIO",Tabla1[[#This Row],[Porcentaje de muertes]]&gt;0.65,"GRAVE")</f>
        <v>LEVE</v>
      </c>
    </row>
    <row r="3422" spans="2:24" x14ac:dyDescent="0.3">
      <c r="B3422" s="9">
        <v>3421</v>
      </c>
      <c r="C3422" s="49">
        <v>32087</v>
      </c>
      <c r="D3422" s="9">
        <f>YEAR(Tabla1[[#This Row],[Date]])</f>
        <v>1987</v>
      </c>
      <c r="E3422" s="9" t="str" cm="1">
        <f t="array" ref="E3422">IFERROR(_xlfn.IFS(AND(D3422&lt;1980,D3422&gt;=1970),"70",AND(D3422&lt;1990,D3422&gt;=1980),"80",AND(D3422&lt;2000,D3422&gt;=1990),"90",AND(D3422&lt;2010,D3422&gt;=2000),"00",AND(D3422&lt;=2019,D3422&gt;=2010),"10"),"1908-1970")</f>
        <v>80</v>
      </c>
      <c r="F3422" s="3">
        <v>0.27083333333333331</v>
      </c>
      <c r="G3422" t="s">
        <v>20343</v>
      </c>
      <c r="H3422" t="s">
        <v>16789</v>
      </c>
      <c r="I3422" t="s">
        <v>28931</v>
      </c>
      <c r="J3422" t="s">
        <v>20344</v>
      </c>
      <c r="K3422" t="s">
        <v>17904</v>
      </c>
      <c r="L3422" s="7" t="s">
        <v>20345</v>
      </c>
      <c r="M3422">
        <v>14105</v>
      </c>
      <c r="N3422">
        <v>53</v>
      </c>
      <c r="O3422">
        <v>48</v>
      </c>
      <c r="P3422">
        <v>5</v>
      </c>
      <c r="Q3422">
        <v>53</v>
      </c>
      <c r="R3422">
        <v>48</v>
      </c>
      <c r="S3422">
        <v>5</v>
      </c>
      <c r="T3422">
        <v>0</v>
      </c>
      <c r="U3422" t="s">
        <v>20346</v>
      </c>
      <c r="V3422">
        <f>Tabla1[[#This Row],[Aboard]]-Tabla1[[#This Row],[Fatalities]]</f>
        <v>0</v>
      </c>
      <c r="W3422" s="50">
        <f>IFERROR(Tabla1[[#This Row],[Fatalities]]/Tabla1[[#This Row],[Aboard]],0)</f>
        <v>1</v>
      </c>
      <c r="X3422" s="51" t="str" cm="1">
        <f t="array" ref="X3422">_xlfn.IFS(Tabla1[[#This Row],[Porcentaje de muertes]]&lt;0.35,"LEVE",AND(Tabla1[[#This Row],[Porcentaje de muertes]]&gt;0.35,Tabla1[[#This Row],[Porcentaje de muertes]]&lt;0.65),"MEDIO",Tabla1[[#This Row],[Porcentaje de muertes]]&gt;0.65,"GRAVE")</f>
        <v>GRAVE</v>
      </c>
    </row>
    <row r="3423" spans="2:24" x14ac:dyDescent="0.3">
      <c r="B3423" s="9">
        <v>3422</v>
      </c>
      <c r="C3423" s="49">
        <v>31946</v>
      </c>
      <c r="D3423" s="9">
        <f>YEAR(Tabla1[[#This Row],[Date]])</f>
        <v>1987</v>
      </c>
      <c r="E3423" s="9" t="str" cm="1">
        <f t="array" ref="E3423">IFERROR(_xlfn.IFS(AND(D3423&lt;1980,D3423&gt;=1970),"70",AND(D3423&lt;1990,D3423&gt;=1980),"80",AND(D3423&lt;2000,D3423&gt;=1990),"90",AND(D3423&lt;2010,D3423&gt;=2000),"00",AND(D3423&lt;=2019,D3423&gt;=2010),"10"),"1908-1970")</f>
        <v>80</v>
      </c>
      <c r="F3423" s="3">
        <v>0.41666666666666669</v>
      </c>
      <c r="G3423" t="s">
        <v>20347</v>
      </c>
      <c r="H3423" t="s">
        <v>20348</v>
      </c>
      <c r="I3423" t="s">
        <v>28931</v>
      </c>
      <c r="J3423" t="s">
        <v>20349</v>
      </c>
      <c r="K3423" t="s">
        <v>17904</v>
      </c>
      <c r="L3423" s="7" t="s">
        <v>20350</v>
      </c>
      <c r="M3423">
        <v>5805</v>
      </c>
      <c r="N3423">
        <v>46</v>
      </c>
      <c r="O3423">
        <v>40</v>
      </c>
      <c r="P3423">
        <v>6</v>
      </c>
      <c r="Q3423">
        <v>46</v>
      </c>
      <c r="R3423">
        <v>40</v>
      </c>
      <c r="S3423">
        <v>6</v>
      </c>
      <c r="T3423">
        <v>0</v>
      </c>
      <c r="U3423" t="s">
        <v>20351</v>
      </c>
      <c r="V3423">
        <f>Tabla1[[#This Row],[Aboard]]-Tabla1[[#This Row],[Fatalities]]</f>
        <v>0</v>
      </c>
      <c r="W3423" s="50">
        <f>IFERROR(Tabla1[[#This Row],[Fatalities]]/Tabla1[[#This Row],[Aboard]],0)</f>
        <v>1</v>
      </c>
      <c r="X3423" s="51" t="str" cm="1">
        <f t="array" ref="X3423">_xlfn.IFS(Tabla1[[#This Row],[Porcentaje de muertes]]&lt;0.35,"LEVE",AND(Tabla1[[#This Row],[Porcentaje de muertes]]&gt;0.35,Tabla1[[#This Row],[Porcentaje de muertes]]&lt;0.65),"MEDIO",Tabla1[[#This Row],[Porcentaje de muertes]]&gt;0.65,"GRAVE")</f>
        <v>GRAVE</v>
      </c>
    </row>
    <row r="3424" spans="2:24" x14ac:dyDescent="0.3">
      <c r="B3424" s="9">
        <v>3423</v>
      </c>
      <c r="C3424" s="49">
        <v>31947</v>
      </c>
      <c r="D3424" s="9">
        <f>YEAR(Tabla1[[#This Row],[Date]])</f>
        <v>1987</v>
      </c>
      <c r="E3424" s="9" t="str" cm="1">
        <f t="array" ref="E3424">IFERROR(_xlfn.IFS(AND(D3424&lt;1980,D3424&gt;=1970),"70",AND(D3424&lt;1990,D3424&gt;=1980),"80",AND(D3424&lt;2000,D3424&gt;=1990),"90",AND(D3424&lt;2010,D3424&gt;=2000),"00",AND(D3424&lt;=2019,D3424&gt;=2010),"10"),"1908-1970")</f>
        <v>80</v>
      </c>
      <c r="F3424" s="3">
        <v>0.47361111111111115</v>
      </c>
      <c r="G3424" t="s">
        <v>20352</v>
      </c>
      <c r="H3424" t="s">
        <v>6541</v>
      </c>
      <c r="I3424" t="s">
        <v>20353</v>
      </c>
      <c r="J3424" t="s">
        <v>20354</v>
      </c>
      <c r="K3424" t="s">
        <v>15961</v>
      </c>
      <c r="L3424" s="7" t="s">
        <v>20355</v>
      </c>
      <c r="M3424">
        <v>9241824</v>
      </c>
      <c r="N3424">
        <v>29</v>
      </c>
      <c r="O3424">
        <v>24</v>
      </c>
      <c r="P3424">
        <v>5</v>
      </c>
      <c r="Q3424">
        <v>8</v>
      </c>
      <c r="R3424">
        <v>6</v>
      </c>
      <c r="S3424">
        <v>2</v>
      </c>
      <c r="T3424">
        <v>0</v>
      </c>
      <c r="U3424" t="s">
        <v>20356</v>
      </c>
      <c r="V3424">
        <f>Tabla1[[#This Row],[Aboard]]-Tabla1[[#This Row],[Fatalities]]</f>
        <v>21</v>
      </c>
      <c r="W3424" s="50">
        <f>IFERROR(Tabla1[[#This Row],[Fatalities]]/Tabla1[[#This Row],[Aboard]],0)</f>
        <v>0.27586206896551724</v>
      </c>
      <c r="X3424" s="51" t="str" cm="1">
        <f t="array" ref="X3424">_xlfn.IFS(Tabla1[[#This Row],[Porcentaje de muertes]]&lt;0.35,"LEVE",AND(Tabla1[[#This Row],[Porcentaje de muertes]]&gt;0.35,Tabla1[[#This Row],[Porcentaje de muertes]]&lt;0.65),"MEDIO",Tabla1[[#This Row],[Porcentaje de muertes]]&gt;0.65,"GRAVE")</f>
        <v>LEVE</v>
      </c>
    </row>
    <row r="3425" spans="2:24" x14ac:dyDescent="0.3">
      <c r="B3425" s="9">
        <v>3424</v>
      </c>
      <c r="C3425" s="49">
        <v>31949</v>
      </c>
      <c r="D3425" s="9">
        <f>YEAR(Tabla1[[#This Row],[Date]])</f>
        <v>1987</v>
      </c>
      <c r="E3425" s="9" t="str" cm="1">
        <f t="array" ref="E3425">IFERROR(_xlfn.IFS(AND(D3425&lt;1980,D3425&gt;=1970),"70",AND(D3425&lt;1990,D3425&gt;=1980),"80",AND(D3425&lt;2000,D3425&gt;=1990),"90",AND(D3425&lt;2010,D3425&gt;=2000),"00",AND(D3425&lt;=2019,D3425&gt;=2010),"10"),"1908-1970")</f>
        <v>80</v>
      </c>
      <c r="F3425" s="3" t="s">
        <v>28931</v>
      </c>
      <c r="G3425" t="s">
        <v>20357</v>
      </c>
      <c r="H3425" t="s">
        <v>16549</v>
      </c>
      <c r="I3425" t="s">
        <v>28931</v>
      </c>
      <c r="J3425" t="s">
        <v>20358</v>
      </c>
      <c r="K3425" t="s">
        <v>14481</v>
      </c>
      <c r="L3425" s="7" t="s">
        <v>20359</v>
      </c>
      <c r="M3425">
        <v>10357</v>
      </c>
      <c r="N3425">
        <v>45</v>
      </c>
      <c r="O3425">
        <v>41</v>
      </c>
      <c r="P3425">
        <v>4</v>
      </c>
      <c r="Q3425">
        <v>45</v>
      </c>
      <c r="R3425">
        <v>41</v>
      </c>
      <c r="S3425">
        <v>4</v>
      </c>
      <c r="T3425">
        <v>0</v>
      </c>
      <c r="U3425" t="s">
        <v>20360</v>
      </c>
      <c r="V3425">
        <f>Tabla1[[#This Row],[Aboard]]-Tabla1[[#This Row],[Fatalities]]</f>
        <v>0</v>
      </c>
      <c r="W3425" s="50">
        <f>IFERROR(Tabla1[[#This Row],[Fatalities]]/Tabla1[[#This Row],[Aboard]],0)</f>
        <v>1</v>
      </c>
      <c r="X3425" s="51" t="str" cm="1">
        <f t="array" ref="X3425">_xlfn.IFS(Tabla1[[#This Row],[Porcentaje de muertes]]&lt;0.35,"LEVE",AND(Tabla1[[#This Row],[Porcentaje de muertes]]&gt;0.35,Tabla1[[#This Row],[Porcentaje de muertes]]&lt;0.65),"MEDIO",Tabla1[[#This Row],[Porcentaje de muertes]]&gt;0.65,"GRAVE")</f>
        <v>GRAVE</v>
      </c>
    </row>
    <row r="3426" spans="2:24" x14ac:dyDescent="0.3">
      <c r="B3426" s="9">
        <v>3425</v>
      </c>
      <c r="C3426" s="49">
        <v>31954</v>
      </c>
      <c r="D3426" s="9">
        <f>YEAR(Tabla1[[#This Row],[Date]])</f>
        <v>1987</v>
      </c>
      <c r="E3426" s="9" t="str" cm="1">
        <f t="array" ref="E3426">IFERROR(_xlfn.IFS(AND(D3426&lt;1980,D3426&gt;=1970),"70",AND(D3426&lt;1990,D3426&gt;=1980),"80",AND(D3426&lt;2000,D3426&gt;=1990),"90",AND(D3426&lt;2010,D3426&gt;=2000),"00",AND(D3426&lt;=2019,D3426&gt;=2010),"10"),"1908-1970")</f>
        <v>80</v>
      </c>
      <c r="F3426" s="3">
        <v>0.4604166666666667</v>
      </c>
      <c r="G3426" t="s">
        <v>10265</v>
      </c>
      <c r="H3426" t="s">
        <v>8992</v>
      </c>
      <c r="I3426" t="s">
        <v>28931</v>
      </c>
      <c r="J3426" t="s">
        <v>20361</v>
      </c>
      <c r="K3426" t="s">
        <v>19207</v>
      </c>
      <c r="L3426" s="7" t="s">
        <v>20362</v>
      </c>
      <c r="M3426">
        <v>1637</v>
      </c>
      <c r="N3426">
        <v>50</v>
      </c>
      <c r="O3426">
        <v>46</v>
      </c>
      <c r="P3426">
        <v>4</v>
      </c>
      <c r="Q3426">
        <v>50</v>
      </c>
      <c r="R3426">
        <v>46</v>
      </c>
      <c r="S3426">
        <v>4</v>
      </c>
      <c r="T3426">
        <v>0</v>
      </c>
      <c r="U3426" t="s">
        <v>20363</v>
      </c>
      <c r="V3426">
        <f>Tabla1[[#This Row],[Aboard]]-Tabla1[[#This Row],[Fatalities]]</f>
        <v>0</v>
      </c>
      <c r="W3426" s="50">
        <f>IFERROR(Tabla1[[#This Row],[Fatalities]]/Tabla1[[#This Row],[Aboard]],0)</f>
        <v>1</v>
      </c>
      <c r="X3426" s="51" t="str" cm="1">
        <f t="array" ref="X3426">_xlfn.IFS(Tabla1[[#This Row],[Porcentaje de muertes]]&lt;0.35,"LEVE",AND(Tabla1[[#This Row],[Porcentaje de muertes]]&gt;0.35,Tabla1[[#This Row],[Porcentaje de muertes]]&lt;0.65),"MEDIO",Tabla1[[#This Row],[Porcentaje de muertes]]&gt;0.65,"GRAVE")</f>
        <v>GRAVE</v>
      </c>
    </row>
    <row r="3427" spans="2:24" x14ac:dyDescent="0.3">
      <c r="B3427" s="9">
        <v>3426</v>
      </c>
      <c r="C3427" s="49">
        <v>31784</v>
      </c>
      <c r="D3427" s="9">
        <f>YEAR(Tabla1[[#This Row],[Date]])</f>
        <v>1987</v>
      </c>
      <c r="E3427" s="9" t="str" cm="1">
        <f t="array" ref="E3427">IFERROR(_xlfn.IFS(AND(D3427&lt;1980,D3427&gt;=1970),"70",AND(D3427&lt;1990,D3427&gt;=1980),"80",AND(D3427&lt;2000,D3427&gt;=1990),"90",AND(D3427&lt;2010,D3427&gt;=2000),"00",AND(D3427&lt;=2019,D3427&gt;=2010),"10"),"1908-1970")</f>
        <v>80</v>
      </c>
      <c r="F3427" s="3" t="s">
        <v>28931</v>
      </c>
      <c r="G3427" t="s">
        <v>20364</v>
      </c>
      <c r="H3427" t="s">
        <v>7987</v>
      </c>
      <c r="I3427" t="s">
        <v>28931</v>
      </c>
      <c r="J3427" t="s">
        <v>28931</v>
      </c>
      <c r="K3427" t="s">
        <v>18804</v>
      </c>
      <c r="L3427" s="7" t="s">
        <v>20365</v>
      </c>
      <c r="M3427">
        <v>4325</v>
      </c>
      <c r="N3427">
        <v>6</v>
      </c>
      <c r="O3427">
        <v>0</v>
      </c>
      <c r="P3427">
        <v>6</v>
      </c>
      <c r="Q3427">
        <v>4</v>
      </c>
      <c r="R3427">
        <v>0</v>
      </c>
      <c r="S3427">
        <v>4</v>
      </c>
      <c r="T3427">
        <v>1</v>
      </c>
      <c r="U3427" t="s">
        <v>20366</v>
      </c>
      <c r="V3427">
        <f>Tabla1[[#This Row],[Aboard]]-Tabla1[[#This Row],[Fatalities]]</f>
        <v>2</v>
      </c>
      <c r="W3427" s="50">
        <f>IFERROR(Tabla1[[#This Row],[Fatalities]]/Tabla1[[#This Row],[Aboard]],0)</f>
        <v>0.66666666666666663</v>
      </c>
      <c r="X3427" s="51" t="str" cm="1">
        <f t="array" ref="X3427">_xlfn.IFS(Tabla1[[#This Row],[Porcentaje de muertes]]&lt;0.35,"LEVE",AND(Tabla1[[#This Row],[Porcentaje de muertes]]&gt;0.35,Tabla1[[#This Row],[Porcentaje de muertes]]&lt;0.65),"MEDIO",Tabla1[[#This Row],[Porcentaje de muertes]]&gt;0.65,"GRAVE")</f>
        <v>GRAVE</v>
      </c>
    </row>
    <row r="3428" spans="2:24" x14ac:dyDescent="0.3">
      <c r="B3428" s="9">
        <v>3427</v>
      </c>
      <c r="C3428" s="49">
        <v>31982</v>
      </c>
      <c r="D3428" s="9">
        <f>YEAR(Tabla1[[#This Row],[Date]])</f>
        <v>1987</v>
      </c>
      <c r="E3428" s="9" t="str" cm="1">
        <f t="array" ref="E3428">IFERROR(_xlfn.IFS(AND(D3428&lt;1980,D3428&gt;=1970),"70",AND(D3428&lt;1990,D3428&gt;=1980),"80",AND(D3428&lt;2000,D3428&gt;=1990),"90",AND(D3428&lt;2010,D3428&gt;=2000),"00",AND(D3428&lt;=2019,D3428&gt;=2010),"10"),"1908-1970")</f>
        <v>80</v>
      </c>
      <c r="F3428" s="3" t="s">
        <v>28931</v>
      </c>
      <c r="G3428" t="s">
        <v>20367</v>
      </c>
      <c r="H3428" t="s">
        <v>13855</v>
      </c>
      <c r="I3428">
        <v>56</v>
      </c>
      <c r="J3428" t="s">
        <v>20368</v>
      </c>
      <c r="K3428" t="s">
        <v>18549</v>
      </c>
      <c r="L3428" s="7" t="s">
        <v>28931</v>
      </c>
      <c r="M3428" t="s">
        <v>28931</v>
      </c>
      <c r="N3428">
        <v>163</v>
      </c>
      <c r="O3428" t="s">
        <v>5038</v>
      </c>
      <c r="P3428" t="s">
        <v>5038</v>
      </c>
      <c r="Q3428">
        <v>1</v>
      </c>
      <c r="R3428" t="s">
        <v>5038</v>
      </c>
      <c r="S3428" t="s">
        <v>5038</v>
      </c>
      <c r="T3428">
        <v>0</v>
      </c>
      <c r="U3428" t="s">
        <v>20369</v>
      </c>
      <c r="V3428">
        <f>Tabla1[[#This Row],[Aboard]]-Tabla1[[#This Row],[Fatalities]]</f>
        <v>162</v>
      </c>
      <c r="W3428" s="50">
        <f>IFERROR(Tabla1[[#This Row],[Fatalities]]/Tabla1[[#This Row],[Aboard]],0)</f>
        <v>6.1349693251533744E-3</v>
      </c>
      <c r="X3428" s="51" t="str" cm="1">
        <f t="array" ref="X3428">_xlfn.IFS(Tabla1[[#This Row],[Porcentaje de muertes]]&lt;0.35,"LEVE",AND(Tabla1[[#This Row],[Porcentaje de muertes]]&gt;0.35,Tabla1[[#This Row],[Porcentaje de muertes]]&lt;0.65),"MEDIO",Tabla1[[#This Row],[Porcentaje de muertes]]&gt;0.65,"GRAVE")</f>
        <v>LEVE</v>
      </c>
    </row>
    <row r="3429" spans="2:24" x14ac:dyDescent="0.3">
      <c r="B3429" s="9">
        <v>3428</v>
      </c>
      <c r="C3429" s="49">
        <v>31988</v>
      </c>
      <c r="D3429" s="9">
        <f>YEAR(Tabla1[[#This Row],[Date]])</f>
        <v>1987</v>
      </c>
      <c r="E3429" s="9" t="str" cm="1">
        <f t="array" ref="E3429">IFERROR(_xlfn.IFS(AND(D3429&lt;1980,D3429&gt;=1970),"70",AND(D3429&lt;1990,D3429&gt;=1980),"80",AND(D3429&lt;2000,D3429&gt;=1990),"90",AND(D3429&lt;2010,D3429&gt;=2000),"00",AND(D3429&lt;=2019,D3429&gt;=2010),"10"),"1908-1970")</f>
        <v>80</v>
      </c>
      <c r="F3429" s="3">
        <v>0.7104166666666667</v>
      </c>
      <c r="G3429" t="s">
        <v>7345</v>
      </c>
      <c r="H3429" t="s">
        <v>20370</v>
      </c>
      <c r="I3429" t="s">
        <v>28931</v>
      </c>
      <c r="J3429" t="s">
        <v>20371</v>
      </c>
      <c r="K3429" t="s">
        <v>20372</v>
      </c>
      <c r="L3429" s="7" t="s">
        <v>20373</v>
      </c>
      <c r="M3429">
        <v>16687</v>
      </c>
      <c r="N3429">
        <v>12</v>
      </c>
      <c r="O3429">
        <v>10</v>
      </c>
      <c r="P3429">
        <v>2</v>
      </c>
      <c r="Q3429">
        <v>5</v>
      </c>
      <c r="R3429">
        <v>4</v>
      </c>
      <c r="S3429">
        <v>1</v>
      </c>
      <c r="T3429">
        <v>44</v>
      </c>
      <c r="U3429" t="s">
        <v>20374</v>
      </c>
      <c r="V3429">
        <f>Tabla1[[#This Row],[Aboard]]-Tabla1[[#This Row],[Fatalities]]</f>
        <v>7</v>
      </c>
      <c r="W3429" s="50">
        <f>IFERROR(Tabla1[[#This Row],[Fatalities]]/Tabla1[[#This Row],[Aboard]],0)</f>
        <v>0.41666666666666669</v>
      </c>
      <c r="X3429" s="51" t="str" cm="1">
        <f t="array" ref="X3429">_xlfn.IFS(Tabla1[[#This Row],[Porcentaje de muertes]]&lt;0.35,"LEVE",AND(Tabla1[[#This Row],[Porcentaje de muertes]]&gt;0.35,Tabla1[[#This Row],[Porcentaje de muertes]]&lt;0.65),"MEDIO",Tabla1[[#This Row],[Porcentaje de muertes]]&gt;0.65,"GRAVE")</f>
        <v>MEDIO</v>
      </c>
    </row>
    <row r="3430" spans="2:24" x14ac:dyDescent="0.3">
      <c r="B3430" s="9">
        <v>3429</v>
      </c>
      <c r="C3430" s="49">
        <v>31875</v>
      </c>
      <c r="D3430" s="9">
        <f>YEAR(Tabla1[[#This Row],[Date]])</f>
        <v>1987</v>
      </c>
      <c r="E3430" s="9" t="str" cm="1">
        <f t="array" ref="E3430">IFERROR(_xlfn.IFS(AND(D3430&lt;1980,D3430&gt;=1970),"70",AND(D3430&lt;1990,D3430&gt;=1980),"80",AND(D3430&lt;2000,D3430&gt;=1990),"90",AND(D3430&lt;2010,D3430&gt;=2000),"00",AND(D3430&lt;=2019,D3430&gt;=2010),"10"),"1908-1970")</f>
        <v>80</v>
      </c>
      <c r="F3430" s="3" t="s">
        <v>28931</v>
      </c>
      <c r="G3430" t="s">
        <v>20375</v>
      </c>
      <c r="H3430" t="s">
        <v>11280</v>
      </c>
      <c r="I3430" t="s">
        <v>28931</v>
      </c>
      <c r="J3430" t="s">
        <v>20376</v>
      </c>
      <c r="K3430" t="s">
        <v>20024</v>
      </c>
      <c r="L3430" s="7" t="s">
        <v>20377</v>
      </c>
      <c r="M3430">
        <v>22602</v>
      </c>
      <c r="N3430">
        <v>33</v>
      </c>
      <c r="O3430">
        <v>30</v>
      </c>
      <c r="P3430">
        <v>3</v>
      </c>
      <c r="Q3430">
        <v>2</v>
      </c>
      <c r="R3430">
        <v>2</v>
      </c>
      <c r="S3430">
        <v>0</v>
      </c>
      <c r="T3430">
        <v>0</v>
      </c>
      <c r="U3430" t="s">
        <v>20378</v>
      </c>
      <c r="V3430">
        <f>Tabla1[[#This Row],[Aboard]]-Tabla1[[#This Row],[Fatalities]]</f>
        <v>31</v>
      </c>
      <c r="W3430" s="50">
        <f>IFERROR(Tabla1[[#This Row],[Fatalities]]/Tabla1[[#This Row],[Aboard]],0)</f>
        <v>6.0606060606060608E-2</v>
      </c>
      <c r="X3430" s="51" t="str" cm="1">
        <f t="array" ref="X3430">_xlfn.IFS(Tabla1[[#This Row],[Porcentaje de muertes]]&lt;0.35,"LEVE",AND(Tabla1[[#This Row],[Porcentaje de muertes]]&gt;0.35,Tabla1[[#This Row],[Porcentaje de muertes]]&lt;0.65),"MEDIO",Tabla1[[#This Row],[Porcentaje de muertes]]&gt;0.65,"GRAVE")</f>
        <v>LEVE</v>
      </c>
    </row>
    <row r="3431" spans="2:24" x14ac:dyDescent="0.3">
      <c r="B3431" s="9">
        <v>3430</v>
      </c>
      <c r="C3431" s="49">
        <v>32005</v>
      </c>
      <c r="D3431" s="9">
        <f>YEAR(Tabla1[[#This Row],[Date]])</f>
        <v>1987</v>
      </c>
      <c r="E3431" s="9" t="str" cm="1">
        <f t="array" ref="E3431">IFERROR(_xlfn.IFS(AND(D3431&lt;1980,D3431&gt;=1970),"70",AND(D3431&lt;1990,D3431&gt;=1980),"80",AND(D3431&lt;2000,D3431&gt;=1990),"90",AND(D3431&lt;2010,D3431&gt;=2000),"00",AND(D3431&lt;=2019,D3431&gt;=2010),"10"),"1908-1970")</f>
        <v>80</v>
      </c>
      <c r="F3431" s="3">
        <v>0.8652777777777777</v>
      </c>
      <c r="G3431" t="s">
        <v>20379</v>
      </c>
      <c r="H3431" t="s">
        <v>20380</v>
      </c>
      <c r="I3431">
        <v>255</v>
      </c>
      <c r="J3431" t="s">
        <v>20381</v>
      </c>
      <c r="K3431" t="s">
        <v>20382</v>
      </c>
      <c r="L3431" s="7" t="s">
        <v>20383</v>
      </c>
      <c r="M3431" t="s">
        <v>20384</v>
      </c>
      <c r="N3431">
        <v>155</v>
      </c>
      <c r="O3431">
        <v>149</v>
      </c>
      <c r="P3431">
        <v>6</v>
      </c>
      <c r="Q3431">
        <v>154</v>
      </c>
      <c r="R3431">
        <v>148</v>
      </c>
      <c r="S3431">
        <v>6</v>
      </c>
      <c r="T3431">
        <v>2</v>
      </c>
      <c r="U3431" t="s">
        <v>20385</v>
      </c>
      <c r="V3431">
        <f>Tabla1[[#This Row],[Aboard]]-Tabla1[[#This Row],[Fatalities]]</f>
        <v>1</v>
      </c>
      <c r="W3431" s="50">
        <f>IFERROR(Tabla1[[#This Row],[Fatalities]]/Tabla1[[#This Row],[Aboard]],0)</f>
        <v>0.99354838709677418</v>
      </c>
      <c r="X3431" s="51" t="str" cm="1">
        <f t="array" ref="X3431">_xlfn.IFS(Tabla1[[#This Row],[Porcentaje de muertes]]&lt;0.35,"LEVE",AND(Tabla1[[#This Row],[Porcentaje de muertes]]&gt;0.35,Tabla1[[#This Row],[Porcentaje de muertes]]&lt;0.65),"MEDIO",Tabla1[[#This Row],[Porcentaje de muertes]]&gt;0.65,"GRAVE")</f>
        <v>GRAVE</v>
      </c>
    </row>
    <row r="3432" spans="2:24" x14ac:dyDescent="0.3">
      <c r="B3432" s="9">
        <v>3431</v>
      </c>
      <c r="C3432" s="49">
        <v>32020</v>
      </c>
      <c r="D3432" s="9">
        <f>YEAR(Tabla1[[#This Row],[Date]])</f>
        <v>1987</v>
      </c>
      <c r="E3432" s="9" t="str" cm="1">
        <f t="array" ref="E3432">IFERROR(_xlfn.IFS(AND(D3432&lt;1980,D3432&gt;=1970),"70",AND(D3432&lt;1990,D3432&gt;=1980),"80",AND(D3432&lt;2000,D3432&gt;=1990),"90",AND(D3432&lt;2010,D3432&gt;=2000),"00",AND(D3432&lt;=2019,D3432&gt;=2010),"10"),"1908-1970")</f>
        <v>80</v>
      </c>
      <c r="F3432" s="3">
        <v>0.65</v>
      </c>
      <c r="G3432" t="s">
        <v>20386</v>
      </c>
      <c r="H3432" t="s">
        <v>15100</v>
      </c>
      <c r="I3432">
        <v>365</v>
      </c>
      <c r="J3432" t="s">
        <v>20387</v>
      </c>
      <c r="K3432" t="s">
        <v>20388</v>
      </c>
      <c r="L3432" s="7" t="s">
        <v>20389</v>
      </c>
      <c r="M3432" t="s">
        <v>20390</v>
      </c>
      <c r="N3432">
        <v>83</v>
      </c>
      <c r="O3432">
        <v>74</v>
      </c>
      <c r="P3432">
        <v>9</v>
      </c>
      <c r="Q3432">
        <v>83</v>
      </c>
      <c r="R3432">
        <v>74</v>
      </c>
      <c r="S3432">
        <v>9</v>
      </c>
      <c r="T3432">
        <v>0</v>
      </c>
      <c r="U3432" t="s">
        <v>20391</v>
      </c>
      <c r="V3432">
        <f>Tabla1[[#This Row],[Aboard]]-Tabla1[[#This Row],[Fatalities]]</f>
        <v>0</v>
      </c>
      <c r="W3432" s="50">
        <f>IFERROR(Tabla1[[#This Row],[Fatalities]]/Tabla1[[#This Row],[Aboard]],0)</f>
        <v>1</v>
      </c>
      <c r="X3432" s="51" t="str" cm="1">
        <f t="array" ref="X3432">_xlfn.IFS(Tabla1[[#This Row],[Porcentaje de muertes]]&lt;0.35,"LEVE",AND(Tabla1[[#This Row],[Porcentaje de muertes]]&gt;0.35,Tabla1[[#This Row],[Porcentaje de muertes]]&lt;0.65),"MEDIO",Tabla1[[#This Row],[Porcentaje de muertes]]&gt;0.65,"GRAVE")</f>
        <v>GRAVE</v>
      </c>
    </row>
    <row r="3433" spans="2:24" x14ac:dyDescent="0.3">
      <c r="B3433" s="9">
        <v>3432</v>
      </c>
      <c r="C3433" s="49">
        <v>31998</v>
      </c>
      <c r="D3433" s="9">
        <f>YEAR(Tabla1[[#This Row],[Date]])</f>
        <v>1987</v>
      </c>
      <c r="E3433" s="9" t="str" cm="1">
        <f t="array" ref="E3433">IFERROR(_xlfn.IFS(AND(D3433&lt;1980,D3433&gt;=1970),"70",AND(D3433&lt;1990,D3433&gt;=1980),"80",AND(D3433&lt;2000,D3433&gt;=1990),"90",AND(D3433&lt;2010,D3433&gt;=2000),"00",AND(D3433&lt;=2019,D3433&gt;=2010),"10"),"1908-1970")</f>
        <v>80</v>
      </c>
      <c r="F3433" s="3" t="s">
        <v>28931</v>
      </c>
      <c r="G3433" t="s">
        <v>20392</v>
      </c>
      <c r="H3433" t="s">
        <v>9398</v>
      </c>
      <c r="I3433" t="s">
        <v>28931</v>
      </c>
      <c r="J3433" t="s">
        <v>28931</v>
      </c>
      <c r="K3433" t="s">
        <v>20393</v>
      </c>
      <c r="L3433" s="7" t="s">
        <v>20394</v>
      </c>
      <c r="M3433">
        <v>25290</v>
      </c>
      <c r="N3433">
        <v>9</v>
      </c>
      <c r="O3433">
        <v>7</v>
      </c>
      <c r="P3433">
        <v>2</v>
      </c>
      <c r="Q3433">
        <v>9</v>
      </c>
      <c r="R3433">
        <v>7</v>
      </c>
      <c r="S3433">
        <v>2</v>
      </c>
      <c r="T3433">
        <v>0</v>
      </c>
      <c r="U3433" t="s">
        <v>10178</v>
      </c>
      <c r="V3433">
        <f>Tabla1[[#This Row],[Aboard]]-Tabla1[[#This Row],[Fatalities]]</f>
        <v>0</v>
      </c>
      <c r="W3433" s="50">
        <f>IFERROR(Tabla1[[#This Row],[Fatalities]]/Tabla1[[#This Row],[Aboard]],0)</f>
        <v>1</v>
      </c>
      <c r="X3433" s="51" t="str" cm="1">
        <f t="array" ref="X3433">_xlfn.IFS(Tabla1[[#This Row],[Porcentaje de muertes]]&lt;0.35,"LEVE",AND(Tabla1[[#This Row],[Porcentaje de muertes]]&gt;0.35,Tabla1[[#This Row],[Porcentaje de muertes]]&lt;0.65),"MEDIO",Tabla1[[#This Row],[Porcentaje de muertes]]&gt;0.65,"GRAVE")</f>
        <v>GRAVE</v>
      </c>
    </row>
    <row r="3434" spans="2:24" x14ac:dyDescent="0.3">
      <c r="B3434" s="9">
        <v>3433</v>
      </c>
      <c r="C3434" s="49">
        <v>32033</v>
      </c>
      <c r="D3434" s="9">
        <f>YEAR(Tabla1[[#This Row],[Date]])</f>
        <v>1987</v>
      </c>
      <c r="E3434" s="9" t="str" cm="1">
        <f t="array" ref="E3434">IFERROR(_xlfn.IFS(AND(D3434&lt;1980,D3434&gt;=1970),"70",AND(D3434&lt;1990,D3434&gt;=1980),"80",AND(D3434&lt;2000,D3434&gt;=1990),"90",AND(D3434&lt;2010,D3434&gt;=2000),"00",AND(D3434&lt;=2019,D3434&gt;=2010),"10"),"1908-1970")</f>
        <v>80</v>
      </c>
      <c r="F3434" s="3" t="s">
        <v>28931</v>
      </c>
      <c r="G3434" t="s">
        <v>20395</v>
      </c>
      <c r="H3434" t="s">
        <v>6541</v>
      </c>
      <c r="I3434" t="s">
        <v>28931</v>
      </c>
      <c r="J3434" t="s">
        <v>20396</v>
      </c>
      <c r="K3434" t="s">
        <v>17904</v>
      </c>
      <c r="L3434" s="7" t="s">
        <v>28931</v>
      </c>
      <c r="M3434" t="s">
        <v>28931</v>
      </c>
      <c r="N3434">
        <v>15</v>
      </c>
      <c r="O3434">
        <v>13</v>
      </c>
      <c r="P3434">
        <v>2</v>
      </c>
      <c r="Q3434">
        <v>15</v>
      </c>
      <c r="R3434">
        <v>13</v>
      </c>
      <c r="S3434">
        <v>2</v>
      </c>
      <c r="T3434">
        <v>0</v>
      </c>
      <c r="U3434" t="s">
        <v>20397</v>
      </c>
      <c r="V3434">
        <f>Tabla1[[#This Row],[Aboard]]-Tabla1[[#This Row],[Fatalities]]</f>
        <v>0</v>
      </c>
      <c r="W3434" s="50">
        <f>IFERROR(Tabla1[[#This Row],[Fatalities]]/Tabla1[[#This Row],[Aboard]],0)</f>
        <v>1</v>
      </c>
      <c r="X3434" s="51" t="str" cm="1">
        <f t="array" ref="X3434">_xlfn.IFS(Tabla1[[#This Row],[Porcentaje de muertes]]&lt;0.35,"LEVE",AND(Tabla1[[#This Row],[Porcentaje de muertes]]&gt;0.35,Tabla1[[#This Row],[Porcentaje de muertes]]&lt;0.65),"MEDIO",Tabla1[[#This Row],[Porcentaje de muertes]]&gt;0.65,"GRAVE")</f>
        <v>GRAVE</v>
      </c>
    </row>
    <row r="3435" spans="2:24" x14ac:dyDescent="0.3">
      <c r="B3435" s="9">
        <v>3434</v>
      </c>
      <c r="C3435" s="49">
        <v>32041</v>
      </c>
      <c r="D3435" s="9">
        <f>YEAR(Tabla1[[#This Row],[Date]])</f>
        <v>1987</v>
      </c>
      <c r="E3435" s="9" t="str" cm="1">
        <f t="array" ref="E3435">IFERROR(_xlfn.IFS(AND(D3435&lt;1980,D3435&gt;=1970),"70",AND(D3435&lt;1990,D3435&gt;=1980),"80",AND(D3435&lt;2000,D3435&gt;=1990),"90",AND(D3435&lt;2010,D3435&gt;=2000),"00",AND(D3435&lt;=2019,D3435&gt;=2010),"10"),"1908-1970")</f>
        <v>80</v>
      </c>
      <c r="F3435" s="3">
        <v>0.37847222222222227</v>
      </c>
      <c r="G3435" t="s">
        <v>20398</v>
      </c>
      <c r="H3435" t="s">
        <v>17763</v>
      </c>
      <c r="I3435" t="s">
        <v>28931</v>
      </c>
      <c r="J3435" t="s">
        <v>6190</v>
      </c>
      <c r="K3435" t="s">
        <v>20399</v>
      </c>
      <c r="L3435" s="7" t="s">
        <v>20400</v>
      </c>
      <c r="M3435">
        <v>115</v>
      </c>
      <c r="N3435">
        <v>5</v>
      </c>
      <c r="O3435">
        <v>0</v>
      </c>
      <c r="P3435">
        <v>5</v>
      </c>
      <c r="Q3435">
        <v>5</v>
      </c>
      <c r="R3435">
        <v>0</v>
      </c>
      <c r="S3435">
        <v>5</v>
      </c>
      <c r="T3435">
        <v>0</v>
      </c>
      <c r="U3435" t="s">
        <v>20401</v>
      </c>
      <c r="V3435">
        <f>Tabla1[[#This Row],[Aboard]]-Tabla1[[#This Row],[Fatalities]]</f>
        <v>0</v>
      </c>
      <c r="W3435" s="50">
        <f>IFERROR(Tabla1[[#This Row],[Fatalities]]/Tabla1[[#This Row],[Aboard]],0)</f>
        <v>1</v>
      </c>
      <c r="X3435" s="51" t="str" cm="1">
        <f t="array" ref="X3435">_xlfn.IFS(Tabla1[[#This Row],[Porcentaje de muertes]]&lt;0.35,"LEVE",AND(Tabla1[[#This Row],[Porcentaje de muertes]]&gt;0.35,Tabla1[[#This Row],[Porcentaje de muertes]]&lt;0.65),"MEDIO",Tabla1[[#This Row],[Porcentaje de muertes]]&gt;0.65,"GRAVE")</f>
        <v>GRAVE</v>
      </c>
    </row>
    <row r="3436" spans="2:24" x14ac:dyDescent="0.3">
      <c r="B3436" s="9">
        <v>3435</v>
      </c>
      <c r="C3436" s="49">
        <v>32091</v>
      </c>
      <c r="D3436" s="9">
        <f>YEAR(Tabla1[[#This Row],[Date]])</f>
        <v>1987</v>
      </c>
      <c r="E3436" s="9" t="str" cm="1">
        <f t="array" ref="E3436">IFERROR(_xlfn.IFS(AND(D3436&lt;1980,D3436&gt;=1970),"70",AND(D3436&lt;1990,D3436&gt;=1980),"80",AND(D3436&lt;2000,D3436&gt;=1990),"90",AND(D3436&lt;2010,D3436&gt;=2000),"00",AND(D3436&lt;=2019,D3436&gt;=2010),"10"),"1908-1970")</f>
        <v>80</v>
      </c>
      <c r="F3436" s="3" t="s">
        <v>28931</v>
      </c>
      <c r="G3436" t="s">
        <v>20402</v>
      </c>
      <c r="H3436" t="s">
        <v>20403</v>
      </c>
      <c r="I3436" t="s">
        <v>28931</v>
      </c>
      <c r="J3436" t="s">
        <v>28931</v>
      </c>
      <c r="K3436" t="s">
        <v>19268</v>
      </c>
      <c r="L3436" s="7" t="s">
        <v>20404</v>
      </c>
      <c r="M3436">
        <v>419</v>
      </c>
      <c r="N3436">
        <v>9</v>
      </c>
      <c r="O3436">
        <v>7</v>
      </c>
      <c r="P3436">
        <v>2</v>
      </c>
      <c r="Q3436">
        <v>2</v>
      </c>
      <c r="R3436">
        <v>0</v>
      </c>
      <c r="S3436">
        <v>2</v>
      </c>
      <c r="T3436">
        <v>0</v>
      </c>
      <c r="U3436" t="s">
        <v>20405</v>
      </c>
      <c r="V3436">
        <f>Tabla1[[#This Row],[Aboard]]-Tabla1[[#This Row],[Fatalities]]</f>
        <v>7</v>
      </c>
      <c r="W3436" s="50">
        <f>IFERROR(Tabla1[[#This Row],[Fatalities]]/Tabla1[[#This Row],[Aboard]],0)</f>
        <v>0.22222222222222221</v>
      </c>
      <c r="X3436" s="51" t="str" cm="1">
        <f t="array" ref="X3436">_xlfn.IFS(Tabla1[[#This Row],[Porcentaje de muertes]]&lt;0.35,"LEVE",AND(Tabla1[[#This Row],[Porcentaje de muertes]]&gt;0.35,Tabla1[[#This Row],[Porcentaje de muertes]]&lt;0.65),"MEDIO",Tabla1[[#This Row],[Porcentaje de muertes]]&gt;0.65,"GRAVE")</f>
        <v>LEVE</v>
      </c>
    </row>
    <row r="3437" spans="2:24" x14ac:dyDescent="0.3">
      <c r="B3437" s="9">
        <v>3436</v>
      </c>
      <c r="C3437" s="49">
        <v>32091</v>
      </c>
      <c r="D3437" s="9">
        <f>YEAR(Tabla1[[#This Row],[Date]])</f>
        <v>1987</v>
      </c>
      <c r="E3437" s="9" t="str" cm="1">
        <f t="array" ref="E3437">IFERROR(_xlfn.IFS(AND(D3437&lt;1980,D3437&gt;=1970),"70",AND(D3437&lt;1990,D3437&gt;=1980),"80",AND(D3437&lt;2000,D3437&gt;=1990),"90",AND(D3437&lt;2010,D3437&gt;=2000),"00",AND(D3437&lt;=2019,D3437&gt;=2010),"10"),"1908-1970")</f>
        <v>80</v>
      </c>
      <c r="F3437" s="3" t="s">
        <v>28931</v>
      </c>
      <c r="G3437" t="s">
        <v>20406</v>
      </c>
      <c r="H3437" t="s">
        <v>16549</v>
      </c>
      <c r="I3437" t="s">
        <v>28931</v>
      </c>
      <c r="J3437" t="s">
        <v>20407</v>
      </c>
      <c r="K3437" t="s">
        <v>16099</v>
      </c>
      <c r="L3437" s="7" t="s">
        <v>20408</v>
      </c>
      <c r="M3437">
        <v>10689</v>
      </c>
      <c r="N3437">
        <v>49</v>
      </c>
      <c r="O3437">
        <v>45</v>
      </c>
      <c r="P3437">
        <v>4</v>
      </c>
      <c r="Q3437">
        <v>49</v>
      </c>
      <c r="R3437">
        <v>45</v>
      </c>
      <c r="S3437">
        <v>4</v>
      </c>
      <c r="T3437">
        <v>0</v>
      </c>
      <c r="U3437" t="s">
        <v>20409</v>
      </c>
      <c r="V3437">
        <f>Tabla1[[#This Row],[Aboard]]-Tabla1[[#This Row],[Fatalities]]</f>
        <v>0</v>
      </c>
      <c r="W3437" s="50">
        <f>IFERROR(Tabla1[[#This Row],[Fatalities]]/Tabla1[[#This Row],[Aboard]],0)</f>
        <v>1</v>
      </c>
      <c r="X3437" s="51" t="str" cm="1">
        <f t="array" ref="X3437">_xlfn.IFS(Tabla1[[#This Row],[Porcentaje de muertes]]&lt;0.35,"LEVE",AND(Tabla1[[#This Row],[Porcentaje de muertes]]&gt;0.35,Tabla1[[#This Row],[Porcentaje de muertes]]&lt;0.65),"MEDIO",Tabla1[[#This Row],[Porcentaje de muertes]]&gt;0.65,"GRAVE")</f>
        <v>GRAVE</v>
      </c>
    </row>
    <row r="3438" spans="2:24" x14ac:dyDescent="0.3">
      <c r="B3438" s="9">
        <v>3437</v>
      </c>
      <c r="C3438" s="49">
        <v>32065</v>
      </c>
      <c r="D3438" s="9">
        <f>YEAR(Tabla1[[#This Row],[Date]])</f>
        <v>1987</v>
      </c>
      <c r="E3438" s="9" t="str" cm="1">
        <f t="array" ref="E3438">IFERROR(_xlfn.IFS(AND(D3438&lt;1980,D3438&gt;=1970),"70",AND(D3438&lt;1990,D3438&gt;=1980),"80",AND(D3438&lt;2000,D3438&gt;=1990),"90",AND(D3438&lt;2010,D3438&gt;=2000),"00",AND(D3438&lt;=2019,D3438&gt;=2010),"10"),"1908-1970")</f>
        <v>80</v>
      </c>
      <c r="F3438" s="3">
        <v>0.76944444444444438</v>
      </c>
      <c r="G3438" t="s">
        <v>20410</v>
      </c>
      <c r="H3438" t="s">
        <v>15524</v>
      </c>
      <c r="I3438">
        <v>460</v>
      </c>
      <c r="J3438" t="s">
        <v>20411</v>
      </c>
      <c r="K3438" t="s">
        <v>20412</v>
      </c>
      <c r="L3438" s="7" t="s">
        <v>20413</v>
      </c>
      <c r="M3438">
        <v>46</v>
      </c>
      <c r="N3438">
        <v>37</v>
      </c>
      <c r="O3438">
        <v>34</v>
      </c>
      <c r="P3438">
        <v>3</v>
      </c>
      <c r="Q3438">
        <v>37</v>
      </c>
      <c r="R3438">
        <v>34</v>
      </c>
      <c r="S3438">
        <v>3</v>
      </c>
      <c r="T3438">
        <v>0</v>
      </c>
      <c r="U3438" t="s">
        <v>20414</v>
      </c>
      <c r="V3438">
        <f>Tabla1[[#This Row],[Aboard]]-Tabla1[[#This Row],[Fatalities]]</f>
        <v>0</v>
      </c>
      <c r="W3438" s="50">
        <f>IFERROR(Tabla1[[#This Row],[Fatalities]]/Tabla1[[#This Row],[Aboard]],0)</f>
        <v>1</v>
      </c>
      <c r="X3438" s="51" t="str" cm="1">
        <f t="array" ref="X3438">_xlfn.IFS(Tabla1[[#This Row],[Porcentaje de muertes]]&lt;0.35,"LEVE",AND(Tabla1[[#This Row],[Porcentaje de muertes]]&gt;0.35,Tabla1[[#This Row],[Porcentaje de muertes]]&lt;0.65),"MEDIO",Tabla1[[#This Row],[Porcentaje de muertes]]&gt;0.65,"GRAVE")</f>
        <v>GRAVE</v>
      </c>
    </row>
    <row r="3439" spans="2:24" x14ac:dyDescent="0.3">
      <c r="B3439" s="9">
        <v>3438</v>
      </c>
      <c r="C3439" s="49">
        <v>32069</v>
      </c>
      <c r="D3439" s="9">
        <f>YEAR(Tabla1[[#This Row],[Date]])</f>
        <v>1987</v>
      </c>
      <c r="E3439" s="9" t="str" cm="1">
        <f t="array" ref="E3439">IFERROR(_xlfn.IFS(AND(D3439&lt;1980,D3439&gt;=1970),"70",AND(D3439&lt;1990,D3439&gt;=1980),"80",AND(D3439&lt;2000,D3439&gt;=1990),"90",AND(D3439&lt;2010,D3439&gt;=2000),"00",AND(D3439&lt;=2019,D3439&gt;=2010),"10"),"1908-1970")</f>
        <v>80</v>
      </c>
      <c r="F3439" s="3" t="s">
        <v>28931</v>
      </c>
      <c r="G3439" t="s">
        <v>20415</v>
      </c>
      <c r="H3439" t="s">
        <v>19941</v>
      </c>
      <c r="I3439" t="s">
        <v>28931</v>
      </c>
      <c r="J3439" t="s">
        <v>28931</v>
      </c>
      <c r="K3439" t="s">
        <v>20416</v>
      </c>
      <c r="L3439" s="7" t="s">
        <v>20417</v>
      </c>
      <c r="M3439">
        <v>9346702</v>
      </c>
      <c r="N3439">
        <v>9</v>
      </c>
      <c r="O3439">
        <v>2</v>
      </c>
      <c r="P3439">
        <v>7</v>
      </c>
      <c r="Q3439">
        <v>9</v>
      </c>
      <c r="R3439">
        <v>2</v>
      </c>
      <c r="S3439">
        <v>7</v>
      </c>
      <c r="T3439">
        <v>0</v>
      </c>
      <c r="U3439" t="s">
        <v>20418</v>
      </c>
      <c r="V3439">
        <f>Tabla1[[#This Row],[Aboard]]-Tabla1[[#This Row],[Fatalities]]</f>
        <v>0</v>
      </c>
      <c r="W3439" s="50">
        <f>IFERROR(Tabla1[[#This Row],[Fatalities]]/Tabla1[[#This Row],[Aboard]],0)</f>
        <v>1</v>
      </c>
      <c r="X3439" s="51" t="str" cm="1">
        <f t="array" ref="X3439">_xlfn.IFS(Tabla1[[#This Row],[Porcentaje de muertes]]&lt;0.35,"LEVE",AND(Tabla1[[#This Row],[Porcentaje de muertes]]&gt;0.35,Tabla1[[#This Row],[Porcentaje de muertes]]&lt;0.65),"MEDIO",Tabla1[[#This Row],[Porcentaje de muertes]]&gt;0.65,"GRAVE")</f>
        <v>GRAVE</v>
      </c>
    </row>
    <row r="3440" spans="2:24" x14ac:dyDescent="0.3">
      <c r="B3440" s="9">
        <v>3439</v>
      </c>
      <c r="C3440" s="49">
        <v>32070</v>
      </c>
      <c r="D3440" s="9">
        <f>YEAR(Tabla1[[#This Row],[Date]])</f>
        <v>1987</v>
      </c>
      <c r="E3440" s="9" t="str" cm="1">
        <f t="array" ref="E3440">IFERROR(_xlfn.IFS(AND(D3440&lt;1980,D3440&gt;=1970),"70",AND(D3440&lt;1990,D3440&gt;=1980),"80",AND(D3440&lt;2000,D3440&gt;=1990),"90",AND(D3440&lt;2010,D3440&gt;=2000),"00",AND(D3440&lt;=2019,D3440&gt;=2010),"10"),"1908-1970")</f>
        <v>80</v>
      </c>
      <c r="F3440" s="3">
        <v>0.34375</v>
      </c>
      <c r="G3440" t="s">
        <v>5265</v>
      </c>
      <c r="H3440" t="s">
        <v>7987</v>
      </c>
      <c r="I3440" t="s">
        <v>28931</v>
      </c>
      <c r="J3440" t="s">
        <v>20419</v>
      </c>
      <c r="K3440" t="s">
        <v>20420</v>
      </c>
      <c r="L3440" s="7" t="s">
        <v>28931</v>
      </c>
      <c r="M3440" t="s">
        <v>28931</v>
      </c>
      <c r="N3440">
        <v>11</v>
      </c>
      <c r="O3440">
        <v>0</v>
      </c>
      <c r="P3440">
        <v>11</v>
      </c>
      <c r="Q3440">
        <v>10</v>
      </c>
      <c r="R3440">
        <v>0</v>
      </c>
      <c r="S3440">
        <v>10</v>
      </c>
      <c r="T3440">
        <v>10</v>
      </c>
      <c r="U3440" t="s">
        <v>20421</v>
      </c>
      <c r="V3440">
        <f>Tabla1[[#This Row],[Aboard]]-Tabla1[[#This Row],[Fatalities]]</f>
        <v>1</v>
      </c>
      <c r="W3440" s="50">
        <f>IFERROR(Tabla1[[#This Row],[Fatalities]]/Tabla1[[#This Row],[Aboard]],0)</f>
        <v>0.90909090909090906</v>
      </c>
      <c r="X3440" s="51" t="str" cm="1">
        <f t="array" ref="X3440">_xlfn.IFS(Tabla1[[#This Row],[Porcentaje de muertes]]&lt;0.35,"LEVE",AND(Tabla1[[#This Row],[Porcentaje de muertes]]&gt;0.35,Tabla1[[#This Row],[Porcentaje de muertes]]&lt;0.65),"MEDIO",Tabla1[[#This Row],[Porcentaje de muertes]]&gt;0.65,"GRAVE")</f>
        <v>GRAVE</v>
      </c>
    </row>
    <row r="3441" spans="2:24" x14ac:dyDescent="0.3">
      <c r="B3441" s="9">
        <v>3440</v>
      </c>
      <c r="C3441" s="49">
        <v>31939</v>
      </c>
      <c r="D3441" s="9">
        <f>YEAR(Tabla1[[#This Row],[Date]])</f>
        <v>1987</v>
      </c>
      <c r="E3441" s="9" t="str" cm="1">
        <f t="array" ref="E3441">IFERROR(_xlfn.IFS(AND(D3441&lt;1980,D3441&gt;=1970),"70",AND(D3441&lt;1990,D3441&gt;=1980),"80",AND(D3441&lt;2000,D3441&gt;=1990),"90",AND(D3441&lt;2010,D3441&gt;=2000),"00",AND(D3441&lt;=2019,D3441&gt;=2010),"10"),"1908-1970")</f>
        <v>80</v>
      </c>
      <c r="F3441" s="3">
        <v>0.35416666666666669</v>
      </c>
      <c r="G3441" t="s">
        <v>20422</v>
      </c>
      <c r="H3441" t="s">
        <v>20423</v>
      </c>
      <c r="I3441" t="s">
        <v>28931</v>
      </c>
      <c r="J3441" t="s">
        <v>20424</v>
      </c>
      <c r="K3441" t="s">
        <v>20425</v>
      </c>
      <c r="L3441" s="7" t="s">
        <v>20426</v>
      </c>
      <c r="M3441" t="s">
        <v>20427</v>
      </c>
      <c r="N3441">
        <v>10</v>
      </c>
      <c r="O3441">
        <v>8</v>
      </c>
      <c r="P3441">
        <v>2</v>
      </c>
      <c r="Q3441">
        <v>10</v>
      </c>
      <c r="R3441">
        <v>8</v>
      </c>
      <c r="S3441">
        <v>2</v>
      </c>
      <c r="T3441">
        <v>0</v>
      </c>
      <c r="U3441" t="s">
        <v>20428</v>
      </c>
      <c r="V3441">
        <f>Tabla1[[#This Row],[Aboard]]-Tabla1[[#This Row],[Fatalities]]</f>
        <v>0</v>
      </c>
      <c r="W3441" s="50">
        <f>IFERROR(Tabla1[[#This Row],[Fatalities]]/Tabla1[[#This Row],[Aboard]],0)</f>
        <v>1</v>
      </c>
      <c r="X3441" s="51" t="str" cm="1">
        <f t="array" ref="X3441">_xlfn.IFS(Tabla1[[#This Row],[Porcentaje de muertes]]&lt;0.35,"LEVE",AND(Tabla1[[#This Row],[Porcentaje de muertes]]&gt;0.35,Tabla1[[#This Row],[Porcentaje de muertes]]&lt;0.65),"MEDIO",Tabla1[[#This Row],[Porcentaje de muertes]]&gt;0.65,"GRAVE")</f>
        <v>GRAVE</v>
      </c>
    </row>
    <row r="3442" spans="2:24" x14ac:dyDescent="0.3">
      <c r="B3442" s="9">
        <v>3441</v>
      </c>
      <c r="C3442" s="49">
        <v>32096</v>
      </c>
      <c r="D3442" s="9">
        <f>YEAR(Tabla1[[#This Row],[Date]])</f>
        <v>1987</v>
      </c>
      <c r="E3442" s="9" t="str" cm="1">
        <f t="array" ref="E3442">IFERROR(_xlfn.IFS(AND(D3442&lt;1980,D3442&gt;=1970),"70",AND(D3442&lt;1990,D3442&gt;=1980),"80",AND(D3442&lt;2000,D3442&gt;=1990),"90",AND(D3442&lt;2010,D3442&gt;=2000),"00",AND(D3442&lt;=2019,D3442&gt;=2010),"10"),"1908-1970")</f>
        <v>80</v>
      </c>
      <c r="F3442" s="3">
        <v>0.59375</v>
      </c>
      <c r="G3442" t="s">
        <v>9021</v>
      </c>
      <c r="H3442" t="s">
        <v>11843</v>
      </c>
      <c r="I3442">
        <v>1713</v>
      </c>
      <c r="J3442" t="s">
        <v>20429</v>
      </c>
      <c r="K3442" t="s">
        <v>14763</v>
      </c>
      <c r="L3442" s="7" t="s">
        <v>20430</v>
      </c>
      <c r="M3442" t="s">
        <v>20431</v>
      </c>
      <c r="N3442">
        <v>82</v>
      </c>
      <c r="O3442">
        <v>77</v>
      </c>
      <c r="P3442">
        <v>5</v>
      </c>
      <c r="Q3442">
        <v>28</v>
      </c>
      <c r="R3442">
        <v>25</v>
      </c>
      <c r="S3442">
        <v>3</v>
      </c>
      <c r="T3442">
        <v>0</v>
      </c>
      <c r="U3442" t="s">
        <v>20432</v>
      </c>
      <c r="V3442">
        <f>Tabla1[[#This Row],[Aboard]]-Tabla1[[#This Row],[Fatalities]]</f>
        <v>54</v>
      </c>
      <c r="W3442" s="50">
        <f>IFERROR(Tabla1[[#This Row],[Fatalities]]/Tabla1[[#This Row],[Aboard]],0)</f>
        <v>0.34146341463414637</v>
      </c>
      <c r="X3442" s="51" t="str" cm="1">
        <f t="array" ref="X3442">_xlfn.IFS(Tabla1[[#This Row],[Porcentaje de muertes]]&lt;0.35,"LEVE",AND(Tabla1[[#This Row],[Porcentaje de muertes]]&gt;0.35,Tabla1[[#This Row],[Porcentaje de muertes]]&lt;0.65),"MEDIO",Tabla1[[#This Row],[Porcentaje de muertes]]&gt;0.65,"GRAVE")</f>
        <v>LEVE</v>
      </c>
    </row>
    <row r="3443" spans="2:24" x14ac:dyDescent="0.3">
      <c r="B3443" s="9">
        <v>3442</v>
      </c>
      <c r="C3443" s="49">
        <v>32104</v>
      </c>
      <c r="D3443" s="9">
        <f>YEAR(Tabla1[[#This Row],[Date]])</f>
        <v>1987</v>
      </c>
      <c r="E3443" s="9" t="str" cm="1">
        <f t="array" ref="E3443">IFERROR(_xlfn.IFS(AND(D3443&lt;1980,D3443&gt;=1970),"70",AND(D3443&lt;1990,D3443&gt;=1980),"80",AND(D3443&lt;2000,D3443&gt;=1990),"90",AND(D3443&lt;2010,D3443&gt;=2000),"00",AND(D3443&lt;=2019,D3443&gt;=2010),"10"),"1908-1970")</f>
        <v>80</v>
      </c>
      <c r="F3443" s="3">
        <v>0.76736111111111116</v>
      </c>
      <c r="G3443" t="s">
        <v>9731</v>
      </c>
      <c r="H3443" t="s">
        <v>20433</v>
      </c>
      <c r="I3443">
        <v>103</v>
      </c>
      <c r="J3443" t="s">
        <v>20434</v>
      </c>
      <c r="K3443" t="s">
        <v>20435</v>
      </c>
      <c r="L3443" s="7" t="s">
        <v>20436</v>
      </c>
      <c r="M3443" t="s">
        <v>20437</v>
      </c>
      <c r="N3443">
        <v>21</v>
      </c>
      <c r="O3443">
        <v>19</v>
      </c>
      <c r="P3443">
        <v>2</v>
      </c>
      <c r="Q3443">
        <v>18</v>
      </c>
      <c r="R3443">
        <v>16</v>
      </c>
      <c r="S3443">
        <v>2</v>
      </c>
      <c r="T3443">
        <v>0</v>
      </c>
      <c r="U3443" t="s">
        <v>20438</v>
      </c>
      <c r="V3443">
        <f>Tabla1[[#This Row],[Aboard]]-Tabla1[[#This Row],[Fatalities]]</f>
        <v>3</v>
      </c>
      <c r="W3443" s="50">
        <f>IFERROR(Tabla1[[#This Row],[Fatalities]]/Tabla1[[#This Row],[Aboard]],0)</f>
        <v>0.8571428571428571</v>
      </c>
      <c r="X3443" s="51" t="str" cm="1">
        <f t="array" ref="X3443">_xlfn.IFS(Tabla1[[#This Row],[Porcentaje de muertes]]&lt;0.35,"LEVE",AND(Tabla1[[#This Row],[Porcentaje de muertes]]&gt;0.35,Tabla1[[#This Row],[Porcentaje de muertes]]&lt;0.65),"MEDIO",Tabla1[[#This Row],[Porcentaje de muertes]]&gt;0.65,"GRAVE")</f>
        <v>GRAVE</v>
      </c>
    </row>
    <row r="3444" spans="2:24" x14ac:dyDescent="0.3">
      <c r="B3444" s="9">
        <v>3443</v>
      </c>
      <c r="C3444" s="49">
        <v>32109</v>
      </c>
      <c r="D3444" s="9">
        <f>YEAR(Tabla1[[#This Row],[Date]])</f>
        <v>1987</v>
      </c>
      <c r="E3444" s="9" t="str" cm="1">
        <f t="array" ref="E3444">IFERROR(_xlfn.IFS(AND(D3444&lt;1980,D3444&gt;=1970),"70",AND(D3444&lt;1990,D3444&gt;=1980),"80",AND(D3444&lt;2000,D3444&gt;=1990),"90",AND(D3444&lt;2010,D3444&gt;=2000),"00",AND(D3444&lt;=2019,D3444&gt;=2010),"10"),"1908-1970")</f>
        <v>80</v>
      </c>
      <c r="F3444" s="3">
        <v>0.16666666666666666</v>
      </c>
      <c r="G3444" t="s">
        <v>20439</v>
      </c>
      <c r="H3444" t="s">
        <v>7638</v>
      </c>
      <c r="I3444">
        <v>295</v>
      </c>
      <c r="J3444" t="s">
        <v>20440</v>
      </c>
      <c r="K3444" t="s">
        <v>20441</v>
      </c>
      <c r="L3444" s="7" t="s">
        <v>20442</v>
      </c>
      <c r="M3444" t="s">
        <v>20443</v>
      </c>
      <c r="N3444">
        <v>159</v>
      </c>
      <c r="O3444">
        <v>140</v>
      </c>
      <c r="P3444">
        <v>19</v>
      </c>
      <c r="Q3444">
        <v>159</v>
      </c>
      <c r="R3444">
        <v>140</v>
      </c>
      <c r="S3444">
        <v>19</v>
      </c>
      <c r="T3444">
        <v>0</v>
      </c>
      <c r="U3444" t="s">
        <v>20444</v>
      </c>
      <c r="V3444">
        <f>Tabla1[[#This Row],[Aboard]]-Tabla1[[#This Row],[Fatalities]]</f>
        <v>0</v>
      </c>
      <c r="W3444" s="50">
        <f>IFERROR(Tabla1[[#This Row],[Fatalities]]/Tabla1[[#This Row],[Aboard]],0)</f>
        <v>1</v>
      </c>
      <c r="X3444" s="51" t="str" cm="1">
        <f t="array" ref="X3444">_xlfn.IFS(Tabla1[[#This Row],[Porcentaje de muertes]]&lt;0.35,"LEVE",AND(Tabla1[[#This Row],[Porcentaje de muertes]]&gt;0.35,Tabla1[[#This Row],[Porcentaje de muertes]]&lt;0.65),"MEDIO",Tabla1[[#This Row],[Porcentaje de muertes]]&gt;0.65,"GRAVE")</f>
        <v>GRAVE</v>
      </c>
    </row>
    <row r="3445" spans="2:24" x14ac:dyDescent="0.3">
      <c r="B3445" s="9">
        <v>3444</v>
      </c>
      <c r="C3445" s="49">
        <v>32110</v>
      </c>
      <c r="D3445" s="9">
        <f>YEAR(Tabla1[[#This Row],[Date]])</f>
        <v>1987</v>
      </c>
      <c r="E3445" s="9" t="str" cm="1">
        <f t="array" ref="E3445">IFERROR(_xlfn.IFS(AND(D3445&lt;1980,D3445&gt;=1970),"70",AND(D3445&lt;1990,D3445&gt;=1980),"80",AND(D3445&lt;2000,D3445&gt;=1990),"90",AND(D3445&lt;2010,D3445&gt;=2000),"00",AND(D3445&lt;=2019,D3445&gt;=2010),"10"),"1908-1970")</f>
        <v>80</v>
      </c>
      <c r="F3445" s="3">
        <v>0.47916666666666669</v>
      </c>
      <c r="G3445" t="s">
        <v>20445</v>
      </c>
      <c r="H3445" t="s">
        <v>16097</v>
      </c>
      <c r="I3445">
        <v>858</v>
      </c>
      <c r="J3445" t="s">
        <v>20446</v>
      </c>
      <c r="K3445" t="s">
        <v>20447</v>
      </c>
      <c r="L3445" s="7" t="s">
        <v>20448</v>
      </c>
      <c r="M3445" t="s">
        <v>20449</v>
      </c>
      <c r="N3445">
        <v>115</v>
      </c>
      <c r="O3445">
        <v>104</v>
      </c>
      <c r="P3445">
        <v>11</v>
      </c>
      <c r="Q3445">
        <v>115</v>
      </c>
      <c r="R3445">
        <v>104</v>
      </c>
      <c r="S3445">
        <v>11</v>
      </c>
      <c r="T3445">
        <v>0</v>
      </c>
      <c r="U3445" t="s">
        <v>20450</v>
      </c>
      <c r="V3445">
        <f>Tabla1[[#This Row],[Aboard]]-Tabla1[[#This Row],[Fatalities]]</f>
        <v>0</v>
      </c>
      <c r="W3445" s="50">
        <f>IFERROR(Tabla1[[#This Row],[Fatalities]]/Tabla1[[#This Row],[Aboard]],0)</f>
        <v>1</v>
      </c>
      <c r="X3445" s="51" t="str" cm="1">
        <f t="array" ref="X3445">_xlfn.IFS(Tabla1[[#This Row],[Porcentaje de muertes]]&lt;0.35,"LEVE",AND(Tabla1[[#This Row],[Porcentaje de muertes]]&gt;0.35,Tabla1[[#This Row],[Porcentaje de muertes]]&lt;0.65),"MEDIO",Tabla1[[#This Row],[Porcentaje de muertes]]&gt;0.65,"GRAVE")</f>
        <v>GRAVE</v>
      </c>
    </row>
    <row r="3446" spans="2:24" x14ac:dyDescent="0.3">
      <c r="B3446" s="9">
        <v>3445</v>
      </c>
      <c r="C3446" s="49">
        <v>31848</v>
      </c>
      <c r="D3446" s="9">
        <f>YEAR(Tabla1[[#This Row],[Date]])</f>
        <v>1987</v>
      </c>
      <c r="E3446" s="9" t="str" cm="1">
        <f t="array" ref="E3446">IFERROR(_xlfn.IFS(AND(D3446&lt;1980,D3446&gt;=1970),"70",AND(D3446&lt;1990,D3446&gt;=1980),"80",AND(D3446&lt;2000,D3446&gt;=1990),"90",AND(D3446&lt;2010,D3446&gt;=2000),"00",AND(D3446&lt;=2019,D3446&gt;=2010),"10"),"1908-1970")</f>
        <v>80</v>
      </c>
      <c r="F3446" s="3">
        <v>0.66666666666666663</v>
      </c>
      <c r="G3446" t="s">
        <v>20451</v>
      </c>
      <c r="H3446" t="s">
        <v>20452</v>
      </c>
      <c r="I3446" t="s">
        <v>28931</v>
      </c>
      <c r="J3446" t="s">
        <v>20453</v>
      </c>
      <c r="K3446" t="s">
        <v>18994</v>
      </c>
      <c r="L3446" s="7" t="s">
        <v>20454</v>
      </c>
      <c r="M3446" t="s">
        <v>28931</v>
      </c>
      <c r="N3446">
        <v>14</v>
      </c>
      <c r="O3446">
        <v>13</v>
      </c>
      <c r="P3446">
        <v>1</v>
      </c>
      <c r="Q3446">
        <v>14</v>
      </c>
      <c r="R3446">
        <v>13</v>
      </c>
      <c r="S3446">
        <v>1</v>
      </c>
      <c r="T3446">
        <v>0</v>
      </c>
      <c r="U3446" t="s">
        <v>20455</v>
      </c>
      <c r="V3446">
        <f>Tabla1[[#This Row],[Aboard]]-Tabla1[[#This Row],[Fatalities]]</f>
        <v>0</v>
      </c>
      <c r="W3446" s="50">
        <f>IFERROR(Tabla1[[#This Row],[Fatalities]]/Tabla1[[#This Row],[Aboard]],0)</f>
        <v>1</v>
      </c>
      <c r="X3446" s="51" t="str" cm="1">
        <f t="array" ref="X3446">_xlfn.IFS(Tabla1[[#This Row],[Porcentaje de muertes]]&lt;0.35,"LEVE",AND(Tabla1[[#This Row],[Porcentaje de muertes]]&gt;0.35,Tabla1[[#This Row],[Porcentaje de muertes]]&lt;0.65),"MEDIO",Tabla1[[#This Row],[Porcentaje de muertes]]&gt;0.65,"GRAVE")</f>
        <v>GRAVE</v>
      </c>
    </row>
    <row r="3447" spans="2:24" x14ac:dyDescent="0.3">
      <c r="B3447" s="9">
        <v>3446</v>
      </c>
      <c r="C3447" s="49">
        <v>31970</v>
      </c>
      <c r="D3447" s="9">
        <f>YEAR(Tabla1[[#This Row],[Date]])</f>
        <v>1987</v>
      </c>
      <c r="E3447" s="9" t="str" cm="1">
        <f t="array" ref="E3447">IFERROR(_xlfn.IFS(AND(D3447&lt;1980,D3447&gt;=1970),"70",AND(D3447&lt;1990,D3447&gt;=1980),"80",AND(D3447&lt;2000,D3447&gt;=1990),"90",AND(D3447&lt;2010,D3447&gt;=2000),"00",AND(D3447&lt;=2019,D3447&gt;=2010),"10"),"1908-1970")</f>
        <v>80</v>
      </c>
      <c r="F3447" s="3">
        <v>0.6777777777777777</v>
      </c>
      <c r="G3447" t="s">
        <v>19648</v>
      </c>
      <c r="H3447" t="s">
        <v>16511</v>
      </c>
      <c r="I3447">
        <v>1771</v>
      </c>
      <c r="J3447" t="s">
        <v>20456</v>
      </c>
      <c r="K3447" t="s">
        <v>20457</v>
      </c>
      <c r="L3447" s="7" t="s">
        <v>20458</v>
      </c>
      <c r="M3447" t="s">
        <v>20459</v>
      </c>
      <c r="N3447">
        <v>43</v>
      </c>
      <c r="O3447">
        <v>38</v>
      </c>
      <c r="P3447">
        <v>5</v>
      </c>
      <c r="Q3447">
        <v>43</v>
      </c>
      <c r="R3447">
        <v>38</v>
      </c>
      <c r="S3447">
        <v>5</v>
      </c>
      <c r="T3447">
        <v>0</v>
      </c>
      <c r="U3447" t="s">
        <v>20460</v>
      </c>
      <c r="V3447">
        <f>Tabla1[[#This Row],[Aboard]]-Tabla1[[#This Row],[Fatalities]]</f>
        <v>0</v>
      </c>
      <c r="W3447" s="50">
        <f>IFERROR(Tabla1[[#This Row],[Fatalities]]/Tabla1[[#This Row],[Aboard]],0)</f>
        <v>1</v>
      </c>
      <c r="X3447" s="51" t="str" cm="1">
        <f t="array" ref="X3447">_xlfn.IFS(Tabla1[[#This Row],[Porcentaje de muertes]]&lt;0.35,"LEVE",AND(Tabla1[[#This Row],[Porcentaje de muertes]]&gt;0.35,Tabla1[[#This Row],[Porcentaje de muertes]]&lt;0.65),"MEDIO",Tabla1[[#This Row],[Porcentaje de muertes]]&gt;0.65,"GRAVE")</f>
        <v>GRAVE</v>
      </c>
    </row>
    <row r="3448" spans="2:24" x14ac:dyDescent="0.3">
      <c r="B3448" s="9">
        <v>3447</v>
      </c>
      <c r="C3448" s="49">
        <v>32001</v>
      </c>
      <c r="D3448" s="9">
        <f>YEAR(Tabla1[[#This Row],[Date]])</f>
        <v>1987</v>
      </c>
      <c r="E3448" s="9" t="str" cm="1">
        <f t="array" ref="E3448">IFERROR(_xlfn.IFS(AND(D3448&lt;1980,D3448&gt;=1970),"70",AND(D3448&lt;1990,D3448&gt;=1980),"80",AND(D3448&lt;2000,D3448&gt;=1990),"90",AND(D3448&lt;2010,D3448&gt;=2000),"00",AND(D3448&lt;=2019,D3448&gt;=2010),"10"),"1908-1970")</f>
        <v>80</v>
      </c>
      <c r="F3448" s="3">
        <v>0.84375</v>
      </c>
      <c r="G3448" t="s">
        <v>14906</v>
      </c>
      <c r="H3448" t="s">
        <v>20461</v>
      </c>
      <c r="I3448" t="s">
        <v>28931</v>
      </c>
      <c r="J3448" t="s">
        <v>11393</v>
      </c>
      <c r="K3448" t="s">
        <v>15897</v>
      </c>
      <c r="L3448" s="7" t="s">
        <v>20462</v>
      </c>
      <c r="M3448">
        <v>10548</v>
      </c>
      <c r="N3448">
        <v>43</v>
      </c>
      <c r="O3448">
        <v>37</v>
      </c>
      <c r="P3448">
        <v>6</v>
      </c>
      <c r="Q3448">
        <v>42</v>
      </c>
      <c r="R3448">
        <v>37</v>
      </c>
      <c r="S3448">
        <v>5</v>
      </c>
      <c r="T3448">
        <v>0</v>
      </c>
      <c r="U3448" t="s">
        <v>20463</v>
      </c>
      <c r="V3448">
        <f>Tabla1[[#This Row],[Aboard]]-Tabla1[[#This Row],[Fatalities]]</f>
        <v>1</v>
      </c>
      <c r="W3448" s="50">
        <f>IFERROR(Tabla1[[#This Row],[Fatalities]]/Tabla1[[#This Row],[Aboard]],0)</f>
        <v>0.97674418604651159</v>
      </c>
      <c r="X3448" s="51" t="str" cm="1">
        <f t="array" ref="X3448">_xlfn.IFS(Tabla1[[#This Row],[Porcentaje de muertes]]&lt;0.35,"LEVE",AND(Tabla1[[#This Row],[Porcentaje de muertes]]&gt;0.35,Tabla1[[#This Row],[Porcentaje de muertes]]&lt;0.65),"MEDIO",Tabla1[[#This Row],[Porcentaje de muertes]]&gt;0.65,"GRAVE")</f>
        <v>GRAVE</v>
      </c>
    </row>
    <row r="3449" spans="2:24" x14ac:dyDescent="0.3">
      <c r="B3449" s="9">
        <v>3448</v>
      </c>
      <c r="C3449" s="49">
        <v>32124</v>
      </c>
      <c r="D3449" s="9">
        <f>YEAR(Tabla1[[#This Row],[Date]])</f>
        <v>1987</v>
      </c>
      <c r="E3449" s="9" t="str" cm="1">
        <f t="array" ref="E3449">IFERROR(_xlfn.IFS(AND(D3449&lt;1980,D3449&gt;=1970),"70",AND(D3449&lt;1990,D3449&gt;=1980),"80",AND(D3449&lt;2000,D3449&gt;=1990),"90",AND(D3449&lt;2010,D3449&gt;=2000),"00",AND(D3449&lt;=2019,D3449&gt;=2010),"10"),"1908-1970")</f>
        <v>80</v>
      </c>
      <c r="F3449" s="3">
        <v>0.30555555555555552</v>
      </c>
      <c r="G3449" t="s">
        <v>20464</v>
      </c>
      <c r="H3449" t="s">
        <v>8992</v>
      </c>
      <c r="I3449">
        <v>443</v>
      </c>
      <c r="J3449" t="s">
        <v>20465</v>
      </c>
      <c r="K3449" t="s">
        <v>20466</v>
      </c>
      <c r="L3449" s="7" t="s">
        <v>20467</v>
      </c>
      <c r="M3449" t="s">
        <v>20468</v>
      </c>
      <c r="N3449">
        <v>15</v>
      </c>
      <c r="O3449">
        <v>11</v>
      </c>
      <c r="P3449">
        <v>4</v>
      </c>
      <c r="Q3449">
        <v>15</v>
      </c>
      <c r="R3449">
        <v>11</v>
      </c>
      <c r="S3449">
        <v>4</v>
      </c>
      <c r="T3449">
        <v>0</v>
      </c>
      <c r="U3449" t="s">
        <v>20469</v>
      </c>
      <c r="V3449">
        <f>Tabla1[[#This Row],[Aboard]]-Tabla1[[#This Row],[Fatalities]]</f>
        <v>0</v>
      </c>
      <c r="W3449" s="50">
        <f>IFERROR(Tabla1[[#This Row],[Fatalities]]/Tabla1[[#This Row],[Aboard]],0)</f>
        <v>1</v>
      </c>
      <c r="X3449" s="51" t="str" cm="1">
        <f t="array" ref="X3449">_xlfn.IFS(Tabla1[[#This Row],[Porcentaje de muertes]]&lt;0.35,"LEVE",AND(Tabla1[[#This Row],[Porcentaje de muertes]]&gt;0.35,Tabla1[[#This Row],[Porcentaje de muertes]]&lt;0.65),"MEDIO",Tabla1[[#This Row],[Porcentaje de muertes]]&gt;0.65,"GRAVE")</f>
        <v>GRAVE</v>
      </c>
    </row>
    <row r="3450" spans="2:24" x14ac:dyDescent="0.3">
      <c r="B3450" s="9">
        <v>3449</v>
      </c>
      <c r="C3450" s="49">
        <v>32125</v>
      </c>
      <c r="D3450" s="9">
        <f>YEAR(Tabla1[[#This Row],[Date]])</f>
        <v>1987</v>
      </c>
      <c r="E3450" s="9" t="str" cm="1">
        <f t="array" ref="E3450">IFERROR(_xlfn.IFS(AND(D3450&lt;1980,D3450&gt;=1970),"70",AND(D3450&lt;1990,D3450&gt;=1980),"80",AND(D3450&lt;2000,D3450&gt;=1990),"90",AND(D3450&lt;2010,D3450&gt;=2000),"00",AND(D3450&lt;=2019,D3450&gt;=2010),"10"),"1908-1970")</f>
        <v>80</v>
      </c>
      <c r="F3450" s="3">
        <v>0.89583333333333337</v>
      </c>
      <c r="G3450" t="s">
        <v>20470</v>
      </c>
      <c r="H3450" t="s">
        <v>9398</v>
      </c>
      <c r="I3450" t="s">
        <v>28931</v>
      </c>
      <c r="J3450" t="s">
        <v>20471</v>
      </c>
      <c r="K3450" t="s">
        <v>17162</v>
      </c>
      <c r="L3450" s="7" t="s">
        <v>20472</v>
      </c>
      <c r="M3450">
        <v>4998</v>
      </c>
      <c r="N3450">
        <v>29</v>
      </c>
      <c r="O3450">
        <v>23</v>
      </c>
      <c r="P3450">
        <v>6</v>
      </c>
      <c r="Q3450">
        <v>29</v>
      </c>
      <c r="R3450">
        <v>23</v>
      </c>
      <c r="S3450">
        <v>6</v>
      </c>
      <c r="T3450">
        <v>0</v>
      </c>
      <c r="U3450" t="s">
        <v>20473</v>
      </c>
      <c r="V3450">
        <f>Tabla1[[#This Row],[Aboard]]-Tabla1[[#This Row],[Fatalities]]</f>
        <v>0</v>
      </c>
      <c r="W3450" s="50">
        <f>IFERROR(Tabla1[[#This Row],[Fatalities]]/Tabla1[[#This Row],[Aboard]],0)</f>
        <v>1</v>
      </c>
      <c r="X3450" s="51" t="str" cm="1">
        <f t="array" ref="X3450">_xlfn.IFS(Tabla1[[#This Row],[Porcentaje de muertes]]&lt;0.35,"LEVE",AND(Tabla1[[#This Row],[Porcentaje de muertes]]&gt;0.35,Tabla1[[#This Row],[Porcentaje de muertes]]&lt;0.65),"MEDIO",Tabla1[[#This Row],[Porcentaje de muertes]]&gt;0.65,"GRAVE")</f>
        <v>GRAVE</v>
      </c>
    </row>
    <row r="3451" spans="2:24" x14ac:dyDescent="0.3">
      <c r="B3451" s="9">
        <v>3450</v>
      </c>
      <c r="C3451" s="49">
        <v>32132</v>
      </c>
      <c r="D3451" s="9">
        <f>YEAR(Tabla1[[#This Row],[Date]])</f>
        <v>1987</v>
      </c>
      <c r="E3451" s="9" t="str" cm="1">
        <f t="array" ref="E3451">IFERROR(_xlfn.IFS(AND(D3451&lt;1980,D3451&gt;=1970),"70",AND(D3451&lt;1990,D3451&gt;=1980),"80",AND(D3451&lt;2000,D3451&gt;=1990),"90",AND(D3451&lt;2010,D3451&gt;=2000),"00",AND(D3451&lt;=2019,D3451&gt;=2010),"10"),"1908-1970")</f>
        <v>80</v>
      </c>
      <c r="F3451" s="3">
        <v>0.63194444444444442</v>
      </c>
      <c r="G3451" t="s">
        <v>10395</v>
      </c>
      <c r="H3451" t="s">
        <v>20474</v>
      </c>
      <c r="I3451" t="s">
        <v>28931</v>
      </c>
      <c r="J3451" t="s">
        <v>20475</v>
      </c>
      <c r="K3451" t="s">
        <v>20476</v>
      </c>
      <c r="L3451" s="7" t="s">
        <v>20477</v>
      </c>
      <c r="M3451" t="s">
        <v>20478</v>
      </c>
      <c r="N3451">
        <v>16</v>
      </c>
      <c r="O3451">
        <v>13</v>
      </c>
      <c r="P3451">
        <v>3</v>
      </c>
      <c r="Q3451">
        <v>16</v>
      </c>
      <c r="R3451">
        <v>13</v>
      </c>
      <c r="S3451">
        <v>3</v>
      </c>
      <c r="T3451">
        <v>0</v>
      </c>
      <c r="U3451" t="s">
        <v>20479</v>
      </c>
      <c r="V3451">
        <f>Tabla1[[#This Row],[Aboard]]-Tabla1[[#This Row],[Fatalities]]</f>
        <v>0</v>
      </c>
      <c r="W3451" s="50">
        <f>IFERROR(Tabla1[[#This Row],[Fatalities]]/Tabla1[[#This Row],[Aboard]],0)</f>
        <v>1</v>
      </c>
      <c r="X3451" s="51" t="str" cm="1">
        <f t="array" ref="X3451">_xlfn.IFS(Tabla1[[#This Row],[Porcentaje de muertes]]&lt;0.35,"LEVE",AND(Tabla1[[#This Row],[Porcentaje de muertes]]&gt;0.35,Tabla1[[#This Row],[Porcentaje de muertes]]&lt;0.65),"MEDIO",Tabla1[[#This Row],[Porcentaje de muertes]]&gt;0.65,"GRAVE")</f>
        <v>GRAVE</v>
      </c>
    </row>
    <row r="3452" spans="2:24" x14ac:dyDescent="0.3">
      <c r="B3452" s="9">
        <v>3451</v>
      </c>
      <c r="C3452" s="49">
        <v>32132</v>
      </c>
      <c r="D3452" s="9">
        <f>YEAR(Tabla1[[#This Row],[Date]])</f>
        <v>1987</v>
      </c>
      <c r="E3452" s="9" t="str" cm="1">
        <f t="array" ref="E3452">IFERROR(_xlfn.IFS(AND(D3452&lt;1980,D3452&gt;=1970),"70",AND(D3452&lt;1990,D3452&gt;=1980),"80",AND(D3452&lt;2000,D3452&gt;=1990),"90",AND(D3452&lt;2010,D3452&gt;=2000),"00",AND(D3452&lt;=2019,D3452&gt;=2010),"10"),"1908-1970")</f>
        <v>80</v>
      </c>
      <c r="F3452" s="3" t="s">
        <v>28931</v>
      </c>
      <c r="G3452" t="s">
        <v>20480</v>
      </c>
      <c r="H3452" t="s">
        <v>20481</v>
      </c>
      <c r="I3452" t="s">
        <v>28931</v>
      </c>
      <c r="J3452" t="s">
        <v>28931</v>
      </c>
      <c r="K3452" t="s">
        <v>20482</v>
      </c>
      <c r="L3452" s="7" t="s">
        <v>20483</v>
      </c>
      <c r="M3452">
        <v>1588</v>
      </c>
      <c r="N3452">
        <v>15</v>
      </c>
      <c r="O3452">
        <v>13</v>
      </c>
      <c r="P3452">
        <v>2</v>
      </c>
      <c r="Q3452">
        <v>15</v>
      </c>
      <c r="R3452">
        <v>13</v>
      </c>
      <c r="S3452">
        <v>2</v>
      </c>
      <c r="T3452">
        <v>0</v>
      </c>
      <c r="U3452" t="s">
        <v>20484</v>
      </c>
      <c r="V3452">
        <f>Tabla1[[#This Row],[Aboard]]-Tabla1[[#This Row],[Fatalities]]</f>
        <v>0</v>
      </c>
      <c r="W3452" s="50">
        <f>IFERROR(Tabla1[[#This Row],[Fatalities]]/Tabla1[[#This Row],[Aboard]],0)</f>
        <v>1</v>
      </c>
      <c r="X3452" s="51" t="str" cm="1">
        <f t="array" ref="X3452">_xlfn.IFS(Tabla1[[#This Row],[Porcentaje de muertes]]&lt;0.35,"LEVE",AND(Tabla1[[#This Row],[Porcentaje de muertes]]&gt;0.35,Tabla1[[#This Row],[Porcentaje de muertes]]&lt;0.65),"MEDIO",Tabla1[[#This Row],[Porcentaje de muertes]]&gt;0.65,"GRAVE")</f>
        <v>GRAVE</v>
      </c>
    </row>
    <row r="3453" spans="2:24" x14ac:dyDescent="0.3">
      <c r="B3453" s="9">
        <v>3452</v>
      </c>
      <c r="C3453" s="49">
        <v>32141</v>
      </c>
      <c r="D3453" s="9">
        <f>YEAR(Tabla1[[#This Row],[Date]])</f>
        <v>1987</v>
      </c>
      <c r="E3453" s="9" t="str" cm="1">
        <f t="array" ref="E3453">IFERROR(_xlfn.IFS(AND(D3453&lt;1980,D3453&gt;=1970),"70",AND(D3453&lt;1990,D3453&gt;=1980),"80",AND(D3453&lt;2000,D3453&gt;=1990),"90",AND(D3453&lt;2010,D3453&gt;=2000),"00",AND(D3453&lt;=2019,D3453&gt;=2010),"10"),"1908-1970")</f>
        <v>80</v>
      </c>
      <c r="F3453" s="3" t="s">
        <v>28931</v>
      </c>
      <c r="G3453" t="s">
        <v>19216</v>
      </c>
      <c r="H3453" t="s">
        <v>20485</v>
      </c>
      <c r="I3453" t="s">
        <v>28931</v>
      </c>
      <c r="J3453" t="s">
        <v>20486</v>
      </c>
      <c r="K3453" t="s">
        <v>16680</v>
      </c>
      <c r="L3453" s="7" t="s">
        <v>20487</v>
      </c>
      <c r="M3453">
        <v>459</v>
      </c>
      <c r="N3453">
        <v>17</v>
      </c>
      <c r="O3453">
        <v>14</v>
      </c>
      <c r="P3453">
        <v>3</v>
      </c>
      <c r="Q3453">
        <v>17</v>
      </c>
      <c r="R3453">
        <v>14</v>
      </c>
      <c r="S3453">
        <v>3</v>
      </c>
      <c r="T3453">
        <v>0</v>
      </c>
      <c r="U3453" t="s">
        <v>20488</v>
      </c>
      <c r="V3453">
        <f>Tabla1[[#This Row],[Aboard]]-Tabla1[[#This Row],[Fatalities]]</f>
        <v>0</v>
      </c>
      <c r="W3453" s="50">
        <f>IFERROR(Tabla1[[#This Row],[Fatalities]]/Tabla1[[#This Row],[Aboard]],0)</f>
        <v>1</v>
      </c>
      <c r="X3453" s="51" t="str" cm="1">
        <f t="array" ref="X3453">_xlfn.IFS(Tabla1[[#This Row],[Porcentaje de muertes]]&lt;0.35,"LEVE",AND(Tabla1[[#This Row],[Porcentaje de muertes]]&gt;0.35,Tabla1[[#This Row],[Porcentaje de muertes]]&lt;0.65),"MEDIO",Tabla1[[#This Row],[Porcentaje de muertes]]&gt;0.65,"GRAVE")</f>
        <v>GRAVE</v>
      </c>
    </row>
    <row r="3454" spans="2:24" x14ac:dyDescent="0.3">
      <c r="B3454" s="9">
        <v>3453</v>
      </c>
      <c r="C3454" s="49">
        <v>32174</v>
      </c>
      <c r="D3454" s="9">
        <f>YEAR(Tabla1[[#This Row],[Date]])</f>
        <v>1988</v>
      </c>
      <c r="E3454" s="9" t="str" cm="1">
        <f t="array" ref="E3454">IFERROR(_xlfn.IFS(AND(D3454&lt;1980,D3454&gt;=1970),"70",AND(D3454&lt;1990,D3454&gt;=1980),"80",AND(D3454&lt;2000,D3454&gt;=1990),"90",AND(D3454&lt;2010,D3454&gt;=2000),"00",AND(D3454&lt;=2019,D3454&gt;=2010),"10"),"1908-1970")</f>
        <v>80</v>
      </c>
      <c r="F3454" s="3">
        <v>0.80555555555555547</v>
      </c>
      <c r="G3454" t="s">
        <v>17030</v>
      </c>
      <c r="H3454" t="s">
        <v>20489</v>
      </c>
      <c r="I3454">
        <v>3780</v>
      </c>
      <c r="J3454" t="s">
        <v>20490</v>
      </c>
      <c r="K3454" t="s">
        <v>20491</v>
      </c>
      <c r="L3454" s="7" t="s">
        <v>20492</v>
      </c>
      <c r="M3454" t="s">
        <v>20493</v>
      </c>
      <c r="N3454">
        <v>16</v>
      </c>
      <c r="O3454">
        <v>11</v>
      </c>
      <c r="P3454">
        <v>5</v>
      </c>
      <c r="Q3454">
        <v>16</v>
      </c>
      <c r="R3454">
        <v>11</v>
      </c>
      <c r="S3454">
        <v>5</v>
      </c>
      <c r="T3454">
        <v>0</v>
      </c>
      <c r="U3454" t="s">
        <v>20494</v>
      </c>
      <c r="V3454">
        <f>Tabla1[[#This Row],[Aboard]]-Tabla1[[#This Row],[Fatalities]]</f>
        <v>0</v>
      </c>
      <c r="W3454" s="50">
        <f>IFERROR(Tabla1[[#This Row],[Fatalities]]/Tabla1[[#This Row],[Aboard]],0)</f>
        <v>1</v>
      </c>
      <c r="X3454" s="51" t="str" cm="1">
        <f t="array" ref="X3454">_xlfn.IFS(Tabla1[[#This Row],[Porcentaje de muertes]]&lt;0.35,"LEVE",AND(Tabla1[[#This Row],[Porcentaje de muertes]]&gt;0.35,Tabla1[[#This Row],[Porcentaje de muertes]]&lt;0.65),"MEDIO",Tabla1[[#This Row],[Porcentaje de muertes]]&gt;0.65,"GRAVE")</f>
        <v>GRAVE</v>
      </c>
    </row>
    <row r="3455" spans="2:24" x14ac:dyDescent="0.3">
      <c r="B3455" s="9">
        <v>3454</v>
      </c>
      <c r="C3455" s="49">
        <v>32160</v>
      </c>
      <c r="D3455" s="9">
        <f>YEAR(Tabla1[[#This Row],[Date]])</f>
        <v>1988</v>
      </c>
      <c r="E3455" s="9" t="str" cm="1">
        <f t="array" ref="E3455">IFERROR(_xlfn.IFS(AND(D3455&lt;1980,D3455&gt;=1970),"70",AND(D3455&lt;1990,D3455&gt;=1980),"80",AND(D3455&lt;2000,D3455&gt;=1990),"90",AND(D3455&lt;2010,D3455&gt;=2000),"00",AND(D3455&lt;=2019,D3455&gt;=2010),"10"),"1908-1970")</f>
        <v>80</v>
      </c>
      <c r="F3455" s="3" t="s">
        <v>28931</v>
      </c>
      <c r="G3455" t="s">
        <v>20495</v>
      </c>
      <c r="H3455" t="s">
        <v>20496</v>
      </c>
      <c r="I3455" t="s">
        <v>28931</v>
      </c>
      <c r="J3455" t="s">
        <v>28931</v>
      </c>
      <c r="K3455" t="s">
        <v>20497</v>
      </c>
      <c r="L3455" s="7" t="s">
        <v>20498</v>
      </c>
      <c r="M3455">
        <v>246</v>
      </c>
      <c r="N3455">
        <v>9</v>
      </c>
      <c r="O3455">
        <v>6</v>
      </c>
      <c r="P3455">
        <v>3</v>
      </c>
      <c r="Q3455">
        <v>9</v>
      </c>
      <c r="R3455">
        <v>6</v>
      </c>
      <c r="S3455">
        <v>3</v>
      </c>
      <c r="T3455">
        <v>0</v>
      </c>
      <c r="U3455" t="s">
        <v>20499</v>
      </c>
      <c r="V3455">
        <f>Tabla1[[#This Row],[Aboard]]-Tabla1[[#This Row],[Fatalities]]</f>
        <v>0</v>
      </c>
      <c r="W3455" s="50">
        <f>IFERROR(Tabla1[[#This Row],[Fatalities]]/Tabla1[[#This Row],[Aboard]],0)</f>
        <v>1</v>
      </c>
      <c r="X3455" s="51" t="str" cm="1">
        <f t="array" ref="X3455">_xlfn.IFS(Tabla1[[#This Row],[Porcentaje de muertes]]&lt;0.35,"LEVE",AND(Tabla1[[#This Row],[Porcentaje de muertes]]&gt;0.35,Tabla1[[#This Row],[Porcentaje de muertes]]&lt;0.65),"MEDIO",Tabla1[[#This Row],[Porcentaje de muertes]]&gt;0.65,"GRAVE")</f>
        <v>GRAVE</v>
      </c>
    </row>
    <row r="3456" spans="2:24" x14ac:dyDescent="0.3">
      <c r="B3456" s="9">
        <v>3455</v>
      </c>
      <c r="C3456" s="49">
        <v>32160</v>
      </c>
      <c r="D3456" s="9">
        <f>YEAR(Tabla1[[#This Row],[Date]])</f>
        <v>1988</v>
      </c>
      <c r="E3456" s="9" t="str" cm="1">
        <f t="array" ref="E3456">IFERROR(_xlfn.IFS(AND(D3456&lt;1980,D3456&gt;=1970),"70",AND(D3456&lt;1990,D3456&gt;=1980),"80",AND(D3456&lt;2000,D3456&gt;=1990),"90",AND(D3456&lt;2010,D3456&gt;=2000),"00",AND(D3456&lt;=2019,D3456&gt;=2010),"10"),"1908-1970")</f>
        <v>80</v>
      </c>
      <c r="F3456" s="3">
        <v>0.18055555555555555</v>
      </c>
      <c r="G3456" t="s">
        <v>20500</v>
      </c>
      <c r="H3456" t="s">
        <v>6541</v>
      </c>
      <c r="I3456" t="s">
        <v>28931</v>
      </c>
      <c r="J3456" t="s">
        <v>20501</v>
      </c>
      <c r="K3456" t="s">
        <v>20502</v>
      </c>
      <c r="L3456" s="7" t="s">
        <v>20503</v>
      </c>
      <c r="M3456" t="s">
        <v>20504</v>
      </c>
      <c r="N3456">
        <v>143</v>
      </c>
      <c r="O3456">
        <v>137</v>
      </c>
      <c r="P3456">
        <v>6</v>
      </c>
      <c r="Q3456">
        <v>11</v>
      </c>
      <c r="R3456">
        <v>11</v>
      </c>
      <c r="S3456">
        <v>0</v>
      </c>
      <c r="T3456">
        <v>0</v>
      </c>
      <c r="U3456" t="s">
        <v>20505</v>
      </c>
      <c r="V3456">
        <f>Tabla1[[#This Row],[Aboard]]-Tabla1[[#This Row],[Fatalities]]</f>
        <v>132</v>
      </c>
      <c r="W3456" s="50">
        <f>IFERROR(Tabla1[[#This Row],[Fatalities]]/Tabla1[[#This Row],[Aboard]],0)</f>
        <v>7.6923076923076927E-2</v>
      </c>
      <c r="X3456" s="51" t="str" cm="1">
        <f t="array" ref="X3456">_xlfn.IFS(Tabla1[[#This Row],[Porcentaje de muertes]]&lt;0.35,"LEVE",AND(Tabla1[[#This Row],[Porcentaje de muertes]]&gt;0.35,Tabla1[[#This Row],[Porcentaje de muertes]]&lt;0.65),"MEDIO",Tabla1[[#This Row],[Porcentaje de muertes]]&gt;0.65,"GRAVE")</f>
        <v>LEVE</v>
      </c>
    </row>
    <row r="3457" spans="2:24" x14ac:dyDescent="0.3">
      <c r="B3457" s="9">
        <v>3456</v>
      </c>
      <c r="C3457" s="49">
        <v>32160</v>
      </c>
      <c r="D3457" s="9">
        <f>YEAR(Tabla1[[#This Row],[Date]])</f>
        <v>1988</v>
      </c>
      <c r="E3457" s="9" t="str" cm="1">
        <f t="array" ref="E3457">IFERROR(_xlfn.IFS(AND(D3457&lt;1980,D3457&gt;=1970),"70",AND(D3457&lt;1990,D3457&gt;=1980),"80",AND(D3457&lt;2000,D3457&gt;=1990),"90",AND(D3457&lt;2010,D3457&gt;=2000),"00",AND(D3457&lt;=2019,D3457&gt;=2010),"10"),"1908-1970")</f>
        <v>80</v>
      </c>
      <c r="F3457" s="3">
        <v>0.92847222222222225</v>
      </c>
      <c r="G3457" t="s">
        <v>20506</v>
      </c>
      <c r="H3457" t="s">
        <v>20507</v>
      </c>
      <c r="I3457">
        <v>4146</v>
      </c>
      <c r="J3457" t="s">
        <v>20508</v>
      </c>
      <c r="K3457" t="s">
        <v>13704</v>
      </c>
      <c r="L3457" s="7" t="s">
        <v>20509</v>
      </c>
      <c r="M3457">
        <v>187009901</v>
      </c>
      <c r="N3457">
        <v>108</v>
      </c>
      <c r="O3457">
        <v>98</v>
      </c>
      <c r="P3457">
        <v>10</v>
      </c>
      <c r="Q3457">
        <v>108</v>
      </c>
      <c r="R3457">
        <v>98</v>
      </c>
      <c r="S3457">
        <v>10</v>
      </c>
      <c r="T3457">
        <v>0</v>
      </c>
      <c r="U3457" t="s">
        <v>20510</v>
      </c>
      <c r="V3457">
        <f>Tabla1[[#This Row],[Aboard]]-Tabla1[[#This Row],[Fatalities]]</f>
        <v>0</v>
      </c>
      <c r="W3457" s="50">
        <f>IFERROR(Tabla1[[#This Row],[Fatalities]]/Tabla1[[#This Row],[Aboard]],0)</f>
        <v>1</v>
      </c>
      <c r="X3457" s="51" t="str" cm="1">
        <f t="array" ref="X3457">_xlfn.IFS(Tabla1[[#This Row],[Porcentaje de muertes]]&lt;0.35,"LEVE",AND(Tabla1[[#This Row],[Porcentaje de muertes]]&gt;0.35,Tabla1[[#This Row],[Porcentaje de muertes]]&lt;0.65),"MEDIO",Tabla1[[#This Row],[Porcentaje de muertes]]&gt;0.65,"GRAVE")</f>
        <v>GRAVE</v>
      </c>
    </row>
    <row r="3458" spans="2:24" x14ac:dyDescent="0.3">
      <c r="B3458" s="9">
        <v>3457</v>
      </c>
      <c r="C3458" s="49">
        <v>32161</v>
      </c>
      <c r="D3458" s="9">
        <f>YEAR(Tabla1[[#This Row],[Date]])</f>
        <v>1988</v>
      </c>
      <c r="E3458" s="9" t="str" cm="1">
        <f t="array" ref="E3458">IFERROR(_xlfn.IFS(AND(D3458&lt;1980,D3458&gt;=1970),"70",AND(D3458&lt;1990,D3458&gt;=1980),"80",AND(D3458&lt;2000,D3458&gt;=1990),"90",AND(D3458&lt;2010,D3458&gt;=2000),"00",AND(D3458&lt;=2019,D3458&gt;=2010),"10"),"1908-1970")</f>
        <v>80</v>
      </c>
      <c r="F3458" s="3">
        <v>0.79166666666666663</v>
      </c>
      <c r="G3458" t="s">
        <v>20511</v>
      </c>
      <c r="H3458" t="s">
        <v>20512</v>
      </c>
      <c r="I3458">
        <v>2286</v>
      </c>
      <c r="J3458" t="s">
        <v>20513</v>
      </c>
      <c r="K3458" t="s">
        <v>20514</v>
      </c>
      <c r="L3458" s="7" t="s">
        <v>20515</v>
      </c>
      <c r="M3458" t="s">
        <v>20516</v>
      </c>
      <c r="N3458">
        <v>17</v>
      </c>
      <c r="O3458">
        <v>15</v>
      </c>
      <c r="P3458">
        <v>2</v>
      </c>
      <c r="Q3458">
        <v>9</v>
      </c>
      <c r="R3458">
        <v>7</v>
      </c>
      <c r="S3458">
        <v>2</v>
      </c>
      <c r="T3458">
        <v>0</v>
      </c>
      <c r="U3458" t="s">
        <v>20517</v>
      </c>
      <c r="V3458">
        <f>Tabla1[[#This Row],[Aboard]]-Tabla1[[#This Row],[Fatalities]]</f>
        <v>8</v>
      </c>
      <c r="W3458" s="50">
        <f>IFERROR(Tabla1[[#This Row],[Fatalities]]/Tabla1[[#This Row],[Aboard]],0)</f>
        <v>0.52941176470588236</v>
      </c>
      <c r="X3458" s="51" t="str" cm="1">
        <f t="array" ref="X3458">_xlfn.IFS(Tabla1[[#This Row],[Porcentaje de muertes]]&lt;0.35,"LEVE",AND(Tabla1[[#This Row],[Porcentaje de muertes]]&gt;0.35,Tabla1[[#This Row],[Porcentaje de muertes]]&lt;0.65),"MEDIO",Tabla1[[#This Row],[Porcentaje de muertes]]&gt;0.65,"GRAVE")</f>
        <v>MEDIO</v>
      </c>
    </row>
    <row r="3459" spans="2:24" x14ac:dyDescent="0.3">
      <c r="B3459" s="9">
        <v>3458</v>
      </c>
      <c r="C3459" s="49">
        <v>32161</v>
      </c>
      <c r="D3459" s="9">
        <f>YEAR(Tabla1[[#This Row],[Date]])</f>
        <v>1988</v>
      </c>
      <c r="E3459" s="9" t="str" cm="1">
        <f t="array" ref="E3459">IFERROR(_xlfn.IFS(AND(D3459&lt;1980,D3459&gt;=1970),"70",AND(D3459&lt;1990,D3459&gt;=1980),"80",AND(D3459&lt;2000,D3459&gt;=1990),"90",AND(D3459&lt;2010,D3459&gt;=2000),"00",AND(D3459&lt;=2019,D3459&gt;=2010),"10"),"1908-1970")</f>
        <v>80</v>
      </c>
      <c r="F3459" s="3" t="s">
        <v>28931</v>
      </c>
      <c r="G3459" t="s">
        <v>20518</v>
      </c>
      <c r="H3459" t="s">
        <v>19457</v>
      </c>
      <c r="I3459" t="s">
        <v>28931</v>
      </c>
      <c r="J3459" t="s">
        <v>20519</v>
      </c>
      <c r="K3459" t="s">
        <v>19459</v>
      </c>
      <c r="L3459" s="7" t="s">
        <v>20520</v>
      </c>
      <c r="M3459">
        <v>2029</v>
      </c>
      <c r="N3459">
        <v>11</v>
      </c>
      <c r="O3459">
        <v>10</v>
      </c>
      <c r="P3459">
        <v>1</v>
      </c>
      <c r="Q3459">
        <v>10</v>
      </c>
      <c r="R3459">
        <v>9</v>
      </c>
      <c r="S3459">
        <v>1</v>
      </c>
      <c r="T3459">
        <v>0</v>
      </c>
      <c r="U3459" t="s">
        <v>20521</v>
      </c>
      <c r="V3459">
        <f>Tabla1[[#This Row],[Aboard]]-Tabla1[[#This Row],[Fatalities]]</f>
        <v>1</v>
      </c>
      <c r="W3459" s="50">
        <f>IFERROR(Tabla1[[#This Row],[Fatalities]]/Tabla1[[#This Row],[Aboard]],0)</f>
        <v>0.90909090909090906</v>
      </c>
      <c r="X3459" s="51" t="str" cm="1">
        <f t="array" ref="X3459">_xlfn.IFS(Tabla1[[#This Row],[Porcentaje de muertes]]&lt;0.35,"LEVE",AND(Tabla1[[#This Row],[Porcentaje de muertes]]&gt;0.35,Tabla1[[#This Row],[Porcentaje de muertes]]&lt;0.65),"MEDIO",Tabla1[[#This Row],[Porcentaje de muertes]]&gt;0.65,"GRAVE")</f>
        <v>GRAVE</v>
      </c>
    </row>
    <row r="3460" spans="2:24" x14ac:dyDescent="0.3">
      <c r="B3460" s="9">
        <v>3459</v>
      </c>
      <c r="C3460" s="49">
        <v>32166</v>
      </c>
      <c r="D3460" s="9">
        <f>YEAR(Tabla1[[#This Row],[Date]])</f>
        <v>1988</v>
      </c>
      <c r="E3460" s="9" t="str" cm="1">
        <f t="array" ref="E3460">IFERROR(_xlfn.IFS(AND(D3460&lt;1980,D3460&gt;=1970),"70",AND(D3460&lt;1990,D3460&gt;=1980),"80",AND(D3460&lt;2000,D3460&gt;=1990),"90",AND(D3460&lt;2010,D3460&gt;=2000),"00",AND(D3460&lt;=2019,D3460&gt;=2010),"10"),"1908-1970")</f>
        <v>80</v>
      </c>
      <c r="F3460" s="3">
        <v>0.7006944444444444</v>
      </c>
      <c r="G3460" t="s">
        <v>20522</v>
      </c>
      <c r="H3460" t="s">
        <v>6541</v>
      </c>
      <c r="I3460" t="s">
        <v>28931</v>
      </c>
      <c r="J3460" t="s">
        <v>20523</v>
      </c>
      <c r="K3460" t="s">
        <v>15961</v>
      </c>
      <c r="L3460" s="7" t="s">
        <v>20524</v>
      </c>
      <c r="M3460">
        <v>9531442</v>
      </c>
      <c r="N3460">
        <v>31</v>
      </c>
      <c r="O3460">
        <v>27</v>
      </c>
      <c r="P3460">
        <v>4</v>
      </c>
      <c r="Q3460">
        <v>27</v>
      </c>
      <c r="R3460">
        <v>23</v>
      </c>
      <c r="S3460">
        <v>4</v>
      </c>
      <c r="T3460">
        <v>0</v>
      </c>
      <c r="U3460" t="s">
        <v>20525</v>
      </c>
      <c r="V3460">
        <f>Tabla1[[#This Row],[Aboard]]-Tabla1[[#This Row],[Fatalities]]</f>
        <v>4</v>
      </c>
      <c r="W3460" s="50">
        <f>IFERROR(Tabla1[[#This Row],[Fatalities]]/Tabla1[[#This Row],[Aboard]],0)</f>
        <v>0.87096774193548387</v>
      </c>
      <c r="X3460" s="51" t="str" cm="1">
        <f t="array" ref="X3460">_xlfn.IFS(Tabla1[[#This Row],[Porcentaje de muertes]]&lt;0.35,"LEVE",AND(Tabla1[[#This Row],[Porcentaje de muertes]]&gt;0.35,Tabla1[[#This Row],[Porcentaje de muertes]]&lt;0.65),"MEDIO",Tabla1[[#This Row],[Porcentaje de muertes]]&gt;0.65,"GRAVE")</f>
        <v>GRAVE</v>
      </c>
    </row>
    <row r="3461" spans="2:24" x14ac:dyDescent="0.3">
      <c r="B3461" s="9">
        <v>3460</v>
      </c>
      <c r="C3461" s="49">
        <v>32144</v>
      </c>
      <c r="D3461" s="9">
        <f>YEAR(Tabla1[[#This Row],[Date]])</f>
        <v>1988</v>
      </c>
      <c r="E3461" s="9" t="str" cm="1">
        <f t="array" ref="E3461">IFERROR(_xlfn.IFS(AND(D3461&lt;1980,D3461&gt;=1970),"70",AND(D3461&lt;1990,D3461&gt;=1980),"80",AND(D3461&lt;2000,D3461&gt;=1990),"90",AND(D3461&lt;2010,D3461&gt;=2000),"00",AND(D3461&lt;=2019,D3461&gt;=2010),"10"),"1908-1970")</f>
        <v>80</v>
      </c>
      <c r="F3461" s="3" t="s">
        <v>28931</v>
      </c>
      <c r="G3461" t="s">
        <v>20526</v>
      </c>
      <c r="H3461" t="s">
        <v>20527</v>
      </c>
      <c r="I3461" t="s">
        <v>28931</v>
      </c>
      <c r="J3461" t="s">
        <v>28931</v>
      </c>
      <c r="K3461" t="s">
        <v>20276</v>
      </c>
      <c r="L3461" s="7" t="s">
        <v>20528</v>
      </c>
      <c r="M3461">
        <v>237</v>
      </c>
      <c r="N3461">
        <v>16</v>
      </c>
      <c r="O3461">
        <v>14</v>
      </c>
      <c r="P3461">
        <v>2</v>
      </c>
      <c r="Q3461">
        <v>16</v>
      </c>
      <c r="R3461">
        <v>14</v>
      </c>
      <c r="S3461">
        <v>2</v>
      </c>
      <c r="T3461">
        <v>0</v>
      </c>
      <c r="U3461" t="s">
        <v>10072</v>
      </c>
      <c r="V3461">
        <f>Tabla1[[#This Row],[Aboard]]-Tabla1[[#This Row],[Fatalities]]</f>
        <v>0</v>
      </c>
      <c r="W3461" s="50">
        <f>IFERROR(Tabla1[[#This Row],[Fatalities]]/Tabla1[[#This Row],[Aboard]],0)</f>
        <v>1</v>
      </c>
      <c r="X3461" s="51" t="str" cm="1">
        <f t="array" ref="X3461">_xlfn.IFS(Tabla1[[#This Row],[Porcentaje de muertes]]&lt;0.35,"LEVE",AND(Tabla1[[#This Row],[Porcentaje de muertes]]&gt;0.35,Tabla1[[#This Row],[Porcentaje de muertes]]&lt;0.65),"MEDIO",Tabla1[[#This Row],[Porcentaje de muertes]]&gt;0.65,"GRAVE")</f>
        <v>GRAVE</v>
      </c>
    </row>
    <row r="3462" spans="2:24" x14ac:dyDescent="0.3">
      <c r="B3462" s="9">
        <v>3461</v>
      </c>
      <c r="C3462" s="49">
        <v>32357</v>
      </c>
      <c r="D3462" s="9">
        <f>YEAR(Tabla1[[#This Row],[Date]])</f>
        <v>1988</v>
      </c>
      <c r="E3462" s="9" t="str" cm="1">
        <f t="array" ref="E3462">IFERROR(_xlfn.IFS(AND(D3462&lt;1980,D3462&gt;=1970),"70",AND(D3462&lt;1990,D3462&gt;=1980),"80",AND(D3462&lt;2000,D3462&gt;=1990),"90",AND(D3462&lt;2010,D3462&gt;=2000),"00",AND(D3462&lt;=2019,D3462&gt;=2010),"10"),"1908-1970")</f>
        <v>80</v>
      </c>
      <c r="F3462" s="3">
        <v>0.33194444444444443</v>
      </c>
      <c r="G3462" t="s">
        <v>20529</v>
      </c>
      <c r="H3462" t="s">
        <v>20530</v>
      </c>
      <c r="I3462">
        <v>108</v>
      </c>
      <c r="J3462" t="s">
        <v>20531</v>
      </c>
      <c r="K3462" t="s">
        <v>19274</v>
      </c>
      <c r="L3462" s="7" t="s">
        <v>20532</v>
      </c>
      <c r="M3462" t="s">
        <v>20533</v>
      </c>
      <c r="N3462">
        <v>21</v>
      </c>
      <c r="O3462">
        <v>19</v>
      </c>
      <c r="P3462">
        <v>2</v>
      </c>
      <c r="Q3462">
        <v>21</v>
      </c>
      <c r="R3462">
        <v>19</v>
      </c>
      <c r="S3462">
        <v>2</v>
      </c>
      <c r="T3462">
        <v>0</v>
      </c>
      <c r="U3462" t="s">
        <v>20534</v>
      </c>
      <c r="V3462">
        <f>Tabla1[[#This Row],[Aboard]]-Tabla1[[#This Row],[Fatalities]]</f>
        <v>0</v>
      </c>
      <c r="W3462" s="50">
        <f>IFERROR(Tabla1[[#This Row],[Fatalities]]/Tabla1[[#This Row],[Aboard]],0)</f>
        <v>1</v>
      </c>
      <c r="X3462" s="51" t="str" cm="1">
        <f t="array" ref="X3462">_xlfn.IFS(Tabla1[[#This Row],[Porcentaje de muertes]]&lt;0.35,"LEVE",AND(Tabla1[[#This Row],[Porcentaje de muertes]]&gt;0.35,Tabla1[[#This Row],[Porcentaje de muertes]]&lt;0.65),"MEDIO",Tabla1[[#This Row],[Porcentaje de muertes]]&gt;0.65,"GRAVE")</f>
        <v>GRAVE</v>
      </c>
    </row>
    <row r="3463" spans="2:24" x14ac:dyDescent="0.3">
      <c r="B3463" s="9">
        <v>3462</v>
      </c>
      <c r="C3463" s="49">
        <v>32192</v>
      </c>
      <c r="D3463" s="9">
        <f>YEAR(Tabla1[[#This Row],[Date]])</f>
        <v>1988</v>
      </c>
      <c r="E3463" s="9" t="str" cm="1">
        <f t="array" ref="E3463">IFERROR(_xlfn.IFS(AND(D3463&lt;1980,D3463&gt;=1970),"70",AND(D3463&lt;1990,D3463&gt;=1980),"80",AND(D3463&lt;2000,D3463&gt;=1990),"90",AND(D3463&lt;2010,D3463&gt;=2000),"00",AND(D3463&lt;=2019,D3463&gt;=2010),"10"),"1908-1970")</f>
        <v>80</v>
      </c>
      <c r="F3463" s="3">
        <v>0.89374999999999993</v>
      </c>
      <c r="G3463" t="s">
        <v>20535</v>
      </c>
      <c r="H3463" t="s">
        <v>20536</v>
      </c>
      <c r="I3463">
        <v>3378</v>
      </c>
      <c r="J3463" t="s">
        <v>20537</v>
      </c>
      <c r="K3463" t="s">
        <v>20538</v>
      </c>
      <c r="L3463" s="7" t="s">
        <v>20539</v>
      </c>
      <c r="M3463" t="s">
        <v>20540</v>
      </c>
      <c r="N3463">
        <v>12</v>
      </c>
      <c r="O3463">
        <v>10</v>
      </c>
      <c r="P3463">
        <v>2</v>
      </c>
      <c r="Q3463">
        <v>12</v>
      </c>
      <c r="R3463">
        <v>10</v>
      </c>
      <c r="S3463">
        <v>2</v>
      </c>
      <c r="T3463">
        <v>0</v>
      </c>
      <c r="U3463" t="s">
        <v>20541</v>
      </c>
      <c r="V3463">
        <f>Tabla1[[#This Row],[Aboard]]-Tabla1[[#This Row],[Fatalities]]</f>
        <v>0</v>
      </c>
      <c r="W3463" s="50">
        <f>IFERROR(Tabla1[[#This Row],[Fatalities]]/Tabla1[[#This Row],[Aboard]],0)</f>
        <v>1</v>
      </c>
      <c r="X3463" s="51" t="str" cm="1">
        <f t="array" ref="X3463">_xlfn.IFS(Tabla1[[#This Row],[Porcentaje de muertes]]&lt;0.35,"LEVE",AND(Tabla1[[#This Row],[Porcentaje de muertes]]&gt;0.35,Tabla1[[#This Row],[Porcentaje de muertes]]&lt;0.65),"MEDIO",Tabla1[[#This Row],[Porcentaje de muertes]]&gt;0.65,"GRAVE")</f>
        <v>GRAVE</v>
      </c>
    </row>
    <row r="3464" spans="2:24" x14ac:dyDescent="0.3">
      <c r="B3464" s="9">
        <v>3463</v>
      </c>
      <c r="C3464" s="49">
        <v>32200</v>
      </c>
      <c r="D3464" s="9">
        <f>YEAR(Tabla1[[#This Row],[Date]])</f>
        <v>1988</v>
      </c>
      <c r="E3464" s="9" t="str" cm="1">
        <f t="array" ref="E3464">IFERROR(_xlfn.IFS(AND(D3464&lt;1980,D3464&gt;=1970),"70",AND(D3464&lt;1990,D3464&gt;=1980),"80",AND(D3464&lt;2000,D3464&gt;=1990),"90",AND(D3464&lt;2010,D3464&gt;=2000),"00",AND(D3464&lt;=2019,D3464&gt;=2010),"10"),"1908-1970")</f>
        <v>80</v>
      </c>
      <c r="F3464" s="3">
        <v>0.17222222222222225</v>
      </c>
      <c r="G3464" t="s">
        <v>20542</v>
      </c>
      <c r="H3464" t="s">
        <v>6541</v>
      </c>
      <c r="I3464" t="s">
        <v>28931</v>
      </c>
      <c r="J3464" t="s">
        <v>16108</v>
      </c>
      <c r="K3464" t="s">
        <v>16145</v>
      </c>
      <c r="L3464" s="7" t="s">
        <v>20543</v>
      </c>
      <c r="M3464">
        <v>1351501</v>
      </c>
      <c r="N3464">
        <v>51</v>
      </c>
      <c r="O3464">
        <v>45</v>
      </c>
      <c r="P3464">
        <v>6</v>
      </c>
      <c r="Q3464">
        <v>20</v>
      </c>
      <c r="R3464">
        <v>17</v>
      </c>
      <c r="S3464">
        <v>3</v>
      </c>
      <c r="T3464">
        <v>0</v>
      </c>
      <c r="U3464" t="s">
        <v>20544</v>
      </c>
      <c r="V3464">
        <f>Tabla1[[#This Row],[Aboard]]-Tabla1[[#This Row],[Fatalities]]</f>
        <v>31</v>
      </c>
      <c r="W3464" s="50">
        <f>IFERROR(Tabla1[[#This Row],[Fatalities]]/Tabla1[[#This Row],[Aboard]],0)</f>
        <v>0.39215686274509803</v>
      </c>
      <c r="X3464" s="51" t="str" cm="1">
        <f t="array" ref="X3464">_xlfn.IFS(Tabla1[[#This Row],[Porcentaje de muertes]]&lt;0.35,"LEVE",AND(Tabla1[[#This Row],[Porcentaje de muertes]]&gt;0.35,Tabla1[[#This Row],[Porcentaje de muertes]]&lt;0.65),"MEDIO",Tabla1[[#This Row],[Porcentaje de muertes]]&gt;0.65,"GRAVE")</f>
        <v>MEDIO</v>
      </c>
    </row>
    <row r="3465" spans="2:24" x14ac:dyDescent="0.3">
      <c r="B3465" s="9">
        <v>3464</v>
      </c>
      <c r="C3465" s="49">
        <v>32200</v>
      </c>
      <c r="D3465" s="9">
        <f>YEAR(Tabla1[[#This Row],[Date]])</f>
        <v>1988</v>
      </c>
      <c r="E3465" s="9" t="str" cm="1">
        <f t="array" ref="E3465">IFERROR(_xlfn.IFS(AND(D3465&lt;1980,D3465&gt;=1970),"70",AND(D3465&lt;1990,D3465&gt;=1980),"80",AND(D3465&lt;2000,D3465&gt;=1990),"90",AND(D3465&lt;2010,D3465&gt;=2000),"00",AND(D3465&lt;=2019,D3465&gt;=2010),"10"),"1908-1970")</f>
        <v>80</v>
      </c>
      <c r="F3465" s="3">
        <v>0.43402777777777773</v>
      </c>
      <c r="G3465" t="s">
        <v>20545</v>
      </c>
      <c r="H3465" t="s">
        <v>20546</v>
      </c>
      <c r="I3465" t="s">
        <v>28931</v>
      </c>
      <c r="J3465" t="s">
        <v>20547</v>
      </c>
      <c r="K3465" t="s">
        <v>20548</v>
      </c>
      <c r="L3465" s="7" t="s">
        <v>20549</v>
      </c>
      <c r="M3465" t="s">
        <v>20550</v>
      </c>
      <c r="N3465">
        <v>15</v>
      </c>
      <c r="O3465">
        <v>9</v>
      </c>
      <c r="P3465">
        <v>6</v>
      </c>
      <c r="Q3465">
        <v>15</v>
      </c>
      <c r="R3465">
        <v>9</v>
      </c>
      <c r="S3465">
        <v>6</v>
      </c>
      <c r="T3465">
        <v>0</v>
      </c>
      <c r="U3465" t="s">
        <v>20551</v>
      </c>
      <c r="V3465">
        <f>Tabla1[[#This Row],[Aboard]]-Tabla1[[#This Row],[Fatalities]]</f>
        <v>0</v>
      </c>
      <c r="W3465" s="50">
        <f>IFERROR(Tabla1[[#This Row],[Fatalities]]/Tabla1[[#This Row],[Aboard]],0)</f>
        <v>1</v>
      </c>
      <c r="X3465" s="51" t="str" cm="1">
        <f t="array" ref="X3465">_xlfn.IFS(Tabla1[[#This Row],[Porcentaje de muertes]]&lt;0.35,"LEVE",AND(Tabla1[[#This Row],[Porcentaje de muertes]]&gt;0.35,Tabla1[[#This Row],[Porcentaje de muertes]]&lt;0.65),"MEDIO",Tabla1[[#This Row],[Porcentaje de muertes]]&gt;0.65,"GRAVE")</f>
        <v>GRAVE</v>
      </c>
    </row>
    <row r="3466" spans="2:24" x14ac:dyDescent="0.3">
      <c r="B3466" s="9">
        <v>3465</v>
      </c>
      <c r="C3466" s="49">
        <v>32145</v>
      </c>
      <c r="D3466" s="9">
        <f>YEAR(Tabla1[[#This Row],[Date]])</f>
        <v>1988</v>
      </c>
      <c r="E3466" s="9" t="str" cm="1">
        <f t="array" ref="E3466">IFERROR(_xlfn.IFS(AND(D3466&lt;1980,D3466&gt;=1970),"70",AND(D3466&lt;1990,D3466&gt;=1980),"80",AND(D3466&lt;2000,D3466&gt;=1990),"90",AND(D3466&lt;2010,D3466&gt;=2000),"00",AND(D3466&lt;=2019,D3466&gt;=2010),"10"),"1908-1970")</f>
        <v>80</v>
      </c>
      <c r="F3466" s="3">
        <v>0.72777777777777775</v>
      </c>
      <c r="G3466" t="s">
        <v>20552</v>
      </c>
      <c r="H3466" t="s">
        <v>20553</v>
      </c>
      <c r="I3466">
        <v>206</v>
      </c>
      <c r="J3466" t="s">
        <v>20554</v>
      </c>
      <c r="K3466" t="s">
        <v>18953</v>
      </c>
      <c r="L3466" s="7" t="s">
        <v>20555</v>
      </c>
      <c r="M3466" t="s">
        <v>20556</v>
      </c>
      <c r="N3466">
        <v>17</v>
      </c>
      <c r="O3466">
        <v>15</v>
      </c>
      <c r="P3466">
        <v>2</v>
      </c>
      <c r="Q3466">
        <v>17</v>
      </c>
      <c r="R3466">
        <v>15</v>
      </c>
      <c r="S3466">
        <v>2</v>
      </c>
      <c r="T3466">
        <v>0</v>
      </c>
      <c r="U3466" t="s">
        <v>20557</v>
      </c>
      <c r="V3466">
        <f>Tabla1[[#This Row],[Aboard]]-Tabla1[[#This Row],[Fatalities]]</f>
        <v>0</v>
      </c>
      <c r="W3466" s="50">
        <f>IFERROR(Tabla1[[#This Row],[Fatalities]]/Tabla1[[#This Row],[Aboard]],0)</f>
        <v>1</v>
      </c>
      <c r="X3466" s="51" t="str" cm="1">
        <f t="array" ref="X3466">_xlfn.IFS(Tabla1[[#This Row],[Porcentaje de muertes]]&lt;0.35,"LEVE",AND(Tabla1[[#This Row],[Porcentaje de muertes]]&gt;0.35,Tabla1[[#This Row],[Porcentaje de muertes]]&lt;0.65),"MEDIO",Tabla1[[#This Row],[Porcentaje de muertes]]&gt;0.65,"GRAVE")</f>
        <v>GRAVE</v>
      </c>
    </row>
    <row r="3467" spans="2:24" x14ac:dyDescent="0.3">
      <c r="B3467" s="9">
        <v>3466</v>
      </c>
      <c r="C3467" s="49">
        <v>32236</v>
      </c>
      <c r="D3467" s="9">
        <f>YEAR(Tabla1[[#This Row],[Date]])</f>
        <v>1988</v>
      </c>
      <c r="E3467" s="9" t="str" cm="1">
        <f t="array" ref="E3467">IFERROR(_xlfn.IFS(AND(D3467&lt;1980,D3467&gt;=1970),"70",AND(D3467&lt;1990,D3467&gt;=1980),"80",AND(D3467&lt;2000,D3467&gt;=1990),"90",AND(D3467&lt;2010,D3467&gt;=2000),"00",AND(D3467&lt;=2019,D3467&gt;=2010),"10"),"1908-1970")</f>
        <v>80</v>
      </c>
      <c r="F3467" s="3">
        <v>0.27569444444444446</v>
      </c>
      <c r="G3467" t="s">
        <v>20558</v>
      </c>
      <c r="H3467" t="s">
        <v>20559</v>
      </c>
      <c r="I3467">
        <v>230</v>
      </c>
      <c r="J3467" t="s">
        <v>20560</v>
      </c>
      <c r="K3467" t="s">
        <v>20561</v>
      </c>
      <c r="L3467" s="7" t="s">
        <v>20562</v>
      </c>
      <c r="M3467">
        <v>546</v>
      </c>
      <c r="N3467">
        <v>23</v>
      </c>
      <c r="O3467">
        <v>20</v>
      </c>
      <c r="P3467">
        <v>3</v>
      </c>
      <c r="Q3467">
        <v>23</v>
      </c>
      <c r="R3467">
        <v>20</v>
      </c>
      <c r="S3467">
        <v>3</v>
      </c>
      <c r="T3467">
        <v>0</v>
      </c>
      <c r="U3467" t="s">
        <v>20563</v>
      </c>
      <c r="V3467">
        <f>Tabla1[[#This Row],[Aboard]]-Tabla1[[#This Row],[Fatalities]]</f>
        <v>0</v>
      </c>
      <c r="W3467" s="50">
        <f>IFERROR(Tabla1[[#This Row],[Fatalities]]/Tabla1[[#This Row],[Aboard]],0)</f>
        <v>1</v>
      </c>
      <c r="X3467" s="51" t="str" cm="1">
        <f t="array" ref="X3467">_xlfn.IFS(Tabla1[[#This Row],[Porcentaje de muertes]]&lt;0.35,"LEVE",AND(Tabla1[[#This Row],[Porcentaje de muertes]]&gt;0.35,Tabla1[[#This Row],[Porcentaje de muertes]]&lt;0.65),"MEDIO",Tabla1[[#This Row],[Porcentaje de muertes]]&gt;0.65,"GRAVE")</f>
        <v>GRAVE</v>
      </c>
    </row>
    <row r="3468" spans="2:24" x14ac:dyDescent="0.3">
      <c r="B3468" s="9">
        <v>3467</v>
      </c>
      <c r="C3468" s="49">
        <v>32358</v>
      </c>
      <c r="D3468" s="9">
        <f>YEAR(Tabla1[[#This Row],[Date]])</f>
        <v>1988</v>
      </c>
      <c r="E3468" s="9" t="str" cm="1">
        <f t="array" ref="E3468">IFERROR(_xlfn.IFS(AND(D3468&lt;1980,D3468&gt;=1970),"70",AND(D3468&lt;1990,D3468&gt;=1980),"80",AND(D3468&lt;2000,D3468&gt;=1990),"90",AND(D3468&lt;2010,D3468&gt;=2000),"00",AND(D3468&lt;=2019,D3468&gt;=2010),"10"),"1908-1970")</f>
        <v>80</v>
      </c>
      <c r="F3468" s="3">
        <v>0.90625</v>
      </c>
      <c r="G3468" t="s">
        <v>20564</v>
      </c>
      <c r="H3468" t="s">
        <v>5017</v>
      </c>
      <c r="I3468" t="s">
        <v>28931</v>
      </c>
      <c r="J3468" t="s">
        <v>28931</v>
      </c>
      <c r="K3468" t="s">
        <v>20565</v>
      </c>
      <c r="L3468" s="7" t="s">
        <v>20566</v>
      </c>
      <c r="M3468" t="s">
        <v>28931</v>
      </c>
      <c r="N3468">
        <v>17</v>
      </c>
      <c r="O3468" t="s">
        <v>5038</v>
      </c>
      <c r="P3468" t="s">
        <v>5038</v>
      </c>
      <c r="Q3468">
        <v>17</v>
      </c>
      <c r="R3468" t="s">
        <v>5038</v>
      </c>
      <c r="S3468" t="s">
        <v>5038</v>
      </c>
      <c r="T3468">
        <v>0</v>
      </c>
      <c r="U3468" t="s">
        <v>20567</v>
      </c>
      <c r="V3468">
        <f>Tabla1[[#This Row],[Aboard]]-Tabla1[[#This Row],[Fatalities]]</f>
        <v>0</v>
      </c>
      <c r="W3468" s="50">
        <f>IFERROR(Tabla1[[#This Row],[Fatalities]]/Tabla1[[#This Row],[Aboard]],0)</f>
        <v>1</v>
      </c>
      <c r="X3468" s="51" t="str" cm="1">
        <f t="array" ref="X3468">_xlfn.IFS(Tabla1[[#This Row],[Porcentaje de muertes]]&lt;0.35,"LEVE",AND(Tabla1[[#This Row],[Porcentaje de muertes]]&gt;0.35,Tabla1[[#This Row],[Porcentaje de muertes]]&lt;0.65),"MEDIO",Tabla1[[#This Row],[Porcentaje de muertes]]&gt;0.65,"GRAVE")</f>
        <v>GRAVE</v>
      </c>
    </row>
    <row r="3469" spans="2:24" x14ac:dyDescent="0.3">
      <c r="B3469" s="9">
        <v>3468</v>
      </c>
      <c r="C3469" s="49">
        <v>32219</v>
      </c>
      <c r="D3469" s="9">
        <f>YEAR(Tabla1[[#This Row],[Date]])</f>
        <v>1988</v>
      </c>
      <c r="E3469" s="9" t="str" cm="1">
        <f t="array" ref="E3469">IFERROR(_xlfn.IFS(AND(D3469&lt;1980,D3469&gt;=1970),"70",AND(D3469&lt;1990,D3469&gt;=1980),"80",AND(D3469&lt;2000,D3469&gt;=1990),"90",AND(D3469&lt;2010,D3469&gt;=2000),"00",AND(D3469&lt;=2019,D3469&gt;=2010),"10"),"1908-1970")</f>
        <v>80</v>
      </c>
      <c r="F3469" s="3">
        <v>0.55347222222222225</v>
      </c>
      <c r="G3469" t="s">
        <v>20568</v>
      </c>
      <c r="H3469" t="s">
        <v>8976</v>
      </c>
      <c r="I3469">
        <v>410</v>
      </c>
      <c r="J3469" t="s">
        <v>20569</v>
      </c>
      <c r="K3469" t="s">
        <v>20570</v>
      </c>
      <c r="L3469" s="7" t="s">
        <v>20571</v>
      </c>
      <c r="M3469" t="s">
        <v>20572</v>
      </c>
      <c r="N3469">
        <v>143</v>
      </c>
      <c r="O3469">
        <v>136</v>
      </c>
      <c r="P3469">
        <v>7</v>
      </c>
      <c r="Q3469">
        <v>143</v>
      </c>
      <c r="R3469">
        <v>136</v>
      </c>
      <c r="S3469">
        <v>7</v>
      </c>
      <c r="T3469">
        <v>0</v>
      </c>
      <c r="U3469" t="s">
        <v>20573</v>
      </c>
      <c r="V3469">
        <f>Tabla1[[#This Row],[Aboard]]-Tabla1[[#This Row],[Fatalities]]</f>
        <v>0</v>
      </c>
      <c r="W3469" s="50">
        <f>IFERROR(Tabla1[[#This Row],[Fatalities]]/Tabla1[[#This Row],[Aboard]],0)</f>
        <v>1</v>
      </c>
      <c r="X3469" s="51" t="str" cm="1">
        <f t="array" ref="X3469">_xlfn.IFS(Tabla1[[#This Row],[Porcentaje de muertes]]&lt;0.35,"LEVE",AND(Tabla1[[#This Row],[Porcentaje de muertes]]&gt;0.35,Tabla1[[#This Row],[Porcentaje de muertes]]&lt;0.65),"MEDIO",Tabla1[[#This Row],[Porcentaje de muertes]]&gt;0.65,"GRAVE")</f>
        <v>GRAVE</v>
      </c>
    </row>
    <row r="3470" spans="2:24" x14ac:dyDescent="0.3">
      <c r="B3470" s="9">
        <v>3469</v>
      </c>
      <c r="C3470" s="49">
        <v>32233</v>
      </c>
      <c r="D3470" s="9">
        <f>YEAR(Tabla1[[#This Row],[Date]])</f>
        <v>1988</v>
      </c>
      <c r="E3470" s="9" t="str" cm="1">
        <f t="array" ref="E3470">IFERROR(_xlfn.IFS(AND(D3470&lt;1980,D3470&gt;=1970),"70",AND(D3470&lt;1990,D3470&gt;=1980),"80",AND(D3470&lt;2000,D3470&gt;=1990),"90",AND(D3470&lt;2010,D3470&gt;=2000),"00",AND(D3470&lt;=2019,D3470&gt;=2010),"10"),"1908-1970")</f>
        <v>80</v>
      </c>
      <c r="F3470" s="3">
        <v>0.17361111111111113</v>
      </c>
      <c r="G3470" t="s">
        <v>6648</v>
      </c>
      <c r="H3470" t="s">
        <v>20574</v>
      </c>
      <c r="I3470" t="s">
        <v>28931</v>
      </c>
      <c r="J3470" t="s">
        <v>20575</v>
      </c>
      <c r="K3470" t="s">
        <v>20576</v>
      </c>
      <c r="L3470" s="7" t="s">
        <v>20577</v>
      </c>
      <c r="M3470" t="s">
        <v>20578</v>
      </c>
      <c r="N3470">
        <v>4</v>
      </c>
      <c r="O3470">
        <v>0</v>
      </c>
      <c r="P3470">
        <v>4</v>
      </c>
      <c r="Q3470">
        <v>4</v>
      </c>
      <c r="R3470">
        <v>0</v>
      </c>
      <c r="S3470">
        <v>4</v>
      </c>
      <c r="T3470">
        <v>0</v>
      </c>
      <c r="U3470" t="s">
        <v>20579</v>
      </c>
      <c r="V3470">
        <f>Tabla1[[#This Row],[Aboard]]-Tabla1[[#This Row],[Fatalities]]</f>
        <v>0</v>
      </c>
      <c r="W3470" s="50">
        <f>IFERROR(Tabla1[[#This Row],[Fatalities]]/Tabla1[[#This Row],[Aboard]],0)</f>
        <v>1</v>
      </c>
      <c r="X3470" s="51" t="str" cm="1">
        <f t="array" ref="X3470">_xlfn.IFS(Tabla1[[#This Row],[Porcentaje de muertes]]&lt;0.35,"LEVE",AND(Tabla1[[#This Row],[Porcentaje de muertes]]&gt;0.35,Tabla1[[#This Row],[Porcentaje de muertes]]&lt;0.65),"MEDIO",Tabla1[[#This Row],[Porcentaje de muertes]]&gt;0.65,"GRAVE")</f>
        <v>GRAVE</v>
      </c>
    </row>
    <row r="3471" spans="2:24" x14ac:dyDescent="0.3">
      <c r="B3471" s="9">
        <v>3470</v>
      </c>
      <c r="C3471" s="49">
        <v>32267</v>
      </c>
      <c r="D3471" s="9">
        <f>YEAR(Tabla1[[#This Row],[Date]])</f>
        <v>1988</v>
      </c>
      <c r="E3471" s="9" t="str" cm="1">
        <f t="array" ref="E3471">IFERROR(_xlfn.IFS(AND(D3471&lt;1980,D3471&gt;=1970),"70",AND(D3471&lt;1990,D3471&gt;=1980),"80",AND(D3471&lt;2000,D3471&gt;=1990),"90",AND(D3471&lt;2010,D3471&gt;=2000),"00",AND(D3471&lt;=2019,D3471&gt;=2010),"10"),"1908-1970")</f>
        <v>80</v>
      </c>
      <c r="F3471" s="3" t="s">
        <v>28931</v>
      </c>
      <c r="G3471" t="s">
        <v>20580</v>
      </c>
      <c r="H3471" t="s">
        <v>20581</v>
      </c>
      <c r="I3471" t="s">
        <v>28931</v>
      </c>
      <c r="J3471" t="s">
        <v>20582</v>
      </c>
      <c r="K3471" t="s">
        <v>20583</v>
      </c>
      <c r="L3471" s="7" t="s">
        <v>20584</v>
      </c>
      <c r="M3471">
        <v>21541</v>
      </c>
      <c r="N3471">
        <v>112</v>
      </c>
      <c r="O3471" t="s">
        <v>5038</v>
      </c>
      <c r="P3471" t="s">
        <v>5038</v>
      </c>
      <c r="Q3471">
        <v>2</v>
      </c>
      <c r="R3471" t="s">
        <v>5038</v>
      </c>
      <c r="S3471" t="s">
        <v>5038</v>
      </c>
      <c r="T3471">
        <v>0</v>
      </c>
      <c r="U3471" t="s">
        <v>20585</v>
      </c>
      <c r="V3471">
        <f>Tabla1[[#This Row],[Aboard]]-Tabla1[[#This Row],[Fatalities]]</f>
        <v>110</v>
      </c>
      <c r="W3471" s="50">
        <f>IFERROR(Tabla1[[#This Row],[Fatalities]]/Tabla1[[#This Row],[Aboard]],0)</f>
        <v>1.7857142857142856E-2</v>
      </c>
      <c r="X3471" s="51" t="str" cm="1">
        <f t="array" ref="X3471">_xlfn.IFS(Tabla1[[#This Row],[Porcentaje de muertes]]&lt;0.35,"LEVE",AND(Tabla1[[#This Row],[Porcentaje de muertes]]&gt;0.35,Tabla1[[#This Row],[Porcentaje de muertes]]&lt;0.65),"MEDIO",Tabla1[[#This Row],[Porcentaje de muertes]]&gt;0.65,"GRAVE")</f>
        <v>LEVE</v>
      </c>
    </row>
    <row r="3472" spans="2:24" x14ac:dyDescent="0.3">
      <c r="B3472" s="9">
        <v>3471</v>
      </c>
      <c r="C3472" s="49">
        <v>32420</v>
      </c>
      <c r="D3472" s="9">
        <f>YEAR(Tabla1[[#This Row],[Date]])</f>
        <v>1988</v>
      </c>
      <c r="E3472" s="9" t="str" cm="1">
        <f t="array" ref="E3472">IFERROR(_xlfn.IFS(AND(D3472&lt;1980,D3472&gt;=1970),"70",AND(D3472&lt;1990,D3472&gt;=1980),"80",AND(D3472&lt;2000,D3472&gt;=1990),"90",AND(D3472&lt;2010,D3472&gt;=2000),"00",AND(D3472&lt;=2019,D3472&gt;=2010),"10"),"1908-1970")</f>
        <v>80</v>
      </c>
      <c r="F3472" s="3">
        <v>0.63194444444444442</v>
      </c>
      <c r="G3472" t="s">
        <v>20586</v>
      </c>
      <c r="H3472" t="s">
        <v>20220</v>
      </c>
      <c r="I3472" t="s">
        <v>28931</v>
      </c>
      <c r="J3472" t="s">
        <v>20587</v>
      </c>
      <c r="K3472" t="s">
        <v>17904</v>
      </c>
      <c r="L3472" s="7" t="s">
        <v>28931</v>
      </c>
      <c r="M3472" t="s">
        <v>28931</v>
      </c>
      <c r="N3472">
        <v>29</v>
      </c>
      <c r="O3472">
        <v>26</v>
      </c>
      <c r="P3472">
        <v>3</v>
      </c>
      <c r="Q3472">
        <v>29</v>
      </c>
      <c r="R3472">
        <v>26</v>
      </c>
      <c r="S3472">
        <v>3</v>
      </c>
      <c r="T3472">
        <v>0</v>
      </c>
      <c r="U3472" t="s">
        <v>20588</v>
      </c>
      <c r="V3472">
        <f>Tabla1[[#This Row],[Aboard]]-Tabla1[[#This Row],[Fatalities]]</f>
        <v>0</v>
      </c>
      <c r="W3472" s="50">
        <f>IFERROR(Tabla1[[#This Row],[Fatalities]]/Tabla1[[#This Row],[Aboard]],0)</f>
        <v>1</v>
      </c>
      <c r="X3472" s="51" t="str" cm="1">
        <f t="array" ref="X3472">_xlfn.IFS(Tabla1[[#This Row],[Porcentaje de muertes]]&lt;0.35,"LEVE",AND(Tabla1[[#This Row],[Porcentaje de muertes]]&gt;0.35,Tabla1[[#This Row],[Porcentaje de muertes]]&lt;0.65),"MEDIO",Tabla1[[#This Row],[Porcentaje de muertes]]&gt;0.65,"GRAVE")</f>
        <v>GRAVE</v>
      </c>
    </row>
    <row r="3473" spans="2:24" x14ac:dyDescent="0.3">
      <c r="B3473" s="9">
        <v>3472</v>
      </c>
      <c r="C3473" s="49">
        <v>32481</v>
      </c>
      <c r="D3473" s="9">
        <f>YEAR(Tabla1[[#This Row],[Date]])</f>
        <v>1988</v>
      </c>
      <c r="E3473" s="9" t="str" cm="1">
        <f t="array" ref="E3473">IFERROR(_xlfn.IFS(AND(D3473&lt;1980,D3473&gt;=1970),"70",AND(D3473&lt;1990,D3473&gt;=1980),"80",AND(D3473&lt;2000,D3473&gt;=1990),"90",AND(D3473&lt;2010,D3473&gt;=2000),"00",AND(D3473&lt;=2019,D3473&gt;=2010),"10"),"1908-1970")</f>
        <v>80</v>
      </c>
      <c r="F3473" s="3">
        <v>0.83958333333333324</v>
      </c>
      <c r="G3473" t="s">
        <v>20589</v>
      </c>
      <c r="H3473" t="s">
        <v>10280</v>
      </c>
      <c r="I3473" t="s">
        <v>28931</v>
      </c>
      <c r="J3473" t="s">
        <v>20590</v>
      </c>
      <c r="K3473" t="s">
        <v>9005</v>
      </c>
      <c r="L3473" s="7" t="s">
        <v>20591</v>
      </c>
      <c r="M3473">
        <v>6154</v>
      </c>
      <c r="N3473">
        <v>24</v>
      </c>
      <c r="O3473">
        <v>21</v>
      </c>
      <c r="P3473">
        <v>3</v>
      </c>
      <c r="Q3473">
        <v>24</v>
      </c>
      <c r="R3473">
        <v>21</v>
      </c>
      <c r="S3473">
        <v>3</v>
      </c>
      <c r="T3473">
        <v>0</v>
      </c>
      <c r="U3473" t="s">
        <v>20592</v>
      </c>
      <c r="V3473">
        <f>Tabla1[[#This Row],[Aboard]]-Tabla1[[#This Row],[Fatalities]]</f>
        <v>0</v>
      </c>
      <c r="W3473" s="50">
        <f>IFERROR(Tabla1[[#This Row],[Fatalities]]/Tabla1[[#This Row],[Aboard]],0)</f>
        <v>1</v>
      </c>
      <c r="X3473" s="51" t="str" cm="1">
        <f t="array" ref="X3473">_xlfn.IFS(Tabla1[[#This Row],[Porcentaje de muertes]]&lt;0.35,"LEVE",AND(Tabla1[[#This Row],[Porcentaje de muertes]]&gt;0.35,Tabla1[[#This Row],[Porcentaje de muertes]]&lt;0.65),"MEDIO",Tabla1[[#This Row],[Porcentaje de muertes]]&gt;0.65,"GRAVE")</f>
        <v>GRAVE</v>
      </c>
    </row>
    <row r="3474" spans="2:24" x14ac:dyDescent="0.3">
      <c r="B3474" s="9">
        <v>3473</v>
      </c>
      <c r="C3474" s="49">
        <v>32252</v>
      </c>
      <c r="D3474" s="9">
        <f>YEAR(Tabla1[[#This Row],[Date]])</f>
        <v>1988</v>
      </c>
      <c r="E3474" s="9" t="str" cm="1">
        <f t="array" ref="E3474">IFERROR(_xlfn.IFS(AND(D3474&lt;1980,D3474&gt;=1970),"70",AND(D3474&lt;1990,D3474&gt;=1980),"80",AND(D3474&lt;2000,D3474&gt;=1990),"90",AND(D3474&lt;2010,D3474&gt;=2000),"00",AND(D3474&lt;=2019,D3474&gt;=2010),"10"),"1908-1970")</f>
        <v>80</v>
      </c>
      <c r="F3474" s="3">
        <v>0.21041666666666667</v>
      </c>
      <c r="G3474" t="s">
        <v>20593</v>
      </c>
      <c r="H3474" t="s">
        <v>6541</v>
      </c>
      <c r="I3474" t="s">
        <v>28931</v>
      </c>
      <c r="J3474" t="s">
        <v>20594</v>
      </c>
      <c r="K3474" t="s">
        <v>20595</v>
      </c>
      <c r="L3474" s="7" t="s">
        <v>20596</v>
      </c>
      <c r="M3474">
        <v>851422</v>
      </c>
      <c r="N3474">
        <v>17</v>
      </c>
      <c r="O3474">
        <v>15</v>
      </c>
      <c r="P3474">
        <v>2</v>
      </c>
      <c r="Q3474">
        <v>17</v>
      </c>
      <c r="R3474">
        <v>15</v>
      </c>
      <c r="S3474">
        <v>2</v>
      </c>
      <c r="T3474">
        <v>0</v>
      </c>
      <c r="U3474" t="s">
        <v>20597</v>
      </c>
      <c r="V3474">
        <f>Tabla1[[#This Row],[Aboard]]-Tabla1[[#This Row],[Fatalities]]</f>
        <v>0</v>
      </c>
      <c r="W3474" s="50">
        <f>IFERROR(Tabla1[[#This Row],[Fatalities]]/Tabla1[[#This Row],[Aboard]],0)</f>
        <v>1</v>
      </c>
      <c r="X3474" s="51" t="str" cm="1">
        <f t="array" ref="X3474">_xlfn.IFS(Tabla1[[#This Row],[Porcentaje de muertes]]&lt;0.35,"LEVE",AND(Tabla1[[#This Row],[Porcentaje de muertes]]&gt;0.35,Tabla1[[#This Row],[Porcentaje de muertes]]&lt;0.65),"MEDIO",Tabla1[[#This Row],[Porcentaje de muertes]]&gt;0.65,"GRAVE")</f>
        <v>GRAVE</v>
      </c>
    </row>
    <row r="3475" spans="2:24" x14ac:dyDescent="0.3">
      <c r="B3475" s="9">
        <v>3474</v>
      </c>
      <c r="C3475" s="49">
        <v>32260</v>
      </c>
      <c r="D3475" s="9">
        <f>YEAR(Tabla1[[#This Row],[Date]])</f>
        <v>1988</v>
      </c>
      <c r="E3475" s="9" t="str" cm="1">
        <f t="array" ref="E3475">IFERROR(_xlfn.IFS(AND(D3475&lt;1980,D3475&gt;=1970),"70",AND(D3475&lt;1990,D3475&gt;=1980),"80",AND(D3475&lt;2000,D3475&gt;=1990),"90",AND(D3475&lt;2010,D3475&gt;=2000),"00",AND(D3475&lt;=2019,D3475&gt;=2010),"10"),"1908-1970")</f>
        <v>80</v>
      </c>
      <c r="F3475" s="3" t="s">
        <v>28931</v>
      </c>
      <c r="G3475" t="s">
        <v>20598</v>
      </c>
      <c r="H3475" t="s">
        <v>20599</v>
      </c>
      <c r="I3475" t="s">
        <v>28931</v>
      </c>
      <c r="J3475" t="s">
        <v>28931</v>
      </c>
      <c r="K3475" t="s">
        <v>17904</v>
      </c>
      <c r="L3475" s="7" t="s">
        <v>20600</v>
      </c>
      <c r="M3475">
        <v>7007</v>
      </c>
      <c r="N3475">
        <v>29</v>
      </c>
      <c r="O3475">
        <v>26</v>
      </c>
      <c r="P3475">
        <v>3</v>
      </c>
      <c r="Q3475">
        <v>29</v>
      </c>
      <c r="R3475">
        <v>26</v>
      </c>
      <c r="S3475">
        <v>3</v>
      </c>
      <c r="T3475">
        <v>0</v>
      </c>
      <c r="U3475" t="s">
        <v>20601</v>
      </c>
      <c r="V3475">
        <f>Tabla1[[#This Row],[Aboard]]-Tabla1[[#This Row],[Fatalities]]</f>
        <v>0</v>
      </c>
      <c r="W3475" s="50">
        <f>IFERROR(Tabla1[[#This Row],[Fatalities]]/Tabla1[[#This Row],[Aboard]],0)</f>
        <v>1</v>
      </c>
      <c r="X3475" s="51" t="str" cm="1">
        <f t="array" ref="X3475">_xlfn.IFS(Tabla1[[#This Row],[Porcentaje de muertes]]&lt;0.35,"LEVE",AND(Tabla1[[#This Row],[Porcentaje de muertes]]&gt;0.35,Tabla1[[#This Row],[Porcentaje de muertes]]&lt;0.65),"MEDIO",Tabla1[[#This Row],[Porcentaje de muertes]]&gt;0.65,"GRAVE")</f>
        <v>GRAVE</v>
      </c>
    </row>
    <row r="3476" spans="2:24" x14ac:dyDescent="0.3">
      <c r="B3476" s="9">
        <v>3475</v>
      </c>
      <c r="C3476" s="49">
        <v>32261</v>
      </c>
      <c r="D3476" s="9">
        <f>YEAR(Tabla1[[#This Row],[Date]])</f>
        <v>1988</v>
      </c>
      <c r="E3476" s="9" t="str" cm="1">
        <f t="array" ref="E3476">IFERROR(_xlfn.IFS(AND(D3476&lt;1980,D3476&gt;=1970),"70",AND(D3476&lt;1990,D3476&gt;=1980),"80",AND(D3476&lt;2000,D3476&gt;=1990),"90",AND(D3476&lt;2010,D3476&gt;=2000),"00",AND(D3476&lt;=2019,D3476&gt;=2010),"10"),"1908-1970")</f>
        <v>80</v>
      </c>
      <c r="F3476" s="3">
        <v>0.57361111111111118</v>
      </c>
      <c r="G3476" t="s">
        <v>20602</v>
      </c>
      <c r="H3476" t="s">
        <v>20603</v>
      </c>
      <c r="I3476">
        <v>243</v>
      </c>
      <c r="J3476" t="s">
        <v>20604</v>
      </c>
      <c r="K3476" t="s">
        <v>20605</v>
      </c>
      <c r="L3476" s="7" t="s">
        <v>20606</v>
      </c>
      <c r="M3476">
        <v>20209</v>
      </c>
      <c r="N3476">
        <v>95</v>
      </c>
      <c r="O3476">
        <v>90</v>
      </c>
      <c r="P3476">
        <v>5</v>
      </c>
      <c r="Q3476">
        <v>1</v>
      </c>
      <c r="R3476">
        <v>0</v>
      </c>
      <c r="S3476">
        <v>1</v>
      </c>
      <c r="T3476">
        <v>0</v>
      </c>
      <c r="U3476" t="s">
        <v>20607</v>
      </c>
      <c r="V3476">
        <f>Tabla1[[#This Row],[Aboard]]-Tabla1[[#This Row],[Fatalities]]</f>
        <v>94</v>
      </c>
      <c r="W3476" s="50">
        <f>IFERROR(Tabla1[[#This Row],[Fatalities]]/Tabla1[[#This Row],[Aboard]],0)</f>
        <v>1.0526315789473684E-2</v>
      </c>
      <c r="X3476" s="51" t="str" cm="1">
        <f t="array" ref="X3476">_xlfn.IFS(Tabla1[[#This Row],[Porcentaje de muertes]]&lt;0.35,"LEVE",AND(Tabla1[[#This Row],[Porcentaje de muertes]]&gt;0.35,Tabla1[[#This Row],[Porcentaje de muertes]]&lt;0.65),"MEDIO",Tabla1[[#This Row],[Porcentaje de muertes]]&gt;0.65,"GRAVE")</f>
        <v>LEVE</v>
      </c>
    </row>
    <row r="3477" spans="2:24" x14ac:dyDescent="0.3">
      <c r="B3477" s="9">
        <v>3476</v>
      </c>
      <c r="C3477" s="49">
        <v>32299</v>
      </c>
      <c r="D3477" s="9">
        <f>YEAR(Tabla1[[#This Row],[Date]])</f>
        <v>1988</v>
      </c>
      <c r="E3477" s="9" t="str" cm="1">
        <f t="array" ref="E3477">IFERROR(_xlfn.IFS(AND(D3477&lt;1980,D3477&gt;=1970),"70",AND(D3477&lt;1990,D3477&gt;=1980),"80",AND(D3477&lt;2000,D3477&gt;=1990),"90",AND(D3477&lt;2010,D3477&gt;=2000),"00",AND(D3477&lt;=2019,D3477&gt;=2010),"10"),"1908-1970")</f>
        <v>80</v>
      </c>
      <c r="F3477" s="3">
        <v>0.93680555555555556</v>
      </c>
      <c r="G3477" t="s">
        <v>20608</v>
      </c>
      <c r="H3477" t="s">
        <v>19104</v>
      </c>
      <c r="I3477">
        <v>710</v>
      </c>
      <c r="J3477" t="s">
        <v>20609</v>
      </c>
      <c r="K3477" t="s">
        <v>20610</v>
      </c>
      <c r="L3477" s="7" t="s">
        <v>20611</v>
      </c>
      <c r="M3477">
        <v>28</v>
      </c>
      <c r="N3477">
        <v>36</v>
      </c>
      <c r="O3477">
        <v>33</v>
      </c>
      <c r="P3477">
        <v>3</v>
      </c>
      <c r="Q3477">
        <v>36</v>
      </c>
      <c r="R3477">
        <v>33</v>
      </c>
      <c r="S3477">
        <v>3</v>
      </c>
      <c r="T3477">
        <v>0</v>
      </c>
      <c r="U3477" t="s">
        <v>20612</v>
      </c>
      <c r="V3477">
        <f>Tabla1[[#This Row],[Aboard]]-Tabla1[[#This Row],[Fatalities]]</f>
        <v>0</v>
      </c>
      <c r="W3477" s="50">
        <f>IFERROR(Tabla1[[#This Row],[Fatalities]]/Tabla1[[#This Row],[Aboard]],0)</f>
        <v>1</v>
      </c>
      <c r="X3477" s="51" t="str" cm="1">
        <f t="array" ref="X3477">_xlfn.IFS(Tabla1[[#This Row],[Porcentaje de muertes]]&lt;0.35,"LEVE",AND(Tabla1[[#This Row],[Porcentaje de muertes]]&gt;0.35,Tabla1[[#This Row],[Porcentaje de muertes]]&lt;0.65),"MEDIO",Tabla1[[#This Row],[Porcentaje de muertes]]&gt;0.65,"GRAVE")</f>
        <v>GRAVE</v>
      </c>
    </row>
    <row r="3478" spans="2:24" x14ac:dyDescent="0.3">
      <c r="B3478" s="9">
        <v>3477</v>
      </c>
      <c r="C3478" s="49">
        <v>32287</v>
      </c>
      <c r="D3478" s="9">
        <f>YEAR(Tabla1[[#This Row],[Date]])</f>
        <v>1988</v>
      </c>
      <c r="E3478" s="9" t="str" cm="1">
        <f t="array" ref="E3478">IFERROR(_xlfn.IFS(AND(D3478&lt;1980,D3478&gt;=1970),"70",AND(D3478&lt;1990,D3478&gt;=1980),"80",AND(D3478&lt;2000,D3478&gt;=1990),"90",AND(D3478&lt;2010,D3478&gt;=2000),"00",AND(D3478&lt;=2019,D3478&gt;=2010),"10"),"1908-1970")</f>
        <v>80</v>
      </c>
      <c r="F3478" s="3">
        <v>0.53819444444444442</v>
      </c>
      <c r="G3478" t="s">
        <v>14900</v>
      </c>
      <c r="H3478" t="s">
        <v>8239</v>
      </c>
      <c r="I3478" t="s">
        <v>28931</v>
      </c>
      <c r="J3478" t="s">
        <v>20613</v>
      </c>
      <c r="K3478" t="s">
        <v>20614</v>
      </c>
      <c r="L3478" s="7" t="s">
        <v>20615</v>
      </c>
      <c r="M3478">
        <v>23838</v>
      </c>
      <c r="N3478">
        <v>45</v>
      </c>
      <c r="O3478">
        <v>38</v>
      </c>
      <c r="P3478">
        <v>7</v>
      </c>
      <c r="Q3478">
        <v>0</v>
      </c>
      <c r="R3478">
        <v>0</v>
      </c>
      <c r="S3478">
        <v>0</v>
      </c>
      <c r="T3478">
        <v>0</v>
      </c>
      <c r="U3478" t="s">
        <v>20616</v>
      </c>
      <c r="V3478">
        <f>Tabla1[[#This Row],[Aboard]]-Tabla1[[#This Row],[Fatalities]]</f>
        <v>45</v>
      </c>
      <c r="W3478" s="50">
        <f>IFERROR(Tabla1[[#This Row],[Fatalities]]/Tabla1[[#This Row],[Aboard]],0)</f>
        <v>0</v>
      </c>
      <c r="X3478" s="51" t="str" cm="1">
        <f t="array" ref="X3478">_xlfn.IFS(Tabla1[[#This Row],[Porcentaje de muertes]]&lt;0.35,"LEVE",AND(Tabla1[[#This Row],[Porcentaje de muertes]]&gt;0.35,Tabla1[[#This Row],[Porcentaje de muertes]]&lt;0.65),"MEDIO",Tabla1[[#This Row],[Porcentaje de muertes]]&gt;0.65,"GRAVE")</f>
        <v>LEVE</v>
      </c>
    </row>
    <row r="3479" spans="2:24" x14ac:dyDescent="0.3">
      <c r="B3479" s="9">
        <v>3478</v>
      </c>
      <c r="C3479" s="49">
        <v>32289</v>
      </c>
      <c r="D3479" s="9">
        <f>YEAR(Tabla1[[#This Row],[Date]])</f>
        <v>1988</v>
      </c>
      <c r="E3479" s="9" t="str" cm="1">
        <f t="array" ref="E3479">IFERROR(_xlfn.IFS(AND(D3479&lt;1980,D3479&gt;=1970),"70",AND(D3479&lt;1990,D3479&gt;=1980),"80",AND(D3479&lt;2000,D3479&gt;=1990),"90",AND(D3479&lt;2010,D3479&gt;=2000),"00",AND(D3479&lt;=2019,D3479&gt;=2010),"10"),"1908-1970")</f>
        <v>80</v>
      </c>
      <c r="F3479" s="3" t="s">
        <v>28931</v>
      </c>
      <c r="G3479" t="s">
        <v>20617</v>
      </c>
      <c r="H3479" t="s">
        <v>19846</v>
      </c>
      <c r="I3479" t="s">
        <v>28931</v>
      </c>
      <c r="J3479" t="s">
        <v>28931</v>
      </c>
      <c r="K3479" t="s">
        <v>9230</v>
      </c>
      <c r="L3479" s="7" t="s">
        <v>20618</v>
      </c>
      <c r="M3479" t="s">
        <v>28931</v>
      </c>
      <c r="N3479">
        <v>6</v>
      </c>
      <c r="O3479">
        <v>0</v>
      </c>
      <c r="P3479">
        <v>6</v>
      </c>
      <c r="Q3479">
        <v>6</v>
      </c>
      <c r="R3479">
        <v>0</v>
      </c>
      <c r="S3479">
        <v>6</v>
      </c>
      <c r="T3479">
        <v>0</v>
      </c>
      <c r="U3479" t="s">
        <v>20619</v>
      </c>
      <c r="V3479">
        <f>Tabla1[[#This Row],[Aboard]]-Tabla1[[#This Row],[Fatalities]]</f>
        <v>0</v>
      </c>
      <c r="W3479" s="50">
        <f>IFERROR(Tabla1[[#This Row],[Fatalities]]/Tabla1[[#This Row],[Aboard]],0)</f>
        <v>1</v>
      </c>
      <c r="X3479" s="51" t="str" cm="1">
        <f t="array" ref="X3479">_xlfn.IFS(Tabla1[[#This Row],[Porcentaje de muertes]]&lt;0.35,"LEVE",AND(Tabla1[[#This Row],[Porcentaje de muertes]]&gt;0.35,Tabla1[[#This Row],[Porcentaje de muertes]]&lt;0.65),"MEDIO",Tabla1[[#This Row],[Porcentaje de muertes]]&gt;0.65,"GRAVE")</f>
        <v>GRAVE</v>
      </c>
    </row>
    <row r="3480" spans="2:24" x14ac:dyDescent="0.3">
      <c r="B3480" s="9">
        <v>3479</v>
      </c>
      <c r="C3480" s="49">
        <v>32289</v>
      </c>
      <c r="D3480" s="9">
        <f>YEAR(Tabla1[[#This Row],[Date]])</f>
        <v>1988</v>
      </c>
      <c r="E3480" s="9" t="str" cm="1">
        <f t="array" ref="E3480">IFERROR(_xlfn.IFS(AND(D3480&lt;1980,D3480&gt;=1970),"70",AND(D3480&lt;1990,D3480&gt;=1980),"80",AND(D3480&lt;2000,D3480&gt;=1990),"90",AND(D3480&lt;2010,D3480&gt;=2000),"00",AND(D3480&lt;=2019,D3480&gt;=2010),"10"),"1908-1970")</f>
        <v>80</v>
      </c>
      <c r="F3480" s="3">
        <v>0.93402777777777779</v>
      </c>
      <c r="G3480" t="s">
        <v>6820</v>
      </c>
      <c r="H3480" t="s">
        <v>20620</v>
      </c>
      <c r="I3480" t="s">
        <v>28931</v>
      </c>
      <c r="J3480" t="s">
        <v>20621</v>
      </c>
      <c r="K3480" t="s">
        <v>15526</v>
      </c>
      <c r="L3480" s="7" t="s">
        <v>20622</v>
      </c>
      <c r="M3480">
        <v>10443</v>
      </c>
      <c r="N3480">
        <v>2</v>
      </c>
      <c r="O3480">
        <v>0</v>
      </c>
      <c r="P3480">
        <v>2</v>
      </c>
      <c r="Q3480">
        <v>2</v>
      </c>
      <c r="R3480">
        <v>0</v>
      </c>
      <c r="S3480">
        <v>2</v>
      </c>
      <c r="T3480">
        <v>0</v>
      </c>
      <c r="U3480" t="s">
        <v>20623</v>
      </c>
      <c r="V3480">
        <f>Tabla1[[#This Row],[Aboard]]-Tabla1[[#This Row],[Fatalities]]</f>
        <v>0</v>
      </c>
      <c r="W3480" s="50">
        <f>IFERROR(Tabla1[[#This Row],[Fatalities]]/Tabla1[[#This Row],[Aboard]],0)</f>
        <v>1</v>
      </c>
      <c r="X3480" s="51" t="str" cm="1">
        <f t="array" ref="X3480">_xlfn.IFS(Tabla1[[#This Row],[Porcentaje de muertes]]&lt;0.35,"LEVE",AND(Tabla1[[#This Row],[Porcentaje de muertes]]&gt;0.35,Tabla1[[#This Row],[Porcentaje de muertes]]&lt;0.65),"MEDIO",Tabla1[[#This Row],[Porcentaje de muertes]]&gt;0.65,"GRAVE")</f>
        <v>GRAVE</v>
      </c>
    </row>
    <row r="3481" spans="2:24" x14ac:dyDescent="0.3">
      <c r="B3481" s="9">
        <v>3480</v>
      </c>
      <c r="C3481" s="49">
        <v>32483</v>
      </c>
      <c r="D3481" s="9">
        <f>YEAR(Tabla1[[#This Row],[Date]])</f>
        <v>1988</v>
      </c>
      <c r="E3481" s="9" t="str" cm="1">
        <f t="array" ref="E3481">IFERROR(_xlfn.IFS(AND(D3481&lt;1980,D3481&gt;=1970),"70",AND(D3481&lt;1990,D3481&gt;=1980),"80",AND(D3481&lt;2000,D3481&gt;=1990),"90",AND(D3481&lt;2010,D3481&gt;=2000),"00",AND(D3481&lt;=2019,D3481&gt;=2010),"10"),"1908-1970")</f>
        <v>80</v>
      </c>
      <c r="F3481" s="3">
        <v>0.39097222222222222</v>
      </c>
      <c r="G3481" t="s">
        <v>20624</v>
      </c>
      <c r="H3481" t="s">
        <v>12575</v>
      </c>
      <c r="I3481" t="s">
        <v>28931</v>
      </c>
      <c r="J3481" t="s">
        <v>20625</v>
      </c>
      <c r="K3481" t="s">
        <v>19032</v>
      </c>
      <c r="L3481" s="7" t="s">
        <v>20626</v>
      </c>
      <c r="M3481" t="s">
        <v>20627</v>
      </c>
      <c r="N3481">
        <v>22</v>
      </c>
      <c r="O3481">
        <v>16</v>
      </c>
      <c r="P3481">
        <v>6</v>
      </c>
      <c r="Q3481">
        <v>22</v>
      </c>
      <c r="R3481">
        <v>16</v>
      </c>
      <c r="S3481">
        <v>6</v>
      </c>
      <c r="T3481">
        <v>0</v>
      </c>
      <c r="U3481" t="s">
        <v>20628</v>
      </c>
      <c r="V3481">
        <f>Tabla1[[#This Row],[Aboard]]-Tabla1[[#This Row],[Fatalities]]</f>
        <v>0</v>
      </c>
      <c r="W3481" s="50">
        <f>IFERROR(Tabla1[[#This Row],[Fatalities]]/Tabla1[[#This Row],[Aboard]],0)</f>
        <v>1</v>
      </c>
      <c r="X3481" s="51" t="str" cm="1">
        <f t="array" ref="X3481">_xlfn.IFS(Tabla1[[#This Row],[Porcentaje de muertes]]&lt;0.35,"LEVE",AND(Tabla1[[#This Row],[Porcentaje de muertes]]&gt;0.35,Tabla1[[#This Row],[Porcentaje de muertes]]&lt;0.65),"MEDIO",Tabla1[[#This Row],[Porcentaje de muertes]]&gt;0.65,"GRAVE")</f>
        <v>GRAVE</v>
      </c>
    </row>
    <row r="3482" spans="2:24" x14ac:dyDescent="0.3">
      <c r="B3482" s="9">
        <v>3481</v>
      </c>
      <c r="C3482" s="49">
        <v>32312</v>
      </c>
      <c r="D3482" s="9">
        <f>YEAR(Tabla1[[#This Row],[Date]])</f>
        <v>1988</v>
      </c>
      <c r="E3482" s="9" t="str" cm="1">
        <f t="array" ref="E3482">IFERROR(_xlfn.IFS(AND(D3482&lt;1980,D3482&gt;=1970),"70",AND(D3482&lt;1990,D3482&gt;=1980),"80",AND(D3482&lt;2000,D3482&gt;=1990),"90",AND(D3482&lt;2010,D3482&gt;=2000),"00",AND(D3482&lt;=2019,D3482&gt;=2010),"10"),"1908-1970")</f>
        <v>80</v>
      </c>
      <c r="F3482" s="3" t="s">
        <v>28931</v>
      </c>
      <c r="G3482" t="s">
        <v>20629</v>
      </c>
      <c r="H3482" t="s">
        <v>20072</v>
      </c>
      <c r="I3482" t="s">
        <v>28931</v>
      </c>
      <c r="J3482" t="s">
        <v>28931</v>
      </c>
      <c r="K3482" t="s">
        <v>19284</v>
      </c>
      <c r="L3482" s="7" t="s">
        <v>28931</v>
      </c>
      <c r="M3482" t="s">
        <v>28931</v>
      </c>
      <c r="N3482">
        <v>25</v>
      </c>
      <c r="O3482" t="s">
        <v>5038</v>
      </c>
      <c r="P3482" t="s">
        <v>5038</v>
      </c>
      <c r="Q3482">
        <v>21</v>
      </c>
      <c r="R3482" t="s">
        <v>5038</v>
      </c>
      <c r="S3482" t="s">
        <v>5038</v>
      </c>
      <c r="T3482">
        <v>0</v>
      </c>
      <c r="U3482" t="s">
        <v>28927</v>
      </c>
      <c r="V3482">
        <f>Tabla1[[#This Row],[Aboard]]-Tabla1[[#This Row],[Fatalities]]</f>
        <v>4</v>
      </c>
      <c r="W3482" s="50">
        <f>IFERROR(Tabla1[[#This Row],[Fatalities]]/Tabla1[[#This Row],[Aboard]],0)</f>
        <v>0.84</v>
      </c>
      <c r="X3482" s="51" t="str" cm="1">
        <f t="array" ref="X3482">_xlfn.IFS(Tabla1[[#This Row],[Porcentaje de muertes]]&lt;0.35,"LEVE",AND(Tabla1[[#This Row],[Porcentaje de muertes]]&gt;0.35,Tabla1[[#This Row],[Porcentaje de muertes]]&lt;0.65),"MEDIO",Tabla1[[#This Row],[Porcentaje de muertes]]&gt;0.65,"GRAVE")</f>
        <v>GRAVE</v>
      </c>
    </row>
    <row r="3483" spans="2:24" x14ac:dyDescent="0.3">
      <c r="B3483" s="9">
        <v>3482</v>
      </c>
      <c r="C3483" s="49">
        <v>32320</v>
      </c>
      <c r="D3483" s="9">
        <f>YEAR(Tabla1[[#This Row],[Date]])</f>
        <v>1988</v>
      </c>
      <c r="E3483" s="9" t="str" cm="1">
        <f t="array" ref="E3483">IFERROR(_xlfn.IFS(AND(D3483&lt;1980,D3483&gt;=1970),"70",AND(D3483&lt;1990,D3483&gt;=1980),"80",AND(D3483&lt;2000,D3483&gt;=1990),"90",AND(D3483&lt;2010,D3483&gt;=2000),"00",AND(D3483&lt;=2019,D3483&gt;=2010),"10"),"1908-1970")</f>
        <v>80</v>
      </c>
      <c r="F3483" s="3">
        <v>0.61458333333333337</v>
      </c>
      <c r="G3483" t="s">
        <v>20630</v>
      </c>
      <c r="H3483" t="s">
        <v>6375</v>
      </c>
      <c r="I3483" t="s">
        <v>20631</v>
      </c>
      <c r="J3483" t="s">
        <v>20632</v>
      </c>
      <c r="K3483" t="s">
        <v>20633</v>
      </c>
      <c r="L3483" s="7" t="s">
        <v>20634</v>
      </c>
      <c r="M3483">
        <v>9</v>
      </c>
      <c r="N3483">
        <v>136</v>
      </c>
      <c r="O3483">
        <v>130</v>
      </c>
      <c r="P3483">
        <v>6</v>
      </c>
      <c r="Q3483">
        <v>3</v>
      </c>
      <c r="R3483">
        <v>3</v>
      </c>
      <c r="S3483">
        <v>0</v>
      </c>
      <c r="T3483">
        <v>0</v>
      </c>
      <c r="U3483" t="s">
        <v>20635</v>
      </c>
      <c r="V3483">
        <f>Tabla1[[#This Row],[Aboard]]-Tabla1[[#This Row],[Fatalities]]</f>
        <v>133</v>
      </c>
      <c r="W3483" s="50">
        <f>IFERROR(Tabla1[[#This Row],[Fatalities]]/Tabla1[[#This Row],[Aboard]],0)</f>
        <v>2.2058823529411766E-2</v>
      </c>
      <c r="X3483" s="51" t="str" cm="1">
        <f t="array" ref="X3483">_xlfn.IFS(Tabla1[[#This Row],[Porcentaje de muertes]]&lt;0.35,"LEVE",AND(Tabla1[[#This Row],[Porcentaje de muertes]]&gt;0.35,Tabla1[[#This Row],[Porcentaje de muertes]]&lt;0.65),"MEDIO",Tabla1[[#This Row],[Porcentaje de muertes]]&gt;0.65,"GRAVE")</f>
        <v>LEVE</v>
      </c>
    </row>
    <row r="3484" spans="2:24" x14ac:dyDescent="0.3">
      <c r="B3484" s="9">
        <v>3483</v>
      </c>
      <c r="C3484" s="49">
        <v>32209</v>
      </c>
      <c r="D3484" s="9">
        <f>YEAR(Tabla1[[#This Row],[Date]])</f>
        <v>1988</v>
      </c>
      <c r="E3484" s="9" t="str" cm="1">
        <f t="array" ref="E3484">IFERROR(_xlfn.IFS(AND(D3484&lt;1980,D3484&gt;=1970),"70",AND(D3484&lt;1990,D3484&gt;=1980),"80",AND(D3484&lt;2000,D3484&gt;=1990),"90",AND(D3484&lt;2010,D3484&gt;=2000),"00",AND(D3484&lt;=2019,D3484&gt;=2010),"10"),"1908-1970")</f>
        <v>80</v>
      </c>
      <c r="F3484" s="3">
        <v>0.4548611111111111</v>
      </c>
      <c r="G3484" t="s">
        <v>20636</v>
      </c>
      <c r="H3484" t="s">
        <v>10176</v>
      </c>
      <c r="I3484">
        <v>655</v>
      </c>
      <c r="J3484" t="s">
        <v>20637</v>
      </c>
      <c r="K3484" t="s">
        <v>20638</v>
      </c>
      <c r="L3484" s="7" t="s">
        <v>20639</v>
      </c>
      <c r="M3484">
        <v>186</v>
      </c>
      <c r="N3484">
        <v>290</v>
      </c>
      <c r="O3484">
        <v>278</v>
      </c>
      <c r="P3484">
        <v>12</v>
      </c>
      <c r="Q3484">
        <v>290</v>
      </c>
      <c r="R3484">
        <v>278</v>
      </c>
      <c r="S3484">
        <v>12</v>
      </c>
      <c r="T3484">
        <v>0</v>
      </c>
      <c r="U3484" t="s">
        <v>20640</v>
      </c>
      <c r="V3484">
        <f>Tabla1[[#This Row],[Aboard]]-Tabla1[[#This Row],[Fatalities]]</f>
        <v>0</v>
      </c>
      <c r="W3484" s="50">
        <f>IFERROR(Tabla1[[#This Row],[Fatalities]]/Tabla1[[#This Row],[Aboard]],0)</f>
        <v>1</v>
      </c>
      <c r="X3484" s="51" t="str" cm="1">
        <f t="array" ref="X3484">_xlfn.IFS(Tabla1[[#This Row],[Porcentaje de muertes]]&lt;0.35,"LEVE",AND(Tabla1[[#This Row],[Porcentaje de muertes]]&gt;0.35,Tabla1[[#This Row],[Porcentaje de muertes]]&lt;0.65),"MEDIO",Tabla1[[#This Row],[Porcentaje de muertes]]&gt;0.65,"GRAVE")</f>
        <v>GRAVE</v>
      </c>
    </row>
    <row r="3485" spans="2:24" x14ac:dyDescent="0.3">
      <c r="B3485" s="9">
        <v>3484</v>
      </c>
      <c r="C3485" s="49">
        <v>32301</v>
      </c>
      <c r="D3485" s="9">
        <f>YEAR(Tabla1[[#This Row],[Date]])</f>
        <v>1988</v>
      </c>
      <c r="E3485" s="9" t="str" cm="1">
        <f t="array" ref="E3485">IFERROR(_xlfn.IFS(AND(D3485&lt;1980,D3485&gt;=1970),"70",AND(D3485&lt;1990,D3485&gt;=1980),"80",AND(D3485&lt;2000,D3485&gt;=1990),"90",AND(D3485&lt;2010,D3485&gt;=2000),"00",AND(D3485&lt;=2019,D3485&gt;=2010),"10"),"1908-1970")</f>
        <v>80</v>
      </c>
      <c r="F3485" s="3">
        <v>0.66666666666666663</v>
      </c>
      <c r="G3485" t="s">
        <v>5337</v>
      </c>
      <c r="H3485" t="s">
        <v>20641</v>
      </c>
      <c r="I3485" t="s">
        <v>28931</v>
      </c>
      <c r="J3485" t="s">
        <v>20642</v>
      </c>
      <c r="K3485" t="s">
        <v>16034</v>
      </c>
      <c r="L3485" s="7" t="s">
        <v>20643</v>
      </c>
      <c r="M3485">
        <v>39</v>
      </c>
      <c r="N3485">
        <v>8</v>
      </c>
      <c r="O3485">
        <v>0</v>
      </c>
      <c r="P3485">
        <v>8</v>
      </c>
      <c r="Q3485">
        <v>8</v>
      </c>
      <c r="R3485">
        <v>0</v>
      </c>
      <c r="S3485">
        <v>8</v>
      </c>
      <c r="T3485">
        <v>0</v>
      </c>
      <c r="U3485" t="s">
        <v>20644</v>
      </c>
      <c r="V3485">
        <f>Tabla1[[#This Row],[Aboard]]-Tabla1[[#This Row],[Fatalities]]</f>
        <v>0</v>
      </c>
      <c r="W3485" s="50">
        <f>IFERROR(Tabla1[[#This Row],[Fatalities]]/Tabla1[[#This Row],[Aboard]],0)</f>
        <v>1</v>
      </c>
      <c r="X3485" s="51" t="str" cm="1">
        <f t="array" ref="X3485">_xlfn.IFS(Tabla1[[#This Row],[Porcentaje de muertes]]&lt;0.35,"LEVE",AND(Tabla1[[#This Row],[Porcentaje de muertes]]&gt;0.35,Tabla1[[#This Row],[Porcentaje de muertes]]&lt;0.65),"MEDIO",Tabla1[[#This Row],[Porcentaje de muertes]]&gt;0.65,"GRAVE")</f>
        <v>GRAVE</v>
      </c>
    </row>
    <row r="3486" spans="2:24" x14ac:dyDescent="0.3">
      <c r="B3486" s="9">
        <v>3485</v>
      </c>
      <c r="C3486" s="49">
        <v>32344</v>
      </c>
      <c r="D3486" s="9">
        <f>YEAR(Tabla1[[#This Row],[Date]])</f>
        <v>1988</v>
      </c>
      <c r="E3486" s="9" t="str" cm="1">
        <f t="array" ref="E3486">IFERROR(_xlfn.IFS(AND(D3486&lt;1980,D3486&gt;=1970),"70",AND(D3486&lt;1990,D3486&gt;=1980),"80",AND(D3486&lt;2000,D3486&gt;=1990),"90",AND(D3486&lt;2010,D3486&gt;=2000),"00",AND(D3486&lt;=2019,D3486&gt;=2010),"10"),"1908-1970")</f>
        <v>80</v>
      </c>
      <c r="F3486" s="3">
        <v>0.80902777777777779</v>
      </c>
      <c r="G3486" t="s">
        <v>20645</v>
      </c>
      <c r="H3486" t="s">
        <v>8239</v>
      </c>
      <c r="I3486" t="s">
        <v>28931</v>
      </c>
      <c r="J3486" t="s">
        <v>20646</v>
      </c>
      <c r="K3486" t="s">
        <v>11822</v>
      </c>
      <c r="L3486" s="7" t="s">
        <v>20647</v>
      </c>
      <c r="M3486" t="s">
        <v>20648</v>
      </c>
      <c r="N3486">
        <v>3</v>
      </c>
      <c r="O3486">
        <v>0</v>
      </c>
      <c r="P3486">
        <v>3</v>
      </c>
      <c r="Q3486">
        <v>3</v>
      </c>
      <c r="R3486">
        <v>0</v>
      </c>
      <c r="S3486">
        <v>3</v>
      </c>
      <c r="T3486">
        <v>0</v>
      </c>
      <c r="U3486" t="s">
        <v>20649</v>
      </c>
      <c r="V3486">
        <f>Tabla1[[#This Row],[Aboard]]-Tabla1[[#This Row],[Fatalities]]</f>
        <v>0</v>
      </c>
      <c r="W3486" s="50">
        <f>IFERROR(Tabla1[[#This Row],[Fatalities]]/Tabla1[[#This Row],[Aboard]],0)</f>
        <v>1</v>
      </c>
      <c r="X3486" s="51" t="str" cm="1">
        <f t="array" ref="X3486">_xlfn.IFS(Tabla1[[#This Row],[Porcentaje de muertes]]&lt;0.35,"LEVE",AND(Tabla1[[#This Row],[Porcentaje de muertes]]&gt;0.35,Tabla1[[#This Row],[Porcentaje de muertes]]&lt;0.65),"MEDIO",Tabla1[[#This Row],[Porcentaje de muertes]]&gt;0.65,"GRAVE")</f>
        <v>GRAVE</v>
      </c>
    </row>
    <row r="3487" spans="2:24" x14ac:dyDescent="0.3">
      <c r="B3487" s="9">
        <v>3486</v>
      </c>
      <c r="C3487" s="49">
        <v>32345</v>
      </c>
      <c r="D3487" s="9">
        <f>YEAR(Tabla1[[#This Row],[Date]])</f>
        <v>1988</v>
      </c>
      <c r="E3487" s="9" t="str" cm="1">
        <f t="array" ref="E3487">IFERROR(_xlfn.IFS(AND(D3487&lt;1980,D3487&gt;=1970),"70",AND(D3487&lt;1990,D3487&gt;=1980),"80",AND(D3487&lt;2000,D3487&gt;=1990),"90",AND(D3487&lt;2010,D3487&gt;=2000),"00",AND(D3487&lt;=2019,D3487&gt;=2010),"10"),"1908-1970")</f>
        <v>80</v>
      </c>
      <c r="F3487" s="3" t="s">
        <v>28931</v>
      </c>
      <c r="G3487" t="s">
        <v>15262</v>
      </c>
      <c r="H3487" t="s">
        <v>20650</v>
      </c>
      <c r="I3487" t="s">
        <v>28931</v>
      </c>
      <c r="J3487" t="s">
        <v>20651</v>
      </c>
      <c r="K3487" t="s">
        <v>20652</v>
      </c>
      <c r="L3487" s="7" t="s">
        <v>20653</v>
      </c>
      <c r="M3487" t="s">
        <v>20654</v>
      </c>
      <c r="N3487">
        <v>6</v>
      </c>
      <c r="O3487">
        <v>0</v>
      </c>
      <c r="P3487">
        <v>6</v>
      </c>
      <c r="Q3487">
        <v>6</v>
      </c>
      <c r="R3487">
        <v>0</v>
      </c>
      <c r="S3487">
        <v>6</v>
      </c>
      <c r="T3487">
        <v>0</v>
      </c>
      <c r="U3487" t="s">
        <v>12079</v>
      </c>
      <c r="V3487">
        <f>Tabla1[[#This Row],[Aboard]]-Tabla1[[#This Row],[Fatalities]]</f>
        <v>0</v>
      </c>
      <c r="W3487" s="50">
        <f>IFERROR(Tabla1[[#This Row],[Fatalities]]/Tabla1[[#This Row],[Aboard]],0)</f>
        <v>1</v>
      </c>
      <c r="X3487" s="51" t="str" cm="1">
        <f t="array" ref="X3487">_xlfn.IFS(Tabla1[[#This Row],[Porcentaje de muertes]]&lt;0.35,"LEVE",AND(Tabla1[[#This Row],[Porcentaje de muertes]]&gt;0.35,Tabla1[[#This Row],[Porcentaje de muertes]]&lt;0.65),"MEDIO",Tabla1[[#This Row],[Porcentaje de muertes]]&gt;0.65,"GRAVE")</f>
        <v>GRAVE</v>
      </c>
    </row>
    <row r="3488" spans="2:24" x14ac:dyDescent="0.3">
      <c r="B3488" s="9">
        <v>3487</v>
      </c>
      <c r="C3488" s="49">
        <v>32181</v>
      </c>
      <c r="D3488" s="9">
        <f>YEAR(Tabla1[[#This Row],[Date]])</f>
        <v>1988</v>
      </c>
      <c r="E3488" s="9" t="str" cm="1">
        <f t="array" ref="E3488">IFERROR(_xlfn.IFS(AND(D3488&lt;1980,D3488&gt;=1970),"70",AND(D3488&lt;1990,D3488&gt;=1980),"80",AND(D3488&lt;2000,D3488&gt;=1990),"90",AND(D3488&lt;2010,D3488&gt;=2000),"00",AND(D3488&lt;=2019,D3488&gt;=2010),"10"),"1908-1970")</f>
        <v>80</v>
      </c>
      <c r="F3488" s="3" t="s">
        <v>28931</v>
      </c>
      <c r="G3488" t="s">
        <v>13561</v>
      </c>
      <c r="H3488" t="s">
        <v>16075</v>
      </c>
      <c r="I3488" t="s">
        <v>28931</v>
      </c>
      <c r="J3488" t="s">
        <v>20655</v>
      </c>
      <c r="K3488" t="s">
        <v>15961</v>
      </c>
      <c r="L3488" s="7" t="s">
        <v>20656</v>
      </c>
      <c r="M3488">
        <v>9620247</v>
      </c>
      <c r="N3488">
        <v>37</v>
      </c>
      <c r="O3488">
        <v>33</v>
      </c>
      <c r="P3488">
        <v>4</v>
      </c>
      <c r="Q3488">
        <v>29</v>
      </c>
      <c r="R3488">
        <v>26</v>
      </c>
      <c r="S3488">
        <v>3</v>
      </c>
      <c r="T3488">
        <v>0</v>
      </c>
      <c r="U3488" t="s">
        <v>20657</v>
      </c>
      <c r="V3488">
        <f>Tabla1[[#This Row],[Aboard]]-Tabla1[[#This Row],[Fatalities]]</f>
        <v>8</v>
      </c>
      <c r="W3488" s="50">
        <f>IFERROR(Tabla1[[#This Row],[Fatalities]]/Tabla1[[#This Row],[Aboard]],0)</f>
        <v>0.78378378378378377</v>
      </c>
      <c r="X3488" s="51" t="str" cm="1">
        <f t="array" ref="X3488">_xlfn.IFS(Tabla1[[#This Row],[Porcentaje de muertes]]&lt;0.35,"LEVE",AND(Tabla1[[#This Row],[Porcentaje de muertes]]&gt;0.35,Tabla1[[#This Row],[Porcentaje de muertes]]&lt;0.65),"MEDIO",Tabla1[[#This Row],[Porcentaje de muertes]]&gt;0.65,"GRAVE")</f>
        <v>GRAVE</v>
      </c>
    </row>
    <row r="3489" spans="2:24" x14ac:dyDescent="0.3">
      <c r="B3489" s="9">
        <v>3488</v>
      </c>
      <c r="C3489" s="49">
        <v>32370</v>
      </c>
      <c r="D3489" s="9">
        <f>YEAR(Tabla1[[#This Row],[Date]])</f>
        <v>1988</v>
      </c>
      <c r="E3489" s="9" t="str" cm="1">
        <f t="array" ref="E3489">IFERROR(_xlfn.IFS(AND(D3489&lt;1980,D3489&gt;=1970),"70",AND(D3489&lt;1990,D3489&gt;=1980),"80",AND(D3489&lt;2000,D3489&gt;=1990),"90",AND(D3489&lt;2010,D3489&gt;=2000),"00",AND(D3489&lt;=2019,D3489&gt;=2010),"10"),"1908-1970")</f>
        <v>80</v>
      </c>
      <c r="F3489" s="3" t="s">
        <v>28931</v>
      </c>
      <c r="G3489" t="s">
        <v>20658</v>
      </c>
      <c r="H3489" t="s">
        <v>20220</v>
      </c>
      <c r="I3489" t="s">
        <v>28931</v>
      </c>
      <c r="J3489" t="s">
        <v>20396</v>
      </c>
      <c r="K3489" t="s">
        <v>15917</v>
      </c>
      <c r="L3489" s="7" t="s">
        <v>28931</v>
      </c>
      <c r="M3489" t="s">
        <v>28931</v>
      </c>
      <c r="N3489">
        <v>39</v>
      </c>
      <c r="O3489">
        <v>35</v>
      </c>
      <c r="P3489">
        <v>4</v>
      </c>
      <c r="Q3489">
        <v>39</v>
      </c>
      <c r="R3489">
        <v>35</v>
      </c>
      <c r="S3489">
        <v>4</v>
      </c>
      <c r="T3489">
        <v>0</v>
      </c>
      <c r="U3489" t="s">
        <v>17253</v>
      </c>
      <c r="V3489">
        <f>Tabla1[[#This Row],[Aboard]]-Tabla1[[#This Row],[Fatalities]]</f>
        <v>0</v>
      </c>
      <c r="W3489" s="50">
        <f>IFERROR(Tabla1[[#This Row],[Fatalities]]/Tabla1[[#This Row],[Aboard]],0)</f>
        <v>1</v>
      </c>
      <c r="X3489" s="51" t="str" cm="1">
        <f t="array" ref="X3489">_xlfn.IFS(Tabla1[[#This Row],[Porcentaje de muertes]]&lt;0.35,"LEVE",AND(Tabla1[[#This Row],[Porcentaje de muertes]]&gt;0.35,Tabla1[[#This Row],[Porcentaje de muertes]]&lt;0.65),"MEDIO",Tabla1[[#This Row],[Porcentaje de muertes]]&gt;0.65,"GRAVE")</f>
        <v>GRAVE</v>
      </c>
    </row>
    <row r="3490" spans="2:24" x14ac:dyDescent="0.3">
      <c r="B3490" s="9">
        <v>3489</v>
      </c>
      <c r="C3490" s="49">
        <v>32372</v>
      </c>
      <c r="D3490" s="9">
        <f>YEAR(Tabla1[[#This Row],[Date]])</f>
        <v>1988</v>
      </c>
      <c r="E3490" s="9" t="str" cm="1">
        <f t="array" ref="E3490">IFERROR(_xlfn.IFS(AND(D3490&lt;1980,D3490&gt;=1970),"70",AND(D3490&lt;1990,D3490&gt;=1980),"80",AND(D3490&lt;2000,D3490&gt;=1990),"90",AND(D3490&lt;2010,D3490&gt;=2000),"00",AND(D3490&lt;=2019,D3490&gt;=2010),"10"),"1908-1970")</f>
        <v>80</v>
      </c>
      <c r="F3490" s="3">
        <v>0.6875</v>
      </c>
      <c r="G3490" t="s">
        <v>20659</v>
      </c>
      <c r="H3490" t="s">
        <v>10785</v>
      </c>
      <c r="I3490" t="s">
        <v>28931</v>
      </c>
      <c r="J3490" t="s">
        <v>20660</v>
      </c>
      <c r="K3490" t="s">
        <v>14712</v>
      </c>
      <c r="L3490" s="7">
        <v>23494</v>
      </c>
      <c r="M3490">
        <v>3708</v>
      </c>
      <c r="N3490">
        <v>30</v>
      </c>
      <c r="O3490" t="s">
        <v>5038</v>
      </c>
      <c r="P3490" t="s">
        <v>5038</v>
      </c>
      <c r="Q3490">
        <v>30</v>
      </c>
      <c r="R3490" t="s">
        <v>5038</v>
      </c>
      <c r="S3490" t="s">
        <v>5038</v>
      </c>
      <c r="T3490">
        <v>0</v>
      </c>
      <c r="U3490" t="s">
        <v>20661</v>
      </c>
      <c r="V3490">
        <f>Tabla1[[#This Row],[Aboard]]-Tabla1[[#This Row],[Fatalities]]</f>
        <v>0</v>
      </c>
      <c r="W3490" s="50">
        <f>IFERROR(Tabla1[[#This Row],[Fatalities]]/Tabla1[[#This Row],[Aboard]],0)</f>
        <v>1</v>
      </c>
      <c r="X3490" s="51" t="str" cm="1">
        <f t="array" ref="X3490">_xlfn.IFS(Tabla1[[#This Row],[Porcentaje de muertes]]&lt;0.35,"LEVE",AND(Tabla1[[#This Row],[Porcentaje de muertes]]&gt;0.35,Tabla1[[#This Row],[Porcentaje de muertes]]&lt;0.65),"MEDIO",Tabla1[[#This Row],[Porcentaje de muertes]]&gt;0.65,"GRAVE")</f>
        <v>GRAVE</v>
      </c>
    </row>
    <row r="3491" spans="2:24" x14ac:dyDescent="0.3">
      <c r="B3491" s="9">
        <v>3490</v>
      </c>
      <c r="C3491" s="49">
        <v>32381</v>
      </c>
      <c r="D3491" s="9">
        <f>YEAR(Tabla1[[#This Row],[Date]])</f>
        <v>1988</v>
      </c>
      <c r="E3491" s="9" t="str" cm="1">
        <f t="array" ref="E3491">IFERROR(_xlfn.IFS(AND(D3491&lt;1980,D3491&gt;=1970),"70",AND(D3491&lt;1990,D3491&gt;=1980),"80",AND(D3491&lt;2000,D3491&gt;=1990),"90",AND(D3491&lt;2010,D3491&gt;=2000),"00",AND(D3491&lt;=2019,D3491&gt;=2010),"10"),"1908-1970")</f>
        <v>80</v>
      </c>
      <c r="F3491" s="3">
        <v>0.97222222222222221</v>
      </c>
      <c r="G3491" t="s">
        <v>11429</v>
      </c>
      <c r="H3491" t="s">
        <v>6541</v>
      </c>
      <c r="I3491" t="s">
        <v>28931</v>
      </c>
      <c r="J3491" t="s">
        <v>20662</v>
      </c>
      <c r="K3491" t="s">
        <v>20663</v>
      </c>
      <c r="L3491" s="7" t="s">
        <v>20664</v>
      </c>
      <c r="M3491">
        <v>770801</v>
      </c>
      <c r="N3491">
        <v>4</v>
      </c>
      <c r="O3491">
        <v>2</v>
      </c>
      <c r="P3491">
        <v>2</v>
      </c>
      <c r="Q3491">
        <v>4</v>
      </c>
      <c r="R3491">
        <v>2</v>
      </c>
      <c r="S3491">
        <v>2</v>
      </c>
      <c r="T3491">
        <v>0</v>
      </c>
      <c r="U3491" t="s">
        <v>20665</v>
      </c>
      <c r="V3491">
        <f>Tabla1[[#This Row],[Aboard]]-Tabla1[[#This Row],[Fatalities]]</f>
        <v>0</v>
      </c>
      <c r="W3491" s="50">
        <f>IFERROR(Tabla1[[#This Row],[Fatalities]]/Tabla1[[#This Row],[Aboard]],0)</f>
        <v>1</v>
      </c>
      <c r="X3491" s="51" t="str" cm="1">
        <f t="array" ref="X3491">_xlfn.IFS(Tabla1[[#This Row],[Porcentaje de muertes]]&lt;0.35,"LEVE",AND(Tabla1[[#This Row],[Porcentaje de muertes]]&gt;0.35,Tabla1[[#This Row],[Porcentaje de muertes]]&lt;0.65),"MEDIO",Tabla1[[#This Row],[Porcentaje de muertes]]&gt;0.65,"GRAVE")</f>
        <v>GRAVE</v>
      </c>
    </row>
    <row r="3492" spans="2:24" x14ac:dyDescent="0.3">
      <c r="B3492" s="9">
        <v>3491</v>
      </c>
      <c r="C3492" s="49">
        <v>32386</v>
      </c>
      <c r="D3492" s="9">
        <f>YEAR(Tabla1[[#This Row],[Date]])</f>
        <v>1988</v>
      </c>
      <c r="E3492" s="9" t="str" cm="1">
        <f t="array" ref="E3492">IFERROR(_xlfn.IFS(AND(D3492&lt;1980,D3492&gt;=1970),"70",AND(D3492&lt;1990,D3492&gt;=1980),"80",AND(D3492&lt;2000,D3492&gt;=1990),"90",AND(D3492&lt;2010,D3492&gt;=2000),"00",AND(D3492&lt;=2019,D3492&gt;=2010),"10"),"1908-1970")</f>
        <v>80</v>
      </c>
      <c r="F3492" s="3" t="s">
        <v>28931</v>
      </c>
      <c r="G3492" t="s">
        <v>12021</v>
      </c>
      <c r="H3492" t="s">
        <v>20666</v>
      </c>
      <c r="I3492" t="s">
        <v>28931</v>
      </c>
      <c r="J3492" t="s">
        <v>28931</v>
      </c>
      <c r="K3492" t="s">
        <v>11169</v>
      </c>
      <c r="L3492" s="7" t="s">
        <v>20667</v>
      </c>
      <c r="M3492">
        <v>229</v>
      </c>
      <c r="N3492">
        <v>20</v>
      </c>
      <c r="O3492" t="s">
        <v>5038</v>
      </c>
      <c r="P3492" t="s">
        <v>5038</v>
      </c>
      <c r="Q3492">
        <v>1</v>
      </c>
      <c r="R3492" t="s">
        <v>5038</v>
      </c>
      <c r="S3492" t="s">
        <v>5038</v>
      </c>
      <c r="T3492">
        <v>0</v>
      </c>
      <c r="U3492" t="s">
        <v>5991</v>
      </c>
      <c r="V3492">
        <f>Tabla1[[#This Row],[Aboard]]-Tabla1[[#This Row],[Fatalities]]</f>
        <v>19</v>
      </c>
      <c r="W3492" s="50">
        <f>IFERROR(Tabla1[[#This Row],[Fatalities]]/Tabla1[[#This Row],[Aboard]],0)</f>
        <v>0.05</v>
      </c>
      <c r="X3492" s="51" t="str" cm="1">
        <f t="array" ref="X3492">_xlfn.IFS(Tabla1[[#This Row],[Porcentaje de muertes]]&lt;0.35,"LEVE",AND(Tabla1[[#This Row],[Porcentaje de muertes]]&gt;0.35,Tabla1[[#This Row],[Porcentaje de muertes]]&lt;0.65),"MEDIO",Tabla1[[#This Row],[Porcentaje de muertes]]&gt;0.65,"GRAVE")</f>
        <v>LEVE</v>
      </c>
    </row>
    <row r="3493" spans="2:24" x14ac:dyDescent="0.3">
      <c r="B3493" s="9">
        <v>3492</v>
      </c>
      <c r="C3493" s="49">
        <v>32386</v>
      </c>
      <c r="D3493" s="9">
        <f>YEAR(Tabla1[[#This Row],[Date]])</f>
        <v>1988</v>
      </c>
      <c r="E3493" s="9" t="str" cm="1">
        <f t="array" ref="E3493">IFERROR(_xlfn.IFS(AND(D3493&lt;1980,D3493&gt;=1970),"70",AND(D3493&lt;1990,D3493&gt;=1980),"80",AND(D3493&lt;2000,D3493&gt;=1990),"90",AND(D3493&lt;2010,D3493&gt;=2000),"00",AND(D3493&lt;=2019,D3493&gt;=2010),"10"),"1908-1970")</f>
        <v>80</v>
      </c>
      <c r="F3493" s="3">
        <v>0.38819444444444445</v>
      </c>
      <c r="G3493" t="s">
        <v>20668</v>
      </c>
      <c r="H3493" t="s">
        <v>17531</v>
      </c>
      <c r="I3493">
        <v>301</v>
      </c>
      <c r="J3493" t="s">
        <v>20669</v>
      </c>
      <c r="K3493" t="s">
        <v>20670</v>
      </c>
      <c r="L3493" s="7" t="s">
        <v>20671</v>
      </c>
      <c r="M3493">
        <v>2159</v>
      </c>
      <c r="N3493">
        <v>89</v>
      </c>
      <c r="O3493">
        <v>78</v>
      </c>
      <c r="P3493">
        <v>11</v>
      </c>
      <c r="Q3493">
        <v>7</v>
      </c>
      <c r="R3493">
        <v>1</v>
      </c>
      <c r="S3493">
        <v>6</v>
      </c>
      <c r="T3493">
        <v>0</v>
      </c>
      <c r="U3493" t="s">
        <v>20672</v>
      </c>
      <c r="V3493">
        <f>Tabla1[[#This Row],[Aboard]]-Tabla1[[#This Row],[Fatalities]]</f>
        <v>82</v>
      </c>
      <c r="W3493" s="50">
        <f>IFERROR(Tabla1[[#This Row],[Fatalities]]/Tabla1[[#This Row],[Aboard]],0)</f>
        <v>7.8651685393258425E-2</v>
      </c>
      <c r="X3493" s="51" t="str" cm="1">
        <f t="array" ref="X3493">_xlfn.IFS(Tabla1[[#This Row],[Porcentaje de muertes]]&lt;0.35,"LEVE",AND(Tabla1[[#This Row],[Porcentaje de muertes]]&gt;0.35,Tabla1[[#This Row],[Porcentaje de muertes]]&lt;0.65),"MEDIO",Tabla1[[#This Row],[Porcentaje de muertes]]&gt;0.65,"GRAVE")</f>
        <v>LEVE</v>
      </c>
    </row>
    <row r="3494" spans="2:24" x14ac:dyDescent="0.3">
      <c r="B3494" s="9">
        <v>3493</v>
      </c>
      <c r="C3494" s="49">
        <v>32386</v>
      </c>
      <c r="D3494" s="9">
        <f>YEAR(Tabla1[[#This Row],[Date]])</f>
        <v>1988</v>
      </c>
      <c r="E3494" s="9" t="str" cm="1">
        <f t="array" ref="E3494">IFERROR(_xlfn.IFS(AND(D3494&lt;1980,D3494&gt;=1970),"70",AND(D3494&lt;1990,D3494&gt;=1980),"80",AND(D3494&lt;2000,D3494&gt;=1990),"90",AND(D3494&lt;2010,D3494&gt;=2000),"00",AND(D3494&lt;=2019,D3494&gt;=2010),"10"),"1908-1970")</f>
        <v>80</v>
      </c>
      <c r="F3494" s="3">
        <v>0.3756944444444445</v>
      </c>
      <c r="G3494" t="s">
        <v>9950</v>
      </c>
      <c r="H3494" t="s">
        <v>6658</v>
      </c>
      <c r="I3494">
        <v>1141</v>
      </c>
      <c r="J3494" t="s">
        <v>20673</v>
      </c>
      <c r="K3494" t="s">
        <v>20674</v>
      </c>
      <c r="L3494" s="7" t="s">
        <v>20675</v>
      </c>
      <c r="M3494" t="s">
        <v>20676</v>
      </c>
      <c r="N3494">
        <v>108</v>
      </c>
      <c r="O3494">
        <v>101</v>
      </c>
      <c r="P3494">
        <v>7</v>
      </c>
      <c r="Q3494">
        <v>14</v>
      </c>
      <c r="R3494">
        <v>12</v>
      </c>
      <c r="S3494">
        <v>2</v>
      </c>
      <c r="T3494">
        <v>0</v>
      </c>
      <c r="U3494" t="s">
        <v>20677</v>
      </c>
      <c r="V3494">
        <f>Tabla1[[#This Row],[Aboard]]-Tabla1[[#This Row],[Fatalities]]</f>
        <v>94</v>
      </c>
      <c r="W3494" s="50">
        <f>IFERROR(Tabla1[[#This Row],[Fatalities]]/Tabla1[[#This Row],[Aboard]],0)</f>
        <v>0.12962962962962962</v>
      </c>
      <c r="X3494" s="51" t="str" cm="1">
        <f t="array" ref="X3494">_xlfn.IFS(Tabla1[[#This Row],[Porcentaje de muertes]]&lt;0.35,"LEVE",AND(Tabla1[[#This Row],[Porcentaje de muertes]]&gt;0.35,Tabla1[[#This Row],[Porcentaje de muertes]]&lt;0.65),"MEDIO",Tabla1[[#This Row],[Porcentaje de muertes]]&gt;0.65,"GRAVE")</f>
        <v>LEVE</v>
      </c>
    </row>
    <row r="3495" spans="2:24" x14ac:dyDescent="0.3">
      <c r="B3495" s="9">
        <v>3494</v>
      </c>
      <c r="C3495" s="49">
        <v>32386</v>
      </c>
      <c r="D3495" s="9">
        <f>YEAR(Tabla1[[#This Row],[Date]])</f>
        <v>1988</v>
      </c>
      <c r="E3495" s="9" t="str" cm="1">
        <f t="array" ref="E3495">IFERROR(_xlfn.IFS(AND(D3495&lt;1980,D3495&gt;=1970),"70",AND(D3495&lt;1990,D3495&gt;=1980),"80",AND(D3495&lt;2000,D3495&gt;=1990),"90",AND(D3495&lt;2010,D3495&gt;=2000),"00",AND(D3495&lt;=2019,D3495&gt;=2010),"10"),"1908-1970")</f>
        <v>80</v>
      </c>
      <c r="F3495" s="3">
        <v>0.41666666666666669</v>
      </c>
      <c r="G3495" t="s">
        <v>20678</v>
      </c>
      <c r="H3495" t="s">
        <v>20679</v>
      </c>
      <c r="I3495" t="s">
        <v>28931</v>
      </c>
      <c r="J3495" t="s">
        <v>20680</v>
      </c>
      <c r="K3495" t="s">
        <v>18953</v>
      </c>
      <c r="L3495" s="7" t="s">
        <v>20681</v>
      </c>
      <c r="M3495" t="s">
        <v>20682</v>
      </c>
      <c r="N3495">
        <v>20</v>
      </c>
      <c r="O3495">
        <v>18</v>
      </c>
      <c r="P3495">
        <v>2</v>
      </c>
      <c r="Q3495">
        <v>20</v>
      </c>
      <c r="R3495">
        <v>18</v>
      </c>
      <c r="S3495">
        <v>2</v>
      </c>
      <c r="T3495">
        <v>0</v>
      </c>
      <c r="U3495" t="s">
        <v>20683</v>
      </c>
      <c r="V3495">
        <f>Tabla1[[#This Row],[Aboard]]-Tabla1[[#This Row],[Fatalities]]</f>
        <v>0</v>
      </c>
      <c r="W3495" s="50">
        <f>IFERROR(Tabla1[[#This Row],[Fatalities]]/Tabla1[[#This Row],[Aboard]],0)</f>
        <v>1</v>
      </c>
      <c r="X3495" s="51" t="str" cm="1">
        <f t="array" ref="X3495">_xlfn.IFS(Tabla1[[#This Row],[Porcentaje de muertes]]&lt;0.35,"LEVE",AND(Tabla1[[#This Row],[Porcentaje de muertes]]&gt;0.35,Tabla1[[#This Row],[Porcentaje de muertes]]&lt;0.65),"MEDIO",Tabla1[[#This Row],[Porcentaje de muertes]]&gt;0.65,"GRAVE")</f>
        <v>GRAVE</v>
      </c>
    </row>
    <row r="3496" spans="2:24" x14ac:dyDescent="0.3">
      <c r="B3496" s="9">
        <v>3495</v>
      </c>
      <c r="C3496" s="49">
        <v>32395</v>
      </c>
      <c r="D3496" s="9">
        <f>YEAR(Tabla1[[#This Row],[Date]])</f>
        <v>1988</v>
      </c>
      <c r="E3496" s="9" t="str" cm="1">
        <f t="array" ref="E3496">IFERROR(_xlfn.IFS(AND(D3496&lt;1980,D3496&gt;=1970),"70",AND(D3496&lt;1990,D3496&gt;=1980),"80",AND(D3496&lt;2000,D3496&gt;=1990),"90",AND(D3496&lt;2010,D3496&gt;=2000),"00",AND(D3496&lt;=2019,D3496&gt;=2010),"10"),"1908-1970")</f>
        <v>80</v>
      </c>
      <c r="F3496" s="3">
        <v>0.48472222222222222</v>
      </c>
      <c r="G3496" t="s">
        <v>6146</v>
      </c>
      <c r="H3496" t="s">
        <v>20684</v>
      </c>
      <c r="I3496">
        <v>831</v>
      </c>
      <c r="J3496" t="s">
        <v>20685</v>
      </c>
      <c r="K3496" t="s">
        <v>16145</v>
      </c>
      <c r="L3496" s="7" t="s">
        <v>20686</v>
      </c>
      <c r="M3496">
        <v>60925</v>
      </c>
      <c r="N3496">
        <v>90</v>
      </c>
      <c r="O3496">
        <v>84</v>
      </c>
      <c r="P3496">
        <v>6</v>
      </c>
      <c r="Q3496">
        <v>76</v>
      </c>
      <c r="R3496">
        <v>73</v>
      </c>
      <c r="S3496">
        <v>3</v>
      </c>
      <c r="T3496">
        <v>0</v>
      </c>
      <c r="U3496" t="s">
        <v>20687</v>
      </c>
      <c r="V3496">
        <f>Tabla1[[#This Row],[Aboard]]-Tabla1[[#This Row],[Fatalities]]</f>
        <v>14</v>
      </c>
      <c r="W3496" s="50">
        <f>IFERROR(Tabla1[[#This Row],[Fatalities]]/Tabla1[[#This Row],[Aboard]],0)</f>
        <v>0.84444444444444444</v>
      </c>
      <c r="X3496" s="51" t="str" cm="1">
        <f t="array" ref="X3496">_xlfn.IFS(Tabla1[[#This Row],[Porcentaje de muertes]]&lt;0.35,"LEVE",AND(Tabla1[[#This Row],[Porcentaje de muertes]]&gt;0.35,Tabla1[[#This Row],[Porcentaje de muertes]]&lt;0.65),"MEDIO",Tabla1[[#This Row],[Porcentaje de muertes]]&gt;0.65,"GRAVE")</f>
        <v>GRAVE</v>
      </c>
    </row>
    <row r="3497" spans="2:24" x14ac:dyDescent="0.3">
      <c r="B3497" s="9">
        <v>3496</v>
      </c>
      <c r="C3497" s="49">
        <v>32486</v>
      </c>
      <c r="D3497" s="9">
        <f>YEAR(Tabla1[[#This Row],[Date]])</f>
        <v>1988</v>
      </c>
      <c r="E3497" s="9" t="str" cm="1">
        <f t="array" ref="E3497">IFERROR(_xlfn.IFS(AND(D3497&lt;1980,D3497&gt;=1970),"70",AND(D3497&lt;1990,D3497&gt;=1980),"80",AND(D3497&lt;2000,D3497&gt;=1990),"90",AND(D3497&lt;2010,D3497&gt;=2000),"00",AND(D3497&lt;=2019,D3497&gt;=2010),"10"),"1908-1970")</f>
        <v>80</v>
      </c>
      <c r="F3497" s="3">
        <v>0.60416666666666663</v>
      </c>
      <c r="G3497" t="s">
        <v>20688</v>
      </c>
      <c r="H3497" t="s">
        <v>15619</v>
      </c>
      <c r="I3497" t="s">
        <v>28931</v>
      </c>
      <c r="J3497" t="s">
        <v>20689</v>
      </c>
      <c r="K3497" t="s">
        <v>16894</v>
      </c>
      <c r="L3497" s="7" t="s">
        <v>20690</v>
      </c>
      <c r="M3497">
        <v>1052</v>
      </c>
      <c r="N3497">
        <v>7</v>
      </c>
      <c r="O3497">
        <v>1</v>
      </c>
      <c r="P3497">
        <v>6</v>
      </c>
      <c r="Q3497">
        <v>7</v>
      </c>
      <c r="R3497">
        <v>1</v>
      </c>
      <c r="S3497">
        <v>6</v>
      </c>
      <c r="T3497">
        <v>0</v>
      </c>
      <c r="U3497" t="s">
        <v>20691</v>
      </c>
      <c r="V3497">
        <f>Tabla1[[#This Row],[Aboard]]-Tabla1[[#This Row],[Fatalities]]</f>
        <v>0</v>
      </c>
      <c r="W3497" s="50">
        <f>IFERROR(Tabla1[[#This Row],[Fatalities]]/Tabla1[[#This Row],[Aboard]],0)</f>
        <v>1</v>
      </c>
      <c r="X3497" s="51" t="str" cm="1">
        <f t="array" ref="X3497">_xlfn.IFS(Tabla1[[#This Row],[Porcentaje de muertes]]&lt;0.35,"LEVE",AND(Tabla1[[#This Row],[Porcentaje de muertes]]&gt;0.35,Tabla1[[#This Row],[Porcentaje de muertes]]&lt;0.65),"MEDIO",Tabla1[[#This Row],[Porcentaje de muertes]]&gt;0.65,"GRAVE")</f>
        <v>GRAVE</v>
      </c>
    </row>
    <row r="3498" spans="2:24" x14ac:dyDescent="0.3">
      <c r="B3498" s="9">
        <v>3497</v>
      </c>
      <c r="C3498" s="49">
        <v>32401</v>
      </c>
      <c r="D3498" s="9">
        <f>YEAR(Tabla1[[#This Row],[Date]])</f>
        <v>1988</v>
      </c>
      <c r="E3498" s="9" t="str" cm="1">
        <f t="array" ref="E3498">IFERROR(_xlfn.IFS(AND(D3498&lt;1980,D3498&gt;=1970),"70",AND(D3498&lt;1990,D3498&gt;=1980),"80",AND(D3498&lt;2000,D3498&gt;=1990),"90",AND(D3498&lt;2010,D3498&gt;=2000),"00",AND(D3498&lt;=2019,D3498&gt;=2010),"10"),"1908-1970")</f>
        <v>80</v>
      </c>
      <c r="F3498" s="3">
        <v>0.54513888888888895</v>
      </c>
      <c r="G3498" t="s">
        <v>20692</v>
      </c>
      <c r="H3498" t="s">
        <v>13000</v>
      </c>
      <c r="I3498">
        <v>604</v>
      </c>
      <c r="J3498" t="s">
        <v>20693</v>
      </c>
      <c r="K3498" t="s">
        <v>20694</v>
      </c>
      <c r="L3498" s="7" t="s">
        <v>20695</v>
      </c>
      <c r="M3498" t="s">
        <v>20696</v>
      </c>
      <c r="N3498">
        <v>104</v>
      </c>
      <c r="O3498">
        <v>98</v>
      </c>
      <c r="P3498">
        <v>6</v>
      </c>
      <c r="Q3498">
        <v>35</v>
      </c>
      <c r="R3498">
        <v>35</v>
      </c>
      <c r="S3498">
        <v>0</v>
      </c>
      <c r="T3498">
        <v>0</v>
      </c>
      <c r="U3498" t="s">
        <v>20697</v>
      </c>
      <c r="V3498">
        <f>Tabla1[[#This Row],[Aboard]]-Tabla1[[#This Row],[Fatalities]]</f>
        <v>69</v>
      </c>
      <c r="W3498" s="50">
        <f>IFERROR(Tabla1[[#This Row],[Fatalities]]/Tabla1[[#This Row],[Aboard]],0)</f>
        <v>0.33653846153846156</v>
      </c>
      <c r="X3498" s="51" t="str" cm="1">
        <f t="array" ref="X3498">_xlfn.IFS(Tabla1[[#This Row],[Porcentaje de muertes]]&lt;0.35,"LEVE",AND(Tabla1[[#This Row],[Porcentaje de muertes]]&gt;0.35,Tabla1[[#This Row],[Porcentaje de muertes]]&lt;0.65),"MEDIO",Tabla1[[#This Row],[Porcentaje de muertes]]&gt;0.65,"GRAVE")</f>
        <v>LEVE</v>
      </c>
    </row>
    <row r="3499" spans="2:24" x14ac:dyDescent="0.3">
      <c r="B3499" s="9">
        <v>3498</v>
      </c>
      <c r="C3499" s="49">
        <v>32405</v>
      </c>
      <c r="D3499" s="9">
        <f>YEAR(Tabla1[[#This Row],[Date]])</f>
        <v>1988</v>
      </c>
      <c r="E3499" s="9" t="str" cm="1">
        <f t="array" ref="E3499">IFERROR(_xlfn.IFS(AND(D3499&lt;1980,D3499&gt;=1970),"70",AND(D3499&lt;1990,D3499&gt;=1980),"80",AND(D3499&lt;2000,D3499&gt;=1990),"90",AND(D3499&lt;2010,D3499&gt;=2000),"00",AND(D3499&lt;=2019,D3499&gt;=2010),"10"),"1908-1970")</f>
        <v>80</v>
      </c>
      <c r="F3499" s="3">
        <v>0.85416666666666663</v>
      </c>
      <c r="G3499" t="s">
        <v>20698</v>
      </c>
      <c r="H3499" t="s">
        <v>20220</v>
      </c>
      <c r="I3499" t="s">
        <v>28931</v>
      </c>
      <c r="J3499" t="s">
        <v>28931</v>
      </c>
      <c r="K3499" t="s">
        <v>17904</v>
      </c>
      <c r="L3499" s="7" t="s">
        <v>28931</v>
      </c>
      <c r="M3499" t="s">
        <v>28931</v>
      </c>
      <c r="N3499">
        <v>34</v>
      </c>
      <c r="O3499" t="s">
        <v>5038</v>
      </c>
      <c r="P3499" t="s">
        <v>5038</v>
      </c>
      <c r="Q3499">
        <v>34</v>
      </c>
      <c r="R3499" t="s">
        <v>5038</v>
      </c>
      <c r="S3499" t="s">
        <v>5038</v>
      </c>
      <c r="T3499">
        <v>0</v>
      </c>
      <c r="U3499" t="s">
        <v>20699</v>
      </c>
      <c r="V3499">
        <f>Tabla1[[#This Row],[Aboard]]-Tabla1[[#This Row],[Fatalities]]</f>
        <v>0</v>
      </c>
      <c r="W3499" s="50">
        <f>IFERROR(Tabla1[[#This Row],[Fatalities]]/Tabla1[[#This Row],[Aboard]],0)</f>
        <v>1</v>
      </c>
      <c r="X3499" s="51" t="str" cm="1">
        <f t="array" ref="X3499">_xlfn.IFS(Tabla1[[#This Row],[Porcentaje de muertes]]&lt;0.35,"LEVE",AND(Tabla1[[#This Row],[Porcentaje de muertes]]&gt;0.35,Tabla1[[#This Row],[Porcentaje de muertes]]&lt;0.65),"MEDIO",Tabla1[[#This Row],[Porcentaje de muertes]]&gt;0.65,"GRAVE")</f>
        <v>GRAVE</v>
      </c>
    </row>
    <row r="3500" spans="2:24" x14ac:dyDescent="0.3">
      <c r="B3500" s="9">
        <v>3499</v>
      </c>
      <c r="C3500" s="49">
        <v>32183</v>
      </c>
      <c r="D3500" s="9">
        <f>YEAR(Tabla1[[#This Row],[Date]])</f>
        <v>1988</v>
      </c>
      <c r="E3500" s="9" t="str" cm="1">
        <f t="array" ref="E3500">IFERROR(_xlfn.IFS(AND(D3500&lt;1980,D3500&gt;=1970),"70",AND(D3500&lt;1990,D3500&gt;=1980),"80",AND(D3500&lt;2000,D3500&gt;=1990),"90",AND(D3500&lt;2010,D3500&gt;=2000),"00",AND(D3500&lt;=2019,D3500&gt;=2010),"10"),"1908-1970")</f>
        <v>80</v>
      </c>
      <c r="F3500" s="3" t="s">
        <v>28931</v>
      </c>
      <c r="G3500" t="s">
        <v>20700</v>
      </c>
      <c r="H3500" t="s">
        <v>20701</v>
      </c>
      <c r="I3500" t="s">
        <v>28931</v>
      </c>
      <c r="J3500" t="s">
        <v>28931</v>
      </c>
      <c r="K3500" t="s">
        <v>20702</v>
      </c>
      <c r="L3500" s="7" t="s">
        <v>20703</v>
      </c>
      <c r="M3500" t="s">
        <v>20704</v>
      </c>
      <c r="N3500">
        <v>8</v>
      </c>
      <c r="O3500">
        <v>7</v>
      </c>
      <c r="P3500">
        <v>1</v>
      </c>
      <c r="Q3500">
        <v>8</v>
      </c>
      <c r="R3500">
        <v>7</v>
      </c>
      <c r="S3500">
        <v>1</v>
      </c>
      <c r="T3500">
        <v>0</v>
      </c>
      <c r="U3500" t="s">
        <v>28927</v>
      </c>
      <c r="V3500">
        <f>Tabla1[[#This Row],[Aboard]]-Tabla1[[#This Row],[Fatalities]]</f>
        <v>0</v>
      </c>
      <c r="W3500" s="50">
        <f>IFERROR(Tabla1[[#This Row],[Fatalities]]/Tabla1[[#This Row],[Aboard]],0)</f>
        <v>1</v>
      </c>
      <c r="X3500" s="51" t="str" cm="1">
        <f t="array" ref="X3500">_xlfn.IFS(Tabla1[[#This Row],[Porcentaje de muertes]]&lt;0.35,"LEVE",AND(Tabla1[[#This Row],[Porcentaje de muertes]]&gt;0.35,Tabla1[[#This Row],[Porcentaje de muertes]]&lt;0.65),"MEDIO",Tabla1[[#This Row],[Porcentaje de muertes]]&gt;0.65,"GRAVE")</f>
        <v>GRAVE</v>
      </c>
    </row>
    <row r="3501" spans="2:24" x14ac:dyDescent="0.3">
      <c r="B3501" s="9">
        <v>3500</v>
      </c>
      <c r="C3501" s="49">
        <v>32243</v>
      </c>
      <c r="D3501" s="9">
        <f>YEAR(Tabla1[[#This Row],[Date]])</f>
        <v>1988</v>
      </c>
      <c r="E3501" s="9" t="str" cm="1">
        <f t="array" ref="E3501">IFERROR(_xlfn.IFS(AND(D3501&lt;1980,D3501&gt;=1970),"70",AND(D3501&lt;1990,D3501&gt;=1980),"80",AND(D3501&lt;2000,D3501&gt;=1990),"90",AND(D3501&lt;2010,D3501&gt;=2000),"00",AND(D3501&lt;=2019,D3501&gt;=2010),"10"),"1908-1970")</f>
        <v>80</v>
      </c>
      <c r="F3501" s="3">
        <v>0.95833333333333337</v>
      </c>
      <c r="G3501" t="s">
        <v>20705</v>
      </c>
      <c r="H3501" t="s">
        <v>6541</v>
      </c>
      <c r="I3501" t="s">
        <v>28931</v>
      </c>
      <c r="J3501" t="s">
        <v>20706</v>
      </c>
      <c r="K3501" t="s">
        <v>20707</v>
      </c>
      <c r="L3501" s="7" t="s">
        <v>20708</v>
      </c>
      <c r="M3501">
        <v>401712</v>
      </c>
      <c r="N3501">
        <v>6</v>
      </c>
      <c r="O3501">
        <v>0</v>
      </c>
      <c r="P3501">
        <v>6</v>
      </c>
      <c r="Q3501">
        <v>6</v>
      </c>
      <c r="R3501">
        <v>0</v>
      </c>
      <c r="S3501">
        <v>6</v>
      </c>
      <c r="T3501">
        <v>0</v>
      </c>
      <c r="U3501" t="s">
        <v>20709</v>
      </c>
      <c r="V3501">
        <f>Tabla1[[#This Row],[Aboard]]-Tabla1[[#This Row],[Fatalities]]</f>
        <v>0</v>
      </c>
      <c r="W3501" s="50">
        <f>IFERROR(Tabla1[[#This Row],[Fatalities]]/Tabla1[[#This Row],[Aboard]],0)</f>
        <v>1</v>
      </c>
      <c r="X3501" s="51" t="str" cm="1">
        <f t="array" ref="X3501">_xlfn.IFS(Tabla1[[#This Row],[Porcentaje de muertes]]&lt;0.35,"LEVE",AND(Tabla1[[#This Row],[Porcentaje de muertes]]&gt;0.35,Tabla1[[#This Row],[Porcentaje de muertes]]&lt;0.65),"MEDIO",Tabla1[[#This Row],[Porcentaje de muertes]]&gt;0.65,"GRAVE")</f>
        <v>GRAVE</v>
      </c>
    </row>
    <row r="3502" spans="2:24" x14ac:dyDescent="0.3">
      <c r="B3502" s="9">
        <v>3501</v>
      </c>
      <c r="C3502" s="49">
        <v>32334</v>
      </c>
      <c r="D3502" s="9">
        <f>YEAR(Tabla1[[#This Row],[Date]])</f>
        <v>1988</v>
      </c>
      <c r="E3502" s="9" t="str" cm="1">
        <f t="array" ref="E3502">IFERROR(_xlfn.IFS(AND(D3502&lt;1980,D3502&gt;=1970),"70",AND(D3502&lt;1990,D3502&gt;=1980),"80",AND(D3502&lt;2000,D3502&gt;=1990),"90",AND(D3502&lt;2010,D3502&gt;=2000),"00",AND(D3502&lt;=2019,D3502&gt;=2010),"10"),"1908-1970")</f>
        <v>80</v>
      </c>
      <c r="F3502" s="3">
        <v>0.55625000000000002</v>
      </c>
      <c r="G3502" t="s">
        <v>20710</v>
      </c>
      <c r="H3502" t="s">
        <v>20711</v>
      </c>
      <c r="I3502" t="s">
        <v>28931</v>
      </c>
      <c r="J3502" t="s">
        <v>5494</v>
      </c>
      <c r="K3502" t="s">
        <v>12110</v>
      </c>
      <c r="L3502" s="7" t="s">
        <v>20712</v>
      </c>
      <c r="M3502">
        <v>6341406</v>
      </c>
      <c r="N3502">
        <v>48</v>
      </c>
      <c r="O3502">
        <v>44</v>
      </c>
      <c r="P3502">
        <v>4</v>
      </c>
      <c r="Q3502">
        <v>44</v>
      </c>
      <c r="R3502">
        <v>40</v>
      </c>
      <c r="S3502">
        <v>4</v>
      </c>
      <c r="T3502">
        <v>2</v>
      </c>
      <c r="U3502" t="s">
        <v>20713</v>
      </c>
      <c r="V3502">
        <f>Tabla1[[#This Row],[Aboard]]-Tabla1[[#This Row],[Fatalities]]</f>
        <v>4</v>
      </c>
      <c r="W3502" s="50">
        <f>IFERROR(Tabla1[[#This Row],[Fatalities]]/Tabla1[[#This Row],[Aboard]],0)</f>
        <v>0.91666666666666663</v>
      </c>
      <c r="X3502" s="51" t="str" cm="1">
        <f t="array" ref="X3502">_xlfn.IFS(Tabla1[[#This Row],[Porcentaje de muertes]]&lt;0.35,"LEVE",AND(Tabla1[[#This Row],[Porcentaje de muertes]]&gt;0.35,Tabla1[[#This Row],[Porcentaje de muertes]]&lt;0.65),"MEDIO",Tabla1[[#This Row],[Porcentaje de muertes]]&gt;0.65,"GRAVE")</f>
        <v>GRAVE</v>
      </c>
    </row>
    <row r="3503" spans="2:24" x14ac:dyDescent="0.3">
      <c r="B3503" s="9">
        <v>3502</v>
      </c>
      <c r="C3503" s="49">
        <v>32457</v>
      </c>
      <c r="D3503" s="9">
        <f>YEAR(Tabla1[[#This Row],[Date]])</f>
        <v>1988</v>
      </c>
      <c r="E3503" s="9" t="str" cm="1">
        <f t="array" ref="E3503">IFERROR(_xlfn.IFS(AND(D3503&lt;1980,D3503&gt;=1970),"70",AND(D3503&lt;1990,D3503&gt;=1980),"80",AND(D3503&lt;2000,D3503&gt;=1990),"90",AND(D3503&lt;2010,D3503&gt;=2000),"00",AND(D3503&lt;=2019,D3503&gt;=2010),"10"),"1908-1970")</f>
        <v>80</v>
      </c>
      <c r="F3503" s="3">
        <v>0.59722222222222221</v>
      </c>
      <c r="G3503" t="s">
        <v>20714</v>
      </c>
      <c r="H3503" t="s">
        <v>7987</v>
      </c>
      <c r="I3503" t="s">
        <v>28931</v>
      </c>
      <c r="J3503" t="s">
        <v>20715</v>
      </c>
      <c r="K3503" t="s">
        <v>12399</v>
      </c>
      <c r="L3503" s="7" t="s">
        <v>20716</v>
      </c>
      <c r="M3503" t="s">
        <v>20717</v>
      </c>
      <c r="N3503">
        <v>17</v>
      </c>
      <c r="O3503">
        <v>0</v>
      </c>
      <c r="P3503">
        <v>17</v>
      </c>
      <c r="Q3503">
        <v>6</v>
      </c>
      <c r="R3503">
        <v>0</v>
      </c>
      <c r="S3503">
        <v>6</v>
      </c>
      <c r="T3503">
        <v>0</v>
      </c>
      <c r="U3503" t="s">
        <v>20718</v>
      </c>
      <c r="V3503">
        <f>Tabla1[[#This Row],[Aboard]]-Tabla1[[#This Row],[Fatalities]]</f>
        <v>11</v>
      </c>
      <c r="W3503" s="50">
        <f>IFERROR(Tabla1[[#This Row],[Fatalities]]/Tabla1[[#This Row],[Aboard]],0)</f>
        <v>0.35294117647058826</v>
      </c>
      <c r="X3503" s="51" t="str" cm="1">
        <f t="array" ref="X3503">_xlfn.IFS(Tabla1[[#This Row],[Porcentaje de muertes]]&lt;0.35,"LEVE",AND(Tabla1[[#This Row],[Porcentaje de muertes]]&gt;0.35,Tabla1[[#This Row],[Porcentaje de muertes]]&lt;0.65),"MEDIO",Tabla1[[#This Row],[Porcentaje de muertes]]&gt;0.65,"GRAVE")</f>
        <v>MEDIO</v>
      </c>
    </row>
    <row r="3504" spans="2:24" x14ac:dyDescent="0.3">
      <c r="B3504" s="9">
        <v>3503</v>
      </c>
      <c r="C3504" s="49">
        <v>32433</v>
      </c>
      <c r="D3504" s="9">
        <f>YEAR(Tabla1[[#This Row],[Date]])</f>
        <v>1988</v>
      </c>
      <c r="E3504" s="9" t="str" cm="1">
        <f t="array" ref="E3504">IFERROR(_xlfn.IFS(AND(D3504&lt;1980,D3504&gt;=1970),"70",AND(D3504&lt;1990,D3504&gt;=1980),"80",AND(D3504&lt;2000,D3504&gt;=1990),"90",AND(D3504&lt;2010,D3504&gt;=2000),"00",AND(D3504&lt;=2019,D3504&gt;=2010),"10"),"1908-1970")</f>
        <v>80</v>
      </c>
      <c r="F3504" s="3">
        <v>2.0833333333333332E-2</v>
      </c>
      <c r="G3504" t="s">
        <v>7654</v>
      </c>
      <c r="H3504" t="s">
        <v>20719</v>
      </c>
      <c r="I3504">
        <v>775</v>
      </c>
      <c r="J3504" t="s">
        <v>20720</v>
      </c>
      <c r="K3504" t="s">
        <v>20721</v>
      </c>
      <c r="L3504" s="7" t="s">
        <v>20722</v>
      </c>
      <c r="M3504" t="s">
        <v>20723</v>
      </c>
      <c r="N3504">
        <v>52</v>
      </c>
      <c r="O3504">
        <v>45</v>
      </c>
      <c r="P3504">
        <v>7</v>
      </c>
      <c r="Q3504">
        <v>33</v>
      </c>
      <c r="R3504">
        <v>26</v>
      </c>
      <c r="S3504">
        <v>7</v>
      </c>
      <c r="T3504">
        <v>0</v>
      </c>
      <c r="U3504" t="s">
        <v>20724</v>
      </c>
      <c r="V3504">
        <f>Tabla1[[#This Row],[Aboard]]-Tabla1[[#This Row],[Fatalities]]</f>
        <v>19</v>
      </c>
      <c r="W3504" s="50">
        <f>IFERROR(Tabla1[[#This Row],[Fatalities]]/Tabla1[[#This Row],[Aboard]],0)</f>
        <v>0.63461538461538458</v>
      </c>
      <c r="X3504" s="51" t="str" cm="1">
        <f t="array" ref="X3504">_xlfn.IFS(Tabla1[[#This Row],[Porcentaje de muertes]]&lt;0.35,"LEVE",AND(Tabla1[[#This Row],[Porcentaje de muertes]]&gt;0.35,Tabla1[[#This Row],[Porcentaje de muertes]]&lt;0.65),"MEDIO",Tabla1[[#This Row],[Porcentaje de muertes]]&gt;0.65,"GRAVE")</f>
        <v>MEDIO</v>
      </c>
    </row>
    <row r="3505" spans="2:24" x14ac:dyDescent="0.3">
      <c r="B3505" s="9">
        <v>3504</v>
      </c>
      <c r="C3505" s="49">
        <v>32435</v>
      </c>
      <c r="D3505" s="9">
        <f>YEAR(Tabla1[[#This Row],[Date]])</f>
        <v>1988</v>
      </c>
      <c r="E3505" s="9" t="str" cm="1">
        <f t="array" ref="E3505">IFERROR(_xlfn.IFS(AND(D3505&lt;1980,D3505&gt;=1970),"70",AND(D3505&lt;1990,D3505&gt;=1980),"80",AND(D3505&lt;2000,D3505&gt;=1990),"90",AND(D3505&lt;2010,D3505&gt;=2000),"00",AND(D3505&lt;=2019,D3505&gt;=2010),"10"),"1908-1970")</f>
        <v>80</v>
      </c>
      <c r="F3505" s="3">
        <v>0.29166666666666669</v>
      </c>
      <c r="G3505" t="s">
        <v>20725</v>
      </c>
      <c r="H3505" t="s">
        <v>11150</v>
      </c>
      <c r="I3505">
        <v>113</v>
      </c>
      <c r="J3505" t="s">
        <v>20726</v>
      </c>
      <c r="K3505" t="s">
        <v>16809</v>
      </c>
      <c r="L3505" s="7" t="s">
        <v>20727</v>
      </c>
      <c r="M3505" t="s">
        <v>20728</v>
      </c>
      <c r="N3505">
        <v>129</v>
      </c>
      <c r="O3505">
        <v>124</v>
      </c>
      <c r="P3505">
        <v>5</v>
      </c>
      <c r="Q3505">
        <v>124</v>
      </c>
      <c r="R3505">
        <v>119</v>
      </c>
      <c r="S3505">
        <v>5</v>
      </c>
      <c r="T3505">
        <v>0</v>
      </c>
      <c r="U3505" t="s">
        <v>20729</v>
      </c>
      <c r="V3505">
        <f>Tabla1[[#This Row],[Aboard]]-Tabla1[[#This Row],[Fatalities]]</f>
        <v>5</v>
      </c>
      <c r="W3505" s="50">
        <f>IFERROR(Tabla1[[#This Row],[Fatalities]]/Tabla1[[#This Row],[Aboard]],0)</f>
        <v>0.96124031007751942</v>
      </c>
      <c r="X3505" s="51" t="str" cm="1">
        <f t="array" ref="X3505">_xlfn.IFS(Tabla1[[#This Row],[Porcentaje de muertes]]&lt;0.35,"LEVE",AND(Tabla1[[#This Row],[Porcentaje de muertes]]&gt;0.35,Tabla1[[#This Row],[Porcentaje de muertes]]&lt;0.65),"MEDIO",Tabla1[[#This Row],[Porcentaje de muertes]]&gt;0.65,"GRAVE")</f>
        <v>GRAVE</v>
      </c>
    </row>
    <row r="3506" spans="2:24" x14ac:dyDescent="0.3">
      <c r="B3506" s="9">
        <v>3505</v>
      </c>
      <c r="C3506" s="49">
        <v>32435</v>
      </c>
      <c r="D3506" s="9">
        <f>YEAR(Tabla1[[#This Row],[Date]])</f>
        <v>1988</v>
      </c>
      <c r="E3506" s="9" t="str" cm="1">
        <f t="array" ref="E3506">IFERROR(_xlfn.IFS(AND(D3506&lt;1980,D3506&gt;=1970),"70",AND(D3506&lt;1990,D3506&gt;=1980),"80",AND(D3506&lt;2000,D3506&gt;=1990),"90",AND(D3506&lt;2010,D3506&gt;=2000),"00",AND(D3506&lt;=2019,D3506&gt;=2010),"10"),"1908-1970")</f>
        <v>80</v>
      </c>
      <c r="F3506" s="3">
        <v>0.35416666666666669</v>
      </c>
      <c r="G3506" t="s">
        <v>16116</v>
      </c>
      <c r="H3506" t="s">
        <v>20730</v>
      </c>
      <c r="I3506" t="s">
        <v>28931</v>
      </c>
      <c r="J3506" t="s">
        <v>15944</v>
      </c>
      <c r="K3506" t="s">
        <v>12968</v>
      </c>
      <c r="L3506" s="7" t="s">
        <v>20731</v>
      </c>
      <c r="M3506">
        <v>10173</v>
      </c>
      <c r="N3506">
        <v>34</v>
      </c>
      <c r="O3506">
        <v>31</v>
      </c>
      <c r="P3506">
        <v>3</v>
      </c>
      <c r="Q3506">
        <v>34</v>
      </c>
      <c r="R3506">
        <v>31</v>
      </c>
      <c r="S3506">
        <v>3</v>
      </c>
      <c r="T3506">
        <v>0</v>
      </c>
      <c r="U3506" t="s">
        <v>20732</v>
      </c>
      <c r="V3506">
        <f>Tabla1[[#This Row],[Aboard]]-Tabla1[[#This Row],[Fatalities]]</f>
        <v>0</v>
      </c>
      <c r="W3506" s="50">
        <f>IFERROR(Tabla1[[#This Row],[Fatalities]]/Tabla1[[#This Row],[Aboard]],0)</f>
        <v>1</v>
      </c>
      <c r="X3506" s="51" t="str" cm="1">
        <f t="array" ref="X3506">_xlfn.IFS(Tabla1[[#This Row],[Porcentaje de muertes]]&lt;0.35,"LEVE",AND(Tabla1[[#This Row],[Porcentaje de muertes]]&gt;0.35,Tabla1[[#This Row],[Porcentaje de muertes]]&lt;0.65),"MEDIO",Tabla1[[#This Row],[Porcentaje de muertes]]&gt;0.65,"GRAVE")</f>
        <v>GRAVE</v>
      </c>
    </row>
    <row r="3507" spans="2:24" x14ac:dyDescent="0.3">
      <c r="B3507" s="9">
        <v>3506</v>
      </c>
      <c r="C3507" s="49">
        <v>32441</v>
      </c>
      <c r="D3507" s="9">
        <f>YEAR(Tabla1[[#This Row],[Date]])</f>
        <v>1988</v>
      </c>
      <c r="E3507" s="9" t="str" cm="1">
        <f t="array" ref="E3507">IFERROR(_xlfn.IFS(AND(D3507&lt;1980,D3507&gt;=1970),"70",AND(D3507&lt;1990,D3507&gt;=1980),"80",AND(D3507&lt;2000,D3507&gt;=1990),"90",AND(D3507&lt;2010,D3507&gt;=2000),"00",AND(D3507&lt;=2019,D3507&gt;=2010),"10"),"1908-1970")</f>
        <v>80</v>
      </c>
      <c r="F3507" s="3">
        <v>0.45347222222222222</v>
      </c>
      <c r="G3507" t="s">
        <v>20733</v>
      </c>
      <c r="H3507" t="s">
        <v>20734</v>
      </c>
      <c r="I3507" t="s">
        <v>28931</v>
      </c>
      <c r="J3507" t="s">
        <v>20735</v>
      </c>
      <c r="K3507" t="s">
        <v>16685</v>
      </c>
      <c r="L3507" s="7" t="s">
        <v>20736</v>
      </c>
      <c r="M3507">
        <v>11059</v>
      </c>
      <c r="N3507">
        <v>69</v>
      </c>
      <c r="O3507">
        <v>65</v>
      </c>
      <c r="P3507">
        <v>4</v>
      </c>
      <c r="Q3507">
        <v>12</v>
      </c>
      <c r="R3507">
        <v>11</v>
      </c>
      <c r="S3507">
        <v>1</v>
      </c>
      <c r="T3507">
        <v>0</v>
      </c>
      <c r="U3507" t="s">
        <v>20737</v>
      </c>
      <c r="V3507">
        <f>Tabla1[[#This Row],[Aboard]]-Tabla1[[#This Row],[Fatalities]]</f>
        <v>57</v>
      </c>
      <c r="W3507" s="50">
        <f>IFERROR(Tabla1[[#This Row],[Fatalities]]/Tabla1[[#This Row],[Aboard]],0)</f>
        <v>0.17391304347826086</v>
      </c>
      <c r="X3507" s="51" t="str" cm="1">
        <f t="array" ref="X3507">_xlfn.IFS(Tabla1[[#This Row],[Porcentaje de muertes]]&lt;0.35,"LEVE",AND(Tabla1[[#This Row],[Porcentaje de muertes]]&gt;0.35,Tabla1[[#This Row],[Porcentaje de muertes]]&lt;0.65),"MEDIO",Tabla1[[#This Row],[Porcentaje de muertes]]&gt;0.65,"GRAVE")</f>
        <v>LEVE</v>
      </c>
    </row>
    <row r="3508" spans="2:24" x14ac:dyDescent="0.3">
      <c r="B3508" s="9">
        <v>3507</v>
      </c>
      <c r="C3508" s="49">
        <v>32184</v>
      </c>
      <c r="D3508" s="9">
        <f>YEAR(Tabla1[[#This Row],[Date]])</f>
        <v>1988</v>
      </c>
      <c r="E3508" s="9" t="str" cm="1">
        <f t="array" ref="E3508">IFERROR(_xlfn.IFS(AND(D3508&lt;1980,D3508&gt;=1970),"70",AND(D3508&lt;1990,D3508&gt;=1980),"80",AND(D3508&lt;2000,D3508&gt;=1990),"90",AND(D3508&lt;2010,D3508&gt;=2000),"00",AND(D3508&lt;=2019,D3508&gt;=2010),"10"),"1908-1970")</f>
        <v>80</v>
      </c>
      <c r="F3508" s="3" t="s">
        <v>28931</v>
      </c>
      <c r="G3508" t="s">
        <v>20738</v>
      </c>
      <c r="H3508" t="s">
        <v>7237</v>
      </c>
      <c r="I3508">
        <v>703</v>
      </c>
      <c r="J3508" t="s">
        <v>20739</v>
      </c>
      <c r="K3508" t="s">
        <v>14666</v>
      </c>
      <c r="L3508" s="7" t="s">
        <v>20740</v>
      </c>
      <c r="M3508">
        <v>67302209</v>
      </c>
      <c r="N3508">
        <v>29</v>
      </c>
      <c r="O3508">
        <v>25</v>
      </c>
      <c r="P3508">
        <v>4</v>
      </c>
      <c r="Q3508">
        <v>1</v>
      </c>
      <c r="R3508">
        <v>1</v>
      </c>
      <c r="S3508">
        <v>0</v>
      </c>
      <c r="T3508">
        <v>0</v>
      </c>
      <c r="U3508" t="s">
        <v>20741</v>
      </c>
      <c r="V3508">
        <f>Tabla1[[#This Row],[Aboard]]-Tabla1[[#This Row],[Fatalities]]</f>
        <v>28</v>
      </c>
      <c r="W3508" s="50">
        <f>IFERROR(Tabla1[[#This Row],[Fatalities]]/Tabla1[[#This Row],[Aboard]],0)</f>
        <v>3.4482758620689655E-2</v>
      </c>
      <c r="X3508" s="51" t="str" cm="1">
        <f t="array" ref="X3508">_xlfn.IFS(Tabla1[[#This Row],[Porcentaje de muertes]]&lt;0.35,"LEVE",AND(Tabla1[[#This Row],[Porcentaje de muertes]]&gt;0.35,Tabla1[[#This Row],[Porcentaje de muertes]]&lt;0.65),"MEDIO",Tabla1[[#This Row],[Porcentaje de muertes]]&gt;0.65,"GRAVE")</f>
        <v>LEVE</v>
      </c>
    </row>
    <row r="3509" spans="2:24" x14ac:dyDescent="0.3">
      <c r="B3509" s="9">
        <v>3508</v>
      </c>
      <c r="C3509" s="49">
        <v>32461</v>
      </c>
      <c r="D3509" s="9">
        <f>YEAR(Tabla1[[#This Row],[Date]])</f>
        <v>1988</v>
      </c>
      <c r="E3509" s="9" t="str" cm="1">
        <f t="array" ref="E3509">IFERROR(_xlfn.IFS(AND(D3509&lt;1980,D3509&gt;=1970),"70",AND(D3509&lt;1990,D3509&gt;=1980),"80",AND(D3509&lt;2000,D3509&gt;=1990),"90",AND(D3509&lt;2010,D3509&gt;=2000),"00",AND(D3509&lt;=2019,D3509&gt;=2010),"10"),"1908-1970")</f>
        <v>80</v>
      </c>
      <c r="F3509" s="3">
        <v>0.30138888888888887</v>
      </c>
      <c r="G3509" t="s">
        <v>20742</v>
      </c>
      <c r="H3509" t="s">
        <v>20743</v>
      </c>
      <c r="I3509" t="s">
        <v>28931</v>
      </c>
      <c r="J3509" t="s">
        <v>20744</v>
      </c>
      <c r="K3509" t="s">
        <v>18953</v>
      </c>
      <c r="L3509" s="7" t="s">
        <v>20745</v>
      </c>
      <c r="M3509">
        <v>110226</v>
      </c>
      <c r="N3509">
        <v>12</v>
      </c>
      <c r="O3509">
        <v>10</v>
      </c>
      <c r="P3509">
        <v>2</v>
      </c>
      <c r="Q3509">
        <v>6</v>
      </c>
      <c r="R3509">
        <v>4</v>
      </c>
      <c r="S3509">
        <v>2</v>
      </c>
      <c r="T3509">
        <v>0</v>
      </c>
      <c r="U3509" t="s">
        <v>20746</v>
      </c>
      <c r="V3509">
        <f>Tabla1[[#This Row],[Aboard]]-Tabla1[[#This Row],[Fatalities]]</f>
        <v>6</v>
      </c>
      <c r="W3509" s="50">
        <f>IFERROR(Tabla1[[#This Row],[Fatalities]]/Tabla1[[#This Row],[Aboard]],0)</f>
        <v>0.5</v>
      </c>
      <c r="X3509" s="51" t="str" cm="1">
        <f t="array" ref="X3509">_xlfn.IFS(Tabla1[[#This Row],[Porcentaje de muertes]]&lt;0.35,"LEVE",AND(Tabla1[[#This Row],[Porcentaje de muertes]]&gt;0.35,Tabla1[[#This Row],[Porcentaje de muertes]]&lt;0.65),"MEDIO",Tabla1[[#This Row],[Porcentaje de muertes]]&gt;0.65,"GRAVE")</f>
        <v>MEDIO</v>
      </c>
    </row>
    <row r="3510" spans="2:24" x14ac:dyDescent="0.3">
      <c r="B3510" s="9">
        <v>3509</v>
      </c>
      <c r="C3510" s="49">
        <v>32465</v>
      </c>
      <c r="D3510" s="9">
        <f>YEAR(Tabla1[[#This Row],[Date]])</f>
        <v>1988</v>
      </c>
      <c r="E3510" s="9" t="str" cm="1">
        <f t="array" ref="E3510">IFERROR(_xlfn.IFS(AND(D3510&lt;1980,D3510&gt;=1970),"70",AND(D3510&lt;1990,D3510&gt;=1980),"80",AND(D3510&lt;2000,D3510&gt;=1990),"90",AND(D3510&lt;2010,D3510&gt;=2000),"00",AND(D3510&lt;=2019,D3510&gt;=2010),"10"),"1908-1970")</f>
        <v>80</v>
      </c>
      <c r="F3510" s="3">
        <v>0.27083333333333331</v>
      </c>
      <c r="G3510" t="s">
        <v>20747</v>
      </c>
      <c r="H3510" t="s">
        <v>20474</v>
      </c>
      <c r="I3510">
        <v>440</v>
      </c>
      <c r="J3510" t="s">
        <v>20748</v>
      </c>
      <c r="K3510" t="s">
        <v>20749</v>
      </c>
      <c r="L3510" s="7" t="s">
        <v>20750</v>
      </c>
      <c r="M3510" t="s">
        <v>20751</v>
      </c>
      <c r="N3510">
        <v>4</v>
      </c>
      <c r="O3510">
        <v>2</v>
      </c>
      <c r="P3510">
        <v>2</v>
      </c>
      <c r="Q3510">
        <v>4</v>
      </c>
      <c r="R3510">
        <v>2</v>
      </c>
      <c r="S3510">
        <v>2</v>
      </c>
      <c r="T3510">
        <v>0</v>
      </c>
      <c r="U3510" t="s">
        <v>20752</v>
      </c>
      <c r="V3510">
        <f>Tabla1[[#This Row],[Aboard]]-Tabla1[[#This Row],[Fatalities]]</f>
        <v>0</v>
      </c>
      <c r="W3510" s="50">
        <f>IFERROR(Tabla1[[#This Row],[Fatalities]]/Tabla1[[#This Row],[Aboard]],0)</f>
        <v>1</v>
      </c>
      <c r="X3510" s="51" t="str" cm="1">
        <f t="array" ref="X3510">_xlfn.IFS(Tabla1[[#This Row],[Porcentaje de muertes]]&lt;0.35,"LEVE",AND(Tabla1[[#This Row],[Porcentaje de muertes]]&gt;0.35,Tabla1[[#This Row],[Porcentaje de muertes]]&lt;0.65),"MEDIO",Tabla1[[#This Row],[Porcentaje de muertes]]&gt;0.65,"GRAVE")</f>
        <v>GRAVE</v>
      </c>
    </row>
    <row r="3511" spans="2:24" x14ac:dyDescent="0.3">
      <c r="B3511" s="9">
        <v>3510</v>
      </c>
      <c r="C3511" s="49">
        <v>32477</v>
      </c>
      <c r="D3511" s="9">
        <f>YEAR(Tabla1[[#This Row],[Date]])</f>
        <v>1988</v>
      </c>
      <c r="E3511" s="9" t="str" cm="1">
        <f t="array" ref="E3511">IFERROR(_xlfn.IFS(AND(D3511&lt;1980,D3511&gt;=1970),"70",AND(D3511&lt;1990,D3511&gt;=1980),"80",AND(D3511&lt;2000,D3511&gt;=1990),"90",AND(D3511&lt;2010,D3511&gt;=2000),"00",AND(D3511&lt;=2019,D3511&gt;=2010),"10"),"1908-1970")</f>
        <v>80</v>
      </c>
      <c r="F3511" s="3">
        <v>0.30555555555555552</v>
      </c>
      <c r="G3511" t="s">
        <v>20753</v>
      </c>
      <c r="H3511" t="s">
        <v>20754</v>
      </c>
      <c r="I3511" t="s">
        <v>28931</v>
      </c>
      <c r="J3511" t="s">
        <v>20755</v>
      </c>
      <c r="K3511" t="s">
        <v>16680</v>
      </c>
      <c r="L3511" s="7" t="s">
        <v>20756</v>
      </c>
      <c r="M3511">
        <v>670</v>
      </c>
      <c r="N3511">
        <v>14</v>
      </c>
      <c r="O3511">
        <v>12</v>
      </c>
      <c r="P3511">
        <v>2</v>
      </c>
      <c r="Q3511">
        <v>14</v>
      </c>
      <c r="R3511">
        <v>12</v>
      </c>
      <c r="S3511">
        <v>2</v>
      </c>
      <c r="T3511">
        <v>0</v>
      </c>
      <c r="U3511" t="s">
        <v>20757</v>
      </c>
      <c r="V3511">
        <f>Tabla1[[#This Row],[Aboard]]-Tabla1[[#This Row],[Fatalities]]</f>
        <v>0</v>
      </c>
      <c r="W3511" s="50">
        <f>IFERROR(Tabla1[[#This Row],[Fatalities]]/Tabla1[[#This Row],[Aboard]],0)</f>
        <v>1</v>
      </c>
      <c r="X3511" s="51" t="str" cm="1">
        <f t="array" ref="X3511">_xlfn.IFS(Tabla1[[#This Row],[Porcentaje de muertes]]&lt;0.35,"LEVE",AND(Tabla1[[#This Row],[Porcentaje de muertes]]&gt;0.35,Tabla1[[#This Row],[Porcentaje de muertes]]&lt;0.65),"MEDIO",Tabla1[[#This Row],[Porcentaje de muertes]]&gt;0.65,"GRAVE")</f>
        <v>GRAVE</v>
      </c>
    </row>
    <row r="3512" spans="2:24" x14ac:dyDescent="0.3">
      <c r="B3512" s="9">
        <v>3511</v>
      </c>
      <c r="C3512" s="49">
        <v>32336</v>
      </c>
      <c r="D3512" s="9">
        <f>YEAR(Tabla1[[#This Row],[Date]])</f>
        <v>1988</v>
      </c>
      <c r="E3512" s="9" t="str" cm="1">
        <f t="array" ref="E3512">IFERROR(_xlfn.IFS(AND(D3512&lt;1980,D3512&gt;=1970),"70",AND(D3512&lt;1990,D3512&gt;=1980),"80",AND(D3512&lt;2000,D3512&gt;=1990),"90",AND(D3512&lt;2010,D3512&gt;=2000),"00",AND(D3512&lt;=2019,D3512&gt;=2010),"10"),"1908-1970")</f>
        <v>80</v>
      </c>
      <c r="F3512" s="3">
        <v>0.81458333333333333</v>
      </c>
      <c r="G3512" t="s">
        <v>20758</v>
      </c>
      <c r="H3512" t="s">
        <v>6541</v>
      </c>
      <c r="I3512" t="s">
        <v>28931</v>
      </c>
      <c r="J3512" t="s">
        <v>20759</v>
      </c>
      <c r="K3512" t="s">
        <v>20760</v>
      </c>
      <c r="L3512" s="7" t="s">
        <v>20761</v>
      </c>
      <c r="M3512">
        <v>790323</v>
      </c>
      <c r="N3512">
        <v>14</v>
      </c>
      <c r="O3512">
        <v>12</v>
      </c>
      <c r="P3512">
        <v>2</v>
      </c>
      <c r="Q3512">
        <v>6</v>
      </c>
      <c r="R3512">
        <v>4</v>
      </c>
      <c r="S3512">
        <v>2</v>
      </c>
      <c r="T3512">
        <v>0</v>
      </c>
      <c r="U3512" t="s">
        <v>20762</v>
      </c>
      <c r="V3512">
        <f>Tabla1[[#This Row],[Aboard]]-Tabla1[[#This Row],[Fatalities]]</f>
        <v>8</v>
      </c>
      <c r="W3512" s="50">
        <f>IFERROR(Tabla1[[#This Row],[Fatalities]]/Tabla1[[#This Row],[Aboard]],0)</f>
        <v>0.42857142857142855</v>
      </c>
      <c r="X3512" s="51" t="str" cm="1">
        <f t="array" ref="X3512">_xlfn.IFS(Tabla1[[#This Row],[Porcentaje de muertes]]&lt;0.35,"LEVE",AND(Tabla1[[#This Row],[Porcentaje de muertes]]&gt;0.35,Tabla1[[#This Row],[Porcentaje de muertes]]&lt;0.65),"MEDIO",Tabla1[[#This Row],[Porcentaje de muertes]]&gt;0.65,"GRAVE")</f>
        <v>MEDIO</v>
      </c>
    </row>
    <row r="3513" spans="2:24" x14ac:dyDescent="0.3">
      <c r="B3513" s="9">
        <v>3512</v>
      </c>
      <c r="C3513" s="49">
        <v>32367</v>
      </c>
      <c r="D3513" s="9">
        <f>YEAR(Tabla1[[#This Row],[Date]])</f>
        <v>1988</v>
      </c>
      <c r="E3513" s="9" t="str" cm="1">
        <f t="array" ref="E3513">IFERROR(_xlfn.IFS(AND(D3513&lt;1980,D3513&gt;=1970),"70",AND(D3513&lt;1990,D3513&gt;=1980),"80",AND(D3513&lt;2000,D3513&gt;=1990),"90",AND(D3513&lt;2010,D3513&gt;=2000),"00",AND(D3513&lt;=2019,D3513&gt;=2010),"10"),"1908-1970")</f>
        <v>80</v>
      </c>
      <c r="F3513" s="3" t="s">
        <v>28931</v>
      </c>
      <c r="G3513" t="s">
        <v>20763</v>
      </c>
      <c r="H3513" t="s">
        <v>20764</v>
      </c>
      <c r="I3513" t="s">
        <v>28931</v>
      </c>
      <c r="J3513" t="s">
        <v>20765</v>
      </c>
      <c r="K3513" t="s">
        <v>13866</v>
      </c>
      <c r="L3513" s="7" t="s">
        <v>20766</v>
      </c>
      <c r="M3513" t="s">
        <v>20767</v>
      </c>
      <c r="N3513">
        <v>5</v>
      </c>
      <c r="O3513">
        <v>0</v>
      </c>
      <c r="P3513">
        <v>5</v>
      </c>
      <c r="Q3513">
        <v>5</v>
      </c>
      <c r="R3513">
        <v>0</v>
      </c>
      <c r="S3513">
        <v>5</v>
      </c>
      <c r="T3513">
        <v>0</v>
      </c>
      <c r="U3513" t="s">
        <v>20768</v>
      </c>
      <c r="V3513">
        <f>Tabla1[[#This Row],[Aboard]]-Tabla1[[#This Row],[Fatalities]]</f>
        <v>0</v>
      </c>
      <c r="W3513" s="50">
        <f>IFERROR(Tabla1[[#This Row],[Fatalities]]/Tabla1[[#This Row],[Aboard]],0)</f>
        <v>1</v>
      </c>
      <c r="X3513" s="51" t="str" cm="1">
        <f t="array" ref="X3513">_xlfn.IFS(Tabla1[[#This Row],[Porcentaje de muertes]]&lt;0.35,"LEVE",AND(Tabla1[[#This Row],[Porcentaje de muertes]]&gt;0.35,Tabla1[[#This Row],[Porcentaje de muertes]]&lt;0.65),"MEDIO",Tabla1[[#This Row],[Porcentaje de muertes]]&gt;0.65,"GRAVE")</f>
        <v>GRAVE</v>
      </c>
    </row>
    <row r="3514" spans="2:24" x14ac:dyDescent="0.3">
      <c r="B3514" s="9">
        <v>3513</v>
      </c>
      <c r="C3514" s="49">
        <v>32428</v>
      </c>
      <c r="D3514" s="9">
        <f>YEAR(Tabla1[[#This Row],[Date]])</f>
        <v>1988</v>
      </c>
      <c r="E3514" s="9" t="str" cm="1">
        <f t="array" ref="E3514">IFERROR(_xlfn.IFS(AND(D3514&lt;1980,D3514&gt;=1970),"70",AND(D3514&lt;1990,D3514&gt;=1980),"80",AND(D3514&lt;2000,D3514&gt;=1990),"90",AND(D3514&lt;2010,D3514&gt;=2000),"00",AND(D3514&lt;=2019,D3514&gt;=2010),"10"),"1908-1970")</f>
        <v>80</v>
      </c>
      <c r="F3514" s="3">
        <v>0.83333333333333337</v>
      </c>
      <c r="G3514" t="s">
        <v>19939</v>
      </c>
      <c r="H3514" t="s">
        <v>20220</v>
      </c>
      <c r="I3514" t="s">
        <v>28931</v>
      </c>
      <c r="J3514" t="s">
        <v>20769</v>
      </c>
      <c r="K3514" t="s">
        <v>20770</v>
      </c>
      <c r="L3514" s="7" t="s">
        <v>28931</v>
      </c>
      <c r="M3514" t="s">
        <v>28931</v>
      </c>
      <c r="N3514">
        <v>25</v>
      </c>
      <c r="O3514" t="s">
        <v>5038</v>
      </c>
      <c r="P3514" t="s">
        <v>5038</v>
      </c>
      <c r="Q3514">
        <v>25</v>
      </c>
      <c r="R3514" t="s">
        <v>5038</v>
      </c>
      <c r="S3514" t="s">
        <v>5038</v>
      </c>
      <c r="T3514">
        <v>0</v>
      </c>
      <c r="U3514" t="s">
        <v>20771</v>
      </c>
      <c r="V3514">
        <f>Tabla1[[#This Row],[Aboard]]-Tabla1[[#This Row],[Fatalities]]</f>
        <v>0</v>
      </c>
      <c r="W3514" s="50">
        <f>IFERROR(Tabla1[[#This Row],[Fatalities]]/Tabla1[[#This Row],[Aboard]],0)</f>
        <v>1</v>
      </c>
      <c r="X3514" s="51" t="str" cm="1">
        <f t="array" ref="X3514">_xlfn.IFS(Tabla1[[#This Row],[Porcentaje de muertes]]&lt;0.35,"LEVE",AND(Tabla1[[#This Row],[Porcentaje de muertes]]&gt;0.35,Tabla1[[#This Row],[Porcentaje de muertes]]&lt;0.65),"MEDIO",Tabla1[[#This Row],[Porcentaje de muertes]]&gt;0.65,"GRAVE")</f>
        <v>GRAVE</v>
      </c>
    </row>
    <row r="3515" spans="2:24" x14ac:dyDescent="0.3">
      <c r="B3515" s="9">
        <v>3514</v>
      </c>
      <c r="C3515" s="49">
        <v>32459</v>
      </c>
      <c r="D3515" s="9">
        <f>YEAR(Tabla1[[#This Row],[Date]])</f>
        <v>1988</v>
      </c>
      <c r="E3515" s="9" t="str" cm="1">
        <f t="array" ref="E3515">IFERROR(_xlfn.IFS(AND(D3515&lt;1980,D3515&gt;=1970),"70",AND(D3515&lt;1990,D3515&gt;=1980),"80",AND(D3515&lt;2000,D3515&gt;=1990),"90",AND(D3515&lt;2010,D3515&gt;=2000),"00",AND(D3515&lt;=2019,D3515&gt;=2010),"10"),"1908-1970")</f>
        <v>80</v>
      </c>
      <c r="F3515" s="3" t="s">
        <v>28931</v>
      </c>
      <c r="G3515" t="s">
        <v>20772</v>
      </c>
      <c r="H3515" t="s">
        <v>20773</v>
      </c>
      <c r="I3515" t="s">
        <v>28931</v>
      </c>
      <c r="J3515" t="s">
        <v>28931</v>
      </c>
      <c r="K3515" t="s">
        <v>20774</v>
      </c>
      <c r="L3515" s="7" t="s">
        <v>20775</v>
      </c>
      <c r="M3515">
        <v>83413388</v>
      </c>
      <c r="N3515">
        <v>83</v>
      </c>
      <c r="O3515">
        <v>74</v>
      </c>
      <c r="P3515">
        <v>9</v>
      </c>
      <c r="Q3515">
        <v>77</v>
      </c>
      <c r="R3515">
        <v>68</v>
      </c>
      <c r="S3515">
        <v>9</v>
      </c>
      <c r="T3515">
        <v>0</v>
      </c>
      <c r="U3515" t="s">
        <v>20776</v>
      </c>
      <c r="V3515">
        <f>Tabla1[[#This Row],[Aboard]]-Tabla1[[#This Row],[Fatalities]]</f>
        <v>6</v>
      </c>
      <c r="W3515" s="50">
        <f>IFERROR(Tabla1[[#This Row],[Fatalities]]/Tabla1[[#This Row],[Aboard]],0)</f>
        <v>0.92771084337349397</v>
      </c>
      <c r="X3515" s="51" t="str" cm="1">
        <f t="array" ref="X3515">_xlfn.IFS(Tabla1[[#This Row],[Porcentaje de muertes]]&lt;0.35,"LEVE",AND(Tabla1[[#This Row],[Porcentaje de muertes]]&gt;0.35,Tabla1[[#This Row],[Porcentaje de muertes]]&lt;0.65),"MEDIO",Tabla1[[#This Row],[Porcentaje de muertes]]&gt;0.65,"GRAVE")</f>
        <v>GRAVE</v>
      </c>
    </row>
    <row r="3516" spans="2:24" x14ac:dyDescent="0.3">
      <c r="B3516" s="9">
        <v>3515</v>
      </c>
      <c r="C3516" s="49">
        <v>32491</v>
      </c>
      <c r="D3516" s="9">
        <f>YEAR(Tabla1[[#This Row],[Date]])</f>
        <v>1988</v>
      </c>
      <c r="E3516" s="9" t="str" cm="1">
        <f t="array" ref="E3516">IFERROR(_xlfn.IFS(AND(D3516&lt;1980,D3516&gt;=1970),"70",AND(D3516&lt;1990,D3516&gt;=1980),"80",AND(D3516&lt;2000,D3516&gt;=1990),"90",AND(D3516&lt;2010,D3516&gt;=2000),"00",AND(D3516&lt;=2019,D3516&gt;=2010),"10"),"1908-1970")</f>
        <v>80</v>
      </c>
      <c r="F3516" s="3">
        <v>0.90972222222222221</v>
      </c>
      <c r="G3516" t="s">
        <v>20777</v>
      </c>
      <c r="H3516" t="s">
        <v>20778</v>
      </c>
      <c r="I3516" t="s">
        <v>28931</v>
      </c>
      <c r="J3516" t="s">
        <v>20779</v>
      </c>
      <c r="K3516" t="s">
        <v>15237</v>
      </c>
      <c r="L3516" s="7" t="s">
        <v>20780</v>
      </c>
      <c r="M3516" t="s">
        <v>20781</v>
      </c>
      <c r="N3516">
        <v>8</v>
      </c>
      <c r="O3516">
        <v>5</v>
      </c>
      <c r="P3516">
        <v>3</v>
      </c>
      <c r="Q3516">
        <v>8</v>
      </c>
      <c r="R3516">
        <v>5</v>
      </c>
      <c r="S3516">
        <v>3</v>
      </c>
      <c r="T3516">
        <v>5</v>
      </c>
      <c r="U3516" t="s">
        <v>20782</v>
      </c>
      <c r="V3516">
        <f>Tabla1[[#This Row],[Aboard]]-Tabla1[[#This Row],[Fatalities]]</f>
        <v>0</v>
      </c>
      <c r="W3516" s="50">
        <f>IFERROR(Tabla1[[#This Row],[Fatalities]]/Tabla1[[#This Row],[Aboard]],0)</f>
        <v>1</v>
      </c>
      <c r="X3516" s="51" t="str" cm="1">
        <f t="array" ref="X3516">_xlfn.IFS(Tabla1[[#This Row],[Porcentaje de muertes]]&lt;0.35,"LEVE",AND(Tabla1[[#This Row],[Porcentaje de muertes]]&gt;0.35,Tabla1[[#This Row],[Porcentaje de muertes]]&lt;0.65),"MEDIO",Tabla1[[#This Row],[Porcentaje de muertes]]&gt;0.65,"GRAVE")</f>
        <v>GRAVE</v>
      </c>
    </row>
    <row r="3517" spans="2:24" x14ac:dyDescent="0.3">
      <c r="B3517" s="9">
        <v>3516</v>
      </c>
      <c r="C3517" s="49">
        <v>32498</v>
      </c>
      <c r="D3517" s="9">
        <f>YEAR(Tabla1[[#This Row],[Date]])</f>
        <v>1988</v>
      </c>
      <c r="E3517" s="9" t="str" cm="1">
        <f t="array" ref="E3517">IFERROR(_xlfn.IFS(AND(D3517&lt;1980,D3517&gt;=1970),"70",AND(D3517&lt;1990,D3517&gt;=1980),"80",AND(D3517&lt;2000,D3517&gt;=1990),"90",AND(D3517&lt;2010,D3517&gt;=2000),"00",AND(D3517&lt;=2019,D3517&gt;=2010),"10"),"1908-1970")</f>
        <v>80</v>
      </c>
      <c r="F3517" s="3">
        <v>0.79375000000000007</v>
      </c>
      <c r="G3517" t="s">
        <v>20783</v>
      </c>
      <c r="H3517" t="s">
        <v>7121</v>
      </c>
      <c r="I3517">
        <v>103</v>
      </c>
      <c r="J3517" t="s">
        <v>20784</v>
      </c>
      <c r="K3517" t="s">
        <v>20785</v>
      </c>
      <c r="L3517" s="7" t="s">
        <v>20786</v>
      </c>
      <c r="M3517" t="s">
        <v>20787</v>
      </c>
      <c r="N3517">
        <v>259</v>
      </c>
      <c r="O3517">
        <v>243</v>
      </c>
      <c r="P3517">
        <v>16</v>
      </c>
      <c r="Q3517">
        <v>259</v>
      </c>
      <c r="R3517">
        <v>243</v>
      </c>
      <c r="S3517">
        <v>16</v>
      </c>
      <c r="T3517">
        <v>11</v>
      </c>
      <c r="U3517" t="s">
        <v>20788</v>
      </c>
      <c r="V3517">
        <f>Tabla1[[#This Row],[Aboard]]-Tabla1[[#This Row],[Fatalities]]</f>
        <v>0</v>
      </c>
      <c r="W3517" s="50">
        <f>IFERROR(Tabla1[[#This Row],[Fatalities]]/Tabla1[[#This Row],[Aboard]],0)</f>
        <v>1</v>
      </c>
      <c r="X3517" s="51" t="str" cm="1">
        <f t="array" ref="X3517">_xlfn.IFS(Tabla1[[#This Row],[Porcentaje de muertes]]&lt;0.35,"LEVE",AND(Tabla1[[#This Row],[Porcentaje de muertes]]&gt;0.35,Tabla1[[#This Row],[Porcentaje de muertes]]&lt;0.65),"MEDIO",Tabla1[[#This Row],[Porcentaje de muertes]]&gt;0.65,"GRAVE")</f>
        <v>GRAVE</v>
      </c>
    </row>
    <row r="3518" spans="2:24" x14ac:dyDescent="0.3">
      <c r="B3518" s="9">
        <v>3517</v>
      </c>
      <c r="C3518" s="49">
        <v>32721</v>
      </c>
      <c r="D3518" s="9">
        <f>YEAR(Tabla1[[#This Row],[Date]])</f>
        <v>1989</v>
      </c>
      <c r="E3518" s="9" t="str" cm="1">
        <f t="array" ref="E3518">IFERROR(_xlfn.IFS(AND(D3518&lt;1980,D3518&gt;=1970),"70",AND(D3518&lt;1990,D3518&gt;=1980),"80",AND(D3518&lt;2000,D3518&gt;=1990),"90",AND(D3518&lt;2010,D3518&gt;=2000),"00",AND(D3518&lt;=2019,D3518&gt;=2010),"10"),"1908-1970")</f>
        <v>80</v>
      </c>
      <c r="F3518" s="3">
        <v>0.85069444444444453</v>
      </c>
      <c r="G3518" t="s">
        <v>20789</v>
      </c>
      <c r="H3518" t="s">
        <v>14959</v>
      </c>
      <c r="I3518">
        <v>92</v>
      </c>
      <c r="J3518" t="s">
        <v>12160</v>
      </c>
      <c r="K3518" t="s">
        <v>20790</v>
      </c>
      <c r="L3518" s="7" t="s">
        <v>20791</v>
      </c>
      <c r="M3518" t="s">
        <v>20792</v>
      </c>
      <c r="N3518">
        <v>126</v>
      </c>
      <c r="O3518">
        <v>118</v>
      </c>
      <c r="P3518">
        <v>8</v>
      </c>
      <c r="Q3518">
        <v>47</v>
      </c>
      <c r="R3518">
        <v>47</v>
      </c>
      <c r="S3518">
        <v>0</v>
      </c>
      <c r="T3518">
        <v>0</v>
      </c>
      <c r="U3518" t="s">
        <v>20793</v>
      </c>
      <c r="V3518">
        <f>Tabla1[[#This Row],[Aboard]]-Tabla1[[#This Row],[Fatalities]]</f>
        <v>79</v>
      </c>
      <c r="W3518" s="50">
        <f>IFERROR(Tabla1[[#This Row],[Fatalities]]/Tabla1[[#This Row],[Aboard]],0)</f>
        <v>0.37301587301587302</v>
      </c>
      <c r="X3518" s="51" t="str" cm="1">
        <f t="array" ref="X3518">_xlfn.IFS(Tabla1[[#This Row],[Porcentaje de muertes]]&lt;0.35,"LEVE",AND(Tabla1[[#This Row],[Porcentaje de muertes]]&gt;0.35,Tabla1[[#This Row],[Porcentaje de muertes]]&lt;0.65),"MEDIO",Tabla1[[#This Row],[Porcentaje de muertes]]&gt;0.65,"GRAVE")</f>
        <v>MEDIO</v>
      </c>
    </row>
    <row r="3519" spans="2:24" x14ac:dyDescent="0.3">
      <c r="B3519" s="9">
        <v>3518</v>
      </c>
      <c r="C3519" s="49">
        <v>32539</v>
      </c>
      <c r="D3519" s="9">
        <f>YEAR(Tabla1[[#This Row],[Date]])</f>
        <v>1989</v>
      </c>
      <c r="E3519" s="9" t="str" cm="1">
        <f t="array" ref="E3519">IFERROR(_xlfn.IFS(AND(D3519&lt;1980,D3519&gt;=1970),"70",AND(D3519&lt;1990,D3519&gt;=1980),"80",AND(D3519&lt;2000,D3519&gt;=1990),"90",AND(D3519&lt;2010,D3519&gt;=2000),"00",AND(D3519&lt;=2019,D3519&gt;=2010),"10"),"1908-1970")</f>
        <v>80</v>
      </c>
      <c r="F3519" s="3">
        <v>0.50694444444444442</v>
      </c>
      <c r="G3519" t="s">
        <v>20794</v>
      </c>
      <c r="H3519" t="s">
        <v>7987</v>
      </c>
      <c r="I3519" t="s">
        <v>28931</v>
      </c>
      <c r="J3519" t="s">
        <v>20795</v>
      </c>
      <c r="K3519" t="s">
        <v>12399</v>
      </c>
      <c r="L3519" s="7" t="s">
        <v>20796</v>
      </c>
      <c r="M3519" t="s">
        <v>20797</v>
      </c>
      <c r="N3519">
        <v>19</v>
      </c>
      <c r="O3519">
        <v>12</v>
      </c>
      <c r="P3519">
        <v>7</v>
      </c>
      <c r="Q3519">
        <v>19</v>
      </c>
      <c r="R3519">
        <v>12</v>
      </c>
      <c r="S3519">
        <v>7</v>
      </c>
      <c r="T3519">
        <v>0</v>
      </c>
      <c r="U3519" t="s">
        <v>20798</v>
      </c>
      <c r="V3519">
        <f>Tabla1[[#This Row],[Aboard]]-Tabla1[[#This Row],[Fatalities]]</f>
        <v>0</v>
      </c>
      <c r="W3519" s="50">
        <f>IFERROR(Tabla1[[#This Row],[Fatalities]]/Tabla1[[#This Row],[Aboard]],0)</f>
        <v>1</v>
      </c>
      <c r="X3519" s="51" t="str" cm="1">
        <f t="array" ref="X3519">_xlfn.IFS(Tabla1[[#This Row],[Porcentaje de muertes]]&lt;0.35,"LEVE",AND(Tabla1[[#This Row],[Porcentaje de muertes]]&gt;0.35,Tabla1[[#This Row],[Porcentaje de muertes]]&lt;0.65),"MEDIO",Tabla1[[#This Row],[Porcentaje de muertes]]&gt;0.65,"GRAVE")</f>
        <v>GRAVE</v>
      </c>
    </row>
    <row r="3520" spans="2:24" x14ac:dyDescent="0.3">
      <c r="B3520" s="9">
        <v>3519</v>
      </c>
      <c r="C3520" s="49">
        <v>32569</v>
      </c>
      <c r="D3520" s="9">
        <f>YEAR(Tabla1[[#This Row],[Date]])</f>
        <v>1989</v>
      </c>
      <c r="E3520" s="9" t="str" cm="1">
        <f t="array" ref="E3520">IFERROR(_xlfn.IFS(AND(D3520&lt;1980,D3520&gt;=1970),"70",AND(D3520&lt;1990,D3520&gt;=1980),"80",AND(D3520&lt;2000,D3520&gt;=1990),"90",AND(D3520&lt;2010,D3520&gt;=2000),"00",AND(D3520&lt;=2019,D3520&gt;=2010),"10"),"1908-1970")</f>
        <v>80</v>
      </c>
      <c r="F3520" s="3">
        <v>0.32013888888888892</v>
      </c>
      <c r="G3520" t="s">
        <v>20799</v>
      </c>
      <c r="H3520" t="s">
        <v>16549</v>
      </c>
      <c r="I3520" t="s">
        <v>28931</v>
      </c>
      <c r="J3520" t="s">
        <v>20800</v>
      </c>
      <c r="K3520" t="s">
        <v>15526</v>
      </c>
      <c r="L3520" s="7" t="s">
        <v>20801</v>
      </c>
      <c r="M3520">
        <v>10325</v>
      </c>
      <c r="N3520">
        <v>29</v>
      </c>
      <c r="O3520">
        <v>25</v>
      </c>
      <c r="P3520">
        <v>4</v>
      </c>
      <c r="Q3520">
        <v>26</v>
      </c>
      <c r="R3520">
        <v>23</v>
      </c>
      <c r="S3520">
        <v>3</v>
      </c>
      <c r="T3520">
        <v>0</v>
      </c>
      <c r="U3520" t="s">
        <v>20802</v>
      </c>
      <c r="V3520">
        <f>Tabla1[[#This Row],[Aboard]]-Tabla1[[#This Row],[Fatalities]]</f>
        <v>3</v>
      </c>
      <c r="W3520" s="50">
        <f>IFERROR(Tabla1[[#This Row],[Fatalities]]/Tabla1[[#This Row],[Aboard]],0)</f>
        <v>0.89655172413793105</v>
      </c>
      <c r="X3520" s="51" t="str" cm="1">
        <f t="array" ref="X3520">_xlfn.IFS(Tabla1[[#This Row],[Porcentaje de muertes]]&lt;0.35,"LEVE",AND(Tabla1[[#This Row],[Porcentaje de muertes]]&gt;0.35,Tabla1[[#This Row],[Porcentaje de muertes]]&lt;0.65),"MEDIO",Tabla1[[#This Row],[Porcentaje de muertes]]&gt;0.65,"GRAVE")</f>
        <v>GRAVE</v>
      </c>
    </row>
    <row r="3521" spans="2:24" x14ac:dyDescent="0.3">
      <c r="B3521" s="9">
        <v>3520</v>
      </c>
      <c r="C3521" s="49">
        <v>32661</v>
      </c>
      <c r="D3521" s="9">
        <f>YEAR(Tabla1[[#This Row],[Date]])</f>
        <v>1989</v>
      </c>
      <c r="E3521" s="9" t="str" cm="1">
        <f t="array" ref="E3521">IFERROR(_xlfn.IFS(AND(D3521&lt;1980,D3521&gt;=1970),"70",AND(D3521&lt;1990,D3521&gt;=1980),"80",AND(D3521&lt;2000,D3521&gt;=1990),"90",AND(D3521&lt;2010,D3521&gt;=2000),"00",AND(D3521&lt;=2019,D3521&gt;=2010),"10"),"1908-1970")</f>
        <v>80</v>
      </c>
      <c r="F3521" s="3">
        <v>0.76736111111111116</v>
      </c>
      <c r="G3521" t="s">
        <v>7147</v>
      </c>
      <c r="H3521" t="s">
        <v>20803</v>
      </c>
      <c r="I3521">
        <v>3132</v>
      </c>
      <c r="J3521" t="s">
        <v>20804</v>
      </c>
      <c r="K3521" t="s">
        <v>20805</v>
      </c>
      <c r="L3521" s="7" t="s">
        <v>20806</v>
      </c>
      <c r="M3521">
        <v>730</v>
      </c>
      <c r="N3521">
        <v>3</v>
      </c>
      <c r="O3521">
        <v>0</v>
      </c>
      <c r="P3521">
        <v>3</v>
      </c>
      <c r="Q3521">
        <v>3</v>
      </c>
      <c r="R3521">
        <v>0</v>
      </c>
      <c r="S3521">
        <v>3</v>
      </c>
      <c r="T3521">
        <v>0</v>
      </c>
      <c r="U3521" t="s">
        <v>20807</v>
      </c>
      <c r="V3521">
        <f>Tabla1[[#This Row],[Aboard]]-Tabla1[[#This Row],[Fatalities]]</f>
        <v>0</v>
      </c>
      <c r="W3521" s="50">
        <f>IFERROR(Tabla1[[#This Row],[Fatalities]]/Tabla1[[#This Row],[Aboard]],0)</f>
        <v>1</v>
      </c>
      <c r="X3521" s="51" t="str" cm="1">
        <f t="array" ref="X3521">_xlfn.IFS(Tabla1[[#This Row],[Porcentaje de muertes]]&lt;0.35,"LEVE",AND(Tabla1[[#This Row],[Porcentaje de muertes]]&gt;0.35,Tabla1[[#This Row],[Porcentaje de muertes]]&lt;0.65),"MEDIO",Tabla1[[#This Row],[Porcentaje de muertes]]&gt;0.65,"GRAVE")</f>
        <v>GRAVE</v>
      </c>
    </row>
    <row r="3522" spans="2:24" x14ac:dyDescent="0.3">
      <c r="B3522" s="9">
        <v>3521</v>
      </c>
      <c r="C3522" s="49">
        <v>32722</v>
      </c>
      <c r="D3522" s="9">
        <f>YEAR(Tabla1[[#This Row],[Date]])</f>
        <v>1989</v>
      </c>
      <c r="E3522" s="9" t="str" cm="1">
        <f t="array" ref="E3522">IFERROR(_xlfn.IFS(AND(D3522&lt;1980,D3522&gt;=1970),"70",AND(D3522&lt;1990,D3522&gt;=1980),"80",AND(D3522&lt;2000,D3522&gt;=1990),"90",AND(D3522&lt;2010,D3522&gt;=2000),"00",AND(D3522&lt;=2019,D3522&gt;=2010),"10"),"1908-1970")</f>
        <v>80</v>
      </c>
      <c r="F3522" s="3">
        <v>0.58888888888888891</v>
      </c>
      <c r="G3522" t="s">
        <v>20808</v>
      </c>
      <c r="H3522" t="s">
        <v>20809</v>
      </c>
      <c r="I3522">
        <v>1851</v>
      </c>
      <c r="J3522" t="s">
        <v>20810</v>
      </c>
      <c r="K3522" t="s">
        <v>16904</v>
      </c>
      <c r="L3522" s="7" t="s">
        <v>20811</v>
      </c>
      <c r="M3522" t="s">
        <v>20812</v>
      </c>
      <c r="N3522">
        <v>144</v>
      </c>
      <c r="O3522">
        <v>137</v>
      </c>
      <c r="P3522">
        <v>7</v>
      </c>
      <c r="Q3522">
        <v>144</v>
      </c>
      <c r="R3522">
        <v>137</v>
      </c>
      <c r="S3522">
        <v>7</v>
      </c>
      <c r="T3522">
        <v>0</v>
      </c>
      <c r="U3522" t="s">
        <v>20813</v>
      </c>
      <c r="V3522">
        <f>Tabla1[[#This Row],[Aboard]]-Tabla1[[#This Row],[Fatalities]]</f>
        <v>0</v>
      </c>
      <c r="W3522" s="50">
        <f>IFERROR(Tabla1[[#This Row],[Fatalities]]/Tabla1[[#This Row],[Aboard]],0)</f>
        <v>1</v>
      </c>
      <c r="X3522" s="51" t="str" cm="1">
        <f t="array" ref="X3522">_xlfn.IFS(Tabla1[[#This Row],[Porcentaje de muertes]]&lt;0.35,"LEVE",AND(Tabla1[[#This Row],[Porcentaje de muertes]]&gt;0.35,Tabla1[[#This Row],[Porcentaje de muertes]]&lt;0.65),"MEDIO",Tabla1[[#This Row],[Porcentaje de muertes]]&gt;0.65,"GRAVE")</f>
        <v>GRAVE</v>
      </c>
    </row>
    <row r="3523" spans="2:24" x14ac:dyDescent="0.3">
      <c r="B3523" s="9">
        <v>3522</v>
      </c>
      <c r="C3523" s="49">
        <v>32558</v>
      </c>
      <c r="D3523" s="9">
        <f>YEAR(Tabla1[[#This Row],[Date]])</f>
        <v>1989</v>
      </c>
      <c r="E3523" s="9" t="str" cm="1">
        <f t="array" ref="E3523">IFERROR(_xlfn.IFS(AND(D3523&lt;1980,D3523&gt;=1970),"70",AND(D3523&lt;1990,D3523&gt;=1980),"80",AND(D3523&lt;2000,D3523&gt;=1990),"90",AND(D3523&lt;2010,D3523&gt;=2000),"00",AND(D3523&lt;=2019,D3523&gt;=2010),"10"),"1908-1970")</f>
        <v>80</v>
      </c>
      <c r="F3523" s="3">
        <v>0.27499999999999997</v>
      </c>
      <c r="G3523" t="s">
        <v>20814</v>
      </c>
      <c r="H3523" t="s">
        <v>10878</v>
      </c>
      <c r="I3523">
        <v>66</v>
      </c>
      <c r="J3523" t="s">
        <v>20815</v>
      </c>
      <c r="K3523" t="s">
        <v>20816</v>
      </c>
      <c r="L3523" s="7" t="s">
        <v>20817</v>
      </c>
      <c r="M3523" t="s">
        <v>20818</v>
      </c>
      <c r="N3523">
        <v>4</v>
      </c>
      <c r="O3523">
        <v>0</v>
      </c>
      <c r="P3523">
        <v>4</v>
      </c>
      <c r="Q3523">
        <v>4</v>
      </c>
      <c r="R3523">
        <v>0</v>
      </c>
      <c r="S3523">
        <v>4</v>
      </c>
      <c r="T3523">
        <v>0</v>
      </c>
      <c r="U3523" t="s">
        <v>20819</v>
      </c>
      <c r="V3523">
        <f>Tabla1[[#This Row],[Aboard]]-Tabla1[[#This Row],[Fatalities]]</f>
        <v>0</v>
      </c>
      <c r="W3523" s="50">
        <f>IFERROR(Tabla1[[#This Row],[Fatalities]]/Tabla1[[#This Row],[Aboard]],0)</f>
        <v>1</v>
      </c>
      <c r="X3523" s="51" t="str" cm="1">
        <f t="array" ref="X3523">_xlfn.IFS(Tabla1[[#This Row],[Porcentaje de muertes]]&lt;0.35,"LEVE",AND(Tabla1[[#This Row],[Porcentaje de muertes]]&gt;0.35,Tabla1[[#This Row],[Porcentaje de muertes]]&lt;0.65),"MEDIO",Tabla1[[#This Row],[Porcentaje de muertes]]&gt;0.65,"GRAVE")</f>
        <v>GRAVE</v>
      </c>
    </row>
    <row r="3524" spans="2:24" x14ac:dyDescent="0.3">
      <c r="B3524" s="9">
        <v>3523</v>
      </c>
      <c r="C3524" s="49">
        <v>32563</v>
      </c>
      <c r="D3524" s="9">
        <f>YEAR(Tabla1[[#This Row],[Date]])</f>
        <v>1989</v>
      </c>
      <c r="E3524" s="9" t="str" cm="1">
        <f t="array" ref="E3524">IFERROR(_xlfn.IFS(AND(D3524&lt;1980,D3524&gt;=1970),"70",AND(D3524&lt;1990,D3524&gt;=1980),"80",AND(D3524&lt;2000,D3524&gt;=1990),"90",AND(D3524&lt;2010,D3524&gt;=2000),"00",AND(D3524&lt;=2019,D3524&gt;=2010),"10"),"1908-1970")</f>
        <v>80</v>
      </c>
      <c r="F3524" s="3">
        <v>8.9583333333333334E-2</v>
      </c>
      <c r="G3524" t="s">
        <v>13605</v>
      </c>
      <c r="H3524" t="s">
        <v>6369</v>
      </c>
      <c r="I3524">
        <v>811</v>
      </c>
      <c r="J3524" t="s">
        <v>20820</v>
      </c>
      <c r="K3524" t="s">
        <v>20821</v>
      </c>
      <c r="L3524" s="7" t="s">
        <v>20822</v>
      </c>
      <c r="M3524" t="s">
        <v>20823</v>
      </c>
      <c r="N3524">
        <v>356</v>
      </c>
      <c r="O3524">
        <v>338</v>
      </c>
      <c r="P3524">
        <v>18</v>
      </c>
      <c r="Q3524">
        <v>9</v>
      </c>
      <c r="R3524">
        <v>9</v>
      </c>
      <c r="S3524">
        <v>0</v>
      </c>
      <c r="T3524">
        <v>0</v>
      </c>
      <c r="U3524" t="s">
        <v>20824</v>
      </c>
      <c r="V3524">
        <f>Tabla1[[#This Row],[Aboard]]-Tabla1[[#This Row],[Fatalities]]</f>
        <v>347</v>
      </c>
      <c r="W3524" s="50">
        <f>IFERROR(Tabla1[[#This Row],[Fatalities]]/Tabla1[[#This Row],[Aboard]],0)</f>
        <v>2.5280898876404494E-2</v>
      </c>
      <c r="X3524" s="51" t="str" cm="1">
        <f t="array" ref="X3524">_xlfn.IFS(Tabla1[[#This Row],[Porcentaje de muertes]]&lt;0.35,"LEVE",AND(Tabla1[[#This Row],[Porcentaje de muertes]]&gt;0.35,Tabla1[[#This Row],[Porcentaje de muertes]]&lt;0.65),"MEDIO",Tabla1[[#This Row],[Porcentaje de muertes]]&gt;0.65,"GRAVE")</f>
        <v>LEVE</v>
      </c>
    </row>
    <row r="3525" spans="2:24" x14ac:dyDescent="0.3">
      <c r="B3525" s="9">
        <v>3524</v>
      </c>
      <c r="C3525" s="49">
        <v>32567</v>
      </c>
      <c r="D3525" s="9">
        <f>YEAR(Tabla1[[#This Row],[Date]])</f>
        <v>1989</v>
      </c>
      <c r="E3525" s="9" t="str" cm="1">
        <f t="array" ref="E3525">IFERROR(_xlfn.IFS(AND(D3525&lt;1980,D3525&gt;=1970),"70",AND(D3525&lt;1990,D3525&gt;=1980),"80",AND(D3525&lt;2000,D3525&gt;=1990),"90",AND(D3525&lt;2010,D3525&gt;=2000),"00",AND(D3525&lt;=2019,D3525&gt;=2010),"10"),"1908-1970")</f>
        <v>80</v>
      </c>
      <c r="F3525" s="3">
        <v>0.27291666666666664</v>
      </c>
      <c r="G3525" t="s">
        <v>20825</v>
      </c>
      <c r="H3525" t="s">
        <v>20826</v>
      </c>
      <c r="I3525" t="s">
        <v>28931</v>
      </c>
      <c r="J3525" t="s">
        <v>20827</v>
      </c>
      <c r="K3525" t="s">
        <v>8105</v>
      </c>
      <c r="L3525" s="7" t="s">
        <v>20828</v>
      </c>
      <c r="M3525">
        <v>25290</v>
      </c>
      <c r="N3525">
        <v>2</v>
      </c>
      <c r="O3525">
        <v>0</v>
      </c>
      <c r="P3525">
        <v>2</v>
      </c>
      <c r="Q3525">
        <v>2</v>
      </c>
      <c r="R3525">
        <v>0</v>
      </c>
      <c r="S3525">
        <v>2</v>
      </c>
      <c r="T3525">
        <v>0</v>
      </c>
      <c r="U3525" t="s">
        <v>20829</v>
      </c>
      <c r="V3525">
        <f>Tabla1[[#This Row],[Aboard]]-Tabla1[[#This Row],[Fatalities]]</f>
        <v>0</v>
      </c>
      <c r="W3525" s="50">
        <f>IFERROR(Tabla1[[#This Row],[Fatalities]]/Tabla1[[#This Row],[Aboard]],0)</f>
        <v>1</v>
      </c>
      <c r="X3525" s="51" t="str" cm="1">
        <f t="array" ref="X3525">_xlfn.IFS(Tabla1[[#This Row],[Porcentaje de muertes]]&lt;0.35,"LEVE",AND(Tabla1[[#This Row],[Porcentaje de muertes]]&gt;0.35,Tabla1[[#This Row],[Porcentaje de muertes]]&lt;0.65),"MEDIO",Tabla1[[#This Row],[Porcentaje de muertes]]&gt;0.65,"GRAVE")</f>
        <v>GRAVE</v>
      </c>
    </row>
    <row r="3526" spans="2:24" x14ac:dyDescent="0.3">
      <c r="B3526" s="9">
        <v>3525</v>
      </c>
      <c r="C3526" s="49">
        <v>32784</v>
      </c>
      <c r="D3526" s="9">
        <f>YEAR(Tabla1[[#This Row],[Date]])</f>
        <v>1989</v>
      </c>
      <c r="E3526" s="9" t="str" cm="1">
        <f t="array" ref="E3526">IFERROR(_xlfn.IFS(AND(D3526&lt;1980,D3526&gt;=1970),"70",AND(D3526&lt;1990,D3526&gt;=1980),"80",AND(D3526&lt;2000,D3526&gt;=1990),"90",AND(D3526&lt;2010,D3526&gt;=2000),"00",AND(D3526&lt;=2019,D3526&gt;=2010),"10"),"1908-1970")</f>
        <v>80</v>
      </c>
      <c r="F3526" s="3" t="s">
        <v>28931</v>
      </c>
      <c r="G3526" t="s">
        <v>13716</v>
      </c>
      <c r="H3526" t="s">
        <v>20830</v>
      </c>
      <c r="I3526" t="s">
        <v>28931</v>
      </c>
      <c r="J3526" t="s">
        <v>5494</v>
      </c>
      <c r="K3526" t="s">
        <v>18254</v>
      </c>
      <c r="L3526" s="7" t="s">
        <v>20831</v>
      </c>
      <c r="M3526">
        <v>604</v>
      </c>
      <c r="N3526">
        <v>10</v>
      </c>
      <c r="O3526">
        <v>9</v>
      </c>
      <c r="P3526">
        <v>1</v>
      </c>
      <c r="Q3526">
        <v>10</v>
      </c>
      <c r="R3526">
        <v>9</v>
      </c>
      <c r="S3526">
        <v>1</v>
      </c>
      <c r="T3526">
        <v>0</v>
      </c>
      <c r="U3526" t="s">
        <v>20832</v>
      </c>
      <c r="V3526">
        <f>Tabla1[[#This Row],[Aboard]]-Tabla1[[#This Row],[Fatalities]]</f>
        <v>0</v>
      </c>
      <c r="W3526" s="50">
        <f>IFERROR(Tabla1[[#This Row],[Fatalities]]/Tabla1[[#This Row],[Aboard]],0)</f>
        <v>1</v>
      </c>
      <c r="X3526" s="51" t="str" cm="1">
        <f t="array" ref="X3526">_xlfn.IFS(Tabla1[[#This Row],[Porcentaje de muertes]]&lt;0.35,"LEVE",AND(Tabla1[[#This Row],[Porcentaje de muertes]]&gt;0.35,Tabla1[[#This Row],[Porcentaje de muertes]]&lt;0.65),"MEDIO",Tabla1[[#This Row],[Porcentaje de muertes]]&gt;0.65,"GRAVE")</f>
        <v>GRAVE</v>
      </c>
    </row>
    <row r="3527" spans="2:24" x14ac:dyDescent="0.3">
      <c r="B3527" s="9">
        <v>3526</v>
      </c>
      <c r="C3527" s="49">
        <v>32784</v>
      </c>
      <c r="D3527" s="9">
        <f>YEAR(Tabla1[[#This Row],[Date]])</f>
        <v>1989</v>
      </c>
      <c r="E3527" s="9" t="str" cm="1">
        <f t="array" ref="E3527">IFERROR(_xlfn.IFS(AND(D3527&lt;1980,D3527&gt;=1970),"70",AND(D3527&lt;1990,D3527&gt;=1980),"80",AND(D3527&lt;2000,D3527&gt;=1990),"90",AND(D3527&lt;2010,D3527&gt;=2000),"00",AND(D3527&lt;=2019,D3527&gt;=2010),"10"),"1908-1970")</f>
        <v>80</v>
      </c>
      <c r="F3527" s="3">
        <v>0.50624999999999998</v>
      </c>
      <c r="G3527" t="s">
        <v>20833</v>
      </c>
      <c r="H3527" t="s">
        <v>20834</v>
      </c>
      <c r="I3527">
        <v>1363</v>
      </c>
      <c r="J3527" t="s">
        <v>20835</v>
      </c>
      <c r="K3527" t="s">
        <v>16685</v>
      </c>
      <c r="L3527" s="7" t="s">
        <v>20836</v>
      </c>
      <c r="M3527">
        <v>11060</v>
      </c>
      <c r="N3527">
        <v>69</v>
      </c>
      <c r="O3527">
        <v>65</v>
      </c>
      <c r="P3527">
        <v>4</v>
      </c>
      <c r="Q3527">
        <v>24</v>
      </c>
      <c r="R3527">
        <v>21</v>
      </c>
      <c r="S3527">
        <v>3</v>
      </c>
      <c r="T3527">
        <v>0</v>
      </c>
      <c r="U3527" t="s">
        <v>20837</v>
      </c>
      <c r="V3527">
        <f>Tabla1[[#This Row],[Aboard]]-Tabla1[[#This Row],[Fatalities]]</f>
        <v>45</v>
      </c>
      <c r="W3527" s="50">
        <f>IFERROR(Tabla1[[#This Row],[Fatalities]]/Tabla1[[#This Row],[Aboard]],0)</f>
        <v>0.34782608695652173</v>
      </c>
      <c r="X3527" s="51" t="str" cm="1">
        <f t="array" ref="X3527">_xlfn.IFS(Tabla1[[#This Row],[Porcentaje de muertes]]&lt;0.35,"LEVE",AND(Tabla1[[#This Row],[Porcentaje de muertes]]&gt;0.35,Tabla1[[#This Row],[Porcentaje de muertes]]&lt;0.65),"MEDIO",Tabla1[[#This Row],[Porcentaje de muertes]]&gt;0.65,"GRAVE")</f>
        <v>LEVE</v>
      </c>
    </row>
    <row r="3528" spans="2:24" x14ac:dyDescent="0.3">
      <c r="B3528" s="9">
        <v>3527</v>
      </c>
      <c r="C3528" s="49">
        <v>32582</v>
      </c>
      <c r="D3528" s="9">
        <f>YEAR(Tabla1[[#This Row],[Date]])</f>
        <v>1989</v>
      </c>
      <c r="E3528" s="9" t="str" cm="1">
        <f t="array" ref="E3528">IFERROR(_xlfn.IFS(AND(D3528&lt;1980,D3528&gt;=1970),"70",AND(D3528&lt;1990,D3528&gt;=1980),"80",AND(D3528&lt;2000,D3528&gt;=1990),"90",AND(D3528&lt;2010,D3528&gt;=2000),"00",AND(D3528&lt;=2019,D3528&gt;=2010),"10"),"1908-1970")</f>
        <v>80</v>
      </c>
      <c r="F3528" s="3">
        <v>0.30902777777777779</v>
      </c>
      <c r="G3528" t="s">
        <v>20838</v>
      </c>
      <c r="H3528" t="s">
        <v>20839</v>
      </c>
      <c r="I3528" t="s">
        <v>28931</v>
      </c>
      <c r="J3528" t="s">
        <v>20840</v>
      </c>
      <c r="K3528" t="s">
        <v>20841</v>
      </c>
      <c r="L3528" s="7" t="s">
        <v>20842</v>
      </c>
      <c r="M3528">
        <v>2139</v>
      </c>
      <c r="N3528">
        <v>2</v>
      </c>
      <c r="O3528">
        <v>0</v>
      </c>
      <c r="P3528">
        <v>2</v>
      </c>
      <c r="Q3528">
        <v>2</v>
      </c>
      <c r="R3528">
        <v>0</v>
      </c>
      <c r="S3528">
        <v>2</v>
      </c>
      <c r="T3528">
        <v>0</v>
      </c>
      <c r="U3528" t="s">
        <v>20843</v>
      </c>
      <c r="V3528">
        <f>Tabla1[[#This Row],[Aboard]]-Tabla1[[#This Row],[Fatalities]]</f>
        <v>0</v>
      </c>
      <c r="W3528" s="50">
        <f>IFERROR(Tabla1[[#This Row],[Fatalities]]/Tabla1[[#This Row],[Aboard]],0)</f>
        <v>1</v>
      </c>
      <c r="X3528" s="51" t="str" cm="1">
        <f t="array" ref="X3528">_xlfn.IFS(Tabla1[[#This Row],[Porcentaje de muertes]]&lt;0.35,"LEVE",AND(Tabla1[[#This Row],[Porcentaje de muertes]]&gt;0.35,Tabla1[[#This Row],[Porcentaje de muertes]]&lt;0.65),"MEDIO",Tabla1[[#This Row],[Porcentaje de muertes]]&gt;0.65,"GRAVE")</f>
        <v>GRAVE</v>
      </c>
    </row>
    <row r="3529" spans="2:24" x14ac:dyDescent="0.3">
      <c r="B3529" s="9">
        <v>3528</v>
      </c>
      <c r="C3529" s="49">
        <v>32585</v>
      </c>
      <c r="D3529" s="9">
        <f>YEAR(Tabla1[[#This Row],[Date]])</f>
        <v>1989</v>
      </c>
      <c r="E3529" s="9" t="str" cm="1">
        <f t="array" ref="E3529">IFERROR(_xlfn.IFS(AND(D3529&lt;1980,D3529&gt;=1970),"70",AND(D3529&lt;1990,D3529&gt;=1980),"80",AND(D3529&lt;2000,D3529&gt;=1990),"90",AND(D3529&lt;2010,D3529&gt;=2000),"00",AND(D3529&lt;=2019,D3529&gt;=2010),"10"),"1908-1970")</f>
        <v>80</v>
      </c>
      <c r="F3529" s="3">
        <v>9.375E-2</v>
      </c>
      <c r="G3529" t="s">
        <v>20844</v>
      </c>
      <c r="H3529" t="s">
        <v>20845</v>
      </c>
      <c r="I3529" t="s">
        <v>28931</v>
      </c>
      <c r="J3529" t="s">
        <v>20846</v>
      </c>
      <c r="K3529" t="s">
        <v>20847</v>
      </c>
      <c r="L3529" s="7" t="s">
        <v>20848</v>
      </c>
      <c r="M3529" t="s">
        <v>20849</v>
      </c>
      <c r="N3529">
        <v>2</v>
      </c>
      <c r="O3529">
        <v>0</v>
      </c>
      <c r="P3529">
        <v>2</v>
      </c>
      <c r="Q3529">
        <v>2</v>
      </c>
      <c r="R3529">
        <v>0</v>
      </c>
      <c r="S3529">
        <v>2</v>
      </c>
      <c r="T3529">
        <v>0</v>
      </c>
      <c r="U3529" t="s">
        <v>20850</v>
      </c>
      <c r="V3529">
        <f>Tabla1[[#This Row],[Aboard]]-Tabla1[[#This Row],[Fatalities]]</f>
        <v>0</v>
      </c>
      <c r="W3529" s="50">
        <f>IFERROR(Tabla1[[#This Row],[Fatalities]]/Tabla1[[#This Row],[Aboard]],0)</f>
        <v>1</v>
      </c>
      <c r="X3529" s="51" t="str" cm="1">
        <f t="array" ref="X3529">_xlfn.IFS(Tabla1[[#This Row],[Porcentaje de muertes]]&lt;0.35,"LEVE",AND(Tabla1[[#This Row],[Porcentaje de muertes]]&gt;0.35,Tabla1[[#This Row],[Porcentaje de muertes]]&lt;0.65),"MEDIO",Tabla1[[#This Row],[Porcentaje de muertes]]&gt;0.65,"GRAVE")</f>
        <v>GRAVE</v>
      </c>
    </row>
    <row r="3530" spans="2:24" x14ac:dyDescent="0.3">
      <c r="B3530" s="9">
        <v>3529</v>
      </c>
      <c r="C3530" s="49">
        <v>32587</v>
      </c>
      <c r="D3530" s="9">
        <f>YEAR(Tabla1[[#This Row],[Date]])</f>
        <v>1989</v>
      </c>
      <c r="E3530" s="9" t="str" cm="1">
        <f t="array" ref="E3530">IFERROR(_xlfn.IFS(AND(D3530&lt;1980,D3530&gt;=1970),"70",AND(D3530&lt;1990,D3530&gt;=1980),"80",AND(D3530&lt;2000,D3530&gt;=1990),"90",AND(D3530&lt;2010,D3530&gt;=2000),"00",AND(D3530&lt;=2019,D3530&gt;=2010),"10"),"1908-1970")</f>
        <v>80</v>
      </c>
      <c r="F3530" s="3">
        <v>0.29166666666666669</v>
      </c>
      <c r="G3530" t="s">
        <v>20851</v>
      </c>
      <c r="H3530" t="s">
        <v>8891</v>
      </c>
      <c r="I3530" t="s">
        <v>28931</v>
      </c>
      <c r="J3530" t="s">
        <v>28931</v>
      </c>
      <c r="K3530" t="s">
        <v>19575</v>
      </c>
      <c r="L3530" s="7">
        <v>157140</v>
      </c>
      <c r="M3530" t="s">
        <v>28931</v>
      </c>
      <c r="N3530">
        <v>34</v>
      </c>
      <c r="O3530">
        <v>30</v>
      </c>
      <c r="P3530">
        <v>4</v>
      </c>
      <c r="Q3530">
        <v>19</v>
      </c>
      <c r="R3530" t="s">
        <v>5038</v>
      </c>
      <c r="S3530" t="s">
        <v>5038</v>
      </c>
      <c r="T3530">
        <v>0</v>
      </c>
      <c r="U3530" t="s">
        <v>20852</v>
      </c>
      <c r="V3530">
        <f>Tabla1[[#This Row],[Aboard]]-Tabla1[[#This Row],[Fatalities]]</f>
        <v>15</v>
      </c>
      <c r="W3530" s="50">
        <f>IFERROR(Tabla1[[#This Row],[Fatalities]]/Tabla1[[#This Row],[Aboard]],0)</f>
        <v>0.55882352941176472</v>
      </c>
      <c r="X3530" s="51" t="str" cm="1">
        <f t="array" ref="X3530">_xlfn.IFS(Tabla1[[#This Row],[Porcentaje de muertes]]&lt;0.35,"LEVE",AND(Tabla1[[#This Row],[Porcentaje de muertes]]&gt;0.35,Tabla1[[#This Row],[Porcentaje de muertes]]&lt;0.65),"MEDIO",Tabla1[[#This Row],[Porcentaje de muertes]]&gt;0.65,"GRAVE")</f>
        <v>MEDIO</v>
      </c>
    </row>
    <row r="3531" spans="2:24" x14ac:dyDescent="0.3">
      <c r="B3531" s="9">
        <v>3530</v>
      </c>
      <c r="C3531" s="49">
        <v>32588</v>
      </c>
      <c r="D3531" s="9">
        <f>YEAR(Tabla1[[#This Row],[Date]])</f>
        <v>1989</v>
      </c>
      <c r="E3531" s="9" t="str" cm="1">
        <f t="array" ref="E3531">IFERROR(_xlfn.IFS(AND(D3531&lt;1980,D3531&gt;=1970),"70",AND(D3531&lt;1990,D3531&gt;=1980),"80",AND(D3531&lt;2000,D3531&gt;=1990),"90",AND(D3531&lt;2010,D3531&gt;=2000),"00",AND(D3531&lt;=2019,D3531&gt;=2010),"10"),"1908-1970")</f>
        <v>80</v>
      </c>
      <c r="F3531" s="3">
        <v>0.49652777777777773</v>
      </c>
      <c r="G3531" t="s">
        <v>20853</v>
      </c>
      <c r="H3531" t="s">
        <v>17536</v>
      </c>
      <c r="I3531" t="s">
        <v>28931</v>
      </c>
      <c r="J3531" t="s">
        <v>20854</v>
      </c>
      <c r="K3531" t="s">
        <v>20855</v>
      </c>
      <c r="L3531" s="7" t="s">
        <v>20856</v>
      </c>
      <c r="M3531" t="s">
        <v>20857</v>
      </c>
      <c r="N3531">
        <v>3</v>
      </c>
      <c r="O3531">
        <v>0</v>
      </c>
      <c r="P3531">
        <v>3</v>
      </c>
      <c r="Q3531">
        <v>3</v>
      </c>
      <c r="R3531">
        <v>0</v>
      </c>
      <c r="S3531">
        <v>3</v>
      </c>
      <c r="T3531">
        <v>18</v>
      </c>
      <c r="U3531" t="s">
        <v>20858</v>
      </c>
      <c r="V3531">
        <f>Tabla1[[#This Row],[Aboard]]-Tabla1[[#This Row],[Fatalities]]</f>
        <v>0</v>
      </c>
      <c r="W3531" s="50">
        <f>IFERROR(Tabla1[[#This Row],[Fatalities]]/Tabla1[[#This Row],[Aboard]],0)</f>
        <v>1</v>
      </c>
      <c r="X3531" s="51" t="str" cm="1">
        <f t="array" ref="X3531">_xlfn.IFS(Tabla1[[#This Row],[Porcentaje de muertes]]&lt;0.35,"LEVE",AND(Tabla1[[#This Row],[Porcentaje de muertes]]&gt;0.35,Tabla1[[#This Row],[Porcentaje de muertes]]&lt;0.65),"MEDIO",Tabla1[[#This Row],[Porcentaje de muertes]]&gt;0.65,"GRAVE")</f>
        <v>GRAVE</v>
      </c>
    </row>
    <row r="3532" spans="2:24" x14ac:dyDescent="0.3">
      <c r="B3532" s="9">
        <v>3531</v>
      </c>
      <c r="C3532" s="49">
        <v>32785</v>
      </c>
      <c r="D3532" s="9">
        <f>YEAR(Tabla1[[#This Row],[Date]])</f>
        <v>1989</v>
      </c>
      <c r="E3532" s="9" t="str" cm="1">
        <f t="array" ref="E3532">IFERROR(_xlfn.IFS(AND(D3532&lt;1980,D3532&gt;=1970),"70",AND(D3532&lt;1990,D3532&gt;=1980),"80",AND(D3532&lt;2000,D3532&gt;=1990),"90",AND(D3532&lt;2010,D3532&gt;=2000),"00",AND(D3532&lt;=2019,D3532&gt;=2010),"10"),"1908-1970")</f>
        <v>80</v>
      </c>
      <c r="F3532" s="3">
        <v>0.87986111111111109</v>
      </c>
      <c r="G3532" t="s">
        <v>20859</v>
      </c>
      <c r="H3532" t="s">
        <v>20860</v>
      </c>
      <c r="I3532">
        <v>602</v>
      </c>
      <c r="J3532" t="s">
        <v>20861</v>
      </c>
      <c r="K3532" t="s">
        <v>20561</v>
      </c>
      <c r="L3532" s="7" t="s">
        <v>20862</v>
      </c>
      <c r="M3532">
        <v>532</v>
      </c>
      <c r="N3532">
        <v>22</v>
      </c>
      <c r="O3532">
        <v>19</v>
      </c>
      <c r="P3532">
        <v>3</v>
      </c>
      <c r="Q3532">
        <v>22</v>
      </c>
      <c r="R3532">
        <v>19</v>
      </c>
      <c r="S3532">
        <v>3</v>
      </c>
      <c r="T3532">
        <v>0</v>
      </c>
      <c r="U3532" t="s">
        <v>20863</v>
      </c>
      <c r="V3532">
        <f>Tabla1[[#This Row],[Aboard]]-Tabla1[[#This Row],[Fatalities]]</f>
        <v>0</v>
      </c>
      <c r="W3532" s="50">
        <f>IFERROR(Tabla1[[#This Row],[Fatalities]]/Tabla1[[#This Row],[Aboard]],0)</f>
        <v>1</v>
      </c>
      <c r="X3532" s="51" t="str" cm="1">
        <f t="array" ref="X3532">_xlfn.IFS(Tabla1[[#This Row],[Porcentaje de muertes]]&lt;0.35,"LEVE",AND(Tabla1[[#This Row],[Porcentaje de muertes]]&gt;0.35,Tabla1[[#This Row],[Porcentaje de muertes]]&lt;0.65),"MEDIO",Tabla1[[#This Row],[Porcentaje de muertes]]&gt;0.65,"GRAVE")</f>
        <v>GRAVE</v>
      </c>
    </row>
    <row r="3533" spans="2:24" x14ac:dyDescent="0.3">
      <c r="B3533" s="9">
        <v>3532</v>
      </c>
      <c r="C3533" s="49">
        <v>32617</v>
      </c>
      <c r="D3533" s="9">
        <f>YEAR(Tabla1[[#This Row],[Date]])</f>
        <v>1989</v>
      </c>
      <c r="E3533" s="9" t="str" cm="1">
        <f t="array" ref="E3533">IFERROR(_xlfn.IFS(AND(D3533&lt;1980,D3533&gt;=1970),"70",AND(D3533&lt;1990,D3533&gt;=1980),"80",AND(D3533&lt;2000,D3533&gt;=1990),"90",AND(D3533&lt;2010,D3533&gt;=2000),"00",AND(D3533&lt;=2019,D3533&gt;=2010),"10"),"1908-1970")</f>
        <v>80</v>
      </c>
      <c r="F3533" s="3" t="s">
        <v>28931</v>
      </c>
      <c r="G3533" t="s">
        <v>20864</v>
      </c>
      <c r="H3533" t="s">
        <v>15622</v>
      </c>
      <c r="I3533" t="s">
        <v>28931</v>
      </c>
      <c r="J3533" t="s">
        <v>18278</v>
      </c>
      <c r="K3533" t="s">
        <v>20865</v>
      </c>
      <c r="L3533" s="7" t="s">
        <v>20866</v>
      </c>
      <c r="M3533">
        <v>819</v>
      </c>
      <c r="N3533">
        <v>11</v>
      </c>
      <c r="O3533">
        <v>10</v>
      </c>
      <c r="P3533">
        <v>1</v>
      </c>
      <c r="Q3533">
        <v>11</v>
      </c>
      <c r="R3533">
        <v>10</v>
      </c>
      <c r="S3533">
        <v>1</v>
      </c>
      <c r="T3533">
        <v>0</v>
      </c>
      <c r="U3533" t="s">
        <v>7476</v>
      </c>
      <c r="V3533">
        <f>Tabla1[[#This Row],[Aboard]]-Tabla1[[#This Row],[Fatalities]]</f>
        <v>0</v>
      </c>
      <c r="W3533" s="50">
        <f>IFERROR(Tabla1[[#This Row],[Fatalities]]/Tabla1[[#This Row],[Aboard]],0)</f>
        <v>1</v>
      </c>
      <c r="X3533" s="51" t="str" cm="1">
        <f t="array" ref="X3533">_xlfn.IFS(Tabla1[[#This Row],[Porcentaje de muertes]]&lt;0.35,"LEVE",AND(Tabla1[[#This Row],[Porcentaje de muertes]]&gt;0.35,Tabla1[[#This Row],[Porcentaje de muertes]]&lt;0.65),"MEDIO",Tabla1[[#This Row],[Porcentaje de muertes]]&gt;0.65,"GRAVE")</f>
        <v>GRAVE</v>
      </c>
    </row>
    <row r="3534" spans="2:24" x14ac:dyDescent="0.3">
      <c r="B3534" s="9">
        <v>3533</v>
      </c>
      <c r="C3534" s="49">
        <v>32624</v>
      </c>
      <c r="D3534" s="9">
        <f>YEAR(Tabla1[[#This Row],[Date]])</f>
        <v>1989</v>
      </c>
      <c r="E3534" s="9" t="str" cm="1">
        <f t="array" ref="E3534">IFERROR(_xlfn.IFS(AND(D3534&lt;1980,D3534&gt;=1970),"70",AND(D3534&lt;1990,D3534&gt;=1980),"80",AND(D3534&lt;2000,D3534&gt;=1990),"90",AND(D3534&lt;2010,D3534&gt;=2000),"00",AND(D3534&lt;=2019,D3534&gt;=2010),"10"),"1908-1970")</f>
        <v>80</v>
      </c>
      <c r="F3534" s="3" t="s">
        <v>28931</v>
      </c>
      <c r="G3534" t="s">
        <v>20867</v>
      </c>
      <c r="H3534" t="s">
        <v>19560</v>
      </c>
      <c r="I3534" t="s">
        <v>28931</v>
      </c>
      <c r="J3534" t="s">
        <v>20868</v>
      </c>
      <c r="K3534" t="s">
        <v>28935</v>
      </c>
      <c r="L3534" s="7" t="s">
        <v>20869</v>
      </c>
      <c r="M3534">
        <v>215</v>
      </c>
      <c r="N3534">
        <v>5</v>
      </c>
      <c r="O3534">
        <v>2</v>
      </c>
      <c r="P3534">
        <v>3</v>
      </c>
      <c r="Q3534">
        <v>5</v>
      </c>
      <c r="R3534">
        <v>2</v>
      </c>
      <c r="S3534">
        <v>3</v>
      </c>
      <c r="T3534">
        <v>0</v>
      </c>
      <c r="U3534" t="s">
        <v>20870</v>
      </c>
      <c r="V3534">
        <f>Tabla1[[#This Row],[Aboard]]-Tabla1[[#This Row],[Fatalities]]</f>
        <v>0</v>
      </c>
      <c r="W3534" s="50">
        <f>IFERROR(Tabla1[[#This Row],[Fatalities]]/Tabla1[[#This Row],[Aboard]],0)</f>
        <v>1</v>
      </c>
      <c r="X3534" s="51" t="str" cm="1">
        <f t="array" ref="X3534">_xlfn.IFS(Tabla1[[#This Row],[Porcentaje de muertes]]&lt;0.35,"LEVE",AND(Tabla1[[#This Row],[Porcentaje de muertes]]&gt;0.35,Tabla1[[#This Row],[Porcentaje de muertes]]&lt;0.65),"MEDIO",Tabla1[[#This Row],[Porcentaje de muertes]]&gt;0.65,"GRAVE")</f>
        <v>GRAVE</v>
      </c>
    </row>
    <row r="3535" spans="2:24" x14ac:dyDescent="0.3">
      <c r="B3535" s="9">
        <v>3534</v>
      </c>
      <c r="C3535" s="49">
        <v>32633</v>
      </c>
      <c r="D3535" s="9">
        <f>YEAR(Tabla1[[#This Row],[Date]])</f>
        <v>1989</v>
      </c>
      <c r="E3535" s="9" t="str" cm="1">
        <f t="array" ref="E3535">IFERROR(_xlfn.IFS(AND(D3535&lt;1980,D3535&gt;=1970),"70",AND(D3535&lt;1990,D3535&gt;=1980),"80",AND(D3535&lt;2000,D3535&gt;=1990),"90",AND(D3535&lt;2010,D3535&gt;=2000),"00",AND(D3535&lt;=2019,D3535&gt;=2010),"10"),"1908-1970")</f>
        <v>80</v>
      </c>
      <c r="F3535" s="3">
        <v>0.60416666666666663</v>
      </c>
      <c r="G3535" t="s">
        <v>20871</v>
      </c>
      <c r="H3535" t="s">
        <v>20872</v>
      </c>
      <c r="I3535" t="s">
        <v>28931</v>
      </c>
      <c r="J3535" t="s">
        <v>20873</v>
      </c>
      <c r="K3535" t="s">
        <v>20874</v>
      </c>
      <c r="L3535" s="7" t="s">
        <v>20875</v>
      </c>
      <c r="M3535">
        <v>1051</v>
      </c>
      <c r="N3535">
        <v>19</v>
      </c>
      <c r="O3535">
        <v>17</v>
      </c>
      <c r="P3535">
        <v>2</v>
      </c>
      <c r="Q3535">
        <v>6</v>
      </c>
      <c r="R3535">
        <v>6</v>
      </c>
      <c r="S3535">
        <v>0</v>
      </c>
      <c r="T3535">
        <v>0</v>
      </c>
      <c r="U3535" t="s">
        <v>20876</v>
      </c>
      <c r="V3535">
        <f>Tabla1[[#This Row],[Aboard]]-Tabla1[[#This Row],[Fatalities]]</f>
        <v>13</v>
      </c>
      <c r="W3535" s="50">
        <f>IFERROR(Tabla1[[#This Row],[Fatalities]]/Tabla1[[#This Row],[Aboard]],0)</f>
        <v>0.31578947368421051</v>
      </c>
      <c r="X3535" s="51" t="str" cm="1">
        <f t="array" ref="X3535">_xlfn.IFS(Tabla1[[#This Row],[Porcentaje de muertes]]&lt;0.35,"LEVE",AND(Tabla1[[#This Row],[Porcentaje de muertes]]&gt;0.35,Tabla1[[#This Row],[Porcentaje de muertes]]&lt;0.65),"MEDIO",Tabla1[[#This Row],[Porcentaje de muertes]]&gt;0.65,"GRAVE")</f>
        <v>LEVE</v>
      </c>
    </row>
    <row r="3536" spans="2:24" x14ac:dyDescent="0.3">
      <c r="B3536" s="9">
        <v>3535</v>
      </c>
      <c r="C3536" s="49">
        <v>32725</v>
      </c>
      <c r="D3536" s="9">
        <f>YEAR(Tabla1[[#This Row],[Date]])</f>
        <v>1989</v>
      </c>
      <c r="E3536" s="9" t="str" cm="1">
        <f t="array" ref="E3536">IFERROR(_xlfn.IFS(AND(D3536&lt;1980,D3536&gt;=1970),"70",AND(D3536&lt;1990,D3536&gt;=1980),"80",AND(D3536&lt;2000,D3536&gt;=1990),"90",AND(D3536&lt;2010,D3536&gt;=2000),"00",AND(D3536&lt;=2019,D3536&gt;=2010),"10"),"1908-1970")</f>
        <v>80</v>
      </c>
      <c r="F3536" s="3">
        <v>0.40277777777777773</v>
      </c>
      <c r="G3536" t="s">
        <v>20877</v>
      </c>
      <c r="H3536" t="s">
        <v>20878</v>
      </c>
      <c r="I3536" t="s">
        <v>28931</v>
      </c>
      <c r="J3536" t="s">
        <v>20879</v>
      </c>
      <c r="K3536" t="s">
        <v>17091</v>
      </c>
      <c r="L3536" s="7" t="s">
        <v>20880</v>
      </c>
      <c r="M3536" t="s">
        <v>20881</v>
      </c>
      <c r="N3536">
        <v>16</v>
      </c>
      <c r="O3536">
        <v>14</v>
      </c>
      <c r="P3536">
        <v>2</v>
      </c>
      <c r="Q3536">
        <v>16</v>
      </c>
      <c r="R3536">
        <v>14</v>
      </c>
      <c r="S3536">
        <v>2</v>
      </c>
      <c r="T3536">
        <v>0</v>
      </c>
      <c r="U3536" t="s">
        <v>20882</v>
      </c>
      <c r="V3536">
        <f>Tabla1[[#This Row],[Aboard]]-Tabla1[[#This Row],[Fatalities]]</f>
        <v>0</v>
      </c>
      <c r="W3536" s="50">
        <f>IFERROR(Tabla1[[#This Row],[Fatalities]]/Tabla1[[#This Row],[Aboard]],0)</f>
        <v>1</v>
      </c>
      <c r="X3536" s="51" t="str" cm="1">
        <f t="array" ref="X3536">_xlfn.IFS(Tabla1[[#This Row],[Porcentaje de muertes]]&lt;0.35,"LEVE",AND(Tabla1[[#This Row],[Porcentaje de muertes]]&gt;0.35,Tabla1[[#This Row],[Porcentaje de muertes]]&lt;0.65),"MEDIO",Tabla1[[#This Row],[Porcentaje de muertes]]&gt;0.65,"GRAVE")</f>
        <v>GRAVE</v>
      </c>
    </row>
    <row r="3537" spans="2:24" x14ac:dyDescent="0.3">
      <c r="B3537" s="9">
        <v>3536</v>
      </c>
      <c r="C3537" s="49">
        <v>32756</v>
      </c>
      <c r="D3537" s="9">
        <f>YEAR(Tabla1[[#This Row],[Date]])</f>
        <v>1989</v>
      </c>
      <c r="E3537" s="9" t="str" cm="1">
        <f t="array" ref="E3537">IFERROR(_xlfn.IFS(AND(D3537&lt;1980,D3537&gt;=1970),"70",AND(D3537&lt;1990,D3537&gt;=1980),"80",AND(D3537&lt;2000,D3537&gt;=1990),"90",AND(D3537&lt;2010,D3537&gt;=2000),"00",AND(D3537&lt;=2019,D3537&gt;=2010),"10"),"1908-1970")</f>
        <v>80</v>
      </c>
      <c r="F3537" s="3" t="s">
        <v>28931</v>
      </c>
      <c r="G3537" t="s">
        <v>20883</v>
      </c>
      <c r="H3537" t="s">
        <v>20884</v>
      </c>
      <c r="I3537" t="s">
        <v>28931</v>
      </c>
      <c r="J3537" t="s">
        <v>28931</v>
      </c>
      <c r="K3537" t="s">
        <v>20885</v>
      </c>
      <c r="L3537" s="7" t="s">
        <v>20886</v>
      </c>
      <c r="M3537">
        <v>33070</v>
      </c>
      <c r="N3537" t="s">
        <v>5038</v>
      </c>
      <c r="O3537" t="s">
        <v>5038</v>
      </c>
      <c r="P3537" t="s">
        <v>5038</v>
      </c>
      <c r="Q3537">
        <v>10</v>
      </c>
      <c r="R3537" t="s">
        <v>5038</v>
      </c>
      <c r="S3537" t="s">
        <v>5038</v>
      </c>
      <c r="T3537">
        <v>0</v>
      </c>
      <c r="U3537" t="s">
        <v>28927</v>
      </c>
      <c r="V3537" t="s">
        <v>5038</v>
      </c>
      <c r="W3537" s="50">
        <f>IFERROR(Tabla1[[#This Row],[Fatalities]]/Tabla1[[#This Row],[Aboard]],0)</f>
        <v>0</v>
      </c>
      <c r="X3537" s="51" t="str" cm="1">
        <f t="array" ref="X3537">_xlfn.IFS(Tabla1[[#This Row],[Porcentaje de muertes]]&lt;0.35,"LEVE",AND(Tabla1[[#This Row],[Porcentaje de muertes]]&gt;0.35,Tabla1[[#This Row],[Porcentaje de muertes]]&lt;0.65),"MEDIO",Tabla1[[#This Row],[Porcentaje de muertes]]&gt;0.65,"GRAVE")</f>
        <v>LEVE</v>
      </c>
    </row>
    <row r="3538" spans="2:24" x14ac:dyDescent="0.3">
      <c r="B3538" s="9">
        <v>3537</v>
      </c>
      <c r="C3538" s="49">
        <v>32695</v>
      </c>
      <c r="D3538" s="9">
        <f>YEAR(Tabla1[[#This Row],[Date]])</f>
        <v>1989</v>
      </c>
      <c r="E3538" s="9" t="str" cm="1">
        <f t="array" ref="E3538">IFERROR(_xlfn.IFS(AND(D3538&lt;1980,D3538&gt;=1970),"70",AND(D3538&lt;1990,D3538&gt;=1980),"80",AND(D3538&lt;2000,D3538&gt;=1990),"90",AND(D3538&lt;2010,D3538&gt;=2000),"00",AND(D3538&lt;=2019,D3538&gt;=2010),"10"),"1908-1970")</f>
        <v>80</v>
      </c>
      <c r="F3538" s="3">
        <v>0.18541666666666667</v>
      </c>
      <c r="G3538" t="s">
        <v>20887</v>
      </c>
      <c r="H3538" t="s">
        <v>20888</v>
      </c>
      <c r="I3538">
        <v>764</v>
      </c>
      <c r="J3538" t="s">
        <v>20889</v>
      </c>
      <c r="K3538" t="s">
        <v>20890</v>
      </c>
      <c r="L3538" s="7" t="s">
        <v>20891</v>
      </c>
      <c r="M3538" t="s">
        <v>20892</v>
      </c>
      <c r="N3538">
        <v>187</v>
      </c>
      <c r="O3538">
        <v>178</v>
      </c>
      <c r="P3538">
        <v>9</v>
      </c>
      <c r="Q3538">
        <v>176</v>
      </c>
      <c r="R3538">
        <v>167</v>
      </c>
      <c r="S3538">
        <v>9</v>
      </c>
      <c r="T3538">
        <v>0</v>
      </c>
      <c r="U3538" t="s">
        <v>20893</v>
      </c>
      <c r="V3538">
        <f>Tabla1[[#This Row],[Aboard]]-Tabla1[[#This Row],[Fatalities]]</f>
        <v>11</v>
      </c>
      <c r="W3538" s="50">
        <f>IFERROR(Tabla1[[#This Row],[Fatalities]]/Tabla1[[#This Row],[Aboard]],0)</f>
        <v>0.94117647058823528</v>
      </c>
      <c r="X3538" s="51" t="str" cm="1">
        <f t="array" ref="X3538">_xlfn.IFS(Tabla1[[#This Row],[Porcentaje de muertes]]&lt;0.35,"LEVE",AND(Tabla1[[#This Row],[Porcentaje de muertes]]&gt;0.35,Tabla1[[#This Row],[Porcentaje de muertes]]&lt;0.65),"MEDIO",Tabla1[[#This Row],[Porcentaje de muertes]]&gt;0.65,"GRAVE")</f>
        <v>GRAVE</v>
      </c>
    </row>
    <row r="3539" spans="2:24" x14ac:dyDescent="0.3">
      <c r="B3539" s="9">
        <v>3538</v>
      </c>
      <c r="C3539" s="49">
        <v>32818</v>
      </c>
      <c r="D3539" s="9">
        <f>YEAR(Tabla1[[#This Row],[Date]])</f>
        <v>1989</v>
      </c>
      <c r="E3539" s="9" t="str" cm="1">
        <f t="array" ref="E3539">IFERROR(_xlfn.IFS(AND(D3539&lt;1980,D3539&gt;=1970),"70",AND(D3539&lt;1990,D3539&gt;=1980),"80",AND(D3539&lt;2000,D3539&gt;=1990),"90",AND(D3539&lt;2010,D3539&gt;=2000),"00",AND(D3539&lt;=2019,D3539&gt;=2010),"10"),"1908-1970")</f>
        <v>80</v>
      </c>
      <c r="F3539" s="3">
        <v>0.42708333333333331</v>
      </c>
      <c r="G3539" t="s">
        <v>20894</v>
      </c>
      <c r="H3539" t="s">
        <v>20895</v>
      </c>
      <c r="I3539" t="s">
        <v>28931</v>
      </c>
      <c r="J3539" t="s">
        <v>20896</v>
      </c>
      <c r="K3539" t="s">
        <v>16680</v>
      </c>
      <c r="L3539" s="7" t="s">
        <v>20897</v>
      </c>
      <c r="M3539">
        <v>676</v>
      </c>
      <c r="N3539">
        <v>22</v>
      </c>
      <c r="O3539">
        <v>20</v>
      </c>
      <c r="P3539">
        <v>2</v>
      </c>
      <c r="Q3539">
        <v>6</v>
      </c>
      <c r="R3539">
        <v>6</v>
      </c>
      <c r="S3539">
        <v>0</v>
      </c>
      <c r="T3539">
        <v>0</v>
      </c>
      <c r="U3539" t="s">
        <v>7413</v>
      </c>
      <c r="V3539">
        <f>Tabla1[[#This Row],[Aboard]]-Tabla1[[#This Row],[Fatalities]]</f>
        <v>16</v>
      </c>
      <c r="W3539" s="50">
        <f>IFERROR(Tabla1[[#This Row],[Fatalities]]/Tabla1[[#This Row],[Aboard]],0)</f>
        <v>0.27272727272727271</v>
      </c>
      <c r="X3539" s="51" t="str" cm="1">
        <f t="array" ref="X3539">_xlfn.IFS(Tabla1[[#This Row],[Porcentaje de muertes]]&lt;0.35,"LEVE",AND(Tabla1[[#This Row],[Porcentaje de muertes]]&gt;0.35,Tabla1[[#This Row],[Porcentaje de muertes]]&lt;0.65),"MEDIO",Tabla1[[#This Row],[Porcentaje de muertes]]&gt;0.65,"GRAVE")</f>
        <v>LEVE</v>
      </c>
    </row>
    <row r="3540" spans="2:24" x14ac:dyDescent="0.3">
      <c r="B3540" s="9">
        <v>3539</v>
      </c>
      <c r="C3540" s="49">
        <v>32676</v>
      </c>
      <c r="D3540" s="9">
        <f>YEAR(Tabla1[[#This Row],[Date]])</f>
        <v>1989</v>
      </c>
      <c r="E3540" s="9" t="str" cm="1">
        <f t="array" ref="E3540">IFERROR(_xlfn.IFS(AND(D3540&lt;1980,D3540&gt;=1970),"70",AND(D3540&lt;1990,D3540&gt;=1980),"80",AND(D3540&lt;2000,D3540&gt;=1990),"90",AND(D3540&lt;2010,D3540&gt;=2000),"00",AND(D3540&lt;=2019,D3540&gt;=2010),"10"),"1908-1970")</f>
        <v>80</v>
      </c>
      <c r="F3540" s="3">
        <v>0.3527777777777778</v>
      </c>
      <c r="G3540" t="s">
        <v>7568</v>
      </c>
      <c r="H3540" t="s">
        <v>16544</v>
      </c>
      <c r="I3540" t="s">
        <v>28931</v>
      </c>
      <c r="J3540" t="s">
        <v>6919</v>
      </c>
      <c r="K3540" t="s">
        <v>20898</v>
      </c>
      <c r="L3540" s="7" t="s">
        <v>20899</v>
      </c>
      <c r="M3540">
        <v>2850324</v>
      </c>
      <c r="N3540">
        <v>113</v>
      </c>
      <c r="O3540">
        <v>103</v>
      </c>
      <c r="P3540">
        <v>10</v>
      </c>
      <c r="Q3540">
        <v>20</v>
      </c>
      <c r="R3540">
        <v>20</v>
      </c>
      <c r="S3540">
        <v>0</v>
      </c>
      <c r="T3540">
        <v>1</v>
      </c>
      <c r="U3540" t="s">
        <v>20900</v>
      </c>
      <c r="V3540">
        <f>Tabla1[[#This Row],[Aboard]]-Tabla1[[#This Row],[Fatalities]]</f>
        <v>93</v>
      </c>
      <c r="W3540" s="50">
        <f>IFERROR(Tabla1[[#This Row],[Fatalities]]/Tabla1[[#This Row],[Aboard]],0)</f>
        <v>0.17699115044247787</v>
      </c>
      <c r="X3540" s="51" t="str" cm="1">
        <f t="array" ref="X3540">_xlfn.IFS(Tabla1[[#This Row],[Porcentaje de muertes]]&lt;0.35,"LEVE",AND(Tabla1[[#This Row],[Porcentaje de muertes]]&gt;0.35,Tabla1[[#This Row],[Porcentaje de muertes]]&lt;0.65),"MEDIO",Tabla1[[#This Row],[Porcentaje de muertes]]&gt;0.65,"GRAVE")</f>
        <v>LEVE</v>
      </c>
    </row>
    <row r="3541" spans="2:24" x14ac:dyDescent="0.3">
      <c r="B3541" s="9">
        <v>3540</v>
      </c>
      <c r="C3541" s="49">
        <v>32677</v>
      </c>
      <c r="D3541" s="9">
        <f>YEAR(Tabla1[[#This Row],[Date]])</f>
        <v>1989</v>
      </c>
      <c r="E3541" s="9" t="str" cm="1">
        <f t="array" ref="E3541">IFERROR(_xlfn.IFS(AND(D3541&lt;1980,D3541&gt;=1970),"70",AND(D3541&lt;1990,D3541&gt;=1980),"80",AND(D3541&lt;2000,D3541&gt;=1990),"90",AND(D3541&lt;2010,D3541&gt;=2000),"00",AND(D3541&lt;=2019,D3541&gt;=2010),"10"),"1908-1970")</f>
        <v>80</v>
      </c>
      <c r="F3541" s="3">
        <v>0.55555555555555558</v>
      </c>
      <c r="G3541" t="s">
        <v>20901</v>
      </c>
      <c r="H3541" t="s">
        <v>11177</v>
      </c>
      <c r="I3541" t="s">
        <v>28931</v>
      </c>
      <c r="J3541" t="s">
        <v>20902</v>
      </c>
      <c r="K3541" t="s">
        <v>17904</v>
      </c>
      <c r="L3541" s="7" t="s">
        <v>20903</v>
      </c>
      <c r="M3541">
        <v>14104</v>
      </c>
      <c r="N3541">
        <v>39</v>
      </c>
      <c r="O3541">
        <v>35</v>
      </c>
      <c r="P3541">
        <v>4</v>
      </c>
      <c r="Q3541">
        <v>6</v>
      </c>
      <c r="R3541">
        <v>6</v>
      </c>
      <c r="S3541">
        <v>0</v>
      </c>
      <c r="T3541">
        <v>0</v>
      </c>
      <c r="U3541" t="s">
        <v>20904</v>
      </c>
      <c r="V3541">
        <f>Tabla1[[#This Row],[Aboard]]-Tabla1[[#This Row],[Fatalities]]</f>
        <v>33</v>
      </c>
      <c r="W3541" s="50">
        <f>IFERROR(Tabla1[[#This Row],[Fatalities]]/Tabla1[[#This Row],[Aboard]],0)</f>
        <v>0.15384615384615385</v>
      </c>
      <c r="X3541" s="51" t="str" cm="1">
        <f t="array" ref="X3541">_xlfn.IFS(Tabla1[[#This Row],[Porcentaje de muertes]]&lt;0.35,"LEVE",AND(Tabla1[[#This Row],[Porcentaje de muertes]]&gt;0.35,Tabla1[[#This Row],[Porcentaje de muertes]]&lt;0.65),"MEDIO",Tabla1[[#This Row],[Porcentaje de muertes]]&gt;0.65,"GRAVE")</f>
        <v>LEVE</v>
      </c>
    </row>
    <row r="3542" spans="2:24" x14ac:dyDescent="0.3">
      <c r="B3542" s="9">
        <v>3541</v>
      </c>
      <c r="C3542" s="49">
        <v>32681</v>
      </c>
      <c r="D3542" s="9">
        <f>YEAR(Tabla1[[#This Row],[Date]])</f>
        <v>1989</v>
      </c>
      <c r="E3542" s="9" t="str" cm="1">
        <f t="array" ref="E3542">IFERROR(_xlfn.IFS(AND(D3542&lt;1980,D3542&gt;=1970),"70",AND(D3542&lt;1990,D3542&gt;=1980),"80",AND(D3542&lt;2000,D3542&gt;=1990),"90",AND(D3542&lt;2010,D3542&gt;=2000),"00",AND(D3542&lt;=2019,D3542&gt;=2010),"10"),"1908-1970")</f>
        <v>80</v>
      </c>
      <c r="F3542" s="3">
        <v>0.73611111111111116</v>
      </c>
      <c r="G3542" t="s">
        <v>20905</v>
      </c>
      <c r="H3542" t="s">
        <v>16081</v>
      </c>
      <c r="I3542" t="s">
        <v>28931</v>
      </c>
      <c r="J3542" t="s">
        <v>20906</v>
      </c>
      <c r="K3542" t="s">
        <v>18405</v>
      </c>
      <c r="L3542" s="7" t="s">
        <v>20907</v>
      </c>
      <c r="M3542">
        <v>329</v>
      </c>
      <c r="N3542">
        <v>62</v>
      </c>
      <c r="O3542">
        <v>57</v>
      </c>
      <c r="P3542">
        <v>5</v>
      </c>
      <c r="Q3542">
        <v>62</v>
      </c>
      <c r="R3542">
        <v>57</v>
      </c>
      <c r="S3542">
        <v>5</v>
      </c>
      <c r="T3542">
        <v>0</v>
      </c>
      <c r="U3542" t="s">
        <v>20908</v>
      </c>
      <c r="V3542">
        <f>Tabla1[[#This Row],[Aboard]]-Tabla1[[#This Row],[Fatalities]]</f>
        <v>0</v>
      </c>
      <c r="W3542" s="50">
        <f>IFERROR(Tabla1[[#This Row],[Fatalities]]/Tabla1[[#This Row],[Aboard]],0)</f>
        <v>1</v>
      </c>
      <c r="X3542" s="51" t="str" cm="1">
        <f t="array" ref="X3542">_xlfn.IFS(Tabla1[[#This Row],[Porcentaje de muertes]]&lt;0.35,"LEVE",AND(Tabla1[[#This Row],[Porcentaje de muertes]]&gt;0.35,Tabla1[[#This Row],[Porcentaje de muertes]]&lt;0.65),"MEDIO",Tabla1[[#This Row],[Porcentaje de muertes]]&gt;0.65,"GRAVE")</f>
        <v>GRAVE</v>
      </c>
    </row>
    <row r="3543" spans="2:24" x14ac:dyDescent="0.3">
      <c r="B3543" s="9">
        <v>3542</v>
      </c>
      <c r="C3543" s="49">
        <v>32686</v>
      </c>
      <c r="D3543" s="9">
        <f>YEAR(Tabla1[[#This Row],[Date]])</f>
        <v>1989</v>
      </c>
      <c r="E3543" s="9" t="str" cm="1">
        <f t="array" ref="E3543">IFERROR(_xlfn.IFS(AND(D3543&lt;1980,D3543&gt;=1970),"70",AND(D3543&lt;1990,D3543&gt;=1980),"80",AND(D3543&lt;2000,D3543&gt;=1990),"90",AND(D3543&lt;2010,D3543&gt;=2000),"00",AND(D3543&lt;=2019,D3543&gt;=2010),"10"),"1908-1970")</f>
        <v>80</v>
      </c>
      <c r="F3543" s="3" t="s">
        <v>28931</v>
      </c>
      <c r="G3543" t="s">
        <v>20909</v>
      </c>
      <c r="H3543" t="s">
        <v>20910</v>
      </c>
      <c r="I3543" t="s">
        <v>28931</v>
      </c>
      <c r="J3543" t="s">
        <v>20911</v>
      </c>
      <c r="K3543" t="s">
        <v>20912</v>
      </c>
      <c r="L3543" s="7" t="s">
        <v>20913</v>
      </c>
      <c r="M3543" t="s">
        <v>20914</v>
      </c>
      <c r="N3543">
        <v>13</v>
      </c>
      <c r="O3543">
        <v>11</v>
      </c>
      <c r="P3543">
        <v>2</v>
      </c>
      <c r="Q3543">
        <v>12</v>
      </c>
      <c r="R3543">
        <v>10</v>
      </c>
      <c r="S3543">
        <v>1</v>
      </c>
      <c r="T3543">
        <v>0</v>
      </c>
      <c r="U3543" t="s">
        <v>20915</v>
      </c>
      <c r="V3543">
        <f>Tabla1[[#This Row],[Aboard]]-Tabla1[[#This Row],[Fatalities]]</f>
        <v>1</v>
      </c>
      <c r="W3543" s="50">
        <f>IFERROR(Tabla1[[#This Row],[Fatalities]]/Tabla1[[#This Row],[Aboard]],0)</f>
        <v>0.92307692307692313</v>
      </c>
      <c r="X3543" s="51" t="str" cm="1">
        <f t="array" ref="X3543">_xlfn.IFS(Tabla1[[#This Row],[Porcentaje de muertes]]&lt;0.35,"LEVE",AND(Tabla1[[#This Row],[Porcentaje de muertes]]&gt;0.35,Tabla1[[#This Row],[Porcentaje de muertes]]&lt;0.65),"MEDIO",Tabla1[[#This Row],[Porcentaje de muertes]]&gt;0.65,"GRAVE")</f>
        <v>GRAVE</v>
      </c>
    </row>
    <row r="3544" spans="2:24" x14ac:dyDescent="0.3">
      <c r="B3544" s="9">
        <v>3543</v>
      </c>
      <c r="C3544" s="49">
        <v>32687</v>
      </c>
      <c r="D3544" s="9">
        <f>YEAR(Tabla1[[#This Row],[Date]])</f>
        <v>1989</v>
      </c>
      <c r="E3544" s="9" t="str" cm="1">
        <f t="array" ref="E3544">IFERROR(_xlfn.IFS(AND(D3544&lt;1980,D3544&gt;=1970),"70",AND(D3544&lt;1990,D3544&gt;=1980),"80",AND(D3544&lt;2000,D3544&gt;=1990),"90",AND(D3544&lt;2010,D3544&gt;=2000),"00",AND(D3544&lt;=2019,D3544&gt;=2010),"10"),"1908-1970")</f>
        <v>80</v>
      </c>
      <c r="F3544" s="3">
        <v>0.8881944444444444</v>
      </c>
      <c r="G3544" t="s">
        <v>20916</v>
      </c>
      <c r="H3544" t="s">
        <v>19003</v>
      </c>
      <c r="I3544" t="s">
        <v>28931</v>
      </c>
      <c r="J3544" t="s">
        <v>19655</v>
      </c>
      <c r="K3544" t="s">
        <v>20917</v>
      </c>
      <c r="L3544" s="7" t="s">
        <v>20918</v>
      </c>
      <c r="M3544">
        <v>1804</v>
      </c>
      <c r="N3544">
        <v>47</v>
      </c>
      <c r="O3544">
        <v>45</v>
      </c>
      <c r="P3544">
        <v>2</v>
      </c>
      <c r="Q3544">
        <v>3</v>
      </c>
      <c r="R3544">
        <v>1</v>
      </c>
      <c r="S3544">
        <v>2</v>
      </c>
      <c r="T3544">
        <v>0</v>
      </c>
      <c r="U3544" t="s">
        <v>20919</v>
      </c>
      <c r="V3544">
        <f>Tabla1[[#This Row],[Aboard]]-Tabla1[[#This Row],[Fatalities]]</f>
        <v>44</v>
      </c>
      <c r="W3544" s="50">
        <f>IFERROR(Tabla1[[#This Row],[Fatalities]]/Tabla1[[#This Row],[Aboard]],0)</f>
        <v>6.3829787234042548E-2</v>
      </c>
      <c r="X3544" s="51" t="str" cm="1">
        <f t="array" ref="X3544">_xlfn.IFS(Tabla1[[#This Row],[Porcentaje de muertes]]&lt;0.35,"LEVE",AND(Tabla1[[#This Row],[Porcentaje de muertes]]&gt;0.35,Tabla1[[#This Row],[Porcentaje de muertes]]&lt;0.65),"MEDIO",Tabla1[[#This Row],[Porcentaje de muertes]]&gt;0.65,"GRAVE")</f>
        <v>LEVE</v>
      </c>
    </row>
    <row r="3545" spans="2:24" x14ac:dyDescent="0.3">
      <c r="B3545" s="9">
        <v>3544</v>
      </c>
      <c r="C3545" s="49">
        <v>32687</v>
      </c>
      <c r="D3545" s="9">
        <f>YEAR(Tabla1[[#This Row],[Date]])</f>
        <v>1989</v>
      </c>
      <c r="E3545" s="9" t="str" cm="1">
        <f t="array" ref="E3545">IFERROR(_xlfn.IFS(AND(D3545&lt;1980,D3545&gt;=1970),"70",AND(D3545&lt;1990,D3545&gt;=1980),"80",AND(D3545&lt;2000,D3545&gt;=1990),"90",AND(D3545&lt;2010,D3545&gt;=2000),"00",AND(D3545&lt;=2019,D3545&gt;=2010),"10"),"1908-1970")</f>
        <v>80</v>
      </c>
      <c r="F3545" s="3">
        <v>0.39583333333333331</v>
      </c>
      <c r="G3545" t="s">
        <v>20920</v>
      </c>
      <c r="H3545" t="s">
        <v>15860</v>
      </c>
      <c r="I3545" t="s">
        <v>28931</v>
      </c>
      <c r="J3545" t="s">
        <v>20921</v>
      </c>
      <c r="K3545" t="s">
        <v>18916</v>
      </c>
      <c r="L3545" s="7" t="s">
        <v>20922</v>
      </c>
      <c r="M3545">
        <v>10559</v>
      </c>
      <c r="N3545">
        <v>30</v>
      </c>
      <c r="O3545">
        <v>24</v>
      </c>
      <c r="P3545">
        <v>6</v>
      </c>
      <c r="Q3545">
        <v>30</v>
      </c>
      <c r="R3545">
        <v>24</v>
      </c>
      <c r="S3545">
        <v>6</v>
      </c>
      <c r="T3545">
        <v>0</v>
      </c>
      <c r="U3545" t="s">
        <v>20923</v>
      </c>
      <c r="V3545">
        <f>Tabla1[[#This Row],[Aboard]]-Tabla1[[#This Row],[Fatalities]]</f>
        <v>0</v>
      </c>
      <c r="W3545" s="50">
        <f>IFERROR(Tabla1[[#This Row],[Fatalities]]/Tabla1[[#This Row],[Aboard]],0)</f>
        <v>1</v>
      </c>
      <c r="X3545" s="51" t="str" cm="1">
        <f t="array" ref="X3545">_xlfn.IFS(Tabla1[[#This Row],[Porcentaje de muertes]]&lt;0.35,"LEVE",AND(Tabla1[[#This Row],[Porcentaje de muertes]]&gt;0.35,Tabla1[[#This Row],[Porcentaje de muertes]]&lt;0.65),"MEDIO",Tabla1[[#This Row],[Porcentaje de muertes]]&gt;0.65,"GRAVE")</f>
        <v>GRAVE</v>
      </c>
    </row>
    <row r="3546" spans="2:24" x14ac:dyDescent="0.3">
      <c r="B3546" s="9">
        <v>3545</v>
      </c>
      <c r="C3546" s="49">
        <v>32688</v>
      </c>
      <c r="D3546" s="9">
        <f>YEAR(Tabla1[[#This Row],[Date]])</f>
        <v>1989</v>
      </c>
      <c r="E3546" s="9" t="str" cm="1">
        <f t="array" ref="E3546">IFERROR(_xlfn.IFS(AND(D3546&lt;1980,D3546&gt;=1970),"70",AND(D3546&lt;1990,D3546&gt;=1980),"80",AND(D3546&lt;2000,D3546&gt;=1990),"90",AND(D3546&lt;2010,D3546&gt;=2000),"00",AND(D3546&lt;=2019,D3546&gt;=2010),"10"),"1908-1970")</f>
        <v>80</v>
      </c>
      <c r="F3546" s="3">
        <v>2.7777777777777779E-3</v>
      </c>
      <c r="G3546" t="s">
        <v>20924</v>
      </c>
      <c r="H3546" t="s">
        <v>20925</v>
      </c>
      <c r="I3546" t="s">
        <v>28931</v>
      </c>
      <c r="J3546" t="s">
        <v>20926</v>
      </c>
      <c r="K3546" t="s">
        <v>20927</v>
      </c>
      <c r="L3546" s="7" t="s">
        <v>20928</v>
      </c>
      <c r="M3546">
        <v>208</v>
      </c>
      <c r="N3546">
        <v>2</v>
      </c>
      <c r="O3546">
        <v>0</v>
      </c>
      <c r="P3546">
        <v>2</v>
      </c>
      <c r="Q3546">
        <v>2</v>
      </c>
      <c r="R3546">
        <v>0</v>
      </c>
      <c r="S3546">
        <v>2</v>
      </c>
      <c r="T3546">
        <v>0</v>
      </c>
      <c r="U3546" t="s">
        <v>20929</v>
      </c>
      <c r="V3546">
        <f>Tabla1[[#This Row],[Aboard]]-Tabla1[[#This Row],[Fatalities]]</f>
        <v>0</v>
      </c>
      <c r="W3546" s="50">
        <f>IFERROR(Tabla1[[#This Row],[Fatalities]]/Tabla1[[#This Row],[Aboard]],0)</f>
        <v>1</v>
      </c>
      <c r="X3546" s="51" t="str" cm="1">
        <f t="array" ref="X3546">_xlfn.IFS(Tabla1[[#This Row],[Porcentaje de muertes]]&lt;0.35,"LEVE",AND(Tabla1[[#This Row],[Porcentaje de muertes]]&gt;0.35,Tabla1[[#This Row],[Porcentaje de muertes]]&lt;0.65),"MEDIO",Tabla1[[#This Row],[Porcentaje de muertes]]&gt;0.65,"GRAVE")</f>
        <v>GRAVE</v>
      </c>
    </row>
    <row r="3547" spans="2:24" x14ac:dyDescent="0.3">
      <c r="B3547" s="9">
        <v>3546</v>
      </c>
      <c r="C3547" s="49">
        <v>32708</v>
      </c>
      <c r="D3547" s="9">
        <f>YEAR(Tabla1[[#This Row],[Date]])</f>
        <v>1989</v>
      </c>
      <c r="E3547" s="9" t="str" cm="1">
        <f t="array" ref="E3547">IFERROR(_xlfn.IFS(AND(D3547&lt;1980,D3547&gt;=1970),"70",AND(D3547&lt;1990,D3547&gt;=1980),"80",AND(D3547&lt;2000,D3547&gt;=1990),"90",AND(D3547&lt;2010,D3547&gt;=2000),"00",AND(D3547&lt;=2019,D3547&gt;=2010),"10"),"1908-1970")</f>
        <v>80</v>
      </c>
      <c r="F3547" s="3">
        <v>0.3034722222222222</v>
      </c>
      <c r="G3547" t="s">
        <v>20930</v>
      </c>
      <c r="H3547" t="s">
        <v>20931</v>
      </c>
      <c r="I3547" t="s">
        <v>28931</v>
      </c>
      <c r="J3547" t="s">
        <v>20932</v>
      </c>
      <c r="K3547" t="s">
        <v>16278</v>
      </c>
      <c r="L3547" s="7" t="s">
        <v>20933</v>
      </c>
      <c r="M3547" t="s">
        <v>28931</v>
      </c>
      <c r="N3547">
        <v>5</v>
      </c>
      <c r="O3547">
        <v>4</v>
      </c>
      <c r="P3547">
        <v>1</v>
      </c>
      <c r="Q3547">
        <v>2</v>
      </c>
      <c r="R3547">
        <v>2</v>
      </c>
      <c r="S3547">
        <v>0</v>
      </c>
      <c r="T3547">
        <v>0</v>
      </c>
      <c r="U3547" t="s">
        <v>20934</v>
      </c>
      <c r="V3547">
        <f>Tabla1[[#This Row],[Aboard]]-Tabla1[[#This Row],[Fatalities]]</f>
        <v>3</v>
      </c>
      <c r="W3547" s="50">
        <f>IFERROR(Tabla1[[#This Row],[Fatalities]]/Tabla1[[#This Row],[Aboard]],0)</f>
        <v>0.4</v>
      </c>
      <c r="X3547" s="51" t="str" cm="1">
        <f t="array" ref="X3547">_xlfn.IFS(Tabla1[[#This Row],[Porcentaje de muertes]]&lt;0.35,"LEVE",AND(Tabla1[[#This Row],[Porcentaje de muertes]]&gt;0.35,Tabla1[[#This Row],[Porcentaje de muertes]]&lt;0.65),"MEDIO",Tabla1[[#This Row],[Porcentaje de muertes]]&gt;0.65,"GRAVE")</f>
        <v>MEDIO</v>
      </c>
    </row>
    <row r="3548" spans="2:24" x14ac:dyDescent="0.3">
      <c r="B3548" s="9">
        <v>3547</v>
      </c>
      <c r="C3548" s="49">
        <v>32708</v>
      </c>
      <c r="D3548" s="9">
        <f>YEAR(Tabla1[[#This Row],[Date]])</f>
        <v>1989</v>
      </c>
      <c r="E3548" s="9" t="str" cm="1">
        <f t="array" ref="E3548">IFERROR(_xlfn.IFS(AND(D3548&lt;1980,D3548&gt;=1970),"70",AND(D3548&lt;1990,D3548&gt;=1980),"80",AND(D3548&lt;2000,D3548&gt;=1990),"90",AND(D3548&lt;2010,D3548&gt;=2000),"00",AND(D3548&lt;=2019,D3548&gt;=2010),"10"),"1908-1970")</f>
        <v>80</v>
      </c>
      <c r="F3548" s="3">
        <v>0.4597222222222222</v>
      </c>
      <c r="G3548" t="s">
        <v>20935</v>
      </c>
      <c r="H3548" t="s">
        <v>6541</v>
      </c>
      <c r="I3548" t="s">
        <v>28931</v>
      </c>
      <c r="J3548" t="s">
        <v>20936</v>
      </c>
      <c r="K3548" t="s">
        <v>17904</v>
      </c>
      <c r="L3548" s="7" t="s">
        <v>20937</v>
      </c>
      <c r="M3548">
        <v>8805</v>
      </c>
      <c r="N3548">
        <v>10</v>
      </c>
      <c r="O3548">
        <v>6</v>
      </c>
      <c r="P3548">
        <v>4</v>
      </c>
      <c r="Q3548">
        <v>10</v>
      </c>
      <c r="R3548">
        <v>6</v>
      </c>
      <c r="S3548">
        <v>4</v>
      </c>
      <c r="T3548">
        <v>0</v>
      </c>
      <c r="U3548" t="s">
        <v>20938</v>
      </c>
      <c r="V3548">
        <f>Tabla1[[#This Row],[Aboard]]-Tabla1[[#This Row],[Fatalities]]</f>
        <v>0</v>
      </c>
      <c r="W3548" s="50">
        <f>IFERROR(Tabla1[[#This Row],[Fatalities]]/Tabla1[[#This Row],[Aboard]],0)</f>
        <v>1</v>
      </c>
      <c r="X3548" s="51" t="str" cm="1">
        <f t="array" ref="X3548">_xlfn.IFS(Tabla1[[#This Row],[Porcentaje de muertes]]&lt;0.35,"LEVE",AND(Tabla1[[#This Row],[Porcentaje de muertes]]&gt;0.35,Tabla1[[#This Row],[Porcentaje de muertes]]&lt;0.65),"MEDIO",Tabla1[[#This Row],[Porcentaje de muertes]]&gt;0.65,"GRAVE")</f>
        <v>GRAVE</v>
      </c>
    </row>
    <row r="3549" spans="2:24" x14ac:dyDescent="0.3">
      <c r="B3549" s="9">
        <v>3548</v>
      </c>
      <c r="C3549" s="49">
        <v>32708</v>
      </c>
      <c r="D3549" s="9">
        <f>YEAR(Tabla1[[#This Row],[Date]])</f>
        <v>1989</v>
      </c>
      <c r="E3549" s="9" t="str" cm="1">
        <f t="array" ref="E3549">IFERROR(_xlfn.IFS(AND(D3549&lt;1980,D3549&gt;=1970),"70",AND(D3549&lt;1990,D3549&gt;=1980),"80",AND(D3549&lt;2000,D3549&gt;=1990),"90",AND(D3549&lt;2010,D3549&gt;=2000),"00",AND(D3549&lt;=2019,D3549&gt;=2010),"10"),"1908-1970")</f>
        <v>80</v>
      </c>
      <c r="F3549" s="3">
        <v>0.66666666666666663</v>
      </c>
      <c r="G3549" t="s">
        <v>10327</v>
      </c>
      <c r="H3549" t="s">
        <v>6369</v>
      </c>
      <c r="I3549">
        <v>232</v>
      </c>
      <c r="J3549" t="s">
        <v>20939</v>
      </c>
      <c r="K3549" t="s">
        <v>16963</v>
      </c>
      <c r="L3549" s="7" t="s">
        <v>20940</v>
      </c>
      <c r="M3549" t="s">
        <v>20941</v>
      </c>
      <c r="N3549">
        <v>298</v>
      </c>
      <c r="O3549">
        <v>287</v>
      </c>
      <c r="P3549">
        <v>11</v>
      </c>
      <c r="Q3549">
        <v>112</v>
      </c>
      <c r="R3549">
        <v>111</v>
      </c>
      <c r="S3549">
        <v>1</v>
      </c>
      <c r="T3549">
        <v>0</v>
      </c>
      <c r="U3549" t="s">
        <v>20942</v>
      </c>
      <c r="V3549">
        <f>Tabla1[[#This Row],[Aboard]]-Tabla1[[#This Row],[Fatalities]]</f>
        <v>186</v>
      </c>
      <c r="W3549" s="50">
        <f>IFERROR(Tabla1[[#This Row],[Fatalities]]/Tabla1[[#This Row],[Aboard]],0)</f>
        <v>0.37583892617449666</v>
      </c>
      <c r="X3549" s="51" t="str" cm="1">
        <f t="array" ref="X3549">_xlfn.IFS(Tabla1[[#This Row],[Porcentaje de muertes]]&lt;0.35,"LEVE",AND(Tabla1[[#This Row],[Porcentaje de muertes]]&gt;0.35,Tabla1[[#This Row],[Porcentaje de muertes]]&lt;0.65),"MEDIO",Tabla1[[#This Row],[Porcentaje de muertes]]&gt;0.65,"GRAVE")</f>
        <v>MEDIO</v>
      </c>
    </row>
    <row r="3550" spans="2:24" x14ac:dyDescent="0.3">
      <c r="B3550" s="9">
        <v>3549</v>
      </c>
      <c r="C3550" s="49">
        <v>32710</v>
      </c>
      <c r="D3550" s="9">
        <f>YEAR(Tabla1[[#This Row],[Date]])</f>
        <v>1989</v>
      </c>
      <c r="E3550" s="9" t="str" cm="1">
        <f t="array" ref="E3550">IFERROR(_xlfn.IFS(AND(D3550&lt;1980,D3550&gt;=1970),"70",AND(D3550&lt;1990,D3550&gt;=1980),"80",AND(D3550&lt;2000,D3550&gt;=1990),"90",AND(D3550&lt;2010,D3550&gt;=2000),"00",AND(D3550&lt;=2019,D3550&gt;=2010),"10"),"1908-1970")</f>
        <v>80</v>
      </c>
      <c r="F3550" s="3" t="s">
        <v>28931</v>
      </c>
      <c r="G3550" t="s">
        <v>20943</v>
      </c>
      <c r="H3550" t="s">
        <v>19661</v>
      </c>
      <c r="I3550" t="s">
        <v>28931</v>
      </c>
      <c r="J3550" t="s">
        <v>20944</v>
      </c>
      <c r="K3550" t="s">
        <v>16680</v>
      </c>
      <c r="L3550" s="7" t="s">
        <v>20945</v>
      </c>
      <c r="M3550">
        <v>366</v>
      </c>
      <c r="N3550">
        <v>22</v>
      </c>
      <c r="O3550">
        <v>20</v>
      </c>
      <c r="P3550">
        <v>2</v>
      </c>
      <c r="Q3550">
        <v>3</v>
      </c>
      <c r="R3550">
        <v>1</v>
      </c>
      <c r="S3550">
        <v>2</v>
      </c>
      <c r="T3550">
        <v>0</v>
      </c>
      <c r="U3550" t="s">
        <v>20946</v>
      </c>
      <c r="V3550">
        <f>Tabla1[[#This Row],[Aboard]]-Tabla1[[#This Row],[Fatalities]]</f>
        <v>19</v>
      </c>
      <c r="W3550" s="50">
        <f>IFERROR(Tabla1[[#This Row],[Fatalities]]/Tabla1[[#This Row],[Aboard]],0)</f>
        <v>0.13636363636363635</v>
      </c>
      <c r="X3550" s="51" t="str" cm="1">
        <f t="array" ref="X3550">_xlfn.IFS(Tabla1[[#This Row],[Porcentaje de muertes]]&lt;0.35,"LEVE",AND(Tabla1[[#This Row],[Porcentaje de muertes]]&gt;0.35,Tabla1[[#This Row],[Porcentaje de muertes]]&lt;0.65),"MEDIO",Tabla1[[#This Row],[Porcentaje de muertes]]&gt;0.65,"GRAVE")</f>
        <v>LEVE</v>
      </c>
    </row>
    <row r="3551" spans="2:24" x14ac:dyDescent="0.3">
      <c r="B3551" s="9">
        <v>3550</v>
      </c>
      <c r="C3551" s="49">
        <v>32710</v>
      </c>
      <c r="D3551" s="9">
        <f>YEAR(Tabla1[[#This Row],[Date]])</f>
        <v>1989</v>
      </c>
      <c r="E3551" s="9" t="str" cm="1">
        <f t="array" ref="E3551">IFERROR(_xlfn.IFS(AND(D3551&lt;1980,D3551&gt;=1970),"70",AND(D3551&lt;1990,D3551&gt;=1980),"80",AND(D3551&lt;2000,D3551&gt;=1990),"90",AND(D3551&lt;2010,D3551&gt;=2000),"00",AND(D3551&lt;=2019,D3551&gt;=2010),"10"),"1908-1970")</f>
        <v>80</v>
      </c>
      <c r="F3551" s="3">
        <v>0.64097222222222217</v>
      </c>
      <c r="G3551" t="s">
        <v>12372</v>
      </c>
      <c r="H3551" t="s">
        <v>8992</v>
      </c>
      <c r="I3551" t="s">
        <v>28931</v>
      </c>
      <c r="J3551" t="s">
        <v>20947</v>
      </c>
      <c r="K3551" t="s">
        <v>20948</v>
      </c>
      <c r="L3551" s="7" t="s">
        <v>20949</v>
      </c>
      <c r="M3551">
        <v>231</v>
      </c>
      <c r="N3551">
        <v>98</v>
      </c>
      <c r="O3551">
        <v>91</v>
      </c>
      <c r="P3551">
        <v>7</v>
      </c>
      <c r="Q3551">
        <v>1</v>
      </c>
      <c r="R3551">
        <v>1</v>
      </c>
      <c r="S3551">
        <v>0</v>
      </c>
      <c r="T3551">
        <v>8</v>
      </c>
      <c r="U3551" t="s">
        <v>20950</v>
      </c>
      <c r="V3551">
        <f>Tabla1[[#This Row],[Aboard]]-Tabla1[[#This Row],[Fatalities]]</f>
        <v>97</v>
      </c>
      <c r="W3551" s="50">
        <f>IFERROR(Tabla1[[#This Row],[Fatalities]]/Tabla1[[#This Row],[Aboard]],0)</f>
        <v>1.020408163265306E-2</v>
      </c>
      <c r="X3551" s="51" t="str" cm="1">
        <f t="array" ref="X3551">_xlfn.IFS(Tabla1[[#This Row],[Porcentaje de muertes]]&lt;0.35,"LEVE",AND(Tabla1[[#This Row],[Porcentaje de muertes]]&gt;0.35,Tabla1[[#This Row],[Porcentaje de muertes]]&lt;0.65),"MEDIO",Tabla1[[#This Row],[Porcentaje de muertes]]&gt;0.65,"GRAVE")</f>
        <v>LEVE</v>
      </c>
    </row>
    <row r="3552" spans="2:24" x14ac:dyDescent="0.3">
      <c r="B3552" s="9">
        <v>3551</v>
      </c>
      <c r="C3552" s="49">
        <v>32712</v>
      </c>
      <c r="D3552" s="9">
        <f>YEAR(Tabla1[[#This Row],[Date]])</f>
        <v>1989</v>
      </c>
      <c r="E3552" s="9" t="str" cm="1">
        <f t="array" ref="E3552">IFERROR(_xlfn.IFS(AND(D3552&lt;1980,D3552&gt;=1970),"70",AND(D3552&lt;1990,D3552&gt;=1980),"80",AND(D3552&lt;2000,D3552&gt;=1990),"90",AND(D3552&lt;2010,D3552&gt;=2000),"00",AND(D3552&lt;=2019,D3552&gt;=2010),"10"),"1908-1970")</f>
        <v>80</v>
      </c>
      <c r="F3552" s="3" t="s">
        <v>28931</v>
      </c>
      <c r="G3552" t="s">
        <v>20951</v>
      </c>
      <c r="H3552" t="s">
        <v>20220</v>
      </c>
      <c r="I3552" t="s">
        <v>28931</v>
      </c>
      <c r="J3552" t="s">
        <v>28931</v>
      </c>
      <c r="K3552" t="s">
        <v>20952</v>
      </c>
      <c r="L3552" s="7" t="s">
        <v>28931</v>
      </c>
      <c r="M3552" t="s">
        <v>28931</v>
      </c>
      <c r="N3552">
        <v>30</v>
      </c>
      <c r="O3552" t="s">
        <v>5038</v>
      </c>
      <c r="P3552" t="s">
        <v>5038</v>
      </c>
      <c r="Q3552">
        <v>30</v>
      </c>
      <c r="R3552" t="s">
        <v>5038</v>
      </c>
      <c r="S3552" t="s">
        <v>5038</v>
      </c>
      <c r="T3552">
        <v>0</v>
      </c>
      <c r="U3552" t="s">
        <v>20953</v>
      </c>
      <c r="V3552">
        <f>Tabla1[[#This Row],[Aboard]]-Tabla1[[#This Row],[Fatalities]]</f>
        <v>0</v>
      </c>
      <c r="W3552" s="50">
        <f>IFERROR(Tabla1[[#This Row],[Fatalities]]/Tabla1[[#This Row],[Aboard]],0)</f>
        <v>1</v>
      </c>
      <c r="X3552" s="51" t="str" cm="1">
        <f t="array" ref="X3552">_xlfn.IFS(Tabla1[[#This Row],[Porcentaje de muertes]]&lt;0.35,"LEVE",AND(Tabla1[[#This Row],[Porcentaje de muertes]]&gt;0.35,Tabla1[[#This Row],[Porcentaje de muertes]]&lt;0.65),"MEDIO",Tabla1[[#This Row],[Porcentaje de muertes]]&gt;0.65,"GRAVE")</f>
        <v>GRAVE</v>
      </c>
    </row>
    <row r="3553" spans="2:24" x14ac:dyDescent="0.3">
      <c r="B3553" s="9">
        <v>3552</v>
      </c>
      <c r="C3553" s="49">
        <v>32715</v>
      </c>
      <c r="D3553" s="9">
        <f>YEAR(Tabla1[[#This Row],[Date]])</f>
        <v>1989</v>
      </c>
      <c r="E3553" s="9" t="str" cm="1">
        <f t="array" ref="E3553">IFERROR(_xlfn.IFS(AND(D3553&lt;1980,D3553&gt;=1970),"70",AND(D3553&lt;1990,D3553&gt;=1980),"80",AND(D3553&lt;2000,D3553&gt;=1990),"90",AND(D3553&lt;2010,D3553&gt;=2000),"00",AND(D3553&lt;=2019,D3553&gt;=2010),"10"),"1908-1970")</f>
        <v>80</v>
      </c>
      <c r="F3553" s="3" t="s">
        <v>28931</v>
      </c>
      <c r="G3553" t="s">
        <v>20954</v>
      </c>
      <c r="H3553" t="s">
        <v>17903</v>
      </c>
      <c r="I3553" t="s">
        <v>28931</v>
      </c>
      <c r="J3553" t="s">
        <v>20955</v>
      </c>
      <c r="K3553" t="s">
        <v>17904</v>
      </c>
      <c r="L3553" s="7" t="s">
        <v>28931</v>
      </c>
      <c r="M3553" t="s">
        <v>28931</v>
      </c>
      <c r="N3553">
        <v>48</v>
      </c>
      <c r="O3553">
        <v>44</v>
      </c>
      <c r="P3553">
        <v>4</v>
      </c>
      <c r="Q3553">
        <v>42</v>
      </c>
      <c r="R3553" t="s">
        <v>5038</v>
      </c>
      <c r="S3553" t="s">
        <v>5038</v>
      </c>
      <c r="T3553">
        <v>0</v>
      </c>
      <c r="U3553" t="s">
        <v>20956</v>
      </c>
      <c r="V3553">
        <f>Tabla1[[#This Row],[Aboard]]-Tabla1[[#This Row],[Fatalities]]</f>
        <v>6</v>
      </c>
      <c r="W3553" s="50">
        <f>IFERROR(Tabla1[[#This Row],[Fatalities]]/Tabla1[[#This Row],[Aboard]],0)</f>
        <v>0.875</v>
      </c>
      <c r="X3553" s="51" t="str" cm="1">
        <f t="array" ref="X3553">_xlfn.IFS(Tabla1[[#This Row],[Porcentaje de muertes]]&lt;0.35,"LEVE",AND(Tabla1[[#This Row],[Porcentaje de muertes]]&gt;0.35,Tabla1[[#This Row],[Porcentaje de muertes]]&lt;0.65),"MEDIO",Tabla1[[#This Row],[Porcentaje de muertes]]&gt;0.65,"GRAVE")</f>
        <v>GRAVE</v>
      </c>
    </row>
    <row r="3554" spans="2:24" x14ac:dyDescent="0.3">
      <c r="B3554" s="9">
        <v>3553</v>
      </c>
      <c r="C3554" s="49">
        <v>32716</v>
      </c>
      <c r="D3554" s="9">
        <f>YEAR(Tabla1[[#This Row],[Date]])</f>
        <v>1989</v>
      </c>
      <c r="E3554" s="9" t="str" cm="1">
        <f t="array" ref="E3554">IFERROR(_xlfn.IFS(AND(D3554&lt;1980,D3554&gt;=1970),"70",AND(D3554&lt;1990,D3554&gt;=1980),"80",AND(D3554&lt;2000,D3554&gt;=1990),"90",AND(D3554&lt;2010,D3554&gt;=2000),"00",AND(D3554&lt;=2019,D3554&gt;=2010),"10"),"1908-1970")</f>
        <v>80</v>
      </c>
      <c r="F3554" s="3" t="s">
        <v>28931</v>
      </c>
      <c r="G3554" t="s">
        <v>20957</v>
      </c>
      <c r="H3554" t="s">
        <v>5653</v>
      </c>
      <c r="I3554" t="s">
        <v>28931</v>
      </c>
      <c r="J3554" t="s">
        <v>28931</v>
      </c>
      <c r="K3554" t="s">
        <v>20958</v>
      </c>
      <c r="L3554" s="7" t="s">
        <v>28931</v>
      </c>
      <c r="M3554" t="s">
        <v>28931</v>
      </c>
      <c r="N3554">
        <v>19</v>
      </c>
      <c r="O3554" t="s">
        <v>5038</v>
      </c>
      <c r="P3554" t="s">
        <v>5038</v>
      </c>
      <c r="Q3554">
        <v>13</v>
      </c>
      <c r="R3554" t="s">
        <v>5038</v>
      </c>
      <c r="S3554" t="s">
        <v>5038</v>
      </c>
      <c r="T3554">
        <v>0</v>
      </c>
      <c r="U3554" t="s">
        <v>6004</v>
      </c>
      <c r="V3554">
        <f>Tabla1[[#This Row],[Aboard]]-Tabla1[[#This Row],[Fatalities]]</f>
        <v>6</v>
      </c>
      <c r="W3554" s="50">
        <f>IFERROR(Tabla1[[#This Row],[Fatalities]]/Tabla1[[#This Row],[Aboard]],0)</f>
        <v>0.68421052631578949</v>
      </c>
      <c r="X3554" s="51" t="str" cm="1">
        <f t="array" ref="X3554">_xlfn.IFS(Tabla1[[#This Row],[Porcentaje de muertes]]&lt;0.35,"LEVE",AND(Tabla1[[#This Row],[Porcentaje de muertes]]&gt;0.35,Tabla1[[#This Row],[Porcentaje de muertes]]&lt;0.65),"MEDIO",Tabla1[[#This Row],[Porcentaje de muertes]]&gt;0.65,"GRAVE")</f>
        <v>GRAVE</v>
      </c>
    </row>
    <row r="3555" spans="2:24" x14ac:dyDescent="0.3">
      <c r="B3555" s="9">
        <v>3554</v>
      </c>
      <c r="C3555" s="49">
        <v>32716</v>
      </c>
      <c r="D3555" s="9">
        <f>YEAR(Tabla1[[#This Row],[Date]])</f>
        <v>1989</v>
      </c>
      <c r="E3555" s="9" t="str" cm="1">
        <f t="array" ref="E3555">IFERROR(_xlfn.IFS(AND(D3555&lt;1980,D3555&gt;=1970),"70",AND(D3555&lt;1990,D3555&gt;=1980),"80",AND(D3555&lt;2000,D3555&gt;=1990),"90",AND(D3555&lt;2010,D3555&gt;=2000),"00",AND(D3555&lt;=2019,D3555&gt;=2010),"10"),"1908-1970")</f>
        <v>80</v>
      </c>
      <c r="F3555" s="3">
        <v>0.29166666666666669</v>
      </c>
      <c r="G3555" t="s">
        <v>15886</v>
      </c>
      <c r="H3555" t="s">
        <v>16097</v>
      </c>
      <c r="I3555">
        <v>803</v>
      </c>
      <c r="J3555" t="s">
        <v>20959</v>
      </c>
      <c r="K3555" t="s">
        <v>18549</v>
      </c>
      <c r="L3555" s="7" t="s">
        <v>20960</v>
      </c>
      <c r="M3555" t="s">
        <v>20961</v>
      </c>
      <c r="N3555">
        <v>199</v>
      </c>
      <c r="O3555">
        <v>181</v>
      </c>
      <c r="P3555">
        <v>18</v>
      </c>
      <c r="Q3555">
        <v>75</v>
      </c>
      <c r="R3555">
        <v>72</v>
      </c>
      <c r="S3555">
        <v>3</v>
      </c>
      <c r="T3555">
        <v>4</v>
      </c>
      <c r="U3555" t="s">
        <v>20962</v>
      </c>
      <c r="V3555">
        <f>Tabla1[[#This Row],[Aboard]]-Tabla1[[#This Row],[Fatalities]]</f>
        <v>124</v>
      </c>
      <c r="W3555" s="50">
        <f>IFERROR(Tabla1[[#This Row],[Fatalities]]/Tabla1[[#This Row],[Aboard]],0)</f>
        <v>0.37688442211055279</v>
      </c>
      <c r="X3555" s="51" t="str" cm="1">
        <f t="array" ref="X3555">_xlfn.IFS(Tabla1[[#This Row],[Porcentaje de muertes]]&lt;0.35,"LEVE",AND(Tabla1[[#This Row],[Porcentaje de muertes]]&gt;0.35,Tabla1[[#This Row],[Porcentaje de muertes]]&lt;0.65),"MEDIO",Tabla1[[#This Row],[Porcentaje de muertes]]&gt;0.65,"GRAVE")</f>
        <v>MEDIO</v>
      </c>
    </row>
    <row r="3556" spans="2:24" x14ac:dyDescent="0.3">
      <c r="B3556" s="9">
        <v>3555</v>
      </c>
      <c r="C3556" s="49">
        <v>32720</v>
      </c>
      <c r="D3556" s="9">
        <f>YEAR(Tabla1[[#This Row],[Date]])</f>
        <v>1989</v>
      </c>
      <c r="E3556" s="9" t="str" cm="1">
        <f t="array" ref="E3556">IFERROR(_xlfn.IFS(AND(D3556&lt;1980,D3556&gt;=1970),"70",AND(D3556&lt;1990,D3556&gt;=1980),"80",AND(D3556&lt;2000,D3556&gt;=1990),"90",AND(D3556&lt;2010,D3556&gt;=2000),"00",AND(D3556&lt;=2019,D3556&gt;=2010),"10"),"1908-1970")</f>
        <v>80</v>
      </c>
      <c r="F3556" s="3">
        <v>0.91666666666666663</v>
      </c>
      <c r="G3556" t="s">
        <v>14695</v>
      </c>
      <c r="H3556" t="s">
        <v>20963</v>
      </c>
      <c r="I3556">
        <v>1</v>
      </c>
      <c r="J3556" t="s">
        <v>18548</v>
      </c>
      <c r="K3556" t="s">
        <v>14857</v>
      </c>
      <c r="L3556" s="7" t="s">
        <v>20964</v>
      </c>
      <c r="M3556">
        <v>180</v>
      </c>
      <c r="N3556">
        <v>3</v>
      </c>
      <c r="O3556">
        <v>0</v>
      </c>
      <c r="P3556">
        <v>3</v>
      </c>
      <c r="Q3556">
        <v>3</v>
      </c>
      <c r="R3556">
        <v>0</v>
      </c>
      <c r="S3556">
        <v>3</v>
      </c>
      <c r="T3556">
        <v>0</v>
      </c>
      <c r="U3556" t="s">
        <v>20965</v>
      </c>
      <c r="V3556">
        <f>Tabla1[[#This Row],[Aboard]]-Tabla1[[#This Row],[Fatalities]]</f>
        <v>0</v>
      </c>
      <c r="W3556" s="50">
        <f>IFERROR(Tabla1[[#This Row],[Fatalities]]/Tabla1[[#This Row],[Aboard]],0)</f>
        <v>1</v>
      </c>
      <c r="X3556" s="51" t="str" cm="1">
        <f t="array" ref="X3556">_xlfn.IFS(Tabla1[[#This Row],[Porcentaje de muertes]]&lt;0.35,"LEVE",AND(Tabla1[[#This Row],[Porcentaje de muertes]]&gt;0.35,Tabla1[[#This Row],[Porcentaje de muertes]]&lt;0.65),"MEDIO",Tabla1[[#This Row],[Porcentaje de muertes]]&gt;0.65,"GRAVE")</f>
        <v>GRAVE</v>
      </c>
    </row>
    <row r="3557" spans="2:24" x14ac:dyDescent="0.3">
      <c r="B3557" s="9">
        <v>3556</v>
      </c>
      <c r="C3557" s="49">
        <v>32575</v>
      </c>
      <c r="D3557" s="9">
        <f>YEAR(Tabla1[[#This Row],[Date]])</f>
        <v>1989</v>
      </c>
      <c r="E3557" s="9" t="str" cm="1">
        <f t="array" ref="E3557">IFERROR(_xlfn.IFS(AND(D3557&lt;1980,D3557&gt;=1970),"70",AND(D3557&lt;1990,D3557&gt;=1980),"80",AND(D3557&lt;2000,D3557&gt;=1990),"90",AND(D3557&lt;2010,D3557&gt;=2000),"00",AND(D3557&lt;=2019,D3557&gt;=2010),"10"),"1908-1970")</f>
        <v>80</v>
      </c>
      <c r="F3557" s="3">
        <v>0.57152777777777775</v>
      </c>
      <c r="G3557" t="s">
        <v>20966</v>
      </c>
      <c r="H3557" t="s">
        <v>20967</v>
      </c>
      <c r="I3557" t="s">
        <v>28931</v>
      </c>
      <c r="J3557" t="s">
        <v>20968</v>
      </c>
      <c r="K3557" t="s">
        <v>19478</v>
      </c>
      <c r="L3557" s="7" t="s">
        <v>20969</v>
      </c>
      <c r="M3557" t="s">
        <v>20970</v>
      </c>
      <c r="N3557">
        <v>34</v>
      </c>
      <c r="O3557">
        <v>31</v>
      </c>
      <c r="P3557">
        <v>3</v>
      </c>
      <c r="Q3557">
        <v>34</v>
      </c>
      <c r="R3557">
        <v>31</v>
      </c>
      <c r="S3557">
        <v>3</v>
      </c>
      <c r="T3557">
        <v>0</v>
      </c>
      <c r="U3557" t="s">
        <v>20971</v>
      </c>
      <c r="V3557">
        <f>Tabla1[[#This Row],[Aboard]]-Tabla1[[#This Row],[Fatalities]]</f>
        <v>0</v>
      </c>
      <c r="W3557" s="50">
        <f>IFERROR(Tabla1[[#This Row],[Fatalities]]/Tabla1[[#This Row],[Aboard]],0)</f>
        <v>1</v>
      </c>
      <c r="X3557" s="51" t="str" cm="1">
        <f t="array" ref="X3557">_xlfn.IFS(Tabla1[[#This Row],[Porcentaje de muertes]]&lt;0.35,"LEVE",AND(Tabla1[[#This Row],[Porcentaje de muertes]]&gt;0.35,Tabla1[[#This Row],[Porcentaje de muertes]]&lt;0.65),"MEDIO",Tabla1[[#This Row],[Porcentaje de muertes]]&gt;0.65,"GRAVE")</f>
        <v>GRAVE</v>
      </c>
    </row>
    <row r="3558" spans="2:24" x14ac:dyDescent="0.3">
      <c r="B3558" s="9">
        <v>3557</v>
      </c>
      <c r="C3558" s="49">
        <v>32697</v>
      </c>
      <c r="D3558" s="9">
        <f>YEAR(Tabla1[[#This Row],[Date]])</f>
        <v>1989</v>
      </c>
      <c r="E3558" s="9" t="str" cm="1">
        <f t="array" ref="E3558">IFERROR(_xlfn.IFS(AND(D3558&lt;1980,D3558&gt;=1970),"70",AND(D3558&lt;1990,D3558&gt;=1980),"80",AND(D3558&lt;2000,D3558&gt;=1990),"90",AND(D3558&lt;2010,D3558&gt;=2000),"00",AND(D3558&lt;=2019,D3558&gt;=2010),"10"),"1908-1970")</f>
        <v>80</v>
      </c>
      <c r="F3558" s="3">
        <v>0.50694444444444442</v>
      </c>
      <c r="G3558" t="s">
        <v>20972</v>
      </c>
      <c r="H3558" t="s">
        <v>20973</v>
      </c>
      <c r="I3558" t="s">
        <v>28931</v>
      </c>
      <c r="J3558" t="s">
        <v>20974</v>
      </c>
      <c r="K3558" t="s">
        <v>20975</v>
      </c>
      <c r="L3558" s="7" t="s">
        <v>20976</v>
      </c>
      <c r="M3558">
        <v>699</v>
      </c>
      <c r="N3558">
        <v>16</v>
      </c>
      <c r="O3558">
        <v>13</v>
      </c>
      <c r="P3558">
        <v>3</v>
      </c>
      <c r="Q3558">
        <v>16</v>
      </c>
      <c r="R3558">
        <v>13</v>
      </c>
      <c r="S3558">
        <v>3</v>
      </c>
      <c r="T3558">
        <v>0</v>
      </c>
      <c r="U3558" t="s">
        <v>20977</v>
      </c>
      <c r="V3558">
        <f>Tabla1[[#This Row],[Aboard]]-Tabla1[[#This Row],[Fatalities]]</f>
        <v>0</v>
      </c>
      <c r="W3558" s="50">
        <f>IFERROR(Tabla1[[#This Row],[Fatalities]]/Tabla1[[#This Row],[Aboard]],0)</f>
        <v>1</v>
      </c>
      <c r="X3558" s="51" t="str" cm="1">
        <f t="array" ref="X3558">_xlfn.IFS(Tabla1[[#This Row],[Porcentaje de muertes]]&lt;0.35,"LEVE",AND(Tabla1[[#This Row],[Porcentaje de muertes]]&gt;0.35,Tabla1[[#This Row],[Porcentaje de muertes]]&lt;0.65),"MEDIO",Tabla1[[#This Row],[Porcentaje de muertes]]&gt;0.65,"GRAVE")</f>
        <v>GRAVE</v>
      </c>
    </row>
    <row r="3559" spans="2:24" x14ac:dyDescent="0.3">
      <c r="B3559" s="9">
        <v>3558</v>
      </c>
      <c r="C3559" s="49">
        <v>32728</v>
      </c>
      <c r="D3559" s="9">
        <f>YEAR(Tabla1[[#This Row],[Date]])</f>
        <v>1989</v>
      </c>
      <c r="E3559" s="9" t="str" cm="1">
        <f t="array" ref="E3559">IFERROR(_xlfn.IFS(AND(D3559&lt;1980,D3559&gt;=1970),"70",AND(D3559&lt;1990,D3559&gt;=1980),"80",AND(D3559&lt;2000,D3559&gt;=1990),"90",AND(D3559&lt;2010,D3559&gt;=2000),"00",AND(D3559&lt;=2019,D3559&gt;=2010),"10"),"1908-1970")</f>
        <v>80</v>
      </c>
      <c r="F3559" s="3">
        <v>0.44097222222222227</v>
      </c>
      <c r="G3559" t="s">
        <v>20978</v>
      </c>
      <c r="H3559" t="s">
        <v>20979</v>
      </c>
      <c r="I3559" t="s">
        <v>28931</v>
      </c>
      <c r="J3559" t="s">
        <v>20980</v>
      </c>
      <c r="K3559" t="s">
        <v>19459</v>
      </c>
      <c r="L3559" s="7" t="s">
        <v>20981</v>
      </c>
      <c r="M3559">
        <v>583</v>
      </c>
      <c r="N3559">
        <v>10</v>
      </c>
      <c r="O3559">
        <v>9</v>
      </c>
      <c r="P3559">
        <v>1</v>
      </c>
      <c r="Q3559">
        <v>10</v>
      </c>
      <c r="R3559">
        <v>9</v>
      </c>
      <c r="S3559">
        <v>1</v>
      </c>
      <c r="T3559">
        <v>0</v>
      </c>
      <c r="U3559" t="s">
        <v>20982</v>
      </c>
      <c r="V3559">
        <f>Tabla1[[#This Row],[Aboard]]-Tabla1[[#This Row],[Fatalities]]</f>
        <v>0</v>
      </c>
      <c r="W3559" s="50">
        <f>IFERROR(Tabla1[[#This Row],[Fatalities]]/Tabla1[[#This Row],[Aboard]],0)</f>
        <v>1</v>
      </c>
      <c r="X3559" s="51" t="str" cm="1">
        <f t="array" ref="X3559">_xlfn.IFS(Tabla1[[#This Row],[Porcentaje de muertes]]&lt;0.35,"LEVE",AND(Tabla1[[#This Row],[Porcentaje de muertes]]&gt;0.35,Tabla1[[#This Row],[Porcentaje de muertes]]&lt;0.65),"MEDIO",Tabla1[[#This Row],[Porcentaje de muertes]]&gt;0.65,"GRAVE")</f>
        <v>GRAVE</v>
      </c>
    </row>
    <row r="3560" spans="2:24" x14ac:dyDescent="0.3">
      <c r="B3560" s="9">
        <v>3559</v>
      </c>
      <c r="C3560" s="49">
        <v>32733</v>
      </c>
      <c r="D3560" s="9">
        <f>YEAR(Tabla1[[#This Row],[Date]])</f>
        <v>1989</v>
      </c>
      <c r="E3560" s="9" t="str" cm="1">
        <f t="array" ref="E3560">IFERROR(_xlfn.IFS(AND(D3560&lt;1980,D3560&gt;=1970),"70",AND(D3560&lt;1990,D3560&gt;=1980),"80",AND(D3560&lt;2000,D3560&gt;=1990),"90",AND(D3560&lt;2010,D3560&gt;=2000),"00",AND(D3560&lt;=2019,D3560&gt;=2010),"10"),"1908-1970")</f>
        <v>80</v>
      </c>
      <c r="F3560" s="3">
        <v>0.89236111111111116</v>
      </c>
      <c r="G3560" t="s">
        <v>20983</v>
      </c>
      <c r="H3560" t="s">
        <v>5032</v>
      </c>
      <c r="I3560" t="s">
        <v>28931</v>
      </c>
      <c r="J3560" t="s">
        <v>20984</v>
      </c>
      <c r="K3560" t="s">
        <v>20985</v>
      </c>
      <c r="L3560" s="7" t="s">
        <v>20986</v>
      </c>
      <c r="M3560" t="s">
        <v>20987</v>
      </c>
      <c r="N3560">
        <v>2</v>
      </c>
      <c r="O3560">
        <v>1</v>
      </c>
      <c r="P3560">
        <v>1</v>
      </c>
      <c r="Q3560">
        <v>2</v>
      </c>
      <c r="R3560">
        <v>1</v>
      </c>
      <c r="S3560">
        <v>1</v>
      </c>
      <c r="T3560">
        <v>0</v>
      </c>
      <c r="U3560" t="s">
        <v>20988</v>
      </c>
      <c r="V3560">
        <f>Tabla1[[#This Row],[Aboard]]-Tabla1[[#This Row],[Fatalities]]</f>
        <v>0</v>
      </c>
      <c r="W3560" s="50">
        <f>IFERROR(Tabla1[[#This Row],[Fatalities]]/Tabla1[[#This Row],[Aboard]],0)</f>
        <v>1</v>
      </c>
      <c r="X3560" s="51" t="str" cm="1">
        <f t="array" ref="X3560">_xlfn.IFS(Tabla1[[#This Row],[Porcentaje de muertes]]&lt;0.35,"LEVE",AND(Tabla1[[#This Row],[Porcentaje de muertes]]&gt;0.35,Tabla1[[#This Row],[Porcentaje de muertes]]&lt;0.65),"MEDIO",Tabla1[[#This Row],[Porcentaje de muertes]]&gt;0.65,"GRAVE")</f>
        <v>GRAVE</v>
      </c>
    </row>
    <row r="3561" spans="2:24" x14ac:dyDescent="0.3">
      <c r="B3561" s="9">
        <v>3560</v>
      </c>
      <c r="C3561" s="49">
        <v>32735</v>
      </c>
      <c r="D3561" s="9">
        <f>YEAR(Tabla1[[#This Row],[Date]])</f>
        <v>1989</v>
      </c>
      <c r="E3561" s="9" t="str" cm="1">
        <f t="array" ref="E3561">IFERROR(_xlfn.IFS(AND(D3561&lt;1980,D3561&gt;=1970),"70",AND(D3561&lt;1990,D3561&gt;=1980),"80",AND(D3561&lt;2000,D3561&gt;=1990),"90",AND(D3561&lt;2010,D3561&gt;=2000),"00",AND(D3561&lt;=2019,D3561&gt;=2010),"10"),"1908-1970")</f>
        <v>80</v>
      </c>
      <c r="F3561" s="3" t="s">
        <v>28931</v>
      </c>
      <c r="G3561" t="s">
        <v>20989</v>
      </c>
      <c r="H3561" t="s">
        <v>20990</v>
      </c>
      <c r="I3561" t="s">
        <v>28931</v>
      </c>
      <c r="J3561" t="s">
        <v>20991</v>
      </c>
      <c r="K3561" t="s">
        <v>17266</v>
      </c>
      <c r="L3561" s="7" t="s">
        <v>20992</v>
      </c>
      <c r="M3561">
        <v>37309006</v>
      </c>
      <c r="N3561">
        <v>40</v>
      </c>
      <c r="O3561">
        <v>34</v>
      </c>
      <c r="P3561">
        <v>6</v>
      </c>
      <c r="Q3561">
        <v>34</v>
      </c>
      <c r="R3561">
        <v>28</v>
      </c>
      <c r="S3561">
        <v>6</v>
      </c>
      <c r="T3561">
        <v>0</v>
      </c>
      <c r="U3561" t="s">
        <v>20993</v>
      </c>
      <c r="V3561">
        <f>Tabla1[[#This Row],[Aboard]]-Tabla1[[#This Row],[Fatalities]]</f>
        <v>6</v>
      </c>
      <c r="W3561" s="50">
        <f>IFERROR(Tabla1[[#This Row],[Fatalities]]/Tabla1[[#This Row],[Aboard]],0)</f>
        <v>0.85</v>
      </c>
      <c r="X3561" s="51" t="str" cm="1">
        <f t="array" ref="X3561">_xlfn.IFS(Tabla1[[#This Row],[Porcentaje de muertes]]&lt;0.35,"LEVE",AND(Tabla1[[#This Row],[Porcentaje de muertes]]&gt;0.35,Tabla1[[#This Row],[Porcentaje de muertes]]&lt;0.65),"MEDIO",Tabla1[[#This Row],[Porcentaje de muertes]]&gt;0.65,"GRAVE")</f>
        <v>GRAVE</v>
      </c>
    </row>
    <row r="3562" spans="2:24" x14ac:dyDescent="0.3">
      <c r="B3562" s="9">
        <v>3561</v>
      </c>
      <c r="C3562" s="49">
        <v>32745</v>
      </c>
      <c r="D3562" s="9">
        <f>YEAR(Tabla1[[#This Row],[Date]])</f>
        <v>1989</v>
      </c>
      <c r="E3562" s="9" t="str" cm="1">
        <f t="array" ref="E3562">IFERROR(_xlfn.IFS(AND(D3562&lt;1980,D3562&gt;=1970),"70",AND(D3562&lt;1990,D3562&gt;=1980),"80",AND(D3562&lt;2000,D3562&gt;=1990),"90",AND(D3562&lt;2010,D3562&gt;=2000),"00",AND(D3562&lt;=2019,D3562&gt;=2010),"10"),"1908-1970")</f>
        <v>80</v>
      </c>
      <c r="F3562" s="3">
        <v>0.32291666666666669</v>
      </c>
      <c r="G3562" t="s">
        <v>20994</v>
      </c>
      <c r="H3562" t="s">
        <v>11736</v>
      </c>
      <c r="I3562" t="s">
        <v>28931</v>
      </c>
      <c r="J3562" t="s">
        <v>20995</v>
      </c>
      <c r="K3562" t="s">
        <v>14481</v>
      </c>
      <c r="L3562" s="7" t="s">
        <v>20996</v>
      </c>
      <c r="M3562">
        <v>10207</v>
      </c>
      <c r="N3562">
        <v>54</v>
      </c>
      <c r="O3562">
        <v>49</v>
      </c>
      <c r="P3562">
        <v>5</v>
      </c>
      <c r="Q3562">
        <v>54</v>
      </c>
      <c r="R3562">
        <v>49</v>
      </c>
      <c r="S3562">
        <v>5</v>
      </c>
      <c r="T3562">
        <v>0</v>
      </c>
      <c r="U3562" t="s">
        <v>20997</v>
      </c>
      <c r="V3562">
        <f>Tabla1[[#This Row],[Aboard]]-Tabla1[[#This Row],[Fatalities]]</f>
        <v>0</v>
      </c>
      <c r="W3562" s="50">
        <f>IFERROR(Tabla1[[#This Row],[Fatalities]]/Tabla1[[#This Row],[Aboard]],0)</f>
        <v>1</v>
      </c>
      <c r="X3562" s="51" t="str" cm="1">
        <f t="array" ref="X3562">_xlfn.IFS(Tabla1[[#This Row],[Porcentaje de muertes]]&lt;0.35,"LEVE",AND(Tabla1[[#This Row],[Porcentaje de muertes]]&gt;0.35,Tabla1[[#This Row],[Porcentaje de muertes]]&lt;0.65),"MEDIO",Tabla1[[#This Row],[Porcentaje de muertes]]&gt;0.65,"GRAVE")</f>
        <v>GRAVE</v>
      </c>
    </row>
    <row r="3563" spans="2:24" x14ac:dyDescent="0.3">
      <c r="B3563" s="9">
        <v>3562</v>
      </c>
      <c r="C3563" s="49">
        <v>32576</v>
      </c>
      <c r="D3563" s="9">
        <f>YEAR(Tabla1[[#This Row],[Date]])</f>
        <v>1989</v>
      </c>
      <c r="E3563" s="9" t="str" cm="1">
        <f t="array" ref="E3563">IFERROR(_xlfn.IFS(AND(D3563&lt;1980,D3563&gt;=1970),"70",AND(D3563&lt;1990,D3563&gt;=1980),"80",AND(D3563&lt;2000,D3563&gt;=1990),"90",AND(D3563&lt;2010,D3563&gt;=2000),"00",AND(D3563&lt;=2019,D3563&gt;=2010),"10"),"1908-1970")</f>
        <v>80</v>
      </c>
      <c r="F3563" s="3">
        <v>0.86458333333333337</v>
      </c>
      <c r="G3563" t="s">
        <v>20998</v>
      </c>
      <c r="H3563" t="s">
        <v>8118</v>
      </c>
      <c r="I3563">
        <v>254</v>
      </c>
      <c r="J3563" t="s">
        <v>20999</v>
      </c>
      <c r="K3563" t="s">
        <v>21000</v>
      </c>
      <c r="L3563" s="7" t="s">
        <v>21001</v>
      </c>
      <c r="M3563" t="s">
        <v>21002</v>
      </c>
      <c r="N3563">
        <v>54</v>
      </c>
      <c r="O3563">
        <v>48</v>
      </c>
      <c r="P3563">
        <v>6</v>
      </c>
      <c r="Q3563">
        <v>13</v>
      </c>
      <c r="R3563">
        <v>13</v>
      </c>
      <c r="S3563">
        <v>0</v>
      </c>
      <c r="T3563">
        <v>0</v>
      </c>
      <c r="U3563" t="s">
        <v>21003</v>
      </c>
      <c r="V3563">
        <f>Tabla1[[#This Row],[Aboard]]-Tabla1[[#This Row],[Fatalities]]</f>
        <v>41</v>
      </c>
      <c r="W3563" s="50">
        <f>IFERROR(Tabla1[[#This Row],[Fatalities]]/Tabla1[[#This Row],[Aboard]],0)</f>
        <v>0.24074074074074073</v>
      </c>
      <c r="X3563" s="51" t="str" cm="1">
        <f t="array" ref="X3563">_xlfn.IFS(Tabla1[[#This Row],[Porcentaje de muertes]]&lt;0.35,"LEVE",AND(Tabla1[[#This Row],[Porcentaje de muertes]]&gt;0.35,Tabla1[[#This Row],[Porcentaje de muertes]]&lt;0.65),"MEDIO",Tabla1[[#This Row],[Porcentaje de muertes]]&gt;0.65,"GRAVE")</f>
        <v>LEVE</v>
      </c>
    </row>
    <row r="3564" spans="2:24" x14ac:dyDescent="0.3">
      <c r="B3564" s="9">
        <v>3563</v>
      </c>
      <c r="C3564" s="49">
        <v>32576</v>
      </c>
      <c r="D3564" s="9">
        <f>YEAR(Tabla1[[#This Row],[Date]])</f>
        <v>1989</v>
      </c>
      <c r="E3564" s="9" t="str" cm="1">
        <f t="array" ref="E3564">IFERROR(_xlfn.IFS(AND(D3564&lt;1980,D3564&gt;=1970),"70",AND(D3564&lt;1990,D3564&gt;=1980),"80",AND(D3564&lt;2000,D3564&gt;=1990),"90",AND(D3564&lt;2010,D3564&gt;=2000),"00",AND(D3564&lt;=2019,D3564&gt;=2010),"10"),"1908-1970")</f>
        <v>80</v>
      </c>
      <c r="F3564" s="3">
        <v>0.79166666666666663</v>
      </c>
      <c r="G3564" t="s">
        <v>21004</v>
      </c>
      <c r="H3564" t="s">
        <v>6524</v>
      </c>
      <c r="I3564">
        <v>9646</v>
      </c>
      <c r="J3564" t="s">
        <v>21005</v>
      </c>
      <c r="K3564" t="s">
        <v>17879</v>
      </c>
      <c r="L3564" s="7" t="s">
        <v>21006</v>
      </c>
      <c r="M3564">
        <v>3850453</v>
      </c>
      <c r="N3564">
        <v>126</v>
      </c>
      <c r="O3564">
        <v>115</v>
      </c>
      <c r="P3564">
        <v>11</v>
      </c>
      <c r="Q3564">
        <v>126</v>
      </c>
      <c r="R3564">
        <v>115</v>
      </c>
      <c r="S3564">
        <v>11</v>
      </c>
      <c r="T3564">
        <v>45</v>
      </c>
      <c r="U3564" t="s">
        <v>21007</v>
      </c>
      <c r="V3564">
        <f>Tabla1[[#This Row],[Aboard]]-Tabla1[[#This Row],[Fatalities]]</f>
        <v>0</v>
      </c>
      <c r="W3564" s="50">
        <f>IFERROR(Tabla1[[#This Row],[Fatalities]]/Tabla1[[#This Row],[Aboard]],0)</f>
        <v>1</v>
      </c>
      <c r="X3564" s="51" t="str" cm="1">
        <f t="array" ref="X3564">_xlfn.IFS(Tabla1[[#This Row],[Porcentaje de muertes]]&lt;0.35,"LEVE",AND(Tabla1[[#This Row],[Porcentaje de muertes]]&gt;0.35,Tabla1[[#This Row],[Porcentaje de muertes]]&lt;0.65),"MEDIO",Tabla1[[#This Row],[Porcentaje de muertes]]&gt;0.65,"GRAVE")</f>
        <v>GRAVE</v>
      </c>
    </row>
    <row r="3565" spans="2:24" x14ac:dyDescent="0.3">
      <c r="B3565" s="9">
        <v>3564</v>
      </c>
      <c r="C3565" s="49">
        <v>32729</v>
      </c>
      <c r="D3565" s="9">
        <f>YEAR(Tabla1[[#This Row],[Date]])</f>
        <v>1989</v>
      </c>
      <c r="E3565" s="9" t="str" cm="1">
        <f t="array" ref="E3565">IFERROR(_xlfn.IFS(AND(D3565&lt;1980,D3565&gt;=1970),"70",AND(D3565&lt;1990,D3565&gt;=1980),"80",AND(D3565&lt;2000,D3565&gt;=1990),"90",AND(D3565&lt;2010,D3565&gt;=2000),"00",AND(D3565&lt;=2019,D3565&gt;=2010),"10"),"1908-1970")</f>
        <v>80</v>
      </c>
      <c r="F3565" s="3">
        <v>0.69166666666666676</v>
      </c>
      <c r="G3565" t="s">
        <v>21008</v>
      </c>
      <c r="H3565" t="s">
        <v>21009</v>
      </c>
      <c r="I3565">
        <v>394</v>
      </c>
      <c r="J3565" t="s">
        <v>21010</v>
      </c>
      <c r="K3565" t="s">
        <v>14857</v>
      </c>
      <c r="L3565" s="7" t="s">
        <v>21011</v>
      </c>
      <c r="M3565">
        <v>56</v>
      </c>
      <c r="N3565">
        <v>55</v>
      </c>
      <c r="O3565">
        <v>50</v>
      </c>
      <c r="P3565">
        <v>5</v>
      </c>
      <c r="Q3565">
        <v>55</v>
      </c>
      <c r="R3565">
        <v>50</v>
      </c>
      <c r="S3565">
        <v>5</v>
      </c>
      <c r="T3565">
        <v>0</v>
      </c>
      <c r="U3565" t="s">
        <v>21012</v>
      </c>
      <c r="V3565">
        <f>Tabla1[[#This Row],[Aboard]]-Tabla1[[#This Row],[Fatalities]]</f>
        <v>0</v>
      </c>
      <c r="W3565" s="50">
        <f>IFERROR(Tabla1[[#This Row],[Fatalities]]/Tabla1[[#This Row],[Aboard]],0)</f>
        <v>1</v>
      </c>
      <c r="X3565" s="51" t="str" cm="1">
        <f t="array" ref="X3565">_xlfn.IFS(Tabla1[[#This Row],[Porcentaje de muertes]]&lt;0.35,"LEVE",AND(Tabla1[[#This Row],[Porcentaje de muertes]]&gt;0.35,Tabla1[[#This Row],[Porcentaje de muertes]]&lt;0.65),"MEDIO",Tabla1[[#This Row],[Porcentaje de muertes]]&gt;0.65,"GRAVE")</f>
        <v>GRAVE</v>
      </c>
    </row>
    <row r="3566" spans="2:24" x14ac:dyDescent="0.3">
      <c r="B3566" s="9">
        <v>3565</v>
      </c>
      <c r="C3566" s="49">
        <v>32766</v>
      </c>
      <c r="D3566" s="9">
        <f>YEAR(Tabla1[[#This Row],[Date]])</f>
        <v>1989</v>
      </c>
      <c r="E3566" s="9" t="str" cm="1">
        <f t="array" ref="E3566">IFERROR(_xlfn.IFS(AND(D3566&lt;1980,D3566&gt;=1970),"70",AND(D3566&lt;1990,D3566&gt;=1980),"80",AND(D3566&lt;2000,D3566&gt;=1990),"90",AND(D3566&lt;2010,D3566&gt;=2000),"00",AND(D3566&lt;=2019,D3566&gt;=2010),"10"),"1908-1970")</f>
        <v>80</v>
      </c>
      <c r="F3566" s="3">
        <v>0.88194444444444453</v>
      </c>
      <c r="G3566" t="s">
        <v>21013</v>
      </c>
      <c r="H3566" t="s">
        <v>21014</v>
      </c>
      <c r="I3566" t="s">
        <v>28931</v>
      </c>
      <c r="J3566" t="s">
        <v>21015</v>
      </c>
      <c r="K3566" t="s">
        <v>21016</v>
      </c>
      <c r="L3566" s="7" t="s">
        <v>21017</v>
      </c>
      <c r="M3566" t="s">
        <v>21018</v>
      </c>
      <c r="N3566">
        <v>6</v>
      </c>
      <c r="O3566">
        <v>5</v>
      </c>
      <c r="P3566">
        <v>1</v>
      </c>
      <c r="Q3566">
        <v>6</v>
      </c>
      <c r="R3566">
        <v>5</v>
      </c>
      <c r="S3566">
        <v>1</v>
      </c>
      <c r="T3566">
        <v>0</v>
      </c>
      <c r="U3566" t="s">
        <v>21019</v>
      </c>
      <c r="V3566">
        <f>Tabla1[[#This Row],[Aboard]]-Tabla1[[#This Row],[Fatalities]]</f>
        <v>0</v>
      </c>
      <c r="W3566" s="50">
        <f>IFERROR(Tabla1[[#This Row],[Fatalities]]/Tabla1[[#This Row],[Aboard]],0)</f>
        <v>1</v>
      </c>
      <c r="X3566" s="51" t="str" cm="1">
        <f t="array" ref="X3566">_xlfn.IFS(Tabla1[[#This Row],[Porcentaje de muertes]]&lt;0.35,"LEVE",AND(Tabla1[[#This Row],[Porcentaje de muertes]]&gt;0.35,Tabla1[[#This Row],[Porcentaje de muertes]]&lt;0.65),"MEDIO",Tabla1[[#This Row],[Porcentaje de muertes]]&gt;0.65,"GRAVE")</f>
        <v>GRAVE</v>
      </c>
    </row>
    <row r="3567" spans="2:24" x14ac:dyDescent="0.3">
      <c r="B3567" s="9">
        <v>3566</v>
      </c>
      <c r="C3567" s="49">
        <v>32766</v>
      </c>
      <c r="D3567" s="9">
        <f>YEAR(Tabla1[[#This Row],[Date]])</f>
        <v>1989</v>
      </c>
      <c r="E3567" s="9" t="str" cm="1">
        <f t="array" ref="E3567">IFERROR(_xlfn.IFS(AND(D3567&lt;1980,D3567&gt;=1970),"70",AND(D3567&lt;1990,D3567&gt;=1980),"80",AND(D3567&lt;2000,D3567&gt;=1990),"90",AND(D3567&lt;2010,D3567&gt;=2000),"00",AND(D3567&lt;=2019,D3567&gt;=2010),"10"),"1908-1970")</f>
        <v>80</v>
      </c>
      <c r="F3567" s="3" t="s">
        <v>28931</v>
      </c>
      <c r="G3567" t="s">
        <v>21020</v>
      </c>
      <c r="H3567" t="s">
        <v>16296</v>
      </c>
      <c r="I3567" t="s">
        <v>28931</v>
      </c>
      <c r="J3567" t="s">
        <v>21021</v>
      </c>
      <c r="K3567" t="s">
        <v>16680</v>
      </c>
      <c r="L3567" s="7" t="s">
        <v>21022</v>
      </c>
      <c r="M3567">
        <v>345</v>
      </c>
      <c r="N3567">
        <v>22</v>
      </c>
      <c r="O3567">
        <v>19</v>
      </c>
      <c r="P3567">
        <v>3</v>
      </c>
      <c r="Q3567">
        <v>22</v>
      </c>
      <c r="R3567">
        <v>19</v>
      </c>
      <c r="S3567">
        <v>3</v>
      </c>
      <c r="T3567">
        <v>0</v>
      </c>
      <c r="U3567" t="s">
        <v>21023</v>
      </c>
      <c r="V3567">
        <f>Tabla1[[#This Row],[Aboard]]-Tabla1[[#This Row],[Fatalities]]</f>
        <v>0</v>
      </c>
      <c r="W3567" s="50">
        <f>IFERROR(Tabla1[[#This Row],[Fatalities]]/Tabla1[[#This Row],[Aboard]],0)</f>
        <v>1</v>
      </c>
      <c r="X3567" s="51" t="str" cm="1">
        <f t="array" ref="X3567">_xlfn.IFS(Tabla1[[#This Row],[Porcentaje de muertes]]&lt;0.35,"LEVE",AND(Tabla1[[#This Row],[Porcentaje de muertes]]&gt;0.35,Tabla1[[#This Row],[Porcentaje de muertes]]&lt;0.65),"MEDIO",Tabla1[[#This Row],[Porcentaje de muertes]]&gt;0.65,"GRAVE")</f>
        <v>GRAVE</v>
      </c>
    </row>
    <row r="3568" spans="2:24" x14ac:dyDescent="0.3">
      <c r="B3568" s="9">
        <v>3567</v>
      </c>
      <c r="C3568" s="49">
        <v>32770</v>
      </c>
      <c r="D3568" s="9">
        <f>YEAR(Tabla1[[#This Row],[Date]])</f>
        <v>1989</v>
      </c>
      <c r="E3568" s="9" t="str" cm="1">
        <f t="array" ref="E3568">IFERROR(_xlfn.IFS(AND(D3568&lt;1980,D3568&gt;=1970),"70",AND(D3568&lt;1990,D3568&gt;=1980),"80",AND(D3568&lt;2000,D3568&gt;=1990),"90",AND(D3568&lt;2010,D3568&gt;=2000),"00",AND(D3568&lt;=2019,D3568&gt;=2010),"10"),"1908-1970")</f>
        <v>80</v>
      </c>
      <c r="F3568" s="3">
        <v>0.58333333333333337</v>
      </c>
      <c r="G3568" t="s">
        <v>21024</v>
      </c>
      <c r="H3568" t="s">
        <v>11535</v>
      </c>
      <c r="I3568">
        <v>772</v>
      </c>
      <c r="J3568" t="s">
        <v>21025</v>
      </c>
      <c r="K3568" t="s">
        <v>18549</v>
      </c>
      <c r="L3568" s="7" t="s">
        <v>21026</v>
      </c>
      <c r="M3568" t="s">
        <v>21027</v>
      </c>
      <c r="N3568">
        <v>171</v>
      </c>
      <c r="O3568">
        <v>156</v>
      </c>
      <c r="P3568">
        <v>15</v>
      </c>
      <c r="Q3568">
        <v>171</v>
      </c>
      <c r="R3568">
        <v>156</v>
      </c>
      <c r="S3568">
        <v>15</v>
      </c>
      <c r="T3568">
        <v>0</v>
      </c>
      <c r="U3568" t="s">
        <v>21028</v>
      </c>
      <c r="V3568">
        <f>Tabla1[[#This Row],[Aboard]]-Tabla1[[#This Row],[Fatalities]]</f>
        <v>0</v>
      </c>
      <c r="W3568" s="50">
        <f>IFERROR(Tabla1[[#This Row],[Fatalities]]/Tabla1[[#This Row],[Aboard]],0)</f>
        <v>1</v>
      </c>
      <c r="X3568" s="51" t="str" cm="1">
        <f t="array" ref="X3568">_xlfn.IFS(Tabla1[[#This Row],[Porcentaje de muertes]]&lt;0.35,"LEVE",AND(Tabla1[[#This Row],[Porcentaje de muertes]]&gt;0.35,Tabla1[[#This Row],[Porcentaje de muertes]]&lt;0.65),"MEDIO",Tabla1[[#This Row],[Porcentaje de muertes]]&gt;0.65,"GRAVE")</f>
        <v>GRAVE</v>
      </c>
    </row>
    <row r="3569" spans="2:24" x14ac:dyDescent="0.3">
      <c r="B3569" s="9">
        <v>3568</v>
      </c>
      <c r="C3569" s="49">
        <v>32771</v>
      </c>
      <c r="D3569" s="9">
        <f>YEAR(Tabla1[[#This Row],[Date]])</f>
        <v>1989</v>
      </c>
      <c r="E3569" s="9" t="str" cm="1">
        <f t="array" ref="E3569">IFERROR(_xlfn.IFS(AND(D3569&lt;1980,D3569&gt;=1970),"70",AND(D3569&lt;1990,D3569&gt;=1980),"80",AND(D3569&lt;2000,D3569&gt;=1990),"90",AND(D3569&lt;2010,D3569&gt;=2000),"00",AND(D3569&lt;=2019,D3569&gt;=2010),"10"),"1908-1970")</f>
        <v>80</v>
      </c>
      <c r="F3569" s="3">
        <v>0.625</v>
      </c>
      <c r="G3569" t="s">
        <v>17320</v>
      </c>
      <c r="H3569" t="s">
        <v>21029</v>
      </c>
      <c r="I3569" t="s">
        <v>28931</v>
      </c>
      <c r="J3569" t="s">
        <v>6190</v>
      </c>
      <c r="K3569" t="s">
        <v>7987</v>
      </c>
      <c r="L3569" s="7" t="s">
        <v>21030</v>
      </c>
      <c r="M3569" t="s">
        <v>21031</v>
      </c>
      <c r="N3569">
        <v>7</v>
      </c>
      <c r="O3569" t="s">
        <v>5038</v>
      </c>
      <c r="P3569" t="s">
        <v>5038</v>
      </c>
      <c r="Q3569">
        <v>2</v>
      </c>
      <c r="R3569" t="s">
        <v>5038</v>
      </c>
      <c r="S3569" t="s">
        <v>5038</v>
      </c>
      <c r="T3569">
        <v>0</v>
      </c>
      <c r="U3569" t="s">
        <v>21032</v>
      </c>
      <c r="V3569">
        <f>Tabla1[[#This Row],[Aboard]]-Tabla1[[#This Row],[Fatalities]]</f>
        <v>5</v>
      </c>
      <c r="W3569" s="50">
        <f>IFERROR(Tabla1[[#This Row],[Fatalities]]/Tabla1[[#This Row],[Aboard]],0)</f>
        <v>0.2857142857142857</v>
      </c>
      <c r="X3569" s="51" t="str" cm="1">
        <f t="array" ref="X3569">_xlfn.IFS(Tabla1[[#This Row],[Porcentaje de muertes]]&lt;0.35,"LEVE",AND(Tabla1[[#This Row],[Porcentaje de muertes]]&gt;0.35,Tabla1[[#This Row],[Porcentaje de muertes]]&lt;0.65),"MEDIO",Tabla1[[#This Row],[Porcentaje de muertes]]&gt;0.65,"GRAVE")</f>
        <v>LEVE</v>
      </c>
    </row>
    <row r="3570" spans="2:24" x14ac:dyDescent="0.3">
      <c r="B3570" s="9">
        <v>3569</v>
      </c>
      <c r="C3570" s="49">
        <v>32771</v>
      </c>
      <c r="D3570" s="9">
        <f>YEAR(Tabla1[[#This Row],[Date]])</f>
        <v>1989</v>
      </c>
      <c r="E3570" s="9" t="str" cm="1">
        <f t="array" ref="E3570">IFERROR(_xlfn.IFS(AND(D3570&lt;1980,D3570&gt;=1970),"70",AND(D3570&lt;1990,D3570&gt;=1980),"80",AND(D3570&lt;2000,D3570&gt;=1990),"90",AND(D3570&lt;2010,D3570&gt;=2000),"00",AND(D3570&lt;=2019,D3570&gt;=2010),"10"),"1908-1970")</f>
        <v>80</v>
      </c>
      <c r="F3570" s="3">
        <v>0.97291666666666676</v>
      </c>
      <c r="G3570" t="s">
        <v>21033</v>
      </c>
      <c r="H3570" t="s">
        <v>21034</v>
      </c>
      <c r="I3570">
        <v>5050</v>
      </c>
      <c r="J3570" t="s">
        <v>21035</v>
      </c>
      <c r="K3570" t="s">
        <v>21036</v>
      </c>
      <c r="L3570" s="7" t="s">
        <v>21037</v>
      </c>
      <c r="M3570" t="s">
        <v>21038</v>
      </c>
      <c r="N3570">
        <v>63</v>
      </c>
      <c r="O3570">
        <v>57</v>
      </c>
      <c r="P3570">
        <v>6</v>
      </c>
      <c r="Q3570">
        <v>2</v>
      </c>
      <c r="R3570">
        <v>2</v>
      </c>
      <c r="S3570">
        <v>0</v>
      </c>
      <c r="T3570">
        <v>0</v>
      </c>
      <c r="U3570" t="s">
        <v>21039</v>
      </c>
      <c r="V3570">
        <f>Tabla1[[#This Row],[Aboard]]-Tabla1[[#This Row],[Fatalities]]</f>
        <v>61</v>
      </c>
      <c r="W3570" s="50">
        <f>IFERROR(Tabla1[[#This Row],[Fatalities]]/Tabla1[[#This Row],[Aboard]],0)</f>
        <v>3.1746031746031744E-2</v>
      </c>
      <c r="X3570" s="51" t="str" cm="1">
        <f t="array" ref="X3570">_xlfn.IFS(Tabla1[[#This Row],[Porcentaje de muertes]]&lt;0.35,"LEVE",AND(Tabla1[[#This Row],[Porcentaje de muertes]]&gt;0.35,Tabla1[[#This Row],[Porcentaje de muertes]]&lt;0.65),"MEDIO",Tabla1[[#This Row],[Porcentaje de muertes]]&gt;0.65,"GRAVE")</f>
        <v>LEVE</v>
      </c>
    </row>
    <row r="3571" spans="2:24" x14ac:dyDescent="0.3">
      <c r="B3571" s="9">
        <v>3570</v>
      </c>
      <c r="C3571" s="49">
        <v>32772</v>
      </c>
      <c r="D3571" s="9">
        <f>YEAR(Tabla1[[#This Row],[Date]])</f>
        <v>1989</v>
      </c>
      <c r="E3571" s="9" t="str" cm="1">
        <f t="array" ref="E3571">IFERROR(_xlfn.IFS(AND(D3571&lt;1980,D3571&gt;=1970),"70",AND(D3571&lt;1990,D3571&gt;=1980),"80",AND(D3571&lt;2000,D3571&gt;=1990),"90",AND(D3571&lt;2010,D3571&gt;=2000),"00",AND(D3571&lt;=2019,D3571&gt;=2010),"10"),"1908-1970")</f>
        <v>80</v>
      </c>
      <c r="F3571" s="3" t="s">
        <v>28931</v>
      </c>
      <c r="G3571" t="s">
        <v>21040</v>
      </c>
      <c r="H3571" t="s">
        <v>20220</v>
      </c>
      <c r="I3571" t="s">
        <v>28931</v>
      </c>
      <c r="J3571" t="s">
        <v>28931</v>
      </c>
      <c r="K3571" t="s">
        <v>19284</v>
      </c>
      <c r="L3571" s="7" t="s">
        <v>28931</v>
      </c>
      <c r="M3571" t="s">
        <v>28931</v>
      </c>
      <c r="N3571">
        <v>26</v>
      </c>
      <c r="O3571" t="s">
        <v>5038</v>
      </c>
      <c r="P3571" t="s">
        <v>5038</v>
      </c>
      <c r="Q3571">
        <v>26</v>
      </c>
      <c r="R3571" t="s">
        <v>5038</v>
      </c>
      <c r="S3571" t="s">
        <v>5038</v>
      </c>
      <c r="T3571">
        <v>0</v>
      </c>
      <c r="U3571" t="s">
        <v>28927</v>
      </c>
      <c r="V3571">
        <f>Tabla1[[#This Row],[Aboard]]-Tabla1[[#This Row],[Fatalities]]</f>
        <v>0</v>
      </c>
      <c r="W3571" s="50">
        <f>IFERROR(Tabla1[[#This Row],[Fatalities]]/Tabla1[[#This Row],[Aboard]],0)</f>
        <v>1</v>
      </c>
      <c r="X3571" s="51" t="str" cm="1">
        <f t="array" ref="X3571">_xlfn.IFS(Tabla1[[#This Row],[Porcentaje de muertes]]&lt;0.35,"LEVE",AND(Tabla1[[#This Row],[Porcentaje de muertes]]&gt;0.35,Tabla1[[#This Row],[Porcentaje de muertes]]&lt;0.65),"MEDIO",Tabla1[[#This Row],[Porcentaje de muertes]]&gt;0.65,"GRAVE")</f>
        <v>GRAVE</v>
      </c>
    </row>
    <row r="3572" spans="2:24" x14ac:dyDescent="0.3">
      <c r="B3572" s="9">
        <v>3571</v>
      </c>
      <c r="C3572" s="49">
        <v>32772</v>
      </c>
      <c r="D3572" s="9">
        <f>YEAR(Tabla1[[#This Row],[Date]])</f>
        <v>1989</v>
      </c>
      <c r="E3572" s="9" t="str" cm="1">
        <f t="array" ref="E3572">IFERROR(_xlfn.IFS(AND(D3572&lt;1980,D3572&gt;=1970),"70",AND(D3572&lt;1990,D3572&gt;=1980),"80",AND(D3572&lt;2000,D3572&gt;=1990),"90",AND(D3572&lt;2010,D3572&gt;=2000),"00",AND(D3572&lt;=2019,D3572&gt;=2010),"10"),"1908-1970")</f>
        <v>80</v>
      </c>
      <c r="F3572" s="3" t="s">
        <v>28931</v>
      </c>
      <c r="G3572" t="s">
        <v>21041</v>
      </c>
      <c r="H3572" t="s">
        <v>20220</v>
      </c>
      <c r="I3572" t="s">
        <v>28931</v>
      </c>
      <c r="J3572" t="s">
        <v>28931</v>
      </c>
      <c r="K3572" t="s">
        <v>21042</v>
      </c>
      <c r="L3572" s="7" t="s">
        <v>28931</v>
      </c>
      <c r="M3572" t="s">
        <v>28931</v>
      </c>
      <c r="N3572">
        <v>24</v>
      </c>
      <c r="O3572" t="s">
        <v>5038</v>
      </c>
      <c r="P3572" t="s">
        <v>5038</v>
      </c>
      <c r="Q3572">
        <v>24</v>
      </c>
      <c r="R3572" t="s">
        <v>5038</v>
      </c>
      <c r="S3572" t="s">
        <v>5038</v>
      </c>
      <c r="T3572">
        <v>0</v>
      </c>
      <c r="U3572" t="s">
        <v>28927</v>
      </c>
      <c r="V3572">
        <f>Tabla1[[#This Row],[Aboard]]-Tabla1[[#This Row],[Fatalities]]</f>
        <v>0</v>
      </c>
      <c r="W3572" s="50">
        <f>IFERROR(Tabla1[[#This Row],[Fatalities]]/Tabla1[[#This Row],[Aboard]],0)</f>
        <v>1</v>
      </c>
      <c r="X3572" s="51" t="str" cm="1">
        <f t="array" ref="X3572">_xlfn.IFS(Tabla1[[#This Row],[Porcentaje de muertes]]&lt;0.35,"LEVE",AND(Tabla1[[#This Row],[Porcentaje de muertes]]&gt;0.35,Tabla1[[#This Row],[Porcentaje de muertes]]&lt;0.65),"MEDIO",Tabla1[[#This Row],[Porcentaje de muertes]]&gt;0.65,"GRAVE")</f>
        <v>GRAVE</v>
      </c>
    </row>
    <row r="3573" spans="2:24" x14ac:dyDescent="0.3">
      <c r="B3573" s="9">
        <v>3572</v>
      </c>
      <c r="C3573" s="49">
        <v>32774</v>
      </c>
      <c r="D3573" s="9">
        <f>YEAR(Tabla1[[#This Row],[Date]])</f>
        <v>1989</v>
      </c>
      <c r="E3573" s="9" t="str" cm="1">
        <f t="array" ref="E3573">IFERROR(_xlfn.IFS(AND(D3573&lt;1980,D3573&gt;=1970),"70",AND(D3573&lt;1990,D3573&gt;=1980),"80",AND(D3573&lt;2000,D3573&gt;=1990),"90",AND(D3573&lt;2010,D3573&gt;=2000),"00",AND(D3573&lt;=2019,D3573&gt;=2010),"10"),"1908-1970")</f>
        <v>80</v>
      </c>
      <c r="F3573" s="3">
        <v>0.85763888888888884</v>
      </c>
      <c r="G3573" t="s">
        <v>21043</v>
      </c>
      <c r="H3573" t="s">
        <v>20730</v>
      </c>
      <c r="I3573" t="s">
        <v>28931</v>
      </c>
      <c r="J3573" t="s">
        <v>21044</v>
      </c>
      <c r="K3573" t="s">
        <v>21045</v>
      </c>
      <c r="L3573" s="7" t="s">
        <v>21046</v>
      </c>
      <c r="M3573">
        <v>8052</v>
      </c>
      <c r="N3573">
        <v>11</v>
      </c>
      <c r="O3573">
        <v>8</v>
      </c>
      <c r="P3573">
        <v>3</v>
      </c>
      <c r="Q3573">
        <v>11</v>
      </c>
      <c r="R3573">
        <v>8</v>
      </c>
      <c r="S3573">
        <v>3</v>
      </c>
      <c r="T3573">
        <v>0</v>
      </c>
      <c r="U3573" t="s">
        <v>21047</v>
      </c>
      <c r="V3573">
        <f>Tabla1[[#This Row],[Aboard]]-Tabla1[[#This Row],[Fatalities]]</f>
        <v>0</v>
      </c>
      <c r="W3573" s="50">
        <f>IFERROR(Tabla1[[#This Row],[Fatalities]]/Tabla1[[#This Row],[Aboard]],0)</f>
        <v>1</v>
      </c>
      <c r="X3573" s="51" t="str" cm="1">
        <f t="array" ref="X3573">_xlfn.IFS(Tabla1[[#This Row],[Porcentaje de muertes]]&lt;0.35,"LEVE",AND(Tabla1[[#This Row],[Porcentaje de muertes]]&gt;0.35,Tabla1[[#This Row],[Porcentaje de muertes]]&lt;0.65),"MEDIO",Tabla1[[#This Row],[Porcentaje de muertes]]&gt;0.65,"GRAVE")</f>
        <v>GRAVE</v>
      </c>
    </row>
    <row r="3574" spans="2:24" x14ac:dyDescent="0.3">
      <c r="B3574" s="9">
        <v>3573</v>
      </c>
      <c r="C3574" s="49">
        <v>32777</v>
      </c>
      <c r="D3574" s="9">
        <f>YEAR(Tabla1[[#This Row],[Date]])</f>
        <v>1989</v>
      </c>
      <c r="E3574" s="9" t="str" cm="1">
        <f t="array" ref="E3574">IFERROR(_xlfn.IFS(AND(D3574&lt;1980,D3574&gt;=1970),"70",AND(D3574&lt;1990,D3574&gt;=1980),"80",AND(D3574&lt;2000,D3574&gt;=1990),"90",AND(D3574&lt;2010,D3574&gt;=2000),"00",AND(D3574&lt;=2019,D3574&gt;=2010),"10"),"1908-1970")</f>
        <v>80</v>
      </c>
      <c r="F3574" s="3">
        <v>0.3527777777777778</v>
      </c>
      <c r="G3574" t="s">
        <v>21048</v>
      </c>
      <c r="H3574" t="s">
        <v>21049</v>
      </c>
      <c r="I3574">
        <v>70</v>
      </c>
      <c r="J3574" t="s">
        <v>21050</v>
      </c>
      <c r="K3574" t="s">
        <v>19274</v>
      </c>
      <c r="L3574" s="7" t="s">
        <v>21051</v>
      </c>
      <c r="M3574" t="s">
        <v>21052</v>
      </c>
      <c r="N3574">
        <v>7</v>
      </c>
      <c r="O3574">
        <v>5</v>
      </c>
      <c r="P3574">
        <v>2</v>
      </c>
      <c r="Q3574">
        <v>7</v>
      </c>
      <c r="R3574">
        <v>5</v>
      </c>
      <c r="S3574">
        <v>2</v>
      </c>
      <c r="T3574">
        <v>0</v>
      </c>
      <c r="U3574" t="s">
        <v>21053</v>
      </c>
      <c r="V3574">
        <f>Tabla1[[#This Row],[Aboard]]-Tabla1[[#This Row],[Fatalities]]</f>
        <v>0</v>
      </c>
      <c r="W3574" s="50">
        <f>IFERROR(Tabla1[[#This Row],[Fatalities]]/Tabla1[[#This Row],[Aboard]],0)</f>
        <v>1</v>
      </c>
      <c r="X3574" s="51" t="str" cm="1">
        <f t="array" ref="X3574">_xlfn.IFS(Tabla1[[#This Row],[Porcentaje de muertes]]&lt;0.35,"LEVE",AND(Tabla1[[#This Row],[Porcentaje de muertes]]&gt;0.35,Tabla1[[#This Row],[Porcentaje de muertes]]&lt;0.65),"MEDIO",Tabla1[[#This Row],[Porcentaje de muertes]]&gt;0.65,"GRAVE")</f>
        <v>GRAVE</v>
      </c>
    </row>
    <row r="3575" spans="2:24" x14ac:dyDescent="0.3">
      <c r="B3575" s="9">
        <v>3574</v>
      </c>
      <c r="C3575" s="49">
        <v>32778</v>
      </c>
      <c r="D3575" s="9">
        <f>YEAR(Tabla1[[#This Row],[Date]])</f>
        <v>1989</v>
      </c>
      <c r="E3575" s="9" t="str" cm="1">
        <f t="array" ref="E3575">IFERROR(_xlfn.IFS(AND(D3575&lt;1980,D3575&gt;=1970),"70",AND(D3575&lt;1990,D3575&gt;=1980),"80",AND(D3575&lt;2000,D3575&gt;=1990),"90",AND(D3575&lt;2010,D3575&gt;=2000),"00",AND(D3575&lt;=2019,D3575&gt;=2010),"10"),"1908-1970")</f>
        <v>80</v>
      </c>
      <c r="F3575" s="3">
        <v>0.41180555555555554</v>
      </c>
      <c r="G3575" t="s">
        <v>21054</v>
      </c>
      <c r="H3575" t="s">
        <v>15817</v>
      </c>
      <c r="I3575" t="s">
        <v>21055</v>
      </c>
      <c r="J3575" t="s">
        <v>21056</v>
      </c>
      <c r="K3575" t="s">
        <v>16680</v>
      </c>
      <c r="L3575" s="7" t="s">
        <v>21057</v>
      </c>
      <c r="M3575">
        <v>439</v>
      </c>
      <c r="N3575">
        <v>21</v>
      </c>
      <c r="O3575">
        <v>19</v>
      </c>
      <c r="P3575">
        <v>2</v>
      </c>
      <c r="Q3575">
        <v>10</v>
      </c>
      <c r="R3575">
        <v>8</v>
      </c>
      <c r="S3575">
        <v>2</v>
      </c>
      <c r="T3575">
        <v>0</v>
      </c>
      <c r="U3575" t="s">
        <v>21058</v>
      </c>
      <c r="V3575">
        <f>Tabla1[[#This Row],[Aboard]]-Tabla1[[#This Row],[Fatalities]]</f>
        <v>11</v>
      </c>
      <c r="W3575" s="50">
        <f>IFERROR(Tabla1[[#This Row],[Fatalities]]/Tabla1[[#This Row],[Aboard]],0)</f>
        <v>0.47619047619047616</v>
      </c>
      <c r="X3575" s="51" t="str" cm="1">
        <f t="array" ref="X3575">_xlfn.IFS(Tabla1[[#This Row],[Porcentaje de muertes]]&lt;0.35,"LEVE",AND(Tabla1[[#This Row],[Porcentaje de muertes]]&gt;0.35,Tabla1[[#This Row],[Porcentaje de muertes]]&lt;0.65),"MEDIO",Tabla1[[#This Row],[Porcentaje de muertes]]&gt;0.65,"GRAVE")</f>
        <v>MEDIO</v>
      </c>
    </row>
    <row r="3576" spans="2:24" x14ac:dyDescent="0.3">
      <c r="B3576" s="9">
        <v>3575</v>
      </c>
      <c r="C3576" s="49">
        <v>32779</v>
      </c>
      <c r="D3576" s="9">
        <f>YEAR(Tabla1[[#This Row],[Date]])</f>
        <v>1989</v>
      </c>
      <c r="E3576" s="9" t="str" cm="1">
        <f t="array" ref="E3576">IFERROR(_xlfn.IFS(AND(D3576&lt;1980,D3576&gt;=1970),"70",AND(D3576&lt;1990,D3576&gt;=1980),"80",AND(D3576&lt;2000,D3576&gt;=1990),"90",AND(D3576&lt;2010,D3576&gt;=2000),"00",AND(D3576&lt;=2019,D3576&gt;=2010),"10"),"1908-1970")</f>
        <v>80</v>
      </c>
      <c r="F3576" s="3">
        <v>0.83888888888888891</v>
      </c>
      <c r="G3576" t="s">
        <v>21059</v>
      </c>
      <c r="H3576" t="s">
        <v>19941</v>
      </c>
      <c r="I3576" t="s">
        <v>28931</v>
      </c>
      <c r="J3576" t="s">
        <v>21060</v>
      </c>
      <c r="K3576" t="s">
        <v>21061</v>
      </c>
      <c r="L3576" s="7" t="s">
        <v>21062</v>
      </c>
      <c r="M3576">
        <v>1705</v>
      </c>
      <c r="N3576">
        <v>9</v>
      </c>
      <c r="O3576">
        <v>4</v>
      </c>
      <c r="P3576">
        <v>5</v>
      </c>
      <c r="Q3576">
        <v>9</v>
      </c>
      <c r="R3576">
        <v>4</v>
      </c>
      <c r="S3576">
        <v>5</v>
      </c>
      <c r="T3576">
        <v>0</v>
      </c>
      <c r="U3576" t="s">
        <v>21063</v>
      </c>
      <c r="V3576">
        <f>Tabla1[[#This Row],[Aboard]]-Tabla1[[#This Row],[Fatalities]]</f>
        <v>0</v>
      </c>
      <c r="W3576" s="50">
        <f>IFERROR(Tabla1[[#This Row],[Fatalities]]/Tabla1[[#This Row],[Aboard]],0)</f>
        <v>1</v>
      </c>
      <c r="X3576" s="51" t="str" cm="1">
        <f t="array" ref="X3576">_xlfn.IFS(Tabla1[[#This Row],[Porcentaje de muertes]]&lt;0.35,"LEVE",AND(Tabla1[[#This Row],[Porcentaje de muertes]]&gt;0.35,Tabla1[[#This Row],[Porcentaje de muertes]]&lt;0.65),"MEDIO",Tabla1[[#This Row],[Porcentaje de muertes]]&gt;0.65,"GRAVE")</f>
        <v>GRAVE</v>
      </c>
    </row>
    <row r="3577" spans="2:24" x14ac:dyDescent="0.3">
      <c r="B3577" s="9">
        <v>3576</v>
      </c>
      <c r="C3577" s="49">
        <v>32608</v>
      </c>
      <c r="D3577" s="9">
        <f>YEAR(Tabla1[[#This Row],[Date]])</f>
        <v>1989</v>
      </c>
      <c r="E3577" s="9" t="str" cm="1">
        <f t="array" ref="E3577">IFERROR(_xlfn.IFS(AND(D3577&lt;1980,D3577&gt;=1970),"70",AND(D3577&lt;1990,D3577&gt;=1980),"80",AND(D3577&lt;2000,D3577&gt;=1990),"90",AND(D3577&lt;2010,D3577&gt;=2000),"00",AND(D3577&lt;=2019,D3577&gt;=2010),"10"),"1908-1970")</f>
        <v>80</v>
      </c>
      <c r="F3577" s="3">
        <v>0.25</v>
      </c>
      <c r="G3577" t="s">
        <v>21064</v>
      </c>
      <c r="H3577" t="s">
        <v>7987</v>
      </c>
      <c r="I3577" t="s">
        <v>28931</v>
      </c>
      <c r="J3577" t="s">
        <v>28931</v>
      </c>
      <c r="K3577" t="s">
        <v>12399</v>
      </c>
      <c r="L3577" s="7" t="s">
        <v>21065</v>
      </c>
      <c r="M3577" t="s">
        <v>21066</v>
      </c>
      <c r="N3577">
        <v>4</v>
      </c>
      <c r="O3577">
        <v>0</v>
      </c>
      <c r="P3577">
        <v>4</v>
      </c>
      <c r="Q3577">
        <v>4</v>
      </c>
      <c r="R3577">
        <v>0</v>
      </c>
      <c r="S3577">
        <v>4</v>
      </c>
      <c r="T3577">
        <v>0</v>
      </c>
      <c r="U3577" t="s">
        <v>21067</v>
      </c>
      <c r="V3577">
        <f>Tabla1[[#This Row],[Aboard]]-Tabla1[[#This Row],[Fatalities]]</f>
        <v>0</v>
      </c>
      <c r="W3577" s="50">
        <f>IFERROR(Tabla1[[#This Row],[Fatalities]]/Tabla1[[#This Row],[Aboard]],0)</f>
        <v>1</v>
      </c>
      <c r="X3577" s="51" t="str" cm="1">
        <f t="array" ref="X3577">_xlfn.IFS(Tabla1[[#This Row],[Porcentaje de muertes]]&lt;0.35,"LEVE",AND(Tabla1[[#This Row],[Porcentaje de muertes]]&gt;0.35,Tabla1[[#This Row],[Porcentaje de muertes]]&lt;0.65),"MEDIO",Tabla1[[#This Row],[Porcentaje de muertes]]&gt;0.65,"GRAVE")</f>
        <v>GRAVE</v>
      </c>
    </row>
    <row r="3578" spans="2:24" x14ac:dyDescent="0.3">
      <c r="B3578" s="9">
        <v>3577</v>
      </c>
      <c r="C3578" s="49">
        <v>32669</v>
      </c>
      <c r="D3578" s="9">
        <f>YEAR(Tabla1[[#This Row],[Date]])</f>
        <v>1989</v>
      </c>
      <c r="E3578" s="9" t="str" cm="1">
        <f t="array" ref="E3578">IFERROR(_xlfn.IFS(AND(D3578&lt;1980,D3578&gt;=1970),"70",AND(D3578&lt;1990,D3578&gt;=1980),"80",AND(D3578&lt;2000,D3578&gt;=1990),"90",AND(D3578&lt;2010,D3578&gt;=2000),"00",AND(D3578&lt;=2019,D3578&gt;=2010),"10"),"1908-1970")</f>
        <v>80</v>
      </c>
      <c r="F3578" s="3">
        <v>0.92013888888888884</v>
      </c>
      <c r="G3578" t="s">
        <v>21068</v>
      </c>
      <c r="H3578" t="s">
        <v>21069</v>
      </c>
      <c r="I3578" t="s">
        <v>28931</v>
      </c>
      <c r="J3578" t="s">
        <v>21070</v>
      </c>
      <c r="K3578" t="s">
        <v>19948</v>
      </c>
      <c r="L3578" s="7" t="s">
        <v>21071</v>
      </c>
      <c r="M3578" t="s">
        <v>21072</v>
      </c>
      <c r="N3578">
        <v>5</v>
      </c>
      <c r="O3578">
        <v>3</v>
      </c>
      <c r="P3578">
        <v>2</v>
      </c>
      <c r="Q3578">
        <v>5</v>
      </c>
      <c r="R3578">
        <v>3</v>
      </c>
      <c r="S3578">
        <v>2</v>
      </c>
      <c r="T3578">
        <v>0</v>
      </c>
      <c r="U3578" t="s">
        <v>21073</v>
      </c>
      <c r="V3578">
        <f>Tabla1[[#This Row],[Aboard]]-Tabla1[[#This Row],[Fatalities]]</f>
        <v>0</v>
      </c>
      <c r="W3578" s="50">
        <f>IFERROR(Tabla1[[#This Row],[Fatalities]]/Tabla1[[#This Row],[Aboard]],0)</f>
        <v>1</v>
      </c>
      <c r="X3578" s="51" t="str" cm="1">
        <f t="array" ref="X3578">_xlfn.IFS(Tabla1[[#This Row],[Porcentaje de muertes]]&lt;0.35,"LEVE",AND(Tabla1[[#This Row],[Porcentaje de muertes]]&gt;0.35,Tabla1[[#This Row],[Porcentaje de muertes]]&lt;0.65),"MEDIO",Tabla1[[#This Row],[Porcentaje de muertes]]&gt;0.65,"GRAVE")</f>
        <v>GRAVE</v>
      </c>
    </row>
    <row r="3579" spans="2:24" x14ac:dyDescent="0.3">
      <c r="B3579" s="9">
        <v>3578</v>
      </c>
      <c r="C3579" s="49">
        <v>32791</v>
      </c>
      <c r="D3579" s="9">
        <f>YEAR(Tabla1[[#This Row],[Date]])</f>
        <v>1989</v>
      </c>
      <c r="E3579" s="9" t="str" cm="1">
        <f t="array" ref="E3579">IFERROR(_xlfn.IFS(AND(D3579&lt;1980,D3579&gt;=1970),"70",AND(D3579&lt;1990,D3579&gt;=1980),"80",AND(D3579&lt;2000,D3579&gt;=1990),"90",AND(D3579&lt;2010,D3579&gt;=2000),"00",AND(D3579&lt;=2019,D3579&gt;=2010),"10"),"1908-1970")</f>
        <v>80</v>
      </c>
      <c r="F3579" s="3">
        <v>0.56874999999999998</v>
      </c>
      <c r="G3579" t="s">
        <v>21074</v>
      </c>
      <c r="H3579" t="s">
        <v>21075</v>
      </c>
      <c r="I3579" t="s">
        <v>28931</v>
      </c>
      <c r="J3579" t="s">
        <v>21076</v>
      </c>
      <c r="K3579" t="s">
        <v>21077</v>
      </c>
      <c r="L3579" s="7" t="s">
        <v>21078</v>
      </c>
      <c r="M3579">
        <v>7309</v>
      </c>
      <c r="N3579">
        <v>5</v>
      </c>
      <c r="O3579">
        <v>4</v>
      </c>
      <c r="P3579">
        <v>1</v>
      </c>
      <c r="Q3579">
        <v>5</v>
      </c>
      <c r="R3579">
        <v>4</v>
      </c>
      <c r="S3579">
        <v>1</v>
      </c>
      <c r="T3579">
        <v>0</v>
      </c>
      <c r="U3579" t="s">
        <v>21079</v>
      </c>
      <c r="V3579">
        <f>Tabla1[[#This Row],[Aboard]]-Tabla1[[#This Row],[Fatalities]]</f>
        <v>0</v>
      </c>
      <c r="W3579" s="50">
        <f>IFERROR(Tabla1[[#This Row],[Fatalities]]/Tabla1[[#This Row],[Aboard]],0)</f>
        <v>1</v>
      </c>
      <c r="X3579" s="51" t="str" cm="1">
        <f t="array" ref="X3579">_xlfn.IFS(Tabla1[[#This Row],[Porcentaje de muertes]]&lt;0.35,"LEVE",AND(Tabla1[[#This Row],[Porcentaje de muertes]]&gt;0.35,Tabla1[[#This Row],[Porcentaje de muertes]]&lt;0.65),"MEDIO",Tabla1[[#This Row],[Porcentaje de muertes]]&gt;0.65,"GRAVE")</f>
        <v>GRAVE</v>
      </c>
    </row>
    <row r="3580" spans="2:24" x14ac:dyDescent="0.3">
      <c r="B3580" s="9">
        <v>3579</v>
      </c>
      <c r="C3580" s="49">
        <v>32791</v>
      </c>
      <c r="D3580" s="9">
        <f>YEAR(Tabla1[[#This Row],[Date]])</f>
        <v>1989</v>
      </c>
      <c r="E3580" s="9" t="str" cm="1">
        <f t="array" ref="E3580">IFERROR(_xlfn.IFS(AND(D3580&lt;1980,D3580&gt;=1970),"70",AND(D3580&lt;1990,D3580&gt;=1980),"80",AND(D3580&lt;2000,D3580&gt;=1990),"90",AND(D3580&lt;2010,D3580&gt;=2000),"00",AND(D3580&lt;=2019,D3580&gt;=2010),"10"),"1908-1970")</f>
        <v>80</v>
      </c>
      <c r="F3580" s="3" t="s">
        <v>28931</v>
      </c>
      <c r="G3580" t="s">
        <v>21080</v>
      </c>
      <c r="H3580" t="s">
        <v>21081</v>
      </c>
      <c r="I3580" t="s">
        <v>28931</v>
      </c>
      <c r="J3580" t="s">
        <v>21082</v>
      </c>
      <c r="K3580" t="s">
        <v>21083</v>
      </c>
      <c r="L3580" s="7" t="s">
        <v>21084</v>
      </c>
      <c r="M3580" t="s">
        <v>21085</v>
      </c>
      <c r="N3580">
        <v>12</v>
      </c>
      <c r="O3580">
        <v>11</v>
      </c>
      <c r="P3580">
        <v>1</v>
      </c>
      <c r="Q3580">
        <v>12</v>
      </c>
      <c r="R3580">
        <v>11</v>
      </c>
      <c r="S3580">
        <v>1</v>
      </c>
      <c r="T3580">
        <v>0</v>
      </c>
      <c r="U3580" t="s">
        <v>21086</v>
      </c>
      <c r="V3580">
        <f>Tabla1[[#This Row],[Aboard]]-Tabla1[[#This Row],[Fatalities]]</f>
        <v>0</v>
      </c>
      <c r="W3580" s="50">
        <f>IFERROR(Tabla1[[#This Row],[Fatalities]]/Tabla1[[#This Row],[Aboard]],0)</f>
        <v>1</v>
      </c>
      <c r="X3580" s="51" t="str" cm="1">
        <f t="array" ref="X3580">_xlfn.IFS(Tabla1[[#This Row],[Porcentaje de muertes]]&lt;0.35,"LEVE",AND(Tabla1[[#This Row],[Porcentaje de muertes]]&gt;0.35,Tabla1[[#This Row],[Porcentaje de muertes]]&lt;0.65),"MEDIO",Tabla1[[#This Row],[Porcentaje de muertes]]&gt;0.65,"GRAVE")</f>
        <v>GRAVE</v>
      </c>
    </row>
    <row r="3581" spans="2:24" x14ac:dyDescent="0.3">
      <c r="B3581" s="9">
        <v>3580</v>
      </c>
      <c r="C3581" s="49">
        <v>32799</v>
      </c>
      <c r="D3581" s="9">
        <f>YEAR(Tabla1[[#This Row],[Date]])</f>
        <v>1989</v>
      </c>
      <c r="E3581" s="9" t="str" cm="1">
        <f t="array" ref="E3581">IFERROR(_xlfn.IFS(AND(D3581&lt;1980,D3581&gt;=1970),"70",AND(D3581&lt;1990,D3581&gt;=1980),"80",AND(D3581&lt;2000,D3581&gt;=1990),"90",AND(D3581&lt;2010,D3581&gt;=2000),"00",AND(D3581&lt;=2019,D3581&gt;=2010),"10"),"1908-1970")</f>
        <v>80</v>
      </c>
      <c r="F3581" s="3" t="s">
        <v>28931</v>
      </c>
      <c r="G3581" t="s">
        <v>21087</v>
      </c>
      <c r="H3581" t="s">
        <v>15187</v>
      </c>
      <c r="I3581" t="s">
        <v>28931</v>
      </c>
      <c r="J3581" t="s">
        <v>28931</v>
      </c>
      <c r="K3581" t="s">
        <v>21088</v>
      </c>
      <c r="L3581" s="7" t="s">
        <v>21089</v>
      </c>
      <c r="M3581">
        <v>33448421</v>
      </c>
      <c r="N3581">
        <v>57</v>
      </c>
      <c r="O3581">
        <v>50</v>
      </c>
      <c r="P3581">
        <v>7</v>
      </c>
      <c r="Q3581">
        <v>57</v>
      </c>
      <c r="R3581">
        <v>50</v>
      </c>
      <c r="S3581">
        <v>7</v>
      </c>
      <c r="T3581">
        <v>0</v>
      </c>
      <c r="U3581" t="s">
        <v>21090</v>
      </c>
      <c r="V3581">
        <f>Tabla1[[#This Row],[Aboard]]-Tabla1[[#This Row],[Fatalities]]</f>
        <v>0</v>
      </c>
      <c r="W3581" s="50">
        <f>IFERROR(Tabla1[[#This Row],[Fatalities]]/Tabla1[[#This Row],[Aboard]],0)</f>
        <v>1</v>
      </c>
      <c r="X3581" s="51" t="str" cm="1">
        <f t="array" ref="X3581">_xlfn.IFS(Tabla1[[#This Row],[Porcentaje de muertes]]&lt;0.35,"LEVE",AND(Tabla1[[#This Row],[Porcentaje de muertes]]&gt;0.35,Tabla1[[#This Row],[Porcentaje de muertes]]&lt;0.65),"MEDIO",Tabla1[[#This Row],[Porcentaje de muertes]]&gt;0.65,"GRAVE")</f>
        <v>GRAVE</v>
      </c>
    </row>
    <row r="3582" spans="2:24" x14ac:dyDescent="0.3">
      <c r="B3582" s="9">
        <v>3581</v>
      </c>
      <c r="C3582" s="49">
        <v>32801</v>
      </c>
      <c r="D3582" s="9">
        <f>YEAR(Tabla1[[#This Row],[Date]])</f>
        <v>1989</v>
      </c>
      <c r="E3582" s="9" t="str" cm="1">
        <f t="array" ref="E3582">IFERROR(_xlfn.IFS(AND(D3582&lt;1980,D3582&gt;=1970),"70",AND(D3582&lt;1990,D3582&gt;=1980),"80",AND(D3582&lt;2000,D3582&gt;=1990),"90",AND(D3582&lt;2010,D3582&gt;=2000),"00",AND(D3582&lt;=2019,D3582&gt;=2010),"10"),"1908-1970")</f>
        <v>80</v>
      </c>
      <c r="F3582" s="3">
        <v>0.10555555555555556</v>
      </c>
      <c r="G3582" t="s">
        <v>19342</v>
      </c>
      <c r="H3582" t="s">
        <v>6541</v>
      </c>
      <c r="I3582" t="s">
        <v>28931</v>
      </c>
      <c r="J3582" t="s">
        <v>21091</v>
      </c>
      <c r="K3582" t="s">
        <v>21092</v>
      </c>
      <c r="L3582" s="7" t="s">
        <v>21093</v>
      </c>
      <c r="M3582">
        <v>23440153</v>
      </c>
      <c r="N3582">
        <v>15</v>
      </c>
      <c r="O3582">
        <v>10</v>
      </c>
      <c r="P3582">
        <v>5</v>
      </c>
      <c r="Q3582">
        <v>15</v>
      </c>
      <c r="R3582">
        <v>10</v>
      </c>
      <c r="S3582">
        <v>5</v>
      </c>
      <c r="T3582">
        <v>0</v>
      </c>
      <c r="U3582" t="s">
        <v>21094</v>
      </c>
      <c r="V3582">
        <f>Tabla1[[#This Row],[Aboard]]-Tabla1[[#This Row],[Fatalities]]</f>
        <v>0</v>
      </c>
      <c r="W3582" s="50">
        <f>IFERROR(Tabla1[[#This Row],[Fatalities]]/Tabla1[[#This Row],[Aboard]],0)</f>
        <v>1</v>
      </c>
      <c r="X3582" s="51" t="str" cm="1">
        <f t="array" ref="X3582">_xlfn.IFS(Tabla1[[#This Row],[Porcentaje de muertes]]&lt;0.35,"LEVE",AND(Tabla1[[#This Row],[Porcentaje de muertes]]&gt;0.35,Tabla1[[#This Row],[Porcentaje de muertes]]&lt;0.65),"MEDIO",Tabla1[[#This Row],[Porcentaje de muertes]]&gt;0.65,"GRAVE")</f>
        <v>GRAVE</v>
      </c>
    </row>
    <row r="3583" spans="2:24" x14ac:dyDescent="0.3">
      <c r="B3583" s="9">
        <v>3582</v>
      </c>
      <c r="C3583" s="49">
        <v>32802</v>
      </c>
      <c r="D3583" s="9">
        <f>YEAR(Tabla1[[#This Row],[Date]])</f>
        <v>1989</v>
      </c>
      <c r="E3583" s="9" t="str" cm="1">
        <f t="array" ref="E3583">IFERROR(_xlfn.IFS(AND(D3583&lt;1980,D3583&gt;=1970),"70",AND(D3583&lt;1990,D3583&gt;=1980),"80",AND(D3583&lt;2000,D3583&gt;=1990),"90",AND(D3583&lt;2010,D3583&gt;=2000),"00",AND(D3583&lt;=2019,D3583&gt;=2010),"10"),"1908-1970")</f>
        <v>80</v>
      </c>
      <c r="F3583" s="3">
        <v>0.32847222222222222</v>
      </c>
      <c r="G3583" t="s">
        <v>12751</v>
      </c>
      <c r="H3583" t="s">
        <v>16714</v>
      </c>
      <c r="I3583">
        <v>414</v>
      </c>
      <c r="J3583" t="s">
        <v>21095</v>
      </c>
      <c r="K3583" t="s">
        <v>16742</v>
      </c>
      <c r="L3583" s="7" t="s">
        <v>21096</v>
      </c>
      <c r="M3583" t="s">
        <v>21097</v>
      </c>
      <c r="N3583">
        <v>146</v>
      </c>
      <c r="O3583">
        <v>138</v>
      </c>
      <c r="P3583">
        <v>8</v>
      </c>
      <c r="Q3583">
        <v>127</v>
      </c>
      <c r="R3583">
        <v>123</v>
      </c>
      <c r="S3583">
        <v>4</v>
      </c>
      <c r="T3583">
        <v>0</v>
      </c>
      <c r="U3583" t="s">
        <v>21098</v>
      </c>
      <c r="V3583">
        <f>Tabla1[[#This Row],[Aboard]]-Tabla1[[#This Row],[Fatalities]]</f>
        <v>19</v>
      </c>
      <c r="W3583" s="50">
        <f>IFERROR(Tabla1[[#This Row],[Fatalities]]/Tabla1[[#This Row],[Aboard]],0)</f>
        <v>0.86986301369863017</v>
      </c>
      <c r="X3583" s="51" t="str" cm="1">
        <f t="array" ref="X3583">_xlfn.IFS(Tabla1[[#This Row],[Porcentaje de muertes]]&lt;0.35,"LEVE",AND(Tabla1[[#This Row],[Porcentaje de muertes]]&gt;0.35,Tabla1[[#This Row],[Porcentaje de muertes]]&lt;0.65),"MEDIO",Tabla1[[#This Row],[Porcentaje de muertes]]&gt;0.65,"GRAVE")</f>
        <v>GRAVE</v>
      </c>
    </row>
    <row r="3584" spans="2:24" x14ac:dyDescent="0.3">
      <c r="B3584" s="9">
        <v>3583</v>
      </c>
      <c r="C3584" s="49">
        <v>32807</v>
      </c>
      <c r="D3584" s="9">
        <f>YEAR(Tabla1[[#This Row],[Date]])</f>
        <v>1989</v>
      </c>
      <c r="E3584" s="9" t="str" cm="1">
        <f t="array" ref="E3584">IFERROR(_xlfn.IFS(AND(D3584&lt;1980,D3584&gt;=1970),"70",AND(D3584&lt;1990,D3584&gt;=1980),"80",AND(D3584&lt;2000,D3584&gt;=1990),"90",AND(D3584&lt;2010,D3584&gt;=2000),"00",AND(D3584&lt;=2019,D3584&gt;=2010),"10"),"1908-1970")</f>
        <v>80</v>
      </c>
      <c r="F3584" s="3" t="s">
        <v>28931</v>
      </c>
      <c r="G3584" t="s">
        <v>21099</v>
      </c>
      <c r="H3584" t="s">
        <v>9999</v>
      </c>
      <c r="I3584" t="s">
        <v>28931</v>
      </c>
      <c r="J3584" t="s">
        <v>28931</v>
      </c>
      <c r="K3584" t="s">
        <v>17904</v>
      </c>
      <c r="L3584" s="7">
        <v>9</v>
      </c>
      <c r="M3584" t="s">
        <v>28931</v>
      </c>
      <c r="N3584">
        <v>36</v>
      </c>
      <c r="O3584">
        <v>30</v>
      </c>
      <c r="P3584">
        <v>6</v>
      </c>
      <c r="Q3584">
        <v>36</v>
      </c>
      <c r="R3584">
        <v>30</v>
      </c>
      <c r="S3584">
        <v>6</v>
      </c>
      <c r="T3584">
        <v>0</v>
      </c>
      <c r="U3584" t="s">
        <v>21100</v>
      </c>
      <c r="V3584">
        <f>Tabla1[[#This Row],[Aboard]]-Tabla1[[#This Row],[Fatalities]]</f>
        <v>0</v>
      </c>
      <c r="W3584" s="50">
        <f>IFERROR(Tabla1[[#This Row],[Fatalities]]/Tabla1[[#This Row],[Aboard]],0)</f>
        <v>1</v>
      </c>
      <c r="X3584" s="51" t="str" cm="1">
        <f t="array" ref="X3584">_xlfn.IFS(Tabla1[[#This Row],[Porcentaje de muertes]]&lt;0.35,"LEVE",AND(Tabla1[[#This Row],[Porcentaje de muertes]]&gt;0.35,Tabla1[[#This Row],[Porcentaje de muertes]]&lt;0.65),"MEDIO",Tabla1[[#This Row],[Porcentaje de muertes]]&gt;0.65,"GRAVE")</f>
        <v>GRAVE</v>
      </c>
    </row>
    <row r="3585" spans="2:24" x14ac:dyDescent="0.3">
      <c r="B3585" s="9">
        <v>3584</v>
      </c>
      <c r="C3585" s="49">
        <v>32807</v>
      </c>
      <c r="D3585" s="9">
        <f>YEAR(Tabla1[[#This Row],[Date]])</f>
        <v>1989</v>
      </c>
      <c r="E3585" s="9" t="str" cm="1">
        <f t="array" ref="E3585">IFERROR(_xlfn.IFS(AND(D3585&lt;1980,D3585&gt;=1970),"70",AND(D3585&lt;1990,D3585&gt;=1980),"80",AND(D3585&lt;2000,D3585&gt;=1990),"90",AND(D3585&lt;2010,D3585&gt;=2000),"00",AND(D3585&lt;=2019,D3585&gt;=2010),"10"),"1908-1970")</f>
        <v>80</v>
      </c>
      <c r="F3585" s="3">
        <v>0.78819444444444453</v>
      </c>
      <c r="G3585" t="s">
        <v>21101</v>
      </c>
      <c r="H3585" t="s">
        <v>15040</v>
      </c>
      <c r="I3585">
        <v>204</v>
      </c>
      <c r="J3585" t="s">
        <v>17394</v>
      </c>
      <c r="K3585" t="s">
        <v>21102</v>
      </c>
      <c r="L3585" s="7" t="s">
        <v>21103</v>
      </c>
      <c r="M3585" t="s">
        <v>21104</v>
      </c>
      <c r="N3585">
        <v>54</v>
      </c>
      <c r="O3585">
        <v>47</v>
      </c>
      <c r="P3585">
        <v>7</v>
      </c>
      <c r="Q3585">
        <v>54</v>
      </c>
      <c r="R3585">
        <v>47</v>
      </c>
      <c r="S3585">
        <v>7</v>
      </c>
      <c r="T3585">
        <v>0</v>
      </c>
      <c r="U3585" t="s">
        <v>21105</v>
      </c>
      <c r="V3585">
        <f>Tabla1[[#This Row],[Aboard]]-Tabla1[[#This Row],[Fatalities]]</f>
        <v>0</v>
      </c>
      <c r="W3585" s="50">
        <f>IFERROR(Tabla1[[#This Row],[Fatalities]]/Tabla1[[#This Row],[Aboard]],0)</f>
        <v>1</v>
      </c>
      <c r="X3585" s="51" t="str" cm="1">
        <f t="array" ref="X3585">_xlfn.IFS(Tabla1[[#This Row],[Porcentaje de muertes]]&lt;0.35,"LEVE",AND(Tabla1[[#This Row],[Porcentaje de muertes]]&gt;0.35,Tabla1[[#This Row],[Porcentaje de muertes]]&lt;0.65),"MEDIO",Tabla1[[#This Row],[Porcentaje de muertes]]&gt;0.65,"GRAVE")</f>
        <v>GRAVE</v>
      </c>
    </row>
    <row r="3586" spans="2:24" x14ac:dyDescent="0.3">
      <c r="B3586" s="9">
        <v>3585</v>
      </c>
      <c r="C3586" s="49">
        <v>32809</v>
      </c>
      <c r="D3586" s="9">
        <f>YEAR(Tabla1[[#This Row],[Date]])</f>
        <v>1989</v>
      </c>
      <c r="E3586" s="9" t="str" cm="1">
        <f t="array" ref="E3586">IFERROR(_xlfn.IFS(AND(D3586&lt;1980,D3586&gt;=1970),"70",AND(D3586&lt;1990,D3586&gt;=1980),"80",AND(D3586&lt;2000,D3586&gt;=1990),"90",AND(D3586&lt;2010,D3586&gt;=2000),"00",AND(D3586&lt;=2019,D3586&gt;=2010),"10"),"1908-1970")</f>
        <v>80</v>
      </c>
      <c r="F3586" s="3">
        <v>0.77569444444444446</v>
      </c>
      <c r="G3586" t="s">
        <v>21106</v>
      </c>
      <c r="H3586" t="s">
        <v>21107</v>
      </c>
      <c r="I3586">
        <v>1712</v>
      </c>
      <c r="J3586" t="s">
        <v>21108</v>
      </c>
      <c r="K3586" t="s">
        <v>20975</v>
      </c>
      <c r="L3586" s="7" t="s">
        <v>21109</v>
      </c>
      <c r="M3586">
        <v>400</v>
      </c>
      <c r="N3586">
        <v>20</v>
      </c>
      <c r="O3586">
        <v>18</v>
      </c>
      <c r="P3586">
        <v>2</v>
      </c>
      <c r="Q3586">
        <v>20</v>
      </c>
      <c r="R3586">
        <v>18</v>
      </c>
      <c r="S3586">
        <v>2</v>
      </c>
      <c r="T3586">
        <v>0</v>
      </c>
      <c r="U3586" t="s">
        <v>21110</v>
      </c>
      <c r="V3586">
        <f>Tabla1[[#This Row],[Aboard]]-Tabla1[[#This Row],[Fatalities]]</f>
        <v>0</v>
      </c>
      <c r="W3586" s="50">
        <f>IFERROR(Tabla1[[#This Row],[Fatalities]]/Tabla1[[#This Row],[Aboard]],0)</f>
        <v>1</v>
      </c>
      <c r="X3586" s="51" t="str" cm="1">
        <f t="array" ref="X3586">_xlfn.IFS(Tabla1[[#This Row],[Porcentaje de muertes]]&lt;0.35,"LEVE",AND(Tabla1[[#This Row],[Porcentaje de muertes]]&gt;0.35,Tabla1[[#This Row],[Porcentaje de muertes]]&lt;0.65),"MEDIO",Tabla1[[#This Row],[Porcentaje de muertes]]&gt;0.65,"GRAVE")</f>
        <v>GRAVE</v>
      </c>
    </row>
    <row r="3587" spans="2:24" x14ac:dyDescent="0.3">
      <c r="B3587" s="9">
        <v>3586</v>
      </c>
      <c r="C3587" s="49">
        <v>32762</v>
      </c>
      <c r="D3587" s="9">
        <f>YEAR(Tabla1[[#This Row],[Date]])</f>
        <v>1989</v>
      </c>
      <c r="E3587" s="9" t="str" cm="1">
        <f t="array" ref="E3587">IFERROR(_xlfn.IFS(AND(D3587&lt;1980,D3587&gt;=1970),"70",AND(D3587&lt;1990,D3587&gt;=1980),"80",AND(D3587&lt;2000,D3587&gt;=1990),"90",AND(D3587&lt;2010,D3587&gt;=2000),"00",AND(D3587&lt;=2019,D3587&gt;=2010),"10"),"1908-1970")</f>
        <v>80</v>
      </c>
      <c r="F3587" s="3" t="s">
        <v>28931</v>
      </c>
      <c r="G3587" t="s">
        <v>14860</v>
      </c>
      <c r="H3587" t="s">
        <v>21111</v>
      </c>
      <c r="I3587" t="s">
        <v>28931</v>
      </c>
      <c r="J3587" t="s">
        <v>21112</v>
      </c>
      <c r="K3587" t="s">
        <v>15949</v>
      </c>
      <c r="L3587" s="7" t="s">
        <v>21113</v>
      </c>
      <c r="M3587">
        <v>767</v>
      </c>
      <c r="N3587">
        <v>10</v>
      </c>
      <c r="O3587">
        <v>9</v>
      </c>
      <c r="P3587">
        <v>1</v>
      </c>
      <c r="Q3587">
        <v>2</v>
      </c>
      <c r="R3587">
        <v>1</v>
      </c>
      <c r="S3587">
        <v>1</v>
      </c>
      <c r="T3587">
        <v>0</v>
      </c>
      <c r="U3587" t="s">
        <v>21114</v>
      </c>
      <c r="V3587">
        <f>Tabla1[[#This Row],[Aboard]]-Tabla1[[#This Row],[Fatalities]]</f>
        <v>8</v>
      </c>
      <c r="W3587" s="50">
        <f>IFERROR(Tabla1[[#This Row],[Fatalities]]/Tabla1[[#This Row],[Aboard]],0)</f>
        <v>0.2</v>
      </c>
      <c r="X3587" s="51" t="str" cm="1">
        <f t="array" ref="X3587">_xlfn.IFS(Tabla1[[#This Row],[Porcentaje de muertes]]&lt;0.35,"LEVE",AND(Tabla1[[#This Row],[Porcentaje de muertes]]&gt;0.35,Tabla1[[#This Row],[Porcentaje de muertes]]&lt;0.65),"MEDIO",Tabla1[[#This Row],[Porcentaje de muertes]]&gt;0.65,"GRAVE")</f>
        <v>LEVE</v>
      </c>
    </row>
    <row r="3588" spans="2:24" x14ac:dyDescent="0.3">
      <c r="B3588" s="9">
        <v>3587</v>
      </c>
      <c r="C3588" s="49">
        <v>32792</v>
      </c>
      <c r="D3588" s="9">
        <f>YEAR(Tabla1[[#This Row],[Date]])</f>
        <v>1989</v>
      </c>
      <c r="E3588" s="9" t="str" cm="1">
        <f t="array" ref="E3588">IFERROR(_xlfn.IFS(AND(D3588&lt;1980,D3588&gt;=1970),"70",AND(D3588&lt;1990,D3588&gt;=1980),"80",AND(D3588&lt;2000,D3588&gt;=1990),"90",AND(D3588&lt;2010,D3588&gt;=2000),"00",AND(D3588&lt;=2019,D3588&gt;=2010),"10"),"1908-1970")</f>
        <v>80</v>
      </c>
      <c r="F3588" s="3" t="s">
        <v>28931</v>
      </c>
      <c r="G3588" t="s">
        <v>21115</v>
      </c>
      <c r="H3588" t="s">
        <v>21116</v>
      </c>
      <c r="I3588" t="s">
        <v>28931</v>
      </c>
      <c r="J3588" t="s">
        <v>21117</v>
      </c>
      <c r="K3588" t="s">
        <v>21118</v>
      </c>
      <c r="L3588" s="7" t="s">
        <v>21119</v>
      </c>
      <c r="M3588">
        <v>389</v>
      </c>
      <c r="N3588">
        <v>18</v>
      </c>
      <c r="O3588">
        <v>16</v>
      </c>
      <c r="P3588">
        <v>2</v>
      </c>
      <c r="Q3588">
        <v>18</v>
      </c>
      <c r="R3588">
        <v>16</v>
      </c>
      <c r="S3588">
        <v>2</v>
      </c>
      <c r="T3588">
        <v>0</v>
      </c>
      <c r="U3588" t="s">
        <v>21120</v>
      </c>
      <c r="V3588">
        <f>Tabla1[[#This Row],[Aboard]]-Tabla1[[#This Row],[Fatalities]]</f>
        <v>0</v>
      </c>
      <c r="W3588" s="50">
        <f>IFERROR(Tabla1[[#This Row],[Fatalities]]/Tabla1[[#This Row],[Aboard]],0)</f>
        <v>1</v>
      </c>
      <c r="X3588" s="51" t="str" cm="1">
        <f t="array" ref="X3588">_xlfn.IFS(Tabla1[[#This Row],[Porcentaje de muertes]]&lt;0.35,"LEVE",AND(Tabla1[[#This Row],[Porcentaje de muertes]]&gt;0.35,Tabla1[[#This Row],[Porcentaje de muertes]]&lt;0.65),"MEDIO",Tabla1[[#This Row],[Porcentaje de muertes]]&gt;0.65,"GRAVE")</f>
        <v>GRAVE</v>
      </c>
    </row>
    <row r="3589" spans="2:24" x14ac:dyDescent="0.3">
      <c r="B3589" s="9">
        <v>3588</v>
      </c>
      <c r="C3589" s="49">
        <v>32833</v>
      </c>
      <c r="D3589" s="9">
        <f>YEAR(Tabla1[[#This Row],[Date]])</f>
        <v>1989</v>
      </c>
      <c r="E3589" s="9" t="str" cm="1">
        <f t="array" ref="E3589">IFERROR(_xlfn.IFS(AND(D3589&lt;1980,D3589&gt;=1970),"70",AND(D3589&lt;1990,D3589&gt;=1980),"80",AND(D3589&lt;2000,D3589&gt;=1990),"90",AND(D3589&lt;2010,D3589&gt;=2000),"00",AND(D3589&lt;=2019,D3589&gt;=2010),"10"),"1908-1970")</f>
        <v>80</v>
      </c>
      <c r="F3589" s="3">
        <v>0.72777777777777775</v>
      </c>
      <c r="G3589" t="s">
        <v>21121</v>
      </c>
      <c r="H3589" t="s">
        <v>6541</v>
      </c>
      <c r="I3589" t="s">
        <v>28931</v>
      </c>
      <c r="J3589" t="s">
        <v>21122</v>
      </c>
      <c r="K3589" t="s">
        <v>14340</v>
      </c>
      <c r="L3589" s="7" t="s">
        <v>21123</v>
      </c>
      <c r="M3589">
        <v>97305602</v>
      </c>
      <c r="N3589">
        <v>42</v>
      </c>
      <c r="O3589">
        <v>36</v>
      </c>
      <c r="P3589">
        <v>6</v>
      </c>
      <c r="Q3589">
        <v>34</v>
      </c>
      <c r="R3589">
        <v>28</v>
      </c>
      <c r="S3589">
        <v>6</v>
      </c>
      <c r="T3589">
        <v>0</v>
      </c>
      <c r="U3589" t="s">
        <v>21124</v>
      </c>
      <c r="V3589">
        <f>Tabla1[[#This Row],[Aboard]]-Tabla1[[#This Row],[Fatalities]]</f>
        <v>8</v>
      </c>
      <c r="W3589" s="50">
        <f>IFERROR(Tabla1[[#This Row],[Fatalities]]/Tabla1[[#This Row],[Aboard]],0)</f>
        <v>0.80952380952380953</v>
      </c>
      <c r="X3589" s="51" t="str" cm="1">
        <f t="array" ref="X3589">_xlfn.IFS(Tabla1[[#This Row],[Porcentaje de muertes]]&lt;0.35,"LEVE",AND(Tabla1[[#This Row],[Porcentaje de muertes]]&gt;0.35,Tabla1[[#This Row],[Porcentaje de muertes]]&lt;0.65),"MEDIO",Tabla1[[#This Row],[Porcentaje de muertes]]&gt;0.65,"GRAVE")</f>
        <v>GRAVE</v>
      </c>
    </row>
    <row r="3590" spans="2:24" x14ac:dyDescent="0.3">
      <c r="B3590" s="9">
        <v>3589</v>
      </c>
      <c r="C3590" s="49">
        <v>32835</v>
      </c>
      <c r="D3590" s="9">
        <f>YEAR(Tabla1[[#This Row],[Date]])</f>
        <v>1989</v>
      </c>
      <c r="E3590" s="9" t="str" cm="1">
        <f t="array" ref="E3590">IFERROR(_xlfn.IFS(AND(D3590&lt;1980,D3590&gt;=1970),"70",AND(D3590&lt;1990,D3590&gt;=1980),"80",AND(D3590&lt;2000,D3590&gt;=1990),"90",AND(D3590&lt;2010,D3590&gt;=2000),"00",AND(D3590&lt;=2019,D3590&gt;=2010),"10"),"1908-1970")</f>
        <v>80</v>
      </c>
      <c r="F3590" s="3" t="s">
        <v>28931</v>
      </c>
      <c r="G3590" t="s">
        <v>21125</v>
      </c>
      <c r="H3590" t="s">
        <v>21126</v>
      </c>
      <c r="I3590" t="s">
        <v>28931</v>
      </c>
      <c r="J3590" t="s">
        <v>28931</v>
      </c>
      <c r="K3590" t="s">
        <v>21127</v>
      </c>
      <c r="L3590" s="7" t="s">
        <v>28931</v>
      </c>
      <c r="M3590" t="s">
        <v>28931</v>
      </c>
      <c r="N3590">
        <v>24</v>
      </c>
      <c r="O3590" t="s">
        <v>5038</v>
      </c>
      <c r="P3590" t="s">
        <v>5038</v>
      </c>
      <c r="Q3590">
        <v>24</v>
      </c>
      <c r="R3590" t="s">
        <v>5038</v>
      </c>
      <c r="S3590" t="s">
        <v>5038</v>
      </c>
      <c r="T3590">
        <v>0</v>
      </c>
      <c r="U3590" t="s">
        <v>21128</v>
      </c>
      <c r="V3590">
        <f>Tabla1[[#This Row],[Aboard]]-Tabla1[[#This Row],[Fatalities]]</f>
        <v>0</v>
      </c>
      <c r="W3590" s="50">
        <f>IFERROR(Tabla1[[#This Row],[Fatalities]]/Tabla1[[#This Row],[Aboard]],0)</f>
        <v>1</v>
      </c>
      <c r="X3590" s="51" t="str" cm="1">
        <f t="array" ref="X3590">_xlfn.IFS(Tabla1[[#This Row],[Porcentaje de muertes]]&lt;0.35,"LEVE",AND(Tabla1[[#This Row],[Porcentaje de muertes]]&gt;0.35,Tabla1[[#This Row],[Porcentaje de muertes]]&lt;0.65),"MEDIO",Tabla1[[#This Row],[Porcentaje de muertes]]&gt;0.65,"GRAVE")</f>
        <v>GRAVE</v>
      </c>
    </row>
    <row r="3591" spans="2:24" x14ac:dyDescent="0.3">
      <c r="B3591" s="9">
        <v>3590</v>
      </c>
      <c r="C3591" s="49">
        <v>32837</v>
      </c>
      <c r="D3591" s="9">
        <f>YEAR(Tabla1[[#This Row],[Date]])</f>
        <v>1989</v>
      </c>
      <c r="E3591" s="9" t="str" cm="1">
        <f t="array" ref="E3591">IFERROR(_xlfn.IFS(AND(D3591&lt;1980,D3591&gt;=1970),"70",AND(D3591&lt;1990,D3591&gt;=1980),"80",AND(D3591&lt;2000,D3591&gt;=1990),"90",AND(D3591&lt;2010,D3591&gt;=2000),"00",AND(D3591&lt;=2019,D3591&gt;=2010),"10"),"1908-1970")</f>
        <v>80</v>
      </c>
      <c r="F3591" s="3">
        <v>0.32500000000000001</v>
      </c>
      <c r="G3591" t="s">
        <v>18769</v>
      </c>
      <c r="H3591" t="s">
        <v>16097</v>
      </c>
      <c r="I3591" t="s">
        <v>28931</v>
      </c>
      <c r="J3591" t="s">
        <v>21129</v>
      </c>
      <c r="K3591" t="s">
        <v>18988</v>
      </c>
      <c r="L3591" s="7" t="s">
        <v>21130</v>
      </c>
      <c r="M3591">
        <v>11223</v>
      </c>
      <c r="N3591">
        <v>52</v>
      </c>
      <c r="O3591">
        <v>46</v>
      </c>
      <c r="P3591">
        <v>6</v>
      </c>
      <c r="Q3591">
        <v>1</v>
      </c>
      <c r="R3591">
        <v>1</v>
      </c>
      <c r="S3591">
        <v>0</v>
      </c>
      <c r="T3591">
        <v>0</v>
      </c>
      <c r="U3591" t="s">
        <v>21131</v>
      </c>
      <c r="V3591">
        <f>Tabla1[[#This Row],[Aboard]]-Tabla1[[#This Row],[Fatalities]]</f>
        <v>51</v>
      </c>
      <c r="W3591" s="50">
        <f>IFERROR(Tabla1[[#This Row],[Fatalities]]/Tabla1[[#This Row],[Aboard]],0)</f>
        <v>1.9230769230769232E-2</v>
      </c>
      <c r="X3591" s="51" t="str" cm="1">
        <f t="array" ref="X3591">_xlfn.IFS(Tabla1[[#This Row],[Porcentaje de muertes]]&lt;0.35,"LEVE",AND(Tabla1[[#This Row],[Porcentaje de muertes]]&gt;0.35,Tabla1[[#This Row],[Porcentaje de muertes]]&lt;0.65),"MEDIO",Tabla1[[#This Row],[Porcentaje de muertes]]&gt;0.65,"GRAVE")</f>
        <v>LEVE</v>
      </c>
    </row>
    <row r="3592" spans="2:24" x14ac:dyDescent="0.3">
      <c r="B3592" s="9">
        <v>3591</v>
      </c>
      <c r="C3592" s="49">
        <v>32839</v>
      </c>
      <c r="D3592" s="9">
        <f>YEAR(Tabla1[[#This Row],[Date]])</f>
        <v>1989</v>
      </c>
      <c r="E3592" s="9" t="str" cm="1">
        <f t="array" ref="E3592">IFERROR(_xlfn.IFS(AND(D3592&lt;1980,D3592&gt;=1970),"70",AND(D3592&lt;1990,D3592&gt;=1980),"80",AND(D3592&lt;2000,D3592&gt;=1990),"90",AND(D3592&lt;2010,D3592&gt;=2000),"00",AND(D3592&lt;=2019,D3592&gt;=2010),"10"),"1908-1970")</f>
        <v>80</v>
      </c>
      <c r="F3592" s="3">
        <v>0.30277777777777776</v>
      </c>
      <c r="G3592" t="s">
        <v>10364</v>
      </c>
      <c r="H3592" t="s">
        <v>8976</v>
      </c>
      <c r="I3592">
        <v>203</v>
      </c>
      <c r="J3592" t="s">
        <v>14822</v>
      </c>
      <c r="K3592" t="s">
        <v>20570</v>
      </c>
      <c r="L3592" s="7" t="s">
        <v>21132</v>
      </c>
      <c r="M3592" t="s">
        <v>21133</v>
      </c>
      <c r="N3592">
        <v>107</v>
      </c>
      <c r="O3592">
        <v>101</v>
      </c>
      <c r="P3592">
        <v>6</v>
      </c>
      <c r="Q3592">
        <v>107</v>
      </c>
      <c r="R3592">
        <v>101</v>
      </c>
      <c r="S3592">
        <v>6</v>
      </c>
      <c r="T3592">
        <v>3</v>
      </c>
      <c r="U3592" t="s">
        <v>21134</v>
      </c>
      <c r="V3592">
        <f>Tabla1[[#This Row],[Aboard]]-Tabla1[[#This Row],[Fatalities]]</f>
        <v>0</v>
      </c>
      <c r="W3592" s="50">
        <f>IFERROR(Tabla1[[#This Row],[Fatalities]]/Tabla1[[#This Row],[Aboard]],0)</f>
        <v>1</v>
      </c>
      <c r="X3592" s="51" t="str" cm="1">
        <f t="array" ref="X3592">_xlfn.IFS(Tabla1[[#This Row],[Porcentaje de muertes]]&lt;0.35,"LEVE",AND(Tabla1[[#This Row],[Porcentaje de muertes]]&gt;0.35,Tabla1[[#This Row],[Porcentaje de muertes]]&lt;0.65),"MEDIO",Tabla1[[#This Row],[Porcentaje de muertes]]&gt;0.65,"GRAVE")</f>
        <v>GRAVE</v>
      </c>
    </row>
    <row r="3593" spans="2:24" x14ac:dyDescent="0.3">
      <c r="B3593" s="9">
        <v>3592</v>
      </c>
      <c r="C3593" s="49">
        <v>32839</v>
      </c>
      <c r="D3593" s="9">
        <f>YEAR(Tabla1[[#This Row],[Date]])</f>
        <v>1989</v>
      </c>
      <c r="E3593" s="9" t="str" cm="1">
        <f t="array" ref="E3593">IFERROR(_xlfn.IFS(AND(D3593&lt;1980,D3593&gt;=1970),"70",AND(D3593&lt;1990,D3593&gt;=1980),"80",AND(D3593&lt;2000,D3593&gt;=1990),"90",AND(D3593&lt;2010,D3593&gt;=2000),"00",AND(D3593&lt;=2019,D3593&gt;=2010),"10"),"1908-1970")</f>
        <v>80</v>
      </c>
      <c r="F3593" s="3" t="s">
        <v>28931</v>
      </c>
      <c r="G3593" t="s">
        <v>21135</v>
      </c>
      <c r="H3593" t="s">
        <v>21136</v>
      </c>
      <c r="I3593" t="s">
        <v>28931</v>
      </c>
      <c r="J3593" t="s">
        <v>21137</v>
      </c>
      <c r="K3593" t="s">
        <v>16004</v>
      </c>
      <c r="L3593" s="7" t="s">
        <v>21138</v>
      </c>
      <c r="M3593">
        <v>4129</v>
      </c>
      <c r="N3593">
        <v>5</v>
      </c>
      <c r="O3593">
        <v>0</v>
      </c>
      <c r="P3593">
        <v>5</v>
      </c>
      <c r="Q3593">
        <v>5</v>
      </c>
      <c r="R3593">
        <v>0</v>
      </c>
      <c r="S3593">
        <v>5</v>
      </c>
      <c r="T3593">
        <v>0</v>
      </c>
      <c r="U3593" t="s">
        <v>10868</v>
      </c>
      <c r="V3593">
        <f>Tabla1[[#This Row],[Aboard]]-Tabla1[[#This Row],[Fatalities]]</f>
        <v>0</v>
      </c>
      <c r="W3593" s="50">
        <f>IFERROR(Tabla1[[#This Row],[Fatalities]]/Tabla1[[#This Row],[Aboard]],0)</f>
        <v>1</v>
      </c>
      <c r="X3593" s="51" t="str" cm="1">
        <f t="array" ref="X3593">_xlfn.IFS(Tabla1[[#This Row],[Porcentaje de muertes]]&lt;0.35,"LEVE",AND(Tabla1[[#This Row],[Porcentaje de muertes]]&gt;0.35,Tabla1[[#This Row],[Porcentaje de muertes]]&lt;0.65),"MEDIO",Tabla1[[#This Row],[Porcentaje de muertes]]&gt;0.65,"GRAVE")</f>
        <v>GRAVE</v>
      </c>
    </row>
    <row r="3594" spans="2:24" x14ac:dyDescent="0.3">
      <c r="B3594" s="9">
        <v>3593</v>
      </c>
      <c r="C3594" s="49">
        <v>32840</v>
      </c>
      <c r="D3594" s="9">
        <f>YEAR(Tabla1[[#This Row],[Date]])</f>
        <v>1989</v>
      </c>
      <c r="E3594" s="9" t="str" cm="1">
        <f t="array" ref="E3594">IFERROR(_xlfn.IFS(AND(D3594&lt;1980,D3594&gt;=1970),"70",AND(D3594&lt;1990,D3594&gt;=1980),"80",AND(D3594&lt;2000,D3594&gt;=1990),"90",AND(D3594&lt;2010,D3594&gt;=2000),"00",AND(D3594&lt;=2019,D3594&gt;=2010),"10"),"1908-1970")</f>
        <v>80</v>
      </c>
      <c r="F3594" s="3">
        <v>0.83333333333333337</v>
      </c>
      <c r="G3594" t="s">
        <v>21139</v>
      </c>
      <c r="H3594" t="s">
        <v>21140</v>
      </c>
      <c r="I3594" t="s">
        <v>28931</v>
      </c>
      <c r="J3594" t="s">
        <v>21141</v>
      </c>
      <c r="K3594" t="s">
        <v>16269</v>
      </c>
      <c r="L3594" s="7" t="s">
        <v>21142</v>
      </c>
      <c r="M3594" t="s">
        <v>28931</v>
      </c>
      <c r="N3594">
        <v>7</v>
      </c>
      <c r="O3594">
        <v>5</v>
      </c>
      <c r="P3594">
        <v>2</v>
      </c>
      <c r="Q3594">
        <v>3</v>
      </c>
      <c r="R3594">
        <v>1</v>
      </c>
      <c r="S3594">
        <v>2</v>
      </c>
      <c r="T3594">
        <v>0</v>
      </c>
      <c r="U3594" t="s">
        <v>21143</v>
      </c>
      <c r="V3594">
        <f>Tabla1[[#This Row],[Aboard]]-Tabla1[[#This Row],[Fatalities]]</f>
        <v>4</v>
      </c>
      <c r="W3594" s="50">
        <f>IFERROR(Tabla1[[#This Row],[Fatalities]]/Tabla1[[#This Row],[Aboard]],0)</f>
        <v>0.42857142857142855</v>
      </c>
      <c r="X3594" s="51" t="str" cm="1">
        <f t="array" ref="X3594">_xlfn.IFS(Tabla1[[#This Row],[Porcentaje de muertes]]&lt;0.35,"LEVE",AND(Tabla1[[#This Row],[Porcentaje de muertes]]&gt;0.35,Tabla1[[#This Row],[Porcentaje de muertes]]&lt;0.65),"MEDIO",Tabla1[[#This Row],[Porcentaje de muertes]]&gt;0.65,"GRAVE")</f>
        <v>MEDIO</v>
      </c>
    </row>
    <row r="3595" spans="2:24" x14ac:dyDescent="0.3">
      <c r="B3595" s="9">
        <v>3594</v>
      </c>
      <c r="C3595" s="49">
        <v>32840</v>
      </c>
      <c r="D3595" s="9">
        <f>YEAR(Tabla1[[#This Row],[Date]])</f>
        <v>1989</v>
      </c>
      <c r="E3595" s="9" t="str" cm="1">
        <f t="array" ref="E3595">IFERROR(_xlfn.IFS(AND(D3595&lt;1980,D3595&gt;=1970),"70",AND(D3595&lt;1990,D3595&gt;=1980),"80",AND(D3595&lt;2000,D3595&gt;=1990),"90",AND(D3595&lt;2010,D3595&gt;=2000),"00",AND(D3595&lt;=2019,D3595&gt;=2010),"10"),"1908-1970")</f>
        <v>80</v>
      </c>
      <c r="F3595" s="3">
        <v>0.76736111111111116</v>
      </c>
      <c r="G3595" t="s">
        <v>21144</v>
      </c>
      <c r="H3595" t="s">
        <v>21145</v>
      </c>
      <c r="I3595" t="s">
        <v>28931</v>
      </c>
      <c r="J3595" t="s">
        <v>21146</v>
      </c>
      <c r="K3595" t="s">
        <v>15949</v>
      </c>
      <c r="L3595" s="7" t="s">
        <v>21147</v>
      </c>
      <c r="M3595">
        <v>69</v>
      </c>
      <c r="N3595">
        <v>8</v>
      </c>
      <c r="O3595">
        <v>7</v>
      </c>
      <c r="P3595">
        <v>1</v>
      </c>
      <c r="Q3595">
        <v>8</v>
      </c>
      <c r="R3595">
        <v>7</v>
      </c>
      <c r="S3595">
        <v>1</v>
      </c>
      <c r="T3595">
        <v>0</v>
      </c>
      <c r="U3595" t="s">
        <v>21148</v>
      </c>
      <c r="V3595">
        <f>Tabla1[[#This Row],[Aboard]]-Tabla1[[#This Row],[Fatalities]]</f>
        <v>0</v>
      </c>
      <c r="W3595" s="50">
        <f>IFERROR(Tabla1[[#This Row],[Fatalities]]/Tabla1[[#This Row],[Aboard]],0)</f>
        <v>1</v>
      </c>
      <c r="X3595" s="51" t="str" cm="1">
        <f t="array" ref="X3595">_xlfn.IFS(Tabla1[[#This Row],[Porcentaje de muertes]]&lt;0.35,"LEVE",AND(Tabla1[[#This Row],[Porcentaje de muertes]]&gt;0.35,Tabla1[[#This Row],[Porcentaje de muertes]]&lt;0.65),"MEDIO",Tabla1[[#This Row],[Porcentaje de muertes]]&gt;0.65,"GRAVE")</f>
        <v>GRAVE</v>
      </c>
    </row>
    <row r="3596" spans="2:24" x14ac:dyDescent="0.3">
      <c r="B3596" s="9">
        <v>3595</v>
      </c>
      <c r="C3596" s="49">
        <v>32520</v>
      </c>
      <c r="D3596" s="9">
        <f>YEAR(Tabla1[[#This Row],[Date]])</f>
        <v>1989</v>
      </c>
      <c r="E3596" s="9" t="str" cm="1">
        <f t="array" ref="E3596">IFERROR(_xlfn.IFS(AND(D3596&lt;1980,D3596&gt;=1970),"70",AND(D3596&lt;1990,D3596&gt;=1980),"80",AND(D3596&lt;2000,D3596&gt;=1990),"90",AND(D3596&lt;2010,D3596&gt;=2000),"00",AND(D3596&lt;=2019,D3596&gt;=2010),"10"),"1908-1970")</f>
        <v>80</v>
      </c>
      <c r="F3596" s="3">
        <v>0.39583333333333331</v>
      </c>
      <c r="G3596" t="s">
        <v>21149</v>
      </c>
      <c r="H3596" t="s">
        <v>5017</v>
      </c>
      <c r="I3596" t="s">
        <v>28931</v>
      </c>
      <c r="J3596" t="s">
        <v>21150</v>
      </c>
      <c r="K3596" t="s">
        <v>20276</v>
      </c>
      <c r="L3596" s="7" t="s">
        <v>21151</v>
      </c>
      <c r="M3596">
        <v>296</v>
      </c>
      <c r="N3596">
        <v>5</v>
      </c>
      <c r="O3596">
        <v>0</v>
      </c>
      <c r="P3596">
        <v>5</v>
      </c>
      <c r="Q3596">
        <v>5</v>
      </c>
      <c r="R3596">
        <v>0</v>
      </c>
      <c r="S3596">
        <v>5</v>
      </c>
      <c r="T3596">
        <v>0</v>
      </c>
      <c r="U3596" t="s">
        <v>21152</v>
      </c>
      <c r="V3596">
        <f>Tabla1[[#This Row],[Aboard]]-Tabla1[[#This Row],[Fatalities]]</f>
        <v>0</v>
      </c>
      <c r="W3596" s="50">
        <f>IFERROR(Tabla1[[#This Row],[Fatalities]]/Tabla1[[#This Row],[Aboard]],0)</f>
        <v>1</v>
      </c>
      <c r="X3596" s="51" t="str" cm="1">
        <f t="array" ref="X3596">_xlfn.IFS(Tabla1[[#This Row],[Porcentaje de muertes]]&lt;0.35,"LEVE",AND(Tabla1[[#This Row],[Porcentaje de muertes]]&gt;0.35,Tabla1[[#This Row],[Porcentaje de muertes]]&lt;0.65),"MEDIO",Tabla1[[#This Row],[Porcentaje de muertes]]&gt;0.65,"GRAVE")</f>
        <v>GRAVE</v>
      </c>
    </row>
    <row r="3597" spans="2:24" x14ac:dyDescent="0.3">
      <c r="B3597" s="9">
        <v>3596</v>
      </c>
      <c r="C3597" s="49">
        <v>32863</v>
      </c>
      <c r="D3597" s="9">
        <f>YEAR(Tabla1[[#This Row],[Date]])</f>
        <v>1989</v>
      </c>
      <c r="E3597" s="9" t="str" cm="1">
        <f t="array" ref="E3597">IFERROR(_xlfn.IFS(AND(D3597&lt;1980,D3597&gt;=1970),"70",AND(D3597&lt;1990,D3597&gt;=1980),"80",AND(D3597&lt;2000,D3597&gt;=1990),"90",AND(D3597&lt;2010,D3597&gt;=2000),"00",AND(D3597&lt;=2019,D3597&gt;=2010),"10"),"1908-1970")</f>
        <v>80</v>
      </c>
      <c r="F3597" s="3">
        <v>0.58333333333333337</v>
      </c>
      <c r="G3597" t="s">
        <v>21153</v>
      </c>
      <c r="H3597" t="s">
        <v>10004</v>
      </c>
      <c r="I3597" t="s">
        <v>28931</v>
      </c>
      <c r="J3597" t="s">
        <v>21154</v>
      </c>
      <c r="K3597" t="s">
        <v>19772</v>
      </c>
      <c r="L3597" s="7" t="s">
        <v>21155</v>
      </c>
      <c r="M3597">
        <v>3187</v>
      </c>
      <c r="N3597">
        <v>28</v>
      </c>
      <c r="O3597">
        <v>18</v>
      </c>
      <c r="P3597">
        <v>10</v>
      </c>
      <c r="Q3597">
        <v>24</v>
      </c>
      <c r="R3597" t="s">
        <v>5038</v>
      </c>
      <c r="S3597" t="s">
        <v>5038</v>
      </c>
      <c r="T3597">
        <v>0</v>
      </c>
      <c r="U3597" t="s">
        <v>21156</v>
      </c>
      <c r="V3597">
        <f>Tabla1[[#This Row],[Aboard]]-Tabla1[[#This Row],[Fatalities]]</f>
        <v>4</v>
      </c>
      <c r="W3597" s="50">
        <f>IFERROR(Tabla1[[#This Row],[Fatalities]]/Tabla1[[#This Row],[Aboard]],0)</f>
        <v>0.8571428571428571</v>
      </c>
      <c r="X3597" s="51" t="str" cm="1">
        <f t="array" ref="X3597">_xlfn.IFS(Tabla1[[#This Row],[Porcentaje de muertes]]&lt;0.35,"LEVE",AND(Tabla1[[#This Row],[Porcentaje de muertes]]&gt;0.35,Tabla1[[#This Row],[Porcentaje de muertes]]&lt;0.65),"MEDIO",Tabla1[[#This Row],[Porcentaje de muertes]]&gt;0.65,"GRAVE")</f>
        <v>GRAVE</v>
      </c>
    </row>
    <row r="3598" spans="2:24" x14ac:dyDescent="0.3">
      <c r="B3598" s="9">
        <v>3597</v>
      </c>
      <c r="C3598" s="49">
        <v>32868</v>
      </c>
      <c r="D3598" s="9">
        <f>YEAR(Tabla1[[#This Row],[Date]])</f>
        <v>1989</v>
      </c>
      <c r="E3598" s="9" t="str" cm="1">
        <f t="array" ref="E3598">IFERROR(_xlfn.IFS(AND(D3598&lt;1980,D3598&gt;=1970),"70",AND(D3598&lt;1990,D3598&gt;=1980),"80",AND(D3598&lt;2000,D3598&gt;=1990),"90",AND(D3598&lt;2010,D3598&gt;=2000),"00",AND(D3598&lt;=2019,D3598&gt;=2010),"10"),"1908-1970")</f>
        <v>80</v>
      </c>
      <c r="F3598" s="3">
        <v>0.9375</v>
      </c>
      <c r="G3598" t="s">
        <v>6137</v>
      </c>
      <c r="H3598" t="s">
        <v>21157</v>
      </c>
      <c r="I3598">
        <v>2415</v>
      </c>
      <c r="J3598" t="s">
        <v>21158</v>
      </c>
      <c r="K3598" t="s">
        <v>21159</v>
      </c>
      <c r="L3598" s="7" t="s">
        <v>21160</v>
      </c>
      <c r="M3598">
        <v>776</v>
      </c>
      <c r="N3598">
        <v>6</v>
      </c>
      <c r="O3598">
        <v>4</v>
      </c>
      <c r="P3598">
        <v>2</v>
      </c>
      <c r="Q3598">
        <v>6</v>
      </c>
      <c r="R3598">
        <v>4</v>
      </c>
      <c r="S3598">
        <v>2</v>
      </c>
      <c r="T3598">
        <v>0</v>
      </c>
      <c r="U3598" t="s">
        <v>21161</v>
      </c>
      <c r="V3598">
        <f>Tabla1[[#This Row],[Aboard]]-Tabla1[[#This Row],[Fatalities]]</f>
        <v>0</v>
      </c>
      <c r="W3598" s="50">
        <f>IFERROR(Tabla1[[#This Row],[Fatalities]]/Tabla1[[#This Row],[Aboard]],0)</f>
        <v>1</v>
      </c>
      <c r="X3598" s="51" t="str" cm="1">
        <f t="array" ref="X3598">_xlfn.IFS(Tabla1[[#This Row],[Porcentaje de muertes]]&lt;0.35,"LEVE",AND(Tabla1[[#This Row],[Porcentaje de muertes]]&gt;0.35,Tabla1[[#This Row],[Porcentaje de muertes]]&lt;0.65),"MEDIO",Tabla1[[#This Row],[Porcentaje de muertes]]&gt;0.65,"GRAVE")</f>
        <v>GRAVE</v>
      </c>
    </row>
    <row r="3599" spans="2:24" x14ac:dyDescent="0.3">
      <c r="B3599" s="9">
        <v>3598</v>
      </c>
      <c r="C3599" s="49">
        <v>32870</v>
      </c>
      <c r="D3599" s="9">
        <f>YEAR(Tabla1[[#This Row],[Date]])</f>
        <v>1989</v>
      </c>
      <c r="E3599" s="9" t="str" cm="1">
        <f t="array" ref="E3599">IFERROR(_xlfn.IFS(AND(D3599&lt;1980,D3599&gt;=1970),"70",AND(D3599&lt;1990,D3599&gt;=1980),"80",AND(D3599&lt;2000,D3599&gt;=1990),"90",AND(D3599&lt;2010,D3599&gt;=2000),"00",AND(D3599&lt;=2019,D3599&gt;=2010),"10"),"1908-1970")</f>
        <v>80</v>
      </c>
      <c r="F3599" s="3" t="s">
        <v>28931</v>
      </c>
      <c r="G3599" t="s">
        <v>21162</v>
      </c>
      <c r="H3599" t="s">
        <v>13884</v>
      </c>
      <c r="I3599" t="s">
        <v>28931</v>
      </c>
      <c r="J3599" t="s">
        <v>21163</v>
      </c>
      <c r="K3599" t="s">
        <v>19071</v>
      </c>
      <c r="L3599" s="7" t="s">
        <v>21164</v>
      </c>
      <c r="M3599">
        <v>77310801</v>
      </c>
      <c r="N3599">
        <v>7</v>
      </c>
      <c r="O3599">
        <v>1</v>
      </c>
      <c r="P3599">
        <v>6</v>
      </c>
      <c r="Q3599">
        <v>7</v>
      </c>
      <c r="R3599">
        <v>1</v>
      </c>
      <c r="S3599">
        <v>6</v>
      </c>
      <c r="T3599">
        <v>0</v>
      </c>
      <c r="U3599" t="s">
        <v>21165</v>
      </c>
      <c r="V3599">
        <f>Tabla1[[#This Row],[Aboard]]-Tabla1[[#This Row],[Fatalities]]</f>
        <v>0</v>
      </c>
      <c r="W3599" s="50">
        <f>IFERROR(Tabla1[[#This Row],[Fatalities]]/Tabla1[[#This Row],[Aboard]],0)</f>
        <v>1</v>
      </c>
      <c r="X3599" s="51" t="str" cm="1">
        <f t="array" ref="X3599">_xlfn.IFS(Tabla1[[#This Row],[Porcentaje de muertes]]&lt;0.35,"LEVE",AND(Tabla1[[#This Row],[Porcentaje de muertes]]&gt;0.35,Tabla1[[#This Row],[Porcentaje de muertes]]&lt;0.65),"MEDIO",Tabla1[[#This Row],[Porcentaje de muertes]]&gt;0.65,"GRAVE")</f>
        <v>GRAVE</v>
      </c>
    </row>
    <row r="3600" spans="2:24" x14ac:dyDescent="0.3">
      <c r="B3600" s="9">
        <v>3599</v>
      </c>
      <c r="C3600" s="49">
        <v>32872</v>
      </c>
      <c r="D3600" s="9">
        <f>YEAR(Tabla1[[#This Row],[Date]])</f>
        <v>1989</v>
      </c>
      <c r="E3600" s="9" t="str" cm="1">
        <f t="array" ref="E3600">IFERROR(_xlfn.IFS(AND(D3600&lt;1980,D3600&gt;=1970),"70",AND(D3600&lt;1990,D3600&gt;=1980),"80",AND(D3600&lt;2000,D3600&gt;=1990),"90",AND(D3600&lt;2010,D3600&gt;=2000),"00",AND(D3600&lt;=2019,D3600&gt;=2010),"10"),"1908-1970")</f>
        <v>80</v>
      </c>
      <c r="F3600" s="3" t="s">
        <v>28931</v>
      </c>
      <c r="G3600" t="s">
        <v>21166</v>
      </c>
      <c r="H3600" t="s">
        <v>21167</v>
      </c>
      <c r="I3600" t="s">
        <v>28931</v>
      </c>
      <c r="J3600" t="s">
        <v>28931</v>
      </c>
      <c r="K3600" t="s">
        <v>21168</v>
      </c>
      <c r="L3600" s="7" t="s">
        <v>21169</v>
      </c>
      <c r="M3600" t="s">
        <v>21170</v>
      </c>
      <c r="N3600">
        <v>5</v>
      </c>
      <c r="O3600">
        <v>4</v>
      </c>
      <c r="P3600">
        <v>1</v>
      </c>
      <c r="Q3600">
        <v>5</v>
      </c>
      <c r="R3600">
        <v>4</v>
      </c>
      <c r="S3600">
        <v>1</v>
      </c>
      <c r="T3600">
        <v>0</v>
      </c>
      <c r="U3600" t="s">
        <v>21171</v>
      </c>
      <c r="V3600">
        <f>Tabla1[[#This Row],[Aboard]]-Tabla1[[#This Row],[Fatalities]]</f>
        <v>0</v>
      </c>
      <c r="W3600" s="50">
        <f>IFERROR(Tabla1[[#This Row],[Fatalities]]/Tabla1[[#This Row],[Aboard]],0)</f>
        <v>1</v>
      </c>
      <c r="X3600" s="51" t="str" cm="1">
        <f t="array" ref="X3600">_xlfn.IFS(Tabla1[[#This Row],[Porcentaje de muertes]]&lt;0.35,"LEVE",AND(Tabla1[[#This Row],[Porcentaje de muertes]]&gt;0.35,Tabla1[[#This Row],[Porcentaje de muertes]]&lt;0.65),"MEDIO",Tabla1[[#This Row],[Porcentaje de muertes]]&gt;0.65,"GRAVE")</f>
        <v>GRAVE</v>
      </c>
    </row>
    <row r="3601" spans="2:24" x14ac:dyDescent="0.3">
      <c r="B3601" s="9">
        <v>3600</v>
      </c>
      <c r="C3601" s="49">
        <v>32905</v>
      </c>
      <c r="D3601" s="9">
        <f>YEAR(Tabla1[[#This Row],[Date]])</f>
        <v>1990</v>
      </c>
      <c r="E3601" s="9" t="str" cm="1">
        <f t="array" ref="E3601">IFERROR(_xlfn.IFS(AND(D3601&lt;1980,D3601&gt;=1970),"70",AND(D3601&lt;1990,D3601&gt;=1980),"80",AND(D3601&lt;2000,D3601&gt;=1990),"90",AND(D3601&lt;2010,D3601&gt;=2000),"00",AND(D3601&lt;=2019,D3601&gt;=2010),"10"),"1908-1970")</f>
        <v>90</v>
      </c>
      <c r="F3601" s="3">
        <v>0.56944444444444442</v>
      </c>
      <c r="G3601" t="s">
        <v>21172</v>
      </c>
      <c r="H3601" t="s">
        <v>14932</v>
      </c>
      <c r="I3601" t="s">
        <v>28931</v>
      </c>
      <c r="J3601" t="s">
        <v>21173</v>
      </c>
      <c r="K3601" t="s">
        <v>20276</v>
      </c>
      <c r="L3601" s="7" t="s">
        <v>21174</v>
      </c>
      <c r="M3601" t="s">
        <v>21175</v>
      </c>
      <c r="N3601">
        <v>16</v>
      </c>
      <c r="O3601">
        <v>13</v>
      </c>
      <c r="P3601">
        <v>3</v>
      </c>
      <c r="Q3601">
        <v>9</v>
      </c>
      <c r="R3601">
        <v>7</v>
      </c>
      <c r="S3601">
        <v>2</v>
      </c>
      <c r="T3601">
        <v>0</v>
      </c>
      <c r="U3601" t="s">
        <v>21176</v>
      </c>
      <c r="V3601">
        <f>Tabla1[[#This Row],[Aboard]]-Tabla1[[#This Row],[Fatalities]]</f>
        <v>7</v>
      </c>
      <c r="W3601" s="50">
        <f>IFERROR(Tabla1[[#This Row],[Fatalities]]/Tabla1[[#This Row],[Aboard]],0)</f>
        <v>0.5625</v>
      </c>
      <c r="X3601" s="51" t="str" cm="1">
        <f t="array" ref="X3601">_xlfn.IFS(Tabla1[[#This Row],[Porcentaje de muertes]]&lt;0.35,"LEVE",AND(Tabla1[[#This Row],[Porcentaje de muertes]]&gt;0.35,Tabla1[[#This Row],[Porcentaje de muertes]]&lt;0.65),"MEDIO",Tabla1[[#This Row],[Porcentaje de muertes]]&gt;0.65,"GRAVE")</f>
        <v>MEDIO</v>
      </c>
    </row>
    <row r="3602" spans="2:24" x14ac:dyDescent="0.3">
      <c r="B3602" s="9">
        <v>3601</v>
      </c>
      <c r="C3602" s="49">
        <v>32886</v>
      </c>
      <c r="D3602" s="9">
        <f>YEAR(Tabla1[[#This Row],[Date]])</f>
        <v>1990</v>
      </c>
      <c r="E3602" s="9" t="str" cm="1">
        <f t="array" ref="E3602">IFERROR(_xlfn.IFS(AND(D3602&lt;1980,D3602&gt;=1970),"70",AND(D3602&lt;1990,D3602&gt;=1980),"80",AND(D3602&lt;2000,D3602&gt;=1990),"90",AND(D3602&lt;2010,D3602&gt;=2000),"00",AND(D3602&lt;=2019,D3602&gt;=2010),"10"),"1908-1970")</f>
        <v>90</v>
      </c>
      <c r="F3602" s="3">
        <v>0.53888888888888886</v>
      </c>
      <c r="G3602" t="s">
        <v>21177</v>
      </c>
      <c r="H3602" t="s">
        <v>6541</v>
      </c>
      <c r="I3602" t="s">
        <v>28931</v>
      </c>
      <c r="J3602" t="s">
        <v>21178</v>
      </c>
      <c r="K3602" t="s">
        <v>16145</v>
      </c>
      <c r="L3602" s="7" t="s">
        <v>21179</v>
      </c>
      <c r="M3602">
        <v>2351703</v>
      </c>
      <c r="N3602">
        <v>71</v>
      </c>
      <c r="O3602">
        <v>65</v>
      </c>
      <c r="P3602">
        <v>6</v>
      </c>
      <c r="Q3602">
        <v>27</v>
      </c>
      <c r="R3602">
        <v>23</v>
      </c>
      <c r="S3602">
        <v>4</v>
      </c>
      <c r="T3602">
        <v>0</v>
      </c>
      <c r="U3602" t="s">
        <v>21180</v>
      </c>
      <c r="V3602">
        <f>Tabla1[[#This Row],[Aboard]]-Tabla1[[#This Row],[Fatalities]]</f>
        <v>44</v>
      </c>
      <c r="W3602" s="50">
        <f>IFERROR(Tabla1[[#This Row],[Fatalities]]/Tabla1[[#This Row],[Aboard]],0)</f>
        <v>0.38028169014084506</v>
      </c>
      <c r="X3602" s="51" t="str" cm="1">
        <f t="array" ref="X3602">_xlfn.IFS(Tabla1[[#This Row],[Porcentaje de muertes]]&lt;0.35,"LEVE",AND(Tabla1[[#This Row],[Porcentaje de muertes]]&gt;0.35,Tabla1[[#This Row],[Porcentaje de muertes]]&lt;0.65),"MEDIO",Tabla1[[#This Row],[Porcentaje de muertes]]&gt;0.65,"GRAVE")</f>
        <v>MEDIO</v>
      </c>
    </row>
    <row r="3603" spans="2:24" x14ac:dyDescent="0.3">
      <c r="B3603" s="9">
        <v>3602</v>
      </c>
      <c r="C3603" s="49">
        <v>32888</v>
      </c>
      <c r="D3603" s="9">
        <f>YEAR(Tabla1[[#This Row],[Date]])</f>
        <v>1990</v>
      </c>
      <c r="E3603" s="9" t="str" cm="1">
        <f t="array" ref="E3603">IFERROR(_xlfn.IFS(AND(D3603&lt;1980,D3603&gt;=1970),"70",AND(D3603&lt;1990,D3603&gt;=1980),"80",AND(D3603&lt;2000,D3603&gt;=1990),"90",AND(D3603&lt;2010,D3603&gt;=2000),"00",AND(D3603&lt;=2019,D3603&gt;=2010),"10"),"1908-1970")</f>
        <v>90</v>
      </c>
      <c r="F3603" s="3">
        <v>0.35416666666666669</v>
      </c>
      <c r="G3603" t="s">
        <v>21181</v>
      </c>
      <c r="H3603" t="s">
        <v>21182</v>
      </c>
      <c r="I3603">
        <v>32</v>
      </c>
      <c r="J3603" t="s">
        <v>21183</v>
      </c>
      <c r="K3603" t="s">
        <v>20276</v>
      </c>
      <c r="L3603" s="7" t="s">
        <v>21184</v>
      </c>
      <c r="M3603">
        <v>163</v>
      </c>
      <c r="N3603">
        <v>23</v>
      </c>
      <c r="O3603">
        <v>20</v>
      </c>
      <c r="P3603">
        <v>3</v>
      </c>
      <c r="Q3603">
        <v>23</v>
      </c>
      <c r="R3603">
        <v>20</v>
      </c>
      <c r="S3603">
        <v>3</v>
      </c>
      <c r="T3603">
        <v>0</v>
      </c>
      <c r="U3603" t="s">
        <v>21185</v>
      </c>
      <c r="V3603">
        <f>Tabla1[[#This Row],[Aboard]]-Tabla1[[#This Row],[Fatalities]]</f>
        <v>0</v>
      </c>
      <c r="W3603" s="50">
        <f>IFERROR(Tabla1[[#This Row],[Fatalities]]/Tabla1[[#This Row],[Aboard]],0)</f>
        <v>1</v>
      </c>
      <c r="X3603" s="51" t="str" cm="1">
        <f t="array" ref="X3603">_xlfn.IFS(Tabla1[[#This Row],[Porcentaje de muertes]]&lt;0.35,"LEVE",AND(Tabla1[[#This Row],[Porcentaje de muertes]]&gt;0.35,Tabla1[[#This Row],[Porcentaje de muertes]]&lt;0.65),"MEDIO",Tabla1[[#This Row],[Porcentaje de muertes]]&gt;0.65,"GRAVE")</f>
        <v>GRAVE</v>
      </c>
    </row>
    <row r="3604" spans="2:24" x14ac:dyDescent="0.3">
      <c r="B3604" s="9">
        <v>3603</v>
      </c>
      <c r="C3604" s="49">
        <v>32890</v>
      </c>
      <c r="D3604" s="9">
        <f>YEAR(Tabla1[[#This Row],[Date]])</f>
        <v>1990</v>
      </c>
      <c r="E3604" s="9" t="str" cm="1">
        <f t="array" ref="E3604">IFERROR(_xlfn.IFS(AND(D3604&lt;1980,D3604&gt;=1970),"70",AND(D3604&lt;1990,D3604&gt;=1980),"80",AND(D3604&lt;2000,D3604&gt;=1990),"90",AND(D3604&lt;2010,D3604&gt;=2000),"00",AND(D3604&lt;=2019,D3604&gt;=2010),"10"),"1908-1970")</f>
        <v>90</v>
      </c>
      <c r="F3604" s="3">
        <v>0.30486111111111108</v>
      </c>
      <c r="G3604" t="s">
        <v>21186</v>
      </c>
      <c r="H3604" t="s">
        <v>21187</v>
      </c>
      <c r="I3604">
        <v>824</v>
      </c>
      <c r="J3604" t="s">
        <v>21188</v>
      </c>
      <c r="K3604" t="s">
        <v>21189</v>
      </c>
      <c r="L3604" s="7" t="s">
        <v>21190</v>
      </c>
      <c r="M3604" t="s">
        <v>21191</v>
      </c>
      <c r="N3604">
        <v>1</v>
      </c>
      <c r="O3604">
        <v>0</v>
      </c>
      <c r="P3604">
        <v>1</v>
      </c>
      <c r="Q3604">
        <v>1</v>
      </c>
      <c r="R3604">
        <v>0</v>
      </c>
      <c r="S3604">
        <v>1</v>
      </c>
      <c r="T3604">
        <v>0</v>
      </c>
      <c r="U3604" t="s">
        <v>21192</v>
      </c>
      <c r="V3604">
        <f>Tabla1[[#This Row],[Aboard]]-Tabla1[[#This Row],[Fatalities]]</f>
        <v>0</v>
      </c>
      <c r="W3604" s="50">
        <f>IFERROR(Tabla1[[#This Row],[Fatalities]]/Tabla1[[#This Row],[Aboard]],0)</f>
        <v>1</v>
      </c>
      <c r="X3604" s="51" t="str" cm="1">
        <f t="array" ref="X3604">_xlfn.IFS(Tabla1[[#This Row],[Porcentaje de muertes]]&lt;0.35,"LEVE",AND(Tabla1[[#This Row],[Porcentaje de muertes]]&gt;0.35,Tabla1[[#This Row],[Porcentaje de muertes]]&lt;0.65),"MEDIO",Tabla1[[#This Row],[Porcentaje de muertes]]&gt;0.65,"GRAVE")</f>
        <v>GRAVE</v>
      </c>
    </row>
    <row r="3605" spans="2:24" x14ac:dyDescent="0.3">
      <c r="B3605" s="9">
        <v>3604</v>
      </c>
      <c r="C3605" s="49">
        <v>32896</v>
      </c>
      <c r="D3605" s="9">
        <f>YEAR(Tabla1[[#This Row],[Date]])</f>
        <v>1990</v>
      </c>
      <c r="E3605" s="9" t="str" cm="1">
        <f t="array" ref="E3605">IFERROR(_xlfn.IFS(AND(D3605&lt;1980,D3605&gt;=1970),"70",AND(D3605&lt;1990,D3605&gt;=1980),"80",AND(D3605&lt;2000,D3605&gt;=1990),"90",AND(D3605&lt;2010,D3605&gt;=2000),"00",AND(D3605&lt;=2019,D3605&gt;=2010),"10"),"1908-1970")</f>
        <v>90</v>
      </c>
      <c r="F3605" s="3">
        <v>0.31597222222222221</v>
      </c>
      <c r="G3605" t="s">
        <v>9073</v>
      </c>
      <c r="H3605" t="s">
        <v>21193</v>
      </c>
      <c r="I3605" t="s">
        <v>8152</v>
      </c>
      <c r="J3605" t="s">
        <v>21194</v>
      </c>
      <c r="K3605" t="s">
        <v>21195</v>
      </c>
      <c r="L3605" s="7" t="s">
        <v>21196</v>
      </c>
      <c r="M3605">
        <v>268</v>
      </c>
      <c r="N3605">
        <v>25</v>
      </c>
      <c r="O3605">
        <v>22</v>
      </c>
      <c r="P3605">
        <v>3</v>
      </c>
      <c r="Q3605">
        <v>25</v>
      </c>
      <c r="R3605">
        <v>22</v>
      </c>
      <c r="S3605">
        <v>3</v>
      </c>
      <c r="T3605">
        <v>0</v>
      </c>
      <c r="U3605" t="s">
        <v>21197</v>
      </c>
      <c r="V3605">
        <f>Tabla1[[#This Row],[Aboard]]-Tabla1[[#This Row],[Fatalities]]</f>
        <v>0</v>
      </c>
      <c r="W3605" s="50">
        <f>IFERROR(Tabla1[[#This Row],[Fatalities]]/Tabla1[[#This Row],[Aboard]],0)</f>
        <v>1</v>
      </c>
      <c r="X3605" s="51" t="str" cm="1">
        <f t="array" ref="X3605">_xlfn.IFS(Tabla1[[#This Row],[Porcentaje de muertes]]&lt;0.35,"LEVE",AND(Tabla1[[#This Row],[Porcentaje de muertes]]&gt;0.35,Tabla1[[#This Row],[Porcentaje de muertes]]&lt;0.65),"MEDIO",Tabla1[[#This Row],[Porcentaje de muertes]]&gt;0.65,"GRAVE")</f>
        <v>GRAVE</v>
      </c>
    </row>
    <row r="3606" spans="2:24" x14ac:dyDescent="0.3">
      <c r="B3606" s="9">
        <v>3605</v>
      </c>
      <c r="C3606" s="49">
        <v>32898</v>
      </c>
      <c r="D3606" s="9">
        <f>YEAR(Tabla1[[#This Row],[Date]])</f>
        <v>1990</v>
      </c>
      <c r="E3606" s="9" t="str" cm="1">
        <f t="array" ref="E3606">IFERROR(_xlfn.IFS(AND(D3606&lt;1980,D3606&gt;=1970),"70",AND(D3606&lt;1990,D3606&gt;=1980),"80",AND(D3606&lt;2000,D3606&gt;=1990),"90",AND(D3606&lt;2010,D3606&gt;=2000),"00",AND(D3606&lt;=2019,D3606&gt;=2010),"10"),"1908-1970")</f>
        <v>90</v>
      </c>
      <c r="F3606" s="3" t="s">
        <v>28931</v>
      </c>
      <c r="G3606" t="s">
        <v>21198</v>
      </c>
      <c r="H3606" t="s">
        <v>21199</v>
      </c>
      <c r="I3606" t="s">
        <v>28931</v>
      </c>
      <c r="J3606" t="s">
        <v>21200</v>
      </c>
      <c r="K3606" t="s">
        <v>21201</v>
      </c>
      <c r="L3606" s="7" t="s">
        <v>21202</v>
      </c>
      <c r="M3606">
        <v>1567</v>
      </c>
      <c r="N3606">
        <v>19</v>
      </c>
      <c r="O3606">
        <v>16</v>
      </c>
      <c r="P3606">
        <v>3</v>
      </c>
      <c r="Q3606">
        <v>19</v>
      </c>
      <c r="R3606">
        <v>16</v>
      </c>
      <c r="S3606">
        <v>3</v>
      </c>
      <c r="T3606">
        <v>0</v>
      </c>
      <c r="U3606" t="s">
        <v>21203</v>
      </c>
      <c r="V3606">
        <f>Tabla1[[#This Row],[Aboard]]-Tabla1[[#This Row],[Fatalities]]</f>
        <v>0</v>
      </c>
      <c r="W3606" s="50">
        <f>IFERROR(Tabla1[[#This Row],[Fatalities]]/Tabla1[[#This Row],[Aboard]],0)</f>
        <v>1</v>
      </c>
      <c r="X3606" s="51" t="str" cm="1">
        <f t="array" ref="X3606">_xlfn.IFS(Tabla1[[#This Row],[Porcentaje de muertes]]&lt;0.35,"LEVE",AND(Tabla1[[#This Row],[Porcentaje de muertes]]&gt;0.35,Tabla1[[#This Row],[Porcentaje de muertes]]&lt;0.65),"MEDIO",Tabla1[[#This Row],[Porcentaje de muertes]]&gt;0.65,"GRAVE")</f>
        <v>GRAVE</v>
      </c>
    </row>
    <row r="3607" spans="2:24" x14ac:dyDescent="0.3">
      <c r="B3607" s="9">
        <v>3606</v>
      </c>
      <c r="C3607" s="49">
        <v>32898</v>
      </c>
      <c r="D3607" s="9">
        <f>YEAR(Tabla1[[#This Row],[Date]])</f>
        <v>1990</v>
      </c>
      <c r="E3607" s="9" t="str" cm="1">
        <f t="array" ref="E3607">IFERROR(_xlfn.IFS(AND(D3607&lt;1980,D3607&gt;=1970),"70",AND(D3607&lt;1990,D3607&gt;=1980),"80",AND(D3607&lt;2000,D3607&gt;=1990),"90",AND(D3607&lt;2010,D3607&gt;=2000),"00",AND(D3607&lt;=2019,D3607&gt;=2010),"10"),"1908-1970")</f>
        <v>90</v>
      </c>
      <c r="F3607" s="3">
        <v>0.89861111111111114</v>
      </c>
      <c r="G3607" t="s">
        <v>21204</v>
      </c>
      <c r="H3607" t="s">
        <v>8976</v>
      </c>
      <c r="I3607">
        <v>52</v>
      </c>
      <c r="J3607" t="s">
        <v>21205</v>
      </c>
      <c r="K3607" t="s">
        <v>14394</v>
      </c>
      <c r="L3607" s="7" t="s">
        <v>21206</v>
      </c>
      <c r="M3607" t="s">
        <v>21207</v>
      </c>
      <c r="N3607">
        <v>158</v>
      </c>
      <c r="O3607">
        <v>149</v>
      </c>
      <c r="P3607">
        <v>9</v>
      </c>
      <c r="Q3607">
        <v>73</v>
      </c>
      <c r="R3607">
        <v>65</v>
      </c>
      <c r="S3607">
        <v>8</v>
      </c>
      <c r="T3607">
        <v>0</v>
      </c>
      <c r="U3607" t="s">
        <v>21208</v>
      </c>
      <c r="V3607">
        <f>Tabla1[[#This Row],[Aboard]]-Tabla1[[#This Row],[Fatalities]]</f>
        <v>85</v>
      </c>
      <c r="W3607" s="50">
        <f>IFERROR(Tabla1[[#This Row],[Fatalities]]/Tabla1[[#This Row],[Aboard]],0)</f>
        <v>0.46202531645569622</v>
      </c>
      <c r="X3607" s="51" t="str" cm="1">
        <f t="array" ref="X3607">_xlfn.IFS(Tabla1[[#This Row],[Porcentaje de muertes]]&lt;0.35,"LEVE",AND(Tabla1[[#This Row],[Porcentaje de muertes]]&gt;0.35,Tabla1[[#This Row],[Porcentaje de muertes]]&lt;0.65),"MEDIO",Tabla1[[#This Row],[Porcentaje de muertes]]&gt;0.65,"GRAVE")</f>
        <v>MEDIO</v>
      </c>
    </row>
    <row r="3608" spans="2:24" x14ac:dyDescent="0.3">
      <c r="B3608" s="9">
        <v>3607</v>
      </c>
      <c r="C3608" s="49">
        <v>32899</v>
      </c>
      <c r="D3608" s="9">
        <f>YEAR(Tabla1[[#This Row],[Date]])</f>
        <v>1990</v>
      </c>
      <c r="E3608" s="9" t="str" cm="1">
        <f t="array" ref="E3608">IFERROR(_xlfn.IFS(AND(D3608&lt;1980,D3608&gt;=1970),"70",AND(D3608&lt;1990,D3608&gt;=1980),"80",AND(D3608&lt;2000,D3608&gt;=1990),"90",AND(D3608&lt;2010,D3608&gt;=2000),"00",AND(D3608&lt;=2019,D3608&gt;=2010),"10"),"1908-1970")</f>
        <v>90</v>
      </c>
      <c r="F3608" s="3" t="s">
        <v>28931</v>
      </c>
      <c r="G3608" t="s">
        <v>21209</v>
      </c>
      <c r="H3608" t="s">
        <v>21210</v>
      </c>
      <c r="I3608" t="s">
        <v>28931</v>
      </c>
      <c r="J3608" t="s">
        <v>21211</v>
      </c>
      <c r="K3608" t="s">
        <v>21212</v>
      </c>
      <c r="L3608" s="7" t="s">
        <v>21213</v>
      </c>
      <c r="M3608" t="s">
        <v>21214</v>
      </c>
      <c r="N3608">
        <v>30</v>
      </c>
      <c r="O3608">
        <v>25</v>
      </c>
      <c r="P3608">
        <v>5</v>
      </c>
      <c r="Q3608">
        <v>30</v>
      </c>
      <c r="R3608">
        <v>25</v>
      </c>
      <c r="S3608">
        <v>5</v>
      </c>
      <c r="T3608">
        <v>0</v>
      </c>
      <c r="U3608" t="s">
        <v>21215</v>
      </c>
      <c r="V3608">
        <f>Tabla1[[#This Row],[Aboard]]-Tabla1[[#This Row],[Fatalities]]</f>
        <v>0</v>
      </c>
      <c r="W3608" s="50">
        <f>IFERROR(Tabla1[[#This Row],[Fatalities]]/Tabla1[[#This Row],[Aboard]],0)</f>
        <v>1</v>
      </c>
      <c r="X3608" s="51" t="str" cm="1">
        <f t="array" ref="X3608">_xlfn.IFS(Tabla1[[#This Row],[Porcentaje de muertes]]&lt;0.35,"LEVE",AND(Tabla1[[#This Row],[Porcentaje de muertes]]&gt;0.35,Tabla1[[#This Row],[Porcentaje de muertes]]&lt;0.65),"MEDIO",Tabla1[[#This Row],[Porcentaje de muertes]]&gt;0.65,"GRAVE")</f>
        <v>GRAVE</v>
      </c>
    </row>
    <row r="3609" spans="2:24" x14ac:dyDescent="0.3">
      <c r="B3609" s="9">
        <v>3608</v>
      </c>
      <c r="C3609" s="49">
        <v>32900</v>
      </c>
      <c r="D3609" s="9">
        <f>YEAR(Tabla1[[#This Row],[Date]])</f>
        <v>1990</v>
      </c>
      <c r="E3609" s="9" t="str" cm="1">
        <f t="array" ref="E3609">IFERROR(_xlfn.IFS(AND(D3609&lt;1980,D3609&gt;=1970),"70",AND(D3609&lt;1990,D3609&gt;=1980),"80",AND(D3609&lt;2000,D3609&gt;=1990),"90",AND(D3609&lt;2010,D3609&gt;=2000),"00",AND(D3609&lt;=2019,D3609&gt;=2010),"10"),"1908-1970")</f>
        <v>90</v>
      </c>
      <c r="F3609" s="3">
        <v>0.73263888888888884</v>
      </c>
      <c r="G3609" t="s">
        <v>21216</v>
      </c>
      <c r="H3609" t="s">
        <v>21217</v>
      </c>
      <c r="I3609" t="s">
        <v>28931</v>
      </c>
      <c r="J3609" t="s">
        <v>21218</v>
      </c>
      <c r="K3609" t="s">
        <v>21219</v>
      </c>
      <c r="L3609" s="7" t="s">
        <v>21220</v>
      </c>
      <c r="M3609">
        <v>103</v>
      </c>
      <c r="N3609">
        <v>28</v>
      </c>
      <c r="O3609">
        <v>23</v>
      </c>
      <c r="P3609">
        <v>5</v>
      </c>
      <c r="Q3609">
        <v>28</v>
      </c>
      <c r="R3609">
        <v>23</v>
      </c>
      <c r="S3609">
        <v>5</v>
      </c>
      <c r="T3609">
        <v>0</v>
      </c>
      <c r="U3609" t="s">
        <v>21221</v>
      </c>
      <c r="V3609">
        <f>Tabla1[[#This Row],[Aboard]]-Tabla1[[#This Row],[Fatalities]]</f>
        <v>0</v>
      </c>
      <c r="W3609" s="50">
        <f>IFERROR(Tabla1[[#This Row],[Fatalities]]/Tabla1[[#This Row],[Aboard]],0)</f>
        <v>1</v>
      </c>
      <c r="X3609" s="51" t="str" cm="1">
        <f t="array" ref="X3609">_xlfn.IFS(Tabla1[[#This Row],[Porcentaje de muertes]]&lt;0.35,"LEVE",AND(Tabla1[[#This Row],[Porcentaje de muertes]]&gt;0.35,Tabla1[[#This Row],[Porcentaje de muertes]]&lt;0.65),"MEDIO",Tabla1[[#This Row],[Porcentaje de muertes]]&gt;0.65,"GRAVE")</f>
        <v>GRAVE</v>
      </c>
    </row>
    <row r="3610" spans="2:24" x14ac:dyDescent="0.3">
      <c r="B3610" s="9">
        <v>3609</v>
      </c>
      <c r="C3610" s="49">
        <v>32902</v>
      </c>
      <c r="D3610" s="9">
        <f>YEAR(Tabla1[[#This Row],[Date]])</f>
        <v>1990</v>
      </c>
      <c r="E3610" s="9" t="str" cm="1">
        <f t="array" ref="E3610">IFERROR(_xlfn.IFS(AND(D3610&lt;1980,D3610&gt;=1970),"70",AND(D3610&lt;1990,D3610&gt;=1980),"80",AND(D3610&lt;2000,D3610&gt;=1990),"90",AND(D3610&lt;2010,D3610&gt;=2000),"00",AND(D3610&lt;=2019,D3610&gt;=2010),"10"),"1908-1970")</f>
        <v>90</v>
      </c>
      <c r="F3610" s="3">
        <v>8.3333333333333329E-2</v>
      </c>
      <c r="G3610" t="s">
        <v>21222</v>
      </c>
      <c r="H3610" t="s">
        <v>21223</v>
      </c>
      <c r="I3610" t="s">
        <v>28931</v>
      </c>
      <c r="J3610" t="s">
        <v>21224</v>
      </c>
      <c r="K3610" t="s">
        <v>21225</v>
      </c>
      <c r="L3610" s="7" t="s">
        <v>21226</v>
      </c>
      <c r="M3610" t="s">
        <v>21227</v>
      </c>
      <c r="N3610">
        <v>2</v>
      </c>
      <c r="O3610">
        <v>1</v>
      </c>
      <c r="P3610">
        <v>1</v>
      </c>
      <c r="Q3610">
        <v>2</v>
      </c>
      <c r="R3610">
        <v>1</v>
      </c>
      <c r="S3610">
        <v>1</v>
      </c>
      <c r="T3610">
        <v>0</v>
      </c>
      <c r="U3610" t="s">
        <v>21228</v>
      </c>
      <c r="V3610">
        <f>Tabla1[[#This Row],[Aboard]]-Tabla1[[#This Row],[Fatalities]]</f>
        <v>0</v>
      </c>
      <c r="W3610" s="50">
        <f>IFERROR(Tabla1[[#This Row],[Fatalities]]/Tabla1[[#This Row],[Aboard]],0)</f>
        <v>1</v>
      </c>
      <c r="X3610" s="51" t="str" cm="1">
        <f t="array" ref="X3610">_xlfn.IFS(Tabla1[[#This Row],[Porcentaje de muertes]]&lt;0.35,"LEVE",AND(Tabla1[[#This Row],[Porcentaje de muertes]]&gt;0.35,Tabla1[[#This Row],[Porcentaje de muertes]]&lt;0.65),"MEDIO",Tabla1[[#This Row],[Porcentaje de muertes]]&gt;0.65,"GRAVE")</f>
        <v>GRAVE</v>
      </c>
    </row>
    <row r="3611" spans="2:24" x14ac:dyDescent="0.3">
      <c r="B3611" s="9">
        <v>3610</v>
      </c>
      <c r="C3611" s="49">
        <v>32902</v>
      </c>
      <c r="D3611" s="9">
        <f>YEAR(Tabla1[[#This Row],[Date]])</f>
        <v>1990</v>
      </c>
      <c r="E3611" s="9" t="str" cm="1">
        <f t="array" ref="E3611">IFERROR(_xlfn.IFS(AND(D3611&lt;1980,D3611&gt;=1970),"70",AND(D3611&lt;1990,D3611&gt;=1980),"80",AND(D3611&lt;2000,D3611&gt;=1990),"90",AND(D3611&lt;2010,D3611&gt;=2000),"00",AND(D3611&lt;=2019,D3611&gt;=2010),"10"),"1908-1970")</f>
        <v>90</v>
      </c>
      <c r="F3611" s="3">
        <v>0.85625000000000007</v>
      </c>
      <c r="G3611" t="s">
        <v>21229</v>
      </c>
      <c r="H3611" t="s">
        <v>21230</v>
      </c>
      <c r="I3611" t="s">
        <v>28931</v>
      </c>
      <c r="J3611" t="s">
        <v>21231</v>
      </c>
      <c r="K3611" t="s">
        <v>21232</v>
      </c>
      <c r="L3611" s="7" t="s">
        <v>21233</v>
      </c>
      <c r="M3611" t="s">
        <v>21234</v>
      </c>
      <c r="N3611">
        <v>1</v>
      </c>
      <c r="O3611">
        <v>0</v>
      </c>
      <c r="P3611">
        <v>1</v>
      </c>
      <c r="Q3611">
        <v>1</v>
      </c>
      <c r="R3611">
        <v>0</v>
      </c>
      <c r="S3611">
        <v>1</v>
      </c>
      <c r="T3611">
        <v>0</v>
      </c>
      <c r="U3611" t="s">
        <v>21235</v>
      </c>
      <c r="V3611">
        <f>Tabla1[[#This Row],[Aboard]]-Tabla1[[#This Row],[Fatalities]]</f>
        <v>0</v>
      </c>
      <c r="W3611" s="50">
        <f>IFERROR(Tabla1[[#This Row],[Fatalities]]/Tabla1[[#This Row],[Aboard]],0)</f>
        <v>1</v>
      </c>
      <c r="X3611" s="51" t="str" cm="1">
        <f t="array" ref="X3611">_xlfn.IFS(Tabla1[[#This Row],[Porcentaje de muertes]]&lt;0.35,"LEVE",AND(Tabla1[[#This Row],[Porcentaje de muertes]]&gt;0.35,Tabla1[[#This Row],[Porcentaje de muertes]]&lt;0.65),"MEDIO",Tabla1[[#This Row],[Porcentaje de muertes]]&gt;0.65,"GRAVE")</f>
        <v>GRAVE</v>
      </c>
    </row>
    <row r="3612" spans="2:24" x14ac:dyDescent="0.3">
      <c r="B3612" s="9">
        <v>3611</v>
      </c>
      <c r="C3612" s="49">
        <v>32995</v>
      </c>
      <c r="D3612" s="9">
        <f>YEAR(Tabla1[[#This Row],[Date]])</f>
        <v>1990</v>
      </c>
      <c r="E3612" s="9" t="str" cm="1">
        <f t="array" ref="E3612">IFERROR(_xlfn.IFS(AND(D3612&lt;1980,D3612&gt;=1970),"70",AND(D3612&lt;1990,D3612&gt;=1980),"80",AND(D3612&lt;2000,D3612&gt;=1990),"90",AND(D3612&lt;2010,D3612&gt;=2000),"00",AND(D3612&lt;=2019,D3612&gt;=2010),"10"),"1908-1970")</f>
        <v>90</v>
      </c>
      <c r="F3612" s="3">
        <v>0.35902777777777778</v>
      </c>
      <c r="G3612" t="s">
        <v>21236</v>
      </c>
      <c r="H3612" t="s">
        <v>21237</v>
      </c>
      <c r="I3612" t="s">
        <v>28931</v>
      </c>
      <c r="J3612" t="s">
        <v>21238</v>
      </c>
      <c r="K3612" t="s">
        <v>19868</v>
      </c>
      <c r="L3612" s="7" t="s">
        <v>21239</v>
      </c>
      <c r="M3612">
        <v>24</v>
      </c>
      <c r="N3612">
        <v>15</v>
      </c>
      <c r="O3612">
        <v>11</v>
      </c>
      <c r="P3612">
        <v>4</v>
      </c>
      <c r="Q3612">
        <v>15</v>
      </c>
      <c r="R3612">
        <v>11</v>
      </c>
      <c r="S3612">
        <v>4</v>
      </c>
      <c r="T3612">
        <v>0</v>
      </c>
      <c r="U3612" t="s">
        <v>21240</v>
      </c>
      <c r="V3612">
        <f>Tabla1[[#This Row],[Aboard]]-Tabla1[[#This Row],[Fatalities]]</f>
        <v>0</v>
      </c>
      <c r="W3612" s="50">
        <f>IFERROR(Tabla1[[#This Row],[Fatalities]]/Tabla1[[#This Row],[Aboard]],0)</f>
        <v>1</v>
      </c>
      <c r="X3612" s="51" t="str" cm="1">
        <f t="array" ref="X3612">_xlfn.IFS(Tabla1[[#This Row],[Porcentaje de muertes]]&lt;0.35,"LEVE",AND(Tabla1[[#This Row],[Porcentaje de muertes]]&gt;0.35,Tabla1[[#This Row],[Porcentaje de muertes]]&lt;0.65),"MEDIO",Tabla1[[#This Row],[Porcentaje de muertes]]&gt;0.65,"GRAVE")</f>
        <v>GRAVE</v>
      </c>
    </row>
    <row r="3613" spans="2:24" x14ac:dyDescent="0.3">
      <c r="B3613" s="9">
        <v>3612</v>
      </c>
      <c r="C3613" s="49">
        <v>33209</v>
      </c>
      <c r="D3613" s="9">
        <f>YEAR(Tabla1[[#This Row],[Date]])</f>
        <v>1990</v>
      </c>
      <c r="E3613" s="9" t="str" cm="1">
        <f t="array" ref="E3613">IFERROR(_xlfn.IFS(AND(D3613&lt;1980,D3613&gt;=1970),"70",AND(D3613&lt;1990,D3613&gt;=1980),"80",AND(D3613&lt;2000,D3613&gt;=1990),"90",AND(D3613&lt;2010,D3613&gt;=2000),"00",AND(D3613&lt;=2019,D3613&gt;=2010),"10"),"1908-1970")</f>
        <v>90</v>
      </c>
      <c r="F3613" s="3">
        <v>0.39513888888888887</v>
      </c>
      <c r="G3613" t="s">
        <v>21241</v>
      </c>
      <c r="H3613" t="s">
        <v>11392</v>
      </c>
      <c r="I3613" t="s">
        <v>28931</v>
      </c>
      <c r="J3613" t="s">
        <v>21242</v>
      </c>
      <c r="K3613" t="s">
        <v>21243</v>
      </c>
      <c r="L3613" s="7" t="s">
        <v>21244</v>
      </c>
      <c r="M3613">
        <v>10206</v>
      </c>
      <c r="N3613">
        <v>40</v>
      </c>
      <c r="O3613">
        <v>36</v>
      </c>
      <c r="P3613">
        <v>4</v>
      </c>
      <c r="Q3613">
        <v>2</v>
      </c>
      <c r="R3613">
        <v>1</v>
      </c>
      <c r="S3613">
        <v>1</v>
      </c>
      <c r="T3613">
        <v>2</v>
      </c>
      <c r="U3613" t="s">
        <v>21245</v>
      </c>
      <c r="V3613">
        <f>Tabla1[[#This Row],[Aboard]]-Tabla1[[#This Row],[Fatalities]]</f>
        <v>38</v>
      </c>
      <c r="W3613" s="50">
        <f>IFERROR(Tabla1[[#This Row],[Fatalities]]/Tabla1[[#This Row],[Aboard]],0)</f>
        <v>0.05</v>
      </c>
      <c r="X3613" s="51" t="str" cm="1">
        <f t="array" ref="X3613">_xlfn.IFS(Tabla1[[#This Row],[Porcentaje de muertes]]&lt;0.35,"LEVE",AND(Tabla1[[#This Row],[Porcentaje de muertes]]&gt;0.35,Tabla1[[#This Row],[Porcentaje de muertes]]&lt;0.65),"MEDIO",Tabla1[[#This Row],[Porcentaje de muertes]]&gt;0.65,"GRAVE")</f>
        <v>LEVE</v>
      </c>
    </row>
    <row r="3614" spans="2:24" x14ac:dyDescent="0.3">
      <c r="B3614" s="9">
        <v>3613</v>
      </c>
      <c r="C3614" s="49">
        <v>32918</v>
      </c>
      <c r="D3614" s="9">
        <f>YEAR(Tabla1[[#This Row],[Date]])</f>
        <v>1990</v>
      </c>
      <c r="E3614" s="9" t="str" cm="1">
        <f t="array" ref="E3614">IFERROR(_xlfn.IFS(AND(D3614&lt;1980,D3614&gt;=1970),"70",AND(D3614&lt;1990,D3614&gt;=1980),"80",AND(D3614&lt;2000,D3614&gt;=1990),"90",AND(D3614&lt;2010,D3614&gt;=2000),"00",AND(D3614&lt;=2019,D3614&gt;=2010),"10"),"1908-1970")</f>
        <v>90</v>
      </c>
      <c r="F3614" s="3">
        <v>0.54375000000000007</v>
      </c>
      <c r="G3614" t="s">
        <v>21246</v>
      </c>
      <c r="H3614" t="s">
        <v>11150</v>
      </c>
      <c r="I3614">
        <v>605</v>
      </c>
      <c r="J3614" t="s">
        <v>21247</v>
      </c>
      <c r="K3614" t="s">
        <v>21248</v>
      </c>
      <c r="L3614" s="7" t="s">
        <v>21249</v>
      </c>
      <c r="M3614">
        <v>79</v>
      </c>
      <c r="N3614">
        <v>146</v>
      </c>
      <c r="O3614">
        <v>139</v>
      </c>
      <c r="P3614">
        <v>7</v>
      </c>
      <c r="Q3614">
        <v>92</v>
      </c>
      <c r="R3614">
        <v>87</v>
      </c>
      <c r="S3614">
        <v>5</v>
      </c>
      <c r="T3614">
        <v>0</v>
      </c>
      <c r="U3614" t="s">
        <v>21250</v>
      </c>
      <c r="V3614">
        <f>Tabla1[[#This Row],[Aboard]]-Tabla1[[#This Row],[Fatalities]]</f>
        <v>54</v>
      </c>
      <c r="W3614" s="50">
        <f>IFERROR(Tabla1[[#This Row],[Fatalities]]/Tabla1[[#This Row],[Aboard]],0)</f>
        <v>0.63013698630136983</v>
      </c>
      <c r="X3614" s="51" t="str" cm="1">
        <f t="array" ref="X3614">_xlfn.IFS(Tabla1[[#This Row],[Porcentaje de muertes]]&lt;0.35,"LEVE",AND(Tabla1[[#This Row],[Porcentaje de muertes]]&gt;0.35,Tabla1[[#This Row],[Porcentaje de muertes]]&lt;0.65),"MEDIO",Tabla1[[#This Row],[Porcentaje de muertes]]&gt;0.65,"GRAVE")</f>
        <v>MEDIO</v>
      </c>
    </row>
    <row r="3615" spans="2:24" x14ac:dyDescent="0.3">
      <c r="B3615" s="9">
        <v>3614</v>
      </c>
      <c r="C3615" s="49">
        <v>32921</v>
      </c>
      <c r="D3615" s="9">
        <f>YEAR(Tabla1[[#This Row],[Date]])</f>
        <v>1990</v>
      </c>
      <c r="E3615" s="9" t="str" cm="1">
        <f t="array" ref="E3615">IFERROR(_xlfn.IFS(AND(D3615&lt;1980,D3615&gt;=1970),"70",AND(D3615&lt;1990,D3615&gt;=1980),"80",AND(D3615&lt;2000,D3615&gt;=1990),"90",AND(D3615&lt;2010,D3615&gt;=2000),"00",AND(D3615&lt;=2019,D3615&gt;=2010),"10"),"1908-1970")</f>
        <v>90</v>
      </c>
      <c r="F3615" s="3">
        <v>0.8125</v>
      </c>
      <c r="G3615" t="s">
        <v>21251</v>
      </c>
      <c r="H3615" t="s">
        <v>21252</v>
      </c>
      <c r="I3615" t="s">
        <v>28931</v>
      </c>
      <c r="J3615" t="s">
        <v>21253</v>
      </c>
      <c r="K3615" t="s">
        <v>21254</v>
      </c>
      <c r="L3615" s="7" t="s">
        <v>21255</v>
      </c>
      <c r="M3615">
        <v>66</v>
      </c>
      <c r="N3615">
        <v>29</v>
      </c>
      <c r="O3615">
        <v>24</v>
      </c>
      <c r="P3615">
        <v>5</v>
      </c>
      <c r="Q3615">
        <v>29</v>
      </c>
      <c r="R3615">
        <v>24</v>
      </c>
      <c r="S3615">
        <v>5</v>
      </c>
      <c r="T3615">
        <v>0</v>
      </c>
      <c r="U3615" t="s">
        <v>21256</v>
      </c>
      <c r="V3615">
        <f>Tabla1[[#This Row],[Aboard]]-Tabla1[[#This Row],[Fatalities]]</f>
        <v>0</v>
      </c>
      <c r="W3615" s="50">
        <f>IFERROR(Tabla1[[#This Row],[Fatalities]]/Tabla1[[#This Row],[Aboard]],0)</f>
        <v>1</v>
      </c>
      <c r="X3615" s="51" t="str" cm="1">
        <f t="array" ref="X3615">_xlfn.IFS(Tabla1[[#This Row],[Porcentaje de muertes]]&lt;0.35,"LEVE",AND(Tabla1[[#This Row],[Porcentaje de muertes]]&gt;0.35,Tabla1[[#This Row],[Porcentaje de muertes]]&lt;0.65),"MEDIO",Tabla1[[#This Row],[Porcentaje de muertes]]&gt;0.65,"GRAVE")</f>
        <v>GRAVE</v>
      </c>
    </row>
    <row r="3616" spans="2:24" x14ac:dyDescent="0.3">
      <c r="B3616" s="9">
        <v>3615</v>
      </c>
      <c r="C3616" s="49">
        <v>32931</v>
      </c>
      <c r="D3616" s="9">
        <f>YEAR(Tabla1[[#This Row],[Date]])</f>
        <v>1990</v>
      </c>
      <c r="E3616" s="9" t="str" cm="1">
        <f t="array" ref="E3616">IFERROR(_xlfn.IFS(AND(D3616&lt;1980,D3616&gt;=1970),"70",AND(D3616&lt;1990,D3616&gt;=1980),"80",AND(D3616&lt;2000,D3616&gt;=1990),"90",AND(D3616&lt;2010,D3616&gt;=2000),"00",AND(D3616&lt;=2019,D3616&gt;=2010),"10"),"1908-1970")</f>
        <v>90</v>
      </c>
      <c r="F3616" s="3">
        <v>0.82430555555555562</v>
      </c>
      <c r="G3616" t="s">
        <v>9021</v>
      </c>
      <c r="H3616" t="s">
        <v>21187</v>
      </c>
      <c r="I3616" t="s">
        <v>28931</v>
      </c>
      <c r="J3616" t="s">
        <v>21257</v>
      </c>
      <c r="K3616" t="s">
        <v>21189</v>
      </c>
      <c r="L3616" s="7" t="s">
        <v>21258</v>
      </c>
      <c r="M3616" t="s">
        <v>21259</v>
      </c>
      <c r="N3616">
        <v>1</v>
      </c>
      <c r="O3616">
        <v>0</v>
      </c>
      <c r="P3616">
        <v>1</v>
      </c>
      <c r="Q3616">
        <v>1</v>
      </c>
      <c r="R3616">
        <v>0</v>
      </c>
      <c r="S3616">
        <v>1</v>
      </c>
      <c r="T3616">
        <v>0</v>
      </c>
      <c r="U3616" t="s">
        <v>21260</v>
      </c>
      <c r="V3616">
        <f>Tabla1[[#This Row],[Aboard]]-Tabla1[[#This Row],[Fatalities]]</f>
        <v>0</v>
      </c>
      <c r="W3616" s="50">
        <f>IFERROR(Tabla1[[#This Row],[Fatalities]]/Tabla1[[#This Row],[Aboard]],0)</f>
        <v>1</v>
      </c>
      <c r="X3616" s="51" t="str" cm="1">
        <f t="array" ref="X3616">_xlfn.IFS(Tabla1[[#This Row],[Porcentaje de muertes]]&lt;0.35,"LEVE",AND(Tabla1[[#This Row],[Porcentaje de muertes]]&gt;0.35,Tabla1[[#This Row],[Porcentaje de muertes]]&lt;0.65),"MEDIO",Tabla1[[#This Row],[Porcentaje de muertes]]&gt;0.65,"GRAVE")</f>
        <v>GRAVE</v>
      </c>
    </row>
    <row r="3617" spans="2:24" x14ac:dyDescent="0.3">
      <c r="B3617" s="9">
        <v>3616</v>
      </c>
      <c r="C3617" s="49">
        <v>32876</v>
      </c>
      <c r="D3617" s="9">
        <f>YEAR(Tabla1[[#This Row],[Date]])</f>
        <v>1990</v>
      </c>
      <c r="E3617" s="9" t="str" cm="1">
        <f t="array" ref="E3617">IFERROR(_xlfn.IFS(AND(D3617&lt;1980,D3617&gt;=1970),"70",AND(D3617&lt;1990,D3617&gt;=1980),"80",AND(D3617&lt;2000,D3617&gt;=1990),"90",AND(D3617&lt;2010,D3617&gt;=2000),"00",AND(D3617&lt;=2019,D3617&gt;=2010),"10"),"1908-1970")</f>
        <v>90</v>
      </c>
      <c r="F3617" s="3" t="s">
        <v>28931</v>
      </c>
      <c r="G3617" t="s">
        <v>21261</v>
      </c>
      <c r="H3617" t="s">
        <v>8036</v>
      </c>
      <c r="I3617" t="s">
        <v>28931</v>
      </c>
      <c r="J3617" t="s">
        <v>28931</v>
      </c>
      <c r="K3617" t="s">
        <v>21262</v>
      </c>
      <c r="L3617" s="7" t="s">
        <v>28931</v>
      </c>
      <c r="M3617" t="s">
        <v>28931</v>
      </c>
      <c r="N3617">
        <v>1</v>
      </c>
      <c r="O3617">
        <v>0</v>
      </c>
      <c r="P3617">
        <v>1</v>
      </c>
      <c r="Q3617">
        <v>0</v>
      </c>
      <c r="R3617">
        <v>0</v>
      </c>
      <c r="S3617">
        <v>0</v>
      </c>
      <c r="T3617">
        <v>50</v>
      </c>
      <c r="U3617" t="s">
        <v>21263</v>
      </c>
      <c r="V3617">
        <f>Tabla1[[#This Row],[Aboard]]-Tabla1[[#This Row],[Fatalities]]</f>
        <v>1</v>
      </c>
      <c r="W3617" s="50">
        <f>IFERROR(Tabla1[[#This Row],[Fatalities]]/Tabla1[[#This Row],[Aboard]],0)</f>
        <v>0</v>
      </c>
      <c r="X3617" s="51" t="str" cm="1">
        <f t="array" ref="X3617">_xlfn.IFS(Tabla1[[#This Row],[Porcentaje de muertes]]&lt;0.35,"LEVE",AND(Tabla1[[#This Row],[Porcentaje de muertes]]&gt;0.35,Tabla1[[#This Row],[Porcentaje de muertes]]&lt;0.65),"MEDIO",Tabla1[[#This Row],[Porcentaje de muertes]]&gt;0.65,"GRAVE")</f>
        <v>LEVE</v>
      </c>
    </row>
    <row r="3618" spans="2:24" x14ac:dyDescent="0.3">
      <c r="B3618" s="9">
        <v>3617</v>
      </c>
      <c r="C3618" s="49">
        <v>33210</v>
      </c>
      <c r="D3618" s="9">
        <f>YEAR(Tabla1[[#This Row],[Date]])</f>
        <v>1990</v>
      </c>
      <c r="E3618" s="9" t="str" cm="1">
        <f t="array" ref="E3618">IFERROR(_xlfn.IFS(AND(D3618&lt;1980,D3618&gt;=1970),"70",AND(D3618&lt;1990,D3618&gt;=1980),"80",AND(D3618&lt;2000,D3618&gt;=1990),"90",AND(D3618&lt;2010,D3618&gt;=2000),"00",AND(D3618&lt;=2019,D3618&gt;=2010),"10"),"1908-1970")</f>
        <v>90</v>
      </c>
      <c r="F3618" s="3" t="s">
        <v>28931</v>
      </c>
      <c r="G3618" t="s">
        <v>21264</v>
      </c>
      <c r="H3618" t="s">
        <v>21265</v>
      </c>
      <c r="I3618" t="s">
        <v>28931</v>
      </c>
      <c r="J3618" t="s">
        <v>28931</v>
      </c>
      <c r="K3618" t="s">
        <v>21266</v>
      </c>
      <c r="L3618" s="7" t="s">
        <v>21267</v>
      </c>
      <c r="M3618" t="s">
        <v>21268</v>
      </c>
      <c r="N3618">
        <v>13</v>
      </c>
      <c r="O3618" t="s">
        <v>5038</v>
      </c>
      <c r="P3618" t="s">
        <v>5038</v>
      </c>
      <c r="Q3618">
        <v>11</v>
      </c>
      <c r="R3618" t="s">
        <v>5038</v>
      </c>
      <c r="S3618" t="s">
        <v>5038</v>
      </c>
      <c r="T3618">
        <v>0</v>
      </c>
      <c r="U3618" t="s">
        <v>21269</v>
      </c>
      <c r="V3618">
        <f>Tabla1[[#This Row],[Aboard]]-Tabla1[[#This Row],[Fatalities]]</f>
        <v>2</v>
      </c>
      <c r="W3618" s="50">
        <f>IFERROR(Tabla1[[#This Row],[Fatalities]]/Tabla1[[#This Row],[Aboard]],0)</f>
        <v>0.84615384615384615</v>
      </c>
      <c r="X3618" s="51" t="str" cm="1">
        <f t="array" ref="X3618">_xlfn.IFS(Tabla1[[#This Row],[Porcentaje de muertes]]&lt;0.35,"LEVE",AND(Tabla1[[#This Row],[Porcentaje de muertes]]&gt;0.35,Tabla1[[#This Row],[Porcentaje de muertes]]&lt;0.65),"MEDIO",Tabla1[[#This Row],[Porcentaje de muertes]]&gt;0.65,"GRAVE")</f>
        <v>GRAVE</v>
      </c>
    </row>
    <row r="3619" spans="2:24" x14ac:dyDescent="0.3">
      <c r="B3619" s="9">
        <v>3618</v>
      </c>
      <c r="C3619" s="49">
        <v>32953</v>
      </c>
      <c r="D3619" s="9">
        <f>YEAR(Tabla1[[#This Row],[Date]])</f>
        <v>1990</v>
      </c>
      <c r="E3619" s="9" t="str" cm="1">
        <f t="array" ref="E3619">IFERROR(_xlfn.IFS(AND(D3619&lt;1980,D3619&gt;=1970),"70",AND(D3619&lt;1990,D3619&gt;=1980),"80",AND(D3619&lt;2000,D3619&gt;=1990),"90",AND(D3619&lt;2010,D3619&gt;=2000),"00",AND(D3619&lt;=2019,D3619&gt;=2010),"10"),"1908-1970")</f>
        <v>90</v>
      </c>
      <c r="F3619" s="3" t="s">
        <v>28931</v>
      </c>
      <c r="G3619" t="s">
        <v>21270</v>
      </c>
      <c r="H3619" t="s">
        <v>21271</v>
      </c>
      <c r="I3619" t="s">
        <v>28931</v>
      </c>
      <c r="J3619" t="s">
        <v>21272</v>
      </c>
      <c r="K3619" t="s">
        <v>18538</v>
      </c>
      <c r="L3619" s="7" t="s">
        <v>21273</v>
      </c>
      <c r="M3619">
        <v>1134</v>
      </c>
      <c r="N3619">
        <v>3</v>
      </c>
      <c r="O3619">
        <v>0</v>
      </c>
      <c r="P3619">
        <v>3</v>
      </c>
      <c r="Q3619">
        <v>3</v>
      </c>
      <c r="R3619">
        <v>0</v>
      </c>
      <c r="S3619">
        <v>3</v>
      </c>
      <c r="T3619">
        <v>0</v>
      </c>
      <c r="U3619" t="s">
        <v>21274</v>
      </c>
      <c r="V3619">
        <f>Tabla1[[#This Row],[Aboard]]-Tabla1[[#This Row],[Fatalities]]</f>
        <v>0</v>
      </c>
      <c r="W3619" s="50">
        <f>IFERROR(Tabla1[[#This Row],[Fatalities]]/Tabla1[[#This Row],[Aboard]],0)</f>
        <v>1</v>
      </c>
      <c r="X3619" s="51" t="str" cm="1">
        <f t="array" ref="X3619">_xlfn.IFS(Tabla1[[#This Row],[Porcentaje de muertes]]&lt;0.35,"LEVE",AND(Tabla1[[#This Row],[Porcentaje de muertes]]&gt;0.35,Tabla1[[#This Row],[Porcentaje de muertes]]&lt;0.65),"MEDIO",Tabla1[[#This Row],[Porcentaje de muertes]]&gt;0.65,"GRAVE")</f>
        <v>GRAVE</v>
      </c>
    </row>
    <row r="3620" spans="2:24" x14ac:dyDescent="0.3">
      <c r="B3620" s="9">
        <v>3619</v>
      </c>
      <c r="C3620" s="49">
        <v>32955</v>
      </c>
      <c r="D3620" s="9">
        <f>YEAR(Tabla1[[#This Row],[Date]])</f>
        <v>1990</v>
      </c>
      <c r="E3620" s="9" t="str" cm="1">
        <f t="array" ref="E3620">IFERROR(_xlfn.IFS(AND(D3620&lt;1980,D3620&gt;=1970),"70",AND(D3620&lt;1990,D3620&gt;=1980),"80",AND(D3620&lt;2000,D3620&gt;=1990),"90",AND(D3620&lt;2010,D3620&gt;=2000),"00",AND(D3620&lt;=2019,D3620&gt;=2010),"10"),"1908-1970")</f>
        <v>90</v>
      </c>
      <c r="F3620" s="3" t="s">
        <v>28931</v>
      </c>
      <c r="G3620" t="s">
        <v>21275</v>
      </c>
      <c r="H3620" t="s">
        <v>6524</v>
      </c>
      <c r="I3620" t="s">
        <v>28931</v>
      </c>
      <c r="J3620" t="s">
        <v>21276</v>
      </c>
      <c r="K3620" t="s">
        <v>17904</v>
      </c>
      <c r="L3620" s="7" t="s">
        <v>21277</v>
      </c>
      <c r="M3620">
        <v>7406</v>
      </c>
      <c r="N3620">
        <v>46</v>
      </c>
      <c r="O3620">
        <v>41</v>
      </c>
      <c r="P3620">
        <v>5</v>
      </c>
      <c r="Q3620">
        <v>4</v>
      </c>
      <c r="R3620">
        <v>4</v>
      </c>
      <c r="S3620">
        <v>0</v>
      </c>
      <c r="T3620">
        <v>0</v>
      </c>
      <c r="U3620" t="s">
        <v>21278</v>
      </c>
      <c r="V3620">
        <f>Tabla1[[#This Row],[Aboard]]-Tabla1[[#This Row],[Fatalities]]</f>
        <v>42</v>
      </c>
      <c r="W3620" s="50">
        <f>IFERROR(Tabla1[[#This Row],[Fatalities]]/Tabla1[[#This Row],[Aboard]],0)</f>
        <v>8.6956521739130432E-2</v>
      </c>
      <c r="X3620" s="51" t="str" cm="1">
        <f t="array" ref="X3620">_xlfn.IFS(Tabla1[[#This Row],[Porcentaje de muertes]]&lt;0.35,"LEVE",AND(Tabla1[[#This Row],[Porcentaje de muertes]]&gt;0.35,Tabla1[[#This Row],[Porcentaje de muertes]]&lt;0.65),"MEDIO",Tabla1[[#This Row],[Porcentaje de muertes]]&gt;0.65,"GRAVE")</f>
        <v>LEVE</v>
      </c>
    </row>
    <row r="3621" spans="2:24" x14ac:dyDescent="0.3">
      <c r="B3621" s="9">
        <v>3620</v>
      </c>
      <c r="C3621" s="49">
        <v>32959</v>
      </c>
      <c r="D3621" s="9">
        <f>YEAR(Tabla1[[#This Row],[Date]])</f>
        <v>1990</v>
      </c>
      <c r="E3621" s="9" t="str" cm="1">
        <f t="array" ref="E3621">IFERROR(_xlfn.IFS(AND(D3621&lt;1980,D3621&gt;=1970),"70",AND(D3621&lt;1990,D3621&gt;=1980),"80",AND(D3621&lt;2000,D3621&gt;=1990),"90",AND(D3621&lt;2010,D3621&gt;=2000),"00",AND(D3621&lt;=2019,D3621&gt;=2010),"10"),"1908-1970")</f>
        <v>90</v>
      </c>
      <c r="F3621" s="3">
        <v>0.45833333333333331</v>
      </c>
      <c r="G3621" t="s">
        <v>21279</v>
      </c>
      <c r="H3621" t="s">
        <v>6541</v>
      </c>
      <c r="I3621" t="s">
        <v>28931</v>
      </c>
      <c r="J3621" t="s">
        <v>21280</v>
      </c>
      <c r="K3621" t="s">
        <v>21088</v>
      </c>
      <c r="L3621" s="7" t="s">
        <v>21281</v>
      </c>
      <c r="M3621">
        <v>83489670</v>
      </c>
      <c r="N3621">
        <v>11</v>
      </c>
      <c r="O3621">
        <v>2</v>
      </c>
      <c r="P3621">
        <v>9</v>
      </c>
      <c r="Q3621">
        <v>11</v>
      </c>
      <c r="R3621">
        <v>2</v>
      </c>
      <c r="S3621">
        <v>9</v>
      </c>
      <c r="T3621">
        <v>0</v>
      </c>
      <c r="U3621" t="s">
        <v>21282</v>
      </c>
      <c r="V3621">
        <f>Tabla1[[#This Row],[Aboard]]-Tabla1[[#This Row],[Fatalities]]</f>
        <v>0</v>
      </c>
      <c r="W3621" s="50">
        <f>IFERROR(Tabla1[[#This Row],[Fatalities]]/Tabla1[[#This Row],[Aboard]],0)</f>
        <v>1</v>
      </c>
      <c r="X3621" s="51" t="str" cm="1">
        <f t="array" ref="X3621">_xlfn.IFS(Tabla1[[#This Row],[Porcentaje de muertes]]&lt;0.35,"LEVE",AND(Tabla1[[#This Row],[Porcentaje de muertes]]&gt;0.35,Tabla1[[#This Row],[Porcentaje de muertes]]&lt;0.65),"MEDIO",Tabla1[[#This Row],[Porcentaje de muertes]]&gt;0.65,"GRAVE")</f>
        <v>GRAVE</v>
      </c>
    </row>
    <row r="3622" spans="2:24" x14ac:dyDescent="0.3">
      <c r="B3622" s="9">
        <v>3621</v>
      </c>
      <c r="C3622" s="49">
        <v>32959</v>
      </c>
      <c r="D3622" s="9">
        <f>YEAR(Tabla1[[#This Row],[Date]])</f>
        <v>1990</v>
      </c>
      <c r="E3622" s="9" t="str" cm="1">
        <f t="array" ref="E3622">IFERROR(_xlfn.IFS(AND(D3622&lt;1980,D3622&gt;=1970),"70",AND(D3622&lt;1990,D3622&gt;=1980),"80",AND(D3622&lt;2000,D3622&gt;=1990),"90",AND(D3622&lt;2010,D3622&gt;=2000),"00",AND(D3622&lt;=2019,D3622&gt;=2010),"10"),"1908-1970")</f>
        <v>90</v>
      </c>
      <c r="F3622" s="3" t="s">
        <v>28931</v>
      </c>
      <c r="G3622" t="s">
        <v>21283</v>
      </c>
      <c r="H3622" t="s">
        <v>17903</v>
      </c>
      <c r="I3622" t="s">
        <v>28931</v>
      </c>
      <c r="J3622" t="s">
        <v>21284</v>
      </c>
      <c r="K3622" t="s">
        <v>21285</v>
      </c>
      <c r="L3622" s="7" t="s">
        <v>21286</v>
      </c>
      <c r="M3622">
        <v>384</v>
      </c>
      <c r="N3622">
        <v>25</v>
      </c>
      <c r="O3622">
        <v>20</v>
      </c>
      <c r="P3622">
        <v>5</v>
      </c>
      <c r="Q3622">
        <v>25</v>
      </c>
      <c r="R3622">
        <v>20</v>
      </c>
      <c r="S3622">
        <v>5</v>
      </c>
      <c r="T3622">
        <v>0</v>
      </c>
      <c r="U3622" t="s">
        <v>21287</v>
      </c>
      <c r="V3622">
        <f>Tabla1[[#This Row],[Aboard]]-Tabla1[[#This Row],[Fatalities]]</f>
        <v>0</v>
      </c>
      <c r="W3622" s="50">
        <f>IFERROR(Tabla1[[#This Row],[Fatalities]]/Tabla1[[#This Row],[Aboard]],0)</f>
        <v>1</v>
      </c>
      <c r="X3622" s="51" t="str" cm="1">
        <f t="array" ref="X3622">_xlfn.IFS(Tabla1[[#This Row],[Porcentaje de muertes]]&lt;0.35,"LEVE",AND(Tabla1[[#This Row],[Porcentaje de muertes]]&gt;0.35,Tabla1[[#This Row],[Porcentaje de muertes]]&lt;0.65),"MEDIO",Tabla1[[#This Row],[Porcentaje de muertes]]&gt;0.65,"GRAVE")</f>
        <v>GRAVE</v>
      </c>
    </row>
    <row r="3623" spans="2:24" x14ac:dyDescent="0.3">
      <c r="B3623" s="9">
        <v>3622</v>
      </c>
      <c r="C3623" s="49">
        <v>33211</v>
      </c>
      <c r="D3623" s="9">
        <f>YEAR(Tabla1[[#This Row],[Date]])</f>
        <v>1990</v>
      </c>
      <c r="E3623" s="9" t="str" cm="1">
        <f t="array" ref="E3623">IFERROR(_xlfn.IFS(AND(D3623&lt;1980,D3623&gt;=1970),"70",AND(D3623&lt;1990,D3623&gt;=1980),"80",AND(D3623&lt;2000,D3623&gt;=1990),"90",AND(D3623&lt;2010,D3623&gt;=2000),"00",AND(D3623&lt;=2019,D3623&gt;=2010),"10"),"1908-1970")</f>
        <v>90</v>
      </c>
      <c r="F3623" s="3">
        <v>0.61388888888888882</v>
      </c>
      <c r="G3623" t="s">
        <v>21288</v>
      </c>
      <c r="H3623" t="s">
        <v>19104</v>
      </c>
      <c r="I3623">
        <v>839</v>
      </c>
      <c r="J3623" t="s">
        <v>21289</v>
      </c>
      <c r="K3623" t="s">
        <v>16680</v>
      </c>
      <c r="L3623" s="7" t="s">
        <v>21290</v>
      </c>
      <c r="M3623">
        <v>536</v>
      </c>
      <c r="N3623">
        <v>5</v>
      </c>
      <c r="O3623">
        <v>3</v>
      </c>
      <c r="P3623">
        <v>2</v>
      </c>
      <c r="Q3623">
        <v>5</v>
      </c>
      <c r="R3623">
        <v>3</v>
      </c>
      <c r="S3623">
        <v>2</v>
      </c>
      <c r="T3623">
        <v>0</v>
      </c>
      <c r="U3623" t="s">
        <v>21291</v>
      </c>
      <c r="V3623">
        <f>Tabla1[[#This Row],[Aboard]]-Tabla1[[#This Row],[Fatalities]]</f>
        <v>0</v>
      </c>
      <c r="W3623" s="50">
        <f>IFERROR(Tabla1[[#This Row],[Fatalities]]/Tabla1[[#This Row],[Aboard]],0)</f>
        <v>1</v>
      </c>
      <c r="X3623" s="51" t="str" cm="1">
        <f t="array" ref="X3623">_xlfn.IFS(Tabla1[[#This Row],[Porcentaje de muertes]]&lt;0.35,"LEVE",AND(Tabla1[[#This Row],[Porcentaje de muertes]]&gt;0.35,Tabla1[[#This Row],[Porcentaje de muertes]]&lt;0.65),"MEDIO",Tabla1[[#This Row],[Porcentaje de muertes]]&gt;0.65,"GRAVE")</f>
        <v>GRAVE</v>
      </c>
    </row>
    <row r="3624" spans="2:24" x14ac:dyDescent="0.3">
      <c r="B3624" s="9">
        <v>3623</v>
      </c>
      <c r="C3624" s="49">
        <v>32981</v>
      </c>
      <c r="D3624" s="9">
        <f>YEAR(Tabla1[[#This Row],[Date]])</f>
        <v>1990</v>
      </c>
      <c r="E3624" s="9" t="str" cm="1">
        <f t="array" ref="E3624">IFERROR(_xlfn.IFS(AND(D3624&lt;1980,D3624&gt;=1970),"70",AND(D3624&lt;1990,D3624&gt;=1980),"80",AND(D3624&lt;2000,D3624&gt;=1990),"90",AND(D3624&lt;2010,D3624&gt;=2000),"00",AND(D3624&lt;=2019,D3624&gt;=2010),"10"),"1908-1970")</f>
        <v>90</v>
      </c>
      <c r="F3624" s="3" t="s">
        <v>28931</v>
      </c>
      <c r="G3624" t="s">
        <v>21292</v>
      </c>
      <c r="H3624" t="s">
        <v>21293</v>
      </c>
      <c r="I3624" t="s">
        <v>28931</v>
      </c>
      <c r="J3624" t="s">
        <v>21294</v>
      </c>
      <c r="K3624" t="s">
        <v>15361</v>
      </c>
      <c r="L3624" s="7" t="s">
        <v>21295</v>
      </c>
      <c r="M3624">
        <v>131</v>
      </c>
      <c r="N3624">
        <v>22</v>
      </c>
      <c r="O3624">
        <v>19</v>
      </c>
      <c r="P3624">
        <v>3</v>
      </c>
      <c r="Q3624">
        <v>20</v>
      </c>
      <c r="R3624">
        <v>17</v>
      </c>
      <c r="S3624">
        <v>3</v>
      </c>
      <c r="T3624">
        <v>0</v>
      </c>
      <c r="U3624" t="s">
        <v>21296</v>
      </c>
      <c r="V3624">
        <f>Tabla1[[#This Row],[Aboard]]-Tabla1[[#This Row],[Fatalities]]</f>
        <v>2</v>
      </c>
      <c r="W3624" s="50">
        <f>IFERROR(Tabla1[[#This Row],[Fatalities]]/Tabla1[[#This Row],[Aboard]],0)</f>
        <v>0.90909090909090906</v>
      </c>
      <c r="X3624" s="51" t="str" cm="1">
        <f t="array" ref="X3624">_xlfn.IFS(Tabla1[[#This Row],[Porcentaje de muertes]]&lt;0.35,"LEVE",AND(Tabla1[[#This Row],[Porcentaje de muertes]]&gt;0.35,Tabla1[[#This Row],[Porcentaje de muertes]]&lt;0.65),"MEDIO",Tabla1[[#This Row],[Porcentaje de muertes]]&gt;0.65,"GRAVE")</f>
        <v>GRAVE</v>
      </c>
    </row>
    <row r="3625" spans="2:24" x14ac:dyDescent="0.3">
      <c r="B3625" s="9">
        <v>3624</v>
      </c>
      <c r="C3625" s="49">
        <v>32983</v>
      </c>
      <c r="D3625" s="9">
        <f>YEAR(Tabla1[[#This Row],[Date]])</f>
        <v>1990</v>
      </c>
      <c r="E3625" s="9" t="str" cm="1">
        <f t="array" ref="E3625">IFERROR(_xlfn.IFS(AND(D3625&lt;1980,D3625&gt;=1970),"70",AND(D3625&lt;1990,D3625&gt;=1980),"80",AND(D3625&lt;2000,D3625&gt;=1990),"90",AND(D3625&lt;2010,D3625&gt;=2000),"00",AND(D3625&lt;=2019,D3625&gt;=2010),"10"),"1908-1970")</f>
        <v>90</v>
      </c>
      <c r="F3625" s="3" t="s">
        <v>28931</v>
      </c>
      <c r="G3625" t="s">
        <v>21297</v>
      </c>
      <c r="H3625" t="s">
        <v>17160</v>
      </c>
      <c r="I3625" t="s">
        <v>28931</v>
      </c>
      <c r="J3625" t="s">
        <v>21298</v>
      </c>
      <c r="K3625" t="s">
        <v>17162</v>
      </c>
      <c r="L3625" s="7" t="s">
        <v>21299</v>
      </c>
      <c r="M3625">
        <v>4589</v>
      </c>
      <c r="N3625">
        <v>24</v>
      </c>
      <c r="O3625">
        <v>18</v>
      </c>
      <c r="P3625">
        <v>6</v>
      </c>
      <c r="Q3625">
        <v>20</v>
      </c>
      <c r="R3625" t="s">
        <v>5038</v>
      </c>
      <c r="S3625" t="s">
        <v>5038</v>
      </c>
      <c r="T3625">
        <v>0</v>
      </c>
      <c r="U3625" t="s">
        <v>21300</v>
      </c>
      <c r="V3625">
        <f>Tabla1[[#This Row],[Aboard]]-Tabla1[[#This Row],[Fatalities]]</f>
        <v>4</v>
      </c>
      <c r="W3625" s="50">
        <f>IFERROR(Tabla1[[#This Row],[Fatalities]]/Tabla1[[#This Row],[Aboard]],0)</f>
        <v>0.83333333333333337</v>
      </c>
      <c r="X3625" s="51" t="str" cm="1">
        <f t="array" ref="X3625">_xlfn.IFS(Tabla1[[#This Row],[Porcentaje de muertes]]&lt;0.35,"LEVE",AND(Tabla1[[#This Row],[Porcentaje de muertes]]&gt;0.35,Tabla1[[#This Row],[Porcentaje de muertes]]&lt;0.65),"MEDIO",Tabla1[[#This Row],[Porcentaje de muertes]]&gt;0.65,"GRAVE")</f>
        <v>GRAVE</v>
      </c>
    </row>
    <row r="3626" spans="2:24" x14ac:dyDescent="0.3">
      <c r="B3626" s="9">
        <v>3625</v>
      </c>
      <c r="C3626" s="49">
        <v>32989</v>
      </c>
      <c r="D3626" s="9">
        <f>YEAR(Tabla1[[#This Row],[Date]])</f>
        <v>1990</v>
      </c>
      <c r="E3626" s="9" t="str" cm="1">
        <f t="array" ref="E3626">IFERROR(_xlfn.IFS(AND(D3626&lt;1980,D3626&gt;=1970),"70",AND(D3626&lt;1990,D3626&gt;=1980),"80",AND(D3626&lt;2000,D3626&gt;=1990),"90",AND(D3626&lt;2010,D3626&gt;=2000),"00",AND(D3626&lt;=2019,D3626&gt;=2010),"10"),"1908-1970")</f>
        <v>90</v>
      </c>
      <c r="F3626" s="3">
        <v>0.26458333333333334</v>
      </c>
      <c r="G3626" t="s">
        <v>14493</v>
      </c>
      <c r="H3626" t="s">
        <v>21301</v>
      </c>
      <c r="I3626" t="s">
        <v>28931</v>
      </c>
      <c r="J3626" t="s">
        <v>21302</v>
      </c>
      <c r="K3626" t="s">
        <v>21303</v>
      </c>
      <c r="L3626" s="7" t="s">
        <v>21304</v>
      </c>
      <c r="M3626">
        <v>25325</v>
      </c>
      <c r="N3626">
        <v>24</v>
      </c>
      <c r="O3626">
        <v>22</v>
      </c>
      <c r="P3626">
        <v>2</v>
      </c>
      <c r="Q3626">
        <v>7</v>
      </c>
      <c r="R3626">
        <v>7</v>
      </c>
      <c r="S3626">
        <v>0</v>
      </c>
      <c r="T3626">
        <v>0</v>
      </c>
      <c r="U3626" t="s">
        <v>21305</v>
      </c>
      <c r="V3626">
        <f>Tabla1[[#This Row],[Aboard]]-Tabla1[[#This Row],[Fatalities]]</f>
        <v>17</v>
      </c>
      <c r="W3626" s="50">
        <f>IFERROR(Tabla1[[#This Row],[Fatalities]]/Tabla1[[#This Row],[Aboard]],0)</f>
        <v>0.29166666666666669</v>
      </c>
      <c r="X3626" s="51" t="str" cm="1">
        <f t="array" ref="X3626">_xlfn.IFS(Tabla1[[#This Row],[Porcentaje de muertes]]&lt;0.35,"LEVE",AND(Tabla1[[#This Row],[Porcentaje de muertes]]&gt;0.35,Tabla1[[#This Row],[Porcentaje de muertes]]&lt;0.65),"MEDIO",Tabla1[[#This Row],[Porcentaje de muertes]]&gt;0.65,"GRAVE")</f>
        <v>LEVE</v>
      </c>
    </row>
    <row r="3627" spans="2:24" x14ac:dyDescent="0.3">
      <c r="B3627" s="9">
        <v>3626</v>
      </c>
      <c r="C3627" s="49">
        <v>32993</v>
      </c>
      <c r="D3627" s="9">
        <f>YEAR(Tabla1[[#This Row],[Date]])</f>
        <v>1990</v>
      </c>
      <c r="E3627" s="9" t="str" cm="1">
        <f t="array" ref="E3627">IFERROR(_xlfn.IFS(AND(D3627&lt;1980,D3627&gt;=1970),"70",AND(D3627&lt;1990,D3627&gt;=1980),"80",AND(D3627&lt;2000,D3627&gt;=1990),"90",AND(D3627&lt;2010,D3627&gt;=2000),"00",AND(D3627&lt;=2019,D3627&gt;=2010),"10"),"1908-1970")</f>
        <v>90</v>
      </c>
      <c r="F3627" s="3">
        <v>0.89930555555555547</v>
      </c>
      <c r="G3627" t="s">
        <v>21306</v>
      </c>
      <c r="H3627" t="s">
        <v>21307</v>
      </c>
      <c r="I3627" t="s">
        <v>28931</v>
      </c>
      <c r="J3627" t="s">
        <v>21308</v>
      </c>
      <c r="K3627" t="s">
        <v>21309</v>
      </c>
      <c r="L3627" s="7" t="s">
        <v>21310</v>
      </c>
      <c r="M3627" t="s">
        <v>21311</v>
      </c>
      <c r="N3627">
        <v>4</v>
      </c>
      <c r="O3627">
        <v>2</v>
      </c>
      <c r="P3627">
        <v>2</v>
      </c>
      <c r="Q3627">
        <v>1</v>
      </c>
      <c r="R3627">
        <v>0</v>
      </c>
      <c r="S3627">
        <v>1</v>
      </c>
      <c r="T3627">
        <v>0</v>
      </c>
      <c r="U3627" t="s">
        <v>21312</v>
      </c>
      <c r="V3627">
        <f>Tabla1[[#This Row],[Aboard]]-Tabla1[[#This Row],[Fatalities]]</f>
        <v>3</v>
      </c>
      <c r="W3627" s="50">
        <f>IFERROR(Tabla1[[#This Row],[Fatalities]]/Tabla1[[#This Row],[Aboard]],0)</f>
        <v>0.25</v>
      </c>
      <c r="X3627" s="51" t="str" cm="1">
        <f t="array" ref="X3627">_xlfn.IFS(Tabla1[[#This Row],[Porcentaje de muertes]]&lt;0.35,"LEVE",AND(Tabla1[[#This Row],[Porcentaje de muertes]]&gt;0.35,Tabla1[[#This Row],[Porcentaje de muertes]]&lt;0.65),"MEDIO",Tabla1[[#This Row],[Porcentaje de muertes]]&gt;0.65,"GRAVE")</f>
        <v>LEVE</v>
      </c>
    </row>
    <row r="3628" spans="2:24" x14ac:dyDescent="0.3">
      <c r="B3628" s="9">
        <v>3627</v>
      </c>
      <c r="C3628" s="49">
        <v>32993</v>
      </c>
      <c r="D3628" s="9">
        <f>YEAR(Tabla1[[#This Row],[Date]])</f>
        <v>1990</v>
      </c>
      <c r="E3628" s="9" t="str" cm="1">
        <f t="array" ref="E3628">IFERROR(_xlfn.IFS(AND(D3628&lt;1980,D3628&gt;=1970),"70",AND(D3628&lt;1990,D3628&gt;=1980),"80",AND(D3628&lt;2000,D3628&gt;=1990),"90",AND(D3628&lt;2010,D3628&gt;=2000),"00",AND(D3628&lt;=2019,D3628&gt;=2010),"10"),"1908-1970")</f>
        <v>90</v>
      </c>
      <c r="F3628" s="3">
        <v>0.90138888888888891</v>
      </c>
      <c r="G3628" t="s">
        <v>21313</v>
      </c>
      <c r="H3628" t="s">
        <v>7665</v>
      </c>
      <c r="I3628" t="s">
        <v>28931</v>
      </c>
      <c r="J3628" t="s">
        <v>21314</v>
      </c>
      <c r="K3628" t="s">
        <v>21315</v>
      </c>
      <c r="L3628" s="7" t="s">
        <v>21316</v>
      </c>
      <c r="M3628" t="s">
        <v>21317</v>
      </c>
      <c r="N3628">
        <v>10</v>
      </c>
      <c r="O3628">
        <v>0</v>
      </c>
      <c r="P3628">
        <v>10</v>
      </c>
      <c r="Q3628">
        <v>10</v>
      </c>
      <c r="R3628">
        <v>0</v>
      </c>
      <c r="S3628">
        <v>10</v>
      </c>
      <c r="T3628">
        <v>0</v>
      </c>
      <c r="U3628" t="s">
        <v>21318</v>
      </c>
      <c r="V3628">
        <f>Tabla1[[#This Row],[Aboard]]-Tabla1[[#This Row],[Fatalities]]</f>
        <v>0</v>
      </c>
      <c r="W3628" s="50">
        <f>IFERROR(Tabla1[[#This Row],[Fatalities]]/Tabla1[[#This Row],[Aboard]],0)</f>
        <v>1</v>
      </c>
      <c r="X3628" s="51" t="str" cm="1">
        <f t="array" ref="X3628">_xlfn.IFS(Tabla1[[#This Row],[Porcentaje de muertes]]&lt;0.35,"LEVE",AND(Tabla1[[#This Row],[Porcentaje de muertes]]&gt;0.35,Tabla1[[#This Row],[Porcentaje de muertes]]&lt;0.65),"MEDIO",Tabla1[[#This Row],[Porcentaje de muertes]]&gt;0.65,"GRAVE")</f>
        <v>GRAVE</v>
      </c>
    </row>
    <row r="3629" spans="2:24" x14ac:dyDescent="0.3">
      <c r="B3629" s="9">
        <v>3628</v>
      </c>
      <c r="C3629" s="49">
        <v>32998</v>
      </c>
      <c r="D3629" s="9">
        <f>YEAR(Tabla1[[#This Row],[Date]])</f>
        <v>1990</v>
      </c>
      <c r="E3629" s="9" t="str" cm="1">
        <f t="array" ref="E3629">IFERROR(_xlfn.IFS(AND(D3629&lt;1980,D3629&gt;=1970),"70",AND(D3629&lt;1990,D3629&gt;=1980),"80",AND(D3629&lt;2000,D3629&gt;=1990),"90",AND(D3629&lt;2010,D3629&gt;=2000),"00",AND(D3629&lt;=2019,D3629&gt;=2010),"10"),"1908-1970")</f>
        <v>90</v>
      </c>
      <c r="F3629" s="3">
        <v>0.625</v>
      </c>
      <c r="G3629" t="s">
        <v>21319</v>
      </c>
      <c r="H3629" t="s">
        <v>21320</v>
      </c>
      <c r="I3629" t="s">
        <v>28931</v>
      </c>
      <c r="J3629" t="s">
        <v>21321</v>
      </c>
      <c r="K3629" t="s">
        <v>17323</v>
      </c>
      <c r="L3629" s="7" t="s">
        <v>21322</v>
      </c>
      <c r="M3629" t="s">
        <v>21323</v>
      </c>
      <c r="N3629">
        <v>3</v>
      </c>
      <c r="O3629">
        <v>0</v>
      </c>
      <c r="P3629">
        <v>3</v>
      </c>
      <c r="Q3629">
        <v>3</v>
      </c>
      <c r="R3629">
        <v>0</v>
      </c>
      <c r="S3629">
        <v>3</v>
      </c>
      <c r="T3629">
        <v>24</v>
      </c>
      <c r="U3629" t="s">
        <v>21324</v>
      </c>
      <c r="V3629">
        <f>Tabla1[[#This Row],[Aboard]]-Tabla1[[#This Row],[Fatalities]]</f>
        <v>0</v>
      </c>
      <c r="W3629" s="50">
        <f>IFERROR(Tabla1[[#This Row],[Fatalities]]/Tabla1[[#This Row],[Aboard]],0)</f>
        <v>1</v>
      </c>
      <c r="X3629" s="51" t="str" cm="1">
        <f t="array" ref="X3629">_xlfn.IFS(Tabla1[[#This Row],[Porcentaje de muertes]]&lt;0.35,"LEVE",AND(Tabla1[[#This Row],[Porcentaje de muertes]]&gt;0.35,Tabla1[[#This Row],[Porcentaje de muertes]]&lt;0.65),"MEDIO",Tabla1[[#This Row],[Porcentaje de muertes]]&gt;0.65,"GRAVE")</f>
        <v>GRAVE</v>
      </c>
    </row>
    <row r="3630" spans="2:24" x14ac:dyDescent="0.3">
      <c r="B3630" s="9">
        <v>3629</v>
      </c>
      <c r="C3630" s="49">
        <v>33151</v>
      </c>
      <c r="D3630" s="9">
        <f>YEAR(Tabla1[[#This Row],[Date]])</f>
        <v>1990</v>
      </c>
      <c r="E3630" s="9" t="str" cm="1">
        <f t="array" ref="E3630">IFERROR(_xlfn.IFS(AND(D3630&lt;1980,D3630&gt;=1970),"70",AND(D3630&lt;1990,D3630&gt;=1980),"80",AND(D3630&lt;2000,D3630&gt;=1990),"90",AND(D3630&lt;2010,D3630&gt;=2000),"00",AND(D3630&lt;=2019,D3630&gt;=2010),"10"),"1908-1970")</f>
        <v>90</v>
      </c>
      <c r="F3630" s="3">
        <v>0.37152777777777773</v>
      </c>
      <c r="G3630" t="s">
        <v>21325</v>
      </c>
      <c r="H3630" t="s">
        <v>21326</v>
      </c>
      <c r="I3630" t="s">
        <v>28931</v>
      </c>
      <c r="J3630" t="s">
        <v>21327</v>
      </c>
      <c r="K3630" t="s">
        <v>13450</v>
      </c>
      <c r="L3630" s="7" t="s">
        <v>21328</v>
      </c>
      <c r="M3630">
        <v>101</v>
      </c>
      <c r="N3630">
        <v>40</v>
      </c>
      <c r="O3630">
        <v>35</v>
      </c>
      <c r="P3630">
        <v>5</v>
      </c>
      <c r="Q3630">
        <v>20</v>
      </c>
      <c r="R3630">
        <v>15</v>
      </c>
      <c r="S3630">
        <v>5</v>
      </c>
      <c r="T3630">
        <v>0</v>
      </c>
      <c r="U3630" t="s">
        <v>21329</v>
      </c>
      <c r="V3630">
        <f>Tabla1[[#This Row],[Aboard]]-Tabla1[[#This Row],[Fatalities]]</f>
        <v>20</v>
      </c>
      <c r="W3630" s="50">
        <f>IFERROR(Tabla1[[#This Row],[Fatalities]]/Tabla1[[#This Row],[Aboard]],0)</f>
        <v>0.5</v>
      </c>
      <c r="X3630" s="51" t="str" cm="1">
        <f t="array" ref="X3630">_xlfn.IFS(Tabla1[[#This Row],[Porcentaje de muertes]]&lt;0.35,"LEVE",AND(Tabla1[[#This Row],[Porcentaje de muertes]]&gt;0.35,Tabla1[[#This Row],[Porcentaje de muertes]]&lt;0.65),"MEDIO",Tabla1[[#This Row],[Porcentaje de muertes]]&gt;0.65,"GRAVE")</f>
        <v>MEDIO</v>
      </c>
    </row>
    <row r="3631" spans="2:24" x14ac:dyDescent="0.3">
      <c r="B3631" s="9">
        <v>3630</v>
      </c>
      <c r="C3631" s="49">
        <v>33182</v>
      </c>
      <c r="D3631" s="9">
        <f>YEAR(Tabla1[[#This Row],[Date]])</f>
        <v>1990</v>
      </c>
      <c r="E3631" s="9" t="str" cm="1">
        <f t="array" ref="E3631">IFERROR(_xlfn.IFS(AND(D3631&lt;1980,D3631&gt;=1970),"70",AND(D3631&lt;1990,D3631&gt;=1980),"80",AND(D3631&lt;2000,D3631&gt;=1990),"90",AND(D3631&lt;2010,D3631&gt;=2000),"00",AND(D3631&lt;=2019,D3631&gt;=2010),"10"),"1908-1970")</f>
        <v>90</v>
      </c>
      <c r="F3631" s="3" t="s">
        <v>28931</v>
      </c>
      <c r="G3631" t="s">
        <v>21330</v>
      </c>
      <c r="H3631" t="s">
        <v>21331</v>
      </c>
      <c r="I3631" t="s">
        <v>28931</v>
      </c>
      <c r="J3631" t="s">
        <v>28931</v>
      </c>
      <c r="K3631" t="s">
        <v>17047</v>
      </c>
      <c r="L3631" s="7" t="s">
        <v>21332</v>
      </c>
      <c r="M3631" t="s">
        <v>21333</v>
      </c>
      <c r="N3631">
        <v>10</v>
      </c>
      <c r="O3631">
        <v>0</v>
      </c>
      <c r="P3631">
        <v>10</v>
      </c>
      <c r="Q3631">
        <v>10</v>
      </c>
      <c r="R3631">
        <v>0</v>
      </c>
      <c r="S3631">
        <v>10</v>
      </c>
      <c r="T3631">
        <v>0</v>
      </c>
      <c r="U3631" t="s">
        <v>21334</v>
      </c>
      <c r="V3631">
        <f>Tabla1[[#This Row],[Aboard]]-Tabla1[[#This Row],[Fatalities]]</f>
        <v>0</v>
      </c>
      <c r="W3631" s="50">
        <f>IFERROR(Tabla1[[#This Row],[Fatalities]]/Tabla1[[#This Row],[Aboard]],0)</f>
        <v>1</v>
      </c>
      <c r="X3631" s="51" t="str" cm="1">
        <f t="array" ref="X3631">_xlfn.IFS(Tabla1[[#This Row],[Porcentaje de muertes]]&lt;0.35,"LEVE",AND(Tabla1[[#This Row],[Porcentaje de muertes]]&gt;0.35,Tabla1[[#This Row],[Porcentaje de muertes]]&lt;0.65),"MEDIO",Tabla1[[#This Row],[Porcentaje de muertes]]&gt;0.65,"GRAVE")</f>
        <v>GRAVE</v>
      </c>
    </row>
    <row r="3632" spans="2:24" x14ac:dyDescent="0.3">
      <c r="B3632" s="9">
        <v>3631</v>
      </c>
      <c r="C3632" s="49">
        <v>33182</v>
      </c>
      <c r="D3632" s="9">
        <f>YEAR(Tabla1[[#This Row],[Date]])</f>
        <v>1990</v>
      </c>
      <c r="E3632" s="9" t="str" cm="1">
        <f t="array" ref="E3632">IFERROR(_xlfn.IFS(AND(D3632&lt;1980,D3632&gt;=1970),"70",AND(D3632&lt;1990,D3632&gt;=1980),"80",AND(D3632&lt;2000,D3632&gt;=1990),"90",AND(D3632&lt;2010,D3632&gt;=2000),"00",AND(D3632&lt;=2019,D3632&gt;=2010),"10"),"1908-1970")</f>
        <v>90</v>
      </c>
      <c r="F3632" s="3" t="s">
        <v>28931</v>
      </c>
      <c r="G3632" t="s">
        <v>12372</v>
      </c>
      <c r="H3632" t="s">
        <v>8992</v>
      </c>
      <c r="I3632" t="s">
        <v>28931</v>
      </c>
      <c r="J3632" t="s">
        <v>21335</v>
      </c>
      <c r="K3632" t="s">
        <v>21336</v>
      </c>
      <c r="L3632" s="7" t="s">
        <v>21337</v>
      </c>
      <c r="M3632">
        <v>24466</v>
      </c>
      <c r="N3632">
        <v>119</v>
      </c>
      <c r="O3632">
        <v>113</v>
      </c>
      <c r="P3632">
        <v>6</v>
      </c>
      <c r="Q3632">
        <v>8</v>
      </c>
      <c r="R3632">
        <v>8</v>
      </c>
      <c r="S3632">
        <v>0</v>
      </c>
      <c r="T3632">
        <v>0</v>
      </c>
      <c r="U3632" t="s">
        <v>21338</v>
      </c>
      <c r="V3632">
        <f>Tabla1[[#This Row],[Aboard]]-Tabla1[[#This Row],[Fatalities]]</f>
        <v>111</v>
      </c>
      <c r="W3632" s="50">
        <f>IFERROR(Tabla1[[#This Row],[Fatalities]]/Tabla1[[#This Row],[Aboard]],0)</f>
        <v>6.7226890756302518E-2</v>
      </c>
      <c r="X3632" s="51" t="str" cm="1">
        <f t="array" ref="X3632">_xlfn.IFS(Tabla1[[#This Row],[Porcentaje de muertes]]&lt;0.35,"LEVE",AND(Tabla1[[#This Row],[Porcentaje de muertes]]&gt;0.35,Tabla1[[#This Row],[Porcentaje de muertes]]&lt;0.65),"MEDIO",Tabla1[[#This Row],[Porcentaje de muertes]]&gt;0.65,"GRAVE")</f>
        <v>LEVE</v>
      </c>
    </row>
    <row r="3633" spans="2:24" x14ac:dyDescent="0.3">
      <c r="B3633" s="9">
        <v>3632</v>
      </c>
      <c r="C3633" s="49">
        <v>33011</v>
      </c>
      <c r="D3633" s="9">
        <f>YEAR(Tabla1[[#This Row],[Date]])</f>
        <v>1990</v>
      </c>
      <c r="E3633" s="9" t="str" cm="1">
        <f t="array" ref="E3633">IFERROR(_xlfn.IFS(AND(D3633&lt;1980,D3633&gt;=1970),"70",AND(D3633&lt;1990,D3633&gt;=1980),"80",AND(D3633&lt;2000,D3633&gt;=1990),"90",AND(D3633&lt;2010,D3633&gt;=2000),"00",AND(D3633&lt;=2019,D3633&gt;=2010),"10"),"1908-1970")</f>
        <v>90</v>
      </c>
      <c r="F3633" s="3">
        <v>0.2673611111111111</v>
      </c>
      <c r="G3633" t="s">
        <v>12372</v>
      </c>
      <c r="H3633" t="s">
        <v>21339</v>
      </c>
      <c r="I3633">
        <v>75</v>
      </c>
      <c r="J3633" t="s">
        <v>21340</v>
      </c>
      <c r="K3633" t="s">
        <v>21341</v>
      </c>
      <c r="L3633" s="7" t="s">
        <v>21342</v>
      </c>
      <c r="M3633" t="s">
        <v>21343</v>
      </c>
      <c r="N3633">
        <v>21</v>
      </c>
      <c r="O3633">
        <v>19</v>
      </c>
      <c r="P3633">
        <v>2</v>
      </c>
      <c r="Q3633">
        <v>21</v>
      </c>
      <c r="R3633">
        <v>19</v>
      </c>
      <c r="S3633">
        <v>2</v>
      </c>
      <c r="T3633">
        <v>4</v>
      </c>
      <c r="U3633" t="s">
        <v>21344</v>
      </c>
      <c r="V3633">
        <f>Tabla1[[#This Row],[Aboard]]-Tabla1[[#This Row],[Fatalities]]</f>
        <v>0</v>
      </c>
      <c r="W3633" s="50">
        <f>IFERROR(Tabla1[[#This Row],[Fatalities]]/Tabla1[[#This Row],[Aboard]],0)</f>
        <v>1</v>
      </c>
      <c r="X3633" s="51" t="str" cm="1">
        <f t="array" ref="X3633">_xlfn.IFS(Tabla1[[#This Row],[Porcentaje de muertes]]&lt;0.35,"LEVE",AND(Tabla1[[#This Row],[Porcentaje de muertes]]&gt;0.35,Tabla1[[#This Row],[Porcentaje de muertes]]&lt;0.65),"MEDIO",Tabla1[[#This Row],[Porcentaje de muertes]]&gt;0.65,"GRAVE")</f>
        <v>GRAVE</v>
      </c>
    </row>
    <row r="3634" spans="2:24" x14ac:dyDescent="0.3">
      <c r="B3634" s="9">
        <v>3633</v>
      </c>
      <c r="C3634" s="49">
        <v>33030</v>
      </c>
      <c r="D3634" s="9">
        <f>YEAR(Tabla1[[#This Row],[Date]])</f>
        <v>1990</v>
      </c>
      <c r="E3634" s="9" t="str" cm="1">
        <f t="array" ref="E3634">IFERROR(_xlfn.IFS(AND(D3634&lt;1980,D3634&gt;=1970),"70",AND(D3634&lt;1990,D3634&gt;=1980),"80",AND(D3634&lt;2000,D3634&gt;=1990),"90",AND(D3634&lt;2010,D3634&gt;=2000),"00",AND(D3634&lt;=2019,D3634&gt;=2010),"10"),"1908-1970")</f>
        <v>90</v>
      </c>
      <c r="F3634" s="3">
        <v>0.22847222222222222</v>
      </c>
      <c r="G3634" t="s">
        <v>21345</v>
      </c>
      <c r="H3634" t="s">
        <v>18080</v>
      </c>
      <c r="I3634" t="s">
        <v>28931</v>
      </c>
      <c r="J3634" t="s">
        <v>21346</v>
      </c>
      <c r="K3634" t="s">
        <v>20561</v>
      </c>
      <c r="L3634" s="7" t="s">
        <v>21347</v>
      </c>
      <c r="M3634">
        <v>570</v>
      </c>
      <c r="N3634">
        <v>42</v>
      </c>
      <c r="O3634">
        <v>39</v>
      </c>
      <c r="P3634">
        <v>3</v>
      </c>
      <c r="Q3634">
        <v>23</v>
      </c>
      <c r="R3634">
        <v>21</v>
      </c>
      <c r="S3634">
        <v>2</v>
      </c>
      <c r="T3634">
        <v>0</v>
      </c>
      <c r="U3634" t="s">
        <v>21348</v>
      </c>
      <c r="V3634">
        <f>Tabla1[[#This Row],[Aboard]]-Tabla1[[#This Row],[Fatalities]]</f>
        <v>19</v>
      </c>
      <c r="W3634" s="50">
        <f>IFERROR(Tabla1[[#This Row],[Fatalities]]/Tabla1[[#This Row],[Aboard]],0)</f>
        <v>0.54761904761904767</v>
      </c>
      <c r="X3634" s="51" t="str" cm="1">
        <f t="array" ref="X3634">_xlfn.IFS(Tabla1[[#This Row],[Porcentaje de muertes]]&lt;0.35,"LEVE",AND(Tabla1[[#This Row],[Porcentaje de muertes]]&gt;0.35,Tabla1[[#This Row],[Porcentaje de muertes]]&lt;0.65),"MEDIO",Tabla1[[#This Row],[Porcentaje de muertes]]&gt;0.65,"GRAVE")</f>
        <v>MEDIO</v>
      </c>
    </row>
    <row r="3635" spans="2:24" x14ac:dyDescent="0.3">
      <c r="B3635" s="9">
        <v>3634</v>
      </c>
      <c r="C3635" s="49">
        <v>33030</v>
      </c>
      <c r="D3635" s="9">
        <f>YEAR(Tabla1[[#This Row],[Date]])</f>
        <v>1990</v>
      </c>
      <c r="E3635" s="9" t="str" cm="1">
        <f t="array" ref="E3635">IFERROR(_xlfn.IFS(AND(D3635&lt;1980,D3635&gt;=1970),"70",AND(D3635&lt;1990,D3635&gt;=1980),"80",AND(D3635&lt;2000,D3635&gt;=1990),"90",AND(D3635&lt;2010,D3635&gt;=2000),"00",AND(D3635&lt;=2019,D3635&gt;=2010),"10"),"1908-1970")</f>
        <v>90</v>
      </c>
      <c r="F3635" s="3">
        <v>0.79166666666666663</v>
      </c>
      <c r="G3635" t="s">
        <v>21349</v>
      </c>
      <c r="H3635" t="s">
        <v>21350</v>
      </c>
      <c r="I3635" t="s">
        <v>28931</v>
      </c>
      <c r="J3635" t="s">
        <v>28931</v>
      </c>
      <c r="K3635" t="s">
        <v>16680</v>
      </c>
      <c r="L3635" s="7" t="s">
        <v>21351</v>
      </c>
      <c r="M3635">
        <v>349</v>
      </c>
      <c r="N3635">
        <v>2</v>
      </c>
      <c r="O3635">
        <v>0</v>
      </c>
      <c r="P3635">
        <v>2</v>
      </c>
      <c r="Q3635">
        <v>2</v>
      </c>
      <c r="R3635">
        <v>0</v>
      </c>
      <c r="S3635">
        <v>2</v>
      </c>
      <c r="T3635">
        <v>0</v>
      </c>
      <c r="U3635" t="s">
        <v>21352</v>
      </c>
      <c r="V3635">
        <f>Tabla1[[#This Row],[Aboard]]-Tabla1[[#This Row],[Fatalities]]</f>
        <v>0</v>
      </c>
      <c r="W3635" s="50">
        <f>IFERROR(Tabla1[[#This Row],[Fatalities]]/Tabla1[[#This Row],[Aboard]],0)</f>
        <v>1</v>
      </c>
      <c r="X3635" s="51" t="str" cm="1">
        <f t="array" ref="X3635">_xlfn.IFS(Tabla1[[#This Row],[Porcentaje de muertes]]&lt;0.35,"LEVE",AND(Tabla1[[#This Row],[Porcentaje de muertes]]&gt;0.35,Tabla1[[#This Row],[Porcentaje de muertes]]&lt;0.65),"MEDIO",Tabla1[[#This Row],[Porcentaje de muertes]]&gt;0.65,"GRAVE")</f>
        <v>GRAVE</v>
      </c>
    </row>
    <row r="3636" spans="2:24" x14ac:dyDescent="0.3">
      <c r="B3636" s="9">
        <v>3635</v>
      </c>
      <c r="C3636" s="49">
        <v>33152</v>
      </c>
      <c r="D3636" s="9">
        <f>YEAR(Tabla1[[#This Row],[Date]])</f>
        <v>1990</v>
      </c>
      <c r="E3636" s="9" t="str" cm="1">
        <f t="array" ref="E3636">IFERROR(_xlfn.IFS(AND(D3636&lt;1980,D3636&gt;=1970),"70",AND(D3636&lt;1990,D3636&gt;=1980),"80",AND(D3636&lt;2000,D3636&gt;=1990),"90",AND(D3636&lt;2010,D3636&gt;=2000),"00",AND(D3636&lt;=2019,D3636&gt;=2010),"10"),"1908-1970")</f>
        <v>90</v>
      </c>
      <c r="F3636" s="3">
        <v>0.31458333333333333</v>
      </c>
      <c r="G3636" t="s">
        <v>21353</v>
      </c>
      <c r="H3636" t="s">
        <v>6862</v>
      </c>
      <c r="I3636">
        <v>5390</v>
      </c>
      <c r="J3636" t="s">
        <v>21354</v>
      </c>
      <c r="K3636" t="s">
        <v>21355</v>
      </c>
      <c r="L3636" s="7" t="s">
        <v>21356</v>
      </c>
      <c r="M3636" t="s">
        <v>21357</v>
      </c>
      <c r="N3636">
        <v>85</v>
      </c>
      <c r="O3636" t="s">
        <v>5038</v>
      </c>
      <c r="P3636" t="s">
        <v>5038</v>
      </c>
      <c r="Q3636">
        <v>0</v>
      </c>
      <c r="R3636" t="s">
        <v>5038</v>
      </c>
      <c r="S3636" t="s">
        <v>5038</v>
      </c>
      <c r="T3636">
        <v>0</v>
      </c>
      <c r="U3636" t="s">
        <v>21358</v>
      </c>
      <c r="V3636">
        <f>Tabla1[[#This Row],[Aboard]]-Tabla1[[#This Row],[Fatalities]]</f>
        <v>85</v>
      </c>
      <c r="W3636" s="50">
        <f>IFERROR(Tabla1[[#This Row],[Fatalities]]/Tabla1[[#This Row],[Aboard]],0)</f>
        <v>0</v>
      </c>
      <c r="X3636" s="51" t="str" cm="1">
        <f t="array" ref="X3636">_xlfn.IFS(Tabla1[[#This Row],[Porcentaje de muertes]]&lt;0.35,"LEVE",AND(Tabla1[[#This Row],[Porcentaje de muertes]]&gt;0.35,Tabla1[[#This Row],[Porcentaje de muertes]]&lt;0.65),"MEDIO",Tabla1[[#This Row],[Porcentaje de muertes]]&gt;0.65,"GRAVE")</f>
        <v>LEVE</v>
      </c>
    </row>
    <row r="3637" spans="2:24" x14ac:dyDescent="0.3">
      <c r="B3637" s="9">
        <v>3636</v>
      </c>
      <c r="C3637" s="49">
        <v>33000</v>
      </c>
      <c r="D3637" s="9">
        <f>YEAR(Tabla1[[#This Row],[Date]])</f>
        <v>1990</v>
      </c>
      <c r="E3637" s="9" t="str" cm="1">
        <f t="array" ref="E3637">IFERROR(_xlfn.IFS(AND(D3637&lt;1980,D3637&gt;=1970),"70",AND(D3637&lt;1990,D3637&gt;=1980),"80",AND(D3637&lt;2000,D3637&gt;=1990),"90",AND(D3637&lt;2010,D3637&gt;=2000),"00",AND(D3637&lt;=2019,D3637&gt;=2010),"10"),"1908-1970")</f>
        <v>90</v>
      </c>
      <c r="F3637" s="3" t="s">
        <v>28931</v>
      </c>
      <c r="G3637" t="s">
        <v>21359</v>
      </c>
      <c r="H3637" t="s">
        <v>18576</v>
      </c>
      <c r="I3637" t="s">
        <v>28931</v>
      </c>
      <c r="J3637" t="s">
        <v>21360</v>
      </c>
      <c r="K3637" t="s">
        <v>21361</v>
      </c>
      <c r="L3637" s="7" t="s">
        <v>21362</v>
      </c>
      <c r="M3637">
        <v>857</v>
      </c>
      <c r="N3637">
        <v>12</v>
      </c>
      <c r="O3637">
        <v>11</v>
      </c>
      <c r="P3637">
        <v>1</v>
      </c>
      <c r="Q3637">
        <v>8</v>
      </c>
      <c r="R3637">
        <v>7</v>
      </c>
      <c r="S3637">
        <v>1</v>
      </c>
      <c r="T3637">
        <v>0</v>
      </c>
      <c r="U3637" t="s">
        <v>21363</v>
      </c>
      <c r="V3637">
        <f>Tabla1[[#This Row],[Aboard]]-Tabla1[[#This Row],[Fatalities]]</f>
        <v>4</v>
      </c>
      <c r="W3637" s="50">
        <f>IFERROR(Tabla1[[#This Row],[Fatalities]]/Tabla1[[#This Row],[Aboard]],0)</f>
        <v>0.66666666666666663</v>
      </c>
      <c r="X3637" s="51" t="str" cm="1">
        <f t="array" ref="X3637">_xlfn.IFS(Tabla1[[#This Row],[Porcentaje de muertes]]&lt;0.35,"LEVE",AND(Tabla1[[#This Row],[Porcentaje de muertes]]&gt;0.35,Tabla1[[#This Row],[Porcentaje de muertes]]&lt;0.65),"MEDIO",Tabla1[[#This Row],[Porcentaje de muertes]]&gt;0.65,"GRAVE")</f>
        <v>GRAVE</v>
      </c>
    </row>
    <row r="3638" spans="2:24" x14ac:dyDescent="0.3">
      <c r="B3638" s="9">
        <v>3637</v>
      </c>
      <c r="C3638" s="49">
        <v>33081</v>
      </c>
      <c r="D3638" s="9">
        <f>YEAR(Tabla1[[#This Row],[Date]])</f>
        <v>1990</v>
      </c>
      <c r="E3638" s="9" t="str" cm="1">
        <f t="array" ref="E3638">IFERROR(_xlfn.IFS(AND(D3638&lt;1980,D3638&gt;=1970),"70",AND(D3638&lt;1990,D3638&gt;=1980),"80",AND(D3638&lt;2000,D3638&gt;=1990),"90",AND(D3638&lt;2010,D3638&gt;=2000),"00",AND(D3638&lt;=2019,D3638&gt;=2010),"10"),"1908-1970")</f>
        <v>90</v>
      </c>
      <c r="F3638" s="3" t="s">
        <v>28931</v>
      </c>
      <c r="G3638" t="s">
        <v>21364</v>
      </c>
      <c r="H3638" t="s">
        <v>20220</v>
      </c>
      <c r="I3638" t="s">
        <v>28931</v>
      </c>
      <c r="J3638" t="s">
        <v>28931</v>
      </c>
      <c r="K3638" t="s">
        <v>19284</v>
      </c>
      <c r="L3638" s="7" t="s">
        <v>28931</v>
      </c>
      <c r="M3638" t="s">
        <v>28931</v>
      </c>
      <c r="N3638">
        <v>30</v>
      </c>
      <c r="O3638">
        <v>25</v>
      </c>
      <c r="P3638">
        <v>5</v>
      </c>
      <c r="Q3638">
        <v>30</v>
      </c>
      <c r="R3638">
        <v>25</v>
      </c>
      <c r="S3638">
        <v>5</v>
      </c>
      <c r="T3638">
        <v>0</v>
      </c>
      <c r="U3638" t="s">
        <v>19062</v>
      </c>
      <c r="V3638">
        <f>Tabla1[[#This Row],[Aboard]]-Tabla1[[#This Row],[Fatalities]]</f>
        <v>0</v>
      </c>
      <c r="W3638" s="50">
        <f>IFERROR(Tabla1[[#This Row],[Fatalities]]/Tabla1[[#This Row],[Aboard]],0)</f>
        <v>1</v>
      </c>
      <c r="X3638" s="51" t="str" cm="1">
        <f t="array" ref="X3638">_xlfn.IFS(Tabla1[[#This Row],[Porcentaje de muertes]]&lt;0.35,"LEVE",AND(Tabla1[[#This Row],[Porcentaje de muertes]]&gt;0.35,Tabla1[[#This Row],[Porcentaje de muertes]]&lt;0.65),"MEDIO",Tabla1[[#This Row],[Porcentaje de muertes]]&gt;0.65,"GRAVE")</f>
        <v>GRAVE</v>
      </c>
    </row>
    <row r="3639" spans="2:24" x14ac:dyDescent="0.3">
      <c r="B3639" s="9">
        <v>3638</v>
      </c>
      <c r="C3639" s="49">
        <v>33085</v>
      </c>
      <c r="D3639" s="9">
        <f>YEAR(Tabla1[[#This Row],[Date]])</f>
        <v>1990</v>
      </c>
      <c r="E3639" s="9" t="str" cm="1">
        <f t="array" ref="E3639">IFERROR(_xlfn.IFS(AND(D3639&lt;1980,D3639&gt;=1970),"70",AND(D3639&lt;1990,D3639&gt;=1980),"80",AND(D3639&lt;2000,D3639&gt;=1990),"90",AND(D3639&lt;2010,D3639&gt;=2000),"00",AND(D3639&lt;=2019,D3639&gt;=2010),"10"),"1908-1970")</f>
        <v>90</v>
      </c>
      <c r="F3639" s="3" t="s">
        <v>28931</v>
      </c>
      <c r="G3639" t="s">
        <v>9756</v>
      </c>
      <c r="H3639" t="s">
        <v>21365</v>
      </c>
      <c r="I3639" t="s">
        <v>28931</v>
      </c>
      <c r="J3639" t="s">
        <v>28931</v>
      </c>
      <c r="K3639" t="s">
        <v>21366</v>
      </c>
      <c r="L3639" s="7" t="s">
        <v>21367</v>
      </c>
      <c r="M3639" t="s">
        <v>21368</v>
      </c>
      <c r="N3639">
        <v>9</v>
      </c>
      <c r="O3639">
        <v>8</v>
      </c>
      <c r="P3639">
        <v>1</v>
      </c>
      <c r="Q3639">
        <v>9</v>
      </c>
      <c r="R3639">
        <v>8</v>
      </c>
      <c r="S3639">
        <v>1</v>
      </c>
      <c r="T3639">
        <v>0</v>
      </c>
      <c r="U3639" t="s">
        <v>21369</v>
      </c>
      <c r="V3639">
        <f>Tabla1[[#This Row],[Aboard]]-Tabla1[[#This Row],[Fatalities]]</f>
        <v>0</v>
      </c>
      <c r="W3639" s="50">
        <f>IFERROR(Tabla1[[#This Row],[Fatalities]]/Tabla1[[#This Row],[Aboard]],0)</f>
        <v>1</v>
      </c>
      <c r="X3639" s="51" t="str" cm="1">
        <f t="array" ref="X3639">_xlfn.IFS(Tabla1[[#This Row],[Porcentaje de muertes]]&lt;0.35,"LEVE",AND(Tabla1[[#This Row],[Porcentaje de muertes]]&gt;0.35,Tabla1[[#This Row],[Porcentaje de muertes]]&lt;0.65),"MEDIO",Tabla1[[#This Row],[Porcentaje de muertes]]&gt;0.65,"GRAVE")</f>
        <v>GRAVE</v>
      </c>
    </row>
    <row r="3640" spans="2:24" x14ac:dyDescent="0.3">
      <c r="B3640" s="9">
        <v>3639</v>
      </c>
      <c r="C3640" s="49">
        <v>32881</v>
      </c>
      <c r="D3640" s="9">
        <f>YEAR(Tabla1[[#This Row],[Date]])</f>
        <v>1990</v>
      </c>
      <c r="E3640" s="9" t="str" cm="1">
        <f t="array" ref="E3640">IFERROR(_xlfn.IFS(AND(D3640&lt;1980,D3640&gt;=1970),"70",AND(D3640&lt;1990,D3640&gt;=1980),"80",AND(D3640&lt;2000,D3640&gt;=1990),"90",AND(D3640&lt;2010,D3640&gt;=2000),"00",AND(D3640&lt;=2019,D3640&gt;=2010),"10"),"1908-1970")</f>
        <v>90</v>
      </c>
      <c r="F3640" s="3">
        <v>0.46527777777777773</v>
      </c>
      <c r="G3640" t="s">
        <v>21370</v>
      </c>
      <c r="H3640" t="s">
        <v>6541</v>
      </c>
      <c r="I3640" t="s">
        <v>28931</v>
      </c>
      <c r="J3640" t="s">
        <v>21371</v>
      </c>
      <c r="K3640" t="s">
        <v>15961</v>
      </c>
      <c r="L3640" s="7" t="s">
        <v>21372</v>
      </c>
      <c r="M3640">
        <v>9431036</v>
      </c>
      <c r="N3640">
        <v>47</v>
      </c>
      <c r="O3640">
        <v>43</v>
      </c>
      <c r="P3640">
        <v>4</v>
      </c>
      <c r="Q3640">
        <v>47</v>
      </c>
      <c r="R3640">
        <v>43</v>
      </c>
      <c r="S3640">
        <v>4</v>
      </c>
      <c r="T3640">
        <v>0</v>
      </c>
      <c r="U3640" t="s">
        <v>21373</v>
      </c>
      <c r="V3640">
        <f>Tabla1[[#This Row],[Aboard]]-Tabla1[[#This Row],[Fatalities]]</f>
        <v>0</v>
      </c>
      <c r="W3640" s="50">
        <f>IFERROR(Tabla1[[#This Row],[Fatalities]]/Tabla1[[#This Row],[Aboard]],0)</f>
        <v>1</v>
      </c>
      <c r="X3640" s="51" t="str" cm="1">
        <f t="array" ref="X3640">_xlfn.IFS(Tabla1[[#This Row],[Porcentaje de muertes]]&lt;0.35,"LEVE",AND(Tabla1[[#This Row],[Porcentaje de muertes]]&gt;0.35,Tabla1[[#This Row],[Porcentaje de muertes]]&lt;0.65),"MEDIO",Tabla1[[#This Row],[Porcentaje de muertes]]&gt;0.65,"GRAVE")</f>
        <v>GRAVE</v>
      </c>
    </row>
    <row r="3641" spans="2:24" x14ac:dyDescent="0.3">
      <c r="B3641" s="9">
        <v>3640</v>
      </c>
      <c r="C3641" s="49">
        <v>33154</v>
      </c>
      <c r="D3641" s="9">
        <f>YEAR(Tabla1[[#This Row],[Date]])</f>
        <v>1990</v>
      </c>
      <c r="E3641" s="9" t="str" cm="1">
        <f t="array" ref="E3641">IFERROR(_xlfn.IFS(AND(D3641&lt;1980,D3641&gt;=1970),"70",AND(D3641&lt;1990,D3641&gt;=1980),"80",AND(D3641&lt;2000,D3641&gt;=1990),"90",AND(D3641&lt;2010,D3641&gt;=2000),"00",AND(D3641&lt;=2019,D3641&gt;=2010),"10"),"1908-1970")</f>
        <v>90</v>
      </c>
      <c r="F3641" s="3" t="s">
        <v>28931</v>
      </c>
      <c r="G3641" t="s">
        <v>21374</v>
      </c>
      <c r="H3641" t="s">
        <v>20220</v>
      </c>
      <c r="I3641" t="s">
        <v>28931</v>
      </c>
      <c r="J3641" t="s">
        <v>28931</v>
      </c>
      <c r="K3641" t="s">
        <v>13992</v>
      </c>
      <c r="L3641" s="7" t="s">
        <v>28931</v>
      </c>
      <c r="M3641" t="s">
        <v>28931</v>
      </c>
      <c r="N3641">
        <v>83</v>
      </c>
      <c r="O3641">
        <v>78</v>
      </c>
      <c r="P3641">
        <v>5</v>
      </c>
      <c r="Q3641">
        <v>83</v>
      </c>
      <c r="R3641">
        <v>78</v>
      </c>
      <c r="S3641">
        <v>5</v>
      </c>
      <c r="T3641">
        <v>0</v>
      </c>
      <c r="U3641" t="s">
        <v>21375</v>
      </c>
      <c r="V3641">
        <f>Tabla1[[#This Row],[Aboard]]-Tabla1[[#This Row],[Fatalities]]</f>
        <v>0</v>
      </c>
      <c r="W3641" s="50">
        <f>IFERROR(Tabla1[[#This Row],[Fatalities]]/Tabla1[[#This Row],[Aboard]],0)</f>
        <v>1</v>
      </c>
      <c r="X3641" s="51" t="str" cm="1">
        <f t="array" ref="X3641">_xlfn.IFS(Tabla1[[#This Row],[Porcentaje de muertes]]&lt;0.35,"LEVE",AND(Tabla1[[#This Row],[Porcentaje de muertes]]&gt;0.35,Tabla1[[#This Row],[Porcentaje de muertes]]&lt;0.65),"MEDIO",Tabla1[[#This Row],[Porcentaje de muertes]]&gt;0.65,"GRAVE")</f>
        <v>GRAVE</v>
      </c>
    </row>
    <row r="3642" spans="2:24" x14ac:dyDescent="0.3">
      <c r="B3642" s="9">
        <v>3641</v>
      </c>
      <c r="C3642" s="49">
        <v>33112</v>
      </c>
      <c r="D3642" s="9">
        <f>YEAR(Tabla1[[#This Row],[Date]])</f>
        <v>1990</v>
      </c>
      <c r="E3642" s="9" t="str" cm="1">
        <f t="array" ref="E3642">IFERROR(_xlfn.IFS(AND(D3642&lt;1980,D3642&gt;=1970),"70",AND(D3642&lt;1990,D3642&gt;=1980),"80",AND(D3642&lt;2000,D3642&gt;=1990),"90",AND(D3642&lt;2010,D3642&gt;=2000),"00",AND(D3642&lt;=2019,D3642&gt;=2010),"10"),"1908-1970")</f>
        <v>90</v>
      </c>
      <c r="F3642" s="3">
        <v>4.1666666666666664E-2</v>
      </c>
      <c r="G3642" t="s">
        <v>21376</v>
      </c>
      <c r="H3642" t="s">
        <v>21377</v>
      </c>
      <c r="I3642" t="s">
        <v>8152</v>
      </c>
      <c r="J3642" t="s">
        <v>21378</v>
      </c>
      <c r="K3642" t="s">
        <v>21379</v>
      </c>
      <c r="L3642" s="7" t="s">
        <v>21380</v>
      </c>
      <c r="M3642">
        <v>23338</v>
      </c>
      <c r="N3642">
        <v>5</v>
      </c>
      <c r="O3642">
        <v>4</v>
      </c>
      <c r="P3642">
        <v>1</v>
      </c>
      <c r="Q3642">
        <v>5</v>
      </c>
      <c r="R3642">
        <v>4</v>
      </c>
      <c r="S3642">
        <v>1</v>
      </c>
      <c r="T3642">
        <v>0</v>
      </c>
      <c r="U3642" t="s">
        <v>21381</v>
      </c>
      <c r="V3642">
        <f>Tabla1[[#This Row],[Aboard]]-Tabla1[[#This Row],[Fatalities]]</f>
        <v>0</v>
      </c>
      <c r="W3642" s="50">
        <f>IFERROR(Tabla1[[#This Row],[Fatalities]]/Tabla1[[#This Row],[Aboard]],0)</f>
        <v>1</v>
      </c>
      <c r="X3642" s="51" t="str" cm="1">
        <f t="array" ref="X3642">_xlfn.IFS(Tabla1[[#This Row],[Porcentaje de muertes]]&lt;0.35,"LEVE",AND(Tabla1[[#This Row],[Porcentaje de muertes]]&gt;0.35,Tabla1[[#This Row],[Porcentaje de muertes]]&lt;0.65),"MEDIO",Tabla1[[#This Row],[Porcentaje de muertes]]&gt;0.65,"GRAVE")</f>
        <v>GRAVE</v>
      </c>
    </row>
    <row r="3643" spans="2:24" x14ac:dyDescent="0.3">
      <c r="B3643" s="9">
        <v>3642</v>
      </c>
      <c r="C3643" s="49">
        <v>33114</v>
      </c>
      <c r="D3643" s="9">
        <f>YEAR(Tabla1[[#This Row],[Date]])</f>
        <v>1990</v>
      </c>
      <c r="E3643" s="9" t="str" cm="1">
        <f t="array" ref="E3643">IFERROR(_xlfn.IFS(AND(D3643&lt;1980,D3643&gt;=1970),"70",AND(D3643&lt;1990,D3643&gt;=1980),"80",AND(D3643&lt;2000,D3643&gt;=1990),"90",AND(D3643&lt;2010,D3643&gt;=2000),"00",AND(D3643&lt;=2019,D3643&gt;=2010),"10"),"1908-1970")</f>
        <v>90</v>
      </c>
      <c r="F3643" s="3">
        <v>2.361111111111111E-2</v>
      </c>
      <c r="G3643" t="s">
        <v>21382</v>
      </c>
      <c r="H3643" t="s">
        <v>7987</v>
      </c>
      <c r="I3643" t="s">
        <v>28931</v>
      </c>
      <c r="J3643" t="s">
        <v>21383</v>
      </c>
      <c r="K3643" t="s">
        <v>21384</v>
      </c>
      <c r="L3643" s="7" t="s">
        <v>21385</v>
      </c>
      <c r="M3643">
        <v>31</v>
      </c>
      <c r="N3643">
        <v>17</v>
      </c>
      <c r="O3643">
        <v>9</v>
      </c>
      <c r="P3643">
        <v>8</v>
      </c>
      <c r="Q3643">
        <v>13</v>
      </c>
      <c r="R3643">
        <v>6</v>
      </c>
      <c r="S3643">
        <v>7</v>
      </c>
      <c r="T3643">
        <v>0</v>
      </c>
      <c r="U3643" t="s">
        <v>21386</v>
      </c>
      <c r="V3643">
        <f>Tabla1[[#This Row],[Aboard]]-Tabla1[[#This Row],[Fatalities]]</f>
        <v>4</v>
      </c>
      <c r="W3643" s="50">
        <f>IFERROR(Tabla1[[#This Row],[Fatalities]]/Tabla1[[#This Row],[Aboard]],0)</f>
        <v>0.76470588235294112</v>
      </c>
      <c r="X3643" s="51" t="str" cm="1">
        <f t="array" ref="X3643">_xlfn.IFS(Tabla1[[#This Row],[Porcentaje de muertes]]&lt;0.35,"LEVE",AND(Tabla1[[#This Row],[Porcentaje de muertes]]&gt;0.35,Tabla1[[#This Row],[Porcentaje de muertes]]&lt;0.65),"MEDIO",Tabla1[[#This Row],[Porcentaje de muertes]]&gt;0.65,"GRAVE")</f>
        <v>GRAVE</v>
      </c>
    </row>
    <row r="3644" spans="2:24" x14ac:dyDescent="0.3">
      <c r="B3644" s="9">
        <v>3643</v>
      </c>
      <c r="C3644" s="49">
        <v>32941</v>
      </c>
      <c r="D3644" s="9">
        <f>YEAR(Tabla1[[#This Row],[Date]])</f>
        <v>1990</v>
      </c>
      <c r="E3644" s="9" t="str" cm="1">
        <f t="array" ref="E3644">IFERROR(_xlfn.IFS(AND(D3644&lt;1980,D3644&gt;=1970),"70",AND(D3644&lt;1990,D3644&gt;=1980),"80",AND(D3644&lt;2000,D3644&gt;=1990),"90",AND(D3644&lt;2010,D3644&gt;=2000),"00",AND(D3644&lt;=2019,D3644&gt;=2010),"10"),"1908-1970")</f>
        <v>90</v>
      </c>
      <c r="F3644" s="3">
        <v>0.63888888888888895</v>
      </c>
      <c r="G3644" t="s">
        <v>21387</v>
      </c>
      <c r="H3644" t="s">
        <v>21388</v>
      </c>
      <c r="I3644" t="s">
        <v>28931</v>
      </c>
      <c r="J3644" t="s">
        <v>21389</v>
      </c>
      <c r="K3644" t="s">
        <v>21390</v>
      </c>
      <c r="L3644" s="7" t="s">
        <v>21391</v>
      </c>
      <c r="M3644">
        <v>317612024</v>
      </c>
      <c r="N3644">
        <v>10</v>
      </c>
      <c r="O3644">
        <v>9</v>
      </c>
      <c r="P3644">
        <v>1</v>
      </c>
      <c r="Q3644">
        <v>3</v>
      </c>
      <c r="R3644">
        <v>3</v>
      </c>
      <c r="S3644">
        <v>0</v>
      </c>
      <c r="T3644">
        <v>0</v>
      </c>
      <c r="U3644" t="s">
        <v>21392</v>
      </c>
      <c r="V3644">
        <f>Tabla1[[#This Row],[Aboard]]-Tabla1[[#This Row],[Fatalities]]</f>
        <v>7</v>
      </c>
      <c r="W3644" s="50">
        <f>IFERROR(Tabla1[[#This Row],[Fatalities]]/Tabla1[[#This Row],[Aboard]],0)</f>
        <v>0.3</v>
      </c>
      <c r="X3644" s="51" t="str" cm="1">
        <f t="array" ref="X3644">_xlfn.IFS(Tabla1[[#This Row],[Porcentaje de muertes]]&lt;0.35,"LEVE",AND(Tabla1[[#This Row],[Porcentaje de muertes]]&gt;0.35,Tabla1[[#This Row],[Porcentaje de muertes]]&lt;0.65),"MEDIO",Tabla1[[#This Row],[Porcentaje de muertes]]&gt;0.65,"GRAVE")</f>
        <v>LEVE</v>
      </c>
    </row>
    <row r="3645" spans="2:24" x14ac:dyDescent="0.3">
      <c r="B3645" s="9">
        <v>3644</v>
      </c>
      <c r="C3645" s="49">
        <v>33186</v>
      </c>
      <c r="D3645" s="9">
        <f>YEAR(Tabla1[[#This Row],[Date]])</f>
        <v>1990</v>
      </c>
      <c r="E3645" s="9" t="str" cm="1">
        <f t="array" ref="E3645">IFERROR(_xlfn.IFS(AND(D3645&lt;1980,D3645&gt;=1970),"70",AND(D3645&lt;1990,D3645&gt;=1980),"80",AND(D3645&lt;2000,D3645&gt;=1990),"90",AND(D3645&lt;2010,D3645&gt;=2000),"00",AND(D3645&lt;=2019,D3645&gt;=2010),"10"),"1908-1970")</f>
        <v>90</v>
      </c>
      <c r="F3645" s="3">
        <v>0.64583333333333337</v>
      </c>
      <c r="G3645" t="s">
        <v>10896</v>
      </c>
      <c r="H3645" t="s">
        <v>8477</v>
      </c>
      <c r="I3645" t="s">
        <v>28931</v>
      </c>
      <c r="J3645" t="s">
        <v>21393</v>
      </c>
      <c r="K3645" t="s">
        <v>21394</v>
      </c>
      <c r="L3645" s="7" t="s">
        <v>21395</v>
      </c>
      <c r="M3645" t="s">
        <v>21396</v>
      </c>
      <c r="N3645">
        <v>18</v>
      </c>
      <c r="O3645">
        <v>15</v>
      </c>
      <c r="P3645">
        <v>3</v>
      </c>
      <c r="Q3645">
        <v>18</v>
      </c>
      <c r="R3645">
        <v>15</v>
      </c>
      <c r="S3645">
        <v>3</v>
      </c>
      <c r="T3645">
        <v>0</v>
      </c>
      <c r="U3645" t="s">
        <v>21397</v>
      </c>
      <c r="V3645">
        <f>Tabla1[[#This Row],[Aboard]]-Tabla1[[#This Row],[Fatalities]]</f>
        <v>0</v>
      </c>
      <c r="W3645" s="50">
        <f>IFERROR(Tabla1[[#This Row],[Fatalities]]/Tabla1[[#This Row],[Aboard]],0)</f>
        <v>1</v>
      </c>
      <c r="X3645" s="51" t="str" cm="1">
        <f t="array" ref="X3645">_xlfn.IFS(Tabla1[[#This Row],[Porcentaje de muertes]]&lt;0.35,"LEVE",AND(Tabla1[[#This Row],[Porcentaje de muertes]]&gt;0.35,Tabla1[[#This Row],[Porcentaje de muertes]]&lt;0.65),"MEDIO",Tabla1[[#This Row],[Porcentaje de muertes]]&gt;0.65,"GRAVE")</f>
        <v>GRAVE</v>
      </c>
    </row>
    <row r="3646" spans="2:24" x14ac:dyDescent="0.3">
      <c r="B3646" s="9">
        <v>3645</v>
      </c>
      <c r="C3646" s="49">
        <v>33216</v>
      </c>
      <c r="D3646" s="9">
        <f>YEAR(Tabla1[[#This Row],[Date]])</f>
        <v>1990</v>
      </c>
      <c r="E3646" s="9" t="str" cm="1">
        <f t="array" ref="E3646">IFERROR(_xlfn.IFS(AND(D3646&lt;1980,D3646&gt;=1970),"70",AND(D3646&lt;1990,D3646&gt;=1980),"80",AND(D3646&lt;2000,D3646&gt;=1990),"90",AND(D3646&lt;2010,D3646&gt;=2000),"00",AND(D3646&lt;=2019,D3646&gt;=2010),"10"),"1908-1970")</f>
        <v>90</v>
      </c>
      <c r="F3646" s="3" t="s">
        <v>28931</v>
      </c>
      <c r="G3646" t="s">
        <v>21398</v>
      </c>
      <c r="H3646" t="s">
        <v>21399</v>
      </c>
      <c r="I3646" t="s">
        <v>28931</v>
      </c>
      <c r="J3646" t="s">
        <v>21400</v>
      </c>
      <c r="K3646" t="s">
        <v>21401</v>
      </c>
      <c r="L3646" s="7" t="s">
        <v>21402</v>
      </c>
      <c r="M3646">
        <v>229</v>
      </c>
      <c r="N3646">
        <v>8</v>
      </c>
      <c r="O3646">
        <v>6</v>
      </c>
      <c r="P3646">
        <v>2</v>
      </c>
      <c r="Q3646">
        <v>8</v>
      </c>
      <c r="R3646">
        <v>6</v>
      </c>
      <c r="S3646">
        <v>2</v>
      </c>
      <c r="T3646">
        <v>0</v>
      </c>
      <c r="U3646" t="s">
        <v>21403</v>
      </c>
      <c r="V3646">
        <f>Tabla1[[#This Row],[Aboard]]-Tabla1[[#This Row],[Fatalities]]</f>
        <v>0</v>
      </c>
      <c r="W3646" s="50">
        <f>IFERROR(Tabla1[[#This Row],[Fatalities]]/Tabla1[[#This Row],[Aboard]],0)</f>
        <v>1</v>
      </c>
      <c r="X3646" s="51" t="str" cm="1">
        <f t="array" ref="X3646">_xlfn.IFS(Tabla1[[#This Row],[Porcentaje de muertes]]&lt;0.35,"LEVE",AND(Tabla1[[#This Row],[Porcentaje de muertes]]&gt;0.35,Tabla1[[#This Row],[Porcentaje de muertes]]&lt;0.65),"MEDIO",Tabla1[[#This Row],[Porcentaje de muertes]]&gt;0.65,"GRAVE")</f>
        <v>GRAVE</v>
      </c>
    </row>
    <row r="3647" spans="2:24" x14ac:dyDescent="0.3">
      <c r="B3647" s="9">
        <v>3646</v>
      </c>
      <c r="C3647" s="49">
        <v>33130</v>
      </c>
      <c r="D3647" s="9">
        <f>YEAR(Tabla1[[#This Row],[Date]])</f>
        <v>1990</v>
      </c>
      <c r="E3647" s="9" t="str" cm="1">
        <f t="array" ref="E3647">IFERROR(_xlfn.IFS(AND(D3647&lt;1980,D3647&gt;=1970),"70",AND(D3647&lt;1990,D3647&gt;=1980),"80",AND(D3647&lt;2000,D3647&gt;=1990),"90",AND(D3647&lt;2010,D3647&gt;=2000),"00",AND(D3647&lt;=2019,D3647&gt;=2010),"10"),"1908-1970")</f>
        <v>90</v>
      </c>
      <c r="F3647" s="3">
        <v>7.8472222222222221E-2</v>
      </c>
      <c r="G3647" t="s">
        <v>21404</v>
      </c>
      <c r="H3647" t="s">
        <v>6541</v>
      </c>
      <c r="I3647" t="s">
        <v>28931</v>
      </c>
      <c r="J3647" t="s">
        <v>21405</v>
      </c>
      <c r="K3647" t="s">
        <v>19189</v>
      </c>
      <c r="L3647" s="7" t="s">
        <v>21406</v>
      </c>
      <c r="M3647">
        <v>1811379</v>
      </c>
      <c r="N3647">
        <v>128</v>
      </c>
      <c r="O3647">
        <v>122</v>
      </c>
      <c r="P3647">
        <v>6</v>
      </c>
      <c r="Q3647">
        <v>4</v>
      </c>
      <c r="R3647">
        <v>3</v>
      </c>
      <c r="S3647">
        <v>1</v>
      </c>
      <c r="T3647">
        <v>0</v>
      </c>
      <c r="U3647" t="s">
        <v>21407</v>
      </c>
      <c r="V3647">
        <f>Tabla1[[#This Row],[Aboard]]-Tabla1[[#This Row],[Fatalities]]</f>
        <v>124</v>
      </c>
      <c r="W3647" s="50">
        <f>IFERROR(Tabla1[[#This Row],[Fatalities]]/Tabla1[[#This Row],[Aboard]],0)</f>
        <v>3.125E-2</v>
      </c>
      <c r="X3647" s="51" t="str" cm="1">
        <f t="array" ref="X3647">_xlfn.IFS(Tabla1[[#This Row],[Porcentaje de muertes]]&lt;0.35,"LEVE",AND(Tabla1[[#This Row],[Porcentaje de muertes]]&gt;0.35,Tabla1[[#This Row],[Porcentaje de muertes]]&lt;0.65),"MEDIO",Tabla1[[#This Row],[Porcentaje de muertes]]&gt;0.65,"GRAVE")</f>
        <v>LEVE</v>
      </c>
    </row>
    <row r="3648" spans="2:24" x14ac:dyDescent="0.3">
      <c r="B3648" s="9">
        <v>3647</v>
      </c>
      <c r="C3648" s="49">
        <v>33136</v>
      </c>
      <c r="D3648" s="9">
        <f>YEAR(Tabla1[[#This Row],[Date]])</f>
        <v>1990</v>
      </c>
      <c r="E3648" s="9" t="str" cm="1">
        <f t="array" ref="E3648">IFERROR(_xlfn.IFS(AND(D3648&lt;1980,D3648&gt;=1970),"70",AND(D3648&lt;1990,D3648&gt;=1980),"80",AND(D3648&lt;2000,D3648&gt;=1990),"90",AND(D3648&lt;2010,D3648&gt;=2000),"00",AND(D3648&lt;=2019,D3648&gt;=2010),"10"),"1908-1970")</f>
        <v>90</v>
      </c>
      <c r="F3648" s="3">
        <v>0.81944444444444453</v>
      </c>
      <c r="G3648" t="s">
        <v>21408</v>
      </c>
      <c r="H3648" t="s">
        <v>21409</v>
      </c>
      <c r="I3648" t="s">
        <v>28931</v>
      </c>
      <c r="J3648" t="s">
        <v>21410</v>
      </c>
      <c r="K3648" t="s">
        <v>18953</v>
      </c>
      <c r="L3648" s="7" t="s">
        <v>21411</v>
      </c>
      <c r="M3648">
        <v>110368</v>
      </c>
      <c r="N3648">
        <v>12</v>
      </c>
      <c r="O3648">
        <v>10</v>
      </c>
      <c r="P3648">
        <v>2</v>
      </c>
      <c r="Q3648">
        <v>12</v>
      </c>
      <c r="R3648">
        <v>10</v>
      </c>
      <c r="S3648">
        <v>2</v>
      </c>
      <c r="T3648">
        <v>0</v>
      </c>
      <c r="U3648" t="s">
        <v>21412</v>
      </c>
      <c r="V3648">
        <f>Tabla1[[#This Row],[Aboard]]-Tabla1[[#This Row],[Fatalities]]</f>
        <v>0</v>
      </c>
      <c r="W3648" s="50">
        <f>IFERROR(Tabla1[[#This Row],[Fatalities]]/Tabla1[[#This Row],[Aboard]],0)</f>
        <v>1</v>
      </c>
      <c r="X3648" s="51" t="str" cm="1">
        <f t="array" ref="X3648">_xlfn.IFS(Tabla1[[#This Row],[Porcentaje de muertes]]&lt;0.35,"LEVE",AND(Tabla1[[#This Row],[Porcentaje de muertes]]&gt;0.35,Tabla1[[#This Row],[Porcentaje de muertes]]&lt;0.65),"MEDIO",Tabla1[[#This Row],[Porcentaje de muertes]]&gt;0.65,"GRAVE")</f>
        <v>GRAVE</v>
      </c>
    </row>
    <row r="3649" spans="2:24" x14ac:dyDescent="0.3">
      <c r="B3649" s="9">
        <v>3648</v>
      </c>
      <c r="C3649" s="49">
        <v>33140</v>
      </c>
      <c r="D3649" s="9">
        <f>YEAR(Tabla1[[#This Row],[Date]])</f>
        <v>1990</v>
      </c>
      <c r="E3649" s="9" t="str" cm="1">
        <f t="array" ref="E3649">IFERROR(_xlfn.IFS(AND(D3649&lt;1980,D3649&gt;=1970),"70",AND(D3649&lt;1990,D3649&gt;=1980),"80",AND(D3649&lt;2000,D3649&gt;=1990),"90",AND(D3649&lt;2010,D3649&gt;=2000),"00",AND(D3649&lt;=2019,D3649&gt;=2010),"10"),"1908-1970")</f>
        <v>90</v>
      </c>
      <c r="F3649" s="3">
        <v>0.29305555555555557</v>
      </c>
      <c r="G3649" t="s">
        <v>19648</v>
      </c>
      <c r="H3649" t="s">
        <v>21413</v>
      </c>
      <c r="I3649" t="s">
        <v>28931</v>
      </c>
      <c r="J3649" t="s">
        <v>21414</v>
      </c>
      <c r="K3649" t="s">
        <v>21415</v>
      </c>
      <c r="L3649" s="7" t="s">
        <v>21416</v>
      </c>
      <c r="M3649" t="s">
        <v>21417</v>
      </c>
      <c r="N3649">
        <v>4</v>
      </c>
      <c r="O3649">
        <v>2</v>
      </c>
      <c r="P3649">
        <v>2</v>
      </c>
      <c r="Q3649">
        <v>4</v>
      </c>
      <c r="R3649">
        <v>2</v>
      </c>
      <c r="S3649">
        <v>2</v>
      </c>
      <c r="T3649">
        <v>0</v>
      </c>
      <c r="U3649" t="s">
        <v>21418</v>
      </c>
      <c r="V3649">
        <f>Tabla1[[#This Row],[Aboard]]-Tabla1[[#This Row],[Fatalities]]</f>
        <v>0</v>
      </c>
      <c r="W3649" s="50">
        <f>IFERROR(Tabla1[[#This Row],[Fatalities]]/Tabla1[[#This Row],[Aboard]],0)</f>
        <v>1</v>
      </c>
      <c r="X3649" s="51" t="str" cm="1">
        <f t="array" ref="X3649">_xlfn.IFS(Tabla1[[#This Row],[Porcentaje de muertes]]&lt;0.35,"LEVE",AND(Tabla1[[#This Row],[Porcentaje de muertes]]&gt;0.35,Tabla1[[#This Row],[Porcentaje de muertes]]&lt;0.65),"MEDIO",Tabla1[[#This Row],[Porcentaje de muertes]]&gt;0.65,"GRAVE")</f>
        <v>GRAVE</v>
      </c>
    </row>
    <row r="3650" spans="2:24" x14ac:dyDescent="0.3">
      <c r="B3650" s="9">
        <v>3649</v>
      </c>
      <c r="C3650" s="49">
        <v>32914</v>
      </c>
      <c r="D3650" s="9">
        <f>YEAR(Tabla1[[#This Row],[Date]])</f>
        <v>1990</v>
      </c>
      <c r="E3650" s="9" t="str" cm="1">
        <f t="array" ref="E3650">IFERROR(_xlfn.IFS(AND(D3650&lt;1980,D3650&gt;=1970),"70",AND(D3650&lt;1990,D3650&gt;=1980),"80",AND(D3650&lt;2000,D3650&gt;=1990),"90",AND(D3650&lt;2010,D3650&gt;=2000),"00",AND(D3650&lt;=2019,D3650&gt;=2010),"10"),"1908-1970")</f>
        <v>90</v>
      </c>
      <c r="F3650" s="3">
        <v>0.38541666666666669</v>
      </c>
      <c r="G3650" t="s">
        <v>19290</v>
      </c>
      <c r="H3650" t="s">
        <v>21419</v>
      </c>
      <c r="I3650" t="s">
        <v>21420</v>
      </c>
      <c r="J3650" t="s">
        <v>21421</v>
      </c>
      <c r="K3650" t="s">
        <v>21422</v>
      </c>
      <c r="L3650" s="7" t="s">
        <v>21423</v>
      </c>
      <c r="M3650" t="s">
        <v>21424</v>
      </c>
      <c r="N3650">
        <v>226</v>
      </c>
      <c r="O3650">
        <v>205</v>
      </c>
      <c r="P3650">
        <v>21</v>
      </c>
      <c r="Q3650">
        <v>128</v>
      </c>
      <c r="R3650">
        <v>121</v>
      </c>
      <c r="S3650">
        <v>7</v>
      </c>
      <c r="T3650">
        <v>0</v>
      </c>
      <c r="U3650" t="s">
        <v>21425</v>
      </c>
      <c r="V3650">
        <f>Tabla1[[#This Row],[Aboard]]-Tabla1[[#This Row],[Fatalities]]</f>
        <v>98</v>
      </c>
      <c r="W3650" s="50">
        <f>IFERROR(Tabla1[[#This Row],[Fatalities]]/Tabla1[[#This Row],[Aboard]],0)</f>
        <v>0.5663716814159292</v>
      </c>
      <c r="X3650" s="51" t="str" cm="1">
        <f t="array" ref="X3650">_xlfn.IFS(Tabla1[[#This Row],[Porcentaje de muertes]]&lt;0.35,"LEVE",AND(Tabla1[[#This Row],[Porcentaje de muertes]]&gt;0.35,Tabla1[[#This Row],[Porcentaje de muertes]]&lt;0.65),"MEDIO",Tabla1[[#This Row],[Porcentaje de muertes]]&gt;0.65,"GRAVE")</f>
        <v>MEDIO</v>
      </c>
    </row>
    <row r="3651" spans="2:24" x14ac:dyDescent="0.3">
      <c r="B3651" s="9">
        <v>3650</v>
      </c>
      <c r="C3651" s="49">
        <v>32942</v>
      </c>
      <c r="D3651" s="9">
        <f>YEAR(Tabla1[[#This Row],[Date]])</f>
        <v>1990</v>
      </c>
      <c r="E3651" s="9" t="str" cm="1">
        <f t="array" ref="E3651">IFERROR(_xlfn.IFS(AND(D3651&lt;1980,D3651&gt;=1970),"70",AND(D3651&lt;1990,D3651&gt;=1980),"80",AND(D3651&lt;2000,D3651&gt;=1990),"90",AND(D3651&lt;2010,D3651&gt;=2000),"00",AND(D3651&lt;=2019,D3651&gt;=2010),"10"),"1908-1970")</f>
        <v>90</v>
      </c>
      <c r="F3651" s="3">
        <v>0.83888888888888891</v>
      </c>
      <c r="G3651" t="s">
        <v>21426</v>
      </c>
      <c r="H3651" t="s">
        <v>6941</v>
      </c>
      <c r="I3651">
        <v>791</v>
      </c>
      <c r="J3651" t="s">
        <v>28931</v>
      </c>
      <c r="K3651" t="s">
        <v>16014</v>
      </c>
      <c r="L3651" s="7" t="s">
        <v>21427</v>
      </c>
      <c r="M3651" t="s">
        <v>21428</v>
      </c>
      <c r="N3651">
        <v>97</v>
      </c>
      <c r="O3651">
        <v>91</v>
      </c>
      <c r="P3651">
        <v>6</v>
      </c>
      <c r="Q3651">
        <v>1</v>
      </c>
      <c r="R3651">
        <v>1</v>
      </c>
      <c r="S3651">
        <v>0</v>
      </c>
      <c r="T3651">
        <v>0</v>
      </c>
      <c r="U3651" t="s">
        <v>21429</v>
      </c>
      <c r="V3651">
        <f>Tabla1[[#This Row],[Aboard]]-Tabla1[[#This Row],[Fatalities]]</f>
        <v>96</v>
      </c>
      <c r="W3651" s="50">
        <f>IFERROR(Tabla1[[#This Row],[Fatalities]]/Tabla1[[#This Row],[Aboard]],0)</f>
        <v>1.0309278350515464E-2</v>
      </c>
      <c r="X3651" s="51" t="str" cm="1">
        <f t="array" ref="X3651">_xlfn.IFS(Tabla1[[#This Row],[Porcentaje de muertes]]&lt;0.35,"LEVE",AND(Tabla1[[#This Row],[Porcentaje de muertes]]&gt;0.35,Tabla1[[#This Row],[Porcentaje de muertes]]&lt;0.65),"MEDIO",Tabla1[[#This Row],[Porcentaje de muertes]]&gt;0.65,"GRAVE")</f>
        <v>LEVE</v>
      </c>
    </row>
    <row r="3652" spans="2:24" x14ac:dyDescent="0.3">
      <c r="B3652" s="9">
        <v>3651</v>
      </c>
      <c r="C3652" s="49">
        <v>33165</v>
      </c>
      <c r="D3652" s="9">
        <f>YEAR(Tabla1[[#This Row],[Date]])</f>
        <v>1990</v>
      </c>
      <c r="E3652" s="9" t="str" cm="1">
        <f t="array" ref="E3652">IFERROR(_xlfn.IFS(AND(D3652&lt;1980,D3652&gt;=1970),"70",AND(D3652&lt;1990,D3652&gt;=1980),"80",AND(D3652&lt;2000,D3652&gt;=1990),"90",AND(D3652&lt;2010,D3652&gt;=2000),"00",AND(D3652&lt;=2019,D3652&gt;=2010),"10"),"1908-1970")</f>
        <v>90</v>
      </c>
      <c r="F3652" s="3">
        <v>0.64236111111111105</v>
      </c>
      <c r="G3652" t="s">
        <v>21430</v>
      </c>
      <c r="H3652" t="s">
        <v>21431</v>
      </c>
      <c r="I3652" t="s">
        <v>28931</v>
      </c>
      <c r="J3652" t="s">
        <v>21432</v>
      </c>
      <c r="K3652" t="s">
        <v>21433</v>
      </c>
      <c r="L3652" s="7" t="s">
        <v>21434</v>
      </c>
      <c r="M3652" t="s">
        <v>21435</v>
      </c>
      <c r="N3652">
        <v>4</v>
      </c>
      <c r="O3652">
        <v>2</v>
      </c>
      <c r="P3652">
        <v>2</v>
      </c>
      <c r="Q3652">
        <v>4</v>
      </c>
      <c r="R3652">
        <v>2</v>
      </c>
      <c r="S3652">
        <v>2</v>
      </c>
      <c r="T3652">
        <v>0</v>
      </c>
      <c r="U3652" t="s">
        <v>21436</v>
      </c>
      <c r="V3652">
        <f>Tabla1[[#This Row],[Aboard]]-Tabla1[[#This Row],[Fatalities]]</f>
        <v>0</v>
      </c>
      <c r="W3652" s="50">
        <f>IFERROR(Tabla1[[#This Row],[Fatalities]]/Tabla1[[#This Row],[Aboard]],0)</f>
        <v>1</v>
      </c>
      <c r="X3652" s="51" t="str" cm="1">
        <f t="array" ref="X3652">_xlfn.IFS(Tabla1[[#This Row],[Porcentaje de muertes]]&lt;0.35,"LEVE",AND(Tabla1[[#This Row],[Porcentaje de muertes]]&gt;0.35,Tabla1[[#This Row],[Porcentaje de muertes]]&lt;0.65),"MEDIO",Tabla1[[#This Row],[Porcentaje de muertes]]&gt;0.65,"GRAVE")</f>
        <v>GRAVE</v>
      </c>
    </row>
    <row r="3653" spans="2:24" x14ac:dyDescent="0.3">
      <c r="B3653" s="9">
        <v>3652</v>
      </c>
      <c r="C3653" s="49">
        <v>33170</v>
      </c>
      <c r="D3653" s="9">
        <f>YEAR(Tabla1[[#This Row],[Date]])</f>
        <v>1990</v>
      </c>
      <c r="E3653" s="9" t="str" cm="1">
        <f t="array" ref="E3653">IFERROR(_xlfn.IFS(AND(D3653&lt;1980,D3653&gt;=1970),"70",AND(D3653&lt;1990,D3653&gt;=1980),"80",AND(D3653&lt;2000,D3653&gt;=1990),"90",AND(D3653&lt;2010,D3653&gt;=2000),"00",AND(D3653&lt;=2019,D3653&gt;=2010),"10"),"1908-1970")</f>
        <v>90</v>
      </c>
      <c r="F3653" s="3">
        <v>8.1944444444444445E-2</v>
      </c>
      <c r="G3653" t="s">
        <v>5754</v>
      </c>
      <c r="H3653" t="s">
        <v>6524</v>
      </c>
      <c r="I3653">
        <v>2886</v>
      </c>
      <c r="J3653" t="s">
        <v>21437</v>
      </c>
      <c r="K3653" t="s">
        <v>15961</v>
      </c>
      <c r="L3653" s="7" t="s">
        <v>21438</v>
      </c>
      <c r="M3653">
        <v>9631449</v>
      </c>
      <c r="N3653">
        <v>31</v>
      </c>
      <c r="O3653">
        <v>24</v>
      </c>
      <c r="P3653">
        <v>7</v>
      </c>
      <c r="Q3653">
        <v>11</v>
      </c>
      <c r="R3653">
        <v>9</v>
      </c>
      <c r="S3653">
        <v>2</v>
      </c>
      <c r="T3653">
        <v>0</v>
      </c>
      <c r="U3653" t="s">
        <v>21439</v>
      </c>
      <c r="V3653">
        <f>Tabla1[[#This Row],[Aboard]]-Tabla1[[#This Row],[Fatalities]]</f>
        <v>20</v>
      </c>
      <c r="W3653" s="50">
        <f>IFERROR(Tabla1[[#This Row],[Fatalities]]/Tabla1[[#This Row],[Aboard]],0)</f>
        <v>0.35483870967741937</v>
      </c>
      <c r="X3653" s="51" t="str" cm="1">
        <f t="array" ref="X3653">_xlfn.IFS(Tabla1[[#This Row],[Porcentaje de muertes]]&lt;0.35,"LEVE",AND(Tabla1[[#This Row],[Porcentaje de muertes]]&gt;0.35,Tabla1[[#This Row],[Porcentaje de muertes]]&lt;0.65),"MEDIO",Tabla1[[#This Row],[Porcentaje de muertes]]&gt;0.65,"GRAVE")</f>
        <v>MEDIO</v>
      </c>
    </row>
    <row r="3654" spans="2:24" x14ac:dyDescent="0.3">
      <c r="B3654" s="9">
        <v>3653</v>
      </c>
      <c r="C3654" s="49">
        <v>33191</v>
      </c>
      <c r="D3654" s="9">
        <f>YEAR(Tabla1[[#This Row],[Date]])</f>
        <v>1990</v>
      </c>
      <c r="E3654" s="9" t="str" cm="1">
        <f t="array" ref="E3654">IFERROR(_xlfn.IFS(AND(D3654&lt;1980,D3654&gt;=1970),"70",AND(D3654&lt;1990,D3654&gt;=1980),"80",AND(D3654&lt;2000,D3654&gt;=1990),"90",AND(D3654&lt;2010,D3654&gt;=2000),"00",AND(D3654&lt;=2019,D3654&gt;=2010),"10"),"1908-1970")</f>
        <v>90</v>
      </c>
      <c r="F3654" s="3">
        <v>0.7993055555555556</v>
      </c>
      <c r="G3654" t="s">
        <v>21440</v>
      </c>
      <c r="H3654" t="s">
        <v>10299</v>
      </c>
      <c r="I3654">
        <v>404</v>
      </c>
      <c r="J3654" t="s">
        <v>21441</v>
      </c>
      <c r="K3654" t="s">
        <v>15468</v>
      </c>
      <c r="L3654" s="7" t="s">
        <v>21442</v>
      </c>
      <c r="M3654" t="s">
        <v>21443</v>
      </c>
      <c r="N3654">
        <v>46</v>
      </c>
      <c r="O3654">
        <v>40</v>
      </c>
      <c r="P3654">
        <v>6</v>
      </c>
      <c r="Q3654">
        <v>46</v>
      </c>
      <c r="R3654">
        <v>40</v>
      </c>
      <c r="S3654">
        <v>6</v>
      </c>
      <c r="T3654">
        <v>0</v>
      </c>
      <c r="U3654" t="s">
        <v>21444</v>
      </c>
      <c r="V3654">
        <f>Tabla1[[#This Row],[Aboard]]-Tabla1[[#This Row],[Fatalities]]</f>
        <v>0</v>
      </c>
      <c r="W3654" s="50">
        <f>IFERROR(Tabla1[[#This Row],[Fatalities]]/Tabla1[[#This Row],[Aboard]],0)</f>
        <v>1</v>
      </c>
      <c r="X3654" s="51" t="str" cm="1">
        <f t="array" ref="X3654">_xlfn.IFS(Tabla1[[#This Row],[Porcentaje de muertes]]&lt;0.35,"LEVE",AND(Tabla1[[#This Row],[Porcentaje de muertes]]&gt;0.35,Tabla1[[#This Row],[Porcentaje de muertes]]&lt;0.65),"MEDIO",Tabla1[[#This Row],[Porcentaje de muertes]]&gt;0.65,"GRAVE")</f>
        <v>GRAVE</v>
      </c>
    </row>
    <row r="3655" spans="2:24" x14ac:dyDescent="0.3">
      <c r="B3655" s="9">
        <v>3654</v>
      </c>
      <c r="C3655" s="49">
        <v>33195</v>
      </c>
      <c r="D3655" s="9">
        <f>YEAR(Tabla1[[#This Row],[Date]])</f>
        <v>1990</v>
      </c>
      <c r="E3655" s="9" t="str" cm="1">
        <f t="array" ref="E3655">IFERROR(_xlfn.IFS(AND(D3655&lt;1980,D3655&gt;=1970),"70",AND(D3655&lt;1990,D3655&gt;=1980),"80",AND(D3655&lt;2000,D3655&gt;=1990),"90",AND(D3655&lt;2010,D3655&gt;=2000),"00",AND(D3655&lt;=2019,D3655&gt;=2010),"10"),"1908-1970")</f>
        <v>90</v>
      </c>
      <c r="F3655" s="3" t="s">
        <v>28931</v>
      </c>
      <c r="G3655" t="s">
        <v>9064</v>
      </c>
      <c r="H3655" t="s">
        <v>15622</v>
      </c>
      <c r="I3655" t="s">
        <v>28931</v>
      </c>
      <c r="J3655" t="s">
        <v>21445</v>
      </c>
      <c r="K3655" t="s">
        <v>20276</v>
      </c>
      <c r="L3655" s="7" t="s">
        <v>21446</v>
      </c>
      <c r="M3655">
        <v>303</v>
      </c>
      <c r="N3655">
        <v>16</v>
      </c>
      <c r="O3655">
        <v>12</v>
      </c>
      <c r="P3655">
        <v>4</v>
      </c>
      <c r="Q3655">
        <v>16</v>
      </c>
      <c r="R3655">
        <v>12</v>
      </c>
      <c r="S3655">
        <v>4</v>
      </c>
      <c r="T3655">
        <v>0</v>
      </c>
      <c r="U3655" t="s">
        <v>21447</v>
      </c>
      <c r="V3655">
        <f>Tabla1[[#This Row],[Aboard]]-Tabla1[[#This Row],[Fatalities]]</f>
        <v>0</v>
      </c>
      <c r="W3655" s="50">
        <f>IFERROR(Tabla1[[#This Row],[Fatalities]]/Tabla1[[#This Row],[Aboard]],0)</f>
        <v>1</v>
      </c>
      <c r="X3655" s="51" t="str" cm="1">
        <f t="array" ref="X3655">_xlfn.IFS(Tabla1[[#This Row],[Porcentaje de muertes]]&lt;0.35,"LEVE",AND(Tabla1[[#This Row],[Porcentaje de muertes]]&gt;0.35,Tabla1[[#This Row],[Porcentaje de muertes]]&lt;0.65),"MEDIO",Tabla1[[#This Row],[Porcentaje de muertes]]&gt;0.65,"GRAVE")</f>
        <v>GRAVE</v>
      </c>
    </row>
    <row r="3656" spans="2:24" x14ac:dyDescent="0.3">
      <c r="B3656" s="9">
        <v>3655</v>
      </c>
      <c r="C3656" s="49">
        <v>33196</v>
      </c>
      <c r="D3656" s="9">
        <f>YEAR(Tabla1[[#This Row],[Date]])</f>
        <v>1990</v>
      </c>
      <c r="E3656" s="9" t="str" cm="1">
        <f t="array" ref="E3656">IFERROR(_xlfn.IFS(AND(D3656&lt;1980,D3656&gt;=1970),"70",AND(D3656&lt;1990,D3656&gt;=1980),"80",AND(D3656&lt;2000,D3656&gt;=1990),"90",AND(D3656&lt;2010,D3656&gt;=2000),"00",AND(D3656&lt;=2019,D3656&gt;=2010),"10"),"1908-1970")</f>
        <v>90</v>
      </c>
      <c r="F3656" s="3">
        <v>0.58333333333333337</v>
      </c>
      <c r="G3656" t="s">
        <v>21448</v>
      </c>
      <c r="H3656" t="s">
        <v>6541</v>
      </c>
      <c r="I3656" t="s">
        <v>28931</v>
      </c>
      <c r="J3656" t="s">
        <v>28931</v>
      </c>
      <c r="K3656" t="s">
        <v>21449</v>
      </c>
      <c r="L3656" s="7" t="s">
        <v>21450</v>
      </c>
      <c r="M3656">
        <v>7270</v>
      </c>
      <c r="N3656">
        <v>15</v>
      </c>
      <c r="O3656">
        <v>13</v>
      </c>
      <c r="P3656">
        <v>2</v>
      </c>
      <c r="Q3656">
        <v>15</v>
      </c>
      <c r="R3656">
        <v>13</v>
      </c>
      <c r="S3656">
        <v>2</v>
      </c>
      <c r="T3656">
        <v>0</v>
      </c>
      <c r="U3656" t="s">
        <v>21451</v>
      </c>
      <c r="V3656">
        <f>Tabla1[[#This Row],[Aboard]]-Tabla1[[#This Row],[Fatalities]]</f>
        <v>0</v>
      </c>
      <c r="W3656" s="50">
        <f>IFERROR(Tabla1[[#This Row],[Fatalities]]/Tabla1[[#This Row],[Aboard]],0)</f>
        <v>1</v>
      </c>
      <c r="X3656" s="51" t="str" cm="1">
        <f t="array" ref="X3656">_xlfn.IFS(Tabla1[[#This Row],[Porcentaje de muertes]]&lt;0.35,"LEVE",AND(Tabla1[[#This Row],[Porcentaje de muertes]]&gt;0.35,Tabla1[[#This Row],[Porcentaje de muertes]]&lt;0.65),"MEDIO",Tabla1[[#This Row],[Porcentaje de muertes]]&gt;0.65,"GRAVE")</f>
        <v>GRAVE</v>
      </c>
    </row>
    <row r="3657" spans="2:24" x14ac:dyDescent="0.3">
      <c r="B3657" s="9">
        <v>3656</v>
      </c>
      <c r="C3657" s="49">
        <v>33198</v>
      </c>
      <c r="D3657" s="9">
        <f>YEAR(Tabla1[[#This Row],[Date]])</f>
        <v>1990</v>
      </c>
      <c r="E3657" s="9" t="str" cm="1">
        <f t="array" ref="E3657">IFERROR(_xlfn.IFS(AND(D3657&lt;1980,D3657&gt;=1970),"70",AND(D3657&lt;1990,D3657&gt;=1980),"80",AND(D3657&lt;2000,D3657&gt;=1990),"90",AND(D3657&lt;2010,D3657&gt;=2000),"00",AND(D3657&lt;=2019,D3657&gt;=2010),"10"),"1908-1970")</f>
        <v>90</v>
      </c>
      <c r="F3657" s="3">
        <v>0.46875</v>
      </c>
      <c r="G3657" t="s">
        <v>21452</v>
      </c>
      <c r="H3657" t="s">
        <v>21453</v>
      </c>
      <c r="I3657">
        <v>125</v>
      </c>
      <c r="J3657" t="s">
        <v>21454</v>
      </c>
      <c r="K3657" t="s">
        <v>21455</v>
      </c>
      <c r="L3657" s="7" t="s">
        <v>21456</v>
      </c>
      <c r="M3657" t="s">
        <v>21457</v>
      </c>
      <c r="N3657">
        <v>38</v>
      </c>
      <c r="O3657">
        <v>33</v>
      </c>
      <c r="P3657">
        <v>5</v>
      </c>
      <c r="Q3657">
        <v>38</v>
      </c>
      <c r="R3657">
        <v>33</v>
      </c>
      <c r="S3657">
        <v>5</v>
      </c>
      <c r="T3657">
        <v>0</v>
      </c>
      <c r="U3657" t="s">
        <v>21458</v>
      </c>
      <c r="V3657">
        <f>Tabla1[[#This Row],[Aboard]]-Tabla1[[#This Row],[Fatalities]]</f>
        <v>0</v>
      </c>
      <c r="W3657" s="50">
        <f>IFERROR(Tabla1[[#This Row],[Fatalities]]/Tabla1[[#This Row],[Aboard]],0)</f>
        <v>1</v>
      </c>
      <c r="X3657" s="51" t="str" cm="1">
        <f t="array" ref="X3657">_xlfn.IFS(Tabla1[[#This Row],[Porcentaje de muertes]]&lt;0.35,"LEVE",AND(Tabla1[[#This Row],[Porcentaje de muertes]]&gt;0.35,Tabla1[[#This Row],[Porcentaje de muertes]]&lt;0.65),"MEDIO",Tabla1[[#This Row],[Porcentaje de muertes]]&gt;0.65,"GRAVE")</f>
        <v>GRAVE</v>
      </c>
    </row>
    <row r="3658" spans="2:24" x14ac:dyDescent="0.3">
      <c r="B3658" s="9">
        <v>3657</v>
      </c>
      <c r="C3658" s="49">
        <v>33202</v>
      </c>
      <c r="D3658" s="9">
        <f>YEAR(Tabla1[[#This Row],[Date]])</f>
        <v>1990</v>
      </c>
      <c r="E3658" s="9" t="str" cm="1">
        <f t="array" ref="E3658">IFERROR(_xlfn.IFS(AND(D3658&lt;1980,D3658&gt;=1970),"70",AND(D3658&lt;1990,D3658&gt;=1980),"80",AND(D3658&lt;2000,D3658&gt;=1990),"90",AND(D3658&lt;2010,D3658&gt;=2000),"00",AND(D3658&lt;=2019,D3658&gt;=2010),"10"),"1908-1970")</f>
        <v>90</v>
      </c>
      <c r="F3658" s="3" t="s">
        <v>28931</v>
      </c>
      <c r="G3658" t="s">
        <v>21459</v>
      </c>
      <c r="H3658" t="s">
        <v>21460</v>
      </c>
      <c r="I3658" t="s">
        <v>28931</v>
      </c>
      <c r="J3658" t="s">
        <v>28931</v>
      </c>
      <c r="K3658" t="s">
        <v>21461</v>
      </c>
      <c r="L3658" s="7" t="s">
        <v>21462</v>
      </c>
      <c r="M3658">
        <v>1133</v>
      </c>
      <c r="N3658">
        <v>13</v>
      </c>
      <c r="O3658">
        <v>12</v>
      </c>
      <c r="P3658">
        <v>1</v>
      </c>
      <c r="Q3658">
        <v>13</v>
      </c>
      <c r="R3658">
        <v>12</v>
      </c>
      <c r="S3658">
        <v>1</v>
      </c>
      <c r="T3658">
        <v>0</v>
      </c>
      <c r="U3658" t="s">
        <v>21463</v>
      </c>
      <c r="V3658">
        <f>Tabla1[[#This Row],[Aboard]]-Tabla1[[#This Row],[Fatalities]]</f>
        <v>0</v>
      </c>
      <c r="W3658" s="50">
        <f>IFERROR(Tabla1[[#This Row],[Fatalities]]/Tabla1[[#This Row],[Aboard]],0)</f>
        <v>1</v>
      </c>
      <c r="X3658" s="51" t="str" cm="1">
        <f t="array" ref="X3658">_xlfn.IFS(Tabla1[[#This Row],[Porcentaje de muertes]]&lt;0.35,"LEVE",AND(Tabla1[[#This Row],[Porcentaje de muertes]]&gt;0.35,Tabla1[[#This Row],[Porcentaje de muertes]]&lt;0.65),"MEDIO",Tabla1[[#This Row],[Porcentaje de muertes]]&gt;0.65,"GRAVE")</f>
        <v>GRAVE</v>
      </c>
    </row>
    <row r="3659" spans="2:24" x14ac:dyDescent="0.3">
      <c r="B3659" s="9">
        <v>3658</v>
      </c>
      <c r="C3659" s="49">
        <v>32944</v>
      </c>
      <c r="D3659" s="9">
        <f>YEAR(Tabla1[[#This Row],[Date]])</f>
        <v>1990</v>
      </c>
      <c r="E3659" s="9" t="str" cm="1">
        <f t="array" ref="E3659">IFERROR(_xlfn.IFS(AND(D3659&lt;1980,D3659&gt;=1970),"70",AND(D3659&lt;1990,D3659&gt;=1980),"80",AND(D3659&lt;2000,D3659&gt;=1990),"90",AND(D3659&lt;2010,D3659&gt;=2000),"00",AND(D3659&lt;=2019,D3659&gt;=2010),"10"),"1908-1970")</f>
        <v>90</v>
      </c>
      <c r="F3659" s="3">
        <v>0.57291666666666663</v>
      </c>
      <c r="G3659" t="s">
        <v>20379</v>
      </c>
      <c r="H3659" t="s">
        <v>21464</v>
      </c>
      <c r="I3659" t="s">
        <v>21465</v>
      </c>
      <c r="J3659" t="s">
        <v>21466</v>
      </c>
      <c r="K3659" t="s">
        <v>21467</v>
      </c>
      <c r="L3659" s="7" t="s">
        <v>21468</v>
      </c>
      <c r="M3659" t="s">
        <v>21469</v>
      </c>
      <c r="N3659">
        <v>198</v>
      </c>
      <c r="O3659">
        <v>186</v>
      </c>
      <c r="P3659">
        <v>12</v>
      </c>
      <c r="Q3659">
        <v>8</v>
      </c>
      <c r="R3659">
        <v>7</v>
      </c>
      <c r="S3659">
        <v>1</v>
      </c>
      <c r="T3659">
        <v>0</v>
      </c>
      <c r="U3659" t="s">
        <v>21470</v>
      </c>
      <c r="V3659">
        <f>Tabla1[[#This Row],[Aboard]]-Tabla1[[#This Row],[Fatalities]]</f>
        <v>190</v>
      </c>
      <c r="W3659" s="50">
        <f>IFERROR(Tabla1[[#This Row],[Fatalities]]/Tabla1[[#This Row],[Aboard]],0)</f>
        <v>4.0404040404040407E-2</v>
      </c>
      <c r="X3659" s="51" t="str" cm="1">
        <f t="array" ref="X3659">_xlfn.IFS(Tabla1[[#This Row],[Porcentaje de muertes]]&lt;0.35,"LEVE",AND(Tabla1[[#This Row],[Porcentaje de muertes]]&gt;0.35,Tabla1[[#This Row],[Porcentaje de muertes]]&lt;0.65),"MEDIO",Tabla1[[#This Row],[Porcentaje de muertes]]&gt;0.65,"GRAVE")</f>
        <v>LEVE</v>
      </c>
    </row>
    <row r="3660" spans="2:24" x14ac:dyDescent="0.3">
      <c r="B3660" s="9">
        <v>3659</v>
      </c>
      <c r="C3660" s="49">
        <v>32975</v>
      </c>
      <c r="D3660" s="9">
        <f>YEAR(Tabla1[[#This Row],[Date]])</f>
        <v>1990</v>
      </c>
      <c r="E3660" s="9" t="str" cm="1">
        <f t="array" ref="E3660">IFERROR(_xlfn.IFS(AND(D3660&lt;1980,D3660&gt;=1970),"70",AND(D3660&lt;1990,D3660&gt;=1980),"80",AND(D3660&lt;2000,D3660&gt;=1990),"90",AND(D3660&lt;2010,D3660&gt;=2000),"00",AND(D3660&lt;=2019,D3660&gt;=2010),"10"),"1908-1970")</f>
        <v>90</v>
      </c>
      <c r="F3660" s="3" t="s">
        <v>28931</v>
      </c>
      <c r="G3660" t="s">
        <v>8234</v>
      </c>
      <c r="H3660" t="s">
        <v>21471</v>
      </c>
      <c r="I3660" t="s">
        <v>28931</v>
      </c>
      <c r="J3660" t="s">
        <v>21472</v>
      </c>
      <c r="K3660" t="s">
        <v>21473</v>
      </c>
      <c r="L3660" s="7" t="s">
        <v>21474</v>
      </c>
      <c r="M3660" t="s">
        <v>21475</v>
      </c>
      <c r="N3660">
        <v>10</v>
      </c>
      <c r="O3660">
        <v>7</v>
      </c>
      <c r="P3660">
        <v>3</v>
      </c>
      <c r="Q3660">
        <v>10</v>
      </c>
      <c r="R3660">
        <v>7</v>
      </c>
      <c r="S3660">
        <v>3</v>
      </c>
      <c r="T3660">
        <v>0</v>
      </c>
      <c r="U3660" t="s">
        <v>21476</v>
      </c>
      <c r="V3660">
        <f>Tabla1[[#This Row],[Aboard]]-Tabla1[[#This Row],[Fatalities]]</f>
        <v>0</v>
      </c>
      <c r="W3660" s="50">
        <f>IFERROR(Tabla1[[#This Row],[Fatalities]]/Tabla1[[#This Row],[Aboard]],0)</f>
        <v>1</v>
      </c>
      <c r="X3660" s="51" t="str" cm="1">
        <f t="array" ref="X3660">_xlfn.IFS(Tabla1[[#This Row],[Porcentaje de muertes]]&lt;0.35,"LEVE",AND(Tabla1[[#This Row],[Porcentaje de muertes]]&gt;0.35,Tabla1[[#This Row],[Porcentaje de muertes]]&lt;0.65),"MEDIO",Tabla1[[#This Row],[Porcentaje de muertes]]&gt;0.65,"GRAVE")</f>
        <v>GRAVE</v>
      </c>
    </row>
    <row r="3661" spans="2:24" x14ac:dyDescent="0.3">
      <c r="B3661" s="9">
        <v>3660</v>
      </c>
      <c r="C3661" s="49">
        <v>33036</v>
      </c>
      <c r="D3661" s="9">
        <f>YEAR(Tabla1[[#This Row],[Date]])</f>
        <v>1990</v>
      </c>
      <c r="E3661" s="9" t="str" cm="1">
        <f t="array" ref="E3661">IFERROR(_xlfn.IFS(AND(D3661&lt;1980,D3661&gt;=1970),"70",AND(D3661&lt;1990,D3661&gt;=1980),"80",AND(D3661&lt;2000,D3661&gt;=1990),"90",AND(D3661&lt;2010,D3661&gt;=2000),"00",AND(D3661&lt;=2019,D3661&gt;=2010),"10"),"1908-1970")</f>
        <v>90</v>
      </c>
      <c r="F3661" s="3" t="s">
        <v>28931</v>
      </c>
      <c r="G3661" t="s">
        <v>21477</v>
      </c>
      <c r="H3661" t="s">
        <v>14932</v>
      </c>
      <c r="I3661" t="s">
        <v>28931</v>
      </c>
      <c r="J3661" t="s">
        <v>28931</v>
      </c>
      <c r="K3661" t="s">
        <v>21478</v>
      </c>
      <c r="L3661" s="7" t="s">
        <v>21479</v>
      </c>
      <c r="M3661" t="s">
        <v>21480</v>
      </c>
      <c r="N3661">
        <v>12</v>
      </c>
      <c r="O3661" t="s">
        <v>5038</v>
      </c>
      <c r="P3661" t="s">
        <v>5038</v>
      </c>
      <c r="Q3661">
        <v>10</v>
      </c>
      <c r="R3661" t="s">
        <v>5038</v>
      </c>
      <c r="S3661" t="s">
        <v>5038</v>
      </c>
      <c r="T3661">
        <v>0</v>
      </c>
      <c r="U3661" t="s">
        <v>19163</v>
      </c>
      <c r="V3661">
        <f>Tabla1[[#This Row],[Aboard]]-Tabla1[[#This Row],[Fatalities]]</f>
        <v>2</v>
      </c>
      <c r="W3661" s="50">
        <f>IFERROR(Tabla1[[#This Row],[Fatalities]]/Tabla1[[#This Row],[Aboard]],0)</f>
        <v>0.83333333333333337</v>
      </c>
      <c r="X3661" s="51" t="str" cm="1">
        <f t="array" ref="X3661">_xlfn.IFS(Tabla1[[#This Row],[Porcentaje de muertes]]&lt;0.35,"LEVE",AND(Tabla1[[#This Row],[Porcentaje de muertes]]&gt;0.35,Tabla1[[#This Row],[Porcentaje de muertes]]&lt;0.65),"MEDIO",Tabla1[[#This Row],[Porcentaje de muertes]]&gt;0.65,"GRAVE")</f>
        <v>GRAVE</v>
      </c>
    </row>
    <row r="3662" spans="2:24" x14ac:dyDescent="0.3">
      <c r="B3662" s="9">
        <v>3661</v>
      </c>
      <c r="C3662" s="49">
        <v>33512</v>
      </c>
      <c r="D3662" s="9">
        <f>YEAR(Tabla1[[#This Row],[Date]])</f>
        <v>1991</v>
      </c>
      <c r="E3662" s="9" t="str" cm="1">
        <f t="array" ref="E3662">IFERROR(_xlfn.IFS(AND(D3662&lt;1980,D3662&gt;=1970),"70",AND(D3662&lt;1990,D3662&gt;=1980),"80",AND(D3662&lt;2000,D3662&gt;=1990),"90",AND(D3662&lt;2010,D3662&gt;=2000),"00",AND(D3662&lt;=2019,D3662&gt;=2010),"10"),"1908-1970")</f>
        <v>90</v>
      </c>
      <c r="F3662" s="3">
        <v>0.75</v>
      </c>
      <c r="G3662" t="s">
        <v>21481</v>
      </c>
      <c r="H3662" t="s">
        <v>21193</v>
      </c>
      <c r="I3662" t="s">
        <v>28931</v>
      </c>
      <c r="J3662" t="s">
        <v>21482</v>
      </c>
      <c r="K3662" t="s">
        <v>20276</v>
      </c>
      <c r="L3662" s="7" t="s">
        <v>21483</v>
      </c>
      <c r="M3662">
        <v>264</v>
      </c>
      <c r="N3662">
        <v>22</v>
      </c>
      <c r="O3662">
        <v>19</v>
      </c>
      <c r="P3662">
        <v>3</v>
      </c>
      <c r="Q3662">
        <v>21</v>
      </c>
      <c r="R3662">
        <v>18</v>
      </c>
      <c r="S3662">
        <v>3</v>
      </c>
      <c r="T3662">
        <v>0</v>
      </c>
      <c r="U3662" t="s">
        <v>21484</v>
      </c>
      <c r="V3662">
        <f>Tabla1[[#This Row],[Aboard]]-Tabla1[[#This Row],[Fatalities]]</f>
        <v>1</v>
      </c>
      <c r="W3662" s="50">
        <f>IFERROR(Tabla1[[#This Row],[Fatalities]]/Tabla1[[#This Row],[Aboard]],0)</f>
        <v>0.95454545454545459</v>
      </c>
      <c r="X3662" s="51" t="str" cm="1">
        <f t="array" ref="X3662">_xlfn.IFS(Tabla1[[#This Row],[Porcentaje de muertes]]&lt;0.35,"LEVE",AND(Tabla1[[#This Row],[Porcentaje de muertes]]&gt;0.35,Tabla1[[#This Row],[Porcentaje de muertes]]&lt;0.65),"MEDIO",Tabla1[[#This Row],[Porcentaje de muertes]]&gt;0.65,"GRAVE")</f>
        <v>GRAVE</v>
      </c>
    </row>
    <row r="3663" spans="2:24" x14ac:dyDescent="0.3">
      <c r="B3663" s="9">
        <v>3662</v>
      </c>
      <c r="C3663" s="49">
        <v>33268</v>
      </c>
      <c r="D3663" s="9">
        <f>YEAR(Tabla1[[#This Row],[Date]])</f>
        <v>1991</v>
      </c>
      <c r="E3663" s="9" t="str" cm="1">
        <f t="array" ref="E3663">IFERROR(_xlfn.IFS(AND(D3663&lt;1980,D3663&gt;=1970),"70",AND(D3663&lt;1990,D3663&gt;=1980),"80",AND(D3663&lt;2000,D3663&gt;=1990),"90",AND(D3663&lt;2010,D3663&gt;=2000),"00",AND(D3663&lt;=2019,D3663&gt;=2010),"10"),"1908-1970")</f>
        <v>90</v>
      </c>
      <c r="F3663" s="3">
        <v>0.54166666666666663</v>
      </c>
      <c r="G3663" t="s">
        <v>21485</v>
      </c>
      <c r="H3663" t="s">
        <v>16296</v>
      </c>
      <c r="I3663" t="s">
        <v>28931</v>
      </c>
      <c r="J3663" t="s">
        <v>21486</v>
      </c>
      <c r="K3663" t="s">
        <v>20276</v>
      </c>
      <c r="L3663" s="7" t="s">
        <v>21487</v>
      </c>
      <c r="M3663" t="s">
        <v>21488</v>
      </c>
      <c r="N3663">
        <v>21</v>
      </c>
      <c r="O3663">
        <v>18</v>
      </c>
      <c r="P3663">
        <v>3</v>
      </c>
      <c r="Q3663">
        <v>1</v>
      </c>
      <c r="R3663">
        <v>1</v>
      </c>
      <c r="S3663">
        <v>0</v>
      </c>
      <c r="T3663">
        <v>0</v>
      </c>
      <c r="U3663" t="s">
        <v>21489</v>
      </c>
      <c r="V3663">
        <f>Tabla1[[#This Row],[Aboard]]-Tabla1[[#This Row],[Fatalities]]</f>
        <v>20</v>
      </c>
      <c r="W3663" s="50">
        <f>IFERROR(Tabla1[[#This Row],[Fatalities]]/Tabla1[[#This Row],[Aboard]],0)</f>
        <v>4.7619047619047616E-2</v>
      </c>
      <c r="X3663" s="51" t="str" cm="1">
        <f t="array" ref="X3663">_xlfn.IFS(Tabla1[[#This Row],[Porcentaje de muertes]]&lt;0.35,"LEVE",AND(Tabla1[[#This Row],[Porcentaje de muertes]]&gt;0.35,Tabla1[[#This Row],[Porcentaje de muertes]]&lt;0.65),"MEDIO",Tabla1[[#This Row],[Porcentaje de muertes]]&gt;0.65,"GRAVE")</f>
        <v>LEVE</v>
      </c>
    </row>
    <row r="3664" spans="2:24" x14ac:dyDescent="0.3">
      <c r="B3664" s="9">
        <v>3663</v>
      </c>
      <c r="C3664" s="49">
        <v>33269</v>
      </c>
      <c r="D3664" s="9">
        <f>YEAR(Tabla1[[#This Row],[Date]])</f>
        <v>1991</v>
      </c>
      <c r="E3664" s="9" t="str" cm="1">
        <f t="array" ref="E3664">IFERROR(_xlfn.IFS(AND(D3664&lt;1980,D3664&gt;=1970),"70",AND(D3664&lt;1990,D3664&gt;=1980),"80",AND(D3664&lt;2000,D3664&gt;=1990),"90",AND(D3664&lt;2010,D3664&gt;=2000),"00",AND(D3664&lt;=2019,D3664&gt;=2010),"10"),"1908-1970")</f>
        <v>90</v>
      </c>
      <c r="F3664" s="3" t="s">
        <v>28931</v>
      </c>
      <c r="G3664" t="s">
        <v>21490</v>
      </c>
      <c r="H3664" t="s">
        <v>21491</v>
      </c>
      <c r="I3664" t="s">
        <v>28931</v>
      </c>
      <c r="J3664" t="s">
        <v>28931</v>
      </c>
      <c r="K3664" t="s">
        <v>7987</v>
      </c>
      <c r="L3664" s="7" t="s">
        <v>21492</v>
      </c>
      <c r="M3664">
        <v>4341</v>
      </c>
      <c r="N3664">
        <v>14</v>
      </c>
      <c r="O3664">
        <v>0</v>
      </c>
      <c r="P3664">
        <v>14</v>
      </c>
      <c r="Q3664">
        <v>14</v>
      </c>
      <c r="R3664">
        <v>0</v>
      </c>
      <c r="S3664">
        <v>14</v>
      </c>
      <c r="T3664">
        <v>0</v>
      </c>
      <c r="U3664" t="s">
        <v>21493</v>
      </c>
      <c r="V3664">
        <f>Tabla1[[#This Row],[Aboard]]-Tabla1[[#This Row],[Fatalities]]</f>
        <v>0</v>
      </c>
      <c r="W3664" s="50">
        <f>IFERROR(Tabla1[[#This Row],[Fatalities]]/Tabla1[[#This Row],[Aboard]],0)</f>
        <v>1</v>
      </c>
      <c r="X3664" s="51" t="str" cm="1">
        <f t="array" ref="X3664">_xlfn.IFS(Tabla1[[#This Row],[Porcentaje de muertes]]&lt;0.35,"LEVE",AND(Tabla1[[#This Row],[Porcentaje de muertes]]&gt;0.35,Tabla1[[#This Row],[Porcentaje de muertes]]&lt;0.65),"MEDIO",Tabla1[[#This Row],[Porcentaje de muertes]]&gt;0.65,"GRAVE")</f>
        <v>GRAVE</v>
      </c>
    </row>
    <row r="3665" spans="2:24" x14ac:dyDescent="0.3">
      <c r="B3665" s="9">
        <v>3664</v>
      </c>
      <c r="C3665" s="49">
        <v>33240</v>
      </c>
      <c r="D3665" s="9">
        <f>YEAR(Tabla1[[#This Row],[Date]])</f>
        <v>1991</v>
      </c>
      <c r="E3665" s="9" t="str" cm="1">
        <f t="array" ref="E3665">IFERROR(_xlfn.IFS(AND(D3665&lt;1980,D3665&gt;=1970),"70",AND(D3665&lt;1990,D3665&gt;=1980),"80",AND(D3665&lt;2000,D3665&gt;=1990),"90",AND(D3665&lt;2010,D3665&gt;=2000),"00",AND(D3665&lt;=2019,D3665&gt;=2010),"10"),"1908-1970")</f>
        <v>90</v>
      </c>
      <c r="F3665" s="3">
        <v>0.75486111111111109</v>
      </c>
      <c r="G3665" t="s">
        <v>18107</v>
      </c>
      <c r="H3665" t="s">
        <v>21494</v>
      </c>
      <c r="I3665" t="s">
        <v>21495</v>
      </c>
      <c r="J3665" t="s">
        <v>21496</v>
      </c>
      <c r="K3665" t="s">
        <v>21497</v>
      </c>
      <c r="L3665" s="7" t="s">
        <v>21498</v>
      </c>
      <c r="M3665" t="s">
        <v>21499</v>
      </c>
      <c r="N3665">
        <v>101</v>
      </c>
      <c r="O3665">
        <v>93</v>
      </c>
      <c r="P3665">
        <v>8</v>
      </c>
      <c r="Q3665">
        <v>34</v>
      </c>
      <c r="R3665">
        <v>30</v>
      </c>
      <c r="S3665">
        <v>4</v>
      </c>
      <c r="T3665">
        <v>0</v>
      </c>
      <c r="U3665" t="s">
        <v>21500</v>
      </c>
      <c r="V3665">
        <f>Tabla1[[#This Row],[Aboard]]-Tabla1[[#This Row],[Fatalities]]</f>
        <v>67</v>
      </c>
      <c r="W3665" s="50">
        <f>IFERROR(Tabla1[[#This Row],[Fatalities]]/Tabla1[[#This Row],[Aboard]],0)</f>
        <v>0.33663366336633666</v>
      </c>
      <c r="X3665" s="51" t="str" cm="1">
        <f t="array" ref="X3665">_xlfn.IFS(Tabla1[[#This Row],[Porcentaje de muertes]]&lt;0.35,"LEVE",AND(Tabla1[[#This Row],[Porcentaje de muertes]]&gt;0.35,Tabla1[[#This Row],[Porcentaje de muertes]]&lt;0.65),"MEDIO",Tabla1[[#This Row],[Porcentaje de muertes]]&gt;0.65,"GRAVE")</f>
        <v>LEVE</v>
      </c>
    </row>
    <row r="3666" spans="2:24" x14ac:dyDescent="0.3">
      <c r="B3666" s="9">
        <v>3665</v>
      </c>
      <c r="C3666" s="49">
        <v>33360</v>
      </c>
      <c r="D3666" s="9">
        <f>YEAR(Tabla1[[#This Row],[Date]])</f>
        <v>1991</v>
      </c>
      <c r="E3666" s="9" t="str" cm="1">
        <f t="array" ref="E3666">IFERROR(_xlfn.IFS(AND(D3666&lt;1980,D3666&gt;=1970),"70",AND(D3666&lt;1990,D3666&gt;=1980),"80",AND(D3666&lt;2000,D3666&gt;=1990),"90",AND(D3666&lt;2010,D3666&gt;=2000),"00",AND(D3666&lt;=2019,D3666&gt;=2010),"10"),"1908-1970")</f>
        <v>90</v>
      </c>
      <c r="F3666" s="3">
        <v>0.53541666666666665</v>
      </c>
      <c r="G3666" t="s">
        <v>21501</v>
      </c>
      <c r="H3666" t="s">
        <v>21502</v>
      </c>
      <c r="I3666" t="s">
        <v>28931</v>
      </c>
      <c r="J3666" t="s">
        <v>21503</v>
      </c>
      <c r="K3666" t="s">
        <v>17162</v>
      </c>
      <c r="L3666" s="7">
        <v>748</v>
      </c>
      <c r="M3666">
        <v>4724</v>
      </c>
      <c r="N3666">
        <v>63</v>
      </c>
      <c r="O3666">
        <v>59</v>
      </c>
      <c r="P3666">
        <v>4</v>
      </c>
      <c r="Q3666">
        <v>63</v>
      </c>
      <c r="R3666">
        <v>59</v>
      </c>
      <c r="S3666">
        <v>4</v>
      </c>
      <c r="T3666">
        <v>0</v>
      </c>
      <c r="U3666" t="s">
        <v>21504</v>
      </c>
      <c r="V3666">
        <f>Tabla1[[#This Row],[Aboard]]-Tabla1[[#This Row],[Fatalities]]</f>
        <v>0</v>
      </c>
      <c r="W3666" s="50">
        <f>IFERROR(Tabla1[[#This Row],[Fatalities]]/Tabla1[[#This Row],[Aboard]],0)</f>
        <v>1</v>
      </c>
      <c r="X3666" s="51" t="str" cm="1">
        <f t="array" ref="X3666">_xlfn.IFS(Tabla1[[#This Row],[Porcentaje de muertes]]&lt;0.35,"LEVE",AND(Tabla1[[#This Row],[Porcentaje de muertes]]&gt;0.35,Tabla1[[#This Row],[Porcentaje de muertes]]&lt;0.65),"MEDIO",Tabla1[[#This Row],[Porcentaje de muertes]]&gt;0.65,"GRAVE")</f>
        <v>GRAVE</v>
      </c>
    </row>
    <row r="3667" spans="2:24" x14ac:dyDescent="0.3">
      <c r="B3667" s="9">
        <v>3666</v>
      </c>
      <c r="C3667" s="49">
        <v>33283</v>
      </c>
      <c r="D3667" s="9">
        <f>YEAR(Tabla1[[#This Row],[Date]])</f>
        <v>1991</v>
      </c>
      <c r="E3667" s="9" t="str" cm="1">
        <f t="array" ref="E3667">IFERROR(_xlfn.IFS(AND(D3667&lt;1980,D3667&gt;=1970),"70",AND(D3667&lt;1990,D3667&gt;=1980),"80",AND(D3667&lt;2000,D3667&gt;=1990),"90",AND(D3667&lt;2010,D3667&gt;=2000),"00",AND(D3667&lt;=2019,D3667&gt;=2010),"10"),"1908-1970")</f>
        <v>90</v>
      </c>
      <c r="F3667" s="3" t="s">
        <v>28931</v>
      </c>
      <c r="G3667" t="s">
        <v>21505</v>
      </c>
      <c r="H3667" t="s">
        <v>21506</v>
      </c>
      <c r="I3667" t="s">
        <v>28931</v>
      </c>
      <c r="J3667" t="s">
        <v>21507</v>
      </c>
      <c r="K3667" t="s">
        <v>16680</v>
      </c>
      <c r="L3667" s="7" t="s">
        <v>21508</v>
      </c>
      <c r="M3667">
        <v>832</v>
      </c>
      <c r="N3667">
        <v>22</v>
      </c>
      <c r="O3667">
        <v>19</v>
      </c>
      <c r="P3667">
        <v>3</v>
      </c>
      <c r="Q3667">
        <v>22</v>
      </c>
      <c r="R3667">
        <v>19</v>
      </c>
      <c r="S3667">
        <v>3</v>
      </c>
      <c r="T3667">
        <v>0</v>
      </c>
      <c r="U3667" t="s">
        <v>21509</v>
      </c>
      <c r="V3667">
        <f>Tabla1[[#This Row],[Aboard]]-Tabla1[[#This Row],[Fatalities]]</f>
        <v>0</v>
      </c>
      <c r="W3667" s="50">
        <f>IFERROR(Tabla1[[#This Row],[Fatalities]]/Tabla1[[#This Row],[Aboard]],0)</f>
        <v>1</v>
      </c>
      <c r="X3667" s="51" t="str" cm="1">
        <f t="array" ref="X3667">_xlfn.IFS(Tabla1[[#This Row],[Porcentaje de muertes]]&lt;0.35,"LEVE",AND(Tabla1[[#This Row],[Porcentaje de muertes]]&gt;0.35,Tabla1[[#This Row],[Porcentaje de muertes]]&lt;0.65),"MEDIO",Tabla1[[#This Row],[Porcentaje de muertes]]&gt;0.65,"GRAVE")</f>
        <v>GRAVE</v>
      </c>
    </row>
    <row r="3668" spans="2:24" x14ac:dyDescent="0.3">
      <c r="B3668" s="9">
        <v>3667</v>
      </c>
      <c r="C3668" s="49">
        <v>33286</v>
      </c>
      <c r="D3668" s="9">
        <f>YEAR(Tabla1[[#This Row],[Date]])</f>
        <v>1991</v>
      </c>
      <c r="E3668" s="9" t="str" cm="1">
        <f t="array" ref="E3668">IFERROR(_xlfn.IFS(AND(D3668&lt;1980,D3668&gt;=1970),"70",AND(D3668&lt;1990,D3668&gt;=1980),"80",AND(D3668&lt;2000,D3668&gt;=1990),"90",AND(D3668&lt;2010,D3668&gt;=2000),"00",AND(D3668&lt;=2019,D3668&gt;=2010),"10"),"1908-1970")</f>
        <v>90</v>
      </c>
      <c r="F3668" s="3">
        <v>1.3888888888888888E-2</v>
      </c>
      <c r="G3668" t="s">
        <v>5099</v>
      </c>
      <c r="H3668" t="s">
        <v>21510</v>
      </c>
      <c r="I3668">
        <v>590</v>
      </c>
      <c r="J3668" t="s">
        <v>21511</v>
      </c>
      <c r="K3668" t="s">
        <v>21512</v>
      </c>
      <c r="L3668" s="7" t="s">
        <v>21513</v>
      </c>
      <c r="M3668" t="s">
        <v>21514</v>
      </c>
      <c r="N3668">
        <v>2</v>
      </c>
      <c r="O3668">
        <v>0</v>
      </c>
      <c r="P3668">
        <v>2</v>
      </c>
      <c r="Q3668">
        <v>2</v>
      </c>
      <c r="R3668">
        <v>0</v>
      </c>
      <c r="S3668">
        <v>2</v>
      </c>
      <c r="T3668">
        <v>0</v>
      </c>
      <c r="U3668" t="s">
        <v>21515</v>
      </c>
      <c r="V3668">
        <f>Tabla1[[#This Row],[Aboard]]-Tabla1[[#This Row],[Fatalities]]</f>
        <v>0</v>
      </c>
      <c r="W3668" s="50">
        <f>IFERROR(Tabla1[[#This Row],[Fatalities]]/Tabla1[[#This Row],[Aboard]],0)</f>
        <v>1</v>
      </c>
      <c r="X3668" s="51" t="str" cm="1">
        <f t="array" ref="X3668">_xlfn.IFS(Tabla1[[#This Row],[Porcentaje de muertes]]&lt;0.35,"LEVE",AND(Tabla1[[#This Row],[Porcentaje de muertes]]&gt;0.35,Tabla1[[#This Row],[Porcentaje de muertes]]&lt;0.65),"MEDIO",Tabla1[[#This Row],[Porcentaje de muertes]]&gt;0.65,"GRAVE")</f>
        <v>GRAVE</v>
      </c>
    </row>
    <row r="3669" spans="2:24" x14ac:dyDescent="0.3">
      <c r="B3669" s="9">
        <v>3668</v>
      </c>
      <c r="C3669" s="49">
        <v>33289</v>
      </c>
      <c r="D3669" s="9">
        <f>YEAR(Tabla1[[#This Row],[Date]])</f>
        <v>1991</v>
      </c>
      <c r="E3669" s="9" t="str" cm="1">
        <f t="array" ref="E3669">IFERROR(_xlfn.IFS(AND(D3669&lt;1980,D3669&gt;=1970),"70",AND(D3669&lt;1990,D3669&gt;=1980),"80",AND(D3669&lt;2000,D3669&gt;=1990),"90",AND(D3669&lt;2010,D3669&gt;=2000),"00",AND(D3669&lt;=2019,D3669&gt;=2010),"10"),"1908-1970")</f>
        <v>90</v>
      </c>
      <c r="F3669" s="3">
        <v>0.64166666666666672</v>
      </c>
      <c r="G3669" t="s">
        <v>21516</v>
      </c>
      <c r="H3669" t="s">
        <v>11280</v>
      </c>
      <c r="I3669" t="s">
        <v>28931</v>
      </c>
      <c r="J3669" t="s">
        <v>21517</v>
      </c>
      <c r="K3669" t="s">
        <v>21518</v>
      </c>
      <c r="L3669" s="7" t="s">
        <v>21519</v>
      </c>
      <c r="M3669" t="s">
        <v>21520</v>
      </c>
      <c r="N3669">
        <v>72</v>
      </c>
      <c r="O3669">
        <v>65</v>
      </c>
      <c r="P3669">
        <v>7</v>
      </c>
      <c r="Q3669">
        <v>20</v>
      </c>
      <c r="R3669">
        <v>20</v>
      </c>
      <c r="S3669">
        <v>0</v>
      </c>
      <c r="T3669">
        <v>0</v>
      </c>
      <c r="U3669" t="s">
        <v>21521</v>
      </c>
      <c r="V3669">
        <f>Tabla1[[#This Row],[Aboard]]-Tabla1[[#This Row],[Fatalities]]</f>
        <v>52</v>
      </c>
      <c r="W3669" s="50">
        <f>IFERROR(Tabla1[[#This Row],[Fatalities]]/Tabla1[[#This Row],[Aboard]],0)</f>
        <v>0.27777777777777779</v>
      </c>
      <c r="X3669" s="51" t="str" cm="1">
        <f t="array" ref="X3669">_xlfn.IFS(Tabla1[[#This Row],[Porcentaje de muertes]]&lt;0.35,"LEVE",AND(Tabla1[[#This Row],[Porcentaje de muertes]]&gt;0.35,Tabla1[[#This Row],[Porcentaje de muertes]]&lt;0.65),"MEDIO",Tabla1[[#This Row],[Porcentaje de muertes]]&gt;0.65,"GRAVE")</f>
        <v>LEVE</v>
      </c>
    </row>
    <row r="3670" spans="2:24" x14ac:dyDescent="0.3">
      <c r="B3670" s="9">
        <v>3669</v>
      </c>
      <c r="C3670" s="49">
        <v>33291</v>
      </c>
      <c r="D3670" s="9">
        <f>YEAR(Tabla1[[#This Row],[Date]])</f>
        <v>1991</v>
      </c>
      <c r="E3670" s="9" t="str" cm="1">
        <f t="array" ref="E3670">IFERROR(_xlfn.IFS(AND(D3670&lt;1980,D3670&gt;=1970),"70",AND(D3670&lt;1990,D3670&gt;=1980),"80",AND(D3670&lt;2000,D3670&gt;=1990),"90",AND(D3670&lt;2010,D3670&gt;=2000),"00",AND(D3670&lt;=2019,D3670&gt;=2010),"10"),"1908-1970")</f>
        <v>90</v>
      </c>
      <c r="F3670" s="3" t="s">
        <v>28931</v>
      </c>
      <c r="G3670" t="s">
        <v>21522</v>
      </c>
      <c r="H3670" t="s">
        <v>21523</v>
      </c>
      <c r="I3670" t="s">
        <v>28931</v>
      </c>
      <c r="J3670" t="s">
        <v>21524</v>
      </c>
      <c r="K3670" t="s">
        <v>17904</v>
      </c>
      <c r="L3670" s="7" t="s">
        <v>28931</v>
      </c>
      <c r="M3670" t="s">
        <v>28931</v>
      </c>
      <c r="N3670">
        <v>47</v>
      </c>
      <c r="O3670">
        <v>43</v>
      </c>
      <c r="P3670">
        <v>4</v>
      </c>
      <c r="Q3670">
        <v>47</v>
      </c>
      <c r="R3670">
        <v>43</v>
      </c>
      <c r="S3670">
        <v>4</v>
      </c>
      <c r="T3670">
        <v>0</v>
      </c>
      <c r="U3670" t="s">
        <v>21525</v>
      </c>
      <c r="V3670">
        <f>Tabla1[[#This Row],[Aboard]]-Tabla1[[#This Row],[Fatalities]]</f>
        <v>0</v>
      </c>
      <c r="W3670" s="50">
        <f>IFERROR(Tabla1[[#This Row],[Fatalities]]/Tabla1[[#This Row],[Aboard]],0)</f>
        <v>1</v>
      </c>
      <c r="X3670" s="51" t="str" cm="1">
        <f t="array" ref="X3670">_xlfn.IFS(Tabla1[[#This Row],[Porcentaje de muertes]]&lt;0.35,"LEVE",AND(Tabla1[[#This Row],[Porcentaje de muertes]]&gt;0.35,Tabla1[[#This Row],[Porcentaje de muertes]]&lt;0.65),"MEDIO",Tabla1[[#This Row],[Porcentaje de muertes]]&gt;0.65,"GRAVE")</f>
        <v>GRAVE</v>
      </c>
    </row>
    <row r="3671" spans="2:24" x14ac:dyDescent="0.3">
      <c r="B3671" s="9">
        <v>3670</v>
      </c>
      <c r="C3671" s="49">
        <v>33300</v>
      </c>
      <c r="D3671" s="9">
        <f>YEAR(Tabla1[[#This Row],[Date]])</f>
        <v>1991</v>
      </c>
      <c r="E3671" s="9" t="str" cm="1">
        <f t="array" ref="E3671">IFERROR(_xlfn.IFS(AND(D3671&lt;1980,D3671&gt;=1970),"70",AND(D3671&lt;1990,D3671&gt;=1980),"80",AND(D3671&lt;2000,D3671&gt;=1990),"90",AND(D3671&lt;2010,D3671&gt;=2000),"00",AND(D3671&lt;=2019,D3671&gt;=2010),"10"),"1908-1970")</f>
        <v>90</v>
      </c>
      <c r="F3671" s="3">
        <v>0.4055555555555555</v>
      </c>
      <c r="G3671" t="s">
        <v>21526</v>
      </c>
      <c r="H3671" t="s">
        <v>6369</v>
      </c>
      <c r="I3671">
        <v>585</v>
      </c>
      <c r="J3671" t="s">
        <v>21527</v>
      </c>
      <c r="K3671" t="s">
        <v>21528</v>
      </c>
      <c r="L3671" s="7" t="s">
        <v>21529</v>
      </c>
      <c r="M3671" t="s">
        <v>21530</v>
      </c>
      <c r="N3671">
        <v>25</v>
      </c>
      <c r="O3671">
        <v>20</v>
      </c>
      <c r="P3671">
        <v>5</v>
      </c>
      <c r="Q3671">
        <v>25</v>
      </c>
      <c r="R3671">
        <v>20</v>
      </c>
      <c r="S3671">
        <v>5</v>
      </c>
      <c r="T3671">
        <v>0</v>
      </c>
      <c r="U3671" t="s">
        <v>21531</v>
      </c>
      <c r="V3671">
        <f>Tabla1[[#This Row],[Aboard]]-Tabla1[[#This Row],[Fatalities]]</f>
        <v>0</v>
      </c>
      <c r="W3671" s="50">
        <f>IFERROR(Tabla1[[#This Row],[Fatalities]]/Tabla1[[#This Row],[Aboard]],0)</f>
        <v>1</v>
      </c>
      <c r="X3671" s="51" t="str" cm="1">
        <f t="array" ref="X3671">_xlfn.IFS(Tabla1[[#This Row],[Porcentaje de muertes]]&lt;0.35,"LEVE",AND(Tabla1[[#This Row],[Porcentaje de muertes]]&gt;0.35,Tabla1[[#This Row],[Porcentaje de muertes]]&lt;0.65),"MEDIO",Tabla1[[#This Row],[Porcentaje de muertes]]&gt;0.65,"GRAVE")</f>
        <v>GRAVE</v>
      </c>
    </row>
    <row r="3672" spans="2:24" x14ac:dyDescent="0.3">
      <c r="B3672" s="9">
        <v>3671</v>
      </c>
      <c r="C3672" s="49">
        <v>33361</v>
      </c>
      <c r="D3672" s="9">
        <f>YEAR(Tabla1[[#This Row],[Date]])</f>
        <v>1991</v>
      </c>
      <c r="E3672" s="9" t="str" cm="1">
        <f t="array" ref="E3672">IFERROR(_xlfn.IFS(AND(D3672&lt;1980,D3672&gt;=1970),"70",AND(D3672&lt;1990,D3672&gt;=1980),"80",AND(D3672&lt;2000,D3672&gt;=1990),"90",AND(D3672&lt;2010,D3672&gt;=2000),"00",AND(D3672&lt;=2019,D3672&gt;=2010),"10"),"1908-1970")</f>
        <v>90</v>
      </c>
      <c r="F3672" s="3">
        <v>0.67708333333333337</v>
      </c>
      <c r="G3672" t="s">
        <v>21532</v>
      </c>
      <c r="H3672" t="s">
        <v>9074</v>
      </c>
      <c r="I3672">
        <v>108</v>
      </c>
      <c r="J3672" t="s">
        <v>21533</v>
      </c>
      <c r="K3672" t="s">
        <v>15468</v>
      </c>
      <c r="L3672" s="7" t="s">
        <v>21534</v>
      </c>
      <c r="M3672" t="s">
        <v>21535</v>
      </c>
      <c r="N3672">
        <v>45</v>
      </c>
      <c r="O3672">
        <v>40</v>
      </c>
      <c r="P3672">
        <v>5</v>
      </c>
      <c r="Q3672">
        <v>45</v>
      </c>
      <c r="R3672">
        <v>40</v>
      </c>
      <c r="S3672">
        <v>5</v>
      </c>
      <c r="T3672">
        <v>0</v>
      </c>
      <c r="U3672" t="s">
        <v>21536</v>
      </c>
      <c r="V3672">
        <f>Tabla1[[#This Row],[Aboard]]-Tabla1[[#This Row],[Fatalities]]</f>
        <v>0</v>
      </c>
      <c r="W3672" s="50">
        <f>IFERROR(Tabla1[[#This Row],[Fatalities]]/Tabla1[[#This Row],[Aboard]],0)</f>
        <v>1</v>
      </c>
      <c r="X3672" s="51" t="str" cm="1">
        <f t="array" ref="X3672">_xlfn.IFS(Tabla1[[#This Row],[Porcentaje de muertes]]&lt;0.35,"LEVE",AND(Tabla1[[#This Row],[Porcentaje de muertes]]&gt;0.35,Tabla1[[#This Row],[Porcentaje de muertes]]&lt;0.65),"MEDIO",Tabla1[[#This Row],[Porcentaje de muertes]]&gt;0.65,"GRAVE")</f>
        <v>GRAVE</v>
      </c>
    </row>
    <row r="3673" spans="2:24" x14ac:dyDescent="0.3">
      <c r="B3673" s="9">
        <v>3672</v>
      </c>
      <c r="C3673" s="49">
        <v>33313</v>
      </c>
      <c r="D3673" s="9">
        <f>YEAR(Tabla1[[#This Row],[Date]])</f>
        <v>1991</v>
      </c>
      <c r="E3673" s="9" t="str" cm="1">
        <f t="array" ref="E3673">IFERROR(_xlfn.IFS(AND(D3673&lt;1980,D3673&gt;=1970),"70",AND(D3673&lt;1990,D3673&gt;=1980),"80",AND(D3673&lt;2000,D3673&gt;=1990),"90",AND(D3673&lt;2010,D3673&gt;=2000),"00",AND(D3673&lt;=2019,D3673&gt;=2010),"10"),"1908-1970")</f>
        <v>90</v>
      </c>
      <c r="F3673" s="3">
        <v>7.1527777777777787E-2</v>
      </c>
      <c r="G3673" t="s">
        <v>21537</v>
      </c>
      <c r="H3673" t="s">
        <v>21538</v>
      </c>
      <c r="I3673" t="s">
        <v>28931</v>
      </c>
      <c r="J3673" t="s">
        <v>21539</v>
      </c>
      <c r="K3673" t="s">
        <v>21540</v>
      </c>
      <c r="L3673" s="7" t="s">
        <v>21541</v>
      </c>
      <c r="M3673">
        <v>25095</v>
      </c>
      <c r="N3673">
        <v>10</v>
      </c>
      <c r="O3673">
        <v>8</v>
      </c>
      <c r="P3673">
        <v>2</v>
      </c>
      <c r="Q3673">
        <v>10</v>
      </c>
      <c r="R3673">
        <v>8</v>
      </c>
      <c r="S3673">
        <v>2</v>
      </c>
      <c r="T3673">
        <v>0</v>
      </c>
      <c r="U3673" t="s">
        <v>21542</v>
      </c>
      <c r="V3673">
        <f>Tabla1[[#This Row],[Aboard]]-Tabla1[[#This Row],[Fatalities]]</f>
        <v>0</v>
      </c>
      <c r="W3673" s="50">
        <f>IFERROR(Tabla1[[#This Row],[Fatalities]]/Tabla1[[#This Row],[Aboard]],0)</f>
        <v>1</v>
      </c>
      <c r="X3673" s="51" t="str" cm="1">
        <f t="array" ref="X3673">_xlfn.IFS(Tabla1[[#This Row],[Porcentaje de muertes]]&lt;0.35,"LEVE",AND(Tabla1[[#This Row],[Porcentaje de muertes]]&gt;0.35,Tabla1[[#This Row],[Porcentaje de muertes]]&lt;0.65),"MEDIO",Tabla1[[#This Row],[Porcentaje de muertes]]&gt;0.65,"GRAVE")</f>
        <v>GRAVE</v>
      </c>
    </row>
    <row r="3674" spans="2:24" x14ac:dyDescent="0.3">
      <c r="B3674" s="9">
        <v>3673</v>
      </c>
      <c r="C3674" s="49">
        <v>33313</v>
      </c>
      <c r="D3674" s="9">
        <f>YEAR(Tabla1[[#This Row],[Date]])</f>
        <v>1991</v>
      </c>
      <c r="E3674" s="9" t="str" cm="1">
        <f t="array" ref="E3674">IFERROR(_xlfn.IFS(AND(D3674&lt;1980,D3674&gt;=1970),"70",AND(D3674&lt;1990,D3674&gt;=1980),"80",AND(D3674&lt;2000,D3674&gt;=1990),"90",AND(D3674&lt;2010,D3674&gt;=2000),"00",AND(D3674&lt;=2019,D3674&gt;=2010),"10"),"1908-1970")</f>
        <v>90</v>
      </c>
      <c r="F3674" s="3" t="s">
        <v>28931</v>
      </c>
      <c r="G3674" t="s">
        <v>21543</v>
      </c>
      <c r="H3674" t="s">
        <v>21544</v>
      </c>
      <c r="I3674" t="s">
        <v>28931</v>
      </c>
      <c r="J3674" t="s">
        <v>21545</v>
      </c>
      <c r="K3674" t="s">
        <v>17107</v>
      </c>
      <c r="L3674" s="7" t="s">
        <v>21546</v>
      </c>
      <c r="M3674">
        <v>4833</v>
      </c>
      <c r="N3674">
        <v>9</v>
      </c>
      <c r="O3674">
        <v>6</v>
      </c>
      <c r="P3674">
        <v>3</v>
      </c>
      <c r="Q3674">
        <v>9</v>
      </c>
      <c r="R3674">
        <v>6</v>
      </c>
      <c r="S3674">
        <v>3</v>
      </c>
      <c r="T3674">
        <v>0</v>
      </c>
      <c r="U3674" t="s">
        <v>21547</v>
      </c>
      <c r="V3674">
        <f>Tabla1[[#This Row],[Aboard]]-Tabla1[[#This Row],[Fatalities]]</f>
        <v>0</v>
      </c>
      <c r="W3674" s="50">
        <f>IFERROR(Tabla1[[#This Row],[Fatalities]]/Tabla1[[#This Row],[Aboard]],0)</f>
        <v>1</v>
      </c>
      <c r="X3674" s="51" t="str" cm="1">
        <f t="array" ref="X3674">_xlfn.IFS(Tabla1[[#This Row],[Porcentaje de muertes]]&lt;0.35,"LEVE",AND(Tabla1[[#This Row],[Porcentaje de muertes]]&gt;0.35,Tabla1[[#This Row],[Porcentaje de muertes]]&lt;0.65),"MEDIO",Tabla1[[#This Row],[Porcentaje de muertes]]&gt;0.65,"GRAVE")</f>
        <v>GRAVE</v>
      </c>
    </row>
    <row r="3675" spans="2:24" x14ac:dyDescent="0.3">
      <c r="B3675" s="9">
        <v>3674</v>
      </c>
      <c r="C3675" s="49">
        <v>33318</v>
      </c>
      <c r="D3675" s="9">
        <f>YEAR(Tabla1[[#This Row],[Date]])</f>
        <v>1991</v>
      </c>
      <c r="E3675" s="9" t="str" cm="1">
        <f t="array" ref="E3675">IFERROR(_xlfn.IFS(AND(D3675&lt;1980,D3675&gt;=1970),"70",AND(D3675&lt;1990,D3675&gt;=1980),"80",AND(D3675&lt;2000,D3675&gt;=1990),"90",AND(D3675&lt;2010,D3675&gt;=2000),"00",AND(D3675&lt;=2019,D3675&gt;=2010),"10"),"1908-1970")</f>
        <v>90</v>
      </c>
      <c r="F3675" s="3" t="s">
        <v>28931</v>
      </c>
      <c r="G3675" t="s">
        <v>21548</v>
      </c>
      <c r="H3675" t="s">
        <v>18757</v>
      </c>
      <c r="I3675" t="s">
        <v>28931</v>
      </c>
      <c r="J3675" t="s">
        <v>21549</v>
      </c>
      <c r="K3675" t="s">
        <v>17162</v>
      </c>
      <c r="L3675" s="7">
        <v>469</v>
      </c>
      <c r="M3675">
        <v>4754</v>
      </c>
      <c r="N3675">
        <v>98</v>
      </c>
      <c r="O3675">
        <v>92</v>
      </c>
      <c r="P3675">
        <v>6</v>
      </c>
      <c r="Q3675">
        <v>98</v>
      </c>
      <c r="R3675">
        <v>92</v>
      </c>
      <c r="S3675">
        <v>6</v>
      </c>
      <c r="T3675">
        <v>0</v>
      </c>
      <c r="U3675" t="s">
        <v>21550</v>
      </c>
      <c r="V3675">
        <f>Tabla1[[#This Row],[Aboard]]-Tabla1[[#This Row],[Fatalities]]</f>
        <v>0</v>
      </c>
      <c r="W3675" s="50">
        <f>IFERROR(Tabla1[[#This Row],[Fatalities]]/Tabla1[[#This Row],[Aboard]],0)</f>
        <v>1</v>
      </c>
      <c r="X3675" s="51" t="str" cm="1">
        <f t="array" ref="X3675">_xlfn.IFS(Tabla1[[#This Row],[Porcentaje de muertes]]&lt;0.35,"LEVE",AND(Tabla1[[#This Row],[Porcentaje de muertes]]&gt;0.35,Tabla1[[#This Row],[Porcentaje de muertes]]&lt;0.65),"MEDIO",Tabla1[[#This Row],[Porcentaje de muertes]]&gt;0.65,"GRAVE")</f>
        <v>GRAVE</v>
      </c>
    </row>
    <row r="3676" spans="2:24" x14ac:dyDescent="0.3">
      <c r="B3676" s="9">
        <v>3675</v>
      </c>
      <c r="C3676" s="49">
        <v>33318</v>
      </c>
      <c r="D3676" s="9">
        <f>YEAR(Tabla1[[#This Row],[Date]])</f>
        <v>1991</v>
      </c>
      <c r="E3676" s="9" t="str" cm="1">
        <f t="array" ref="E3676">IFERROR(_xlfn.IFS(AND(D3676&lt;1980,D3676&gt;=1970),"70",AND(D3676&lt;1990,D3676&gt;=1980),"80",AND(D3676&lt;2000,D3676&gt;=1990),"90",AND(D3676&lt;2010,D3676&gt;=2000),"00",AND(D3676&lt;=2019,D3676&gt;=2010),"10"),"1908-1970")</f>
        <v>90</v>
      </c>
      <c r="F3676" s="3">
        <v>9.375E-2</v>
      </c>
      <c r="G3676" t="s">
        <v>21551</v>
      </c>
      <c r="H3676" t="s">
        <v>21552</v>
      </c>
      <c r="I3676" t="s">
        <v>28931</v>
      </c>
      <c r="J3676" t="s">
        <v>28931</v>
      </c>
      <c r="K3676" t="s">
        <v>21553</v>
      </c>
      <c r="L3676" s="7" t="s">
        <v>21554</v>
      </c>
      <c r="M3676" t="s">
        <v>21555</v>
      </c>
      <c r="N3676">
        <v>27</v>
      </c>
      <c r="O3676" t="s">
        <v>5038</v>
      </c>
      <c r="P3676" t="s">
        <v>5038</v>
      </c>
      <c r="Q3676">
        <v>27</v>
      </c>
      <c r="R3676" t="s">
        <v>5038</v>
      </c>
      <c r="S3676" t="s">
        <v>5038</v>
      </c>
      <c r="T3676">
        <v>0</v>
      </c>
      <c r="U3676" t="s">
        <v>21556</v>
      </c>
      <c r="V3676">
        <f>Tabla1[[#This Row],[Aboard]]-Tabla1[[#This Row],[Fatalities]]</f>
        <v>0</v>
      </c>
      <c r="W3676" s="50">
        <f>IFERROR(Tabla1[[#This Row],[Fatalities]]/Tabla1[[#This Row],[Aboard]],0)</f>
        <v>1</v>
      </c>
      <c r="X3676" s="51" t="str" cm="1">
        <f t="array" ref="X3676">_xlfn.IFS(Tabla1[[#This Row],[Porcentaje de muertes]]&lt;0.35,"LEVE",AND(Tabla1[[#This Row],[Porcentaje de muertes]]&gt;0.35,Tabla1[[#This Row],[Porcentaje de muertes]]&lt;0.65),"MEDIO",Tabla1[[#This Row],[Porcentaje de muertes]]&gt;0.65,"GRAVE")</f>
        <v>GRAVE</v>
      </c>
    </row>
    <row r="3677" spans="2:24" x14ac:dyDescent="0.3">
      <c r="B3677" s="9">
        <v>3676</v>
      </c>
      <c r="C3677" s="49">
        <v>33320</v>
      </c>
      <c r="D3677" s="9">
        <f>YEAR(Tabla1[[#This Row],[Date]])</f>
        <v>1991</v>
      </c>
      <c r="E3677" s="9" t="str" cm="1">
        <f t="array" ref="E3677">IFERROR(_xlfn.IFS(AND(D3677&lt;1980,D3677&gt;=1970),"70",AND(D3677&lt;1990,D3677&gt;=1980),"80",AND(D3677&lt;2000,D3677&gt;=1990),"90",AND(D3677&lt;2010,D3677&gt;=2000),"00",AND(D3677&lt;=2019,D3677&gt;=2010),"10"),"1908-1970")</f>
        <v>90</v>
      </c>
      <c r="F3677" s="3">
        <v>0.48402777777777778</v>
      </c>
      <c r="G3677" t="s">
        <v>21557</v>
      </c>
      <c r="H3677" t="s">
        <v>6541</v>
      </c>
      <c r="I3677" t="s">
        <v>28931</v>
      </c>
      <c r="J3677" t="s">
        <v>21558</v>
      </c>
      <c r="K3677" t="s">
        <v>14666</v>
      </c>
      <c r="L3677" s="7" t="s">
        <v>21559</v>
      </c>
      <c r="M3677">
        <v>27307910</v>
      </c>
      <c r="N3677">
        <v>63</v>
      </c>
      <c r="O3677">
        <v>59</v>
      </c>
      <c r="P3677">
        <v>4</v>
      </c>
      <c r="Q3677">
        <v>34</v>
      </c>
      <c r="R3677">
        <v>30</v>
      </c>
      <c r="S3677">
        <v>4</v>
      </c>
      <c r="T3677">
        <v>0</v>
      </c>
      <c r="U3677" t="s">
        <v>21560</v>
      </c>
      <c r="V3677">
        <f>Tabla1[[#This Row],[Aboard]]-Tabla1[[#This Row],[Fatalities]]</f>
        <v>29</v>
      </c>
      <c r="W3677" s="50">
        <f>IFERROR(Tabla1[[#This Row],[Fatalities]]/Tabla1[[#This Row],[Aboard]],0)</f>
        <v>0.53968253968253965</v>
      </c>
      <c r="X3677" s="51" t="str" cm="1">
        <f t="array" ref="X3677">_xlfn.IFS(Tabla1[[#This Row],[Porcentaje de muertes]]&lt;0.35,"LEVE",AND(Tabla1[[#This Row],[Porcentaje de muertes]]&gt;0.35,Tabla1[[#This Row],[Porcentaje de muertes]]&lt;0.65),"MEDIO",Tabla1[[#This Row],[Porcentaje de muertes]]&gt;0.65,"GRAVE")</f>
        <v>MEDIO</v>
      </c>
    </row>
    <row r="3678" spans="2:24" x14ac:dyDescent="0.3">
      <c r="B3678" s="9">
        <v>3677</v>
      </c>
      <c r="C3678" s="49">
        <v>33322</v>
      </c>
      <c r="D3678" s="9">
        <f>YEAR(Tabla1[[#This Row],[Date]])</f>
        <v>1991</v>
      </c>
      <c r="E3678" s="9" t="str" cm="1">
        <f t="array" ref="E3678">IFERROR(_xlfn.IFS(AND(D3678&lt;1980,D3678&gt;=1970),"70",AND(D3678&lt;1990,D3678&gt;=1980),"80",AND(D3678&lt;2000,D3678&gt;=1990),"90",AND(D3678&lt;2010,D3678&gt;=2000),"00",AND(D3678&lt;=2019,D3678&gt;=2010),"10"),"1908-1970")</f>
        <v>90</v>
      </c>
      <c r="F3678" s="3">
        <v>0.34375</v>
      </c>
      <c r="G3678" t="s">
        <v>21246</v>
      </c>
      <c r="H3678" t="s">
        <v>8036</v>
      </c>
      <c r="I3678" t="s">
        <v>28931</v>
      </c>
      <c r="J3678" t="s">
        <v>21561</v>
      </c>
      <c r="K3678" t="s">
        <v>21562</v>
      </c>
      <c r="L3678" s="7" t="s">
        <v>21563</v>
      </c>
      <c r="M3678">
        <v>551</v>
      </c>
      <c r="N3678">
        <v>28</v>
      </c>
      <c r="O3678">
        <v>25</v>
      </c>
      <c r="P3678">
        <v>3</v>
      </c>
      <c r="Q3678">
        <v>28</v>
      </c>
      <c r="R3678">
        <v>25</v>
      </c>
      <c r="S3678">
        <v>3</v>
      </c>
      <c r="T3678">
        <v>0</v>
      </c>
      <c r="U3678" t="s">
        <v>21564</v>
      </c>
      <c r="V3678">
        <f>Tabla1[[#This Row],[Aboard]]-Tabla1[[#This Row],[Fatalities]]</f>
        <v>0</v>
      </c>
      <c r="W3678" s="50">
        <f>IFERROR(Tabla1[[#This Row],[Fatalities]]/Tabla1[[#This Row],[Aboard]],0)</f>
        <v>1</v>
      </c>
      <c r="X3678" s="51" t="str" cm="1">
        <f t="array" ref="X3678">_xlfn.IFS(Tabla1[[#This Row],[Porcentaje de muertes]]&lt;0.35,"LEVE",AND(Tabla1[[#This Row],[Porcentaje de muertes]]&gt;0.35,Tabla1[[#This Row],[Porcentaje de muertes]]&lt;0.65),"MEDIO",Tabla1[[#This Row],[Porcentaje de muertes]]&gt;0.65,"GRAVE")</f>
        <v>GRAVE</v>
      </c>
    </row>
    <row r="3679" spans="2:24" x14ac:dyDescent="0.3">
      <c r="B3679" s="9">
        <v>3678</v>
      </c>
      <c r="C3679" s="49">
        <v>33332</v>
      </c>
      <c r="D3679" s="9">
        <f>YEAR(Tabla1[[#This Row],[Date]])</f>
        <v>1991</v>
      </c>
      <c r="E3679" s="9" t="str" cm="1">
        <f t="array" ref="E3679">IFERROR(_xlfn.IFS(AND(D3679&lt;1980,D3679&gt;=1970),"70",AND(D3679&lt;1990,D3679&gt;=1980),"80",AND(D3679&lt;2000,D3679&gt;=1990),"90",AND(D3679&lt;2010,D3679&gt;=2000),"00",AND(D3679&lt;=2019,D3679&gt;=2010),"10"),"1908-1970")</f>
        <v>90</v>
      </c>
      <c r="F3679" s="3">
        <v>0.50694444444444442</v>
      </c>
      <c r="G3679" t="s">
        <v>21565</v>
      </c>
      <c r="H3679" t="s">
        <v>5032</v>
      </c>
      <c r="I3679" t="s">
        <v>28931</v>
      </c>
      <c r="J3679" t="s">
        <v>21566</v>
      </c>
      <c r="K3679" t="s">
        <v>21567</v>
      </c>
      <c r="L3679" s="7" t="s">
        <v>21568</v>
      </c>
      <c r="M3679" t="s">
        <v>21569</v>
      </c>
      <c r="N3679">
        <v>5</v>
      </c>
      <c r="O3679">
        <v>4</v>
      </c>
      <c r="P3679">
        <v>1</v>
      </c>
      <c r="Q3679">
        <v>5</v>
      </c>
      <c r="R3679">
        <v>4</v>
      </c>
      <c r="S3679">
        <v>1</v>
      </c>
      <c r="T3679">
        <v>2</v>
      </c>
      <c r="U3679" t="s">
        <v>21570</v>
      </c>
      <c r="V3679">
        <f>Tabla1[[#This Row],[Aboard]]-Tabla1[[#This Row],[Fatalities]]</f>
        <v>0</v>
      </c>
      <c r="W3679" s="50">
        <f>IFERROR(Tabla1[[#This Row],[Fatalities]]/Tabla1[[#This Row],[Aboard]],0)</f>
        <v>1</v>
      </c>
      <c r="X3679" s="51" t="str" cm="1">
        <f t="array" ref="X3679">_xlfn.IFS(Tabla1[[#This Row],[Porcentaje de muertes]]&lt;0.35,"LEVE",AND(Tabla1[[#This Row],[Porcentaje de muertes]]&gt;0.35,Tabla1[[#This Row],[Porcentaje de muertes]]&lt;0.65),"MEDIO",Tabla1[[#This Row],[Porcentaje de muertes]]&gt;0.65,"GRAVE")</f>
        <v>GRAVE</v>
      </c>
    </row>
    <row r="3680" spans="2:24" x14ac:dyDescent="0.3">
      <c r="B3680" s="9">
        <v>3679</v>
      </c>
      <c r="C3680" s="49">
        <v>33332</v>
      </c>
      <c r="D3680" s="9">
        <f>YEAR(Tabla1[[#This Row],[Date]])</f>
        <v>1991</v>
      </c>
      <c r="E3680" s="9" t="str" cm="1">
        <f t="array" ref="E3680">IFERROR(_xlfn.IFS(AND(D3680&lt;1980,D3680&gt;=1970),"70",AND(D3680&lt;1990,D3680&gt;=1980),"80",AND(D3680&lt;2000,D3680&gt;=1990),"90",AND(D3680&lt;2010,D3680&gt;=2000),"00",AND(D3680&lt;=2019,D3680&gt;=2010),"10"),"1908-1970")</f>
        <v>90</v>
      </c>
      <c r="F3680" s="3">
        <v>0.56944444444444442</v>
      </c>
      <c r="G3680" t="s">
        <v>21571</v>
      </c>
      <c r="H3680" t="s">
        <v>19440</v>
      </c>
      <c r="I3680" t="s">
        <v>28931</v>
      </c>
      <c r="J3680" t="s">
        <v>21572</v>
      </c>
      <c r="K3680" t="s">
        <v>10903</v>
      </c>
      <c r="L3680" s="7" t="s">
        <v>21573</v>
      </c>
      <c r="M3680">
        <v>26643</v>
      </c>
      <c r="N3680">
        <v>7</v>
      </c>
      <c r="O3680">
        <v>4</v>
      </c>
      <c r="P3680">
        <v>3</v>
      </c>
      <c r="Q3680">
        <v>6</v>
      </c>
      <c r="R3680">
        <v>3</v>
      </c>
      <c r="S3680">
        <v>3</v>
      </c>
      <c r="T3680">
        <v>0</v>
      </c>
      <c r="U3680" t="s">
        <v>21574</v>
      </c>
      <c r="V3680">
        <f>Tabla1[[#This Row],[Aboard]]-Tabla1[[#This Row],[Fatalities]]</f>
        <v>1</v>
      </c>
      <c r="W3680" s="50">
        <f>IFERROR(Tabla1[[#This Row],[Fatalities]]/Tabla1[[#This Row],[Aboard]],0)</f>
        <v>0.8571428571428571</v>
      </c>
      <c r="X3680" s="51" t="str" cm="1">
        <f t="array" ref="X3680">_xlfn.IFS(Tabla1[[#This Row],[Porcentaje de muertes]]&lt;0.35,"LEVE",AND(Tabla1[[#This Row],[Porcentaje de muertes]]&gt;0.35,Tabla1[[#This Row],[Porcentaje de muertes]]&lt;0.65),"MEDIO",Tabla1[[#This Row],[Porcentaje de muertes]]&gt;0.65,"GRAVE")</f>
        <v>GRAVE</v>
      </c>
    </row>
    <row r="3681" spans="2:24" x14ac:dyDescent="0.3">
      <c r="B3681" s="9">
        <v>3680</v>
      </c>
      <c r="C3681" s="49">
        <v>33362</v>
      </c>
      <c r="D3681" s="9">
        <f>YEAR(Tabla1[[#This Row],[Date]])</f>
        <v>1991</v>
      </c>
      <c r="E3681" s="9" t="str" cm="1">
        <f t="array" ref="E3681">IFERROR(_xlfn.IFS(AND(D3681&lt;1980,D3681&gt;=1970),"70",AND(D3681&lt;1990,D3681&gt;=1980),"80",AND(D3681&lt;2000,D3681&gt;=1990),"90",AND(D3681&lt;2010,D3681&gt;=2000),"00",AND(D3681&lt;=2019,D3681&gt;=2010),"10"),"1908-1970")</f>
        <v>90</v>
      </c>
      <c r="F3681" s="3">
        <v>0.61875000000000002</v>
      </c>
      <c r="G3681" t="s">
        <v>21575</v>
      </c>
      <c r="H3681" t="s">
        <v>20167</v>
      </c>
      <c r="I3681">
        <v>2311</v>
      </c>
      <c r="J3681" t="s">
        <v>21576</v>
      </c>
      <c r="K3681" t="s">
        <v>21577</v>
      </c>
      <c r="L3681" s="7" t="s">
        <v>21578</v>
      </c>
      <c r="M3681" t="s">
        <v>21579</v>
      </c>
      <c r="N3681">
        <v>23</v>
      </c>
      <c r="O3681">
        <v>20</v>
      </c>
      <c r="P3681">
        <v>3</v>
      </c>
      <c r="Q3681">
        <v>23</v>
      </c>
      <c r="R3681">
        <v>20</v>
      </c>
      <c r="S3681">
        <v>3</v>
      </c>
      <c r="T3681">
        <v>0</v>
      </c>
      <c r="U3681" t="s">
        <v>21580</v>
      </c>
      <c r="V3681">
        <f>Tabla1[[#This Row],[Aboard]]-Tabla1[[#This Row],[Fatalities]]</f>
        <v>0</v>
      </c>
      <c r="W3681" s="50">
        <f>IFERROR(Tabla1[[#This Row],[Fatalities]]/Tabla1[[#This Row],[Aboard]],0)</f>
        <v>1</v>
      </c>
      <c r="X3681" s="51" t="str" cm="1">
        <f t="array" ref="X3681">_xlfn.IFS(Tabla1[[#This Row],[Porcentaje de muertes]]&lt;0.35,"LEVE",AND(Tabla1[[#This Row],[Porcentaje de muertes]]&gt;0.35,Tabla1[[#This Row],[Porcentaje de muertes]]&lt;0.65),"MEDIO",Tabla1[[#This Row],[Porcentaje de muertes]]&gt;0.65,"GRAVE")</f>
        <v>GRAVE</v>
      </c>
    </row>
    <row r="3682" spans="2:24" x14ac:dyDescent="0.3">
      <c r="B3682" s="9">
        <v>3681</v>
      </c>
      <c r="C3682" s="49">
        <v>33347</v>
      </c>
      <c r="D3682" s="9">
        <f>YEAR(Tabla1[[#This Row],[Date]])</f>
        <v>1991</v>
      </c>
      <c r="E3682" s="9" t="str" cm="1">
        <f t="array" ref="E3682">IFERROR(_xlfn.IFS(AND(D3682&lt;1980,D3682&gt;=1970),"70",AND(D3682&lt;1990,D3682&gt;=1980),"80",AND(D3682&lt;2000,D3682&gt;=1990),"90",AND(D3682&lt;2010,D3682&gt;=2000),"00",AND(D3682&lt;=2019,D3682&gt;=2010),"10"),"1908-1970")</f>
        <v>90</v>
      </c>
      <c r="F3682" s="3">
        <v>0.49722222222222223</v>
      </c>
      <c r="G3682" t="s">
        <v>21581</v>
      </c>
      <c r="H3682" t="s">
        <v>21582</v>
      </c>
      <c r="I3682" t="s">
        <v>28931</v>
      </c>
      <c r="J3682" t="s">
        <v>21583</v>
      </c>
      <c r="K3682" t="s">
        <v>21584</v>
      </c>
      <c r="L3682" s="7" t="s">
        <v>21585</v>
      </c>
      <c r="M3682">
        <v>8196</v>
      </c>
      <c r="N3682">
        <v>22</v>
      </c>
      <c r="O3682">
        <v>19</v>
      </c>
      <c r="P3682">
        <v>3</v>
      </c>
      <c r="Q3682">
        <v>11</v>
      </c>
      <c r="R3682">
        <v>10</v>
      </c>
      <c r="S3682">
        <v>1</v>
      </c>
      <c r="T3682">
        <v>0</v>
      </c>
      <c r="U3682" t="s">
        <v>21586</v>
      </c>
      <c r="V3682">
        <f>Tabla1[[#This Row],[Aboard]]-Tabla1[[#This Row],[Fatalities]]</f>
        <v>11</v>
      </c>
      <c r="W3682" s="50">
        <f>IFERROR(Tabla1[[#This Row],[Fatalities]]/Tabla1[[#This Row],[Aboard]],0)</f>
        <v>0.5</v>
      </c>
      <c r="X3682" s="51" t="str" cm="1">
        <f t="array" ref="X3682">_xlfn.IFS(Tabla1[[#This Row],[Porcentaje de muertes]]&lt;0.35,"LEVE",AND(Tabla1[[#This Row],[Porcentaje de muertes]]&gt;0.35,Tabla1[[#This Row],[Porcentaje de muertes]]&lt;0.65),"MEDIO",Tabla1[[#This Row],[Porcentaje de muertes]]&gt;0.65,"GRAVE")</f>
        <v>MEDIO</v>
      </c>
    </row>
    <row r="3683" spans="2:24" x14ac:dyDescent="0.3">
      <c r="B3683" s="9">
        <v>3682</v>
      </c>
      <c r="C3683" s="49">
        <v>33486</v>
      </c>
      <c r="D3683" s="9">
        <f>YEAR(Tabla1[[#This Row],[Date]])</f>
        <v>1991</v>
      </c>
      <c r="E3683" s="9" t="str" cm="1">
        <f t="array" ref="E3683">IFERROR(_xlfn.IFS(AND(D3683&lt;1980,D3683&gt;=1970),"70",AND(D3683&lt;1990,D3683&gt;=1980),"80",AND(D3683&lt;2000,D3683&gt;=1990),"90",AND(D3683&lt;2010,D3683&gt;=2000),"00",AND(D3683&lt;=2019,D3683&gt;=2010),"10"),"1908-1970")</f>
        <v>90</v>
      </c>
      <c r="F3683" s="3">
        <v>0.10902777777777778</v>
      </c>
      <c r="G3683" t="s">
        <v>21587</v>
      </c>
      <c r="H3683" t="s">
        <v>16296</v>
      </c>
      <c r="I3683">
        <v>7533</v>
      </c>
      <c r="J3683" t="s">
        <v>21588</v>
      </c>
      <c r="K3683" t="s">
        <v>15526</v>
      </c>
      <c r="L3683" s="7" t="s">
        <v>21589</v>
      </c>
      <c r="M3683">
        <v>10399</v>
      </c>
      <c r="N3683">
        <v>13</v>
      </c>
      <c r="O3683">
        <v>8</v>
      </c>
      <c r="P3683">
        <v>5</v>
      </c>
      <c r="Q3683">
        <v>13</v>
      </c>
      <c r="R3683">
        <v>8</v>
      </c>
      <c r="S3683">
        <v>5</v>
      </c>
      <c r="T3683">
        <v>0</v>
      </c>
      <c r="U3683" t="s">
        <v>21590</v>
      </c>
      <c r="V3683">
        <f>Tabla1[[#This Row],[Aboard]]-Tabla1[[#This Row],[Fatalities]]</f>
        <v>0</v>
      </c>
      <c r="W3683" s="50">
        <f>IFERROR(Tabla1[[#This Row],[Fatalities]]/Tabla1[[#This Row],[Aboard]],0)</f>
        <v>1</v>
      </c>
      <c r="X3683" s="51" t="str" cm="1">
        <f t="array" ref="X3683">_xlfn.IFS(Tabla1[[#This Row],[Porcentaje de muertes]]&lt;0.35,"LEVE",AND(Tabla1[[#This Row],[Porcentaje de muertes]]&gt;0.35,Tabla1[[#This Row],[Porcentaje de muertes]]&lt;0.65),"MEDIO",Tabla1[[#This Row],[Porcentaje de muertes]]&gt;0.65,"GRAVE")</f>
        <v>GRAVE</v>
      </c>
    </row>
    <row r="3684" spans="2:24" x14ac:dyDescent="0.3">
      <c r="B3684" s="9">
        <v>3683</v>
      </c>
      <c r="C3684" s="49">
        <v>33371</v>
      </c>
      <c r="D3684" s="9">
        <f>YEAR(Tabla1[[#This Row],[Date]])</f>
        <v>1991</v>
      </c>
      <c r="E3684" s="9" t="str" cm="1">
        <f t="array" ref="E3684">IFERROR(_xlfn.IFS(AND(D3684&lt;1980,D3684&gt;=1970),"70",AND(D3684&lt;1990,D3684&gt;=1980),"80",AND(D3684&lt;2000,D3684&gt;=1990),"90",AND(D3684&lt;2010,D3684&gt;=2000),"00",AND(D3684&lt;=2019,D3684&gt;=2010),"10"),"1908-1970")</f>
        <v>90</v>
      </c>
      <c r="F3684" s="3">
        <v>0.55486111111111114</v>
      </c>
      <c r="G3684" t="s">
        <v>21591</v>
      </c>
      <c r="H3684" t="s">
        <v>21592</v>
      </c>
      <c r="I3684" t="s">
        <v>28931</v>
      </c>
      <c r="J3684" t="s">
        <v>21593</v>
      </c>
      <c r="K3684" t="s">
        <v>21594</v>
      </c>
      <c r="L3684" s="7" t="s">
        <v>21595</v>
      </c>
      <c r="M3684">
        <v>20700463</v>
      </c>
      <c r="N3684">
        <v>7</v>
      </c>
      <c r="O3684">
        <v>6</v>
      </c>
      <c r="P3684">
        <v>1</v>
      </c>
      <c r="Q3684">
        <v>7</v>
      </c>
      <c r="R3684">
        <v>6</v>
      </c>
      <c r="S3684">
        <v>1</v>
      </c>
      <c r="T3684">
        <v>0</v>
      </c>
      <c r="U3684" t="s">
        <v>21596</v>
      </c>
      <c r="V3684">
        <f>Tabla1[[#This Row],[Aboard]]-Tabla1[[#This Row],[Fatalities]]</f>
        <v>0</v>
      </c>
      <c r="W3684" s="50">
        <f>IFERROR(Tabla1[[#This Row],[Fatalities]]/Tabla1[[#This Row],[Aboard]],0)</f>
        <v>1</v>
      </c>
      <c r="X3684" s="51" t="str" cm="1">
        <f t="array" ref="X3684">_xlfn.IFS(Tabla1[[#This Row],[Porcentaje de muertes]]&lt;0.35,"LEVE",AND(Tabla1[[#This Row],[Porcentaje de muertes]]&gt;0.35,Tabla1[[#This Row],[Porcentaje de muertes]]&lt;0.65),"MEDIO",Tabla1[[#This Row],[Porcentaje de muertes]]&gt;0.65,"GRAVE")</f>
        <v>GRAVE</v>
      </c>
    </row>
    <row r="3685" spans="2:24" x14ac:dyDescent="0.3">
      <c r="B3685" s="9">
        <v>3684</v>
      </c>
      <c r="C3685" s="49">
        <v>33373</v>
      </c>
      <c r="D3685" s="9">
        <f>YEAR(Tabla1[[#This Row],[Date]])</f>
        <v>1991</v>
      </c>
      <c r="E3685" s="9" t="str" cm="1">
        <f t="array" ref="E3685">IFERROR(_xlfn.IFS(AND(D3685&lt;1980,D3685&gt;=1970),"70",AND(D3685&lt;1990,D3685&gt;=1980),"80",AND(D3685&lt;2000,D3685&gt;=1990),"90",AND(D3685&lt;2010,D3685&gt;=2000),"00",AND(D3685&lt;=2019,D3685&gt;=2010),"10"),"1908-1970")</f>
        <v>90</v>
      </c>
      <c r="F3685" s="3">
        <v>0.3888888888888889</v>
      </c>
      <c r="G3685" t="s">
        <v>21597</v>
      </c>
      <c r="H3685" t="s">
        <v>21598</v>
      </c>
      <c r="I3685" t="s">
        <v>28931</v>
      </c>
      <c r="J3685" t="s">
        <v>21599</v>
      </c>
      <c r="K3685" t="s">
        <v>8465</v>
      </c>
      <c r="L3685" s="7" t="s">
        <v>21600</v>
      </c>
      <c r="M3685">
        <v>26775</v>
      </c>
      <c r="N3685">
        <v>14</v>
      </c>
      <c r="O3685">
        <v>11</v>
      </c>
      <c r="P3685">
        <v>3</v>
      </c>
      <c r="Q3685">
        <v>13</v>
      </c>
      <c r="R3685">
        <v>11</v>
      </c>
      <c r="S3685">
        <v>2</v>
      </c>
      <c r="T3685">
        <v>0</v>
      </c>
      <c r="U3685" t="s">
        <v>21601</v>
      </c>
      <c r="V3685">
        <f>Tabla1[[#This Row],[Aboard]]-Tabla1[[#This Row],[Fatalities]]</f>
        <v>1</v>
      </c>
      <c r="W3685" s="50">
        <f>IFERROR(Tabla1[[#This Row],[Fatalities]]/Tabla1[[#This Row],[Aboard]],0)</f>
        <v>0.9285714285714286</v>
      </c>
      <c r="X3685" s="51" t="str" cm="1">
        <f t="array" ref="X3685">_xlfn.IFS(Tabla1[[#This Row],[Porcentaje de muertes]]&lt;0.35,"LEVE",AND(Tabla1[[#This Row],[Porcentaje de muertes]]&gt;0.35,Tabla1[[#This Row],[Porcentaje de muertes]]&lt;0.65),"MEDIO",Tabla1[[#This Row],[Porcentaje de muertes]]&gt;0.65,"GRAVE")</f>
        <v>GRAVE</v>
      </c>
    </row>
    <row r="3686" spans="2:24" x14ac:dyDescent="0.3">
      <c r="B3686" s="9">
        <v>3685</v>
      </c>
      <c r="C3686" s="49">
        <v>33381</v>
      </c>
      <c r="D3686" s="9">
        <f>YEAR(Tabla1[[#This Row],[Date]])</f>
        <v>1991</v>
      </c>
      <c r="E3686" s="9" t="str" cm="1">
        <f t="array" ref="E3686">IFERROR(_xlfn.IFS(AND(D3686&lt;1980,D3686&gt;=1970),"70",AND(D3686&lt;1990,D3686&gt;=1980),"80",AND(D3686&lt;2000,D3686&gt;=1990),"90",AND(D3686&lt;2010,D3686&gt;=2000),"00",AND(D3686&lt;=2019,D3686&gt;=2010),"10"),"1908-1970")</f>
        <v>90</v>
      </c>
      <c r="F3686" s="3">
        <v>0.54583333333333328</v>
      </c>
      <c r="G3686" t="s">
        <v>16060</v>
      </c>
      <c r="H3686" t="s">
        <v>6541</v>
      </c>
      <c r="I3686" t="s">
        <v>28931</v>
      </c>
      <c r="J3686" t="s">
        <v>21602</v>
      </c>
      <c r="K3686" t="s">
        <v>18725</v>
      </c>
      <c r="L3686" s="7" t="s">
        <v>21603</v>
      </c>
      <c r="M3686">
        <v>97</v>
      </c>
      <c r="N3686">
        <v>181</v>
      </c>
      <c r="O3686">
        <v>174</v>
      </c>
      <c r="P3686">
        <v>7</v>
      </c>
      <c r="Q3686">
        <v>13</v>
      </c>
      <c r="R3686">
        <v>13</v>
      </c>
      <c r="S3686">
        <v>0</v>
      </c>
      <c r="T3686">
        <v>0</v>
      </c>
      <c r="U3686" t="s">
        <v>21604</v>
      </c>
      <c r="V3686">
        <f>Tabla1[[#This Row],[Aboard]]-Tabla1[[#This Row],[Fatalities]]</f>
        <v>168</v>
      </c>
      <c r="W3686" s="50">
        <f>IFERROR(Tabla1[[#This Row],[Fatalities]]/Tabla1[[#This Row],[Aboard]],0)</f>
        <v>7.18232044198895E-2</v>
      </c>
      <c r="X3686" s="51" t="str" cm="1">
        <f t="array" ref="X3686">_xlfn.IFS(Tabla1[[#This Row],[Porcentaje de muertes]]&lt;0.35,"LEVE",AND(Tabla1[[#This Row],[Porcentaje de muertes]]&gt;0.35,Tabla1[[#This Row],[Porcentaje de muertes]]&lt;0.65),"MEDIO",Tabla1[[#This Row],[Porcentaje de muertes]]&gt;0.65,"GRAVE")</f>
        <v>LEVE</v>
      </c>
    </row>
    <row r="3687" spans="2:24" x14ac:dyDescent="0.3">
      <c r="B3687" s="9">
        <v>3686</v>
      </c>
      <c r="C3687" s="49">
        <v>33382</v>
      </c>
      <c r="D3687" s="9">
        <f>YEAR(Tabla1[[#This Row],[Date]])</f>
        <v>1991</v>
      </c>
      <c r="E3687" s="9" t="str" cm="1">
        <f t="array" ref="E3687">IFERROR(_xlfn.IFS(AND(D3687&lt;1980,D3687&gt;=1970),"70",AND(D3687&lt;1990,D3687&gt;=1980),"80",AND(D3687&lt;2000,D3687&gt;=1990),"90",AND(D3687&lt;2010,D3687&gt;=2000),"00",AND(D3687&lt;=2019,D3687&gt;=2010),"10"),"1908-1970")</f>
        <v>90</v>
      </c>
      <c r="F3687" s="3" t="s">
        <v>28931</v>
      </c>
      <c r="G3687" t="s">
        <v>21605</v>
      </c>
      <c r="H3687" t="s">
        <v>21606</v>
      </c>
      <c r="I3687" t="s">
        <v>28931</v>
      </c>
      <c r="J3687" t="s">
        <v>21607</v>
      </c>
      <c r="K3687" t="s">
        <v>21608</v>
      </c>
      <c r="L3687" s="7" t="s">
        <v>21609</v>
      </c>
      <c r="M3687">
        <v>93494835</v>
      </c>
      <c r="N3687">
        <v>10</v>
      </c>
      <c r="O3687">
        <v>0</v>
      </c>
      <c r="P3687">
        <v>10</v>
      </c>
      <c r="Q3687">
        <v>4</v>
      </c>
      <c r="R3687">
        <v>0</v>
      </c>
      <c r="S3687">
        <v>4</v>
      </c>
      <c r="T3687">
        <v>0</v>
      </c>
      <c r="U3687" t="s">
        <v>21610</v>
      </c>
      <c r="V3687">
        <f>Tabla1[[#This Row],[Aboard]]-Tabla1[[#This Row],[Fatalities]]</f>
        <v>6</v>
      </c>
      <c r="W3687" s="50">
        <f>IFERROR(Tabla1[[#This Row],[Fatalities]]/Tabla1[[#This Row],[Aboard]],0)</f>
        <v>0.4</v>
      </c>
      <c r="X3687" s="51" t="str" cm="1">
        <f t="array" ref="X3687">_xlfn.IFS(Tabla1[[#This Row],[Porcentaje de muertes]]&lt;0.35,"LEVE",AND(Tabla1[[#This Row],[Porcentaje de muertes]]&gt;0.35,Tabla1[[#This Row],[Porcentaje de muertes]]&lt;0.65),"MEDIO",Tabla1[[#This Row],[Porcentaje de muertes]]&gt;0.65,"GRAVE")</f>
        <v>MEDIO</v>
      </c>
    </row>
    <row r="3688" spans="2:24" x14ac:dyDescent="0.3">
      <c r="B3688" s="9">
        <v>3687</v>
      </c>
      <c r="C3688" s="49">
        <v>33384</v>
      </c>
      <c r="D3688" s="9">
        <f>YEAR(Tabla1[[#This Row],[Date]])</f>
        <v>1991</v>
      </c>
      <c r="E3688" s="9" t="str" cm="1">
        <f t="array" ref="E3688">IFERROR(_xlfn.IFS(AND(D3688&lt;1980,D3688&gt;=1970),"70",AND(D3688&lt;1990,D3688&gt;=1980),"80",AND(D3688&lt;2000,D3688&gt;=1990),"90",AND(D3688&lt;2010,D3688&gt;=2000),"00",AND(D3688&lt;=2019,D3688&gt;=2010),"10"),"1908-1970")</f>
        <v>90</v>
      </c>
      <c r="F3688" s="3">
        <v>0.97013888888888899</v>
      </c>
      <c r="G3688" t="s">
        <v>21611</v>
      </c>
      <c r="H3688" t="s">
        <v>21612</v>
      </c>
      <c r="I3688">
        <v>4</v>
      </c>
      <c r="J3688" t="s">
        <v>21613</v>
      </c>
      <c r="K3688" t="s">
        <v>21614</v>
      </c>
      <c r="L3688" s="7" t="s">
        <v>21615</v>
      </c>
      <c r="M3688" t="s">
        <v>21616</v>
      </c>
      <c r="N3688">
        <v>223</v>
      </c>
      <c r="O3688">
        <v>213</v>
      </c>
      <c r="P3688">
        <v>10</v>
      </c>
      <c r="Q3688">
        <v>223</v>
      </c>
      <c r="R3688">
        <v>213</v>
      </c>
      <c r="S3688">
        <v>10</v>
      </c>
      <c r="T3688">
        <v>0</v>
      </c>
      <c r="U3688" t="s">
        <v>21617</v>
      </c>
      <c r="V3688">
        <f>Tabla1[[#This Row],[Aboard]]-Tabla1[[#This Row],[Fatalities]]</f>
        <v>0</v>
      </c>
      <c r="W3688" s="50">
        <f>IFERROR(Tabla1[[#This Row],[Fatalities]]/Tabla1[[#This Row],[Aboard]],0)</f>
        <v>1</v>
      </c>
      <c r="X3688" s="51" t="str" cm="1">
        <f t="array" ref="X3688">_xlfn.IFS(Tabla1[[#This Row],[Porcentaje de muertes]]&lt;0.35,"LEVE",AND(Tabla1[[#This Row],[Porcentaje de muertes]]&gt;0.35,Tabla1[[#This Row],[Porcentaje de muertes]]&lt;0.65),"MEDIO",Tabla1[[#This Row],[Porcentaje de muertes]]&gt;0.65,"GRAVE")</f>
        <v>GRAVE</v>
      </c>
    </row>
    <row r="3689" spans="2:24" x14ac:dyDescent="0.3">
      <c r="B3689" s="9">
        <v>3688</v>
      </c>
      <c r="C3689" s="49">
        <v>33244</v>
      </c>
      <c r="D3689" s="9">
        <f>YEAR(Tabla1[[#This Row],[Date]])</f>
        <v>1991</v>
      </c>
      <c r="E3689" s="9" t="str" cm="1">
        <f t="array" ref="E3689">IFERROR(_xlfn.IFS(AND(D3689&lt;1980,D3689&gt;=1970),"70",AND(D3689&lt;1990,D3689&gt;=1980),"80",AND(D3689&lt;2000,D3689&gt;=1990),"90",AND(D3689&lt;2010,D3689&gt;=2000),"00",AND(D3689&lt;=2019,D3689&gt;=2010),"10"),"1908-1970")</f>
        <v>90</v>
      </c>
      <c r="F3689" s="3">
        <v>0.42777777777777781</v>
      </c>
      <c r="G3689" t="s">
        <v>21618</v>
      </c>
      <c r="H3689" t="s">
        <v>21619</v>
      </c>
      <c r="I3689">
        <v>90</v>
      </c>
      <c r="J3689" t="s">
        <v>21620</v>
      </c>
      <c r="K3689" t="s">
        <v>21621</v>
      </c>
      <c r="L3689" s="7" t="s">
        <v>21622</v>
      </c>
      <c r="M3689">
        <v>44</v>
      </c>
      <c r="N3689">
        <v>3</v>
      </c>
      <c r="O3689">
        <v>2</v>
      </c>
      <c r="P3689">
        <v>1</v>
      </c>
      <c r="Q3689">
        <v>2</v>
      </c>
      <c r="R3689">
        <v>2</v>
      </c>
      <c r="S3689">
        <v>0</v>
      </c>
      <c r="T3689">
        <v>0</v>
      </c>
      <c r="U3689" t="s">
        <v>21623</v>
      </c>
      <c r="V3689">
        <f>Tabla1[[#This Row],[Aboard]]-Tabla1[[#This Row],[Fatalities]]</f>
        <v>1</v>
      </c>
      <c r="W3689" s="50">
        <f>IFERROR(Tabla1[[#This Row],[Fatalities]]/Tabla1[[#This Row],[Aboard]],0)</f>
        <v>0.66666666666666663</v>
      </c>
      <c r="X3689" s="51" t="str" cm="1">
        <f t="array" ref="X3689">_xlfn.IFS(Tabla1[[#This Row],[Porcentaje de muertes]]&lt;0.35,"LEVE",AND(Tabla1[[#This Row],[Porcentaje de muertes]]&gt;0.35,Tabla1[[#This Row],[Porcentaje de muertes]]&lt;0.65),"MEDIO",Tabla1[[#This Row],[Porcentaje de muertes]]&gt;0.65,"GRAVE")</f>
        <v>GRAVE</v>
      </c>
    </row>
    <row r="3690" spans="2:24" x14ac:dyDescent="0.3">
      <c r="B3690" s="9">
        <v>3689</v>
      </c>
      <c r="C3690" s="49">
        <v>33517</v>
      </c>
      <c r="D3690" s="9">
        <f>YEAR(Tabla1[[#This Row],[Date]])</f>
        <v>1991</v>
      </c>
      <c r="E3690" s="9" t="str" cm="1">
        <f t="array" ref="E3690">IFERROR(_xlfn.IFS(AND(D3690&lt;1980,D3690&gt;=1970),"70",AND(D3690&lt;1990,D3690&gt;=1980),"80",AND(D3690&lt;2000,D3690&gt;=1990),"90",AND(D3690&lt;2010,D3690&gt;=2000),"00",AND(D3690&lt;=2019,D3690&gt;=2010),"10"),"1908-1970")</f>
        <v>90</v>
      </c>
      <c r="F3690" s="3">
        <v>0.65277777777777779</v>
      </c>
      <c r="G3690" t="s">
        <v>18373</v>
      </c>
      <c r="H3690" t="s">
        <v>21624</v>
      </c>
      <c r="I3690" t="s">
        <v>28931</v>
      </c>
      <c r="J3690" t="s">
        <v>21625</v>
      </c>
      <c r="K3690" t="s">
        <v>21626</v>
      </c>
      <c r="L3690" s="7" t="s">
        <v>21627</v>
      </c>
      <c r="M3690">
        <v>3099</v>
      </c>
      <c r="N3690">
        <v>7</v>
      </c>
      <c r="O3690">
        <v>4</v>
      </c>
      <c r="P3690">
        <v>3</v>
      </c>
      <c r="Q3690">
        <v>7</v>
      </c>
      <c r="R3690">
        <v>4</v>
      </c>
      <c r="S3690">
        <v>3</v>
      </c>
      <c r="T3690">
        <v>0</v>
      </c>
      <c r="U3690" t="s">
        <v>21628</v>
      </c>
      <c r="V3690">
        <f>Tabla1[[#This Row],[Aboard]]-Tabla1[[#This Row],[Fatalities]]</f>
        <v>0</v>
      </c>
      <c r="W3690" s="50">
        <f>IFERROR(Tabla1[[#This Row],[Fatalities]]/Tabla1[[#This Row],[Aboard]],0)</f>
        <v>1</v>
      </c>
      <c r="X3690" s="51" t="str" cm="1">
        <f t="array" ref="X3690">_xlfn.IFS(Tabla1[[#This Row],[Porcentaje de muertes]]&lt;0.35,"LEVE",AND(Tabla1[[#This Row],[Porcentaje de muertes]]&gt;0.35,Tabla1[[#This Row],[Porcentaje de muertes]]&lt;0.65),"MEDIO",Tabla1[[#This Row],[Porcentaje de muertes]]&gt;0.65,"GRAVE")</f>
        <v>GRAVE</v>
      </c>
    </row>
    <row r="3691" spans="2:24" x14ac:dyDescent="0.3">
      <c r="B3691" s="9">
        <v>3690</v>
      </c>
      <c r="C3691" s="49">
        <v>33409</v>
      </c>
      <c r="D3691" s="9">
        <f>YEAR(Tabla1[[#This Row],[Date]])</f>
        <v>1991</v>
      </c>
      <c r="E3691" s="9" t="str" cm="1">
        <f t="array" ref="E3691">IFERROR(_xlfn.IFS(AND(D3691&lt;1980,D3691&gt;=1970),"70",AND(D3691&lt;1990,D3691&gt;=1980),"80",AND(D3691&lt;2000,D3691&gt;=1990),"90",AND(D3691&lt;2010,D3691&gt;=2000),"00",AND(D3691&lt;=2019,D3691&gt;=2010),"10"),"1908-1970")</f>
        <v>90</v>
      </c>
      <c r="F3691" s="3">
        <v>0.15625</v>
      </c>
      <c r="G3691" t="s">
        <v>21629</v>
      </c>
      <c r="H3691" t="s">
        <v>19560</v>
      </c>
      <c r="I3691" t="s">
        <v>28931</v>
      </c>
      <c r="J3691" t="s">
        <v>21630</v>
      </c>
      <c r="K3691" t="s">
        <v>17323</v>
      </c>
      <c r="L3691" s="7" t="s">
        <v>21631</v>
      </c>
      <c r="M3691" t="s">
        <v>21632</v>
      </c>
      <c r="N3691">
        <v>18</v>
      </c>
      <c r="O3691">
        <v>15</v>
      </c>
      <c r="P3691">
        <v>3</v>
      </c>
      <c r="Q3691">
        <v>2</v>
      </c>
      <c r="R3691">
        <v>2</v>
      </c>
      <c r="S3691">
        <v>0</v>
      </c>
      <c r="T3691">
        <v>0</v>
      </c>
      <c r="U3691" t="s">
        <v>21633</v>
      </c>
      <c r="V3691">
        <f>Tabla1[[#This Row],[Aboard]]-Tabla1[[#This Row],[Fatalities]]</f>
        <v>16</v>
      </c>
      <c r="W3691" s="50">
        <f>IFERROR(Tabla1[[#This Row],[Fatalities]]/Tabla1[[#This Row],[Aboard]],0)</f>
        <v>0.1111111111111111</v>
      </c>
      <c r="X3691" s="51" t="str" cm="1">
        <f t="array" ref="X3691">_xlfn.IFS(Tabla1[[#This Row],[Porcentaje de muertes]]&lt;0.35,"LEVE",AND(Tabla1[[#This Row],[Porcentaje de muertes]]&gt;0.35,Tabla1[[#This Row],[Porcentaje de muertes]]&lt;0.65),"MEDIO",Tabla1[[#This Row],[Porcentaje de muertes]]&gt;0.65,"GRAVE")</f>
        <v>LEVE</v>
      </c>
    </row>
    <row r="3692" spans="2:24" x14ac:dyDescent="0.3">
      <c r="B3692" s="9">
        <v>3691</v>
      </c>
      <c r="C3692" s="49">
        <v>33415</v>
      </c>
      <c r="D3692" s="9">
        <f>YEAR(Tabla1[[#This Row],[Date]])</f>
        <v>1991</v>
      </c>
      <c r="E3692" s="9" t="str" cm="1">
        <f t="array" ref="E3692">IFERROR(_xlfn.IFS(AND(D3692&lt;1980,D3692&gt;=1970),"70",AND(D3692&lt;1990,D3692&gt;=1980),"80",AND(D3692&lt;2000,D3692&gt;=1990),"90",AND(D3692&lt;2010,D3692&gt;=2000),"00",AND(D3692&lt;=2019,D3692&gt;=2010),"10"),"1908-1970")</f>
        <v>90</v>
      </c>
      <c r="F3692" s="3">
        <v>8.3333333333333329E-2</v>
      </c>
      <c r="G3692" t="s">
        <v>21634</v>
      </c>
      <c r="H3692" t="s">
        <v>21635</v>
      </c>
      <c r="I3692" t="s">
        <v>28931</v>
      </c>
      <c r="J3692" t="s">
        <v>21636</v>
      </c>
      <c r="K3692" t="s">
        <v>15635</v>
      </c>
      <c r="L3692" s="7" t="s">
        <v>21637</v>
      </c>
      <c r="M3692">
        <v>94</v>
      </c>
      <c r="N3692">
        <v>53</v>
      </c>
      <c r="O3692">
        <v>48</v>
      </c>
      <c r="P3692">
        <v>5</v>
      </c>
      <c r="Q3692">
        <v>4</v>
      </c>
      <c r="R3692">
        <v>4</v>
      </c>
      <c r="S3692">
        <v>0</v>
      </c>
      <c r="T3692">
        <v>0</v>
      </c>
      <c r="U3692" t="s">
        <v>21638</v>
      </c>
      <c r="V3692">
        <f>Tabla1[[#This Row],[Aboard]]-Tabla1[[#This Row],[Fatalities]]</f>
        <v>49</v>
      </c>
      <c r="W3692" s="50">
        <f>IFERROR(Tabla1[[#This Row],[Fatalities]]/Tabla1[[#This Row],[Aboard]],0)</f>
        <v>7.5471698113207544E-2</v>
      </c>
      <c r="X3692" s="51" t="str" cm="1">
        <f t="array" ref="X3692">_xlfn.IFS(Tabla1[[#This Row],[Porcentaje de muertes]]&lt;0.35,"LEVE",AND(Tabla1[[#This Row],[Porcentaje de muertes]]&gt;0.35,Tabla1[[#This Row],[Porcentaje de muertes]]&lt;0.65),"MEDIO",Tabla1[[#This Row],[Porcentaje de muertes]]&gt;0.65,"GRAVE")</f>
        <v>LEVE</v>
      </c>
    </row>
    <row r="3693" spans="2:24" x14ac:dyDescent="0.3">
      <c r="B3693" s="9">
        <v>3692</v>
      </c>
      <c r="C3693" s="49">
        <v>33415</v>
      </c>
      <c r="D3693" s="9">
        <f>YEAR(Tabla1[[#This Row],[Date]])</f>
        <v>1991</v>
      </c>
      <c r="E3693" s="9" t="str" cm="1">
        <f t="array" ref="E3693">IFERROR(_xlfn.IFS(AND(D3693&lt;1980,D3693&gt;=1970),"70",AND(D3693&lt;1990,D3693&gt;=1980),"80",AND(D3693&lt;2000,D3693&gt;=1990),"90",AND(D3693&lt;2010,D3693&gt;=2000),"00",AND(D3693&lt;=2019,D3693&gt;=2010),"10"),"1908-1970")</f>
        <v>90</v>
      </c>
      <c r="F3693" s="3" t="s">
        <v>28931</v>
      </c>
      <c r="G3693" t="s">
        <v>21639</v>
      </c>
      <c r="H3693" t="s">
        <v>21640</v>
      </c>
      <c r="I3693" t="s">
        <v>28931</v>
      </c>
      <c r="J3693" t="s">
        <v>21641</v>
      </c>
      <c r="K3693" t="s">
        <v>14340</v>
      </c>
      <c r="L3693" s="7" t="s">
        <v>21642</v>
      </c>
      <c r="M3693">
        <v>7300304</v>
      </c>
      <c r="N3693">
        <v>10</v>
      </c>
      <c r="O3693">
        <v>4</v>
      </c>
      <c r="P3693">
        <v>6</v>
      </c>
      <c r="Q3693">
        <v>10</v>
      </c>
      <c r="R3693">
        <v>4</v>
      </c>
      <c r="S3693">
        <v>6</v>
      </c>
      <c r="T3693">
        <v>0</v>
      </c>
      <c r="U3693" t="s">
        <v>21643</v>
      </c>
      <c r="V3693">
        <f>Tabla1[[#This Row],[Aboard]]-Tabla1[[#This Row],[Fatalities]]</f>
        <v>0</v>
      </c>
      <c r="W3693" s="50">
        <f>IFERROR(Tabla1[[#This Row],[Fatalities]]/Tabla1[[#This Row],[Aboard]],0)</f>
        <v>1</v>
      </c>
      <c r="X3693" s="51" t="str" cm="1">
        <f t="array" ref="X3693">_xlfn.IFS(Tabla1[[#This Row],[Porcentaje de muertes]]&lt;0.35,"LEVE",AND(Tabla1[[#This Row],[Porcentaje de muertes]]&gt;0.35,Tabla1[[#This Row],[Porcentaje de muertes]]&lt;0.65),"MEDIO",Tabla1[[#This Row],[Porcentaje de muertes]]&gt;0.65,"GRAVE")</f>
        <v>GRAVE</v>
      </c>
    </row>
    <row r="3694" spans="2:24" x14ac:dyDescent="0.3">
      <c r="B3694" s="9">
        <v>3693</v>
      </c>
      <c r="C3694" s="49">
        <v>33335</v>
      </c>
      <c r="D3694" s="9">
        <f>YEAR(Tabla1[[#This Row],[Date]])</f>
        <v>1991</v>
      </c>
      <c r="E3694" s="9" t="str" cm="1">
        <f t="array" ref="E3694">IFERROR(_xlfn.IFS(AND(D3694&lt;1980,D3694&gt;=1970),"70",AND(D3694&lt;1990,D3694&gt;=1980),"80",AND(D3694&lt;2000,D3694&gt;=1990),"90",AND(D3694&lt;2010,D3694&gt;=2000),"00",AND(D3694&lt;=2019,D3694&gt;=2010),"10"),"1908-1970")</f>
        <v>90</v>
      </c>
      <c r="F3694" s="3">
        <v>0.38194444444444442</v>
      </c>
      <c r="G3694" t="s">
        <v>16888</v>
      </c>
      <c r="H3694" t="s">
        <v>21644</v>
      </c>
      <c r="I3694" t="s">
        <v>28931</v>
      </c>
      <c r="J3694" t="s">
        <v>28931</v>
      </c>
      <c r="K3694" t="s">
        <v>16680</v>
      </c>
      <c r="L3694" s="7" t="s">
        <v>21645</v>
      </c>
      <c r="M3694">
        <v>606</v>
      </c>
      <c r="N3694">
        <v>3</v>
      </c>
      <c r="O3694">
        <v>1</v>
      </c>
      <c r="P3694">
        <v>2</v>
      </c>
      <c r="Q3694">
        <v>3</v>
      </c>
      <c r="R3694">
        <v>1</v>
      </c>
      <c r="S3694">
        <v>2</v>
      </c>
      <c r="T3694">
        <v>0</v>
      </c>
      <c r="U3694" t="s">
        <v>21646</v>
      </c>
      <c r="V3694">
        <f>Tabla1[[#This Row],[Aboard]]-Tabla1[[#This Row],[Fatalities]]</f>
        <v>0</v>
      </c>
      <c r="W3694" s="50">
        <f>IFERROR(Tabla1[[#This Row],[Fatalities]]/Tabla1[[#This Row],[Aboard]],0)</f>
        <v>1</v>
      </c>
      <c r="X3694" s="51" t="str" cm="1">
        <f t="array" ref="X3694">_xlfn.IFS(Tabla1[[#This Row],[Porcentaje de muertes]]&lt;0.35,"LEVE",AND(Tabla1[[#This Row],[Porcentaje de muertes]]&gt;0.35,Tabla1[[#This Row],[Porcentaje de muertes]]&lt;0.65),"MEDIO",Tabla1[[#This Row],[Porcentaje de muertes]]&gt;0.65,"GRAVE")</f>
        <v>GRAVE</v>
      </c>
    </row>
    <row r="3695" spans="2:24" x14ac:dyDescent="0.3">
      <c r="B3695" s="9">
        <v>3694</v>
      </c>
      <c r="C3695" s="49">
        <v>33488</v>
      </c>
      <c r="D3695" s="9">
        <f>YEAR(Tabla1[[#This Row],[Date]])</f>
        <v>1991</v>
      </c>
      <c r="E3695" s="9" t="str" cm="1">
        <f t="array" ref="E3695">IFERROR(_xlfn.IFS(AND(D3695&lt;1980,D3695&gt;=1970),"70",AND(D3695&lt;1990,D3695&gt;=1980),"80",AND(D3695&lt;2000,D3695&gt;=1990),"90",AND(D3695&lt;2010,D3695&gt;=2000),"00",AND(D3695&lt;=2019,D3695&gt;=2010),"10"),"1908-1970")</f>
        <v>90</v>
      </c>
      <c r="F3695" s="3" t="s">
        <v>28931</v>
      </c>
      <c r="G3695" t="s">
        <v>21647</v>
      </c>
      <c r="H3695" t="s">
        <v>21648</v>
      </c>
      <c r="I3695" t="s">
        <v>28931</v>
      </c>
      <c r="J3695" t="s">
        <v>21649</v>
      </c>
      <c r="K3695" t="s">
        <v>20276</v>
      </c>
      <c r="L3695" s="7" t="s">
        <v>21650</v>
      </c>
      <c r="M3695">
        <v>232</v>
      </c>
      <c r="N3695">
        <v>15</v>
      </c>
      <c r="O3695">
        <v>13</v>
      </c>
      <c r="P3695">
        <v>2</v>
      </c>
      <c r="Q3695">
        <v>15</v>
      </c>
      <c r="R3695">
        <v>13</v>
      </c>
      <c r="S3695">
        <v>2</v>
      </c>
      <c r="T3695">
        <v>0</v>
      </c>
      <c r="U3695" t="s">
        <v>21651</v>
      </c>
      <c r="V3695">
        <f>Tabla1[[#This Row],[Aboard]]-Tabla1[[#This Row],[Fatalities]]</f>
        <v>0</v>
      </c>
      <c r="W3695" s="50">
        <f>IFERROR(Tabla1[[#This Row],[Fatalities]]/Tabla1[[#This Row],[Aboard]],0)</f>
        <v>1</v>
      </c>
      <c r="X3695" s="51" t="str" cm="1">
        <f t="array" ref="X3695">_xlfn.IFS(Tabla1[[#This Row],[Porcentaje de muertes]]&lt;0.35,"LEVE",AND(Tabla1[[#This Row],[Porcentaje de muertes]]&gt;0.35,Tabla1[[#This Row],[Porcentaje de muertes]]&lt;0.65),"MEDIO",Tabla1[[#This Row],[Porcentaje de muertes]]&gt;0.65,"GRAVE")</f>
        <v>GRAVE</v>
      </c>
    </row>
    <row r="3696" spans="2:24" x14ac:dyDescent="0.3">
      <c r="B3696" s="9">
        <v>3695</v>
      </c>
      <c r="C3696" s="49">
        <v>33518</v>
      </c>
      <c r="D3696" s="9">
        <f>YEAR(Tabla1[[#This Row],[Date]])</f>
        <v>1991</v>
      </c>
      <c r="E3696" s="9" t="str" cm="1">
        <f t="array" ref="E3696">IFERROR(_xlfn.IFS(AND(D3696&lt;1980,D3696&gt;=1970),"70",AND(D3696&lt;1990,D3696&gt;=1980),"80",AND(D3696&lt;2000,D3696&gt;=1990),"90",AND(D3696&lt;2010,D3696&gt;=2000),"00",AND(D3696&lt;=2019,D3696&gt;=2010),"10"),"1908-1970")</f>
        <v>90</v>
      </c>
      <c r="F3696" s="3">
        <v>0.7583333333333333</v>
      </c>
      <c r="G3696" t="s">
        <v>8561</v>
      </c>
      <c r="H3696" t="s">
        <v>21652</v>
      </c>
      <c r="I3696">
        <v>508</v>
      </c>
      <c r="J3696" t="s">
        <v>21653</v>
      </c>
      <c r="K3696" t="s">
        <v>21654</v>
      </c>
      <c r="L3696" s="7" t="s">
        <v>21655</v>
      </c>
      <c r="M3696" t="s">
        <v>21656</v>
      </c>
      <c r="N3696">
        <v>15</v>
      </c>
      <c r="O3696">
        <v>13</v>
      </c>
      <c r="P3696">
        <v>2</v>
      </c>
      <c r="Q3696">
        <v>13</v>
      </c>
      <c r="R3696">
        <v>12</v>
      </c>
      <c r="S3696">
        <v>1</v>
      </c>
      <c r="T3696">
        <v>0</v>
      </c>
      <c r="U3696" t="s">
        <v>21657</v>
      </c>
      <c r="V3696">
        <f>Tabla1[[#This Row],[Aboard]]-Tabla1[[#This Row],[Fatalities]]</f>
        <v>2</v>
      </c>
      <c r="W3696" s="50">
        <f>IFERROR(Tabla1[[#This Row],[Fatalities]]/Tabla1[[#This Row],[Aboard]],0)</f>
        <v>0.8666666666666667</v>
      </c>
      <c r="X3696" s="51" t="str" cm="1">
        <f t="array" ref="X3696">_xlfn.IFS(Tabla1[[#This Row],[Porcentaje de muertes]]&lt;0.35,"LEVE",AND(Tabla1[[#This Row],[Porcentaje de muertes]]&gt;0.35,Tabla1[[#This Row],[Porcentaje de muertes]]&lt;0.65),"MEDIO",Tabla1[[#This Row],[Porcentaje de muertes]]&gt;0.65,"GRAVE")</f>
        <v>GRAVE</v>
      </c>
    </row>
    <row r="3697" spans="2:24" x14ac:dyDescent="0.3">
      <c r="B3697" s="9">
        <v>3696</v>
      </c>
      <c r="C3697" s="49">
        <v>33549</v>
      </c>
      <c r="D3697" s="9">
        <f>YEAR(Tabla1[[#This Row],[Date]])</f>
        <v>1991</v>
      </c>
      <c r="E3697" s="9" t="str" cm="1">
        <f t="array" ref="E3697">IFERROR(_xlfn.IFS(AND(D3697&lt;1980,D3697&gt;=1970),"70",AND(D3697&lt;1990,D3697&gt;=1980),"80",AND(D3697&lt;2000,D3697&gt;=1990),"90",AND(D3697&lt;2010,D3697&gt;=2000),"00",AND(D3697&lt;=2019,D3697&gt;=2010),"10"),"1908-1970")</f>
        <v>90</v>
      </c>
      <c r="F3697" s="3">
        <v>0.3611111111111111</v>
      </c>
      <c r="G3697" t="s">
        <v>21658</v>
      </c>
      <c r="H3697" t="s">
        <v>21659</v>
      </c>
      <c r="I3697">
        <v>2120</v>
      </c>
      <c r="J3697" t="s">
        <v>21660</v>
      </c>
      <c r="K3697" t="s">
        <v>21661</v>
      </c>
      <c r="L3697" s="7" t="s">
        <v>21662</v>
      </c>
      <c r="M3697" t="s">
        <v>21663</v>
      </c>
      <c r="N3697">
        <v>261</v>
      </c>
      <c r="O3697">
        <v>247</v>
      </c>
      <c r="P3697">
        <v>14</v>
      </c>
      <c r="Q3697">
        <v>261</v>
      </c>
      <c r="R3697">
        <v>247</v>
      </c>
      <c r="S3697">
        <v>14</v>
      </c>
      <c r="T3697">
        <v>0</v>
      </c>
      <c r="U3697" t="s">
        <v>21664</v>
      </c>
      <c r="V3697">
        <f>Tabla1[[#This Row],[Aboard]]-Tabla1[[#This Row],[Fatalities]]</f>
        <v>0</v>
      </c>
      <c r="W3697" s="50">
        <f>IFERROR(Tabla1[[#This Row],[Fatalities]]/Tabla1[[#This Row],[Aboard]],0)</f>
        <v>1</v>
      </c>
      <c r="X3697" s="51" t="str" cm="1">
        <f t="array" ref="X3697">_xlfn.IFS(Tabla1[[#This Row],[Porcentaje de muertes]]&lt;0.35,"LEVE",AND(Tabla1[[#This Row],[Porcentaje de muertes]]&gt;0.35,Tabla1[[#This Row],[Porcentaje de muertes]]&lt;0.65),"MEDIO",Tabla1[[#This Row],[Porcentaje de muertes]]&gt;0.65,"GRAVE")</f>
        <v>GRAVE</v>
      </c>
    </row>
    <row r="3698" spans="2:24" x14ac:dyDescent="0.3">
      <c r="B3698" s="9">
        <v>3697</v>
      </c>
      <c r="C3698" s="49">
        <v>33444</v>
      </c>
      <c r="D3698" s="9">
        <f>YEAR(Tabla1[[#This Row],[Date]])</f>
        <v>1991</v>
      </c>
      <c r="E3698" s="9" t="str" cm="1">
        <f t="array" ref="E3698">IFERROR(_xlfn.IFS(AND(D3698&lt;1980,D3698&gt;=1970),"70",AND(D3698&lt;1990,D3698&gt;=1980),"80",AND(D3698&lt;2000,D3698&gt;=1990),"90",AND(D3698&lt;2010,D3698&gt;=2000),"00",AND(D3698&lt;=2019,D3698&gt;=2010),"10"),"1908-1970")</f>
        <v>90</v>
      </c>
      <c r="F3698" s="3" t="s">
        <v>28931</v>
      </c>
      <c r="G3698" t="s">
        <v>21665</v>
      </c>
      <c r="H3698" t="s">
        <v>21666</v>
      </c>
      <c r="I3698" t="s">
        <v>28931</v>
      </c>
      <c r="J3698" t="s">
        <v>21667</v>
      </c>
      <c r="K3698" t="s">
        <v>16626</v>
      </c>
      <c r="L3698" s="7" t="s">
        <v>21668</v>
      </c>
      <c r="M3698">
        <v>220</v>
      </c>
      <c r="N3698">
        <v>9</v>
      </c>
      <c r="O3698">
        <v>8</v>
      </c>
      <c r="P3698">
        <v>1</v>
      </c>
      <c r="Q3698">
        <v>9</v>
      </c>
      <c r="R3698">
        <v>8</v>
      </c>
      <c r="S3698">
        <v>1</v>
      </c>
      <c r="T3698">
        <v>0</v>
      </c>
      <c r="U3698" t="s">
        <v>21669</v>
      </c>
      <c r="V3698">
        <f>Tabla1[[#This Row],[Aboard]]-Tabla1[[#This Row],[Fatalities]]</f>
        <v>0</v>
      </c>
      <c r="W3698" s="50">
        <f>IFERROR(Tabla1[[#This Row],[Fatalities]]/Tabla1[[#This Row],[Aboard]],0)</f>
        <v>1</v>
      </c>
      <c r="X3698" s="51" t="str" cm="1">
        <f t="array" ref="X3698">_xlfn.IFS(Tabla1[[#This Row],[Porcentaje de muertes]]&lt;0.35,"LEVE",AND(Tabla1[[#This Row],[Porcentaje de muertes]]&gt;0.35,Tabla1[[#This Row],[Porcentaje de muertes]]&lt;0.65),"MEDIO",Tabla1[[#This Row],[Porcentaje de muertes]]&gt;0.65,"GRAVE")</f>
        <v>GRAVE</v>
      </c>
    </row>
    <row r="3699" spans="2:24" x14ac:dyDescent="0.3">
      <c r="B3699" s="9">
        <v>3698</v>
      </c>
      <c r="C3699" s="49">
        <v>33397</v>
      </c>
      <c r="D3699" s="9">
        <f>YEAR(Tabla1[[#This Row],[Date]])</f>
        <v>1991</v>
      </c>
      <c r="E3699" s="9" t="str" cm="1">
        <f t="array" ref="E3699">IFERROR(_xlfn.IFS(AND(D3699&lt;1980,D3699&gt;=1970),"70",AND(D3699&lt;1990,D3699&gt;=1980),"80",AND(D3699&lt;2000,D3699&gt;=1990),"90",AND(D3699&lt;2010,D3699&gt;=2000),"00",AND(D3699&lt;=2019,D3699&gt;=2010),"10"),"1908-1970")</f>
        <v>90</v>
      </c>
      <c r="F3699" s="3" t="s">
        <v>28931</v>
      </c>
      <c r="G3699" t="s">
        <v>21670</v>
      </c>
      <c r="H3699" t="s">
        <v>21671</v>
      </c>
      <c r="I3699" t="s">
        <v>28931</v>
      </c>
      <c r="J3699" t="s">
        <v>21672</v>
      </c>
      <c r="K3699" t="s">
        <v>16626</v>
      </c>
      <c r="L3699" s="7" t="s">
        <v>21673</v>
      </c>
      <c r="M3699">
        <v>676</v>
      </c>
      <c r="N3699">
        <v>10</v>
      </c>
      <c r="O3699">
        <v>8</v>
      </c>
      <c r="P3699">
        <v>2</v>
      </c>
      <c r="Q3699">
        <v>6</v>
      </c>
      <c r="R3699">
        <v>5</v>
      </c>
      <c r="S3699">
        <v>1</v>
      </c>
      <c r="T3699">
        <v>0</v>
      </c>
      <c r="U3699" t="s">
        <v>21674</v>
      </c>
      <c r="V3699">
        <f>Tabla1[[#This Row],[Aboard]]-Tabla1[[#This Row],[Fatalities]]</f>
        <v>4</v>
      </c>
      <c r="W3699" s="50">
        <f>IFERROR(Tabla1[[#This Row],[Fatalities]]/Tabla1[[#This Row],[Aboard]],0)</f>
        <v>0.6</v>
      </c>
      <c r="X3699" s="51" t="str" cm="1">
        <f t="array" ref="X3699">_xlfn.IFS(Tabla1[[#This Row],[Porcentaje de muertes]]&lt;0.35,"LEVE",AND(Tabla1[[#This Row],[Porcentaje de muertes]]&gt;0.35,Tabla1[[#This Row],[Porcentaje de muertes]]&lt;0.65),"MEDIO",Tabla1[[#This Row],[Porcentaje de muertes]]&gt;0.65,"GRAVE")</f>
        <v>MEDIO</v>
      </c>
    </row>
    <row r="3700" spans="2:24" x14ac:dyDescent="0.3">
      <c r="B3700" s="9">
        <v>3699</v>
      </c>
      <c r="C3700" s="49">
        <v>33464</v>
      </c>
      <c r="D3700" s="9">
        <f>YEAR(Tabla1[[#This Row],[Date]])</f>
        <v>1991</v>
      </c>
      <c r="E3700" s="9" t="str" cm="1">
        <f t="array" ref="E3700">IFERROR(_xlfn.IFS(AND(D3700&lt;1980,D3700&gt;=1970),"70",AND(D3700&lt;1990,D3700&gt;=1980),"80",AND(D3700&lt;2000,D3700&gt;=1990),"90",AND(D3700&lt;2010,D3700&gt;=2000),"00",AND(D3700&lt;=2019,D3700&gt;=2010),"10"),"1908-1970")</f>
        <v>90</v>
      </c>
      <c r="F3700" s="3">
        <v>0.99513888888888891</v>
      </c>
      <c r="G3700" t="s">
        <v>21675</v>
      </c>
      <c r="H3700" t="s">
        <v>13884</v>
      </c>
      <c r="I3700" t="s">
        <v>28931</v>
      </c>
      <c r="J3700" t="s">
        <v>21676</v>
      </c>
      <c r="K3700" t="s">
        <v>13812</v>
      </c>
      <c r="L3700" s="7" t="s">
        <v>21677</v>
      </c>
      <c r="M3700">
        <v>185008301</v>
      </c>
      <c r="N3700">
        <v>9</v>
      </c>
      <c r="O3700">
        <v>4</v>
      </c>
      <c r="P3700">
        <v>5</v>
      </c>
      <c r="Q3700">
        <v>9</v>
      </c>
      <c r="R3700">
        <v>4</v>
      </c>
      <c r="S3700">
        <v>5</v>
      </c>
      <c r="T3700">
        <v>0</v>
      </c>
      <c r="U3700" t="s">
        <v>21678</v>
      </c>
      <c r="V3700">
        <f>Tabla1[[#This Row],[Aboard]]-Tabla1[[#This Row],[Fatalities]]</f>
        <v>0</v>
      </c>
      <c r="W3700" s="50">
        <f>IFERROR(Tabla1[[#This Row],[Fatalities]]/Tabla1[[#This Row],[Aboard]],0)</f>
        <v>1</v>
      </c>
      <c r="X3700" s="51" t="str" cm="1">
        <f t="array" ref="X3700">_xlfn.IFS(Tabla1[[#This Row],[Porcentaje de muertes]]&lt;0.35,"LEVE",AND(Tabla1[[#This Row],[Porcentaje de muertes]]&gt;0.35,Tabla1[[#This Row],[Porcentaje de muertes]]&lt;0.65),"MEDIO",Tabla1[[#This Row],[Porcentaje de muertes]]&gt;0.65,"GRAVE")</f>
        <v>GRAVE</v>
      </c>
    </row>
    <row r="3701" spans="2:24" x14ac:dyDescent="0.3">
      <c r="B3701" s="9">
        <v>3700</v>
      </c>
      <c r="C3701" s="49">
        <v>33466</v>
      </c>
      <c r="D3701" s="9">
        <f>YEAR(Tabla1[[#This Row],[Date]])</f>
        <v>1991</v>
      </c>
      <c r="E3701" s="9" t="str" cm="1">
        <f t="array" ref="E3701">IFERROR(_xlfn.IFS(AND(D3701&lt;1980,D3701&gt;=1970),"70",AND(D3701&lt;1990,D3701&gt;=1980),"80",AND(D3701&lt;2000,D3701&gt;=1990),"90",AND(D3701&lt;2010,D3701&gt;=2000),"00",AND(D3701&lt;=2019,D3701&gt;=2010),"10"),"1908-1970")</f>
        <v>90</v>
      </c>
      <c r="F3701" s="3">
        <v>7.9861111111111105E-2</v>
      </c>
      <c r="G3701" t="s">
        <v>21679</v>
      </c>
      <c r="H3701" t="s">
        <v>11150</v>
      </c>
      <c r="I3701">
        <v>257</v>
      </c>
      <c r="J3701" t="s">
        <v>21680</v>
      </c>
      <c r="K3701" t="s">
        <v>16809</v>
      </c>
      <c r="L3701" s="7" t="s">
        <v>21681</v>
      </c>
      <c r="M3701">
        <v>21497</v>
      </c>
      <c r="N3701">
        <v>69</v>
      </c>
      <c r="O3701">
        <v>63</v>
      </c>
      <c r="P3701">
        <v>6</v>
      </c>
      <c r="Q3701">
        <v>69</v>
      </c>
      <c r="R3701">
        <v>63</v>
      </c>
      <c r="S3701">
        <v>6</v>
      </c>
      <c r="T3701">
        <v>0</v>
      </c>
      <c r="U3701" t="s">
        <v>21682</v>
      </c>
      <c r="V3701">
        <f>Tabla1[[#This Row],[Aboard]]-Tabla1[[#This Row],[Fatalities]]</f>
        <v>0</v>
      </c>
      <c r="W3701" s="50">
        <f>IFERROR(Tabla1[[#This Row],[Fatalities]]/Tabla1[[#This Row],[Aboard]],0)</f>
        <v>1</v>
      </c>
      <c r="X3701" s="51" t="str" cm="1">
        <f t="array" ref="X3701">_xlfn.IFS(Tabla1[[#This Row],[Porcentaje de muertes]]&lt;0.35,"LEVE",AND(Tabla1[[#This Row],[Porcentaje de muertes]]&gt;0.35,Tabla1[[#This Row],[Porcentaje de muertes]]&lt;0.65),"MEDIO",Tabla1[[#This Row],[Porcentaje de muertes]]&gt;0.65,"GRAVE")</f>
        <v>GRAVE</v>
      </c>
    </row>
    <row r="3702" spans="2:24" x14ac:dyDescent="0.3">
      <c r="B3702" s="9">
        <v>3701</v>
      </c>
      <c r="C3702" s="49">
        <v>33470</v>
      </c>
      <c r="D3702" s="9">
        <f>YEAR(Tabla1[[#This Row],[Date]])</f>
        <v>1991</v>
      </c>
      <c r="E3702" s="9" t="str" cm="1">
        <f t="array" ref="E3702">IFERROR(_xlfn.IFS(AND(D3702&lt;1980,D3702&gt;=1970),"70",AND(D3702&lt;1990,D3702&gt;=1980),"80",AND(D3702&lt;2000,D3702&gt;=1990),"90",AND(D3702&lt;2010,D3702&gt;=2000),"00",AND(D3702&lt;=2019,D3702&gt;=2010),"10"),"1908-1970")</f>
        <v>90</v>
      </c>
      <c r="F3702" s="3">
        <v>0.55208333333333337</v>
      </c>
      <c r="G3702" t="s">
        <v>12831</v>
      </c>
      <c r="H3702" t="s">
        <v>21683</v>
      </c>
      <c r="I3702" t="s">
        <v>28931</v>
      </c>
      <c r="J3702" t="s">
        <v>21684</v>
      </c>
      <c r="K3702" t="s">
        <v>16626</v>
      </c>
      <c r="L3702" s="7" t="s">
        <v>21685</v>
      </c>
      <c r="M3702">
        <v>2009</v>
      </c>
      <c r="N3702">
        <v>4</v>
      </c>
      <c r="O3702">
        <v>3</v>
      </c>
      <c r="P3702">
        <v>1</v>
      </c>
      <c r="Q3702">
        <v>4</v>
      </c>
      <c r="R3702">
        <v>3</v>
      </c>
      <c r="S3702">
        <v>1</v>
      </c>
      <c r="T3702">
        <v>0</v>
      </c>
      <c r="U3702" t="s">
        <v>21686</v>
      </c>
      <c r="V3702">
        <f>Tabla1[[#This Row],[Aboard]]-Tabla1[[#This Row],[Fatalities]]</f>
        <v>0</v>
      </c>
      <c r="W3702" s="50">
        <f>IFERROR(Tabla1[[#This Row],[Fatalities]]/Tabla1[[#This Row],[Aboard]],0)</f>
        <v>1</v>
      </c>
      <c r="X3702" s="51" t="str" cm="1">
        <f t="array" ref="X3702">_xlfn.IFS(Tabla1[[#This Row],[Porcentaje de muertes]]&lt;0.35,"LEVE",AND(Tabla1[[#This Row],[Porcentaje de muertes]]&gt;0.35,Tabla1[[#This Row],[Porcentaje de muertes]]&lt;0.65),"MEDIO",Tabla1[[#This Row],[Porcentaje de muertes]]&gt;0.65,"GRAVE")</f>
        <v>GRAVE</v>
      </c>
    </row>
    <row r="3703" spans="2:24" x14ac:dyDescent="0.3">
      <c r="B3703" s="9">
        <v>3702</v>
      </c>
      <c r="C3703" s="49">
        <v>33478</v>
      </c>
      <c r="D3703" s="9">
        <f>YEAR(Tabla1[[#This Row],[Date]])</f>
        <v>1991</v>
      </c>
      <c r="E3703" s="9" t="str" cm="1">
        <f t="array" ref="E3703">IFERROR(_xlfn.IFS(AND(D3703&lt;1980,D3703&gt;=1970),"70",AND(D3703&lt;1990,D3703&gt;=1980),"80",AND(D3703&lt;2000,D3703&gt;=1990),"90",AND(D3703&lt;2010,D3703&gt;=2000),"00",AND(D3703&lt;=2019,D3703&gt;=2010),"10"),"1908-1970")</f>
        <v>90</v>
      </c>
      <c r="F3703" s="3">
        <v>0.99930555555555556</v>
      </c>
      <c r="G3703" t="s">
        <v>21687</v>
      </c>
      <c r="H3703" t="s">
        <v>21688</v>
      </c>
      <c r="I3703" t="s">
        <v>28931</v>
      </c>
      <c r="J3703" t="s">
        <v>28931</v>
      </c>
      <c r="K3703" t="s">
        <v>21689</v>
      </c>
      <c r="L3703" s="7" t="s">
        <v>21690</v>
      </c>
      <c r="M3703" t="s">
        <v>28931</v>
      </c>
      <c r="N3703">
        <v>3</v>
      </c>
      <c r="O3703">
        <v>2</v>
      </c>
      <c r="P3703">
        <v>1</v>
      </c>
      <c r="Q3703">
        <v>3</v>
      </c>
      <c r="R3703">
        <v>2</v>
      </c>
      <c r="S3703">
        <v>1</v>
      </c>
      <c r="T3703">
        <v>0</v>
      </c>
      <c r="U3703" t="s">
        <v>21691</v>
      </c>
      <c r="V3703">
        <f>Tabla1[[#This Row],[Aboard]]-Tabla1[[#This Row],[Fatalities]]</f>
        <v>0</v>
      </c>
      <c r="W3703" s="50">
        <f>IFERROR(Tabla1[[#This Row],[Fatalities]]/Tabla1[[#This Row],[Aboard]],0)</f>
        <v>1</v>
      </c>
      <c r="X3703" s="51" t="str" cm="1">
        <f t="array" ref="X3703">_xlfn.IFS(Tabla1[[#This Row],[Porcentaje de muertes]]&lt;0.35,"LEVE",AND(Tabla1[[#This Row],[Porcentaje de muertes]]&gt;0.35,Tabla1[[#This Row],[Porcentaje de muertes]]&lt;0.65),"MEDIO",Tabla1[[#This Row],[Porcentaje de muertes]]&gt;0.65,"GRAVE")</f>
        <v>GRAVE</v>
      </c>
    </row>
    <row r="3704" spans="2:24" x14ac:dyDescent="0.3">
      <c r="B3704" s="9">
        <v>3703</v>
      </c>
      <c r="C3704" s="49">
        <v>33306</v>
      </c>
      <c r="D3704" s="9">
        <f>YEAR(Tabla1[[#This Row],[Date]])</f>
        <v>1991</v>
      </c>
      <c r="E3704" s="9" t="str" cm="1">
        <f t="array" ref="E3704">IFERROR(_xlfn.IFS(AND(D3704&lt;1980,D3704&gt;=1970),"70",AND(D3704&lt;1990,D3704&gt;=1980),"80",AND(D3704&lt;2000,D3704&gt;=1990),"90",AND(D3704&lt;2010,D3704&gt;=2000),"00",AND(D3704&lt;=2019,D3704&gt;=2010),"10"),"1908-1970")</f>
        <v>90</v>
      </c>
      <c r="F3704" s="3" t="s">
        <v>28931</v>
      </c>
      <c r="G3704" t="s">
        <v>21692</v>
      </c>
      <c r="H3704" t="s">
        <v>21693</v>
      </c>
      <c r="I3704" t="s">
        <v>28931</v>
      </c>
      <c r="J3704" t="s">
        <v>21694</v>
      </c>
      <c r="K3704" t="s">
        <v>21695</v>
      </c>
      <c r="L3704" s="7" t="s">
        <v>21696</v>
      </c>
      <c r="M3704">
        <v>752</v>
      </c>
      <c r="N3704">
        <v>10</v>
      </c>
      <c r="O3704">
        <v>8</v>
      </c>
      <c r="P3704">
        <v>2</v>
      </c>
      <c r="Q3704">
        <v>3</v>
      </c>
      <c r="R3704">
        <v>1</v>
      </c>
      <c r="S3704">
        <v>2</v>
      </c>
      <c r="T3704">
        <v>0</v>
      </c>
      <c r="U3704" t="s">
        <v>21697</v>
      </c>
      <c r="V3704">
        <f>Tabla1[[#This Row],[Aboard]]-Tabla1[[#This Row],[Fatalities]]</f>
        <v>7</v>
      </c>
      <c r="W3704" s="50">
        <f>IFERROR(Tabla1[[#This Row],[Fatalities]]/Tabla1[[#This Row],[Aboard]],0)</f>
        <v>0.3</v>
      </c>
      <c r="X3704" s="51" t="str" cm="1">
        <f t="array" ref="X3704">_xlfn.IFS(Tabla1[[#This Row],[Porcentaje de muertes]]&lt;0.35,"LEVE",AND(Tabla1[[#This Row],[Porcentaje de muertes]]&gt;0.35,Tabla1[[#This Row],[Porcentaje de muertes]]&lt;0.65),"MEDIO",Tabla1[[#This Row],[Porcentaje de muertes]]&gt;0.65,"GRAVE")</f>
        <v>LEVE</v>
      </c>
    </row>
    <row r="3705" spans="2:24" x14ac:dyDescent="0.3">
      <c r="B3705" s="9">
        <v>3704</v>
      </c>
      <c r="C3705" s="49">
        <v>33337</v>
      </c>
      <c r="D3705" s="9">
        <f>YEAR(Tabla1[[#This Row],[Date]])</f>
        <v>1991</v>
      </c>
      <c r="E3705" s="9" t="str" cm="1">
        <f t="array" ref="E3705">IFERROR(_xlfn.IFS(AND(D3705&lt;1980,D3705&gt;=1970),"70",AND(D3705&lt;1990,D3705&gt;=1980),"80",AND(D3705&lt;2000,D3705&gt;=1990),"90",AND(D3705&lt;2010,D3705&gt;=2000),"00",AND(D3705&lt;=2019,D3705&gt;=2010),"10"),"1908-1970")</f>
        <v>90</v>
      </c>
      <c r="F3705" s="3">
        <v>0.59027777777777779</v>
      </c>
      <c r="G3705" t="s">
        <v>21698</v>
      </c>
      <c r="H3705" t="s">
        <v>21699</v>
      </c>
      <c r="I3705" t="s">
        <v>28931</v>
      </c>
      <c r="J3705" t="s">
        <v>21700</v>
      </c>
      <c r="K3705" t="s">
        <v>20425</v>
      </c>
      <c r="L3705" s="7" t="s">
        <v>21701</v>
      </c>
      <c r="M3705" t="s">
        <v>21702</v>
      </c>
      <c r="N3705">
        <v>20</v>
      </c>
      <c r="O3705">
        <v>18</v>
      </c>
      <c r="P3705">
        <v>2</v>
      </c>
      <c r="Q3705">
        <v>14</v>
      </c>
      <c r="R3705">
        <v>12</v>
      </c>
      <c r="S3705">
        <v>2</v>
      </c>
      <c r="T3705">
        <v>0</v>
      </c>
      <c r="U3705" t="s">
        <v>21703</v>
      </c>
      <c r="V3705">
        <f>Tabla1[[#This Row],[Aboard]]-Tabla1[[#This Row],[Fatalities]]</f>
        <v>6</v>
      </c>
      <c r="W3705" s="50">
        <f>IFERROR(Tabla1[[#This Row],[Fatalities]]/Tabla1[[#This Row],[Aboard]],0)</f>
        <v>0.7</v>
      </c>
      <c r="X3705" s="51" t="str" cm="1">
        <f t="array" ref="X3705">_xlfn.IFS(Tabla1[[#This Row],[Porcentaje de muertes]]&lt;0.35,"LEVE",AND(Tabla1[[#This Row],[Porcentaje de muertes]]&gt;0.35,Tabla1[[#This Row],[Porcentaje de muertes]]&lt;0.65),"MEDIO",Tabla1[[#This Row],[Porcentaje de muertes]]&gt;0.65,"GRAVE")</f>
        <v>GRAVE</v>
      </c>
    </row>
    <row r="3706" spans="2:24" x14ac:dyDescent="0.3">
      <c r="B3706" s="9">
        <v>3705</v>
      </c>
      <c r="C3706" s="49">
        <v>33551</v>
      </c>
      <c r="D3706" s="9">
        <f>YEAR(Tabla1[[#This Row],[Date]])</f>
        <v>1991</v>
      </c>
      <c r="E3706" s="9" t="str" cm="1">
        <f t="array" ref="E3706">IFERROR(_xlfn.IFS(AND(D3706&lt;1980,D3706&gt;=1970),"70",AND(D3706&lt;1990,D3706&gt;=1980),"80",AND(D3706&lt;2000,D3706&gt;=1990),"90",AND(D3706&lt;2010,D3706&gt;=2000),"00",AND(D3706&lt;=2019,D3706&gt;=2010),"10"),"1908-1970")</f>
        <v>90</v>
      </c>
      <c r="F3706" s="3">
        <v>0.41875000000000001</v>
      </c>
      <c r="G3706" t="s">
        <v>21704</v>
      </c>
      <c r="H3706" t="s">
        <v>21705</v>
      </c>
      <c r="I3706">
        <v>2574</v>
      </c>
      <c r="J3706" t="s">
        <v>21706</v>
      </c>
      <c r="K3706" t="s">
        <v>20169</v>
      </c>
      <c r="L3706" s="7" t="s">
        <v>21707</v>
      </c>
      <c r="M3706" t="s">
        <v>21708</v>
      </c>
      <c r="N3706">
        <v>14</v>
      </c>
      <c r="O3706">
        <v>11</v>
      </c>
      <c r="P3706">
        <v>3</v>
      </c>
      <c r="Q3706">
        <v>14</v>
      </c>
      <c r="R3706">
        <v>11</v>
      </c>
      <c r="S3706">
        <v>3</v>
      </c>
      <c r="T3706">
        <v>0</v>
      </c>
      <c r="U3706" t="s">
        <v>21709</v>
      </c>
      <c r="V3706">
        <f>Tabla1[[#This Row],[Aboard]]-Tabla1[[#This Row],[Fatalities]]</f>
        <v>0</v>
      </c>
      <c r="W3706" s="50">
        <f>IFERROR(Tabla1[[#This Row],[Fatalities]]/Tabla1[[#This Row],[Aboard]],0)</f>
        <v>1</v>
      </c>
      <c r="X3706" s="51" t="str" cm="1">
        <f t="array" ref="X3706">_xlfn.IFS(Tabla1[[#This Row],[Porcentaje de muertes]]&lt;0.35,"LEVE",AND(Tabla1[[#This Row],[Porcentaje de muertes]]&gt;0.35,Tabla1[[#This Row],[Porcentaje de muertes]]&lt;0.65),"MEDIO",Tabla1[[#This Row],[Porcentaje de muertes]]&gt;0.65,"GRAVE")</f>
        <v>GRAVE</v>
      </c>
    </row>
    <row r="3707" spans="2:24" x14ac:dyDescent="0.3">
      <c r="B3707" s="9">
        <v>3706</v>
      </c>
      <c r="C3707" s="49">
        <v>33497</v>
      </c>
      <c r="D3707" s="9">
        <f>YEAR(Tabla1[[#This Row],[Date]])</f>
        <v>1991</v>
      </c>
      <c r="E3707" s="9" t="str" cm="1">
        <f t="array" ref="E3707">IFERROR(_xlfn.IFS(AND(D3707&lt;1980,D3707&gt;=1970),"70",AND(D3707&lt;1990,D3707&gt;=1980),"80",AND(D3707&lt;2000,D3707&gt;=1990),"90",AND(D3707&lt;2010,D3707&gt;=2000),"00",AND(D3707&lt;=2019,D3707&gt;=2010),"10"),"1908-1970")</f>
        <v>90</v>
      </c>
      <c r="F3707" s="3">
        <v>0.80625000000000002</v>
      </c>
      <c r="G3707" t="s">
        <v>21710</v>
      </c>
      <c r="H3707" t="s">
        <v>6541</v>
      </c>
      <c r="I3707" t="s">
        <v>28931</v>
      </c>
      <c r="J3707" t="s">
        <v>21711</v>
      </c>
      <c r="K3707" t="s">
        <v>21712</v>
      </c>
      <c r="L3707" s="7" t="s">
        <v>21713</v>
      </c>
      <c r="M3707" t="s">
        <v>21714</v>
      </c>
      <c r="N3707">
        <v>13</v>
      </c>
      <c r="O3707">
        <v>7</v>
      </c>
      <c r="P3707">
        <v>6</v>
      </c>
      <c r="Q3707">
        <v>13</v>
      </c>
      <c r="R3707">
        <v>7</v>
      </c>
      <c r="S3707">
        <v>6</v>
      </c>
      <c r="T3707">
        <v>0</v>
      </c>
      <c r="U3707" t="s">
        <v>21715</v>
      </c>
      <c r="V3707">
        <f>Tabla1[[#This Row],[Aboard]]-Tabla1[[#This Row],[Fatalities]]</f>
        <v>0</v>
      </c>
      <c r="W3707" s="50">
        <f>IFERROR(Tabla1[[#This Row],[Fatalities]]/Tabla1[[#This Row],[Aboard]],0)</f>
        <v>1</v>
      </c>
      <c r="X3707" s="51" t="str" cm="1">
        <f t="array" ref="X3707">_xlfn.IFS(Tabla1[[#This Row],[Porcentaje de muertes]]&lt;0.35,"LEVE",AND(Tabla1[[#This Row],[Porcentaje de muertes]]&gt;0.35,Tabla1[[#This Row],[Porcentaje de muertes]]&lt;0.65),"MEDIO",Tabla1[[#This Row],[Porcentaje de muertes]]&gt;0.65,"GRAVE")</f>
        <v>GRAVE</v>
      </c>
    </row>
    <row r="3708" spans="2:24" x14ac:dyDescent="0.3">
      <c r="B3708" s="9">
        <v>3707</v>
      </c>
      <c r="C3708" s="49">
        <v>33498</v>
      </c>
      <c r="D3708" s="9">
        <f>YEAR(Tabla1[[#This Row],[Date]])</f>
        <v>1991</v>
      </c>
      <c r="E3708" s="9" t="str" cm="1">
        <f t="array" ref="E3708">IFERROR(_xlfn.IFS(AND(D3708&lt;1980,D3708&gt;=1970),"70",AND(D3708&lt;1990,D3708&gt;=1980),"80",AND(D3708&lt;2000,D3708&gt;=1990),"90",AND(D3708&lt;2010,D3708&gt;=2000),"00",AND(D3708&lt;=2019,D3708&gt;=2010),"10"),"1908-1970")</f>
        <v>90</v>
      </c>
      <c r="F3708" s="3" t="s">
        <v>28931</v>
      </c>
      <c r="G3708" t="s">
        <v>21716</v>
      </c>
      <c r="H3708" t="s">
        <v>13000</v>
      </c>
      <c r="I3708" t="s">
        <v>28931</v>
      </c>
      <c r="J3708" t="s">
        <v>21717</v>
      </c>
      <c r="K3708" t="s">
        <v>17107</v>
      </c>
      <c r="L3708" s="7" t="s">
        <v>21718</v>
      </c>
      <c r="M3708">
        <v>5029</v>
      </c>
      <c r="N3708">
        <v>4</v>
      </c>
      <c r="O3708">
        <v>0</v>
      </c>
      <c r="P3708">
        <v>4</v>
      </c>
      <c r="Q3708">
        <v>4</v>
      </c>
      <c r="R3708">
        <v>0</v>
      </c>
      <c r="S3708">
        <v>4</v>
      </c>
      <c r="T3708">
        <v>0</v>
      </c>
      <c r="U3708" t="s">
        <v>21719</v>
      </c>
      <c r="V3708">
        <f>Tabla1[[#This Row],[Aboard]]-Tabla1[[#This Row],[Fatalities]]</f>
        <v>0</v>
      </c>
      <c r="W3708" s="50">
        <f>IFERROR(Tabla1[[#This Row],[Fatalities]]/Tabla1[[#This Row],[Aboard]],0)</f>
        <v>1</v>
      </c>
      <c r="X3708" s="51" t="str" cm="1">
        <f t="array" ref="X3708">_xlfn.IFS(Tabla1[[#This Row],[Porcentaje de muertes]]&lt;0.35,"LEVE",AND(Tabla1[[#This Row],[Porcentaje de muertes]]&gt;0.35,Tabla1[[#This Row],[Porcentaje de muertes]]&lt;0.65),"MEDIO",Tabla1[[#This Row],[Porcentaje de muertes]]&gt;0.65,"GRAVE")</f>
        <v>GRAVE</v>
      </c>
    </row>
    <row r="3709" spans="2:24" x14ac:dyDescent="0.3">
      <c r="B3709" s="9">
        <v>3708</v>
      </c>
      <c r="C3709" s="49">
        <v>33499</v>
      </c>
      <c r="D3709" s="9">
        <f>YEAR(Tabla1[[#This Row],[Date]])</f>
        <v>1991</v>
      </c>
      <c r="E3709" s="9" t="str" cm="1">
        <f t="array" ref="E3709">IFERROR(_xlfn.IFS(AND(D3709&lt;1980,D3709&gt;=1970),"70",AND(D3709&lt;1990,D3709&gt;=1980),"80",AND(D3709&lt;2000,D3709&gt;=1990),"90",AND(D3709&lt;2010,D3709&gt;=2000),"00",AND(D3709&lt;=2019,D3709&gt;=2010),"10"),"1908-1970")</f>
        <v>90</v>
      </c>
      <c r="F3709" s="3">
        <v>0.91319444444444453</v>
      </c>
      <c r="G3709" t="s">
        <v>21720</v>
      </c>
      <c r="H3709" t="s">
        <v>21721</v>
      </c>
      <c r="I3709" t="s">
        <v>28931</v>
      </c>
      <c r="J3709" t="s">
        <v>21722</v>
      </c>
      <c r="K3709" t="s">
        <v>14857</v>
      </c>
      <c r="L3709" s="7" t="s">
        <v>21723</v>
      </c>
      <c r="M3709">
        <v>98</v>
      </c>
      <c r="N3709">
        <v>2</v>
      </c>
      <c r="O3709">
        <v>0</v>
      </c>
      <c r="P3709">
        <v>2</v>
      </c>
      <c r="Q3709">
        <v>2</v>
      </c>
      <c r="R3709">
        <v>0</v>
      </c>
      <c r="S3709">
        <v>2</v>
      </c>
      <c r="T3709">
        <v>0</v>
      </c>
      <c r="U3709" t="s">
        <v>21724</v>
      </c>
      <c r="V3709">
        <f>Tabla1[[#This Row],[Aboard]]-Tabla1[[#This Row],[Fatalities]]</f>
        <v>0</v>
      </c>
      <c r="W3709" s="50">
        <f>IFERROR(Tabla1[[#This Row],[Fatalities]]/Tabla1[[#This Row],[Aboard]],0)</f>
        <v>1</v>
      </c>
      <c r="X3709" s="51" t="str" cm="1">
        <f t="array" ref="X3709">_xlfn.IFS(Tabla1[[#This Row],[Porcentaje de muertes]]&lt;0.35,"LEVE",AND(Tabla1[[#This Row],[Porcentaje de muertes]]&gt;0.35,Tabla1[[#This Row],[Porcentaje de muertes]]&lt;0.65),"MEDIO",Tabla1[[#This Row],[Porcentaje de muertes]]&gt;0.65,"GRAVE")</f>
        <v>GRAVE</v>
      </c>
    </row>
    <row r="3710" spans="2:24" x14ac:dyDescent="0.3">
      <c r="B3710" s="9">
        <v>3709</v>
      </c>
      <c r="C3710" s="49">
        <v>33504</v>
      </c>
      <c r="D3710" s="9">
        <f>YEAR(Tabla1[[#This Row],[Date]])</f>
        <v>1991</v>
      </c>
      <c r="E3710" s="9" t="str" cm="1">
        <f t="array" ref="E3710">IFERROR(_xlfn.IFS(AND(D3710&lt;1980,D3710&gt;=1970),"70",AND(D3710&lt;1990,D3710&gt;=1980),"80",AND(D3710&lt;2000,D3710&gt;=1990),"90",AND(D3710&lt;2010,D3710&gt;=2000),"00",AND(D3710&lt;=2019,D3710&gt;=2010),"10"),"1908-1970")</f>
        <v>90</v>
      </c>
      <c r="F3710" s="3" t="s">
        <v>28931</v>
      </c>
      <c r="G3710" t="s">
        <v>21725</v>
      </c>
      <c r="H3710" t="s">
        <v>6541</v>
      </c>
      <c r="I3710" t="s">
        <v>28931</v>
      </c>
      <c r="J3710" t="s">
        <v>28931</v>
      </c>
      <c r="K3710" t="s">
        <v>20707</v>
      </c>
      <c r="L3710" s="7" t="s">
        <v>21726</v>
      </c>
      <c r="M3710">
        <v>7345407</v>
      </c>
      <c r="N3710">
        <v>16</v>
      </c>
      <c r="O3710">
        <v>9</v>
      </c>
      <c r="P3710">
        <v>7</v>
      </c>
      <c r="Q3710">
        <v>1</v>
      </c>
      <c r="R3710">
        <v>1</v>
      </c>
      <c r="S3710">
        <v>0</v>
      </c>
      <c r="T3710">
        <v>0</v>
      </c>
      <c r="U3710" t="s">
        <v>21727</v>
      </c>
      <c r="V3710">
        <f>Tabla1[[#This Row],[Aboard]]-Tabla1[[#This Row],[Fatalities]]</f>
        <v>15</v>
      </c>
      <c r="W3710" s="50">
        <f>IFERROR(Tabla1[[#This Row],[Fatalities]]/Tabla1[[#This Row],[Aboard]],0)</f>
        <v>6.25E-2</v>
      </c>
      <c r="X3710" s="51" t="str" cm="1">
        <f t="array" ref="X3710">_xlfn.IFS(Tabla1[[#This Row],[Porcentaje de muertes]]&lt;0.35,"LEVE",AND(Tabla1[[#This Row],[Porcentaje de muertes]]&gt;0.35,Tabla1[[#This Row],[Porcentaje de muertes]]&lt;0.65),"MEDIO",Tabla1[[#This Row],[Porcentaje de muertes]]&gt;0.65,"GRAVE")</f>
        <v>LEVE</v>
      </c>
    </row>
    <row r="3711" spans="2:24" x14ac:dyDescent="0.3">
      <c r="B3711" s="9">
        <v>3710</v>
      </c>
      <c r="C3711" s="49">
        <v>33507</v>
      </c>
      <c r="D3711" s="9">
        <f>YEAR(Tabla1[[#This Row],[Date]])</f>
        <v>1991</v>
      </c>
      <c r="E3711" s="9" t="str" cm="1">
        <f t="array" ref="E3711">IFERROR(_xlfn.IFS(AND(D3711&lt;1980,D3711&gt;=1970),"70",AND(D3711&lt;1990,D3711&gt;=1980),"80",AND(D3711&lt;2000,D3711&gt;=1990),"90",AND(D3711&lt;2010,D3711&gt;=2000),"00",AND(D3711&lt;=2019,D3711&gt;=2010),"10"),"1908-1970")</f>
        <v>90</v>
      </c>
      <c r="F3711" s="3" t="s">
        <v>28931</v>
      </c>
      <c r="G3711" t="s">
        <v>21728</v>
      </c>
      <c r="H3711" t="s">
        <v>6541</v>
      </c>
      <c r="I3711" t="s">
        <v>28931</v>
      </c>
      <c r="J3711" t="s">
        <v>21729</v>
      </c>
      <c r="K3711" t="s">
        <v>17904</v>
      </c>
      <c r="L3711" s="7" t="s">
        <v>21642</v>
      </c>
      <c r="M3711" t="s">
        <v>21730</v>
      </c>
      <c r="N3711">
        <v>10</v>
      </c>
      <c r="O3711">
        <v>7</v>
      </c>
      <c r="P3711">
        <v>3</v>
      </c>
      <c r="Q3711">
        <v>10</v>
      </c>
      <c r="R3711">
        <v>7</v>
      </c>
      <c r="S3711">
        <v>3</v>
      </c>
      <c r="T3711">
        <v>0</v>
      </c>
      <c r="U3711" t="s">
        <v>21731</v>
      </c>
      <c r="V3711">
        <f>Tabla1[[#This Row],[Aboard]]-Tabla1[[#This Row],[Fatalities]]</f>
        <v>0</v>
      </c>
      <c r="W3711" s="50">
        <f>IFERROR(Tabla1[[#This Row],[Fatalities]]/Tabla1[[#This Row],[Aboard]],0)</f>
        <v>1</v>
      </c>
      <c r="X3711" s="51" t="str" cm="1">
        <f t="array" ref="X3711">_xlfn.IFS(Tabla1[[#This Row],[Porcentaje de muertes]]&lt;0.35,"LEVE",AND(Tabla1[[#This Row],[Porcentaje de muertes]]&gt;0.35,Tabla1[[#This Row],[Porcentaje de muertes]]&lt;0.65),"MEDIO",Tabla1[[#This Row],[Porcentaje de muertes]]&gt;0.65,"GRAVE")</f>
        <v>GRAVE</v>
      </c>
    </row>
    <row r="3712" spans="2:24" x14ac:dyDescent="0.3">
      <c r="B3712" s="9">
        <v>3711</v>
      </c>
      <c r="C3712" s="49">
        <v>33508</v>
      </c>
      <c r="D3712" s="9">
        <f>YEAR(Tabla1[[#This Row],[Date]])</f>
        <v>1991</v>
      </c>
      <c r="E3712" s="9" t="str" cm="1">
        <f t="array" ref="E3712">IFERROR(_xlfn.IFS(AND(D3712&lt;1980,D3712&gt;=1970),"70",AND(D3712&lt;1990,D3712&gt;=1980),"80",AND(D3712&lt;2000,D3712&gt;=1990),"90",AND(D3712&lt;2010,D3712&gt;=2000),"00",AND(D3712&lt;=2019,D3712&gt;=2010),"10"),"1908-1970")</f>
        <v>90</v>
      </c>
      <c r="F3712" s="3" t="s">
        <v>28931</v>
      </c>
      <c r="G3712" t="s">
        <v>21732</v>
      </c>
      <c r="H3712" t="s">
        <v>18253</v>
      </c>
      <c r="I3712" t="s">
        <v>28931</v>
      </c>
      <c r="J3712" t="s">
        <v>21733</v>
      </c>
      <c r="K3712" t="s">
        <v>16680</v>
      </c>
      <c r="L3712" s="7" t="s">
        <v>21734</v>
      </c>
      <c r="M3712">
        <v>271</v>
      </c>
      <c r="N3712">
        <v>15</v>
      </c>
      <c r="O3712">
        <v>13</v>
      </c>
      <c r="P3712">
        <v>2</v>
      </c>
      <c r="Q3712">
        <v>15</v>
      </c>
      <c r="R3712">
        <v>13</v>
      </c>
      <c r="S3712">
        <v>2</v>
      </c>
      <c r="T3712">
        <v>0</v>
      </c>
      <c r="U3712" t="s">
        <v>21735</v>
      </c>
      <c r="V3712">
        <f>Tabla1[[#This Row],[Aboard]]-Tabla1[[#This Row],[Fatalities]]</f>
        <v>0</v>
      </c>
      <c r="W3712" s="50">
        <f>IFERROR(Tabla1[[#This Row],[Fatalities]]/Tabla1[[#This Row],[Aboard]],0)</f>
        <v>1</v>
      </c>
      <c r="X3712" s="51" t="str" cm="1">
        <f t="array" ref="X3712">_xlfn.IFS(Tabla1[[#This Row],[Porcentaje de muertes]]&lt;0.35,"LEVE",AND(Tabla1[[#This Row],[Porcentaje de muertes]]&gt;0.35,Tabla1[[#This Row],[Porcentaje de muertes]]&lt;0.65),"MEDIO",Tabla1[[#This Row],[Porcentaje de muertes]]&gt;0.65,"GRAVE")</f>
        <v>GRAVE</v>
      </c>
    </row>
    <row r="3713" spans="2:24" x14ac:dyDescent="0.3">
      <c r="B3713" s="9">
        <v>3712</v>
      </c>
      <c r="C3713" s="49">
        <v>33510</v>
      </c>
      <c r="D3713" s="9">
        <f>YEAR(Tabla1[[#This Row],[Date]])</f>
        <v>1991</v>
      </c>
      <c r="E3713" s="9" t="str" cm="1">
        <f t="array" ref="E3713">IFERROR(_xlfn.IFS(AND(D3713&lt;1980,D3713&gt;=1970),"70",AND(D3713&lt;1990,D3713&gt;=1980),"80",AND(D3713&lt;2000,D3713&gt;=1990),"90",AND(D3713&lt;2010,D3713&gt;=2000),"00",AND(D3713&lt;=2019,D3713&gt;=2010),"10"),"1908-1970")</f>
        <v>90</v>
      </c>
      <c r="F3713" s="3">
        <v>0.49305555555555558</v>
      </c>
      <c r="G3713" t="s">
        <v>21736</v>
      </c>
      <c r="H3713" t="s">
        <v>21737</v>
      </c>
      <c r="I3713" t="s">
        <v>28931</v>
      </c>
      <c r="J3713" t="s">
        <v>21738</v>
      </c>
      <c r="K3713" t="s">
        <v>8305</v>
      </c>
      <c r="L3713" s="7" t="s">
        <v>21739</v>
      </c>
      <c r="M3713">
        <v>30268</v>
      </c>
      <c r="N3713">
        <v>10</v>
      </c>
      <c r="O3713">
        <v>6</v>
      </c>
      <c r="P3713">
        <v>4</v>
      </c>
      <c r="Q3713">
        <v>1</v>
      </c>
      <c r="R3713">
        <v>1</v>
      </c>
      <c r="S3713">
        <v>0</v>
      </c>
      <c r="T3713">
        <v>0</v>
      </c>
      <c r="U3713" t="s">
        <v>21740</v>
      </c>
      <c r="V3713">
        <f>Tabla1[[#This Row],[Aboard]]-Tabla1[[#This Row],[Fatalities]]</f>
        <v>9</v>
      </c>
      <c r="W3713" s="50">
        <f>IFERROR(Tabla1[[#This Row],[Fatalities]]/Tabla1[[#This Row],[Aboard]],0)</f>
        <v>0.1</v>
      </c>
      <c r="X3713" s="51" t="str" cm="1">
        <f t="array" ref="X3713">_xlfn.IFS(Tabla1[[#This Row],[Porcentaje de muertes]]&lt;0.35,"LEVE",AND(Tabla1[[#This Row],[Porcentaje de muertes]]&gt;0.35,Tabla1[[#This Row],[Porcentaje de muertes]]&lt;0.65),"MEDIO",Tabla1[[#This Row],[Porcentaje de muertes]]&gt;0.65,"GRAVE")</f>
        <v>LEVE</v>
      </c>
    </row>
    <row r="3714" spans="2:24" x14ac:dyDescent="0.3">
      <c r="B3714" s="9">
        <v>3713</v>
      </c>
      <c r="C3714" s="49">
        <v>33368</v>
      </c>
      <c r="D3714" s="9">
        <f>YEAR(Tabla1[[#This Row],[Date]])</f>
        <v>1991</v>
      </c>
      <c r="E3714" s="9" t="str" cm="1">
        <f t="array" ref="E3714">IFERROR(_xlfn.IFS(AND(D3714&lt;1980,D3714&gt;=1970),"70",AND(D3714&lt;1990,D3714&gt;=1980),"80",AND(D3714&lt;2000,D3714&gt;=1990),"90",AND(D3714&lt;2010,D3714&gt;=2000),"00",AND(D3714&lt;=2019,D3714&gt;=2010),"10"),"1908-1970")</f>
        <v>90</v>
      </c>
      <c r="F3714" s="3">
        <v>0.625</v>
      </c>
      <c r="G3714" t="s">
        <v>18733</v>
      </c>
      <c r="H3714" t="s">
        <v>19984</v>
      </c>
      <c r="I3714" t="s">
        <v>28931</v>
      </c>
      <c r="J3714" t="s">
        <v>21741</v>
      </c>
      <c r="K3714" t="s">
        <v>21742</v>
      </c>
      <c r="L3714" s="7" t="s">
        <v>21743</v>
      </c>
      <c r="M3714">
        <v>4927</v>
      </c>
      <c r="N3714">
        <v>134</v>
      </c>
      <c r="O3714">
        <v>129</v>
      </c>
      <c r="P3714">
        <v>5</v>
      </c>
      <c r="Q3714">
        <v>134</v>
      </c>
      <c r="R3714">
        <v>129</v>
      </c>
      <c r="S3714">
        <v>5</v>
      </c>
      <c r="T3714">
        <v>2</v>
      </c>
      <c r="U3714" t="s">
        <v>21744</v>
      </c>
      <c r="V3714">
        <f>Tabla1[[#This Row],[Aboard]]-Tabla1[[#This Row],[Fatalities]]</f>
        <v>0</v>
      </c>
      <c r="W3714" s="50">
        <f>IFERROR(Tabla1[[#This Row],[Fatalities]]/Tabla1[[#This Row],[Aboard]],0)</f>
        <v>1</v>
      </c>
      <c r="X3714" s="51" t="str" cm="1">
        <f t="array" ref="X3714">_xlfn.IFS(Tabla1[[#This Row],[Porcentaje de muertes]]&lt;0.35,"LEVE",AND(Tabla1[[#This Row],[Porcentaje de muertes]]&gt;0.35,Tabla1[[#This Row],[Porcentaje de muertes]]&lt;0.65),"MEDIO",Tabla1[[#This Row],[Porcentaje de muertes]]&gt;0.65,"GRAVE")</f>
        <v>GRAVE</v>
      </c>
    </row>
    <row r="3715" spans="2:24" x14ac:dyDescent="0.3">
      <c r="B3715" s="9">
        <v>3714</v>
      </c>
      <c r="C3715" s="49">
        <v>33524</v>
      </c>
      <c r="D3715" s="9">
        <f>YEAR(Tabla1[[#This Row],[Date]])</f>
        <v>1991</v>
      </c>
      <c r="E3715" s="9" t="str" cm="1">
        <f t="array" ref="E3715">IFERROR(_xlfn.IFS(AND(D3715&lt;1980,D3715&gt;=1970),"70",AND(D3715&lt;1990,D3715&gt;=1980),"80",AND(D3715&lt;2000,D3715&gt;=1990),"90",AND(D3715&lt;2010,D3715&gt;=2000),"00",AND(D3715&lt;=2019,D3715&gt;=2010),"10"),"1908-1970")</f>
        <v>90</v>
      </c>
      <c r="F3715" s="3" t="s">
        <v>28931</v>
      </c>
      <c r="G3715" t="s">
        <v>21745</v>
      </c>
      <c r="H3715" t="s">
        <v>21746</v>
      </c>
      <c r="I3715" t="s">
        <v>28931</v>
      </c>
      <c r="J3715" t="s">
        <v>21747</v>
      </c>
      <c r="K3715" t="s">
        <v>21748</v>
      </c>
      <c r="L3715" s="7" t="s">
        <v>21749</v>
      </c>
      <c r="M3715">
        <v>28181</v>
      </c>
      <c r="N3715">
        <v>12</v>
      </c>
      <c r="O3715">
        <v>9</v>
      </c>
      <c r="P3715">
        <v>3</v>
      </c>
      <c r="Q3715">
        <v>12</v>
      </c>
      <c r="R3715">
        <v>9</v>
      </c>
      <c r="S3715">
        <v>3</v>
      </c>
      <c r="T3715">
        <v>0</v>
      </c>
      <c r="U3715" t="s">
        <v>21750</v>
      </c>
      <c r="V3715">
        <f>Tabla1[[#This Row],[Aboard]]-Tabla1[[#This Row],[Fatalities]]</f>
        <v>0</v>
      </c>
      <c r="W3715" s="50">
        <f>IFERROR(Tabla1[[#This Row],[Fatalities]]/Tabla1[[#This Row],[Aboard]],0)</f>
        <v>1</v>
      </c>
      <c r="X3715" s="51" t="str" cm="1">
        <f t="array" ref="X3715">_xlfn.IFS(Tabla1[[#This Row],[Porcentaje de muertes]]&lt;0.35,"LEVE",AND(Tabla1[[#This Row],[Porcentaje de muertes]]&gt;0.35,Tabla1[[#This Row],[Porcentaje de muertes]]&lt;0.65),"MEDIO",Tabla1[[#This Row],[Porcentaje de muertes]]&gt;0.65,"GRAVE")</f>
        <v>GRAVE</v>
      </c>
    </row>
    <row r="3716" spans="2:24" x14ac:dyDescent="0.3">
      <c r="B3716" s="9">
        <v>3715</v>
      </c>
      <c r="C3716" s="49">
        <v>33536</v>
      </c>
      <c r="D3716" s="9">
        <f>YEAR(Tabla1[[#This Row],[Date]])</f>
        <v>1991</v>
      </c>
      <c r="E3716" s="9" t="str" cm="1">
        <f t="array" ref="E3716">IFERROR(_xlfn.IFS(AND(D3716&lt;1980,D3716&gt;=1970),"70",AND(D3716&lt;1990,D3716&gt;=1980),"80",AND(D3716&lt;2000,D3716&gt;=1990),"90",AND(D3716&lt;2010,D3716&gt;=2000),"00",AND(D3716&lt;=2019,D3716&gt;=2010),"10"),"1908-1970")</f>
        <v>90</v>
      </c>
      <c r="F3716" s="3" t="s">
        <v>28931</v>
      </c>
      <c r="G3716" t="s">
        <v>21751</v>
      </c>
      <c r="H3716" t="s">
        <v>17727</v>
      </c>
      <c r="I3716" t="s">
        <v>28931</v>
      </c>
      <c r="J3716" t="s">
        <v>21752</v>
      </c>
      <c r="K3716" t="s">
        <v>21753</v>
      </c>
      <c r="L3716" s="7" t="s">
        <v>21754</v>
      </c>
      <c r="M3716">
        <v>1017</v>
      </c>
      <c r="N3716">
        <v>17</v>
      </c>
      <c r="O3716">
        <v>16</v>
      </c>
      <c r="P3716">
        <v>1</v>
      </c>
      <c r="Q3716">
        <v>17</v>
      </c>
      <c r="R3716">
        <v>16</v>
      </c>
      <c r="S3716">
        <v>1</v>
      </c>
      <c r="T3716">
        <v>0</v>
      </c>
      <c r="U3716" t="s">
        <v>21755</v>
      </c>
      <c r="V3716">
        <f>Tabla1[[#This Row],[Aboard]]-Tabla1[[#This Row],[Fatalities]]</f>
        <v>0</v>
      </c>
      <c r="W3716" s="50">
        <f>IFERROR(Tabla1[[#This Row],[Fatalities]]/Tabla1[[#This Row],[Aboard]],0)</f>
        <v>1</v>
      </c>
      <c r="X3716" s="51" t="str" cm="1">
        <f t="array" ref="X3716">_xlfn.IFS(Tabla1[[#This Row],[Porcentaje de muertes]]&lt;0.35,"LEVE",AND(Tabla1[[#This Row],[Porcentaje de muertes]]&gt;0.35,Tabla1[[#This Row],[Porcentaje de muertes]]&lt;0.65),"MEDIO",Tabla1[[#This Row],[Porcentaje de muertes]]&gt;0.65,"GRAVE")</f>
        <v>GRAVE</v>
      </c>
    </row>
    <row r="3717" spans="2:24" x14ac:dyDescent="0.3">
      <c r="B3717" s="9">
        <v>3716</v>
      </c>
      <c r="C3717" s="49">
        <v>33536</v>
      </c>
      <c r="D3717" s="9">
        <f>YEAR(Tabla1[[#This Row],[Date]])</f>
        <v>1991</v>
      </c>
      <c r="E3717" s="9" t="str" cm="1">
        <f t="array" ref="E3717">IFERROR(_xlfn.IFS(AND(D3717&lt;1980,D3717&gt;=1970),"70",AND(D3717&lt;1990,D3717&gt;=1980),"80",AND(D3717&lt;2000,D3717&gt;=1990),"90",AND(D3717&lt;2010,D3717&gt;=2000),"00",AND(D3717&lt;=2019,D3717&gt;=2010),"10"),"1908-1970")</f>
        <v>90</v>
      </c>
      <c r="F3717" s="3">
        <v>0.91388888888888886</v>
      </c>
      <c r="G3717" t="s">
        <v>9964</v>
      </c>
      <c r="H3717" t="s">
        <v>21756</v>
      </c>
      <c r="I3717" t="s">
        <v>28931</v>
      </c>
      <c r="J3717" t="s">
        <v>21757</v>
      </c>
      <c r="K3717" t="s">
        <v>21758</v>
      </c>
      <c r="L3717" s="7" t="s">
        <v>21759</v>
      </c>
      <c r="M3717">
        <v>1391</v>
      </c>
      <c r="N3717">
        <v>3</v>
      </c>
      <c r="O3717">
        <v>2</v>
      </c>
      <c r="P3717">
        <v>1</v>
      </c>
      <c r="Q3717">
        <v>3</v>
      </c>
      <c r="R3717">
        <v>2</v>
      </c>
      <c r="S3717">
        <v>1</v>
      </c>
      <c r="T3717">
        <v>0</v>
      </c>
      <c r="U3717" t="s">
        <v>21760</v>
      </c>
      <c r="V3717">
        <f>Tabla1[[#This Row],[Aboard]]-Tabla1[[#This Row],[Fatalities]]</f>
        <v>0</v>
      </c>
      <c r="W3717" s="50">
        <f>IFERROR(Tabla1[[#This Row],[Fatalities]]/Tabla1[[#This Row],[Aboard]],0)</f>
        <v>1</v>
      </c>
      <c r="X3717" s="51" t="str" cm="1">
        <f t="array" ref="X3717">_xlfn.IFS(Tabla1[[#This Row],[Porcentaje de muertes]]&lt;0.35,"LEVE",AND(Tabla1[[#This Row],[Porcentaje de muertes]]&gt;0.35,Tabla1[[#This Row],[Porcentaje de muertes]]&lt;0.65),"MEDIO",Tabla1[[#This Row],[Porcentaje de muertes]]&gt;0.65,"GRAVE")</f>
        <v>GRAVE</v>
      </c>
    </row>
    <row r="3718" spans="2:24" x14ac:dyDescent="0.3">
      <c r="B3718" s="9">
        <v>3717</v>
      </c>
      <c r="C3718" s="49">
        <v>33541</v>
      </c>
      <c r="D3718" s="9">
        <f>YEAR(Tabla1[[#This Row],[Date]])</f>
        <v>1991</v>
      </c>
      <c r="E3718" s="9" t="str" cm="1">
        <f t="array" ref="E3718">IFERROR(_xlfn.IFS(AND(D3718&lt;1980,D3718&gt;=1970),"70",AND(D3718&lt;1990,D3718&gt;=1980),"80",AND(D3718&lt;2000,D3718&gt;=1990),"90",AND(D3718&lt;2010,D3718&gt;=2000),"00",AND(D3718&lt;=2019,D3718&gt;=2010),"10"),"1908-1970")</f>
        <v>90</v>
      </c>
      <c r="F3718" s="3">
        <v>0.60416666666666663</v>
      </c>
      <c r="G3718" t="s">
        <v>21761</v>
      </c>
      <c r="H3718" t="s">
        <v>8021</v>
      </c>
      <c r="I3718" t="s">
        <v>28931</v>
      </c>
      <c r="J3718" t="s">
        <v>21762</v>
      </c>
      <c r="K3718" t="s">
        <v>21763</v>
      </c>
      <c r="L3718" s="7">
        <v>130322</v>
      </c>
      <c r="M3718">
        <v>4192</v>
      </c>
      <c r="N3718">
        <v>18</v>
      </c>
      <c r="O3718">
        <v>13</v>
      </c>
      <c r="P3718">
        <v>5</v>
      </c>
      <c r="Q3718">
        <v>5</v>
      </c>
      <c r="R3718">
        <v>3</v>
      </c>
      <c r="S3718">
        <v>2</v>
      </c>
      <c r="T3718">
        <v>0</v>
      </c>
      <c r="U3718" t="s">
        <v>21764</v>
      </c>
      <c r="V3718">
        <f>Tabla1[[#This Row],[Aboard]]-Tabla1[[#This Row],[Fatalities]]</f>
        <v>13</v>
      </c>
      <c r="W3718" s="50">
        <f>IFERROR(Tabla1[[#This Row],[Fatalities]]/Tabla1[[#This Row],[Aboard]],0)</f>
        <v>0.27777777777777779</v>
      </c>
      <c r="X3718" s="51" t="str" cm="1">
        <f t="array" ref="X3718">_xlfn.IFS(Tabla1[[#This Row],[Porcentaje de muertes]]&lt;0.35,"LEVE",AND(Tabla1[[#This Row],[Porcentaje de muertes]]&gt;0.35,Tabla1[[#This Row],[Porcentaje de muertes]]&lt;0.65),"MEDIO",Tabla1[[#This Row],[Porcentaje de muertes]]&gt;0.65,"GRAVE")</f>
        <v>LEVE</v>
      </c>
    </row>
    <row r="3719" spans="2:24" x14ac:dyDescent="0.3">
      <c r="B3719" s="9">
        <v>3718</v>
      </c>
      <c r="C3719" s="49">
        <v>33249</v>
      </c>
      <c r="D3719" s="9">
        <f>YEAR(Tabla1[[#This Row],[Date]])</f>
        <v>1991</v>
      </c>
      <c r="E3719" s="9" t="str" cm="1">
        <f t="array" ref="E3719">IFERROR(_xlfn.IFS(AND(D3719&lt;1980,D3719&gt;=1970),"70",AND(D3719&lt;1990,D3719&gt;=1980),"80",AND(D3719&lt;2000,D3719&gt;=1990),"90",AND(D3719&lt;2010,D3719&gt;=2000),"00",AND(D3719&lt;=2019,D3719&gt;=2010),"10"),"1908-1970")</f>
        <v>90</v>
      </c>
      <c r="F3719" s="3" t="s">
        <v>28931</v>
      </c>
      <c r="G3719" t="s">
        <v>21765</v>
      </c>
      <c r="H3719" t="s">
        <v>21766</v>
      </c>
      <c r="I3719" t="s">
        <v>28931</v>
      </c>
      <c r="J3719" t="s">
        <v>28931</v>
      </c>
      <c r="K3719" t="s">
        <v>19284</v>
      </c>
      <c r="L3719" s="7" t="s">
        <v>28931</v>
      </c>
      <c r="M3719" t="s">
        <v>28931</v>
      </c>
      <c r="N3719">
        <v>40</v>
      </c>
      <c r="O3719" t="s">
        <v>5038</v>
      </c>
      <c r="P3719" t="s">
        <v>5038</v>
      </c>
      <c r="Q3719">
        <v>40</v>
      </c>
      <c r="R3719" t="s">
        <v>5038</v>
      </c>
      <c r="S3719" t="s">
        <v>5038</v>
      </c>
      <c r="T3719">
        <v>0</v>
      </c>
      <c r="U3719" t="s">
        <v>19062</v>
      </c>
      <c r="V3719">
        <f>Tabla1[[#This Row],[Aboard]]-Tabla1[[#This Row],[Fatalities]]</f>
        <v>0</v>
      </c>
      <c r="W3719" s="50">
        <f>IFERROR(Tabla1[[#This Row],[Fatalities]]/Tabla1[[#This Row],[Aboard]],0)</f>
        <v>1</v>
      </c>
      <c r="X3719" s="51" t="str" cm="1">
        <f t="array" ref="X3719">_xlfn.IFS(Tabla1[[#This Row],[Porcentaje de muertes]]&lt;0.35,"LEVE",AND(Tabla1[[#This Row],[Porcentaje de muertes]]&gt;0.35,Tabla1[[#This Row],[Porcentaje de muertes]]&lt;0.65),"MEDIO",Tabla1[[#This Row],[Porcentaje de muertes]]&gt;0.65,"GRAVE")</f>
        <v>GRAVE</v>
      </c>
    </row>
    <row r="3720" spans="2:24" x14ac:dyDescent="0.3">
      <c r="B3720" s="9">
        <v>3719</v>
      </c>
      <c r="C3720" s="49">
        <v>33430</v>
      </c>
      <c r="D3720" s="9">
        <f>YEAR(Tabla1[[#This Row],[Date]])</f>
        <v>1991</v>
      </c>
      <c r="E3720" s="9" t="str" cm="1">
        <f t="array" ref="E3720">IFERROR(_xlfn.IFS(AND(D3720&lt;1980,D3720&gt;=1970),"70",AND(D3720&lt;1990,D3720&gt;=1980),"80",AND(D3720&lt;2000,D3720&gt;=1990),"90",AND(D3720&lt;2010,D3720&gt;=2000),"00",AND(D3720&lt;=2019,D3720&gt;=2010),"10"),"1908-1970")</f>
        <v>90</v>
      </c>
      <c r="F3720" s="3">
        <v>0.5708333333333333</v>
      </c>
      <c r="G3720" t="s">
        <v>21767</v>
      </c>
      <c r="H3720" t="s">
        <v>6541</v>
      </c>
      <c r="I3720" t="s">
        <v>21768</v>
      </c>
      <c r="J3720" t="s">
        <v>21769</v>
      </c>
      <c r="K3720" t="s">
        <v>15961</v>
      </c>
      <c r="L3720" s="7" t="s">
        <v>21770</v>
      </c>
      <c r="M3720">
        <v>9520841</v>
      </c>
      <c r="N3720">
        <v>51</v>
      </c>
      <c r="O3720">
        <v>47</v>
      </c>
      <c r="P3720">
        <v>4</v>
      </c>
      <c r="Q3720">
        <v>51</v>
      </c>
      <c r="R3720">
        <v>47</v>
      </c>
      <c r="S3720">
        <v>4</v>
      </c>
      <c r="T3720">
        <v>0</v>
      </c>
      <c r="U3720" t="s">
        <v>21771</v>
      </c>
      <c r="V3720">
        <f>Tabla1[[#This Row],[Aboard]]-Tabla1[[#This Row],[Fatalities]]</f>
        <v>0</v>
      </c>
      <c r="W3720" s="50">
        <f>IFERROR(Tabla1[[#This Row],[Fatalities]]/Tabla1[[#This Row],[Aboard]],0)</f>
        <v>1</v>
      </c>
      <c r="X3720" s="51" t="str" cm="1">
        <f t="array" ref="X3720">_xlfn.IFS(Tabla1[[#This Row],[Porcentaje de muertes]]&lt;0.35,"LEVE",AND(Tabla1[[#This Row],[Porcentaje de muertes]]&gt;0.35,Tabla1[[#This Row],[Porcentaje de muertes]]&lt;0.65),"MEDIO",Tabla1[[#This Row],[Porcentaje de muertes]]&gt;0.65,"GRAVE")</f>
        <v>GRAVE</v>
      </c>
    </row>
    <row r="3721" spans="2:24" x14ac:dyDescent="0.3">
      <c r="B3721" s="9">
        <v>3720</v>
      </c>
      <c r="C3721" s="49">
        <v>33553</v>
      </c>
      <c r="D3721" s="9">
        <f>YEAR(Tabla1[[#This Row],[Date]])</f>
        <v>1991</v>
      </c>
      <c r="E3721" s="9" t="str" cm="1">
        <f t="array" ref="E3721">IFERROR(_xlfn.IFS(AND(D3721&lt;1980,D3721&gt;=1970),"70",AND(D3721&lt;1990,D3721&gt;=1980),"80",AND(D3721&lt;2000,D3721&gt;=1990),"90",AND(D3721&lt;2010,D3721&gt;=2000),"00",AND(D3721&lt;=2019,D3721&gt;=2010),"10"),"1908-1970")</f>
        <v>90</v>
      </c>
      <c r="F3721" s="3">
        <v>0.90486111111111101</v>
      </c>
      <c r="G3721" t="s">
        <v>21772</v>
      </c>
      <c r="H3721" t="s">
        <v>21773</v>
      </c>
      <c r="I3721">
        <v>115</v>
      </c>
      <c r="J3721" t="s">
        <v>21774</v>
      </c>
      <c r="K3721" t="s">
        <v>18953</v>
      </c>
      <c r="L3721" s="7" t="s">
        <v>21775</v>
      </c>
      <c r="M3721" t="s">
        <v>21776</v>
      </c>
      <c r="N3721">
        <v>15</v>
      </c>
      <c r="O3721">
        <v>12</v>
      </c>
      <c r="P3721">
        <v>3</v>
      </c>
      <c r="Q3721">
        <v>15</v>
      </c>
      <c r="R3721">
        <v>12</v>
      </c>
      <c r="S3721">
        <v>3</v>
      </c>
      <c r="T3721">
        <v>2</v>
      </c>
      <c r="U3721" t="s">
        <v>21777</v>
      </c>
      <c r="V3721">
        <f>Tabla1[[#This Row],[Aboard]]-Tabla1[[#This Row],[Fatalities]]</f>
        <v>0</v>
      </c>
      <c r="W3721" s="50">
        <f>IFERROR(Tabla1[[#This Row],[Fatalities]]/Tabla1[[#This Row],[Aboard]],0)</f>
        <v>1</v>
      </c>
      <c r="X3721" s="51" t="str" cm="1">
        <f t="array" ref="X3721">_xlfn.IFS(Tabla1[[#This Row],[Porcentaje de muertes]]&lt;0.35,"LEVE",AND(Tabla1[[#This Row],[Porcentaje de muertes]]&gt;0.35,Tabla1[[#This Row],[Porcentaje de muertes]]&lt;0.65),"MEDIO",Tabla1[[#This Row],[Porcentaje de muertes]]&gt;0.65,"GRAVE")</f>
        <v>GRAVE</v>
      </c>
    </row>
    <row r="3722" spans="2:24" x14ac:dyDescent="0.3">
      <c r="B3722" s="9">
        <v>3721</v>
      </c>
      <c r="C3722" s="49">
        <v>33558</v>
      </c>
      <c r="D3722" s="9">
        <f>YEAR(Tabla1[[#This Row],[Date]])</f>
        <v>1991</v>
      </c>
      <c r="E3722" s="9" t="str" cm="1">
        <f t="array" ref="E3722">IFERROR(_xlfn.IFS(AND(D3722&lt;1980,D3722&gt;=1970),"70",AND(D3722&lt;1990,D3722&gt;=1980),"80",AND(D3722&lt;2000,D3722&gt;=1990),"90",AND(D3722&lt;2010,D3722&gt;=2000),"00",AND(D3722&lt;=2019,D3722&gt;=2010),"10"),"1908-1970")</f>
        <v>90</v>
      </c>
      <c r="F3722" s="3">
        <v>0.68333333333333324</v>
      </c>
      <c r="G3722" t="s">
        <v>21778</v>
      </c>
      <c r="H3722" t="s">
        <v>6541</v>
      </c>
      <c r="I3722" t="s">
        <v>28931</v>
      </c>
      <c r="J3722" t="s">
        <v>21779</v>
      </c>
      <c r="K3722" t="s">
        <v>16941</v>
      </c>
      <c r="L3722" s="7" t="s">
        <v>28931</v>
      </c>
      <c r="M3722" t="s">
        <v>28931</v>
      </c>
      <c r="N3722">
        <v>20</v>
      </c>
      <c r="O3722">
        <v>14</v>
      </c>
      <c r="P3722">
        <v>6</v>
      </c>
      <c r="Q3722">
        <v>20</v>
      </c>
      <c r="R3722">
        <v>14</v>
      </c>
      <c r="S3722">
        <v>6</v>
      </c>
      <c r="T3722">
        <v>0</v>
      </c>
      <c r="U3722" t="s">
        <v>21780</v>
      </c>
      <c r="V3722">
        <f>Tabla1[[#This Row],[Aboard]]-Tabla1[[#This Row],[Fatalities]]</f>
        <v>0</v>
      </c>
      <c r="W3722" s="50">
        <f>IFERROR(Tabla1[[#This Row],[Fatalities]]/Tabla1[[#This Row],[Aboard]],0)</f>
        <v>1</v>
      </c>
      <c r="X3722" s="51" t="str" cm="1">
        <f t="array" ref="X3722">_xlfn.IFS(Tabla1[[#This Row],[Porcentaje de muertes]]&lt;0.35,"LEVE",AND(Tabla1[[#This Row],[Porcentaje de muertes]]&gt;0.35,Tabla1[[#This Row],[Porcentaje de muertes]]&lt;0.65),"MEDIO",Tabla1[[#This Row],[Porcentaje de muertes]]&gt;0.65,"GRAVE")</f>
        <v>GRAVE</v>
      </c>
    </row>
    <row r="3723" spans="2:24" x14ac:dyDescent="0.3">
      <c r="B3723" s="9">
        <v>3722</v>
      </c>
      <c r="C3723" s="49">
        <v>33562</v>
      </c>
      <c r="D3723" s="9">
        <f>YEAR(Tabla1[[#This Row],[Date]])</f>
        <v>1991</v>
      </c>
      <c r="E3723" s="9" t="str" cm="1">
        <f t="array" ref="E3723">IFERROR(_xlfn.IFS(AND(D3723&lt;1980,D3723&gt;=1970),"70",AND(D3723&lt;1990,D3723&gt;=1980),"80",AND(D3723&lt;2000,D3723&gt;=1990),"90",AND(D3723&lt;2010,D3723&gt;=2000),"00",AND(D3723&lt;=2019,D3723&gt;=2010),"10"),"1908-1970")</f>
        <v>90</v>
      </c>
      <c r="F3723" s="3" t="s">
        <v>28931</v>
      </c>
      <c r="G3723" t="s">
        <v>21781</v>
      </c>
      <c r="H3723" t="s">
        <v>9999</v>
      </c>
      <c r="I3723" t="s">
        <v>28931</v>
      </c>
      <c r="J3723" t="s">
        <v>28931</v>
      </c>
      <c r="K3723" t="s">
        <v>19284</v>
      </c>
      <c r="L3723" s="7" t="s">
        <v>28931</v>
      </c>
      <c r="M3723" t="s">
        <v>28931</v>
      </c>
      <c r="N3723">
        <v>23</v>
      </c>
      <c r="O3723">
        <v>20</v>
      </c>
      <c r="P3723">
        <v>3</v>
      </c>
      <c r="Q3723">
        <v>23</v>
      </c>
      <c r="R3723">
        <v>20</v>
      </c>
      <c r="S3723">
        <v>3</v>
      </c>
      <c r="T3723">
        <v>0</v>
      </c>
      <c r="U3723" t="s">
        <v>21782</v>
      </c>
      <c r="V3723">
        <f>Tabla1[[#This Row],[Aboard]]-Tabla1[[#This Row],[Fatalities]]</f>
        <v>0</v>
      </c>
      <c r="W3723" s="50">
        <f>IFERROR(Tabla1[[#This Row],[Fatalities]]/Tabla1[[#This Row],[Aboard]],0)</f>
        <v>1</v>
      </c>
      <c r="X3723" s="51" t="str" cm="1">
        <f t="array" ref="X3723">_xlfn.IFS(Tabla1[[#This Row],[Porcentaje de muertes]]&lt;0.35,"LEVE",AND(Tabla1[[#This Row],[Porcentaje de muertes]]&gt;0.35,Tabla1[[#This Row],[Porcentaje de muertes]]&lt;0.65),"MEDIO",Tabla1[[#This Row],[Porcentaje de muertes]]&gt;0.65,"GRAVE")</f>
        <v>GRAVE</v>
      </c>
    </row>
    <row r="3724" spans="2:24" x14ac:dyDescent="0.3">
      <c r="B3724" s="9">
        <v>3723</v>
      </c>
      <c r="C3724" s="49">
        <v>33562</v>
      </c>
      <c r="D3724" s="9">
        <f>YEAR(Tabla1[[#This Row],[Date]])</f>
        <v>1991</v>
      </c>
      <c r="E3724" s="9" t="str" cm="1">
        <f t="array" ref="E3724">IFERROR(_xlfn.IFS(AND(D3724&lt;1980,D3724&gt;=1970),"70",AND(D3724&lt;1990,D3724&gt;=1980),"80",AND(D3724&lt;2000,D3724&gt;=1990),"90",AND(D3724&lt;2010,D3724&gt;=2000),"00",AND(D3724&lt;=2019,D3724&gt;=2010),"10"),"1908-1970")</f>
        <v>90</v>
      </c>
      <c r="F3724" s="3">
        <v>0.7597222222222223</v>
      </c>
      <c r="G3724" t="s">
        <v>21783</v>
      </c>
      <c r="H3724" t="s">
        <v>21784</v>
      </c>
      <c r="I3724" t="s">
        <v>28931</v>
      </c>
      <c r="J3724" t="s">
        <v>21785</v>
      </c>
      <c r="K3724" t="s">
        <v>16731</v>
      </c>
      <c r="L3724" s="7" t="s">
        <v>21786</v>
      </c>
      <c r="M3724">
        <v>2580</v>
      </c>
      <c r="N3724">
        <v>3</v>
      </c>
      <c r="O3724">
        <v>2</v>
      </c>
      <c r="P3724">
        <v>1</v>
      </c>
      <c r="Q3724">
        <v>3</v>
      </c>
      <c r="R3724">
        <v>2</v>
      </c>
      <c r="S3724">
        <v>1</v>
      </c>
      <c r="T3724">
        <v>0</v>
      </c>
      <c r="U3724" t="s">
        <v>21787</v>
      </c>
      <c r="V3724">
        <f>Tabla1[[#This Row],[Aboard]]-Tabla1[[#This Row],[Fatalities]]</f>
        <v>0</v>
      </c>
      <c r="W3724" s="50">
        <f>IFERROR(Tabla1[[#This Row],[Fatalities]]/Tabla1[[#This Row],[Aboard]],0)</f>
        <v>1</v>
      </c>
      <c r="X3724" s="51" t="str" cm="1">
        <f t="array" ref="X3724">_xlfn.IFS(Tabla1[[#This Row],[Porcentaje de muertes]]&lt;0.35,"LEVE",AND(Tabla1[[#This Row],[Porcentaje de muertes]]&gt;0.35,Tabla1[[#This Row],[Porcentaje de muertes]]&lt;0.65),"MEDIO",Tabla1[[#This Row],[Porcentaje de muertes]]&gt;0.65,"GRAVE")</f>
        <v>GRAVE</v>
      </c>
    </row>
    <row r="3725" spans="2:24" x14ac:dyDescent="0.3">
      <c r="B3725" s="9">
        <v>3724</v>
      </c>
      <c r="C3725" s="49">
        <v>33567</v>
      </c>
      <c r="D3725" s="9">
        <f>YEAR(Tabla1[[#This Row],[Date]])</f>
        <v>1991</v>
      </c>
      <c r="E3725" s="9" t="str" cm="1">
        <f t="array" ref="E3725">IFERROR(_xlfn.IFS(AND(D3725&lt;1980,D3725&gt;=1970),"70",AND(D3725&lt;1990,D3725&gt;=1980),"80",AND(D3725&lt;2000,D3725&gt;=1990),"90",AND(D3725&lt;2010,D3725&gt;=2000),"00",AND(D3725&lt;=2019,D3725&gt;=2010),"10"),"1908-1970")</f>
        <v>90</v>
      </c>
      <c r="F3725" s="3">
        <v>0.625</v>
      </c>
      <c r="G3725" t="s">
        <v>21788</v>
      </c>
      <c r="H3725" t="s">
        <v>21789</v>
      </c>
      <c r="I3725" t="s">
        <v>28931</v>
      </c>
      <c r="J3725" t="s">
        <v>28931</v>
      </c>
      <c r="K3725" t="s">
        <v>8359</v>
      </c>
      <c r="L3725" s="7" t="s">
        <v>21790</v>
      </c>
      <c r="M3725">
        <v>25471</v>
      </c>
      <c r="N3725">
        <v>3</v>
      </c>
      <c r="O3725">
        <v>0</v>
      </c>
      <c r="P3725">
        <v>3</v>
      </c>
      <c r="Q3725">
        <v>1</v>
      </c>
      <c r="R3725">
        <v>0</v>
      </c>
      <c r="S3725">
        <v>1</v>
      </c>
      <c r="T3725">
        <v>0</v>
      </c>
      <c r="U3725" t="s">
        <v>21791</v>
      </c>
      <c r="V3725">
        <f>Tabla1[[#This Row],[Aboard]]-Tabla1[[#This Row],[Fatalities]]</f>
        <v>2</v>
      </c>
      <c r="W3725" s="50">
        <f>IFERROR(Tabla1[[#This Row],[Fatalities]]/Tabla1[[#This Row],[Aboard]],0)</f>
        <v>0.33333333333333331</v>
      </c>
      <c r="X3725" s="51" t="str" cm="1">
        <f t="array" ref="X3725">_xlfn.IFS(Tabla1[[#This Row],[Porcentaje de muertes]]&lt;0.35,"LEVE",AND(Tabla1[[#This Row],[Porcentaje de muertes]]&gt;0.35,Tabla1[[#This Row],[Porcentaje de muertes]]&lt;0.65),"MEDIO",Tabla1[[#This Row],[Porcentaje de muertes]]&gt;0.65,"GRAVE")</f>
        <v>LEVE</v>
      </c>
    </row>
    <row r="3726" spans="2:24" x14ac:dyDescent="0.3">
      <c r="B3726" s="9">
        <v>3725</v>
      </c>
      <c r="C3726" s="49">
        <v>33568</v>
      </c>
      <c r="D3726" s="9">
        <f>YEAR(Tabla1[[#This Row],[Date]])</f>
        <v>1991</v>
      </c>
      <c r="E3726" s="9" t="str" cm="1">
        <f t="array" ref="E3726">IFERROR(_xlfn.IFS(AND(D3726&lt;1980,D3726&gt;=1970),"70",AND(D3726&lt;1990,D3726&gt;=1980),"80",AND(D3726&lt;2000,D3726&gt;=1990),"90",AND(D3726&lt;2010,D3726&gt;=2000),"00",AND(D3726&lt;=2019,D3726&gt;=2010),"10"),"1908-1970")</f>
        <v>90</v>
      </c>
      <c r="F3726" s="3">
        <v>0.20972222222222223</v>
      </c>
      <c r="G3726" t="s">
        <v>20045</v>
      </c>
      <c r="H3726" t="s">
        <v>21792</v>
      </c>
      <c r="I3726" t="s">
        <v>28931</v>
      </c>
      <c r="J3726" t="s">
        <v>21793</v>
      </c>
      <c r="K3726" t="s">
        <v>14340</v>
      </c>
      <c r="L3726" s="7" t="s">
        <v>21794</v>
      </c>
      <c r="M3726">
        <v>17307204</v>
      </c>
      <c r="N3726">
        <v>41</v>
      </c>
      <c r="O3726">
        <v>37</v>
      </c>
      <c r="P3726">
        <v>4</v>
      </c>
      <c r="Q3726">
        <v>41</v>
      </c>
      <c r="R3726">
        <v>37</v>
      </c>
      <c r="S3726">
        <v>4</v>
      </c>
      <c r="T3726">
        <v>0</v>
      </c>
      <c r="U3726" t="s">
        <v>21795</v>
      </c>
      <c r="V3726">
        <f>Tabla1[[#This Row],[Aboard]]-Tabla1[[#This Row],[Fatalities]]</f>
        <v>0</v>
      </c>
      <c r="W3726" s="50">
        <f>IFERROR(Tabla1[[#This Row],[Fatalities]]/Tabla1[[#This Row],[Aboard]],0)</f>
        <v>1</v>
      </c>
      <c r="X3726" s="51" t="str" cm="1">
        <f t="array" ref="X3726">_xlfn.IFS(Tabla1[[#This Row],[Porcentaje de muertes]]&lt;0.35,"LEVE",AND(Tabla1[[#This Row],[Porcentaje de muertes]]&gt;0.35,Tabla1[[#This Row],[Porcentaje de muertes]]&lt;0.65),"MEDIO",Tabla1[[#This Row],[Porcentaje de muertes]]&gt;0.65,"GRAVE")</f>
        <v>GRAVE</v>
      </c>
    </row>
    <row r="3727" spans="2:24" x14ac:dyDescent="0.3">
      <c r="B3727" s="9">
        <v>3726</v>
      </c>
      <c r="C3727" s="49">
        <v>33571</v>
      </c>
      <c r="D3727" s="9">
        <f>YEAR(Tabla1[[#This Row],[Date]])</f>
        <v>1991</v>
      </c>
      <c r="E3727" s="9" t="str" cm="1">
        <f t="array" ref="E3727">IFERROR(_xlfn.IFS(AND(D3727&lt;1980,D3727&gt;=1970),"70",AND(D3727&lt;1990,D3727&gt;=1980),"80",AND(D3727&lt;2000,D3727&gt;=1990),"90",AND(D3727&lt;2010,D3727&gt;=2000),"00",AND(D3727&lt;=2019,D3727&gt;=2010),"10"),"1908-1970")</f>
        <v>90</v>
      </c>
      <c r="F3727" s="3">
        <v>0.34375</v>
      </c>
      <c r="G3727" t="s">
        <v>21796</v>
      </c>
      <c r="H3727" t="s">
        <v>21797</v>
      </c>
      <c r="I3727" t="s">
        <v>28931</v>
      </c>
      <c r="J3727" t="s">
        <v>21798</v>
      </c>
      <c r="K3727" t="s">
        <v>21799</v>
      </c>
      <c r="L3727" s="7" t="s">
        <v>21800</v>
      </c>
      <c r="M3727">
        <v>110473</v>
      </c>
      <c r="N3727">
        <v>16</v>
      </c>
      <c r="O3727">
        <v>13</v>
      </c>
      <c r="P3727">
        <v>3</v>
      </c>
      <c r="Q3727">
        <v>16</v>
      </c>
      <c r="R3727">
        <v>13</v>
      </c>
      <c r="S3727">
        <v>3</v>
      </c>
      <c r="T3727">
        <v>0</v>
      </c>
      <c r="U3727" t="s">
        <v>21801</v>
      </c>
      <c r="V3727">
        <f>Tabla1[[#This Row],[Aboard]]-Tabla1[[#This Row],[Fatalities]]</f>
        <v>0</v>
      </c>
      <c r="W3727" s="50">
        <f>IFERROR(Tabla1[[#This Row],[Fatalities]]/Tabla1[[#This Row],[Aboard]],0)</f>
        <v>1</v>
      </c>
      <c r="X3727" s="51" t="str" cm="1">
        <f t="array" ref="X3727">_xlfn.IFS(Tabla1[[#This Row],[Porcentaje de muertes]]&lt;0.35,"LEVE",AND(Tabla1[[#This Row],[Porcentaje de muertes]]&gt;0.35,Tabla1[[#This Row],[Porcentaje de muertes]]&lt;0.65),"MEDIO",Tabla1[[#This Row],[Porcentaje de muertes]]&gt;0.65,"GRAVE")</f>
        <v>GRAVE</v>
      </c>
    </row>
    <row r="3728" spans="2:24" x14ac:dyDescent="0.3">
      <c r="B3728" s="9">
        <v>3727</v>
      </c>
      <c r="C3728" s="49">
        <v>33594</v>
      </c>
      <c r="D3728" s="9">
        <f>YEAR(Tabla1[[#This Row],[Date]])</f>
        <v>1991</v>
      </c>
      <c r="E3728" s="9" t="str" cm="1">
        <f t="array" ref="E3728">IFERROR(_xlfn.IFS(AND(D3728&lt;1980,D3728&gt;=1970),"70",AND(D3728&lt;1990,D3728&gt;=1980),"80",AND(D3728&lt;2000,D3728&gt;=1990),"90",AND(D3728&lt;2010,D3728&gt;=2000),"00",AND(D3728&lt;=2019,D3728&gt;=2010),"10"),"1908-1970")</f>
        <v>90</v>
      </c>
      <c r="F3728" s="3">
        <v>0.48402777777777778</v>
      </c>
      <c r="G3728" t="s">
        <v>21802</v>
      </c>
      <c r="H3728" t="s">
        <v>21803</v>
      </c>
      <c r="I3728" t="s">
        <v>28931</v>
      </c>
      <c r="J3728" t="s">
        <v>21804</v>
      </c>
      <c r="K3728" t="s">
        <v>6970</v>
      </c>
      <c r="L3728" s="7" t="s">
        <v>21805</v>
      </c>
      <c r="M3728">
        <v>7353</v>
      </c>
      <c r="N3728">
        <v>30</v>
      </c>
      <c r="O3728">
        <v>27</v>
      </c>
      <c r="P3728">
        <v>3</v>
      </c>
      <c r="Q3728">
        <v>27</v>
      </c>
      <c r="R3728">
        <v>24</v>
      </c>
      <c r="S3728">
        <v>3</v>
      </c>
      <c r="T3728">
        <v>0</v>
      </c>
      <c r="U3728" t="s">
        <v>21806</v>
      </c>
      <c r="V3728">
        <f>Tabla1[[#This Row],[Aboard]]-Tabla1[[#This Row],[Fatalities]]</f>
        <v>3</v>
      </c>
      <c r="W3728" s="50">
        <f>IFERROR(Tabla1[[#This Row],[Fatalities]]/Tabla1[[#This Row],[Aboard]],0)</f>
        <v>0.9</v>
      </c>
      <c r="X3728" s="51" t="str" cm="1">
        <f t="array" ref="X3728">_xlfn.IFS(Tabla1[[#This Row],[Porcentaje de muertes]]&lt;0.35,"LEVE",AND(Tabla1[[#This Row],[Porcentaje de muertes]]&gt;0.35,Tabla1[[#This Row],[Porcentaje de muertes]]&lt;0.65),"MEDIO",Tabla1[[#This Row],[Porcentaje de muertes]]&gt;0.65,"GRAVE")</f>
        <v>GRAVE</v>
      </c>
    </row>
    <row r="3729" spans="2:24" x14ac:dyDescent="0.3">
      <c r="B3729" s="9">
        <v>3728</v>
      </c>
      <c r="C3729" s="49">
        <v>33599</v>
      </c>
      <c r="D3729" s="9">
        <f>YEAR(Tabla1[[#This Row],[Date]])</f>
        <v>1991</v>
      </c>
      <c r="E3729" s="9" t="str" cm="1">
        <f t="array" ref="E3729">IFERROR(_xlfn.IFS(AND(D3729&lt;1980,D3729&gt;=1970),"70",AND(D3729&lt;1990,D3729&gt;=1980),"80",AND(D3729&lt;2000,D3729&gt;=1990),"90",AND(D3729&lt;2010,D3729&gt;=2000),"00",AND(D3729&lt;=2019,D3729&gt;=2010),"10"),"1908-1970")</f>
        <v>90</v>
      </c>
      <c r="F3729" s="3">
        <v>0.36874999999999997</v>
      </c>
      <c r="G3729" t="s">
        <v>15727</v>
      </c>
      <c r="H3729" t="s">
        <v>9523</v>
      </c>
      <c r="I3729">
        <v>751</v>
      </c>
      <c r="J3729" t="s">
        <v>21807</v>
      </c>
      <c r="K3729" t="s">
        <v>21808</v>
      </c>
      <c r="L3729" s="7" t="s">
        <v>21809</v>
      </c>
      <c r="M3729" t="s">
        <v>21810</v>
      </c>
      <c r="N3729">
        <v>129</v>
      </c>
      <c r="O3729">
        <v>123</v>
      </c>
      <c r="P3729">
        <v>6</v>
      </c>
      <c r="Q3729">
        <v>0</v>
      </c>
      <c r="R3729">
        <v>0</v>
      </c>
      <c r="S3729">
        <v>0</v>
      </c>
      <c r="T3729">
        <v>0</v>
      </c>
      <c r="U3729" t="s">
        <v>21811</v>
      </c>
      <c r="V3729">
        <f>Tabla1[[#This Row],[Aboard]]-Tabla1[[#This Row],[Fatalities]]</f>
        <v>129</v>
      </c>
      <c r="W3729" s="50">
        <f>IFERROR(Tabla1[[#This Row],[Fatalities]]/Tabla1[[#This Row],[Aboard]],0)</f>
        <v>0</v>
      </c>
      <c r="X3729" s="51" t="str" cm="1">
        <f t="array" ref="X3729">_xlfn.IFS(Tabla1[[#This Row],[Porcentaje de muertes]]&lt;0.35,"LEVE",AND(Tabla1[[#This Row],[Porcentaje de muertes]]&gt;0.35,Tabla1[[#This Row],[Porcentaje de muertes]]&lt;0.65),"MEDIO",Tabla1[[#This Row],[Porcentaje de muertes]]&gt;0.65,"GRAVE")</f>
        <v>LEVE</v>
      </c>
    </row>
    <row r="3730" spans="2:24" x14ac:dyDescent="0.3">
      <c r="B3730" s="9">
        <v>3729</v>
      </c>
      <c r="C3730" s="49">
        <v>33601</v>
      </c>
      <c r="D3730" s="9">
        <f>YEAR(Tabla1[[#This Row],[Date]])</f>
        <v>1991</v>
      </c>
      <c r="E3730" s="9" t="str" cm="1">
        <f t="array" ref="E3730">IFERROR(_xlfn.IFS(AND(D3730&lt;1980,D3730&gt;=1970),"70",AND(D3730&lt;1990,D3730&gt;=1980),"80",AND(D3730&lt;2000,D3730&gt;=1990),"90",AND(D3730&lt;2010,D3730&gt;=2000),"00",AND(D3730&lt;=2019,D3730&gt;=2010),"10"),"1908-1970")</f>
        <v>90</v>
      </c>
      <c r="F3730" s="3">
        <v>0.62847222222222221</v>
      </c>
      <c r="G3730" t="s">
        <v>21812</v>
      </c>
      <c r="H3730" t="s">
        <v>15040</v>
      </c>
      <c r="I3730">
        <v>358</v>
      </c>
      <c r="J3730" t="s">
        <v>21813</v>
      </c>
      <c r="K3730" t="s">
        <v>21814</v>
      </c>
      <c r="L3730" s="7" t="s">
        <v>21815</v>
      </c>
      <c r="M3730">
        <v>22390</v>
      </c>
      <c r="N3730">
        <v>5</v>
      </c>
      <c r="O3730">
        <v>0</v>
      </c>
      <c r="P3730">
        <v>5</v>
      </c>
      <c r="Q3730">
        <v>5</v>
      </c>
      <c r="R3730">
        <v>0</v>
      </c>
      <c r="S3730">
        <v>5</v>
      </c>
      <c r="T3730">
        <v>0</v>
      </c>
      <c r="U3730" t="s">
        <v>21816</v>
      </c>
      <c r="V3730">
        <f>Tabla1[[#This Row],[Aboard]]-Tabla1[[#This Row],[Fatalities]]</f>
        <v>0</v>
      </c>
      <c r="W3730" s="50">
        <f>IFERROR(Tabla1[[#This Row],[Fatalities]]/Tabla1[[#This Row],[Aboard]],0)</f>
        <v>1</v>
      </c>
      <c r="X3730" s="51" t="str" cm="1">
        <f t="array" ref="X3730">_xlfn.IFS(Tabla1[[#This Row],[Porcentaje de muertes]]&lt;0.35,"LEVE",AND(Tabla1[[#This Row],[Porcentaje de muertes]]&gt;0.35,Tabla1[[#This Row],[Porcentaje de muertes]]&lt;0.65),"MEDIO",Tabla1[[#This Row],[Porcentaje de muertes]]&gt;0.65,"GRAVE")</f>
        <v>GRAVE</v>
      </c>
    </row>
    <row r="3731" spans="2:24" x14ac:dyDescent="0.3">
      <c r="B3731" s="9">
        <v>3730</v>
      </c>
      <c r="C3731" s="49">
        <v>33623</v>
      </c>
      <c r="D3731" s="9">
        <f>YEAR(Tabla1[[#This Row],[Date]])</f>
        <v>1992</v>
      </c>
      <c r="E3731" s="9" t="str" cm="1">
        <f t="array" ref="E3731">IFERROR(_xlfn.IFS(AND(D3731&lt;1980,D3731&gt;=1970),"70",AND(D3731&lt;1990,D3731&gt;=1980),"80",AND(D3731&lt;2000,D3731&gt;=1990),"90",AND(D3731&lt;2010,D3731&gt;=2000),"00",AND(D3731&lt;=2019,D3731&gt;=2010),"10"),"1908-1970")</f>
        <v>90</v>
      </c>
      <c r="F3731" s="3">
        <v>0.80555555555555547</v>
      </c>
      <c r="G3731" t="s">
        <v>21817</v>
      </c>
      <c r="H3731" t="s">
        <v>13928</v>
      </c>
      <c r="I3731">
        <v>148</v>
      </c>
      <c r="J3731" t="s">
        <v>21818</v>
      </c>
      <c r="K3731" t="s">
        <v>20633</v>
      </c>
      <c r="L3731" s="7" t="s">
        <v>21819</v>
      </c>
      <c r="M3731">
        <v>15</v>
      </c>
      <c r="N3731">
        <v>96</v>
      </c>
      <c r="O3731">
        <v>90</v>
      </c>
      <c r="P3731">
        <v>6</v>
      </c>
      <c r="Q3731">
        <v>87</v>
      </c>
      <c r="R3731">
        <v>82</v>
      </c>
      <c r="S3731">
        <v>5</v>
      </c>
      <c r="T3731">
        <v>0</v>
      </c>
      <c r="U3731" t="s">
        <v>21820</v>
      </c>
      <c r="V3731">
        <f>Tabla1[[#This Row],[Aboard]]-Tabla1[[#This Row],[Fatalities]]</f>
        <v>9</v>
      </c>
      <c r="W3731" s="50">
        <f>IFERROR(Tabla1[[#This Row],[Fatalities]]/Tabla1[[#This Row],[Aboard]],0)</f>
        <v>0.90625</v>
      </c>
      <c r="X3731" s="51" t="str" cm="1">
        <f t="array" ref="X3731">_xlfn.IFS(Tabla1[[#This Row],[Porcentaje de muertes]]&lt;0.35,"LEVE",AND(Tabla1[[#This Row],[Porcentaje de muertes]]&gt;0.35,Tabla1[[#This Row],[Porcentaje de muertes]]&lt;0.65),"MEDIO",Tabla1[[#This Row],[Porcentaje de muertes]]&gt;0.65,"GRAVE")</f>
        <v>GRAVE</v>
      </c>
    </row>
    <row r="3732" spans="2:24" x14ac:dyDescent="0.3">
      <c r="B3732" s="9">
        <v>3731</v>
      </c>
      <c r="C3732" s="49">
        <v>33631</v>
      </c>
      <c r="D3732" s="9">
        <f>YEAR(Tabla1[[#This Row],[Date]])</f>
        <v>1992</v>
      </c>
      <c r="E3732" s="9" t="str" cm="1">
        <f t="array" ref="E3732">IFERROR(_xlfn.IFS(AND(D3732&lt;1980,D3732&gt;=1970),"70",AND(D3732&lt;1990,D3732&gt;=1980),"80",AND(D3732&lt;2000,D3732&gt;=1990),"90",AND(D3732&lt;2010,D3732&gt;=2000),"00",AND(D3732&lt;=2019,D3732&gt;=2010),"10"),"1908-1970")</f>
        <v>90</v>
      </c>
      <c r="F3732" s="3">
        <v>0.68055555555555547</v>
      </c>
      <c r="G3732" t="s">
        <v>21821</v>
      </c>
      <c r="H3732" t="s">
        <v>21766</v>
      </c>
      <c r="I3732" t="s">
        <v>28931</v>
      </c>
      <c r="J3732" t="s">
        <v>21822</v>
      </c>
      <c r="K3732" t="s">
        <v>19284</v>
      </c>
      <c r="L3732" s="7" t="s">
        <v>28931</v>
      </c>
      <c r="M3732" t="s">
        <v>28931</v>
      </c>
      <c r="N3732">
        <v>47</v>
      </c>
      <c r="O3732" t="s">
        <v>5038</v>
      </c>
      <c r="P3732" t="s">
        <v>5038</v>
      </c>
      <c r="Q3732">
        <v>47</v>
      </c>
      <c r="R3732" t="s">
        <v>5038</v>
      </c>
      <c r="S3732" t="s">
        <v>5038</v>
      </c>
      <c r="T3732">
        <v>0</v>
      </c>
      <c r="U3732" t="s">
        <v>21823</v>
      </c>
      <c r="V3732">
        <f>Tabla1[[#This Row],[Aboard]]-Tabla1[[#This Row],[Fatalities]]</f>
        <v>0</v>
      </c>
      <c r="W3732" s="50">
        <f>IFERROR(Tabla1[[#This Row],[Fatalities]]/Tabla1[[#This Row],[Aboard]],0)</f>
        <v>1</v>
      </c>
      <c r="X3732" s="51" t="str" cm="1">
        <f t="array" ref="X3732">_xlfn.IFS(Tabla1[[#This Row],[Porcentaje de muertes]]&lt;0.35,"LEVE",AND(Tabla1[[#This Row],[Porcentaje de muertes]]&gt;0.35,Tabla1[[#This Row],[Porcentaje de muertes]]&lt;0.65),"MEDIO",Tabla1[[#This Row],[Porcentaje de muertes]]&gt;0.65,"GRAVE")</f>
        <v>GRAVE</v>
      </c>
    </row>
    <row r="3733" spans="2:24" x14ac:dyDescent="0.3">
      <c r="B3733" s="9">
        <v>3732</v>
      </c>
      <c r="C3733" s="49">
        <v>33665</v>
      </c>
      <c r="D3733" s="9">
        <f>YEAR(Tabla1[[#This Row],[Date]])</f>
        <v>1992</v>
      </c>
      <c r="E3733" s="9" t="str" cm="1">
        <f t="array" ref="E3733">IFERROR(_xlfn.IFS(AND(D3733&lt;1980,D3733&gt;=1970),"70",AND(D3733&lt;1990,D3733&gt;=1980),"80",AND(D3733&lt;2000,D3733&gt;=1990),"90",AND(D3733&lt;2010,D3733&gt;=2000),"00",AND(D3733&lt;=2019,D3733&gt;=2010),"10"),"1908-1970")</f>
        <v>90</v>
      </c>
      <c r="F3733" s="3">
        <v>0.47222222222222227</v>
      </c>
      <c r="G3733" t="s">
        <v>21824</v>
      </c>
      <c r="H3733" t="s">
        <v>17722</v>
      </c>
      <c r="I3733" t="s">
        <v>28931</v>
      </c>
      <c r="J3733" t="s">
        <v>21825</v>
      </c>
      <c r="K3733" t="s">
        <v>17332</v>
      </c>
      <c r="L3733" s="7" t="s">
        <v>21826</v>
      </c>
      <c r="M3733" t="s">
        <v>21827</v>
      </c>
      <c r="N3733">
        <v>12</v>
      </c>
      <c r="O3733">
        <v>10</v>
      </c>
      <c r="P3733">
        <v>2</v>
      </c>
      <c r="Q3733">
        <v>12</v>
      </c>
      <c r="R3733">
        <v>10</v>
      </c>
      <c r="S3733">
        <v>2</v>
      </c>
      <c r="T3733">
        <v>0</v>
      </c>
      <c r="U3733" t="s">
        <v>21828</v>
      </c>
      <c r="V3733">
        <f>Tabla1[[#This Row],[Aboard]]-Tabla1[[#This Row],[Fatalities]]</f>
        <v>0</v>
      </c>
      <c r="W3733" s="50">
        <f>IFERROR(Tabla1[[#This Row],[Fatalities]]/Tabla1[[#This Row],[Aboard]],0)</f>
        <v>1</v>
      </c>
      <c r="X3733" s="51" t="str" cm="1">
        <f t="array" ref="X3733">_xlfn.IFS(Tabla1[[#This Row],[Porcentaje de muertes]]&lt;0.35,"LEVE",AND(Tabla1[[#This Row],[Porcentaje de muertes]]&gt;0.35,Tabla1[[#This Row],[Porcentaje de muertes]]&lt;0.65),"MEDIO",Tabla1[[#This Row],[Porcentaje de muertes]]&gt;0.65,"GRAVE")</f>
        <v>GRAVE</v>
      </c>
    </row>
    <row r="3734" spans="2:24" x14ac:dyDescent="0.3">
      <c r="B3734" s="9">
        <v>3733</v>
      </c>
      <c r="C3734" s="49">
        <v>33849</v>
      </c>
      <c r="D3734" s="9">
        <f>YEAR(Tabla1[[#This Row],[Date]])</f>
        <v>1992</v>
      </c>
      <c r="E3734" s="9" t="str" cm="1">
        <f t="array" ref="E3734">IFERROR(_xlfn.IFS(AND(D3734&lt;1980,D3734&gt;=1970),"70",AND(D3734&lt;1990,D3734&gt;=1980),"80",AND(D3734&lt;2000,D3734&gt;=1990),"90",AND(D3734&lt;2010,D3734&gt;=2000),"00",AND(D3734&lt;=2019,D3734&gt;=2010),"10"),"1908-1970")</f>
        <v>90</v>
      </c>
      <c r="F3734" s="3">
        <v>0.21875</v>
      </c>
      <c r="G3734" t="s">
        <v>21829</v>
      </c>
      <c r="H3734" t="s">
        <v>21830</v>
      </c>
      <c r="I3734" t="s">
        <v>28931</v>
      </c>
      <c r="J3734" t="s">
        <v>21831</v>
      </c>
      <c r="K3734" t="s">
        <v>21832</v>
      </c>
      <c r="L3734" s="7" t="s">
        <v>21833</v>
      </c>
      <c r="M3734">
        <v>9</v>
      </c>
      <c r="N3734">
        <v>56</v>
      </c>
      <c r="O3734">
        <v>50</v>
      </c>
      <c r="P3734">
        <v>6</v>
      </c>
      <c r="Q3734">
        <v>30</v>
      </c>
      <c r="R3734">
        <v>26</v>
      </c>
      <c r="S3734">
        <v>4</v>
      </c>
      <c r="T3734">
        <v>0</v>
      </c>
      <c r="U3734" t="s">
        <v>21834</v>
      </c>
      <c r="V3734">
        <f>Tabla1[[#This Row],[Aboard]]-Tabla1[[#This Row],[Fatalities]]</f>
        <v>26</v>
      </c>
      <c r="W3734" s="50">
        <f>IFERROR(Tabla1[[#This Row],[Fatalities]]/Tabla1[[#This Row],[Aboard]],0)</f>
        <v>0.5357142857142857</v>
      </c>
      <c r="X3734" s="51" t="str" cm="1">
        <f t="array" ref="X3734">_xlfn.IFS(Tabla1[[#This Row],[Porcentaje de muertes]]&lt;0.35,"LEVE",AND(Tabla1[[#This Row],[Porcentaje de muertes]]&gt;0.35,Tabla1[[#This Row],[Porcentaje de muertes]]&lt;0.65),"MEDIO",Tabla1[[#This Row],[Porcentaje de muertes]]&gt;0.65,"GRAVE")</f>
        <v>MEDIO</v>
      </c>
    </row>
    <row r="3735" spans="2:24" x14ac:dyDescent="0.3">
      <c r="B3735" s="9">
        <v>3734</v>
      </c>
      <c r="C3735" s="49">
        <v>33649</v>
      </c>
      <c r="D3735" s="9">
        <f>YEAR(Tabla1[[#This Row],[Date]])</f>
        <v>1992</v>
      </c>
      <c r="E3735" s="9" t="str" cm="1">
        <f t="array" ref="E3735">IFERROR(_xlfn.IFS(AND(D3735&lt;1980,D3735&gt;=1970),"70",AND(D3735&lt;1990,D3735&gt;=1980),"80",AND(D3735&lt;2000,D3735&gt;=1990),"90",AND(D3735&lt;2010,D3735&gt;=2000),"00",AND(D3735&lt;=2019,D3735&gt;=2010),"10"),"1908-1970")</f>
        <v>90</v>
      </c>
      <c r="F3735" s="3">
        <v>0.14305555555555557</v>
      </c>
      <c r="G3735" t="s">
        <v>13115</v>
      </c>
      <c r="H3735" t="s">
        <v>21835</v>
      </c>
      <c r="I3735">
        <v>805</v>
      </c>
      <c r="J3735" t="s">
        <v>21836</v>
      </c>
      <c r="K3735" t="s">
        <v>16910</v>
      </c>
      <c r="L3735" s="7" t="s">
        <v>21837</v>
      </c>
      <c r="M3735" t="s">
        <v>21838</v>
      </c>
      <c r="N3735">
        <v>4</v>
      </c>
      <c r="O3735">
        <v>0</v>
      </c>
      <c r="P3735">
        <v>4</v>
      </c>
      <c r="Q3735">
        <v>3</v>
      </c>
      <c r="R3735">
        <v>0</v>
      </c>
      <c r="S3735">
        <v>3</v>
      </c>
      <c r="T3735">
        <v>0</v>
      </c>
      <c r="U3735" t="s">
        <v>21839</v>
      </c>
      <c r="V3735">
        <f>Tabla1[[#This Row],[Aboard]]-Tabla1[[#This Row],[Fatalities]]</f>
        <v>1</v>
      </c>
      <c r="W3735" s="50">
        <f>IFERROR(Tabla1[[#This Row],[Fatalities]]/Tabla1[[#This Row],[Aboard]],0)</f>
        <v>0.75</v>
      </c>
      <c r="X3735" s="51" t="str" cm="1">
        <f t="array" ref="X3735">_xlfn.IFS(Tabla1[[#This Row],[Porcentaje de muertes]]&lt;0.35,"LEVE",AND(Tabla1[[#This Row],[Porcentaje de muertes]]&gt;0.35,Tabla1[[#This Row],[Porcentaje de muertes]]&lt;0.65),"MEDIO",Tabla1[[#This Row],[Porcentaje de muertes]]&gt;0.65,"GRAVE")</f>
        <v>GRAVE</v>
      </c>
    </row>
    <row r="3736" spans="2:24" x14ac:dyDescent="0.3">
      <c r="B3736" s="9">
        <v>3735</v>
      </c>
      <c r="C3736" s="49">
        <v>33654</v>
      </c>
      <c r="D3736" s="9">
        <f>YEAR(Tabla1[[#This Row],[Date]])</f>
        <v>1992</v>
      </c>
      <c r="E3736" s="9" t="str" cm="1">
        <f t="array" ref="E3736">IFERROR(_xlfn.IFS(AND(D3736&lt;1980,D3736&gt;=1970),"70",AND(D3736&lt;1990,D3736&gt;=1980),"80",AND(D3736&lt;2000,D3736&gt;=1990),"90",AND(D3736&lt;2010,D3736&gt;=2000),"00",AND(D3736&lt;=2019,D3736&gt;=2010),"10"),"1908-1970")</f>
        <v>90</v>
      </c>
      <c r="F3736" s="3" t="s">
        <v>28931</v>
      </c>
      <c r="G3736" t="s">
        <v>21840</v>
      </c>
      <c r="H3736" t="s">
        <v>10275</v>
      </c>
      <c r="I3736">
        <v>386</v>
      </c>
      <c r="J3736" t="s">
        <v>28931</v>
      </c>
      <c r="K3736" t="s">
        <v>17041</v>
      </c>
      <c r="L3736" s="7" t="s">
        <v>28931</v>
      </c>
      <c r="M3736" t="s">
        <v>28931</v>
      </c>
      <c r="N3736" t="s">
        <v>5038</v>
      </c>
      <c r="O3736" t="s">
        <v>5038</v>
      </c>
      <c r="P3736" t="s">
        <v>5038</v>
      </c>
      <c r="Q3736">
        <v>1</v>
      </c>
      <c r="R3736" t="s">
        <v>5038</v>
      </c>
      <c r="S3736" t="s">
        <v>5038</v>
      </c>
      <c r="T3736">
        <v>0</v>
      </c>
      <c r="U3736" t="s">
        <v>21841</v>
      </c>
      <c r="V3736" t="s">
        <v>5038</v>
      </c>
      <c r="W3736" s="50">
        <f>IFERROR(Tabla1[[#This Row],[Fatalities]]/Tabla1[[#This Row],[Aboard]],0)</f>
        <v>0</v>
      </c>
      <c r="X3736" s="51" t="str" cm="1">
        <f t="array" ref="X3736">_xlfn.IFS(Tabla1[[#This Row],[Porcentaje de muertes]]&lt;0.35,"LEVE",AND(Tabla1[[#This Row],[Porcentaje de muertes]]&gt;0.35,Tabla1[[#This Row],[Porcentaje de muertes]]&lt;0.65),"MEDIO",Tabla1[[#This Row],[Porcentaje de muertes]]&gt;0.65,"GRAVE")</f>
        <v>LEVE</v>
      </c>
    </row>
    <row r="3737" spans="2:24" x14ac:dyDescent="0.3">
      <c r="B3737" s="9">
        <v>3736</v>
      </c>
      <c r="C3737" s="49">
        <v>33637</v>
      </c>
      <c r="D3737" s="9">
        <f>YEAR(Tabla1[[#This Row],[Date]])</f>
        <v>1992</v>
      </c>
      <c r="E3737" s="9" t="str" cm="1">
        <f t="array" ref="E3737">IFERROR(_xlfn.IFS(AND(D3737&lt;1980,D3737&gt;=1970),"70",AND(D3737&lt;1990,D3737&gt;=1980),"80",AND(D3737&lt;2000,D3737&gt;=1990),"90",AND(D3737&lt;2010,D3737&gt;=2000),"00",AND(D3737&lt;=2019,D3737&gt;=2010),"10"),"1908-1970")</f>
        <v>90</v>
      </c>
      <c r="F3737" s="3">
        <v>0.67013888888888884</v>
      </c>
      <c r="G3737" t="s">
        <v>21842</v>
      </c>
      <c r="H3737" t="s">
        <v>21843</v>
      </c>
      <c r="I3737" t="s">
        <v>28931</v>
      </c>
      <c r="J3737" t="s">
        <v>21844</v>
      </c>
      <c r="K3737" t="s">
        <v>14943</v>
      </c>
      <c r="L3737" s="7" t="s">
        <v>21845</v>
      </c>
      <c r="M3737">
        <v>22570</v>
      </c>
      <c r="N3737">
        <v>5</v>
      </c>
      <c r="O3737">
        <v>2</v>
      </c>
      <c r="P3737">
        <v>3</v>
      </c>
      <c r="Q3737">
        <v>5</v>
      </c>
      <c r="R3737">
        <v>2</v>
      </c>
      <c r="S3737">
        <v>3</v>
      </c>
      <c r="T3737">
        <v>0</v>
      </c>
      <c r="U3737" t="s">
        <v>21846</v>
      </c>
      <c r="V3737">
        <f>Tabla1[[#This Row],[Aboard]]-Tabla1[[#This Row],[Fatalities]]</f>
        <v>0</v>
      </c>
      <c r="W3737" s="50">
        <f>IFERROR(Tabla1[[#This Row],[Fatalities]]/Tabla1[[#This Row],[Aboard]],0)</f>
        <v>1</v>
      </c>
      <c r="X3737" s="51" t="str" cm="1">
        <f t="array" ref="X3737">_xlfn.IFS(Tabla1[[#This Row],[Porcentaje de muertes]]&lt;0.35,"LEVE",AND(Tabla1[[#This Row],[Porcentaje de muertes]]&gt;0.35,Tabla1[[#This Row],[Porcentaje de muertes]]&lt;0.65),"MEDIO",Tabla1[[#This Row],[Porcentaje de muertes]]&gt;0.65,"GRAVE")</f>
        <v>GRAVE</v>
      </c>
    </row>
    <row r="3738" spans="2:24" x14ac:dyDescent="0.3">
      <c r="B3738" s="9">
        <v>3737</v>
      </c>
      <c r="C3738" s="49">
        <v>33941</v>
      </c>
      <c r="D3738" s="9">
        <f>YEAR(Tabla1[[#This Row],[Date]])</f>
        <v>1992</v>
      </c>
      <c r="E3738" s="9" t="str" cm="1">
        <f t="array" ref="E3738">IFERROR(_xlfn.IFS(AND(D3738&lt;1980,D3738&gt;=1970),"70",AND(D3738&lt;1990,D3738&gt;=1980),"80",AND(D3738&lt;2000,D3738&gt;=1990),"90",AND(D3738&lt;2010,D3738&gt;=2000),"00",AND(D3738&lt;=2019,D3738&gt;=2010),"10"),"1908-1970")</f>
        <v>90</v>
      </c>
      <c r="F3738" s="3" t="s">
        <v>28931</v>
      </c>
      <c r="G3738" t="s">
        <v>21847</v>
      </c>
      <c r="H3738" t="s">
        <v>21848</v>
      </c>
      <c r="I3738" t="s">
        <v>28931</v>
      </c>
      <c r="J3738" t="s">
        <v>21849</v>
      </c>
      <c r="K3738" t="s">
        <v>16680</v>
      </c>
      <c r="L3738" s="7" t="s">
        <v>21850</v>
      </c>
      <c r="M3738">
        <v>452</v>
      </c>
      <c r="N3738">
        <v>8</v>
      </c>
      <c r="O3738">
        <v>5</v>
      </c>
      <c r="P3738">
        <v>3</v>
      </c>
      <c r="Q3738">
        <v>3</v>
      </c>
      <c r="R3738">
        <v>0</v>
      </c>
      <c r="S3738">
        <v>3</v>
      </c>
      <c r="T3738">
        <v>0</v>
      </c>
      <c r="U3738" t="s">
        <v>21851</v>
      </c>
      <c r="V3738">
        <f>Tabla1[[#This Row],[Aboard]]-Tabla1[[#This Row],[Fatalities]]</f>
        <v>5</v>
      </c>
      <c r="W3738" s="50">
        <f>IFERROR(Tabla1[[#This Row],[Fatalities]]/Tabla1[[#This Row],[Aboard]],0)</f>
        <v>0.375</v>
      </c>
      <c r="X3738" s="51" t="str" cm="1">
        <f t="array" ref="X3738">_xlfn.IFS(Tabla1[[#This Row],[Porcentaje de muertes]]&lt;0.35,"LEVE",AND(Tabla1[[#This Row],[Porcentaje de muertes]]&gt;0.35,Tabla1[[#This Row],[Porcentaje de muertes]]&lt;0.65),"MEDIO",Tabla1[[#This Row],[Porcentaje de muertes]]&gt;0.65,"GRAVE")</f>
        <v>MEDIO</v>
      </c>
    </row>
    <row r="3739" spans="2:24" x14ac:dyDescent="0.3">
      <c r="B3739" s="9">
        <v>3738</v>
      </c>
      <c r="C3739" s="49">
        <v>33685</v>
      </c>
      <c r="D3739" s="9">
        <f>YEAR(Tabla1[[#This Row],[Date]])</f>
        <v>1992</v>
      </c>
      <c r="E3739" s="9" t="str" cm="1">
        <f t="array" ref="E3739">IFERROR(_xlfn.IFS(AND(D3739&lt;1980,D3739&gt;=1970),"70",AND(D3739&lt;1990,D3739&gt;=1980),"80",AND(D3739&lt;2000,D3739&gt;=1990),"90",AND(D3739&lt;2010,D3739&gt;=2000),"00",AND(D3739&lt;=2019,D3739&gt;=2010),"10"),"1908-1970")</f>
        <v>90</v>
      </c>
      <c r="F3739" s="3">
        <v>0.89930555555555547</v>
      </c>
      <c r="G3739" t="s">
        <v>21033</v>
      </c>
      <c r="H3739" t="s">
        <v>21034</v>
      </c>
      <c r="I3739">
        <v>405</v>
      </c>
      <c r="J3739" t="s">
        <v>9105</v>
      </c>
      <c r="K3739" t="s">
        <v>18988</v>
      </c>
      <c r="L3739" s="7" t="s">
        <v>21852</v>
      </c>
      <c r="M3739">
        <v>11235</v>
      </c>
      <c r="N3739">
        <v>51</v>
      </c>
      <c r="O3739">
        <v>47</v>
      </c>
      <c r="P3739">
        <v>4</v>
      </c>
      <c r="Q3739">
        <v>27</v>
      </c>
      <c r="R3739">
        <v>25</v>
      </c>
      <c r="S3739">
        <v>2</v>
      </c>
      <c r="T3739">
        <v>0</v>
      </c>
      <c r="U3739" t="s">
        <v>21853</v>
      </c>
      <c r="V3739">
        <f>Tabla1[[#This Row],[Aboard]]-Tabla1[[#This Row],[Fatalities]]</f>
        <v>24</v>
      </c>
      <c r="W3739" s="50">
        <f>IFERROR(Tabla1[[#This Row],[Fatalities]]/Tabla1[[#This Row],[Aboard]],0)</f>
        <v>0.52941176470588236</v>
      </c>
      <c r="X3739" s="51" t="str" cm="1">
        <f t="array" ref="X3739">_xlfn.IFS(Tabla1[[#This Row],[Porcentaje de muertes]]&lt;0.35,"LEVE",AND(Tabla1[[#This Row],[Porcentaje de muertes]]&gt;0.35,Tabla1[[#This Row],[Porcentaje de muertes]]&lt;0.65),"MEDIO",Tabla1[[#This Row],[Porcentaje de muertes]]&gt;0.65,"GRAVE")</f>
        <v>MEDIO</v>
      </c>
    </row>
    <row r="3740" spans="2:24" x14ac:dyDescent="0.3">
      <c r="B3740" s="9">
        <v>3739</v>
      </c>
      <c r="C3740" s="49">
        <v>33687</v>
      </c>
      <c r="D3740" s="9">
        <f>YEAR(Tabla1[[#This Row],[Date]])</f>
        <v>1992</v>
      </c>
      <c r="E3740" s="9" t="str" cm="1">
        <f t="array" ref="E3740">IFERROR(_xlfn.IFS(AND(D3740&lt;1980,D3740&gt;=1970),"70",AND(D3740&lt;1990,D3740&gt;=1980),"80",AND(D3740&lt;2000,D3740&gt;=1990),"90",AND(D3740&lt;2010,D3740&gt;=2000),"00",AND(D3740&lt;=2019,D3740&gt;=2010),"10"),"1908-1970")</f>
        <v>90</v>
      </c>
      <c r="F3740" s="3">
        <v>0.29305555555555557</v>
      </c>
      <c r="G3740" t="s">
        <v>12791</v>
      </c>
      <c r="H3740" t="s">
        <v>21854</v>
      </c>
      <c r="I3740" t="s">
        <v>28931</v>
      </c>
      <c r="J3740" t="s">
        <v>21855</v>
      </c>
      <c r="K3740" t="s">
        <v>16698</v>
      </c>
      <c r="L3740" s="7" t="s">
        <v>21856</v>
      </c>
      <c r="M3740" t="s">
        <v>21857</v>
      </c>
      <c r="N3740">
        <v>7</v>
      </c>
      <c r="O3740">
        <v>4</v>
      </c>
      <c r="P3740">
        <v>3</v>
      </c>
      <c r="Q3740">
        <v>7</v>
      </c>
      <c r="R3740">
        <v>4</v>
      </c>
      <c r="S3740">
        <v>3</v>
      </c>
      <c r="T3740">
        <v>0</v>
      </c>
      <c r="U3740" t="s">
        <v>21858</v>
      </c>
      <c r="V3740">
        <f>Tabla1[[#This Row],[Aboard]]-Tabla1[[#This Row],[Fatalities]]</f>
        <v>0</v>
      </c>
      <c r="W3740" s="50">
        <f>IFERROR(Tabla1[[#This Row],[Fatalities]]/Tabla1[[#This Row],[Aboard]],0)</f>
        <v>1</v>
      </c>
      <c r="X3740" s="51" t="str" cm="1">
        <f t="array" ref="X3740">_xlfn.IFS(Tabla1[[#This Row],[Porcentaje de muertes]]&lt;0.35,"LEVE",AND(Tabla1[[#This Row],[Porcentaje de muertes]]&gt;0.35,Tabla1[[#This Row],[Porcentaje de muertes]]&lt;0.65),"MEDIO",Tabla1[[#This Row],[Porcentaje de muertes]]&gt;0.65,"GRAVE")</f>
        <v>GRAVE</v>
      </c>
    </row>
    <row r="3741" spans="2:24" x14ac:dyDescent="0.3">
      <c r="B3741" s="9">
        <v>3740</v>
      </c>
      <c r="C3741" s="49">
        <v>33698</v>
      </c>
      <c r="D3741" s="9">
        <f>YEAR(Tabla1[[#This Row],[Date]])</f>
        <v>1992</v>
      </c>
      <c r="E3741" s="9" t="str" cm="1">
        <f t="array" ref="E3741">IFERROR(_xlfn.IFS(AND(D3741&lt;1980,D3741&gt;=1970),"70",AND(D3741&lt;1990,D3741&gt;=1980),"80",AND(D3741&lt;2000,D3741&gt;=1990),"90",AND(D3741&lt;2010,D3741&gt;=2000),"00",AND(D3741&lt;=2019,D3741&gt;=2010),"10"),"1908-1970")</f>
        <v>90</v>
      </c>
      <c r="F3741" s="3" t="s">
        <v>28931</v>
      </c>
      <c r="G3741" t="s">
        <v>21859</v>
      </c>
      <c r="H3741" t="s">
        <v>21860</v>
      </c>
      <c r="I3741" t="s">
        <v>28931</v>
      </c>
      <c r="J3741" t="s">
        <v>21861</v>
      </c>
      <c r="K3741" t="s">
        <v>20760</v>
      </c>
      <c r="L3741" s="7" t="s">
        <v>21862</v>
      </c>
      <c r="M3741">
        <v>800326</v>
      </c>
      <c r="N3741">
        <v>12</v>
      </c>
      <c r="O3741">
        <v>10</v>
      </c>
      <c r="P3741">
        <v>2</v>
      </c>
      <c r="Q3741">
        <v>1</v>
      </c>
      <c r="R3741">
        <v>1</v>
      </c>
      <c r="S3741">
        <v>0</v>
      </c>
      <c r="T3741">
        <v>0</v>
      </c>
      <c r="U3741" t="s">
        <v>21863</v>
      </c>
      <c r="V3741">
        <f>Tabla1[[#This Row],[Aboard]]-Tabla1[[#This Row],[Fatalities]]</f>
        <v>11</v>
      </c>
      <c r="W3741" s="50">
        <f>IFERROR(Tabla1[[#This Row],[Fatalities]]/Tabla1[[#This Row],[Aboard]],0)</f>
        <v>8.3333333333333329E-2</v>
      </c>
      <c r="X3741" s="51" t="str" cm="1">
        <f t="array" ref="X3741">_xlfn.IFS(Tabla1[[#This Row],[Porcentaje de muertes]]&lt;0.35,"LEVE",AND(Tabla1[[#This Row],[Porcentaje de muertes]]&gt;0.35,Tabla1[[#This Row],[Porcentaje de muertes]]&lt;0.65),"MEDIO",Tabla1[[#This Row],[Porcentaje de muertes]]&gt;0.65,"GRAVE")</f>
        <v>LEVE</v>
      </c>
    </row>
    <row r="3742" spans="2:24" x14ac:dyDescent="0.3">
      <c r="B3742" s="9">
        <v>3741</v>
      </c>
      <c r="C3742" s="49">
        <v>33789</v>
      </c>
      <c r="D3742" s="9">
        <f>YEAR(Tabla1[[#This Row],[Date]])</f>
        <v>1992</v>
      </c>
      <c r="E3742" s="9" t="str" cm="1">
        <f t="array" ref="E3742">IFERROR(_xlfn.IFS(AND(D3742&lt;1980,D3742&gt;=1970),"70",AND(D3742&lt;1990,D3742&gt;=1980),"80",AND(D3742&lt;2000,D3742&gt;=1990),"90",AND(D3742&lt;2010,D3742&gt;=2000),"00",AND(D3742&lt;=2019,D3742&gt;=2010),"10"),"1908-1970")</f>
        <v>90</v>
      </c>
      <c r="F3742" s="3" t="s">
        <v>28931</v>
      </c>
      <c r="G3742" t="s">
        <v>21864</v>
      </c>
      <c r="H3742" t="s">
        <v>21865</v>
      </c>
      <c r="I3742" t="s">
        <v>28931</v>
      </c>
      <c r="J3742" t="s">
        <v>21866</v>
      </c>
      <c r="K3742" t="s">
        <v>17266</v>
      </c>
      <c r="L3742" s="7" t="s">
        <v>21867</v>
      </c>
      <c r="M3742">
        <v>77310810</v>
      </c>
      <c r="N3742">
        <v>13</v>
      </c>
      <c r="O3742">
        <v>10</v>
      </c>
      <c r="P3742">
        <v>3</v>
      </c>
      <c r="Q3742">
        <v>3</v>
      </c>
      <c r="R3742">
        <v>0</v>
      </c>
      <c r="S3742">
        <v>3</v>
      </c>
      <c r="T3742">
        <v>0</v>
      </c>
      <c r="U3742" t="s">
        <v>21868</v>
      </c>
      <c r="V3742">
        <f>Tabla1[[#This Row],[Aboard]]-Tabla1[[#This Row],[Fatalities]]</f>
        <v>10</v>
      </c>
      <c r="W3742" s="50">
        <f>IFERROR(Tabla1[[#This Row],[Fatalities]]/Tabla1[[#This Row],[Aboard]],0)</f>
        <v>0.23076923076923078</v>
      </c>
      <c r="X3742" s="51" t="str" cm="1">
        <f t="array" ref="X3742">_xlfn.IFS(Tabla1[[#This Row],[Porcentaje de muertes]]&lt;0.35,"LEVE",AND(Tabla1[[#This Row],[Porcentaje de muertes]]&gt;0.35,Tabla1[[#This Row],[Porcentaje de muertes]]&lt;0.65),"MEDIO",Tabla1[[#This Row],[Porcentaje de muertes]]&gt;0.65,"GRAVE")</f>
        <v>LEVE</v>
      </c>
    </row>
    <row r="3743" spans="2:24" x14ac:dyDescent="0.3">
      <c r="B3743" s="9">
        <v>3742</v>
      </c>
      <c r="C3743" s="49">
        <v>33881</v>
      </c>
      <c r="D3743" s="9">
        <f>YEAR(Tabla1[[#This Row],[Date]])</f>
        <v>1992</v>
      </c>
      <c r="E3743" s="9" t="str" cm="1">
        <f t="array" ref="E3743">IFERROR(_xlfn.IFS(AND(D3743&lt;1980,D3743&gt;=1970),"70",AND(D3743&lt;1990,D3743&gt;=1980),"80",AND(D3743&lt;2000,D3743&gt;=1990),"90",AND(D3743&lt;2010,D3743&gt;=2000),"00",AND(D3743&lt;=2019,D3743&gt;=2010),"10"),"1908-1970")</f>
        <v>90</v>
      </c>
      <c r="F3743" s="3" t="s">
        <v>28931</v>
      </c>
      <c r="G3743" t="s">
        <v>21869</v>
      </c>
      <c r="H3743" t="s">
        <v>19457</v>
      </c>
      <c r="I3743" t="s">
        <v>28931</v>
      </c>
      <c r="J3743" t="s">
        <v>28931</v>
      </c>
      <c r="K3743" t="s">
        <v>21870</v>
      </c>
      <c r="L3743" s="7" t="s">
        <v>21871</v>
      </c>
      <c r="M3743">
        <v>2007</v>
      </c>
      <c r="N3743">
        <v>10</v>
      </c>
      <c r="O3743">
        <v>8</v>
      </c>
      <c r="P3743">
        <v>2</v>
      </c>
      <c r="Q3743">
        <v>7</v>
      </c>
      <c r="R3743">
        <v>6</v>
      </c>
      <c r="S3743">
        <v>1</v>
      </c>
      <c r="T3743">
        <v>0</v>
      </c>
      <c r="U3743" t="s">
        <v>21872</v>
      </c>
      <c r="V3743">
        <f>Tabla1[[#This Row],[Aboard]]-Tabla1[[#This Row],[Fatalities]]</f>
        <v>3</v>
      </c>
      <c r="W3743" s="50">
        <f>IFERROR(Tabla1[[#This Row],[Fatalities]]/Tabla1[[#This Row],[Aboard]],0)</f>
        <v>0.7</v>
      </c>
      <c r="X3743" s="51" t="str" cm="1">
        <f t="array" ref="X3743">_xlfn.IFS(Tabla1[[#This Row],[Porcentaje de muertes]]&lt;0.35,"LEVE",AND(Tabla1[[#This Row],[Porcentaje de muertes]]&gt;0.35,Tabla1[[#This Row],[Porcentaje de muertes]]&lt;0.65),"MEDIO",Tabla1[[#This Row],[Porcentaje de muertes]]&gt;0.65,"GRAVE")</f>
        <v>GRAVE</v>
      </c>
    </row>
    <row r="3744" spans="2:24" x14ac:dyDescent="0.3">
      <c r="B3744" s="9">
        <v>3743</v>
      </c>
      <c r="C3744" s="49">
        <v>33708</v>
      </c>
      <c r="D3744" s="9">
        <f>YEAR(Tabla1[[#This Row],[Date]])</f>
        <v>1992</v>
      </c>
      <c r="E3744" s="9" t="str" cm="1">
        <f t="array" ref="E3744">IFERROR(_xlfn.IFS(AND(D3744&lt;1980,D3744&gt;=1970),"70",AND(D3744&lt;1990,D3744&gt;=1980),"80",AND(D3744&lt;2000,D3744&gt;=1990),"90",AND(D3744&lt;2010,D3744&gt;=2000),"00",AND(D3744&lt;=2019,D3744&gt;=2010),"10"),"1908-1970")</f>
        <v>90</v>
      </c>
      <c r="F3744" s="3" t="s">
        <v>28931</v>
      </c>
      <c r="G3744" t="s">
        <v>8234</v>
      </c>
      <c r="H3744" t="s">
        <v>21873</v>
      </c>
      <c r="I3744" t="s">
        <v>28931</v>
      </c>
      <c r="J3744" t="s">
        <v>21874</v>
      </c>
      <c r="K3744" t="s">
        <v>18761</v>
      </c>
      <c r="L3744" s="7">
        <v>218</v>
      </c>
      <c r="M3744">
        <v>125</v>
      </c>
      <c r="N3744">
        <v>46</v>
      </c>
      <c r="O3744">
        <v>42</v>
      </c>
      <c r="P3744">
        <v>4</v>
      </c>
      <c r="Q3744">
        <v>46</v>
      </c>
      <c r="R3744">
        <v>42</v>
      </c>
      <c r="S3744">
        <v>4</v>
      </c>
      <c r="T3744">
        <v>6</v>
      </c>
      <c r="U3744" t="s">
        <v>21875</v>
      </c>
      <c r="V3744">
        <f>Tabla1[[#This Row],[Aboard]]-Tabla1[[#This Row],[Fatalities]]</f>
        <v>0</v>
      </c>
      <c r="W3744" s="50">
        <f>IFERROR(Tabla1[[#This Row],[Fatalities]]/Tabla1[[#This Row],[Aboard]],0)</f>
        <v>1</v>
      </c>
      <c r="X3744" s="51" t="str" cm="1">
        <f t="array" ref="X3744">_xlfn.IFS(Tabla1[[#This Row],[Porcentaje de muertes]]&lt;0.35,"LEVE",AND(Tabla1[[#This Row],[Porcentaje de muertes]]&gt;0.35,Tabla1[[#This Row],[Porcentaje de muertes]]&lt;0.65),"MEDIO",Tabla1[[#This Row],[Porcentaje de muertes]]&gt;0.65,"GRAVE")</f>
        <v>GRAVE</v>
      </c>
    </row>
    <row r="3745" spans="2:24" x14ac:dyDescent="0.3">
      <c r="B3745" s="9">
        <v>3744</v>
      </c>
      <c r="C3745" s="49">
        <v>33710</v>
      </c>
      <c r="D3745" s="9">
        <f>YEAR(Tabla1[[#This Row],[Date]])</f>
        <v>1992</v>
      </c>
      <c r="E3745" s="9" t="str" cm="1">
        <f t="array" ref="E3745">IFERROR(_xlfn.IFS(AND(D3745&lt;1980,D3745&gt;=1970),"70",AND(D3745&lt;1990,D3745&gt;=1980),"80",AND(D3745&lt;2000,D3745&gt;=1990),"90",AND(D3745&lt;2010,D3745&gt;=2000),"00",AND(D3745&lt;=2019,D3745&gt;=2010),"10"),"1908-1970")</f>
        <v>90</v>
      </c>
      <c r="F3745" s="3" t="s">
        <v>28931</v>
      </c>
      <c r="G3745" t="s">
        <v>21876</v>
      </c>
      <c r="H3745" t="s">
        <v>19661</v>
      </c>
      <c r="I3745">
        <v>709</v>
      </c>
      <c r="J3745" t="s">
        <v>21877</v>
      </c>
      <c r="K3745" t="s">
        <v>18953</v>
      </c>
      <c r="L3745" s="7" t="s">
        <v>21878</v>
      </c>
      <c r="M3745" t="s">
        <v>21879</v>
      </c>
      <c r="N3745">
        <v>15</v>
      </c>
      <c r="O3745">
        <v>13</v>
      </c>
      <c r="P3745">
        <v>2</v>
      </c>
      <c r="Q3745">
        <v>11</v>
      </c>
      <c r="R3745">
        <v>9</v>
      </c>
      <c r="S3745">
        <v>2</v>
      </c>
      <c r="T3745">
        <v>0</v>
      </c>
      <c r="U3745" t="s">
        <v>21880</v>
      </c>
      <c r="V3745">
        <f>Tabla1[[#This Row],[Aboard]]-Tabla1[[#This Row],[Fatalities]]</f>
        <v>4</v>
      </c>
      <c r="W3745" s="50">
        <f>IFERROR(Tabla1[[#This Row],[Fatalities]]/Tabla1[[#This Row],[Aboard]],0)</f>
        <v>0.73333333333333328</v>
      </c>
      <c r="X3745" s="51" t="str" cm="1">
        <f t="array" ref="X3745">_xlfn.IFS(Tabla1[[#This Row],[Porcentaje de muertes]]&lt;0.35,"LEVE",AND(Tabla1[[#This Row],[Porcentaje de muertes]]&gt;0.35,Tabla1[[#This Row],[Porcentaje de muertes]]&lt;0.65),"MEDIO",Tabla1[[#This Row],[Porcentaje de muertes]]&gt;0.65,"GRAVE")</f>
        <v>GRAVE</v>
      </c>
    </row>
    <row r="3746" spans="2:24" x14ac:dyDescent="0.3">
      <c r="B3746" s="9">
        <v>3745</v>
      </c>
      <c r="C3746" s="49">
        <v>33716</v>
      </c>
      <c r="D3746" s="9">
        <f>YEAR(Tabla1[[#This Row],[Date]])</f>
        <v>1992</v>
      </c>
      <c r="E3746" s="9" t="str" cm="1">
        <f t="array" ref="E3746">IFERROR(_xlfn.IFS(AND(D3746&lt;1980,D3746&gt;=1970),"70",AND(D3746&lt;1990,D3746&gt;=1980),"80",AND(D3746&lt;2000,D3746&gt;=1990),"90",AND(D3746&lt;2010,D3746&gt;=2000),"00",AND(D3746&lt;=2019,D3746&gt;=2010),"10"),"1908-1970")</f>
        <v>90</v>
      </c>
      <c r="F3746" s="3">
        <v>0.46458333333333335</v>
      </c>
      <c r="G3746" t="s">
        <v>21881</v>
      </c>
      <c r="H3746" t="s">
        <v>21882</v>
      </c>
      <c r="I3746" t="s">
        <v>28931</v>
      </c>
      <c r="J3746" t="s">
        <v>21883</v>
      </c>
      <c r="K3746" t="s">
        <v>15361</v>
      </c>
      <c r="L3746" s="7" t="s">
        <v>21884</v>
      </c>
      <c r="M3746">
        <v>141</v>
      </c>
      <c r="N3746">
        <v>22</v>
      </c>
      <c r="O3746">
        <v>20</v>
      </c>
      <c r="P3746">
        <v>2</v>
      </c>
      <c r="Q3746">
        <v>16</v>
      </c>
      <c r="R3746">
        <v>14</v>
      </c>
      <c r="S3746">
        <v>2</v>
      </c>
      <c r="T3746">
        <v>0</v>
      </c>
      <c r="U3746" t="s">
        <v>21885</v>
      </c>
      <c r="V3746">
        <f>Tabla1[[#This Row],[Aboard]]-Tabla1[[#This Row],[Fatalities]]</f>
        <v>6</v>
      </c>
      <c r="W3746" s="50">
        <f>IFERROR(Tabla1[[#This Row],[Fatalities]]/Tabla1[[#This Row],[Aboard]],0)</f>
        <v>0.72727272727272729</v>
      </c>
      <c r="X3746" s="51" t="str" cm="1">
        <f t="array" ref="X3746">_xlfn.IFS(Tabla1[[#This Row],[Porcentaje de muertes]]&lt;0.35,"LEVE",AND(Tabla1[[#This Row],[Porcentaje de muertes]]&gt;0.35,Tabla1[[#This Row],[Porcentaje de muertes]]&lt;0.65),"MEDIO",Tabla1[[#This Row],[Porcentaje de muertes]]&gt;0.65,"GRAVE")</f>
        <v>GRAVE</v>
      </c>
    </row>
    <row r="3747" spans="2:24" x14ac:dyDescent="0.3">
      <c r="B3747" s="9">
        <v>3746</v>
      </c>
      <c r="C3747" s="49">
        <v>33716</v>
      </c>
      <c r="D3747" s="9">
        <f>YEAR(Tabla1[[#This Row],[Date]])</f>
        <v>1992</v>
      </c>
      <c r="E3747" s="9" t="str" cm="1">
        <f t="array" ref="E3747">IFERROR(_xlfn.IFS(AND(D3747&lt;1980,D3747&gt;=1970),"70",AND(D3747&lt;1990,D3747&gt;=1980),"80",AND(D3747&lt;2000,D3747&gt;=1990),"90",AND(D3747&lt;2010,D3747&gt;=2000),"00",AND(D3747&lt;=2019,D3747&gt;=2010),"10"),"1908-1970")</f>
        <v>90</v>
      </c>
      <c r="F3747" s="3">
        <v>0.66180555555555554</v>
      </c>
      <c r="G3747" t="s">
        <v>21886</v>
      </c>
      <c r="H3747" t="s">
        <v>21887</v>
      </c>
      <c r="I3747">
        <v>22</v>
      </c>
      <c r="J3747" t="s">
        <v>21593</v>
      </c>
      <c r="K3747" t="s">
        <v>16921</v>
      </c>
      <c r="L3747" s="7" t="s">
        <v>21888</v>
      </c>
      <c r="M3747" t="s">
        <v>21889</v>
      </c>
      <c r="N3747">
        <v>9</v>
      </c>
      <c r="O3747">
        <v>8</v>
      </c>
      <c r="P3747">
        <v>1</v>
      </c>
      <c r="Q3747">
        <v>9</v>
      </c>
      <c r="R3747">
        <v>8</v>
      </c>
      <c r="S3747">
        <v>1</v>
      </c>
      <c r="T3747">
        <v>0</v>
      </c>
      <c r="U3747" t="s">
        <v>21890</v>
      </c>
      <c r="V3747">
        <f>Tabla1[[#This Row],[Aboard]]-Tabla1[[#This Row],[Fatalities]]</f>
        <v>0</v>
      </c>
      <c r="W3747" s="50">
        <f>IFERROR(Tabla1[[#This Row],[Fatalities]]/Tabla1[[#This Row],[Aboard]],0)</f>
        <v>1</v>
      </c>
      <c r="X3747" s="51" t="str" cm="1">
        <f t="array" ref="X3747">_xlfn.IFS(Tabla1[[#This Row],[Porcentaje de muertes]]&lt;0.35,"LEVE",AND(Tabla1[[#This Row],[Porcentaje de muertes]]&gt;0.35,Tabla1[[#This Row],[Porcentaje de muertes]]&lt;0.65),"MEDIO",Tabla1[[#This Row],[Porcentaje de muertes]]&gt;0.65,"GRAVE")</f>
        <v>GRAVE</v>
      </c>
    </row>
    <row r="3748" spans="2:24" x14ac:dyDescent="0.3">
      <c r="B3748" s="9">
        <v>3747</v>
      </c>
      <c r="C3748" s="49">
        <v>33720</v>
      </c>
      <c r="D3748" s="9">
        <f>YEAR(Tabla1[[#This Row],[Date]])</f>
        <v>1992</v>
      </c>
      <c r="E3748" s="9" t="str" cm="1">
        <f t="array" ref="E3748">IFERROR(_xlfn.IFS(AND(D3748&lt;1980,D3748&gt;=1970),"70",AND(D3748&lt;1990,D3748&gt;=1980),"80",AND(D3748&lt;2000,D3748&gt;=1990),"90",AND(D3748&lt;2010,D3748&gt;=2000),"00",AND(D3748&lt;=2019,D3748&gt;=2010),"10"),"1908-1970")</f>
        <v>90</v>
      </c>
      <c r="F3748" s="3" t="s">
        <v>28931</v>
      </c>
      <c r="G3748" t="s">
        <v>21891</v>
      </c>
      <c r="H3748" t="s">
        <v>21892</v>
      </c>
      <c r="I3748" t="s">
        <v>28931</v>
      </c>
      <c r="J3748" t="s">
        <v>21893</v>
      </c>
      <c r="K3748" t="s">
        <v>15897</v>
      </c>
      <c r="L3748" s="8">
        <v>2525774</v>
      </c>
      <c r="M3748">
        <v>10499</v>
      </c>
      <c r="N3748">
        <v>39</v>
      </c>
      <c r="O3748">
        <v>35</v>
      </c>
      <c r="P3748">
        <v>4</v>
      </c>
      <c r="Q3748">
        <v>39</v>
      </c>
      <c r="R3748">
        <v>35</v>
      </c>
      <c r="S3748">
        <v>4</v>
      </c>
      <c r="T3748">
        <v>0</v>
      </c>
      <c r="U3748" t="s">
        <v>21894</v>
      </c>
      <c r="V3748">
        <f>Tabla1[[#This Row],[Aboard]]-Tabla1[[#This Row],[Fatalities]]</f>
        <v>0</v>
      </c>
      <c r="W3748" s="50">
        <f>IFERROR(Tabla1[[#This Row],[Fatalities]]/Tabla1[[#This Row],[Aboard]],0)</f>
        <v>1</v>
      </c>
      <c r="X3748" s="51" t="str" cm="1">
        <f t="array" ref="X3748">_xlfn.IFS(Tabla1[[#This Row],[Porcentaje de muertes]]&lt;0.35,"LEVE",AND(Tabla1[[#This Row],[Porcentaje de muertes]]&gt;0.35,Tabla1[[#This Row],[Porcentaje de muertes]]&lt;0.65),"MEDIO",Tabla1[[#This Row],[Porcentaje de muertes]]&gt;0.65,"GRAVE")</f>
        <v>GRAVE</v>
      </c>
    </row>
    <row r="3749" spans="2:24" x14ac:dyDescent="0.3">
      <c r="B3749" s="9">
        <v>3748</v>
      </c>
      <c r="C3749" s="49">
        <v>33761</v>
      </c>
      <c r="D3749" s="9">
        <f>YEAR(Tabla1[[#This Row],[Date]])</f>
        <v>1992</v>
      </c>
      <c r="E3749" s="9" t="str" cm="1">
        <f t="array" ref="E3749">IFERROR(_xlfn.IFS(AND(D3749&lt;1980,D3749&gt;=1970),"70",AND(D3749&lt;1990,D3749&gt;=1980),"80",AND(D3749&lt;2000,D3749&gt;=1990),"90",AND(D3749&lt;2010,D3749&gt;=2000),"00",AND(D3749&lt;=2019,D3749&gt;=2010),"10"),"1908-1970")</f>
        <v>90</v>
      </c>
      <c r="F3749" s="3">
        <v>0.875</v>
      </c>
      <c r="G3749" t="s">
        <v>21895</v>
      </c>
      <c r="H3749" t="s">
        <v>21896</v>
      </c>
      <c r="I3749">
        <v>201</v>
      </c>
      <c r="J3749" t="s">
        <v>21897</v>
      </c>
      <c r="K3749" t="s">
        <v>21898</v>
      </c>
      <c r="L3749" s="7" t="s">
        <v>21899</v>
      </c>
      <c r="M3749" t="s">
        <v>21900</v>
      </c>
      <c r="N3749">
        <v>47</v>
      </c>
      <c r="O3749">
        <v>40</v>
      </c>
      <c r="P3749">
        <v>7</v>
      </c>
      <c r="Q3749">
        <v>47</v>
      </c>
      <c r="R3749">
        <v>40</v>
      </c>
      <c r="S3749">
        <v>7</v>
      </c>
      <c r="T3749">
        <v>0</v>
      </c>
      <c r="U3749" t="s">
        <v>21901</v>
      </c>
      <c r="V3749">
        <f>Tabla1[[#This Row],[Aboard]]-Tabla1[[#This Row],[Fatalities]]</f>
        <v>0</v>
      </c>
      <c r="W3749" s="50">
        <f>IFERROR(Tabla1[[#This Row],[Fatalities]]/Tabla1[[#This Row],[Aboard]],0)</f>
        <v>1</v>
      </c>
      <c r="X3749" s="51" t="str" cm="1">
        <f t="array" ref="X3749">_xlfn.IFS(Tabla1[[#This Row],[Porcentaje de muertes]]&lt;0.35,"LEVE",AND(Tabla1[[#This Row],[Porcentaje de muertes]]&gt;0.35,Tabla1[[#This Row],[Porcentaje de muertes]]&lt;0.65),"MEDIO",Tabla1[[#This Row],[Porcentaje de muertes]]&gt;0.65,"GRAVE")</f>
        <v>GRAVE</v>
      </c>
    </row>
    <row r="3750" spans="2:24" x14ac:dyDescent="0.3">
      <c r="B3750" s="9">
        <v>3749</v>
      </c>
      <c r="C3750" s="49">
        <v>33791</v>
      </c>
      <c r="D3750" s="9">
        <f>YEAR(Tabla1[[#This Row],[Date]])</f>
        <v>1992</v>
      </c>
      <c r="E3750" s="9" t="str" cm="1">
        <f t="array" ref="E3750">IFERROR(_xlfn.IFS(AND(D3750&lt;1980,D3750&gt;=1970),"70",AND(D3750&lt;1990,D3750&gt;=1980),"80",AND(D3750&lt;2000,D3750&gt;=1990),"90",AND(D3750&lt;2010,D3750&gt;=2000),"00",AND(D3750&lt;=2019,D3750&gt;=2010),"10"),"1908-1970")</f>
        <v>90</v>
      </c>
      <c r="F3750" s="3">
        <v>0.6069444444444444</v>
      </c>
      <c r="G3750" t="s">
        <v>20319</v>
      </c>
      <c r="H3750" t="s">
        <v>20320</v>
      </c>
      <c r="I3750" t="s">
        <v>28931</v>
      </c>
      <c r="J3750" t="s">
        <v>21902</v>
      </c>
      <c r="K3750" t="s">
        <v>20276</v>
      </c>
      <c r="L3750" s="7" t="s">
        <v>21903</v>
      </c>
      <c r="M3750">
        <v>234</v>
      </c>
      <c r="N3750">
        <v>5</v>
      </c>
      <c r="O3750">
        <v>3</v>
      </c>
      <c r="P3750">
        <v>2</v>
      </c>
      <c r="Q3750">
        <v>5</v>
      </c>
      <c r="R3750">
        <v>3</v>
      </c>
      <c r="S3750">
        <v>2</v>
      </c>
      <c r="T3750">
        <v>0</v>
      </c>
      <c r="U3750" t="s">
        <v>21904</v>
      </c>
      <c r="V3750">
        <f>Tabla1[[#This Row],[Aboard]]-Tabla1[[#This Row],[Fatalities]]</f>
        <v>0</v>
      </c>
      <c r="W3750" s="50">
        <f>IFERROR(Tabla1[[#This Row],[Fatalities]]/Tabla1[[#This Row],[Aboard]],0)</f>
        <v>1</v>
      </c>
      <c r="X3750" s="51" t="str" cm="1">
        <f t="array" ref="X3750">_xlfn.IFS(Tabla1[[#This Row],[Porcentaje de muertes]]&lt;0.35,"LEVE",AND(Tabla1[[#This Row],[Porcentaje de muertes]]&gt;0.35,Tabla1[[#This Row],[Porcentaje de muertes]]&lt;0.65),"MEDIO",Tabla1[[#This Row],[Porcentaje de muertes]]&gt;0.65,"GRAVE")</f>
        <v>GRAVE</v>
      </c>
    </row>
    <row r="3751" spans="2:24" x14ac:dyDescent="0.3">
      <c r="B3751" s="9">
        <v>3750</v>
      </c>
      <c r="C3751" s="49">
        <v>33777</v>
      </c>
      <c r="D3751" s="9">
        <f>YEAR(Tabla1[[#This Row],[Date]])</f>
        <v>1992</v>
      </c>
      <c r="E3751" s="9" t="str" cm="1">
        <f t="array" ref="E3751">IFERROR(_xlfn.IFS(AND(D3751&lt;1980,D3751&gt;=1970),"70",AND(D3751&lt;1990,D3751&gt;=1980),"80",AND(D3751&lt;2000,D3751&gt;=1990),"90",AND(D3751&lt;2010,D3751&gt;=2000),"00",AND(D3751&lt;=2019,D3751&gt;=2010),"10"),"1908-1970")</f>
        <v>90</v>
      </c>
      <c r="F3751" s="3">
        <v>0.25347222222222221</v>
      </c>
      <c r="G3751" t="s">
        <v>21905</v>
      </c>
      <c r="H3751" t="s">
        <v>7581</v>
      </c>
      <c r="I3751" t="s">
        <v>28931</v>
      </c>
      <c r="J3751" t="s">
        <v>21906</v>
      </c>
      <c r="K3751" t="s">
        <v>21907</v>
      </c>
      <c r="L3751" s="7" t="s">
        <v>21908</v>
      </c>
      <c r="M3751" t="s">
        <v>21909</v>
      </c>
      <c r="N3751">
        <v>3</v>
      </c>
      <c r="O3751">
        <v>1</v>
      </c>
      <c r="P3751">
        <v>2</v>
      </c>
      <c r="Q3751">
        <v>3</v>
      </c>
      <c r="R3751">
        <v>1</v>
      </c>
      <c r="S3751">
        <v>2</v>
      </c>
      <c r="T3751">
        <v>0</v>
      </c>
      <c r="U3751" t="s">
        <v>21910</v>
      </c>
      <c r="V3751">
        <f>Tabla1[[#This Row],[Aboard]]-Tabla1[[#This Row],[Fatalities]]</f>
        <v>0</v>
      </c>
      <c r="W3751" s="50">
        <f>IFERROR(Tabla1[[#This Row],[Fatalities]]/Tabla1[[#This Row],[Aboard]],0)</f>
        <v>1</v>
      </c>
      <c r="X3751" s="51" t="str" cm="1">
        <f t="array" ref="X3751">_xlfn.IFS(Tabla1[[#This Row],[Porcentaje de muertes]]&lt;0.35,"LEVE",AND(Tabla1[[#This Row],[Porcentaje de muertes]]&gt;0.35,Tabla1[[#This Row],[Porcentaje de muertes]]&lt;0.65),"MEDIO",Tabla1[[#This Row],[Porcentaje de muertes]]&gt;0.65,"GRAVE")</f>
        <v>GRAVE</v>
      </c>
    </row>
    <row r="3752" spans="2:24" x14ac:dyDescent="0.3">
      <c r="B3752" s="9">
        <v>3751</v>
      </c>
      <c r="C3752" s="49">
        <v>33777</v>
      </c>
      <c r="D3752" s="9">
        <f>YEAR(Tabla1[[#This Row],[Date]])</f>
        <v>1992</v>
      </c>
      <c r="E3752" s="9" t="str" cm="1">
        <f t="array" ref="E3752">IFERROR(_xlfn.IFS(AND(D3752&lt;1980,D3752&gt;=1970),"70",AND(D3752&lt;1990,D3752&gt;=1980),"80",AND(D3752&lt;2000,D3752&gt;=1990),"90",AND(D3752&lt;2010,D3752&gt;=2000),"00",AND(D3752&lt;=2019,D3752&gt;=2010),"10"),"1908-1970")</f>
        <v>90</v>
      </c>
      <c r="F3752" s="3">
        <v>0.53125</v>
      </c>
      <c r="G3752" t="s">
        <v>21911</v>
      </c>
      <c r="H3752" t="s">
        <v>21912</v>
      </c>
      <c r="I3752" t="s">
        <v>28931</v>
      </c>
      <c r="J3752" t="s">
        <v>21913</v>
      </c>
      <c r="K3752" t="s">
        <v>13992</v>
      </c>
      <c r="L3752" s="7" t="s">
        <v>21914</v>
      </c>
      <c r="M3752" t="s">
        <v>21915</v>
      </c>
      <c r="N3752">
        <v>12</v>
      </c>
      <c r="O3752">
        <v>7</v>
      </c>
      <c r="P3752">
        <v>5</v>
      </c>
      <c r="Q3752">
        <v>10</v>
      </c>
      <c r="R3752">
        <v>6</v>
      </c>
      <c r="S3752">
        <v>4</v>
      </c>
      <c r="T3752">
        <v>0</v>
      </c>
      <c r="U3752" t="s">
        <v>21916</v>
      </c>
      <c r="V3752">
        <f>Tabla1[[#This Row],[Aboard]]-Tabla1[[#This Row],[Fatalities]]</f>
        <v>2</v>
      </c>
      <c r="W3752" s="50">
        <f>IFERROR(Tabla1[[#This Row],[Fatalities]]/Tabla1[[#This Row],[Aboard]],0)</f>
        <v>0.83333333333333337</v>
      </c>
      <c r="X3752" s="51" t="str" cm="1">
        <f t="array" ref="X3752">_xlfn.IFS(Tabla1[[#This Row],[Porcentaje de muertes]]&lt;0.35,"LEVE",AND(Tabla1[[#This Row],[Porcentaje de muertes]]&gt;0.35,Tabla1[[#This Row],[Porcentaje de muertes]]&lt;0.65),"MEDIO",Tabla1[[#This Row],[Porcentaje de muertes]]&gt;0.65,"GRAVE")</f>
        <v>GRAVE</v>
      </c>
    </row>
    <row r="3753" spans="2:24" x14ac:dyDescent="0.3">
      <c r="B3753" s="9">
        <v>3752</v>
      </c>
      <c r="C3753" s="49">
        <v>33731</v>
      </c>
      <c r="D3753" s="9">
        <f>YEAR(Tabla1[[#This Row],[Date]])</f>
        <v>1992</v>
      </c>
      <c r="E3753" s="9" t="str" cm="1">
        <f t="array" ref="E3753">IFERROR(_xlfn.IFS(AND(D3753&lt;1980,D3753&gt;=1970),"70",AND(D3753&lt;1990,D3753&gt;=1980),"80",AND(D3753&lt;2000,D3753&gt;=1990),"90",AND(D3753&lt;2010,D3753&gt;=2000),"00",AND(D3753&lt;=2019,D3753&gt;=2010),"10"),"1908-1970")</f>
        <v>90</v>
      </c>
      <c r="F3753" s="3">
        <v>0.70833333333333337</v>
      </c>
      <c r="G3753" t="s">
        <v>21917</v>
      </c>
      <c r="H3753" t="s">
        <v>21918</v>
      </c>
      <c r="I3753" t="s">
        <v>28931</v>
      </c>
      <c r="J3753" t="s">
        <v>21919</v>
      </c>
      <c r="K3753" t="s">
        <v>21920</v>
      </c>
      <c r="L3753" s="7" t="s">
        <v>21921</v>
      </c>
      <c r="M3753">
        <v>60804</v>
      </c>
      <c r="N3753">
        <v>19</v>
      </c>
      <c r="O3753">
        <v>13</v>
      </c>
      <c r="P3753">
        <v>6</v>
      </c>
      <c r="Q3753">
        <v>19</v>
      </c>
      <c r="R3753">
        <v>13</v>
      </c>
      <c r="S3753">
        <v>6</v>
      </c>
      <c r="T3753">
        <v>0</v>
      </c>
      <c r="U3753" t="s">
        <v>21922</v>
      </c>
      <c r="V3753">
        <f>Tabla1[[#This Row],[Aboard]]-Tabla1[[#This Row],[Fatalities]]</f>
        <v>0</v>
      </c>
      <c r="W3753" s="50">
        <f>IFERROR(Tabla1[[#This Row],[Fatalities]]/Tabla1[[#This Row],[Aboard]],0)</f>
        <v>1</v>
      </c>
      <c r="X3753" s="51" t="str" cm="1">
        <f t="array" ref="X3753">_xlfn.IFS(Tabla1[[#This Row],[Porcentaje de muertes]]&lt;0.35,"LEVE",AND(Tabla1[[#This Row],[Porcentaje de muertes]]&gt;0.35,Tabla1[[#This Row],[Porcentaje de muertes]]&lt;0.65),"MEDIO",Tabla1[[#This Row],[Porcentaje de muertes]]&gt;0.65,"GRAVE")</f>
        <v>GRAVE</v>
      </c>
    </row>
    <row r="3754" spans="2:24" x14ac:dyDescent="0.3">
      <c r="B3754" s="9">
        <v>3753</v>
      </c>
      <c r="C3754" s="49">
        <v>33798</v>
      </c>
      <c r="D3754" s="9">
        <f>YEAR(Tabla1[[#This Row],[Date]])</f>
        <v>1992</v>
      </c>
      <c r="E3754" s="9" t="str" cm="1">
        <f t="array" ref="E3754">IFERROR(_xlfn.IFS(AND(D3754&lt;1980,D3754&gt;=1970),"70",AND(D3754&lt;1990,D3754&gt;=1980),"80",AND(D3754&lt;2000,D3754&gt;=1990),"90",AND(D3754&lt;2010,D3754&gt;=2000),"00",AND(D3754&lt;=2019,D3754&gt;=2010),"10"),"1908-1970")</f>
        <v>90</v>
      </c>
      <c r="F3754" s="3">
        <v>0.52083333333333337</v>
      </c>
      <c r="G3754" t="s">
        <v>21923</v>
      </c>
      <c r="H3754" t="s">
        <v>21924</v>
      </c>
      <c r="I3754" t="s">
        <v>28931</v>
      </c>
      <c r="J3754" t="s">
        <v>21925</v>
      </c>
      <c r="K3754" t="s">
        <v>21926</v>
      </c>
      <c r="L3754" s="7" t="s">
        <v>21927</v>
      </c>
      <c r="M3754" t="s">
        <v>21928</v>
      </c>
      <c r="N3754">
        <v>1</v>
      </c>
      <c r="O3754">
        <v>0</v>
      </c>
      <c r="P3754">
        <v>1</v>
      </c>
      <c r="Q3754">
        <v>1</v>
      </c>
      <c r="R3754">
        <v>0</v>
      </c>
      <c r="S3754">
        <v>1</v>
      </c>
      <c r="T3754">
        <v>0</v>
      </c>
      <c r="U3754" t="s">
        <v>21929</v>
      </c>
      <c r="V3754">
        <f>Tabla1[[#This Row],[Aboard]]-Tabla1[[#This Row],[Fatalities]]</f>
        <v>0</v>
      </c>
      <c r="W3754" s="50">
        <f>IFERROR(Tabla1[[#This Row],[Fatalities]]/Tabla1[[#This Row],[Aboard]],0)</f>
        <v>1</v>
      </c>
      <c r="X3754" s="51" t="str" cm="1">
        <f t="array" ref="X3754">_xlfn.IFS(Tabla1[[#This Row],[Porcentaje de muertes]]&lt;0.35,"LEVE",AND(Tabla1[[#This Row],[Porcentaje de muertes]]&gt;0.35,Tabla1[[#This Row],[Porcentaje de muertes]]&lt;0.65),"MEDIO",Tabla1[[#This Row],[Porcentaje de muertes]]&gt;0.65,"GRAVE")</f>
        <v>GRAVE</v>
      </c>
    </row>
    <row r="3755" spans="2:24" x14ac:dyDescent="0.3">
      <c r="B3755" s="9">
        <v>3754</v>
      </c>
      <c r="C3755" s="49">
        <v>33799</v>
      </c>
      <c r="D3755" s="9">
        <f>YEAR(Tabla1[[#This Row],[Date]])</f>
        <v>1992</v>
      </c>
      <c r="E3755" s="9" t="str" cm="1">
        <f t="array" ref="E3755">IFERROR(_xlfn.IFS(AND(D3755&lt;1980,D3755&gt;=1970),"70",AND(D3755&lt;1990,D3755&gt;=1980),"80",AND(D3755&lt;2000,D3755&gt;=1990),"90",AND(D3755&lt;2010,D3755&gt;=2000),"00",AND(D3755&lt;=2019,D3755&gt;=2010),"10"),"1908-1970")</f>
        <v>90</v>
      </c>
      <c r="F3755" s="3" t="s">
        <v>28931</v>
      </c>
      <c r="G3755" t="s">
        <v>21930</v>
      </c>
      <c r="H3755" t="s">
        <v>15187</v>
      </c>
      <c r="I3755" t="s">
        <v>28931</v>
      </c>
      <c r="J3755" t="s">
        <v>21931</v>
      </c>
      <c r="K3755" t="s">
        <v>16941</v>
      </c>
      <c r="L3755" s="7" t="s">
        <v>21932</v>
      </c>
      <c r="M3755">
        <v>1347903</v>
      </c>
      <c r="N3755">
        <v>34</v>
      </c>
      <c r="O3755">
        <v>27</v>
      </c>
      <c r="P3755">
        <v>7</v>
      </c>
      <c r="Q3755">
        <v>29</v>
      </c>
      <c r="R3755">
        <v>24</v>
      </c>
      <c r="S3755">
        <v>5</v>
      </c>
      <c r="T3755">
        <v>0</v>
      </c>
      <c r="U3755" t="s">
        <v>21933</v>
      </c>
      <c r="V3755">
        <f>Tabla1[[#This Row],[Aboard]]-Tabla1[[#This Row],[Fatalities]]</f>
        <v>5</v>
      </c>
      <c r="W3755" s="50">
        <f>IFERROR(Tabla1[[#This Row],[Fatalities]]/Tabla1[[#This Row],[Aboard]],0)</f>
        <v>0.8529411764705882</v>
      </c>
      <c r="X3755" s="51" t="str" cm="1">
        <f t="array" ref="X3755">_xlfn.IFS(Tabla1[[#This Row],[Porcentaje de muertes]]&lt;0.35,"LEVE",AND(Tabla1[[#This Row],[Porcentaje de muertes]]&gt;0.35,Tabla1[[#This Row],[Porcentaje de muertes]]&lt;0.65),"MEDIO",Tabla1[[#This Row],[Porcentaje de muertes]]&gt;0.65,"GRAVE")</f>
        <v>GRAVE</v>
      </c>
    </row>
    <row r="3756" spans="2:24" x14ac:dyDescent="0.3">
      <c r="B3756" s="9">
        <v>3755</v>
      </c>
      <c r="C3756" s="49">
        <v>33799</v>
      </c>
      <c r="D3756" s="9">
        <f>YEAR(Tabla1[[#This Row],[Date]])</f>
        <v>1992</v>
      </c>
      <c r="E3756" s="9" t="str" cm="1">
        <f t="array" ref="E3756">IFERROR(_xlfn.IFS(AND(D3756&lt;1980,D3756&gt;=1970),"70",AND(D3756&lt;1990,D3756&gt;=1980),"80",AND(D3756&lt;2000,D3756&gt;=1990),"90",AND(D3756&lt;2010,D3756&gt;=2000),"00",AND(D3756&lt;=2019,D3756&gt;=2010),"10"),"1908-1970")</f>
        <v>90</v>
      </c>
      <c r="F3756" s="3" t="s">
        <v>28931</v>
      </c>
      <c r="G3756" t="s">
        <v>21934</v>
      </c>
      <c r="H3756" t="s">
        <v>21935</v>
      </c>
      <c r="I3756" t="s">
        <v>28931</v>
      </c>
      <c r="J3756" t="s">
        <v>21931</v>
      </c>
      <c r="K3756" t="s">
        <v>18274</v>
      </c>
      <c r="L3756" s="7" t="s">
        <v>28931</v>
      </c>
      <c r="M3756" t="s">
        <v>28931</v>
      </c>
      <c r="N3756">
        <v>57</v>
      </c>
      <c r="O3756">
        <v>50</v>
      </c>
      <c r="P3756">
        <v>7</v>
      </c>
      <c r="Q3756">
        <v>57</v>
      </c>
      <c r="R3756">
        <v>50</v>
      </c>
      <c r="S3756">
        <v>7</v>
      </c>
      <c r="T3756">
        <v>0</v>
      </c>
      <c r="U3756" t="s">
        <v>21936</v>
      </c>
      <c r="V3756">
        <f>Tabla1[[#This Row],[Aboard]]-Tabla1[[#This Row],[Fatalities]]</f>
        <v>0</v>
      </c>
      <c r="W3756" s="50">
        <f>IFERROR(Tabla1[[#This Row],[Fatalities]]/Tabla1[[#This Row],[Aboard]],0)</f>
        <v>1</v>
      </c>
      <c r="X3756" s="51" t="str" cm="1">
        <f t="array" ref="X3756">_xlfn.IFS(Tabla1[[#This Row],[Porcentaje de muertes]]&lt;0.35,"LEVE",AND(Tabla1[[#This Row],[Porcentaje de muertes]]&gt;0.35,Tabla1[[#This Row],[Porcentaje de muertes]]&lt;0.65),"MEDIO",Tabla1[[#This Row],[Porcentaje de muertes]]&gt;0.65,"GRAVE")</f>
        <v>GRAVE</v>
      </c>
    </row>
    <row r="3757" spans="2:24" x14ac:dyDescent="0.3">
      <c r="B3757" s="9">
        <v>3756</v>
      </c>
      <c r="C3757" s="49">
        <v>33805</v>
      </c>
      <c r="D3757" s="9">
        <f>YEAR(Tabla1[[#This Row],[Date]])</f>
        <v>1992</v>
      </c>
      <c r="E3757" s="9" t="str" cm="1">
        <f t="array" ref="E3757">IFERROR(_xlfn.IFS(AND(D3757&lt;1980,D3757&gt;=1970),"70",AND(D3757&lt;1990,D3757&gt;=1980),"80",AND(D3757&lt;2000,D3757&gt;=1990),"90",AND(D3757&lt;2010,D3757&gt;=2000),"00",AND(D3757&lt;=2019,D3757&gt;=2010),"10"),"1908-1970")</f>
        <v>90</v>
      </c>
      <c r="F3757" s="3" t="s">
        <v>28931</v>
      </c>
      <c r="G3757" t="s">
        <v>21937</v>
      </c>
      <c r="H3757" t="s">
        <v>21938</v>
      </c>
      <c r="I3757" t="s">
        <v>28931</v>
      </c>
      <c r="J3757" t="s">
        <v>21939</v>
      </c>
      <c r="K3757" t="s">
        <v>17443</v>
      </c>
      <c r="L3757" s="7" t="s">
        <v>21940</v>
      </c>
      <c r="M3757" t="s">
        <v>21941</v>
      </c>
      <c r="N3757">
        <v>24</v>
      </c>
      <c r="O3757">
        <v>16</v>
      </c>
      <c r="P3757">
        <v>8</v>
      </c>
      <c r="Q3757">
        <v>24</v>
      </c>
      <c r="R3757">
        <v>16</v>
      </c>
      <c r="S3757">
        <v>8</v>
      </c>
      <c r="T3757">
        <v>4</v>
      </c>
      <c r="U3757" t="s">
        <v>21942</v>
      </c>
      <c r="V3757">
        <f>Tabla1[[#This Row],[Aboard]]-Tabla1[[#This Row],[Fatalities]]</f>
        <v>0</v>
      </c>
      <c r="W3757" s="50">
        <f>IFERROR(Tabla1[[#This Row],[Fatalities]]/Tabla1[[#This Row],[Aboard]],0)</f>
        <v>1</v>
      </c>
      <c r="X3757" s="51" t="str" cm="1">
        <f t="array" ref="X3757">_xlfn.IFS(Tabla1[[#This Row],[Porcentaje de muertes]]&lt;0.35,"LEVE",AND(Tabla1[[#This Row],[Porcentaje de muertes]]&gt;0.35,Tabla1[[#This Row],[Porcentaje de muertes]]&lt;0.65),"MEDIO",Tabla1[[#This Row],[Porcentaje de muertes]]&gt;0.65,"GRAVE")</f>
        <v>GRAVE</v>
      </c>
    </row>
    <row r="3758" spans="2:24" x14ac:dyDescent="0.3">
      <c r="B3758" s="9">
        <v>3757</v>
      </c>
      <c r="C3758" s="49">
        <v>33809</v>
      </c>
      <c r="D3758" s="9">
        <f>YEAR(Tabla1[[#This Row],[Date]])</f>
        <v>1992</v>
      </c>
      <c r="E3758" s="9" t="str" cm="1">
        <f t="array" ref="E3758">IFERROR(_xlfn.IFS(AND(D3758&lt;1980,D3758&gt;=1970),"70",AND(D3758&lt;1990,D3758&gt;=1980),"80",AND(D3758&lt;2000,D3758&gt;=1990),"90",AND(D3758&lt;2010,D3758&gt;=2000),"00",AND(D3758&lt;=2019,D3758&gt;=2010),"10"),"1908-1970")</f>
        <v>90</v>
      </c>
      <c r="F3758" s="3" t="s">
        <v>28931</v>
      </c>
      <c r="G3758" t="s">
        <v>21943</v>
      </c>
      <c r="H3758" t="s">
        <v>21944</v>
      </c>
      <c r="I3758" t="s">
        <v>28931</v>
      </c>
      <c r="J3758" t="s">
        <v>28931</v>
      </c>
      <c r="K3758" t="s">
        <v>21945</v>
      </c>
      <c r="L3758" s="7" t="s">
        <v>21946</v>
      </c>
      <c r="M3758">
        <v>347607</v>
      </c>
      <c r="N3758">
        <v>8</v>
      </c>
      <c r="O3758">
        <v>2</v>
      </c>
      <c r="P3758">
        <v>6</v>
      </c>
      <c r="Q3758">
        <v>8</v>
      </c>
      <c r="R3758">
        <v>2</v>
      </c>
      <c r="S3758">
        <v>6</v>
      </c>
      <c r="T3758">
        <v>0</v>
      </c>
      <c r="U3758" t="s">
        <v>21947</v>
      </c>
      <c r="V3758">
        <f>Tabla1[[#This Row],[Aboard]]-Tabla1[[#This Row],[Fatalities]]</f>
        <v>0</v>
      </c>
      <c r="W3758" s="50">
        <f>IFERROR(Tabla1[[#This Row],[Fatalities]]/Tabla1[[#This Row],[Aboard]],0)</f>
        <v>1</v>
      </c>
      <c r="X3758" s="51" t="str" cm="1">
        <f t="array" ref="X3758">_xlfn.IFS(Tabla1[[#This Row],[Porcentaje de muertes]]&lt;0.35,"LEVE",AND(Tabla1[[#This Row],[Porcentaje de muertes]]&gt;0.35,Tabla1[[#This Row],[Porcentaje de muertes]]&lt;0.65),"MEDIO",Tabla1[[#This Row],[Porcentaje de muertes]]&gt;0.65,"GRAVE")</f>
        <v>GRAVE</v>
      </c>
    </row>
    <row r="3759" spans="2:24" x14ac:dyDescent="0.3">
      <c r="B3759" s="9">
        <v>3758</v>
      </c>
      <c r="C3759" s="49">
        <v>33809</v>
      </c>
      <c r="D3759" s="9">
        <f>YEAR(Tabla1[[#This Row],[Date]])</f>
        <v>1992</v>
      </c>
      <c r="E3759" s="9" t="str" cm="1">
        <f t="array" ref="E3759">IFERROR(_xlfn.IFS(AND(D3759&lt;1980,D3759&gt;=1970),"70",AND(D3759&lt;1990,D3759&gt;=1980),"80",AND(D3759&lt;2000,D3759&gt;=1990),"90",AND(D3759&lt;2010,D3759&gt;=2000),"00",AND(D3759&lt;=2019,D3759&gt;=2010),"10"),"1908-1970")</f>
        <v>90</v>
      </c>
      <c r="F3759" s="3">
        <v>0.6875</v>
      </c>
      <c r="G3759" t="s">
        <v>21948</v>
      </c>
      <c r="H3759" t="s">
        <v>21949</v>
      </c>
      <c r="I3759">
        <v>660</v>
      </c>
      <c r="J3759" t="s">
        <v>21950</v>
      </c>
      <c r="K3759" t="s">
        <v>21951</v>
      </c>
      <c r="L3759" s="7" t="s">
        <v>21952</v>
      </c>
      <c r="M3759">
        <v>434</v>
      </c>
      <c r="N3759">
        <v>70</v>
      </c>
      <c r="O3759">
        <v>63</v>
      </c>
      <c r="P3759">
        <v>7</v>
      </c>
      <c r="Q3759">
        <v>70</v>
      </c>
      <c r="R3759">
        <v>63</v>
      </c>
      <c r="S3759">
        <v>7</v>
      </c>
      <c r="T3759">
        <v>0</v>
      </c>
      <c r="U3759" t="s">
        <v>21953</v>
      </c>
      <c r="V3759">
        <f>Tabla1[[#This Row],[Aboard]]-Tabla1[[#This Row],[Fatalities]]</f>
        <v>0</v>
      </c>
      <c r="W3759" s="50">
        <f>IFERROR(Tabla1[[#This Row],[Fatalities]]/Tabla1[[#This Row],[Aboard]],0)</f>
        <v>1</v>
      </c>
      <c r="X3759" s="51" t="str" cm="1">
        <f t="array" ref="X3759">_xlfn.IFS(Tabla1[[#This Row],[Porcentaje de muertes]]&lt;0.35,"LEVE",AND(Tabla1[[#This Row],[Porcentaje de muertes]]&gt;0.35,Tabla1[[#This Row],[Porcentaje de muertes]]&lt;0.65),"MEDIO",Tabla1[[#This Row],[Porcentaje de muertes]]&gt;0.65,"GRAVE")</f>
        <v>GRAVE</v>
      </c>
    </row>
    <row r="3760" spans="2:24" x14ac:dyDescent="0.3">
      <c r="B3760" s="9">
        <v>3759</v>
      </c>
      <c r="C3760" s="49">
        <v>33812</v>
      </c>
      <c r="D3760" s="9">
        <f>YEAR(Tabla1[[#This Row],[Date]])</f>
        <v>1992</v>
      </c>
      <c r="E3760" s="9" t="str" cm="1">
        <f t="array" ref="E3760">IFERROR(_xlfn.IFS(AND(D3760&lt;1980,D3760&gt;=1970),"70",AND(D3760&lt;1990,D3760&gt;=1980),"80",AND(D3760&lt;2000,D3760&gt;=1990),"90",AND(D3760&lt;2010,D3760&gt;=2000),"00",AND(D3760&lt;=2019,D3760&gt;=2010),"10"),"1908-1970")</f>
        <v>90</v>
      </c>
      <c r="F3760" s="3">
        <v>0.67708333333333337</v>
      </c>
      <c r="G3760" t="s">
        <v>14837</v>
      </c>
      <c r="H3760" t="s">
        <v>21954</v>
      </c>
      <c r="I3760" t="s">
        <v>28931</v>
      </c>
      <c r="J3760" t="s">
        <v>21955</v>
      </c>
      <c r="K3760" t="s">
        <v>21956</v>
      </c>
      <c r="L3760" s="7" t="s">
        <v>21957</v>
      </c>
      <c r="M3760">
        <v>392</v>
      </c>
      <c r="N3760">
        <v>4</v>
      </c>
      <c r="O3760">
        <v>2</v>
      </c>
      <c r="P3760">
        <v>2</v>
      </c>
      <c r="Q3760">
        <v>4</v>
      </c>
      <c r="R3760">
        <v>2</v>
      </c>
      <c r="S3760">
        <v>2</v>
      </c>
      <c r="T3760">
        <v>0</v>
      </c>
      <c r="U3760" t="s">
        <v>21958</v>
      </c>
      <c r="V3760">
        <f>Tabla1[[#This Row],[Aboard]]-Tabla1[[#This Row],[Fatalities]]</f>
        <v>0</v>
      </c>
      <c r="W3760" s="50">
        <f>IFERROR(Tabla1[[#This Row],[Fatalities]]/Tabla1[[#This Row],[Aboard]],0)</f>
        <v>1</v>
      </c>
      <c r="X3760" s="51" t="str" cm="1">
        <f t="array" ref="X3760">_xlfn.IFS(Tabla1[[#This Row],[Porcentaje de muertes]]&lt;0.35,"LEVE",AND(Tabla1[[#This Row],[Porcentaje de muertes]]&gt;0.35,Tabla1[[#This Row],[Porcentaje de muertes]]&lt;0.65),"MEDIO",Tabla1[[#This Row],[Porcentaje de muertes]]&gt;0.65,"GRAVE")</f>
        <v>GRAVE</v>
      </c>
    </row>
    <row r="3761" spans="2:24" x14ac:dyDescent="0.3">
      <c r="B3761" s="9">
        <v>3760</v>
      </c>
      <c r="C3761" s="49">
        <v>33815</v>
      </c>
      <c r="D3761" s="9">
        <f>YEAR(Tabla1[[#This Row],[Date]])</f>
        <v>1992</v>
      </c>
      <c r="E3761" s="9" t="str" cm="1">
        <f t="array" ref="E3761">IFERROR(_xlfn.IFS(AND(D3761&lt;1980,D3761&gt;=1970),"70",AND(D3761&lt;1990,D3761&gt;=1980),"80",AND(D3761&lt;2000,D3761&gt;=1990),"90",AND(D3761&lt;2010,D3761&gt;=2000),"00",AND(D3761&lt;=2019,D3761&gt;=2010),"10"),"1908-1970")</f>
        <v>90</v>
      </c>
      <c r="F3761" s="3">
        <v>0.7368055555555556</v>
      </c>
      <c r="G3761" t="s">
        <v>17374</v>
      </c>
      <c r="H3761" t="s">
        <v>10166</v>
      </c>
      <c r="I3761">
        <v>843</v>
      </c>
      <c r="J3761" t="s">
        <v>8759</v>
      </c>
      <c r="K3761" t="s">
        <v>19368</v>
      </c>
      <c r="L3761" s="7" t="s">
        <v>21959</v>
      </c>
      <c r="M3761">
        <v>1014</v>
      </c>
      <c r="N3761">
        <v>292</v>
      </c>
      <c r="O3761">
        <v>280</v>
      </c>
      <c r="P3761">
        <v>12</v>
      </c>
      <c r="Q3761">
        <v>0</v>
      </c>
      <c r="R3761">
        <v>0</v>
      </c>
      <c r="S3761">
        <v>0</v>
      </c>
      <c r="T3761">
        <v>0</v>
      </c>
      <c r="U3761" t="s">
        <v>21960</v>
      </c>
      <c r="V3761">
        <f>Tabla1[[#This Row],[Aboard]]-Tabla1[[#This Row],[Fatalities]]</f>
        <v>292</v>
      </c>
      <c r="W3761" s="50">
        <f>IFERROR(Tabla1[[#This Row],[Fatalities]]/Tabla1[[#This Row],[Aboard]],0)</f>
        <v>0</v>
      </c>
      <c r="X3761" s="51" t="str" cm="1">
        <f t="array" ref="X3761">_xlfn.IFS(Tabla1[[#This Row],[Porcentaje de muertes]]&lt;0.35,"LEVE",AND(Tabla1[[#This Row],[Porcentaje de muertes]]&gt;0.35,Tabla1[[#This Row],[Porcentaje de muertes]]&lt;0.65),"MEDIO",Tabla1[[#This Row],[Porcentaje de muertes]]&gt;0.65,"GRAVE")</f>
        <v>LEVE</v>
      </c>
    </row>
    <row r="3762" spans="2:24" x14ac:dyDescent="0.3">
      <c r="B3762" s="9">
        <v>3761</v>
      </c>
      <c r="C3762" s="49">
        <v>33816</v>
      </c>
      <c r="D3762" s="9">
        <f>YEAR(Tabla1[[#This Row],[Date]])</f>
        <v>1992</v>
      </c>
      <c r="E3762" s="9" t="str" cm="1">
        <f t="array" ref="E3762">IFERROR(_xlfn.IFS(AND(D3762&lt;1980,D3762&gt;=1970),"70",AND(D3762&lt;1990,D3762&gt;=1980),"80",AND(D3762&lt;2000,D3762&gt;=1990),"90",AND(D3762&lt;2010,D3762&gt;=2000),"00",AND(D3762&lt;=2019,D3762&gt;=2010),"10"),"1908-1970")</f>
        <v>90</v>
      </c>
      <c r="F3762" s="3">
        <v>0.53125</v>
      </c>
      <c r="G3762" t="s">
        <v>12298</v>
      </c>
      <c r="H3762" t="s">
        <v>15100</v>
      </c>
      <c r="I3762">
        <v>311</v>
      </c>
      <c r="J3762" t="s">
        <v>21961</v>
      </c>
      <c r="K3762" t="s">
        <v>21962</v>
      </c>
      <c r="L3762" s="7" t="s">
        <v>21963</v>
      </c>
      <c r="M3762">
        <v>438</v>
      </c>
      <c r="N3762">
        <v>113</v>
      </c>
      <c r="O3762">
        <v>99</v>
      </c>
      <c r="P3762">
        <v>14</v>
      </c>
      <c r="Q3762">
        <v>113</v>
      </c>
      <c r="R3762">
        <v>99</v>
      </c>
      <c r="S3762">
        <v>14</v>
      </c>
      <c r="T3762">
        <v>0</v>
      </c>
      <c r="U3762" t="s">
        <v>21964</v>
      </c>
      <c r="V3762">
        <f>Tabla1[[#This Row],[Aboard]]-Tabla1[[#This Row],[Fatalities]]</f>
        <v>0</v>
      </c>
      <c r="W3762" s="50">
        <f>IFERROR(Tabla1[[#This Row],[Fatalities]]/Tabla1[[#This Row],[Aboard]],0)</f>
        <v>1</v>
      </c>
      <c r="X3762" s="51" t="str" cm="1">
        <f t="array" ref="X3762">_xlfn.IFS(Tabla1[[#This Row],[Porcentaje de muertes]]&lt;0.35,"LEVE",AND(Tabla1[[#This Row],[Porcentaje de muertes]]&gt;0.35,Tabla1[[#This Row],[Porcentaje de muertes]]&lt;0.65),"MEDIO",Tabla1[[#This Row],[Porcentaje de muertes]]&gt;0.65,"GRAVE")</f>
        <v>GRAVE</v>
      </c>
    </row>
    <row r="3763" spans="2:24" x14ac:dyDescent="0.3">
      <c r="B3763" s="9">
        <v>3762</v>
      </c>
      <c r="C3763" s="49">
        <v>33816</v>
      </c>
      <c r="D3763" s="9">
        <f>YEAR(Tabla1[[#This Row],[Date]])</f>
        <v>1992</v>
      </c>
      <c r="E3763" s="9" t="str" cm="1">
        <f t="array" ref="E3763">IFERROR(_xlfn.IFS(AND(D3763&lt;1980,D3763&gt;=1970),"70",AND(D3763&lt;1990,D3763&gt;=1980),"80",AND(D3763&lt;2000,D3763&gt;=1990),"90",AND(D3763&lt;2010,D3763&gt;=2000),"00",AND(D3763&lt;=2019,D3763&gt;=2010),"10"),"1908-1970")</f>
        <v>90</v>
      </c>
      <c r="F3763" s="3">
        <v>0.6333333333333333</v>
      </c>
      <c r="G3763" t="s">
        <v>21965</v>
      </c>
      <c r="H3763" t="s">
        <v>21966</v>
      </c>
      <c r="I3763">
        <v>7552</v>
      </c>
      <c r="J3763" t="s">
        <v>21967</v>
      </c>
      <c r="K3763" t="s">
        <v>21968</v>
      </c>
      <c r="L3763" s="7" t="s">
        <v>21969</v>
      </c>
      <c r="M3763">
        <v>2116644</v>
      </c>
      <c r="N3763">
        <v>126</v>
      </c>
      <c r="O3763">
        <v>116</v>
      </c>
      <c r="P3763">
        <v>10</v>
      </c>
      <c r="Q3763">
        <v>108</v>
      </c>
      <c r="R3763">
        <v>100</v>
      </c>
      <c r="S3763">
        <v>8</v>
      </c>
      <c r="T3763">
        <v>0</v>
      </c>
      <c r="U3763" t="s">
        <v>21970</v>
      </c>
      <c r="V3763">
        <f>Tabla1[[#This Row],[Aboard]]-Tabla1[[#This Row],[Fatalities]]</f>
        <v>18</v>
      </c>
      <c r="W3763" s="50">
        <f>IFERROR(Tabla1[[#This Row],[Fatalities]]/Tabla1[[#This Row],[Aboard]],0)</f>
        <v>0.8571428571428571</v>
      </c>
      <c r="X3763" s="51" t="str" cm="1">
        <f t="array" ref="X3763">_xlfn.IFS(Tabla1[[#This Row],[Porcentaje de muertes]]&lt;0.35,"LEVE",AND(Tabla1[[#This Row],[Porcentaje de muertes]]&gt;0.35,Tabla1[[#This Row],[Porcentaje de muertes]]&lt;0.65),"MEDIO",Tabla1[[#This Row],[Porcentaje de muertes]]&gt;0.65,"GRAVE")</f>
        <v>GRAVE</v>
      </c>
    </row>
    <row r="3764" spans="2:24" x14ac:dyDescent="0.3">
      <c r="B3764" s="9">
        <v>3763</v>
      </c>
      <c r="C3764" s="49">
        <v>33837</v>
      </c>
      <c r="D3764" s="9">
        <f>YEAR(Tabla1[[#This Row],[Date]])</f>
        <v>1992</v>
      </c>
      <c r="E3764" s="9" t="str" cm="1">
        <f t="array" ref="E3764">IFERROR(_xlfn.IFS(AND(D3764&lt;1980,D3764&gt;=1970),"70",AND(D3764&lt;1990,D3764&gt;=1980),"80",AND(D3764&lt;2000,D3764&gt;=1990),"90",AND(D3764&lt;2010,D3764&gt;=2000),"00",AND(D3764&lt;=2019,D3764&gt;=2010),"10"),"1908-1970")</f>
        <v>90</v>
      </c>
      <c r="F3764" s="3" t="s">
        <v>28931</v>
      </c>
      <c r="G3764" t="s">
        <v>21971</v>
      </c>
      <c r="H3764" t="s">
        <v>21972</v>
      </c>
      <c r="I3764" t="s">
        <v>28931</v>
      </c>
      <c r="J3764" t="s">
        <v>21973</v>
      </c>
      <c r="K3764" t="s">
        <v>21974</v>
      </c>
      <c r="L3764" s="7" t="s">
        <v>21975</v>
      </c>
      <c r="M3764">
        <v>405</v>
      </c>
      <c r="N3764">
        <v>10</v>
      </c>
      <c r="O3764">
        <v>7</v>
      </c>
      <c r="P3764">
        <v>3</v>
      </c>
      <c r="Q3764">
        <v>10</v>
      </c>
      <c r="R3764">
        <v>7</v>
      </c>
      <c r="S3764">
        <v>3</v>
      </c>
      <c r="T3764">
        <v>0</v>
      </c>
      <c r="U3764" t="s">
        <v>21976</v>
      </c>
      <c r="V3764">
        <f>Tabla1[[#This Row],[Aboard]]-Tabla1[[#This Row],[Fatalities]]</f>
        <v>0</v>
      </c>
      <c r="W3764" s="50">
        <f>IFERROR(Tabla1[[#This Row],[Fatalities]]/Tabla1[[#This Row],[Aboard]],0)</f>
        <v>1</v>
      </c>
      <c r="X3764" s="51" t="str" cm="1">
        <f t="array" ref="X3764">_xlfn.IFS(Tabla1[[#This Row],[Porcentaje de muertes]]&lt;0.35,"LEVE",AND(Tabla1[[#This Row],[Porcentaje de muertes]]&gt;0.35,Tabla1[[#This Row],[Porcentaje de muertes]]&lt;0.65),"MEDIO",Tabla1[[#This Row],[Porcentaje de muertes]]&gt;0.65,"GRAVE")</f>
        <v>GRAVE</v>
      </c>
    </row>
    <row r="3765" spans="2:24" x14ac:dyDescent="0.3">
      <c r="B3765" s="9">
        <v>3764</v>
      </c>
      <c r="C3765" s="49">
        <v>33841</v>
      </c>
      <c r="D3765" s="9">
        <f>YEAR(Tabla1[[#This Row],[Date]])</f>
        <v>1992</v>
      </c>
      <c r="E3765" s="9" t="str" cm="1">
        <f t="array" ref="E3765">IFERROR(_xlfn.IFS(AND(D3765&lt;1980,D3765&gt;=1970),"70",AND(D3765&lt;1990,D3765&gt;=1980),"80",AND(D3765&lt;2000,D3765&gt;=1990),"90",AND(D3765&lt;2010,D3765&gt;=2000),"00",AND(D3765&lt;=2019,D3765&gt;=2010),"10"),"1908-1970")</f>
        <v>90</v>
      </c>
      <c r="F3765" s="3">
        <v>0.21875</v>
      </c>
      <c r="G3765" t="s">
        <v>21977</v>
      </c>
      <c r="H3765" t="s">
        <v>21978</v>
      </c>
      <c r="I3765" t="s">
        <v>28931</v>
      </c>
      <c r="J3765" t="s">
        <v>5243</v>
      </c>
      <c r="K3765" t="s">
        <v>21979</v>
      </c>
      <c r="L3765" s="7" t="s">
        <v>21980</v>
      </c>
      <c r="M3765" t="s">
        <v>21981</v>
      </c>
      <c r="N3765">
        <v>3</v>
      </c>
      <c r="O3765">
        <v>0</v>
      </c>
      <c r="P3765">
        <v>3</v>
      </c>
      <c r="Q3765">
        <v>3</v>
      </c>
      <c r="R3765">
        <v>0</v>
      </c>
      <c r="S3765">
        <v>3</v>
      </c>
      <c r="T3765">
        <v>0</v>
      </c>
      <c r="U3765" t="s">
        <v>21982</v>
      </c>
      <c r="V3765">
        <f>Tabla1[[#This Row],[Aboard]]-Tabla1[[#This Row],[Fatalities]]</f>
        <v>0</v>
      </c>
      <c r="W3765" s="50">
        <f>IFERROR(Tabla1[[#This Row],[Fatalities]]/Tabla1[[#This Row],[Aboard]],0)</f>
        <v>1</v>
      </c>
      <c r="X3765" s="51" t="str" cm="1">
        <f t="array" ref="X3765">_xlfn.IFS(Tabla1[[#This Row],[Porcentaje de muertes]]&lt;0.35,"LEVE",AND(Tabla1[[#This Row],[Porcentaje de muertes]]&gt;0.35,Tabla1[[#This Row],[Porcentaje de muertes]]&lt;0.65),"MEDIO",Tabla1[[#This Row],[Porcentaje de muertes]]&gt;0.65,"GRAVE")</f>
        <v>GRAVE</v>
      </c>
    </row>
    <row r="3766" spans="2:24" x14ac:dyDescent="0.3">
      <c r="B3766" s="9">
        <v>3765</v>
      </c>
      <c r="C3766" s="49">
        <v>33843</v>
      </c>
      <c r="D3766" s="9">
        <f>YEAR(Tabla1[[#This Row],[Date]])</f>
        <v>1992</v>
      </c>
      <c r="E3766" s="9" t="str" cm="1">
        <f t="array" ref="E3766">IFERROR(_xlfn.IFS(AND(D3766&lt;1980,D3766&gt;=1970),"70",AND(D3766&lt;1990,D3766&gt;=1980),"80",AND(D3766&lt;2000,D3766&gt;=1990),"90",AND(D3766&lt;2010,D3766&gt;=2000),"00",AND(D3766&lt;=2019,D3766&gt;=2010),"10"),"1908-1970")</f>
        <v>90</v>
      </c>
      <c r="F3766" s="3" t="s">
        <v>28931</v>
      </c>
      <c r="G3766" t="s">
        <v>21983</v>
      </c>
      <c r="H3766" t="s">
        <v>21984</v>
      </c>
      <c r="I3766" t="s">
        <v>28931</v>
      </c>
      <c r="J3766" t="s">
        <v>21985</v>
      </c>
      <c r="K3766" t="s">
        <v>16680</v>
      </c>
      <c r="L3766" s="7" t="s">
        <v>21986</v>
      </c>
      <c r="M3766">
        <v>316</v>
      </c>
      <c r="N3766">
        <v>41</v>
      </c>
      <c r="O3766">
        <v>38</v>
      </c>
      <c r="P3766">
        <v>3</v>
      </c>
      <c r="Q3766">
        <v>8</v>
      </c>
      <c r="R3766">
        <v>6</v>
      </c>
      <c r="S3766">
        <v>2</v>
      </c>
      <c r="T3766">
        <v>0</v>
      </c>
      <c r="U3766" t="s">
        <v>21987</v>
      </c>
      <c r="V3766">
        <f>Tabla1[[#This Row],[Aboard]]-Tabla1[[#This Row],[Fatalities]]</f>
        <v>33</v>
      </c>
      <c r="W3766" s="50">
        <f>IFERROR(Tabla1[[#This Row],[Fatalities]]/Tabla1[[#This Row],[Aboard]],0)</f>
        <v>0.1951219512195122</v>
      </c>
      <c r="X3766" s="51" t="str" cm="1">
        <f t="array" ref="X3766">_xlfn.IFS(Tabla1[[#This Row],[Porcentaje de muertes]]&lt;0.35,"LEVE",AND(Tabla1[[#This Row],[Porcentaje de muertes]]&gt;0.35,Tabla1[[#This Row],[Porcentaje de muertes]]&lt;0.65),"MEDIO",Tabla1[[#This Row],[Porcentaje de muertes]]&gt;0.65,"GRAVE")</f>
        <v>LEVE</v>
      </c>
    </row>
    <row r="3767" spans="2:24" x14ac:dyDescent="0.3">
      <c r="B3767" s="9">
        <v>3766</v>
      </c>
      <c r="C3767" s="49">
        <v>33843</v>
      </c>
      <c r="D3767" s="9">
        <f>YEAR(Tabla1[[#This Row],[Date]])</f>
        <v>1992</v>
      </c>
      <c r="E3767" s="9" t="str" cm="1">
        <f t="array" ref="E3767">IFERROR(_xlfn.IFS(AND(D3767&lt;1980,D3767&gt;=1970),"70",AND(D3767&lt;1990,D3767&gt;=1980),"80",AND(D3767&lt;2000,D3767&gt;=1990),"90",AND(D3767&lt;2010,D3767&gt;=2000),"00",AND(D3767&lt;=2019,D3767&gt;=2010),"10"),"1908-1970")</f>
        <v>90</v>
      </c>
      <c r="F3767" s="3">
        <v>0.43055555555555558</v>
      </c>
      <c r="G3767" t="s">
        <v>19419</v>
      </c>
      <c r="H3767" t="s">
        <v>21988</v>
      </c>
      <c r="I3767" t="s">
        <v>28931</v>
      </c>
      <c r="J3767" t="s">
        <v>5243</v>
      </c>
      <c r="K3767" t="s">
        <v>21989</v>
      </c>
      <c r="L3767" s="7" t="s">
        <v>21990</v>
      </c>
      <c r="M3767">
        <v>240</v>
      </c>
      <c r="N3767">
        <v>3</v>
      </c>
      <c r="O3767">
        <v>0</v>
      </c>
      <c r="P3767">
        <v>3</v>
      </c>
      <c r="Q3767">
        <v>3</v>
      </c>
      <c r="R3767">
        <v>0</v>
      </c>
      <c r="S3767">
        <v>3</v>
      </c>
      <c r="T3767">
        <v>0</v>
      </c>
      <c r="U3767" t="s">
        <v>21991</v>
      </c>
      <c r="V3767">
        <f>Tabla1[[#This Row],[Aboard]]-Tabla1[[#This Row],[Fatalities]]</f>
        <v>0</v>
      </c>
      <c r="W3767" s="50">
        <f>IFERROR(Tabla1[[#This Row],[Fatalities]]/Tabla1[[#This Row],[Aboard]],0)</f>
        <v>1</v>
      </c>
      <c r="X3767" s="51" t="str" cm="1">
        <f t="array" ref="X3767">_xlfn.IFS(Tabla1[[#This Row],[Porcentaje de muertes]]&lt;0.35,"LEVE",AND(Tabla1[[#This Row],[Porcentaje de muertes]]&gt;0.35,Tabla1[[#This Row],[Porcentaje de muertes]]&lt;0.65),"MEDIO",Tabla1[[#This Row],[Porcentaje de muertes]]&gt;0.65,"GRAVE")</f>
        <v>GRAVE</v>
      </c>
    </row>
    <row r="3768" spans="2:24" x14ac:dyDescent="0.3">
      <c r="B3768" s="9">
        <v>3767</v>
      </c>
      <c r="C3768" s="49">
        <v>33843</v>
      </c>
      <c r="D3768" s="9">
        <f>YEAR(Tabla1[[#This Row],[Date]])</f>
        <v>1992</v>
      </c>
      <c r="E3768" s="9" t="str" cm="1">
        <f t="array" ref="E3768">IFERROR(_xlfn.IFS(AND(D3768&lt;1980,D3768&gt;=1970),"70",AND(D3768&lt;1990,D3768&gt;=1980),"80",AND(D3768&lt;2000,D3768&gt;=1990),"90",AND(D3768&lt;2010,D3768&gt;=2000),"00",AND(D3768&lt;=2019,D3768&gt;=2010),"10"),"1908-1970")</f>
        <v>90</v>
      </c>
      <c r="F3768" s="3">
        <v>0.9472222222222223</v>
      </c>
      <c r="G3768" t="s">
        <v>21992</v>
      </c>
      <c r="H3768" t="s">
        <v>6541</v>
      </c>
      <c r="I3768">
        <v>2808</v>
      </c>
      <c r="J3768" t="s">
        <v>21993</v>
      </c>
      <c r="K3768" t="s">
        <v>16145</v>
      </c>
      <c r="L3768" s="7" t="s">
        <v>21994</v>
      </c>
      <c r="M3768" t="s">
        <v>21995</v>
      </c>
      <c r="N3768">
        <v>84</v>
      </c>
      <c r="O3768">
        <v>77</v>
      </c>
      <c r="P3768">
        <v>7</v>
      </c>
      <c r="Q3768">
        <v>84</v>
      </c>
      <c r="R3768">
        <v>77</v>
      </c>
      <c r="S3768">
        <v>7</v>
      </c>
      <c r="T3768">
        <v>0</v>
      </c>
      <c r="U3768" t="s">
        <v>21996</v>
      </c>
      <c r="V3768">
        <f>Tabla1[[#This Row],[Aboard]]-Tabla1[[#This Row],[Fatalities]]</f>
        <v>0</v>
      </c>
      <c r="W3768" s="50">
        <f>IFERROR(Tabla1[[#This Row],[Fatalities]]/Tabla1[[#This Row],[Aboard]],0)</f>
        <v>1</v>
      </c>
      <c r="X3768" s="51" t="str" cm="1">
        <f t="array" ref="X3768">_xlfn.IFS(Tabla1[[#This Row],[Porcentaje de muertes]]&lt;0.35,"LEVE",AND(Tabla1[[#This Row],[Porcentaje de muertes]]&gt;0.35,Tabla1[[#This Row],[Porcentaje de muertes]]&lt;0.65),"MEDIO",Tabla1[[#This Row],[Porcentaje de muertes]]&gt;0.65,"GRAVE")</f>
        <v>GRAVE</v>
      </c>
    </row>
    <row r="3769" spans="2:24" x14ac:dyDescent="0.3">
      <c r="B3769" s="9">
        <v>3768</v>
      </c>
      <c r="C3769" s="49">
        <v>33847</v>
      </c>
      <c r="D3769" s="9">
        <f>YEAR(Tabla1[[#This Row],[Date]])</f>
        <v>1992</v>
      </c>
      <c r="E3769" s="9" t="str" cm="1">
        <f t="array" ref="E3769">IFERROR(_xlfn.IFS(AND(D3769&lt;1980,D3769&gt;=1970),"70",AND(D3769&lt;1990,D3769&gt;=1980),"80",AND(D3769&lt;2000,D3769&gt;=1990),"90",AND(D3769&lt;2010,D3769&gt;=2000),"00",AND(D3769&lt;=2019,D3769&gt;=2010),"10"),"1908-1970")</f>
        <v>90</v>
      </c>
      <c r="F3769" s="3">
        <v>0.93888888888888899</v>
      </c>
      <c r="G3769" t="s">
        <v>21997</v>
      </c>
      <c r="H3769" t="s">
        <v>21998</v>
      </c>
      <c r="I3769" t="s">
        <v>28931</v>
      </c>
      <c r="J3769" t="s">
        <v>21999</v>
      </c>
      <c r="K3769" t="s">
        <v>7057</v>
      </c>
      <c r="L3769" s="7" t="s">
        <v>22000</v>
      </c>
      <c r="M3769" t="s">
        <v>22001</v>
      </c>
      <c r="N3769">
        <v>17</v>
      </c>
      <c r="O3769">
        <v>14</v>
      </c>
      <c r="P3769">
        <v>3</v>
      </c>
      <c r="Q3769">
        <v>3</v>
      </c>
      <c r="R3769">
        <v>0</v>
      </c>
      <c r="S3769">
        <v>3</v>
      </c>
      <c r="T3769">
        <v>0</v>
      </c>
      <c r="U3769" t="s">
        <v>22002</v>
      </c>
      <c r="V3769">
        <f>Tabla1[[#This Row],[Aboard]]-Tabla1[[#This Row],[Fatalities]]</f>
        <v>14</v>
      </c>
      <c r="W3769" s="50">
        <f>IFERROR(Tabla1[[#This Row],[Fatalities]]/Tabla1[[#This Row],[Aboard]],0)</f>
        <v>0.17647058823529413</v>
      </c>
      <c r="X3769" s="51" t="str" cm="1">
        <f t="array" ref="X3769">_xlfn.IFS(Tabla1[[#This Row],[Porcentaje de muertes]]&lt;0.35,"LEVE",AND(Tabla1[[#This Row],[Porcentaje de muertes]]&gt;0.35,Tabla1[[#This Row],[Porcentaje de muertes]]&lt;0.65),"MEDIO",Tabla1[[#This Row],[Porcentaje de muertes]]&gt;0.65,"GRAVE")</f>
        <v>LEVE</v>
      </c>
    </row>
    <row r="3770" spans="2:24" x14ac:dyDescent="0.3">
      <c r="B3770" s="9">
        <v>3769</v>
      </c>
      <c r="C3770" s="49">
        <v>33886</v>
      </c>
      <c r="D3770" s="9">
        <f>YEAR(Tabla1[[#This Row],[Date]])</f>
        <v>1992</v>
      </c>
      <c r="E3770" s="9" t="str" cm="1">
        <f t="array" ref="E3770">IFERROR(_xlfn.IFS(AND(D3770&lt;1980,D3770&gt;=1970),"70",AND(D3770&lt;1990,D3770&gt;=1980),"80",AND(D3770&lt;2000,D3770&gt;=1990),"90",AND(D3770&lt;2010,D3770&gt;=2000),"00",AND(D3770&lt;=2019,D3770&gt;=2010),"10"),"1908-1970")</f>
        <v>90</v>
      </c>
      <c r="F3770" s="3" t="s">
        <v>28931</v>
      </c>
      <c r="G3770" t="s">
        <v>22003</v>
      </c>
      <c r="H3770" t="s">
        <v>22004</v>
      </c>
      <c r="I3770" t="s">
        <v>28931</v>
      </c>
      <c r="J3770" t="s">
        <v>22005</v>
      </c>
      <c r="K3770" t="s">
        <v>16099</v>
      </c>
      <c r="L3770" s="7" t="s">
        <v>22006</v>
      </c>
      <c r="M3770">
        <v>10533</v>
      </c>
      <c r="N3770">
        <v>43</v>
      </c>
      <c r="O3770">
        <v>36</v>
      </c>
      <c r="P3770">
        <v>7</v>
      </c>
      <c r="Q3770">
        <v>1</v>
      </c>
      <c r="R3770">
        <v>0</v>
      </c>
      <c r="S3770">
        <v>1</v>
      </c>
      <c r="T3770">
        <v>1</v>
      </c>
      <c r="U3770" t="s">
        <v>22007</v>
      </c>
      <c r="V3770">
        <f>Tabla1[[#This Row],[Aboard]]-Tabla1[[#This Row],[Fatalities]]</f>
        <v>42</v>
      </c>
      <c r="W3770" s="50">
        <f>IFERROR(Tabla1[[#This Row],[Fatalities]]/Tabla1[[#This Row],[Aboard]],0)</f>
        <v>2.3255813953488372E-2</v>
      </c>
      <c r="X3770" s="51" t="str" cm="1">
        <f t="array" ref="X3770">_xlfn.IFS(Tabla1[[#This Row],[Porcentaje de muertes]]&lt;0.35,"LEVE",AND(Tabla1[[#This Row],[Porcentaje de muertes]]&gt;0.35,Tabla1[[#This Row],[Porcentaje de muertes]]&lt;0.65),"MEDIO",Tabla1[[#This Row],[Porcentaje de muertes]]&gt;0.65,"GRAVE")</f>
        <v>LEVE</v>
      </c>
    </row>
    <row r="3771" spans="2:24" x14ac:dyDescent="0.3">
      <c r="B3771" s="9">
        <v>3770</v>
      </c>
      <c r="C3771" s="49">
        <v>33947</v>
      </c>
      <c r="D3771" s="9">
        <f>YEAR(Tabla1[[#This Row],[Date]])</f>
        <v>1992</v>
      </c>
      <c r="E3771" s="9" t="str" cm="1">
        <f t="array" ref="E3771">IFERROR(_xlfn.IFS(AND(D3771&lt;1980,D3771&gt;=1970),"70",AND(D3771&lt;1990,D3771&gt;=1980),"80",AND(D3771&lt;2000,D3771&gt;=1990),"90",AND(D3771&lt;2010,D3771&gt;=2000),"00",AND(D3771&lt;=2019,D3771&gt;=2010),"10"),"1908-1970")</f>
        <v>90</v>
      </c>
      <c r="F3771" s="3" t="s">
        <v>28931</v>
      </c>
      <c r="G3771" t="s">
        <v>22008</v>
      </c>
      <c r="H3771" t="s">
        <v>22009</v>
      </c>
      <c r="I3771" t="s">
        <v>28931</v>
      </c>
      <c r="J3771" t="s">
        <v>28931</v>
      </c>
      <c r="K3771" t="s">
        <v>19284</v>
      </c>
      <c r="L3771" s="7" t="s">
        <v>22010</v>
      </c>
      <c r="M3771" t="s">
        <v>22011</v>
      </c>
      <c r="N3771">
        <v>16</v>
      </c>
      <c r="O3771">
        <v>13</v>
      </c>
      <c r="P3771">
        <v>3</v>
      </c>
      <c r="Q3771">
        <v>9</v>
      </c>
      <c r="R3771">
        <v>9</v>
      </c>
      <c r="S3771">
        <v>0</v>
      </c>
      <c r="T3771">
        <v>0</v>
      </c>
      <c r="U3771" t="s">
        <v>22012</v>
      </c>
      <c r="V3771">
        <f>Tabla1[[#This Row],[Aboard]]-Tabla1[[#This Row],[Fatalities]]</f>
        <v>7</v>
      </c>
      <c r="W3771" s="50">
        <f>IFERROR(Tabla1[[#This Row],[Fatalities]]/Tabla1[[#This Row],[Aboard]],0)</f>
        <v>0.5625</v>
      </c>
      <c r="X3771" s="51" t="str" cm="1">
        <f t="array" ref="X3771">_xlfn.IFS(Tabla1[[#This Row],[Porcentaje de muertes]]&lt;0.35,"LEVE",AND(Tabla1[[#This Row],[Porcentaje de muertes]]&gt;0.35,Tabla1[[#This Row],[Porcentaje de muertes]]&lt;0.65),"MEDIO",Tabla1[[#This Row],[Porcentaje de muertes]]&gt;0.65,"GRAVE")</f>
        <v>MEDIO</v>
      </c>
    </row>
    <row r="3772" spans="2:24" x14ac:dyDescent="0.3">
      <c r="B3772" s="9">
        <v>3771</v>
      </c>
      <c r="C3772" s="49">
        <v>33863</v>
      </c>
      <c r="D3772" s="9">
        <f>YEAR(Tabla1[[#This Row],[Date]])</f>
        <v>1992</v>
      </c>
      <c r="E3772" s="9" t="str" cm="1">
        <f t="array" ref="E3772">IFERROR(_xlfn.IFS(AND(D3772&lt;1980,D3772&gt;=1970),"70",AND(D3772&lt;1990,D3772&gt;=1980),"80",AND(D3772&lt;2000,D3772&gt;=1990),"90",AND(D3772&lt;2010,D3772&gt;=2000),"00",AND(D3772&lt;=2019,D3772&gt;=2010),"10"),"1908-1970")</f>
        <v>90</v>
      </c>
      <c r="F3772" s="3">
        <v>0.45833333333333331</v>
      </c>
      <c r="G3772" t="s">
        <v>22013</v>
      </c>
      <c r="H3772" t="s">
        <v>22014</v>
      </c>
      <c r="I3772" t="s">
        <v>28931</v>
      </c>
      <c r="J3772" t="s">
        <v>5494</v>
      </c>
      <c r="K3772" t="s">
        <v>22015</v>
      </c>
      <c r="L3772" s="7" t="s">
        <v>22016</v>
      </c>
      <c r="M3772">
        <v>1488</v>
      </c>
      <c r="N3772">
        <v>7</v>
      </c>
      <c r="O3772">
        <v>6</v>
      </c>
      <c r="P3772">
        <v>1</v>
      </c>
      <c r="Q3772">
        <v>7</v>
      </c>
      <c r="R3772">
        <v>6</v>
      </c>
      <c r="S3772">
        <v>1</v>
      </c>
      <c r="T3772">
        <v>0</v>
      </c>
      <c r="U3772" t="s">
        <v>22017</v>
      </c>
      <c r="V3772">
        <f>Tabla1[[#This Row],[Aboard]]-Tabla1[[#This Row],[Fatalities]]</f>
        <v>0</v>
      </c>
      <c r="W3772" s="50">
        <f>IFERROR(Tabla1[[#This Row],[Fatalities]]/Tabla1[[#This Row],[Aboard]],0)</f>
        <v>1</v>
      </c>
      <c r="X3772" s="51" t="str" cm="1">
        <f t="array" ref="X3772">_xlfn.IFS(Tabla1[[#This Row],[Porcentaje de muertes]]&lt;0.35,"LEVE",AND(Tabla1[[#This Row],[Porcentaje de muertes]]&gt;0.35,Tabla1[[#This Row],[Porcentaje de muertes]]&lt;0.65),"MEDIO",Tabla1[[#This Row],[Porcentaje de muertes]]&gt;0.65,"GRAVE")</f>
        <v>GRAVE</v>
      </c>
    </row>
    <row r="3773" spans="2:24" x14ac:dyDescent="0.3">
      <c r="B3773" s="9">
        <v>3772</v>
      </c>
      <c r="C3773" s="49">
        <v>33865</v>
      </c>
      <c r="D3773" s="9">
        <f>YEAR(Tabla1[[#This Row],[Date]])</f>
        <v>1992</v>
      </c>
      <c r="E3773" s="9" t="str" cm="1">
        <f t="array" ref="E3773">IFERROR(_xlfn.IFS(AND(D3773&lt;1980,D3773&gt;=1970),"70",AND(D3773&lt;1990,D3773&gt;=1980),"80",AND(D3773&lt;2000,D3773&gt;=1990),"90",AND(D3773&lt;2010,D3773&gt;=2000),"00",AND(D3773&lt;=2019,D3773&gt;=2010),"10"),"1908-1970")</f>
        <v>90</v>
      </c>
      <c r="F3773" s="3" t="s">
        <v>28931</v>
      </c>
      <c r="G3773" t="s">
        <v>22018</v>
      </c>
      <c r="H3773" t="s">
        <v>22019</v>
      </c>
      <c r="I3773" t="s">
        <v>28931</v>
      </c>
      <c r="J3773" t="s">
        <v>22020</v>
      </c>
      <c r="K3773" t="s">
        <v>11822</v>
      </c>
      <c r="L3773" s="7" t="s">
        <v>22021</v>
      </c>
      <c r="M3773" t="s">
        <v>22022</v>
      </c>
      <c r="N3773">
        <v>3</v>
      </c>
      <c r="O3773">
        <v>0</v>
      </c>
      <c r="P3773">
        <v>3</v>
      </c>
      <c r="Q3773">
        <v>3</v>
      </c>
      <c r="R3773">
        <v>0</v>
      </c>
      <c r="S3773">
        <v>3</v>
      </c>
      <c r="T3773">
        <v>0</v>
      </c>
      <c r="U3773" t="s">
        <v>22023</v>
      </c>
      <c r="V3773">
        <f>Tabla1[[#This Row],[Aboard]]-Tabla1[[#This Row],[Fatalities]]</f>
        <v>0</v>
      </c>
      <c r="W3773" s="50">
        <f>IFERROR(Tabla1[[#This Row],[Fatalities]]/Tabla1[[#This Row],[Aboard]],0)</f>
        <v>1</v>
      </c>
      <c r="X3773" s="51" t="str" cm="1">
        <f t="array" ref="X3773">_xlfn.IFS(Tabla1[[#This Row],[Porcentaje de muertes]]&lt;0.35,"LEVE",AND(Tabla1[[#This Row],[Porcentaje de muertes]]&gt;0.35,Tabla1[[#This Row],[Porcentaje de muertes]]&lt;0.65),"MEDIO",Tabla1[[#This Row],[Porcentaje de muertes]]&gt;0.65,"GRAVE")</f>
        <v>GRAVE</v>
      </c>
    </row>
    <row r="3774" spans="2:24" x14ac:dyDescent="0.3">
      <c r="B3774" s="9">
        <v>3773</v>
      </c>
      <c r="C3774" s="49">
        <v>33866</v>
      </c>
      <c r="D3774" s="9">
        <f>YEAR(Tabla1[[#This Row],[Date]])</f>
        <v>1992</v>
      </c>
      <c r="E3774" s="9" t="str" cm="1">
        <f t="array" ref="E3774">IFERROR(_xlfn.IFS(AND(D3774&lt;1980,D3774&gt;=1970),"70",AND(D3774&lt;1990,D3774&gt;=1980),"80",AND(D3774&lt;2000,D3774&gt;=1990),"90",AND(D3774&lt;2010,D3774&gt;=2000),"00",AND(D3774&lt;=2019,D3774&gt;=2010),"10"),"1908-1970")</f>
        <v>90</v>
      </c>
      <c r="F3774" s="3" t="s">
        <v>28931</v>
      </c>
      <c r="G3774" t="s">
        <v>10364</v>
      </c>
      <c r="H3774" t="s">
        <v>22024</v>
      </c>
      <c r="I3774" t="s">
        <v>28931</v>
      </c>
      <c r="J3774" t="s">
        <v>22025</v>
      </c>
      <c r="K3774" t="s">
        <v>9851</v>
      </c>
      <c r="L3774" s="7" t="s">
        <v>22026</v>
      </c>
      <c r="M3774">
        <v>22436</v>
      </c>
      <c r="N3774">
        <v>11</v>
      </c>
      <c r="O3774">
        <v>9</v>
      </c>
      <c r="P3774">
        <v>2</v>
      </c>
      <c r="Q3774">
        <v>11</v>
      </c>
      <c r="R3774">
        <v>9</v>
      </c>
      <c r="S3774">
        <v>2</v>
      </c>
      <c r="T3774">
        <v>0</v>
      </c>
      <c r="U3774" t="s">
        <v>22027</v>
      </c>
      <c r="V3774">
        <f>Tabla1[[#This Row],[Aboard]]-Tabla1[[#This Row],[Fatalities]]</f>
        <v>0</v>
      </c>
      <c r="W3774" s="50">
        <f>IFERROR(Tabla1[[#This Row],[Fatalities]]/Tabla1[[#This Row],[Aboard]],0)</f>
        <v>1</v>
      </c>
      <c r="X3774" s="51" t="str" cm="1">
        <f t="array" ref="X3774">_xlfn.IFS(Tabla1[[#This Row],[Porcentaje de muertes]]&lt;0.35,"LEVE",AND(Tabla1[[#This Row],[Porcentaje de muertes]]&gt;0.35,Tabla1[[#This Row],[Porcentaje de muertes]]&lt;0.65),"MEDIO",Tabla1[[#This Row],[Porcentaje de muertes]]&gt;0.65,"GRAVE")</f>
        <v>GRAVE</v>
      </c>
    </row>
    <row r="3775" spans="2:24" x14ac:dyDescent="0.3">
      <c r="B3775" s="9">
        <v>3774</v>
      </c>
      <c r="C3775" s="49">
        <v>33868</v>
      </c>
      <c r="D3775" s="9">
        <f>YEAR(Tabla1[[#This Row],[Date]])</f>
        <v>1992</v>
      </c>
      <c r="E3775" s="9" t="str" cm="1">
        <f t="array" ref="E3775">IFERROR(_xlfn.IFS(AND(D3775&lt;1980,D3775&gt;=1970),"70",AND(D3775&lt;1990,D3775&gt;=1980),"80",AND(D3775&lt;2000,D3775&gt;=1990),"90",AND(D3775&lt;2010,D3775&gt;=2000),"00",AND(D3775&lt;=2019,D3775&gt;=2010),"10"),"1908-1970")</f>
        <v>90</v>
      </c>
      <c r="F3775" s="3">
        <v>0.38958333333333334</v>
      </c>
      <c r="G3775" t="s">
        <v>22028</v>
      </c>
      <c r="H3775" t="s">
        <v>22029</v>
      </c>
      <c r="I3775" t="s">
        <v>28931</v>
      </c>
      <c r="J3775" t="s">
        <v>28931</v>
      </c>
      <c r="K3775" t="s">
        <v>19284</v>
      </c>
      <c r="L3775" s="7" t="s">
        <v>22030</v>
      </c>
      <c r="M3775" t="s">
        <v>22031</v>
      </c>
      <c r="N3775">
        <v>10</v>
      </c>
      <c r="O3775">
        <v>7</v>
      </c>
      <c r="P3775">
        <v>3</v>
      </c>
      <c r="Q3775">
        <v>10</v>
      </c>
      <c r="R3775">
        <v>7</v>
      </c>
      <c r="S3775">
        <v>3</v>
      </c>
      <c r="T3775">
        <v>0</v>
      </c>
      <c r="U3775" t="s">
        <v>22032</v>
      </c>
      <c r="V3775">
        <f>Tabla1[[#This Row],[Aboard]]-Tabla1[[#This Row],[Fatalities]]</f>
        <v>0</v>
      </c>
      <c r="W3775" s="50">
        <f>IFERROR(Tabla1[[#This Row],[Fatalities]]/Tabla1[[#This Row],[Aboard]],0)</f>
        <v>1</v>
      </c>
      <c r="X3775" s="51" t="str" cm="1">
        <f t="array" ref="X3775">_xlfn.IFS(Tabla1[[#This Row],[Porcentaje de muertes]]&lt;0.35,"LEVE",AND(Tabla1[[#This Row],[Porcentaje de muertes]]&gt;0.35,Tabla1[[#This Row],[Porcentaje de muertes]]&lt;0.65),"MEDIO",Tabla1[[#This Row],[Porcentaje de muertes]]&gt;0.65,"GRAVE")</f>
        <v>GRAVE</v>
      </c>
    </row>
    <row r="3776" spans="2:24" x14ac:dyDescent="0.3">
      <c r="B3776" s="9">
        <v>3775</v>
      </c>
      <c r="C3776" s="49">
        <v>33873</v>
      </c>
      <c r="D3776" s="9">
        <f>YEAR(Tabla1[[#This Row],[Date]])</f>
        <v>1992</v>
      </c>
      <c r="E3776" s="9" t="str" cm="1">
        <f t="array" ref="E3776">IFERROR(_xlfn.IFS(AND(D3776&lt;1980,D3776&gt;=1970),"70",AND(D3776&lt;1990,D3776&gt;=1980),"80",AND(D3776&lt;2000,D3776&gt;=1990),"90",AND(D3776&lt;2010,D3776&gt;=2000),"00",AND(D3776&lt;=2019,D3776&gt;=2010),"10"),"1908-1970")</f>
        <v>90</v>
      </c>
      <c r="F3776" s="3">
        <v>0.75</v>
      </c>
      <c r="G3776" t="s">
        <v>15262</v>
      </c>
      <c r="H3776" t="s">
        <v>22033</v>
      </c>
      <c r="I3776" t="s">
        <v>28931</v>
      </c>
      <c r="J3776" t="s">
        <v>22034</v>
      </c>
      <c r="K3776" t="s">
        <v>17162</v>
      </c>
      <c r="L3776" s="7" t="s">
        <v>22035</v>
      </c>
      <c r="M3776">
        <v>4624</v>
      </c>
      <c r="N3776">
        <v>158</v>
      </c>
      <c r="O3776">
        <v>154</v>
      </c>
      <c r="P3776">
        <v>4</v>
      </c>
      <c r="Q3776">
        <v>158</v>
      </c>
      <c r="R3776">
        <v>154</v>
      </c>
      <c r="S3776">
        <v>4</v>
      </c>
      <c r="T3776">
        <v>0</v>
      </c>
      <c r="U3776" t="s">
        <v>22036</v>
      </c>
      <c r="V3776">
        <f>Tabla1[[#This Row],[Aboard]]-Tabla1[[#This Row],[Fatalities]]</f>
        <v>0</v>
      </c>
      <c r="W3776" s="50">
        <f>IFERROR(Tabla1[[#This Row],[Fatalities]]/Tabla1[[#This Row],[Aboard]],0)</f>
        <v>1</v>
      </c>
      <c r="X3776" s="51" t="str" cm="1">
        <f t="array" ref="X3776">_xlfn.IFS(Tabla1[[#This Row],[Porcentaje de muertes]]&lt;0.35,"LEVE",AND(Tabla1[[#This Row],[Porcentaje de muertes]]&gt;0.35,Tabla1[[#This Row],[Porcentaje de muertes]]&lt;0.65),"MEDIO",Tabla1[[#This Row],[Porcentaje de muertes]]&gt;0.65,"GRAVE")</f>
        <v>GRAVE</v>
      </c>
    </row>
    <row r="3777" spans="2:24" x14ac:dyDescent="0.3">
      <c r="B3777" s="9">
        <v>3776</v>
      </c>
      <c r="C3777" s="49">
        <v>33875</v>
      </c>
      <c r="D3777" s="9">
        <f>YEAR(Tabla1[[#This Row],[Date]])</f>
        <v>1992</v>
      </c>
      <c r="E3777" s="9" t="str" cm="1">
        <f t="array" ref="E3777">IFERROR(_xlfn.IFS(AND(D3777&lt;1980,D3777&gt;=1970),"70",AND(D3777&lt;1990,D3777&gt;=1980),"80",AND(D3777&lt;2000,D3777&gt;=1990),"90",AND(D3777&lt;2010,D3777&gt;=2000),"00",AND(D3777&lt;=2019,D3777&gt;=2010),"10"),"1908-1970")</f>
        <v>90</v>
      </c>
      <c r="F3777" s="3">
        <v>0.60416666666666663</v>
      </c>
      <c r="G3777" t="s">
        <v>22037</v>
      </c>
      <c r="H3777" t="s">
        <v>11736</v>
      </c>
      <c r="I3777">
        <v>268</v>
      </c>
      <c r="J3777" t="s">
        <v>22038</v>
      </c>
      <c r="K3777" t="s">
        <v>22039</v>
      </c>
      <c r="L3777" s="7" t="s">
        <v>22040</v>
      </c>
      <c r="M3777">
        <v>25</v>
      </c>
      <c r="N3777">
        <v>167</v>
      </c>
      <c r="O3777">
        <v>155</v>
      </c>
      <c r="P3777">
        <v>12</v>
      </c>
      <c r="Q3777">
        <v>167</v>
      </c>
      <c r="R3777">
        <v>155</v>
      </c>
      <c r="S3777">
        <v>12</v>
      </c>
      <c r="T3777">
        <v>0</v>
      </c>
      <c r="U3777" t="s">
        <v>22041</v>
      </c>
      <c r="V3777">
        <f>Tabla1[[#This Row],[Aboard]]-Tabla1[[#This Row],[Fatalities]]</f>
        <v>0</v>
      </c>
      <c r="W3777" s="50">
        <f>IFERROR(Tabla1[[#This Row],[Fatalities]]/Tabla1[[#This Row],[Aboard]],0)</f>
        <v>1</v>
      </c>
      <c r="X3777" s="51" t="str" cm="1">
        <f t="array" ref="X3777">_xlfn.IFS(Tabla1[[#This Row],[Porcentaje de muertes]]&lt;0.35,"LEVE",AND(Tabla1[[#This Row],[Porcentaje de muertes]]&gt;0.35,Tabla1[[#This Row],[Porcentaje de muertes]]&lt;0.65),"MEDIO",Tabla1[[#This Row],[Porcentaje de muertes]]&gt;0.65,"GRAVE")</f>
        <v>GRAVE</v>
      </c>
    </row>
    <row r="3778" spans="2:24" x14ac:dyDescent="0.3">
      <c r="B3778" s="9">
        <v>3777</v>
      </c>
      <c r="C3778" s="49">
        <v>33704</v>
      </c>
      <c r="D3778" s="9">
        <f>YEAR(Tabla1[[#This Row],[Date]])</f>
        <v>1992</v>
      </c>
      <c r="E3778" s="9" t="str" cm="1">
        <f t="array" ref="E3778">IFERROR(_xlfn.IFS(AND(D3778&lt;1980,D3778&gt;=1970),"70",AND(D3778&lt;1990,D3778&gt;=1980),"80",AND(D3778&lt;2000,D3778&gt;=1990),"90",AND(D3778&lt;2010,D3778&gt;=2000),"00",AND(D3778&lt;=2019,D3778&gt;=2010),"10"),"1908-1970")</f>
        <v>90</v>
      </c>
      <c r="F3778" s="3">
        <v>0.71180555555555547</v>
      </c>
      <c r="G3778" t="s">
        <v>6622</v>
      </c>
      <c r="H3778" t="s">
        <v>10568</v>
      </c>
      <c r="I3778">
        <v>1862</v>
      </c>
      <c r="J3778" t="s">
        <v>22042</v>
      </c>
      <c r="K3778" t="s">
        <v>22043</v>
      </c>
      <c r="L3778" s="7" t="s">
        <v>22044</v>
      </c>
      <c r="M3778" t="s">
        <v>22045</v>
      </c>
      <c r="N3778">
        <v>4</v>
      </c>
      <c r="O3778">
        <v>1</v>
      </c>
      <c r="P3778">
        <v>3</v>
      </c>
      <c r="Q3778">
        <v>4</v>
      </c>
      <c r="R3778">
        <v>1</v>
      </c>
      <c r="S3778">
        <v>3</v>
      </c>
      <c r="T3778">
        <v>39</v>
      </c>
      <c r="U3778" t="s">
        <v>22046</v>
      </c>
      <c r="V3778">
        <f>Tabla1[[#This Row],[Aboard]]-Tabla1[[#This Row],[Fatalities]]</f>
        <v>0</v>
      </c>
      <c r="W3778" s="50">
        <f>IFERROR(Tabla1[[#This Row],[Fatalities]]/Tabla1[[#This Row],[Aboard]],0)</f>
        <v>1</v>
      </c>
      <c r="X3778" s="51" t="str" cm="1">
        <f t="array" ref="X3778">_xlfn.IFS(Tabla1[[#This Row],[Porcentaje de muertes]]&lt;0.35,"LEVE",AND(Tabla1[[#This Row],[Porcentaje de muertes]]&gt;0.35,Tabla1[[#This Row],[Porcentaje de muertes]]&lt;0.65),"MEDIO",Tabla1[[#This Row],[Porcentaje de muertes]]&gt;0.65,"GRAVE")</f>
        <v>GRAVE</v>
      </c>
    </row>
    <row r="3779" spans="2:24" x14ac:dyDescent="0.3">
      <c r="B3779" s="9">
        <v>3778</v>
      </c>
      <c r="C3779" s="49">
        <v>33795</v>
      </c>
      <c r="D3779" s="9">
        <f>YEAR(Tabla1[[#This Row],[Date]])</f>
        <v>1992</v>
      </c>
      <c r="E3779" s="9" t="str" cm="1">
        <f t="array" ref="E3779">IFERROR(_xlfn.IFS(AND(D3779&lt;1980,D3779&gt;=1970),"70",AND(D3779&lt;1990,D3779&gt;=1980),"80",AND(D3779&lt;2000,D3779&gt;=1990),"90",AND(D3779&lt;2010,D3779&gt;=2000),"00",AND(D3779&lt;=2019,D3779&gt;=2010),"10"),"1908-1970")</f>
        <v>90</v>
      </c>
      <c r="F3779" s="3">
        <v>0.39583333333333331</v>
      </c>
      <c r="G3779" t="s">
        <v>22047</v>
      </c>
      <c r="H3779" t="s">
        <v>22048</v>
      </c>
      <c r="I3779" t="s">
        <v>28931</v>
      </c>
      <c r="J3779" t="s">
        <v>6190</v>
      </c>
      <c r="K3779" t="s">
        <v>18804</v>
      </c>
      <c r="L3779" s="7" t="s">
        <v>22049</v>
      </c>
      <c r="M3779">
        <v>3952</v>
      </c>
      <c r="N3779">
        <v>6</v>
      </c>
      <c r="O3779">
        <v>0</v>
      </c>
      <c r="P3779">
        <v>6</v>
      </c>
      <c r="Q3779">
        <v>6</v>
      </c>
      <c r="R3779">
        <v>0</v>
      </c>
      <c r="S3779">
        <v>6</v>
      </c>
      <c r="T3779">
        <v>0</v>
      </c>
      <c r="U3779" t="s">
        <v>22050</v>
      </c>
      <c r="V3779">
        <f>Tabla1[[#This Row],[Aboard]]-Tabla1[[#This Row],[Fatalities]]</f>
        <v>0</v>
      </c>
      <c r="W3779" s="50">
        <f>IFERROR(Tabla1[[#This Row],[Fatalities]]/Tabla1[[#This Row],[Aboard]],0)</f>
        <v>1</v>
      </c>
      <c r="X3779" s="51" t="str" cm="1">
        <f t="array" ref="X3779">_xlfn.IFS(Tabla1[[#This Row],[Porcentaje de muertes]]&lt;0.35,"LEVE",AND(Tabla1[[#This Row],[Porcentaje de muertes]]&gt;0.35,Tabla1[[#This Row],[Porcentaje de muertes]]&lt;0.65),"MEDIO",Tabla1[[#This Row],[Porcentaje de muertes]]&gt;0.65,"GRAVE")</f>
        <v>GRAVE</v>
      </c>
    </row>
    <row r="3780" spans="2:24" x14ac:dyDescent="0.3">
      <c r="B3780" s="9">
        <v>3779</v>
      </c>
      <c r="C3780" s="49">
        <v>33826</v>
      </c>
      <c r="D3780" s="9">
        <f>YEAR(Tabla1[[#This Row],[Date]])</f>
        <v>1992</v>
      </c>
      <c r="E3780" s="9" t="str" cm="1">
        <f t="array" ref="E3780">IFERROR(_xlfn.IFS(AND(D3780&lt;1980,D3780&gt;=1970),"70",AND(D3780&lt;1990,D3780&gt;=1980),"80",AND(D3780&lt;2000,D3780&gt;=1990),"90",AND(D3780&lt;2010,D3780&gt;=2000),"00",AND(D3780&lt;=2019,D3780&gt;=2010),"10"),"1908-1970")</f>
        <v>90</v>
      </c>
      <c r="F3780" s="3" t="s">
        <v>28931</v>
      </c>
      <c r="G3780" t="s">
        <v>22051</v>
      </c>
      <c r="H3780" t="s">
        <v>22052</v>
      </c>
      <c r="I3780" t="s">
        <v>28931</v>
      </c>
      <c r="J3780" t="s">
        <v>22053</v>
      </c>
      <c r="K3780" t="s">
        <v>22054</v>
      </c>
      <c r="L3780" s="7" t="s">
        <v>22055</v>
      </c>
      <c r="M3780">
        <v>108807113</v>
      </c>
      <c r="N3780">
        <v>35</v>
      </c>
      <c r="O3780">
        <v>28</v>
      </c>
      <c r="P3780">
        <v>7</v>
      </c>
      <c r="Q3780">
        <v>14</v>
      </c>
      <c r="R3780">
        <v>9</v>
      </c>
      <c r="S3780">
        <v>5</v>
      </c>
      <c r="T3780">
        <v>0</v>
      </c>
      <c r="U3780" t="s">
        <v>22056</v>
      </c>
      <c r="V3780">
        <f>Tabla1[[#This Row],[Aboard]]-Tabla1[[#This Row],[Fatalities]]</f>
        <v>21</v>
      </c>
      <c r="W3780" s="50">
        <f>IFERROR(Tabla1[[#This Row],[Fatalities]]/Tabla1[[#This Row],[Aboard]],0)</f>
        <v>0.4</v>
      </c>
      <c r="X3780" s="51" t="str" cm="1">
        <f t="array" ref="X3780">_xlfn.IFS(Tabla1[[#This Row],[Porcentaje de muertes]]&lt;0.35,"LEVE",AND(Tabla1[[#This Row],[Porcentaje de muertes]]&gt;0.35,Tabla1[[#This Row],[Porcentaje de muertes]]&lt;0.65),"MEDIO",Tabla1[[#This Row],[Porcentaje de muertes]]&gt;0.65,"GRAVE")</f>
        <v>MEDIO</v>
      </c>
    </row>
    <row r="3781" spans="2:24" x14ac:dyDescent="0.3">
      <c r="B3781" s="9">
        <v>3780</v>
      </c>
      <c r="C3781" s="49">
        <v>33857</v>
      </c>
      <c r="D3781" s="9">
        <f>YEAR(Tabla1[[#This Row],[Date]])</f>
        <v>1992</v>
      </c>
      <c r="E3781" s="9" t="str" cm="1">
        <f t="array" ref="E3781">IFERROR(_xlfn.IFS(AND(D3781&lt;1980,D3781&gt;=1970),"70",AND(D3781&lt;1990,D3781&gt;=1980),"80",AND(D3781&lt;2000,D3781&gt;=1990),"90",AND(D3781&lt;2010,D3781&gt;=2000),"00",AND(D3781&lt;=2019,D3781&gt;=2010),"10"),"1908-1970")</f>
        <v>90</v>
      </c>
      <c r="F3781" s="3" t="s">
        <v>28931</v>
      </c>
      <c r="G3781" t="s">
        <v>22057</v>
      </c>
      <c r="H3781" t="s">
        <v>22058</v>
      </c>
      <c r="I3781" t="s">
        <v>28931</v>
      </c>
      <c r="J3781" t="s">
        <v>28931</v>
      </c>
      <c r="K3781" t="s">
        <v>22059</v>
      </c>
      <c r="L3781" s="7" t="s">
        <v>22060</v>
      </c>
      <c r="M3781">
        <v>2905</v>
      </c>
      <c r="N3781">
        <v>13</v>
      </c>
      <c r="O3781">
        <v>7</v>
      </c>
      <c r="P3781">
        <v>6</v>
      </c>
      <c r="Q3781">
        <v>1</v>
      </c>
      <c r="R3781">
        <v>0</v>
      </c>
      <c r="S3781">
        <v>1</v>
      </c>
      <c r="T3781">
        <v>0</v>
      </c>
      <c r="U3781" t="s">
        <v>22061</v>
      </c>
      <c r="V3781">
        <f>Tabla1[[#This Row],[Aboard]]-Tabla1[[#This Row],[Fatalities]]</f>
        <v>12</v>
      </c>
      <c r="W3781" s="50">
        <f>IFERROR(Tabla1[[#This Row],[Fatalities]]/Tabla1[[#This Row],[Aboard]],0)</f>
        <v>7.6923076923076927E-2</v>
      </c>
      <c r="X3781" s="51" t="str" cm="1">
        <f t="array" ref="X3781">_xlfn.IFS(Tabla1[[#This Row],[Porcentaje de muertes]]&lt;0.35,"LEVE",AND(Tabla1[[#This Row],[Porcentaje de muertes]]&gt;0.35,Tabla1[[#This Row],[Porcentaje de muertes]]&lt;0.65),"MEDIO",Tabla1[[#This Row],[Porcentaje de muertes]]&gt;0.65,"GRAVE")</f>
        <v>LEVE</v>
      </c>
    </row>
    <row r="3782" spans="2:24" x14ac:dyDescent="0.3">
      <c r="B3782" s="9">
        <v>3781</v>
      </c>
      <c r="C3782" s="49">
        <v>33895</v>
      </c>
      <c r="D3782" s="9">
        <f>YEAR(Tabla1[[#This Row],[Date]])</f>
        <v>1992</v>
      </c>
      <c r="E3782" s="9" t="str" cm="1">
        <f t="array" ref="E3782">IFERROR(_xlfn.IFS(AND(D3782&lt;1980,D3782&gt;=1970),"70",AND(D3782&lt;1990,D3782&gt;=1980),"80",AND(D3782&lt;2000,D3782&gt;=1990),"90",AND(D3782&lt;2010,D3782&gt;=2000),"00",AND(D3782&lt;=2019,D3782&gt;=2010),"10"),"1908-1970")</f>
        <v>90</v>
      </c>
      <c r="F3782" s="3" t="s">
        <v>28931</v>
      </c>
      <c r="G3782" t="s">
        <v>22062</v>
      </c>
      <c r="H3782" t="s">
        <v>16296</v>
      </c>
      <c r="I3782" t="s">
        <v>28931</v>
      </c>
      <c r="J3782" t="s">
        <v>22063</v>
      </c>
      <c r="K3782" t="s">
        <v>22064</v>
      </c>
      <c r="L3782" s="7" t="s">
        <v>22065</v>
      </c>
      <c r="M3782" t="s">
        <v>22066</v>
      </c>
      <c r="N3782">
        <v>31</v>
      </c>
      <c r="O3782">
        <v>27</v>
      </c>
      <c r="P3782">
        <v>4</v>
      </c>
      <c r="Q3782">
        <v>31</v>
      </c>
      <c r="R3782">
        <v>27</v>
      </c>
      <c r="S3782">
        <v>4</v>
      </c>
      <c r="T3782">
        <v>0</v>
      </c>
      <c r="U3782" t="s">
        <v>22067</v>
      </c>
      <c r="V3782">
        <f>Tabla1[[#This Row],[Aboard]]-Tabla1[[#This Row],[Fatalities]]</f>
        <v>0</v>
      </c>
      <c r="W3782" s="50">
        <f>IFERROR(Tabla1[[#This Row],[Fatalities]]/Tabla1[[#This Row],[Aboard]],0)</f>
        <v>1</v>
      </c>
      <c r="X3782" s="51" t="str" cm="1">
        <f t="array" ref="X3782">_xlfn.IFS(Tabla1[[#This Row],[Porcentaje de muertes]]&lt;0.35,"LEVE",AND(Tabla1[[#This Row],[Porcentaje de muertes]]&gt;0.35,Tabla1[[#This Row],[Porcentaje de muertes]]&lt;0.65),"MEDIO",Tabla1[[#This Row],[Porcentaje de muertes]]&gt;0.65,"GRAVE")</f>
        <v>GRAVE</v>
      </c>
    </row>
    <row r="3783" spans="2:24" x14ac:dyDescent="0.3">
      <c r="B3783" s="9">
        <v>3782</v>
      </c>
      <c r="C3783" s="49">
        <v>33896</v>
      </c>
      <c r="D3783" s="9">
        <f>YEAR(Tabla1[[#This Row],[Date]])</f>
        <v>1992</v>
      </c>
      <c r="E3783" s="9" t="str" cm="1">
        <f t="array" ref="E3783">IFERROR(_xlfn.IFS(AND(D3783&lt;1980,D3783&gt;=1970),"70",AND(D3783&lt;1990,D3783&gt;=1980),"80",AND(D3783&lt;2000,D3783&gt;=1990),"90",AND(D3783&lt;2010,D3783&gt;=2000),"00",AND(D3783&lt;=2019,D3783&gt;=2010),"10"),"1908-1970")</f>
        <v>90</v>
      </c>
      <c r="F3783" s="3">
        <v>0.45694444444444443</v>
      </c>
      <c r="G3783" t="s">
        <v>22068</v>
      </c>
      <c r="H3783" t="s">
        <v>22069</v>
      </c>
      <c r="I3783">
        <v>302</v>
      </c>
      <c r="J3783" t="s">
        <v>22070</v>
      </c>
      <c r="K3783" t="s">
        <v>22071</v>
      </c>
      <c r="L3783" s="7" t="s">
        <v>22072</v>
      </c>
      <c r="M3783" t="s">
        <v>22073</v>
      </c>
      <c r="N3783">
        <v>16</v>
      </c>
      <c r="O3783">
        <v>14</v>
      </c>
      <c r="P3783">
        <v>2</v>
      </c>
      <c r="Q3783">
        <v>15</v>
      </c>
      <c r="R3783">
        <v>13</v>
      </c>
      <c r="S3783">
        <v>2</v>
      </c>
      <c r="T3783">
        <v>0</v>
      </c>
      <c r="U3783" t="s">
        <v>22074</v>
      </c>
      <c r="V3783">
        <f>Tabla1[[#This Row],[Aboard]]-Tabla1[[#This Row],[Fatalities]]</f>
        <v>1</v>
      </c>
      <c r="W3783" s="50">
        <f>IFERROR(Tabla1[[#This Row],[Fatalities]]/Tabla1[[#This Row],[Aboard]],0)</f>
        <v>0.9375</v>
      </c>
      <c r="X3783" s="51" t="str" cm="1">
        <f t="array" ref="X3783">_xlfn.IFS(Tabla1[[#This Row],[Porcentaje de muertes]]&lt;0.35,"LEVE",AND(Tabla1[[#This Row],[Porcentaje de muertes]]&gt;0.35,Tabla1[[#This Row],[Porcentaje de muertes]]&lt;0.65),"MEDIO",Tabla1[[#This Row],[Porcentaje de muertes]]&gt;0.65,"GRAVE")</f>
        <v>GRAVE</v>
      </c>
    </row>
    <row r="3784" spans="2:24" x14ac:dyDescent="0.3">
      <c r="B3784" s="9">
        <v>3783</v>
      </c>
      <c r="C3784" s="49">
        <v>33898</v>
      </c>
      <c r="D3784" s="9">
        <f>YEAR(Tabla1[[#This Row],[Date]])</f>
        <v>1992</v>
      </c>
      <c r="E3784" s="9" t="str" cm="1">
        <f t="array" ref="E3784">IFERROR(_xlfn.IFS(AND(D3784&lt;1980,D3784&gt;=1970),"70",AND(D3784&lt;1990,D3784&gt;=1980),"80",AND(D3784&lt;2000,D3784&gt;=1990),"90",AND(D3784&lt;2010,D3784&gt;=2000),"00",AND(D3784&lt;=2019,D3784&gt;=2010),"10"),"1908-1970")</f>
        <v>90</v>
      </c>
      <c r="F3784" s="3" t="s">
        <v>28931</v>
      </c>
      <c r="G3784" t="s">
        <v>22075</v>
      </c>
      <c r="H3784" t="s">
        <v>20348</v>
      </c>
      <c r="I3784" t="s">
        <v>28931</v>
      </c>
      <c r="J3784" t="s">
        <v>28931</v>
      </c>
      <c r="K3784" t="s">
        <v>16680</v>
      </c>
      <c r="L3784" s="7" t="s">
        <v>22076</v>
      </c>
      <c r="M3784">
        <v>379</v>
      </c>
      <c r="N3784">
        <v>11</v>
      </c>
      <c r="O3784">
        <v>8</v>
      </c>
      <c r="P3784">
        <v>3</v>
      </c>
      <c r="Q3784">
        <v>8</v>
      </c>
      <c r="R3784">
        <v>7</v>
      </c>
      <c r="S3784">
        <v>1</v>
      </c>
      <c r="T3784">
        <v>0</v>
      </c>
      <c r="U3784" t="s">
        <v>22077</v>
      </c>
      <c r="V3784">
        <f>Tabla1[[#This Row],[Aboard]]-Tabla1[[#This Row],[Fatalities]]</f>
        <v>3</v>
      </c>
      <c r="W3784" s="50">
        <f>IFERROR(Tabla1[[#This Row],[Fatalities]]/Tabla1[[#This Row],[Aboard]],0)</f>
        <v>0.72727272727272729</v>
      </c>
      <c r="X3784" s="51" t="str" cm="1">
        <f t="array" ref="X3784">_xlfn.IFS(Tabla1[[#This Row],[Porcentaje de muertes]]&lt;0.35,"LEVE",AND(Tabla1[[#This Row],[Porcentaje de muertes]]&gt;0.35,Tabla1[[#This Row],[Porcentaje de muertes]]&lt;0.65),"MEDIO",Tabla1[[#This Row],[Porcentaje de muertes]]&gt;0.65,"GRAVE")</f>
        <v>GRAVE</v>
      </c>
    </row>
    <row r="3785" spans="2:24" x14ac:dyDescent="0.3">
      <c r="B3785" s="9">
        <v>3784</v>
      </c>
      <c r="C3785" s="49">
        <v>33906</v>
      </c>
      <c r="D3785" s="9">
        <f>YEAR(Tabla1[[#This Row],[Date]])</f>
        <v>1992</v>
      </c>
      <c r="E3785" s="9" t="str" cm="1">
        <f t="array" ref="E3785">IFERROR(_xlfn.IFS(AND(D3785&lt;1980,D3785&gt;=1970),"70",AND(D3785&lt;1990,D3785&gt;=1980),"80",AND(D3785&lt;2000,D3785&gt;=1990),"90",AND(D3785&lt;2010,D3785&gt;=2000),"00",AND(D3785&lt;=2019,D3785&gt;=2010),"10"),"1908-1970")</f>
        <v>90</v>
      </c>
      <c r="F3785" s="3" t="s">
        <v>28931</v>
      </c>
      <c r="G3785" t="s">
        <v>22078</v>
      </c>
      <c r="H3785" t="s">
        <v>6541</v>
      </c>
      <c r="I3785" t="s">
        <v>28931</v>
      </c>
      <c r="J3785" t="s">
        <v>22079</v>
      </c>
      <c r="K3785" t="s">
        <v>22080</v>
      </c>
      <c r="L3785" s="7" t="s">
        <v>22081</v>
      </c>
      <c r="M3785" t="s">
        <v>22082</v>
      </c>
      <c r="N3785">
        <v>14</v>
      </c>
      <c r="O3785">
        <v>9</v>
      </c>
      <c r="P3785">
        <v>5</v>
      </c>
      <c r="Q3785">
        <v>13</v>
      </c>
      <c r="R3785">
        <v>8</v>
      </c>
      <c r="S3785">
        <v>5</v>
      </c>
      <c r="T3785">
        <v>0</v>
      </c>
      <c r="U3785" t="s">
        <v>22083</v>
      </c>
      <c r="V3785">
        <f>Tabla1[[#This Row],[Aboard]]-Tabla1[[#This Row],[Fatalities]]</f>
        <v>1</v>
      </c>
      <c r="W3785" s="50">
        <f>IFERROR(Tabla1[[#This Row],[Fatalities]]/Tabla1[[#This Row],[Aboard]],0)</f>
        <v>0.9285714285714286</v>
      </c>
      <c r="X3785" s="51" t="str" cm="1">
        <f t="array" ref="X3785">_xlfn.IFS(Tabla1[[#This Row],[Porcentaje de muertes]]&lt;0.35,"LEVE",AND(Tabla1[[#This Row],[Porcentaje de muertes]]&gt;0.35,Tabla1[[#This Row],[Porcentaje de muertes]]&lt;0.65),"MEDIO",Tabla1[[#This Row],[Porcentaje de muertes]]&gt;0.65,"GRAVE")</f>
        <v>GRAVE</v>
      </c>
    </row>
    <row r="3786" spans="2:24" x14ac:dyDescent="0.3">
      <c r="B3786" s="9">
        <v>3785</v>
      </c>
      <c r="C3786" s="49">
        <v>33919</v>
      </c>
      <c r="D3786" s="9">
        <f>YEAR(Tabla1[[#This Row],[Date]])</f>
        <v>1992</v>
      </c>
      <c r="E3786" s="9" t="str" cm="1">
        <f t="array" ref="E3786">IFERROR(_xlfn.IFS(AND(D3786&lt;1980,D3786&gt;=1970),"70",AND(D3786&lt;1990,D3786&gt;=1980),"80",AND(D3786&lt;2000,D3786&gt;=1990),"90",AND(D3786&lt;2010,D3786&gt;=2000),"00",AND(D3786&lt;=2019,D3786&gt;=2010),"10"),"1908-1970")</f>
        <v>90</v>
      </c>
      <c r="F3786" s="3" t="s">
        <v>28931</v>
      </c>
      <c r="G3786" t="s">
        <v>22084</v>
      </c>
      <c r="H3786" t="s">
        <v>8036</v>
      </c>
      <c r="I3786" t="s">
        <v>28931</v>
      </c>
      <c r="J3786" t="s">
        <v>28931</v>
      </c>
      <c r="K3786" t="s">
        <v>19284</v>
      </c>
      <c r="L3786" s="7" t="s">
        <v>28931</v>
      </c>
      <c r="M3786" t="s">
        <v>28931</v>
      </c>
      <c r="N3786">
        <v>20</v>
      </c>
      <c r="O3786" t="s">
        <v>5038</v>
      </c>
      <c r="P3786" t="s">
        <v>5038</v>
      </c>
      <c r="Q3786">
        <v>20</v>
      </c>
      <c r="R3786" t="s">
        <v>5038</v>
      </c>
      <c r="S3786" t="s">
        <v>5038</v>
      </c>
      <c r="T3786">
        <v>0</v>
      </c>
      <c r="U3786" t="s">
        <v>22085</v>
      </c>
      <c r="V3786">
        <f>Tabla1[[#This Row],[Aboard]]-Tabla1[[#This Row],[Fatalities]]</f>
        <v>0</v>
      </c>
      <c r="W3786" s="50">
        <f>IFERROR(Tabla1[[#This Row],[Fatalities]]/Tabla1[[#This Row],[Aboard]],0)</f>
        <v>1</v>
      </c>
      <c r="X3786" s="51" t="str" cm="1">
        <f t="array" ref="X3786">_xlfn.IFS(Tabla1[[#This Row],[Porcentaje de muertes]]&lt;0.35,"LEVE",AND(Tabla1[[#This Row],[Porcentaje de muertes]]&gt;0.35,Tabla1[[#This Row],[Porcentaje de muertes]]&lt;0.65),"MEDIO",Tabla1[[#This Row],[Porcentaje de muertes]]&gt;0.65,"GRAVE")</f>
        <v>GRAVE</v>
      </c>
    </row>
    <row r="3787" spans="2:24" x14ac:dyDescent="0.3">
      <c r="B3787" s="9">
        <v>3786</v>
      </c>
      <c r="C3787" s="49">
        <v>33919</v>
      </c>
      <c r="D3787" s="9">
        <f>YEAR(Tabla1[[#This Row],[Date]])</f>
        <v>1992</v>
      </c>
      <c r="E3787" s="9" t="str" cm="1">
        <f t="array" ref="E3787">IFERROR(_xlfn.IFS(AND(D3787&lt;1980,D3787&gt;=1970),"70",AND(D3787&lt;1990,D3787&gt;=1980),"80",AND(D3787&lt;2000,D3787&gt;=1990),"90",AND(D3787&lt;2010,D3787&gt;=2000),"00",AND(D3787&lt;=2019,D3787&gt;=2010),"10"),"1908-1970")</f>
        <v>90</v>
      </c>
      <c r="F3787" s="3" t="s">
        <v>28931</v>
      </c>
      <c r="G3787" t="s">
        <v>22086</v>
      </c>
      <c r="H3787" t="s">
        <v>15187</v>
      </c>
      <c r="I3787" t="s">
        <v>28931</v>
      </c>
      <c r="J3787" t="s">
        <v>22087</v>
      </c>
      <c r="K3787" t="s">
        <v>22088</v>
      </c>
      <c r="L3787" s="7" t="s">
        <v>15918</v>
      </c>
      <c r="M3787">
        <v>53483299</v>
      </c>
      <c r="N3787">
        <v>33</v>
      </c>
      <c r="O3787">
        <v>26</v>
      </c>
      <c r="P3787">
        <v>7</v>
      </c>
      <c r="Q3787">
        <v>33</v>
      </c>
      <c r="R3787">
        <v>26</v>
      </c>
      <c r="S3787">
        <v>7</v>
      </c>
      <c r="T3787">
        <v>0</v>
      </c>
      <c r="U3787" t="s">
        <v>22089</v>
      </c>
      <c r="V3787">
        <f>Tabla1[[#This Row],[Aboard]]-Tabla1[[#This Row],[Fatalities]]</f>
        <v>0</v>
      </c>
      <c r="W3787" s="50">
        <f>IFERROR(Tabla1[[#This Row],[Fatalities]]/Tabla1[[#This Row],[Aboard]],0)</f>
        <v>1</v>
      </c>
      <c r="X3787" s="51" t="str" cm="1">
        <f t="array" ref="X3787">_xlfn.IFS(Tabla1[[#This Row],[Porcentaje de muertes]]&lt;0.35,"LEVE",AND(Tabla1[[#This Row],[Porcentaje de muertes]]&gt;0.35,Tabla1[[#This Row],[Porcentaje de muertes]]&lt;0.65),"MEDIO",Tabla1[[#This Row],[Porcentaje de muertes]]&gt;0.65,"GRAVE")</f>
        <v>GRAVE</v>
      </c>
    </row>
    <row r="3788" spans="2:24" x14ac:dyDescent="0.3">
      <c r="B3788" s="9">
        <v>3787</v>
      </c>
      <c r="C3788" s="49">
        <v>33922</v>
      </c>
      <c r="D3788" s="9">
        <f>YEAR(Tabla1[[#This Row],[Date]])</f>
        <v>1992</v>
      </c>
      <c r="E3788" s="9" t="str" cm="1">
        <f t="array" ref="E3788">IFERROR(_xlfn.IFS(AND(D3788&lt;1980,D3788&gt;=1970),"70",AND(D3788&lt;1990,D3788&gt;=1980),"80",AND(D3788&lt;2000,D3788&gt;=1990),"90",AND(D3788&lt;2010,D3788&gt;=2000),"00",AND(D3788&lt;=2019,D3788&gt;=2010),"10"),"1908-1970")</f>
        <v>90</v>
      </c>
      <c r="F3788" s="3">
        <v>0.2986111111111111</v>
      </c>
      <c r="G3788" t="s">
        <v>17274</v>
      </c>
      <c r="H3788" t="s">
        <v>22090</v>
      </c>
      <c r="I3788">
        <v>474</v>
      </c>
      <c r="J3788" t="s">
        <v>22091</v>
      </c>
      <c r="K3788" t="s">
        <v>15961</v>
      </c>
      <c r="L3788" s="7" t="s">
        <v>22092</v>
      </c>
      <c r="M3788">
        <v>9631848</v>
      </c>
      <c r="N3788">
        <v>31</v>
      </c>
      <c r="O3788">
        <v>25</v>
      </c>
      <c r="P3788">
        <v>6</v>
      </c>
      <c r="Q3788">
        <v>30</v>
      </c>
      <c r="R3788">
        <v>24</v>
      </c>
      <c r="S3788">
        <v>6</v>
      </c>
      <c r="T3788">
        <v>0</v>
      </c>
      <c r="U3788" t="s">
        <v>22093</v>
      </c>
      <c r="V3788">
        <f>Tabla1[[#This Row],[Aboard]]-Tabla1[[#This Row],[Fatalities]]</f>
        <v>1</v>
      </c>
      <c r="W3788" s="50">
        <f>IFERROR(Tabla1[[#This Row],[Fatalities]]/Tabla1[[#This Row],[Aboard]],0)</f>
        <v>0.967741935483871</v>
      </c>
      <c r="X3788" s="51" t="str" cm="1">
        <f t="array" ref="X3788">_xlfn.IFS(Tabla1[[#This Row],[Porcentaje de muertes]]&lt;0.35,"LEVE",AND(Tabla1[[#This Row],[Porcentaje de muertes]]&gt;0.35,Tabla1[[#This Row],[Porcentaje de muertes]]&lt;0.65),"MEDIO",Tabla1[[#This Row],[Porcentaje de muertes]]&gt;0.65,"GRAVE")</f>
        <v>GRAVE</v>
      </c>
    </row>
    <row r="3789" spans="2:24" x14ac:dyDescent="0.3">
      <c r="B3789" s="9">
        <v>3788</v>
      </c>
      <c r="C3789" s="49">
        <v>33923</v>
      </c>
      <c r="D3789" s="9">
        <f>YEAR(Tabla1[[#This Row],[Date]])</f>
        <v>1992</v>
      </c>
      <c r="E3789" s="9" t="str" cm="1">
        <f t="array" ref="E3789">IFERROR(_xlfn.IFS(AND(D3789&lt;1980,D3789&gt;=1970),"70",AND(D3789&lt;1990,D3789&gt;=1980),"80",AND(D3789&lt;2000,D3789&gt;=1990),"90",AND(D3789&lt;2010,D3789&gt;=2000),"00",AND(D3789&lt;=2019,D3789&gt;=2010),"10"),"1908-1970")</f>
        <v>90</v>
      </c>
      <c r="F3789" s="3">
        <v>0.78125</v>
      </c>
      <c r="G3789" t="s">
        <v>22094</v>
      </c>
      <c r="H3789" t="s">
        <v>22095</v>
      </c>
      <c r="I3789" t="s">
        <v>28931</v>
      </c>
      <c r="J3789" t="s">
        <v>22096</v>
      </c>
      <c r="K3789" t="s">
        <v>13704</v>
      </c>
      <c r="L3789" s="7" t="s">
        <v>22097</v>
      </c>
      <c r="M3789">
        <v>187010301</v>
      </c>
      <c r="N3789">
        <v>34</v>
      </c>
      <c r="O3789">
        <v>28</v>
      </c>
      <c r="P3789">
        <v>6</v>
      </c>
      <c r="Q3789">
        <v>34</v>
      </c>
      <c r="R3789">
        <v>28</v>
      </c>
      <c r="S3789">
        <v>6</v>
      </c>
      <c r="T3789">
        <v>0</v>
      </c>
      <c r="U3789" t="s">
        <v>22098</v>
      </c>
      <c r="V3789">
        <f>Tabla1[[#This Row],[Aboard]]-Tabla1[[#This Row],[Fatalities]]</f>
        <v>0</v>
      </c>
      <c r="W3789" s="50">
        <f>IFERROR(Tabla1[[#This Row],[Fatalities]]/Tabla1[[#This Row],[Aboard]],0)</f>
        <v>1</v>
      </c>
      <c r="X3789" s="51" t="str" cm="1">
        <f t="array" ref="X3789">_xlfn.IFS(Tabla1[[#This Row],[Porcentaje de muertes]]&lt;0.35,"LEVE",AND(Tabla1[[#This Row],[Porcentaje de muertes]]&gt;0.35,Tabla1[[#This Row],[Porcentaje de muertes]]&lt;0.65),"MEDIO",Tabla1[[#This Row],[Porcentaje de muertes]]&gt;0.65,"GRAVE")</f>
        <v>GRAVE</v>
      </c>
    </row>
    <row r="3790" spans="2:24" x14ac:dyDescent="0.3">
      <c r="B3790" s="9">
        <v>3789</v>
      </c>
      <c r="C3790" s="49">
        <v>33932</v>
      </c>
      <c r="D3790" s="9">
        <f>YEAR(Tabla1[[#This Row],[Date]])</f>
        <v>1992</v>
      </c>
      <c r="E3790" s="9" t="str" cm="1">
        <f t="array" ref="E3790">IFERROR(_xlfn.IFS(AND(D3790&lt;1980,D3790&gt;=1970),"70",AND(D3790&lt;1990,D3790&gt;=1980),"80",AND(D3790&lt;2000,D3790&gt;=1990),"90",AND(D3790&lt;2010,D3790&gt;=2000),"00",AND(D3790&lt;=2019,D3790&gt;=2010),"10"),"1908-1970")</f>
        <v>90</v>
      </c>
      <c r="F3790" s="3">
        <v>0.32777777777777778</v>
      </c>
      <c r="G3790" t="s">
        <v>22099</v>
      </c>
      <c r="H3790" t="s">
        <v>22100</v>
      </c>
      <c r="I3790">
        <v>3943</v>
      </c>
      <c r="J3790" t="s">
        <v>19138</v>
      </c>
      <c r="K3790" t="s">
        <v>21336</v>
      </c>
      <c r="L3790" s="7" t="s">
        <v>22101</v>
      </c>
      <c r="M3790" t="s">
        <v>22102</v>
      </c>
      <c r="N3790">
        <v>141</v>
      </c>
      <c r="O3790">
        <v>133</v>
      </c>
      <c r="P3790">
        <v>8</v>
      </c>
      <c r="Q3790">
        <v>141</v>
      </c>
      <c r="R3790">
        <v>133</v>
      </c>
      <c r="S3790">
        <v>8</v>
      </c>
      <c r="T3790">
        <v>0</v>
      </c>
      <c r="U3790" t="s">
        <v>22103</v>
      </c>
      <c r="V3790">
        <f>Tabla1[[#This Row],[Aboard]]-Tabla1[[#This Row],[Fatalities]]</f>
        <v>0</v>
      </c>
      <c r="W3790" s="50">
        <f>IFERROR(Tabla1[[#This Row],[Fatalities]]/Tabla1[[#This Row],[Aboard]],0)</f>
        <v>1</v>
      </c>
      <c r="X3790" s="51" t="str" cm="1">
        <f t="array" ref="X3790">_xlfn.IFS(Tabla1[[#This Row],[Porcentaje de muertes]]&lt;0.35,"LEVE",AND(Tabla1[[#This Row],[Porcentaje de muertes]]&gt;0.35,Tabla1[[#This Row],[Porcentaje de muertes]]&lt;0.65),"MEDIO",Tabla1[[#This Row],[Porcentaje de muertes]]&gt;0.65,"GRAVE")</f>
        <v>GRAVE</v>
      </c>
    </row>
    <row r="3791" spans="2:24" x14ac:dyDescent="0.3">
      <c r="B3791" s="9">
        <v>3790</v>
      </c>
      <c r="C3791" s="49">
        <v>33938</v>
      </c>
      <c r="D3791" s="9">
        <f>YEAR(Tabla1[[#This Row],[Date]])</f>
        <v>1992</v>
      </c>
      <c r="E3791" s="9" t="str" cm="1">
        <f t="array" ref="E3791">IFERROR(_xlfn.IFS(AND(D3791&lt;1980,D3791&gt;=1970),"70",AND(D3791&lt;1990,D3791&gt;=1980),"80",AND(D3791&lt;2000,D3791&gt;=1990),"90",AND(D3791&lt;2010,D3791&gt;=2000),"00",AND(D3791&lt;=2019,D3791&gt;=2010),"10"),"1908-1970")</f>
        <v>90</v>
      </c>
      <c r="F3791" s="3">
        <v>0.88888888888888884</v>
      </c>
      <c r="G3791" t="s">
        <v>22104</v>
      </c>
      <c r="H3791" t="s">
        <v>11589</v>
      </c>
      <c r="I3791" t="s">
        <v>28931</v>
      </c>
      <c r="J3791" t="s">
        <v>28931</v>
      </c>
      <c r="K3791" t="s">
        <v>22105</v>
      </c>
      <c r="L3791" s="7" t="s">
        <v>22106</v>
      </c>
      <c r="M3791" t="s">
        <v>22107</v>
      </c>
      <c r="N3791">
        <v>13</v>
      </c>
      <c r="O3791">
        <v>0</v>
      </c>
      <c r="P3791">
        <v>13</v>
      </c>
      <c r="Q3791">
        <v>13</v>
      </c>
      <c r="R3791">
        <v>0</v>
      </c>
      <c r="S3791">
        <v>13</v>
      </c>
      <c r="T3791">
        <v>0</v>
      </c>
      <c r="U3791" t="s">
        <v>22108</v>
      </c>
      <c r="V3791">
        <f>Tabla1[[#This Row],[Aboard]]-Tabla1[[#This Row],[Fatalities]]</f>
        <v>0</v>
      </c>
      <c r="W3791" s="50">
        <f>IFERROR(Tabla1[[#This Row],[Fatalities]]/Tabla1[[#This Row],[Aboard]],0)</f>
        <v>1</v>
      </c>
      <c r="X3791" s="51" t="str" cm="1">
        <f t="array" ref="X3791">_xlfn.IFS(Tabla1[[#This Row],[Porcentaje de muertes]]&lt;0.35,"LEVE",AND(Tabla1[[#This Row],[Porcentaje de muertes]]&gt;0.35,Tabla1[[#This Row],[Porcentaje de muertes]]&lt;0.65),"MEDIO",Tabla1[[#This Row],[Porcentaje de muertes]]&gt;0.65,"GRAVE")</f>
        <v>GRAVE</v>
      </c>
    </row>
    <row r="3792" spans="2:24" x14ac:dyDescent="0.3">
      <c r="B3792" s="9">
        <v>3791</v>
      </c>
      <c r="C3792" s="49">
        <v>33859</v>
      </c>
      <c r="D3792" s="9">
        <f>YEAR(Tabla1[[#This Row],[Date]])</f>
        <v>1992</v>
      </c>
      <c r="E3792" s="9" t="str" cm="1">
        <f t="array" ref="E3792">IFERROR(_xlfn.IFS(AND(D3792&lt;1980,D3792&gt;=1970),"70",AND(D3792&lt;1990,D3792&gt;=1980),"80",AND(D3792&lt;2000,D3792&gt;=1990),"90",AND(D3792&lt;2010,D3792&gt;=2000),"00",AND(D3792&lt;=2019,D3792&gt;=2010),"10"),"1908-1970")</f>
        <v>90</v>
      </c>
      <c r="F3792" s="3" t="s">
        <v>28931</v>
      </c>
      <c r="G3792" t="s">
        <v>22109</v>
      </c>
      <c r="H3792" t="s">
        <v>22110</v>
      </c>
      <c r="I3792" t="s">
        <v>28931</v>
      </c>
      <c r="J3792" t="s">
        <v>22111</v>
      </c>
      <c r="K3792" t="s">
        <v>22112</v>
      </c>
      <c r="L3792" s="7" t="s">
        <v>22113</v>
      </c>
      <c r="M3792">
        <v>864</v>
      </c>
      <c r="N3792">
        <v>9</v>
      </c>
      <c r="O3792">
        <v>8</v>
      </c>
      <c r="P3792">
        <v>1</v>
      </c>
      <c r="Q3792">
        <v>9</v>
      </c>
      <c r="R3792">
        <v>8</v>
      </c>
      <c r="S3792">
        <v>1</v>
      </c>
      <c r="T3792">
        <v>0</v>
      </c>
      <c r="U3792" t="s">
        <v>22114</v>
      </c>
      <c r="V3792">
        <f>Tabla1[[#This Row],[Aboard]]-Tabla1[[#This Row],[Fatalities]]</f>
        <v>0</v>
      </c>
      <c r="W3792" s="50">
        <f>IFERROR(Tabla1[[#This Row],[Fatalities]]/Tabla1[[#This Row],[Aboard]],0)</f>
        <v>1</v>
      </c>
      <c r="X3792" s="51" t="str" cm="1">
        <f t="array" ref="X3792">_xlfn.IFS(Tabla1[[#This Row],[Porcentaje de muertes]]&lt;0.35,"LEVE",AND(Tabla1[[#This Row],[Porcentaje de muertes]]&gt;0.35,Tabla1[[#This Row],[Porcentaje de muertes]]&lt;0.65),"MEDIO",Tabla1[[#This Row],[Porcentaje de muertes]]&gt;0.65,"GRAVE")</f>
        <v>GRAVE</v>
      </c>
    </row>
    <row r="3793" spans="2:24" x14ac:dyDescent="0.3">
      <c r="B3793" s="9">
        <v>3792</v>
      </c>
      <c r="C3793" s="49">
        <v>33951</v>
      </c>
      <c r="D3793" s="9">
        <f>YEAR(Tabla1[[#This Row],[Date]])</f>
        <v>1992</v>
      </c>
      <c r="E3793" s="9" t="str" cm="1">
        <f t="array" ref="E3793">IFERROR(_xlfn.IFS(AND(D3793&lt;1980,D3793&gt;=1970),"70",AND(D3793&lt;1990,D3793&gt;=1980),"80",AND(D3793&lt;2000,D3793&gt;=1990),"90",AND(D3793&lt;2010,D3793&gt;=2000),"00",AND(D3793&lt;=2019,D3793&gt;=2010),"10"),"1908-1970")</f>
        <v>90</v>
      </c>
      <c r="F3793" s="3" t="s">
        <v>28931</v>
      </c>
      <c r="G3793" t="s">
        <v>22115</v>
      </c>
      <c r="H3793" t="s">
        <v>22116</v>
      </c>
      <c r="I3793">
        <v>140</v>
      </c>
      <c r="J3793" t="s">
        <v>22117</v>
      </c>
      <c r="K3793" t="s">
        <v>15897</v>
      </c>
      <c r="L3793" s="7" t="s">
        <v>22118</v>
      </c>
      <c r="M3793">
        <v>10649</v>
      </c>
      <c r="N3793">
        <v>37</v>
      </c>
      <c r="O3793">
        <v>31</v>
      </c>
      <c r="P3793">
        <v>6</v>
      </c>
      <c r="Q3793">
        <v>37</v>
      </c>
      <c r="R3793">
        <v>31</v>
      </c>
      <c r="S3793">
        <v>6</v>
      </c>
      <c r="T3793">
        <v>0</v>
      </c>
      <c r="U3793" t="s">
        <v>22119</v>
      </c>
      <c r="V3793">
        <f>Tabla1[[#This Row],[Aboard]]-Tabla1[[#This Row],[Fatalities]]</f>
        <v>0</v>
      </c>
      <c r="W3793" s="50">
        <f>IFERROR(Tabla1[[#This Row],[Fatalities]]/Tabla1[[#This Row],[Aboard]],0)</f>
        <v>1</v>
      </c>
      <c r="X3793" s="51" t="str" cm="1">
        <f t="array" ref="X3793">_xlfn.IFS(Tabla1[[#This Row],[Porcentaje de muertes]]&lt;0.35,"LEVE",AND(Tabla1[[#This Row],[Porcentaje de muertes]]&gt;0.35,Tabla1[[#This Row],[Porcentaje de muertes]]&lt;0.65),"MEDIO",Tabla1[[#This Row],[Porcentaje de muertes]]&gt;0.65,"GRAVE")</f>
        <v>GRAVE</v>
      </c>
    </row>
    <row r="3794" spans="2:24" x14ac:dyDescent="0.3">
      <c r="B3794" s="9">
        <v>3793</v>
      </c>
      <c r="C3794" s="49">
        <v>33952</v>
      </c>
      <c r="D3794" s="9">
        <f>YEAR(Tabla1[[#This Row],[Date]])</f>
        <v>1992</v>
      </c>
      <c r="E3794" s="9" t="str" cm="1">
        <f t="array" ref="E3794">IFERROR(_xlfn.IFS(AND(D3794&lt;1980,D3794&gt;=1970),"70",AND(D3794&lt;1990,D3794&gt;=1980),"80",AND(D3794&lt;2000,D3794&gt;=1990),"90",AND(D3794&lt;2010,D3794&gt;=2000),"00",AND(D3794&lt;=2019,D3794&gt;=2010),"10"),"1908-1970")</f>
        <v>90</v>
      </c>
      <c r="F3794" s="3" t="s">
        <v>28931</v>
      </c>
      <c r="G3794" t="s">
        <v>22120</v>
      </c>
      <c r="H3794" t="s">
        <v>15187</v>
      </c>
      <c r="I3794" t="s">
        <v>28931</v>
      </c>
      <c r="J3794" t="s">
        <v>28931</v>
      </c>
      <c r="K3794" t="s">
        <v>22121</v>
      </c>
      <c r="L3794" s="7" t="s">
        <v>28931</v>
      </c>
      <c r="M3794" t="s">
        <v>28931</v>
      </c>
      <c r="N3794">
        <v>61</v>
      </c>
      <c r="O3794" t="s">
        <v>5038</v>
      </c>
      <c r="P3794" t="s">
        <v>5038</v>
      </c>
      <c r="Q3794">
        <v>61</v>
      </c>
      <c r="R3794" t="s">
        <v>5038</v>
      </c>
      <c r="S3794" t="s">
        <v>5038</v>
      </c>
      <c r="T3794">
        <v>0</v>
      </c>
      <c r="U3794" t="s">
        <v>22122</v>
      </c>
      <c r="V3794">
        <f>Tabla1[[#This Row],[Aboard]]-Tabla1[[#This Row],[Fatalities]]</f>
        <v>0</v>
      </c>
      <c r="W3794" s="50">
        <f>IFERROR(Tabla1[[#This Row],[Fatalities]]/Tabla1[[#This Row],[Aboard]],0)</f>
        <v>1</v>
      </c>
      <c r="X3794" s="51" t="str" cm="1">
        <f t="array" ref="X3794">_xlfn.IFS(Tabla1[[#This Row],[Porcentaje de muertes]]&lt;0.35,"LEVE",AND(Tabla1[[#This Row],[Porcentaje de muertes]]&gt;0.35,Tabla1[[#This Row],[Porcentaje de muertes]]&lt;0.65),"MEDIO",Tabla1[[#This Row],[Porcentaje de muertes]]&gt;0.65,"GRAVE")</f>
        <v>GRAVE</v>
      </c>
    </row>
    <row r="3795" spans="2:24" x14ac:dyDescent="0.3">
      <c r="B3795" s="9">
        <v>3794</v>
      </c>
      <c r="C3795" s="49">
        <v>33959</v>
      </c>
      <c r="D3795" s="9">
        <f>YEAR(Tabla1[[#This Row],[Date]])</f>
        <v>1992</v>
      </c>
      <c r="E3795" s="9" t="str" cm="1">
        <f t="array" ref="E3795">IFERROR(_xlfn.IFS(AND(D3795&lt;1980,D3795&gt;=1970),"70",AND(D3795&lt;1990,D3795&gt;=1980),"80",AND(D3795&lt;2000,D3795&gt;=1990),"90",AND(D3795&lt;2010,D3795&gt;=2000),"00",AND(D3795&lt;=2019,D3795&gt;=2010),"10"),"1908-1970")</f>
        <v>90</v>
      </c>
      <c r="F3795" s="3">
        <v>0.32847222222222222</v>
      </c>
      <c r="G3795" t="s">
        <v>22123</v>
      </c>
      <c r="H3795" t="s">
        <v>17242</v>
      </c>
      <c r="I3795">
        <v>495</v>
      </c>
      <c r="J3795" t="s">
        <v>22124</v>
      </c>
      <c r="K3795" t="s">
        <v>19066</v>
      </c>
      <c r="L3795" s="7" t="s">
        <v>22125</v>
      </c>
      <c r="M3795">
        <v>46924</v>
      </c>
      <c r="N3795">
        <v>340</v>
      </c>
      <c r="O3795">
        <v>327</v>
      </c>
      <c r="P3795">
        <v>13</v>
      </c>
      <c r="Q3795">
        <v>56</v>
      </c>
      <c r="R3795">
        <v>54</v>
      </c>
      <c r="S3795">
        <v>2</v>
      </c>
      <c r="T3795">
        <v>0</v>
      </c>
      <c r="U3795" t="s">
        <v>22126</v>
      </c>
      <c r="V3795">
        <f>Tabla1[[#This Row],[Aboard]]-Tabla1[[#This Row],[Fatalities]]</f>
        <v>284</v>
      </c>
      <c r="W3795" s="50">
        <f>IFERROR(Tabla1[[#This Row],[Fatalities]]/Tabla1[[#This Row],[Aboard]],0)</f>
        <v>0.16470588235294117</v>
      </c>
      <c r="X3795" s="51" t="str" cm="1">
        <f t="array" ref="X3795">_xlfn.IFS(Tabla1[[#This Row],[Porcentaje de muertes]]&lt;0.35,"LEVE",AND(Tabla1[[#This Row],[Porcentaje de muertes]]&gt;0.35,Tabla1[[#This Row],[Porcentaje de muertes]]&lt;0.65),"MEDIO",Tabla1[[#This Row],[Porcentaje de muertes]]&gt;0.65,"GRAVE")</f>
        <v>LEVE</v>
      </c>
    </row>
    <row r="3796" spans="2:24" x14ac:dyDescent="0.3">
      <c r="B3796" s="9">
        <v>3795</v>
      </c>
      <c r="C3796" s="49">
        <v>33960</v>
      </c>
      <c r="D3796" s="9">
        <f>YEAR(Tabla1[[#This Row],[Date]])</f>
        <v>1992</v>
      </c>
      <c r="E3796" s="9" t="str" cm="1">
        <f t="array" ref="E3796">IFERROR(_xlfn.IFS(AND(D3796&lt;1980,D3796&gt;=1970),"70",AND(D3796&lt;1990,D3796&gt;=1980),"80",AND(D3796&lt;2000,D3796&gt;=1990),"90",AND(D3796&lt;2010,D3796&gt;=2000),"00",AND(D3796&lt;=2019,D3796&gt;=2010),"10"),"1908-1970")</f>
        <v>90</v>
      </c>
      <c r="F3796" s="3">
        <v>0.41666666666666669</v>
      </c>
      <c r="G3796" t="s">
        <v>15886</v>
      </c>
      <c r="H3796" t="s">
        <v>22127</v>
      </c>
      <c r="I3796">
        <v>1103</v>
      </c>
      <c r="J3796" t="s">
        <v>22128</v>
      </c>
      <c r="K3796" t="s">
        <v>22129</v>
      </c>
      <c r="L3796" s="7" t="s">
        <v>22130</v>
      </c>
      <c r="M3796" t="s">
        <v>22131</v>
      </c>
      <c r="N3796">
        <v>157</v>
      </c>
      <c r="O3796">
        <v>147</v>
      </c>
      <c r="P3796">
        <v>10</v>
      </c>
      <c r="Q3796">
        <v>157</v>
      </c>
      <c r="R3796">
        <v>147</v>
      </c>
      <c r="S3796">
        <v>10</v>
      </c>
      <c r="T3796">
        <v>0</v>
      </c>
      <c r="U3796" t="s">
        <v>22132</v>
      </c>
      <c r="V3796">
        <f>Tabla1[[#This Row],[Aboard]]-Tabla1[[#This Row],[Fatalities]]</f>
        <v>0</v>
      </c>
      <c r="W3796" s="50">
        <f>IFERROR(Tabla1[[#This Row],[Fatalities]]/Tabla1[[#This Row],[Aboard]],0)</f>
        <v>1</v>
      </c>
      <c r="X3796" s="51" t="str" cm="1">
        <f t="array" ref="X3796">_xlfn.IFS(Tabla1[[#This Row],[Porcentaje de muertes]]&lt;0.35,"LEVE",AND(Tabla1[[#This Row],[Porcentaje de muertes]]&gt;0.35,Tabla1[[#This Row],[Porcentaje de muertes]]&lt;0.65),"MEDIO",Tabla1[[#This Row],[Porcentaje de muertes]]&gt;0.65,"GRAVE")</f>
        <v>GRAVE</v>
      </c>
    </row>
    <row r="3797" spans="2:24" x14ac:dyDescent="0.3">
      <c r="B3797" s="9">
        <v>3796</v>
      </c>
      <c r="C3797" s="49">
        <v>34029</v>
      </c>
      <c r="D3797" s="9">
        <f>YEAR(Tabla1[[#This Row],[Date]])</f>
        <v>1993</v>
      </c>
      <c r="E3797" s="9" t="str" cm="1">
        <f t="array" ref="E3797">IFERROR(_xlfn.IFS(AND(D3797&lt;1980,D3797&gt;=1970),"70",AND(D3797&lt;1990,D3797&gt;=1980),"80",AND(D3797&lt;2000,D3797&gt;=1990),"90",AND(D3797&lt;2010,D3797&gt;=2000),"00",AND(D3797&lt;=2019,D3797&gt;=2010),"10"),"1908-1970")</f>
        <v>90</v>
      </c>
      <c r="F3797" s="3">
        <v>0.65277777777777779</v>
      </c>
      <c r="G3797" t="s">
        <v>22133</v>
      </c>
      <c r="H3797" t="s">
        <v>22134</v>
      </c>
      <c r="I3797" t="s">
        <v>28931</v>
      </c>
      <c r="J3797" t="s">
        <v>28931</v>
      </c>
      <c r="K3797" t="s">
        <v>22135</v>
      </c>
      <c r="L3797" s="7" t="s">
        <v>22136</v>
      </c>
      <c r="M3797">
        <v>2923</v>
      </c>
      <c r="N3797">
        <v>4</v>
      </c>
      <c r="O3797">
        <v>3</v>
      </c>
      <c r="P3797">
        <v>1</v>
      </c>
      <c r="Q3797">
        <v>4</v>
      </c>
      <c r="R3797">
        <v>3</v>
      </c>
      <c r="S3797">
        <v>1</v>
      </c>
      <c r="T3797">
        <v>0</v>
      </c>
      <c r="U3797" t="s">
        <v>22137</v>
      </c>
      <c r="V3797">
        <f>Tabla1[[#This Row],[Aboard]]-Tabla1[[#This Row],[Fatalities]]</f>
        <v>0</v>
      </c>
      <c r="W3797" s="50">
        <f>IFERROR(Tabla1[[#This Row],[Fatalities]]/Tabla1[[#This Row],[Aboard]],0)</f>
        <v>1</v>
      </c>
      <c r="X3797" s="51" t="str" cm="1">
        <f t="array" ref="X3797">_xlfn.IFS(Tabla1[[#This Row],[Porcentaje de muertes]]&lt;0.35,"LEVE",AND(Tabla1[[#This Row],[Porcentaje de muertes]]&gt;0.35,Tabla1[[#This Row],[Porcentaje de muertes]]&lt;0.65),"MEDIO",Tabla1[[#This Row],[Porcentaje de muertes]]&gt;0.65,"GRAVE")</f>
        <v>GRAVE</v>
      </c>
    </row>
    <row r="3798" spans="2:24" x14ac:dyDescent="0.3">
      <c r="B3798" s="9">
        <v>3797</v>
      </c>
      <c r="C3798" s="49">
        <v>34121</v>
      </c>
      <c r="D3798" s="9">
        <f>YEAR(Tabla1[[#This Row],[Date]])</f>
        <v>1993</v>
      </c>
      <c r="E3798" s="9" t="str" cm="1">
        <f t="array" ref="E3798">IFERROR(_xlfn.IFS(AND(D3798&lt;1980,D3798&gt;=1970),"70",AND(D3798&lt;1990,D3798&gt;=1980),"80",AND(D3798&lt;2000,D3798&gt;=1990),"90",AND(D3798&lt;2010,D3798&gt;=2000),"00",AND(D3798&lt;=2019,D3798&gt;=2010),"10"),"1908-1970")</f>
        <v>90</v>
      </c>
      <c r="F3798" s="3">
        <v>0.80555555555555547</v>
      </c>
      <c r="G3798" t="s">
        <v>5211</v>
      </c>
      <c r="H3798" t="s">
        <v>22138</v>
      </c>
      <c r="I3798">
        <v>5634</v>
      </c>
      <c r="J3798" t="s">
        <v>22139</v>
      </c>
      <c r="K3798" t="s">
        <v>22140</v>
      </c>
      <c r="L3798" s="7" t="s">
        <v>22141</v>
      </c>
      <c r="M3798">
        <v>210</v>
      </c>
      <c r="N3798">
        <v>23</v>
      </c>
      <c r="O3798">
        <v>19</v>
      </c>
      <c r="P3798">
        <v>4</v>
      </c>
      <c r="Q3798">
        <v>4</v>
      </c>
      <c r="R3798">
        <v>4</v>
      </c>
      <c r="S3798">
        <v>0</v>
      </c>
      <c r="T3798">
        <v>0</v>
      </c>
      <c r="U3798" t="s">
        <v>22142</v>
      </c>
      <c r="V3798">
        <f>Tabla1[[#This Row],[Aboard]]-Tabla1[[#This Row],[Fatalities]]</f>
        <v>19</v>
      </c>
      <c r="W3798" s="50">
        <f>IFERROR(Tabla1[[#This Row],[Fatalities]]/Tabla1[[#This Row],[Aboard]],0)</f>
        <v>0.17391304347826086</v>
      </c>
      <c r="X3798" s="51" t="str" cm="1">
        <f t="array" ref="X3798">_xlfn.IFS(Tabla1[[#This Row],[Porcentaje de muertes]]&lt;0.35,"LEVE",AND(Tabla1[[#This Row],[Porcentaje de muertes]]&gt;0.35,Tabla1[[#This Row],[Porcentaje de muertes]]&lt;0.65),"MEDIO",Tabla1[[#This Row],[Porcentaje de muertes]]&gt;0.65,"GRAVE")</f>
        <v>LEVE</v>
      </c>
    </row>
    <row r="3799" spans="2:24" x14ac:dyDescent="0.3">
      <c r="B3799" s="9">
        <v>3798</v>
      </c>
      <c r="C3799" s="49">
        <v>34213</v>
      </c>
      <c r="D3799" s="9">
        <f>YEAR(Tabla1[[#This Row],[Date]])</f>
        <v>1993</v>
      </c>
      <c r="E3799" s="9" t="str" cm="1">
        <f t="array" ref="E3799">IFERROR(_xlfn.IFS(AND(D3799&lt;1980,D3799&gt;=1970),"70",AND(D3799&lt;1990,D3799&gt;=1980),"80",AND(D3799&lt;2000,D3799&gt;=1990),"90",AND(D3799&lt;2010,D3799&gt;=2000),"00",AND(D3799&lt;=2019,D3799&gt;=2010),"10"),"1908-1970")</f>
        <v>90</v>
      </c>
      <c r="F3799" s="3" t="s">
        <v>28931</v>
      </c>
      <c r="G3799" t="s">
        <v>10224</v>
      </c>
      <c r="H3799" t="s">
        <v>18734</v>
      </c>
      <c r="I3799" t="s">
        <v>28931</v>
      </c>
      <c r="J3799" t="s">
        <v>28931</v>
      </c>
      <c r="K3799" t="s">
        <v>22143</v>
      </c>
      <c r="L3799" s="7" t="s">
        <v>22144</v>
      </c>
      <c r="M3799">
        <v>1620</v>
      </c>
      <c r="N3799">
        <v>44</v>
      </c>
      <c r="O3799">
        <v>39</v>
      </c>
      <c r="P3799">
        <v>5</v>
      </c>
      <c r="Q3799">
        <v>17</v>
      </c>
      <c r="R3799">
        <v>13</v>
      </c>
      <c r="S3799">
        <v>4</v>
      </c>
      <c r="T3799">
        <v>0</v>
      </c>
      <c r="U3799" t="s">
        <v>22145</v>
      </c>
      <c r="V3799">
        <f>Tabla1[[#This Row],[Aboard]]-Tabla1[[#This Row],[Fatalities]]</f>
        <v>27</v>
      </c>
      <c r="W3799" s="50">
        <f>IFERROR(Tabla1[[#This Row],[Fatalities]]/Tabla1[[#This Row],[Aboard]],0)</f>
        <v>0.38636363636363635</v>
      </c>
      <c r="X3799" s="51" t="str" cm="1">
        <f t="array" ref="X3799">_xlfn.IFS(Tabla1[[#This Row],[Porcentaje de muertes]]&lt;0.35,"LEVE",AND(Tabla1[[#This Row],[Porcentaje de muertes]]&gt;0.35,Tabla1[[#This Row],[Porcentaje de muertes]]&lt;0.65),"MEDIO",Tabla1[[#This Row],[Porcentaje de muertes]]&gt;0.65,"GRAVE")</f>
        <v>MEDIO</v>
      </c>
    </row>
    <row r="3800" spans="2:24" x14ac:dyDescent="0.3">
      <c r="B3800" s="9">
        <v>3799</v>
      </c>
      <c r="C3800" s="49">
        <v>33982</v>
      </c>
      <c r="D3800" s="9">
        <f>YEAR(Tabla1[[#This Row],[Date]])</f>
        <v>1993</v>
      </c>
      <c r="E3800" s="9" t="str" cm="1">
        <f t="array" ref="E3800">IFERROR(_xlfn.IFS(AND(D3800&lt;1980,D3800&gt;=1970),"70",AND(D3800&lt;1990,D3800&gt;=1980),"80",AND(D3800&lt;2000,D3800&gt;=1990),"90",AND(D3800&lt;2010,D3800&gt;=2000),"00",AND(D3800&lt;=2019,D3800&gt;=2010),"10"),"1908-1970")</f>
        <v>90</v>
      </c>
      <c r="F3800" s="3" t="s">
        <v>28931</v>
      </c>
      <c r="G3800" t="s">
        <v>22146</v>
      </c>
      <c r="H3800" t="s">
        <v>22147</v>
      </c>
      <c r="I3800" t="s">
        <v>28931</v>
      </c>
      <c r="J3800" t="s">
        <v>22148</v>
      </c>
      <c r="K3800" t="s">
        <v>18953</v>
      </c>
      <c r="L3800" s="7" t="s">
        <v>22149</v>
      </c>
      <c r="M3800">
        <v>110391</v>
      </c>
      <c r="N3800">
        <v>2</v>
      </c>
      <c r="O3800">
        <v>0</v>
      </c>
      <c r="P3800">
        <v>2</v>
      </c>
      <c r="Q3800">
        <v>2</v>
      </c>
      <c r="R3800">
        <v>0</v>
      </c>
      <c r="S3800">
        <v>2</v>
      </c>
      <c r="T3800">
        <v>0</v>
      </c>
      <c r="U3800" t="s">
        <v>22150</v>
      </c>
      <c r="V3800">
        <f>Tabla1[[#This Row],[Aboard]]-Tabla1[[#This Row],[Fatalities]]</f>
        <v>0</v>
      </c>
      <c r="W3800" s="50">
        <f>IFERROR(Tabla1[[#This Row],[Fatalities]]/Tabla1[[#This Row],[Aboard]],0)</f>
        <v>1</v>
      </c>
      <c r="X3800" s="51" t="str" cm="1">
        <f t="array" ref="X3800">_xlfn.IFS(Tabla1[[#This Row],[Porcentaje de muertes]]&lt;0.35,"LEVE",AND(Tabla1[[#This Row],[Porcentaje de muertes]]&gt;0.35,Tabla1[[#This Row],[Porcentaje de muertes]]&lt;0.65),"MEDIO",Tabla1[[#This Row],[Porcentaje de muertes]]&gt;0.65,"GRAVE")</f>
        <v>GRAVE</v>
      </c>
    </row>
    <row r="3801" spans="2:24" x14ac:dyDescent="0.3">
      <c r="B3801" s="9">
        <v>3800</v>
      </c>
      <c r="C3801" s="49">
        <v>33983</v>
      </c>
      <c r="D3801" s="9">
        <f>YEAR(Tabla1[[#This Row],[Date]])</f>
        <v>1993</v>
      </c>
      <c r="E3801" s="9" t="str" cm="1">
        <f t="array" ref="E3801">IFERROR(_xlfn.IFS(AND(D3801&lt;1980,D3801&gt;=1970),"70",AND(D3801&lt;1990,D3801&gt;=1980),"80",AND(D3801&lt;2000,D3801&gt;=1990),"90",AND(D3801&lt;2010,D3801&gt;=2000),"00",AND(D3801&lt;=2019,D3801&gt;=2010),"10"),"1908-1970")</f>
        <v>90</v>
      </c>
      <c r="F3801" s="3">
        <v>0.35416666666666669</v>
      </c>
      <c r="G3801" t="s">
        <v>22151</v>
      </c>
      <c r="H3801" t="s">
        <v>19440</v>
      </c>
      <c r="I3801" t="s">
        <v>28931</v>
      </c>
      <c r="J3801" t="s">
        <v>22152</v>
      </c>
      <c r="K3801" t="s">
        <v>8105</v>
      </c>
      <c r="L3801" s="7" t="s">
        <v>22153</v>
      </c>
      <c r="M3801">
        <v>9862</v>
      </c>
      <c r="N3801">
        <v>2</v>
      </c>
      <c r="O3801">
        <v>0</v>
      </c>
      <c r="P3801">
        <v>2</v>
      </c>
      <c r="Q3801">
        <v>2</v>
      </c>
      <c r="R3801">
        <v>0</v>
      </c>
      <c r="S3801">
        <v>2</v>
      </c>
      <c r="T3801">
        <v>0</v>
      </c>
      <c r="U3801" t="s">
        <v>22154</v>
      </c>
      <c r="V3801">
        <f>Tabla1[[#This Row],[Aboard]]-Tabla1[[#This Row],[Fatalities]]</f>
        <v>0</v>
      </c>
      <c r="W3801" s="50">
        <f>IFERROR(Tabla1[[#This Row],[Fatalities]]/Tabla1[[#This Row],[Aboard]],0)</f>
        <v>1</v>
      </c>
      <c r="X3801" s="51" t="str" cm="1">
        <f t="array" ref="X3801">_xlfn.IFS(Tabla1[[#This Row],[Porcentaje de muertes]]&lt;0.35,"LEVE",AND(Tabla1[[#This Row],[Porcentaje de muertes]]&gt;0.35,Tabla1[[#This Row],[Porcentaje de muertes]]&lt;0.65),"MEDIO",Tabla1[[#This Row],[Porcentaje de muertes]]&gt;0.65,"GRAVE")</f>
        <v>GRAVE</v>
      </c>
    </row>
    <row r="3802" spans="2:24" x14ac:dyDescent="0.3">
      <c r="B3802" s="9">
        <v>3801</v>
      </c>
      <c r="C3802" s="49">
        <v>33996</v>
      </c>
      <c r="D3802" s="9">
        <f>YEAR(Tabla1[[#This Row],[Date]])</f>
        <v>1993</v>
      </c>
      <c r="E3802" s="9" t="str" cm="1">
        <f t="array" ref="E3802">IFERROR(_xlfn.IFS(AND(D3802&lt;1980,D3802&gt;=1970),"70",AND(D3802&lt;1990,D3802&gt;=1980),"80",AND(D3802&lt;2000,D3802&gt;=1990),"90",AND(D3802&lt;2010,D3802&gt;=2000),"00",AND(D3802&lt;=2019,D3802&gt;=2010),"10"),"1908-1970")</f>
        <v>90</v>
      </c>
      <c r="F3802" s="3" t="s">
        <v>28931</v>
      </c>
      <c r="G3802" t="s">
        <v>22155</v>
      </c>
      <c r="H3802" t="s">
        <v>22156</v>
      </c>
      <c r="I3802" t="s">
        <v>28931</v>
      </c>
      <c r="J3802" t="s">
        <v>28931</v>
      </c>
      <c r="K3802" t="s">
        <v>18312</v>
      </c>
      <c r="L3802" s="7" t="s">
        <v>22157</v>
      </c>
      <c r="M3802">
        <v>11</v>
      </c>
      <c r="N3802">
        <v>21</v>
      </c>
      <c r="O3802">
        <v>18</v>
      </c>
      <c r="P3802">
        <v>3</v>
      </c>
      <c r="Q3802">
        <v>3</v>
      </c>
      <c r="R3802">
        <v>3</v>
      </c>
      <c r="S3802">
        <v>0</v>
      </c>
      <c r="T3802">
        <v>0</v>
      </c>
      <c r="U3802" t="s">
        <v>22158</v>
      </c>
      <c r="V3802">
        <f>Tabla1[[#This Row],[Aboard]]-Tabla1[[#This Row],[Fatalities]]</f>
        <v>18</v>
      </c>
      <c r="W3802" s="50">
        <f>IFERROR(Tabla1[[#This Row],[Fatalities]]/Tabla1[[#This Row],[Aboard]],0)</f>
        <v>0.14285714285714285</v>
      </c>
      <c r="X3802" s="51" t="str" cm="1">
        <f t="array" ref="X3802">_xlfn.IFS(Tabla1[[#This Row],[Porcentaje de muertes]]&lt;0.35,"LEVE",AND(Tabla1[[#This Row],[Porcentaje de muertes]]&gt;0.35,Tabla1[[#This Row],[Porcentaje de muertes]]&lt;0.65),"MEDIO",Tabla1[[#This Row],[Porcentaje de muertes]]&gt;0.65,"GRAVE")</f>
        <v>LEVE</v>
      </c>
    </row>
    <row r="3803" spans="2:24" x14ac:dyDescent="0.3">
      <c r="B3803" s="9">
        <v>3802</v>
      </c>
      <c r="C3803" s="49">
        <v>34000</v>
      </c>
      <c r="D3803" s="9">
        <f>YEAR(Tabla1[[#This Row],[Date]])</f>
        <v>1993</v>
      </c>
      <c r="E3803" s="9" t="str" cm="1">
        <f t="array" ref="E3803">IFERROR(_xlfn.IFS(AND(D3803&lt;1980,D3803&gt;=1970),"70",AND(D3803&lt;1990,D3803&gt;=1980),"80",AND(D3803&lt;2000,D3803&gt;=1990),"90",AND(D3803&lt;2010,D3803&gt;=2000),"00",AND(D3803&lt;=2019,D3803&gt;=2010),"10"),"1908-1970")</f>
        <v>90</v>
      </c>
      <c r="F3803" s="3" t="s">
        <v>28931</v>
      </c>
      <c r="G3803" t="s">
        <v>22159</v>
      </c>
      <c r="H3803" t="s">
        <v>22160</v>
      </c>
      <c r="I3803" t="s">
        <v>28931</v>
      </c>
      <c r="J3803" t="s">
        <v>22161</v>
      </c>
      <c r="K3803" t="s">
        <v>20425</v>
      </c>
      <c r="L3803" s="7" t="s">
        <v>22162</v>
      </c>
      <c r="M3803" t="s">
        <v>22163</v>
      </c>
      <c r="N3803">
        <v>16</v>
      </c>
      <c r="O3803">
        <v>11</v>
      </c>
      <c r="P3803">
        <v>5</v>
      </c>
      <c r="Q3803">
        <v>16</v>
      </c>
      <c r="R3803">
        <v>11</v>
      </c>
      <c r="S3803">
        <v>5</v>
      </c>
      <c r="T3803">
        <v>0</v>
      </c>
      <c r="U3803" t="s">
        <v>22164</v>
      </c>
      <c r="V3803">
        <f>Tabla1[[#This Row],[Aboard]]-Tabla1[[#This Row],[Fatalities]]</f>
        <v>0</v>
      </c>
      <c r="W3803" s="50">
        <f>IFERROR(Tabla1[[#This Row],[Fatalities]]/Tabla1[[#This Row],[Aboard]],0)</f>
        <v>1</v>
      </c>
      <c r="X3803" s="51" t="str" cm="1">
        <f t="array" ref="X3803">_xlfn.IFS(Tabla1[[#This Row],[Porcentaje de muertes]]&lt;0.35,"LEVE",AND(Tabla1[[#This Row],[Porcentaje de muertes]]&gt;0.35,Tabla1[[#This Row],[Porcentaje de muertes]]&lt;0.65),"MEDIO",Tabla1[[#This Row],[Porcentaje de muertes]]&gt;0.65,"GRAVE")</f>
        <v>GRAVE</v>
      </c>
    </row>
    <row r="3804" spans="2:24" x14ac:dyDescent="0.3">
      <c r="B3804" s="9">
        <v>3803</v>
      </c>
      <c r="C3804" s="49">
        <v>34183</v>
      </c>
      <c r="D3804" s="9">
        <f>YEAR(Tabla1[[#This Row],[Date]])</f>
        <v>1993</v>
      </c>
      <c r="E3804" s="9" t="str" cm="1">
        <f t="array" ref="E3804">IFERROR(_xlfn.IFS(AND(D3804&lt;1980,D3804&gt;=1970),"70",AND(D3804&lt;1990,D3804&gt;=1980),"80",AND(D3804&lt;2000,D3804&gt;=1990),"90",AND(D3804&lt;2010,D3804&gt;=2000),"00",AND(D3804&lt;=2019,D3804&gt;=2010),"10"),"1908-1970")</f>
        <v>90</v>
      </c>
      <c r="F3804" s="3">
        <v>0.59375</v>
      </c>
      <c r="G3804" t="s">
        <v>17641</v>
      </c>
      <c r="H3804" t="s">
        <v>22165</v>
      </c>
      <c r="I3804" t="s">
        <v>28931</v>
      </c>
      <c r="J3804" t="s">
        <v>22166</v>
      </c>
      <c r="K3804" t="s">
        <v>22167</v>
      </c>
      <c r="L3804" s="7" t="s">
        <v>22168</v>
      </c>
      <c r="M3804">
        <v>903</v>
      </c>
      <c r="N3804">
        <v>133</v>
      </c>
      <c r="O3804">
        <v>119</v>
      </c>
      <c r="P3804">
        <v>14</v>
      </c>
      <c r="Q3804">
        <v>133</v>
      </c>
      <c r="R3804">
        <v>119</v>
      </c>
      <c r="S3804">
        <v>14</v>
      </c>
      <c r="T3804">
        <v>0</v>
      </c>
      <c r="U3804" t="s">
        <v>22169</v>
      </c>
      <c r="V3804">
        <f>Tabla1[[#This Row],[Aboard]]-Tabla1[[#This Row],[Fatalities]]</f>
        <v>0</v>
      </c>
      <c r="W3804" s="50">
        <f>IFERROR(Tabla1[[#This Row],[Fatalities]]/Tabla1[[#This Row],[Aboard]],0)</f>
        <v>1</v>
      </c>
      <c r="X3804" s="51" t="str" cm="1">
        <f t="array" ref="X3804">_xlfn.IFS(Tabla1[[#This Row],[Porcentaje de muertes]]&lt;0.35,"LEVE",AND(Tabla1[[#This Row],[Porcentaje de muertes]]&gt;0.35,Tabla1[[#This Row],[Porcentaje de muertes]]&lt;0.65),"MEDIO",Tabla1[[#This Row],[Porcentaje de muertes]]&gt;0.65,"GRAVE")</f>
        <v>GRAVE</v>
      </c>
    </row>
    <row r="3805" spans="2:24" x14ac:dyDescent="0.3">
      <c r="B3805" s="9">
        <v>3804</v>
      </c>
      <c r="C3805" s="49">
        <v>34244</v>
      </c>
      <c r="D3805" s="9">
        <f>YEAR(Tabla1[[#This Row],[Date]])</f>
        <v>1993</v>
      </c>
      <c r="E3805" s="9" t="str" cm="1">
        <f t="array" ref="E3805">IFERROR(_xlfn.IFS(AND(D3805&lt;1980,D3805&gt;=1970),"70",AND(D3805&lt;1990,D3805&gt;=1980),"80",AND(D3805&lt;2000,D3805&gt;=1990),"90",AND(D3805&lt;2010,D3805&gt;=2000),"00",AND(D3805&lt;=2019,D3805&gt;=2010),"10"),"1908-1970")</f>
        <v>90</v>
      </c>
      <c r="F3805" s="3" t="s">
        <v>28931</v>
      </c>
      <c r="G3805" t="s">
        <v>22170</v>
      </c>
      <c r="H3805" t="s">
        <v>20220</v>
      </c>
      <c r="I3805" t="s">
        <v>28931</v>
      </c>
      <c r="J3805" t="s">
        <v>22171</v>
      </c>
      <c r="K3805" t="s">
        <v>22172</v>
      </c>
      <c r="L3805" s="7" t="s">
        <v>28931</v>
      </c>
      <c r="M3805" t="s">
        <v>28931</v>
      </c>
      <c r="N3805">
        <v>30</v>
      </c>
      <c r="O3805" t="s">
        <v>5038</v>
      </c>
      <c r="P3805" t="s">
        <v>5038</v>
      </c>
      <c r="Q3805">
        <v>30</v>
      </c>
      <c r="R3805" t="s">
        <v>5038</v>
      </c>
      <c r="S3805" t="s">
        <v>5038</v>
      </c>
      <c r="T3805">
        <v>0</v>
      </c>
      <c r="U3805" t="s">
        <v>22173</v>
      </c>
      <c r="V3805">
        <f>Tabla1[[#This Row],[Aboard]]-Tabla1[[#This Row],[Fatalities]]</f>
        <v>0</v>
      </c>
      <c r="W3805" s="50">
        <f>IFERROR(Tabla1[[#This Row],[Fatalities]]/Tabla1[[#This Row],[Aboard]],0)</f>
        <v>1</v>
      </c>
      <c r="X3805" s="51" t="str" cm="1">
        <f t="array" ref="X3805">_xlfn.IFS(Tabla1[[#This Row],[Porcentaje de muertes]]&lt;0.35,"LEVE",AND(Tabla1[[#This Row],[Porcentaje de muertes]]&gt;0.35,Tabla1[[#This Row],[Porcentaje de muertes]]&lt;0.65),"MEDIO",Tabla1[[#This Row],[Porcentaje de muertes]]&gt;0.65,"GRAVE")</f>
        <v>GRAVE</v>
      </c>
    </row>
    <row r="3806" spans="2:24" x14ac:dyDescent="0.3">
      <c r="B3806" s="9">
        <v>3805</v>
      </c>
      <c r="C3806" s="49">
        <v>34020</v>
      </c>
      <c r="D3806" s="9">
        <f>YEAR(Tabla1[[#This Row],[Date]])</f>
        <v>1993</v>
      </c>
      <c r="E3806" s="9" t="str" cm="1">
        <f t="array" ref="E3806">IFERROR(_xlfn.IFS(AND(D3806&lt;1980,D3806&gt;=1970),"70",AND(D3806&lt;1990,D3806&gt;=1980),"80",AND(D3806&lt;2000,D3806&gt;=1990),"90",AND(D3806&lt;2010,D3806&gt;=2000),"00",AND(D3806&lt;=2019,D3806&gt;=2010),"10"),"1908-1970")</f>
        <v>90</v>
      </c>
      <c r="F3806" s="3" t="s">
        <v>28931</v>
      </c>
      <c r="G3806" t="s">
        <v>10364</v>
      </c>
      <c r="H3806" t="s">
        <v>22174</v>
      </c>
      <c r="I3806" t="s">
        <v>28931</v>
      </c>
      <c r="J3806" t="s">
        <v>22175</v>
      </c>
      <c r="K3806" t="s">
        <v>14237</v>
      </c>
      <c r="L3806" s="7" t="s">
        <v>22176</v>
      </c>
      <c r="M3806">
        <v>413</v>
      </c>
      <c r="N3806">
        <v>2</v>
      </c>
      <c r="O3806">
        <v>0</v>
      </c>
      <c r="P3806">
        <v>2</v>
      </c>
      <c r="Q3806">
        <v>2</v>
      </c>
      <c r="R3806">
        <v>0</v>
      </c>
      <c r="S3806">
        <v>2</v>
      </c>
      <c r="T3806">
        <v>0</v>
      </c>
      <c r="U3806" t="s">
        <v>22177</v>
      </c>
      <c r="V3806">
        <f>Tabla1[[#This Row],[Aboard]]-Tabla1[[#This Row],[Fatalities]]</f>
        <v>0</v>
      </c>
      <c r="W3806" s="50">
        <f>IFERROR(Tabla1[[#This Row],[Fatalities]]/Tabla1[[#This Row],[Aboard]],0)</f>
        <v>1</v>
      </c>
      <c r="X3806" s="51" t="str" cm="1">
        <f t="array" ref="X3806">_xlfn.IFS(Tabla1[[#This Row],[Porcentaje de muertes]]&lt;0.35,"LEVE",AND(Tabla1[[#This Row],[Porcentaje de muertes]]&gt;0.35,Tabla1[[#This Row],[Porcentaje de muertes]]&lt;0.65),"MEDIO",Tabla1[[#This Row],[Porcentaje de muertes]]&gt;0.65,"GRAVE")</f>
        <v>GRAVE</v>
      </c>
    </row>
    <row r="3807" spans="2:24" x14ac:dyDescent="0.3">
      <c r="B3807" s="9">
        <v>3806</v>
      </c>
      <c r="C3807" s="49">
        <v>34028</v>
      </c>
      <c r="D3807" s="9">
        <f>YEAR(Tabla1[[#This Row],[Date]])</f>
        <v>1993</v>
      </c>
      <c r="E3807" s="9" t="str" cm="1">
        <f t="array" ref="E3807">IFERROR(_xlfn.IFS(AND(D3807&lt;1980,D3807&gt;=1970),"70",AND(D3807&lt;1990,D3807&gt;=1980),"80",AND(D3807&lt;2000,D3807&gt;=1990),"90",AND(D3807&lt;2010,D3807&gt;=2000),"00",AND(D3807&lt;=2019,D3807&gt;=2010),"10"),"1908-1970")</f>
        <v>90</v>
      </c>
      <c r="F3807" s="3" t="s">
        <v>28931</v>
      </c>
      <c r="G3807" t="s">
        <v>22178</v>
      </c>
      <c r="H3807" t="s">
        <v>20910</v>
      </c>
      <c r="I3807" t="s">
        <v>28931</v>
      </c>
      <c r="J3807" t="s">
        <v>22179</v>
      </c>
      <c r="K3807" t="s">
        <v>22180</v>
      </c>
      <c r="L3807" s="7" t="s">
        <v>22181</v>
      </c>
      <c r="M3807">
        <v>111</v>
      </c>
      <c r="N3807">
        <v>6</v>
      </c>
      <c r="O3807">
        <v>4</v>
      </c>
      <c r="P3807">
        <v>2</v>
      </c>
      <c r="Q3807">
        <v>6</v>
      </c>
      <c r="R3807">
        <v>4</v>
      </c>
      <c r="S3807">
        <v>2</v>
      </c>
      <c r="T3807">
        <v>0</v>
      </c>
      <c r="U3807" t="s">
        <v>22182</v>
      </c>
      <c r="V3807">
        <f>Tabla1[[#This Row],[Aboard]]-Tabla1[[#This Row],[Fatalities]]</f>
        <v>0</v>
      </c>
      <c r="W3807" s="50">
        <f>IFERROR(Tabla1[[#This Row],[Fatalities]]/Tabla1[[#This Row],[Aboard]],0)</f>
        <v>1</v>
      </c>
      <c r="X3807" s="51" t="str" cm="1">
        <f t="array" ref="X3807">_xlfn.IFS(Tabla1[[#This Row],[Porcentaje de muertes]]&lt;0.35,"LEVE",AND(Tabla1[[#This Row],[Porcentaje de muertes]]&gt;0.35,Tabla1[[#This Row],[Porcentaje de muertes]]&lt;0.65),"MEDIO",Tabla1[[#This Row],[Porcentaje de muertes]]&gt;0.65,"GRAVE")</f>
        <v>GRAVE</v>
      </c>
    </row>
    <row r="3808" spans="2:24" x14ac:dyDescent="0.3">
      <c r="B3808" s="9">
        <v>3807</v>
      </c>
      <c r="C3808" s="49">
        <v>34092</v>
      </c>
      <c r="D3808" s="9">
        <f>YEAR(Tabla1[[#This Row],[Date]])</f>
        <v>1993</v>
      </c>
      <c r="E3808" s="9" t="str" cm="1">
        <f t="array" ref="E3808">IFERROR(_xlfn.IFS(AND(D3808&lt;1980,D3808&gt;=1970),"70",AND(D3808&lt;1990,D3808&gt;=1980),"80",AND(D3808&lt;2000,D3808&gt;=1990),"90",AND(D3808&lt;2010,D3808&gt;=2000),"00",AND(D3808&lt;=2019,D3808&gt;=2010),"10"),"1908-1970")</f>
        <v>90</v>
      </c>
      <c r="F3808" s="3">
        <v>0.46666666666666662</v>
      </c>
      <c r="G3808" t="s">
        <v>22183</v>
      </c>
      <c r="H3808" t="s">
        <v>22184</v>
      </c>
      <c r="I3808">
        <v>301</v>
      </c>
      <c r="J3808" t="s">
        <v>22185</v>
      </c>
      <c r="K3808" t="s">
        <v>22186</v>
      </c>
      <c r="L3808" s="7" t="s">
        <v>22187</v>
      </c>
      <c r="M3808">
        <v>11393</v>
      </c>
      <c r="N3808">
        <v>97</v>
      </c>
      <c r="O3808">
        <v>92</v>
      </c>
      <c r="P3808">
        <v>5</v>
      </c>
      <c r="Q3808">
        <v>83</v>
      </c>
      <c r="R3808">
        <v>79</v>
      </c>
      <c r="S3808">
        <v>4</v>
      </c>
      <c r="T3808">
        <v>0</v>
      </c>
      <c r="U3808" t="s">
        <v>22188</v>
      </c>
      <c r="V3808">
        <f>Tabla1[[#This Row],[Aboard]]-Tabla1[[#This Row],[Fatalities]]</f>
        <v>14</v>
      </c>
      <c r="W3808" s="50">
        <f>IFERROR(Tabla1[[#This Row],[Fatalities]]/Tabla1[[#This Row],[Aboard]],0)</f>
        <v>0.85567010309278346</v>
      </c>
      <c r="X3808" s="51" t="str" cm="1">
        <f t="array" ref="X3808">_xlfn.IFS(Tabla1[[#This Row],[Porcentaje de muertes]]&lt;0.35,"LEVE",AND(Tabla1[[#This Row],[Porcentaje de muertes]]&gt;0.35,Tabla1[[#This Row],[Porcentaje de muertes]]&lt;0.65),"MEDIO",Tabla1[[#This Row],[Porcentaje de muertes]]&gt;0.65,"GRAVE")</f>
        <v>GRAVE</v>
      </c>
    </row>
    <row r="3809" spans="2:24" x14ac:dyDescent="0.3">
      <c r="B3809" s="9">
        <v>3808</v>
      </c>
      <c r="C3809" s="49">
        <v>34051</v>
      </c>
      <c r="D3809" s="9">
        <f>YEAR(Tabla1[[#This Row],[Date]])</f>
        <v>1993</v>
      </c>
      <c r="E3809" s="9" t="str" cm="1">
        <f t="array" ref="E3809">IFERROR(_xlfn.IFS(AND(D3809&lt;1980,D3809&gt;=1970),"70",AND(D3809&lt;1990,D3809&gt;=1980),"80",AND(D3809&lt;2000,D3809&gt;=1990),"90",AND(D3809&lt;2010,D3809&gt;=2000),"00",AND(D3809&lt;=2019,D3809&gt;=2010),"10"),"1908-1970")</f>
        <v>90</v>
      </c>
      <c r="F3809" s="3">
        <v>0.56597222222222221</v>
      </c>
      <c r="G3809" t="s">
        <v>22189</v>
      </c>
      <c r="H3809" t="s">
        <v>22190</v>
      </c>
      <c r="I3809" t="s">
        <v>28931</v>
      </c>
      <c r="J3809" t="s">
        <v>22191</v>
      </c>
      <c r="K3809" t="s">
        <v>22192</v>
      </c>
      <c r="L3809" s="7" t="s">
        <v>22193</v>
      </c>
      <c r="M3809" t="s">
        <v>22194</v>
      </c>
      <c r="N3809">
        <v>6</v>
      </c>
      <c r="O3809">
        <v>4</v>
      </c>
      <c r="P3809">
        <v>2</v>
      </c>
      <c r="Q3809">
        <v>6</v>
      </c>
      <c r="R3809">
        <v>4</v>
      </c>
      <c r="S3809">
        <v>2</v>
      </c>
      <c r="T3809">
        <v>0</v>
      </c>
      <c r="U3809" t="s">
        <v>22195</v>
      </c>
      <c r="V3809">
        <f>Tabla1[[#This Row],[Aboard]]-Tabla1[[#This Row],[Fatalities]]</f>
        <v>0</v>
      </c>
      <c r="W3809" s="50">
        <f>IFERROR(Tabla1[[#This Row],[Fatalities]]/Tabla1[[#This Row],[Aboard]],0)</f>
        <v>1</v>
      </c>
      <c r="X3809" s="51" t="str" cm="1">
        <f t="array" ref="X3809">_xlfn.IFS(Tabla1[[#This Row],[Porcentaje de muertes]]&lt;0.35,"LEVE",AND(Tabla1[[#This Row],[Porcentaje de muertes]]&gt;0.35,Tabla1[[#This Row],[Porcentaje de muertes]]&lt;0.65),"MEDIO",Tabla1[[#This Row],[Porcentaje de muertes]]&gt;0.65,"GRAVE")</f>
        <v>GRAVE</v>
      </c>
    </row>
    <row r="3810" spans="2:24" x14ac:dyDescent="0.3">
      <c r="B3810" s="9">
        <v>3809</v>
      </c>
      <c r="C3810" s="49">
        <v>34059</v>
      </c>
      <c r="D3810" s="9">
        <f>YEAR(Tabla1[[#This Row],[Date]])</f>
        <v>1993</v>
      </c>
      <c r="E3810" s="9" t="str" cm="1">
        <f t="array" ref="E3810">IFERROR(_xlfn.IFS(AND(D3810&lt;1980,D3810&gt;=1970),"70",AND(D3810&lt;1990,D3810&gt;=1980),"80",AND(D3810&lt;2000,D3810&gt;=1990),"90",AND(D3810&lt;2010,D3810&gt;=2000),"00",AND(D3810&lt;=2019,D3810&gt;=2010),"10"),"1908-1970")</f>
        <v>90</v>
      </c>
      <c r="F3810" s="3">
        <v>0.51736111111111105</v>
      </c>
      <c r="G3810" t="s">
        <v>16022</v>
      </c>
      <c r="H3810" t="s">
        <v>10695</v>
      </c>
      <c r="I3810" t="s">
        <v>22196</v>
      </c>
      <c r="J3810" t="s">
        <v>28931</v>
      </c>
      <c r="K3810" t="s">
        <v>22197</v>
      </c>
      <c r="L3810" s="7" t="s">
        <v>22198</v>
      </c>
      <c r="M3810">
        <v>26348</v>
      </c>
      <c r="N3810">
        <v>5</v>
      </c>
      <c r="O3810">
        <v>2</v>
      </c>
      <c r="P3810">
        <v>3</v>
      </c>
      <c r="Q3810">
        <v>0</v>
      </c>
      <c r="R3810">
        <v>0</v>
      </c>
      <c r="S3810">
        <v>0</v>
      </c>
      <c r="T3810">
        <v>0</v>
      </c>
      <c r="U3810" t="s">
        <v>22199</v>
      </c>
      <c r="V3810">
        <f>Tabla1[[#This Row],[Aboard]]-Tabla1[[#This Row],[Fatalities]]</f>
        <v>5</v>
      </c>
      <c r="W3810" s="50">
        <f>IFERROR(Tabla1[[#This Row],[Fatalities]]/Tabla1[[#This Row],[Aboard]],0)</f>
        <v>0</v>
      </c>
      <c r="X3810" s="51" t="str" cm="1">
        <f t="array" ref="X3810">_xlfn.IFS(Tabla1[[#This Row],[Porcentaje de muertes]]&lt;0.35,"LEVE",AND(Tabla1[[#This Row],[Porcentaje de muertes]]&gt;0.35,Tabla1[[#This Row],[Porcentaje de muertes]]&lt;0.65),"MEDIO",Tabla1[[#This Row],[Porcentaje de muertes]]&gt;0.65,"GRAVE")</f>
        <v>LEVE</v>
      </c>
    </row>
    <row r="3811" spans="2:24" x14ac:dyDescent="0.3">
      <c r="B3811" s="9">
        <v>3810</v>
      </c>
      <c r="C3811" s="49">
        <v>33973</v>
      </c>
      <c r="D3811" s="9">
        <f>YEAR(Tabla1[[#This Row],[Date]])</f>
        <v>1993</v>
      </c>
      <c r="E3811" s="9" t="str" cm="1">
        <f t="array" ref="E3811">IFERROR(_xlfn.IFS(AND(D3811&lt;1980,D3811&gt;=1970),"70",AND(D3811&lt;1990,D3811&gt;=1980),"80",AND(D3811&lt;2000,D3811&gt;=1990),"90",AND(D3811&lt;2010,D3811&gt;=2000),"00",AND(D3811&lt;=2019,D3811&gt;=2010),"10"),"1908-1970")</f>
        <v>90</v>
      </c>
      <c r="F3811" s="3">
        <v>0.89444444444444438</v>
      </c>
      <c r="G3811" t="s">
        <v>22200</v>
      </c>
      <c r="H3811" t="s">
        <v>5032</v>
      </c>
      <c r="I3811" t="s">
        <v>28931</v>
      </c>
      <c r="J3811" t="s">
        <v>22201</v>
      </c>
      <c r="K3811" t="s">
        <v>22202</v>
      </c>
      <c r="L3811" s="7" t="s">
        <v>22203</v>
      </c>
      <c r="M3811" t="s">
        <v>22204</v>
      </c>
      <c r="N3811">
        <v>4</v>
      </c>
      <c r="O3811">
        <v>3</v>
      </c>
      <c r="P3811">
        <v>1</v>
      </c>
      <c r="Q3811">
        <v>4</v>
      </c>
      <c r="R3811">
        <v>3</v>
      </c>
      <c r="S3811">
        <v>1</v>
      </c>
      <c r="T3811">
        <v>0</v>
      </c>
      <c r="U3811" t="s">
        <v>22205</v>
      </c>
      <c r="V3811">
        <f>Tabla1[[#This Row],[Aboard]]-Tabla1[[#This Row],[Fatalities]]</f>
        <v>0</v>
      </c>
      <c r="W3811" s="50">
        <f>IFERROR(Tabla1[[#This Row],[Fatalities]]/Tabla1[[#This Row],[Aboard]],0)</f>
        <v>1</v>
      </c>
      <c r="X3811" s="51" t="str" cm="1">
        <f t="array" ref="X3811">_xlfn.IFS(Tabla1[[#This Row],[Porcentaje de muertes]]&lt;0.35,"LEVE",AND(Tabla1[[#This Row],[Porcentaje de muertes]]&gt;0.35,Tabla1[[#This Row],[Porcentaje de muertes]]&lt;0.65),"MEDIO",Tabla1[[#This Row],[Porcentaje de muertes]]&gt;0.65,"GRAVE")</f>
        <v>GRAVE</v>
      </c>
    </row>
    <row r="3812" spans="2:24" x14ac:dyDescent="0.3">
      <c r="B3812" s="9">
        <v>3811</v>
      </c>
      <c r="C3812" s="49">
        <v>34004</v>
      </c>
      <c r="D3812" s="9">
        <f>YEAR(Tabla1[[#This Row],[Date]])</f>
        <v>1993</v>
      </c>
      <c r="E3812" s="9" t="str" cm="1">
        <f t="array" ref="E3812">IFERROR(_xlfn.IFS(AND(D3812&lt;1980,D3812&gt;=1970),"70",AND(D3812&lt;1990,D3812&gt;=1980),"80",AND(D3812&lt;2000,D3812&gt;=1990),"90",AND(D3812&lt;2010,D3812&gt;=2000),"00",AND(D3812&lt;=2019,D3812&gt;=2010),"10"),"1908-1970")</f>
        <v>90</v>
      </c>
      <c r="F3812" s="3" t="s">
        <v>28931</v>
      </c>
      <c r="G3812" t="s">
        <v>22206</v>
      </c>
      <c r="H3812" t="s">
        <v>9074</v>
      </c>
      <c r="I3812" t="s">
        <v>28931</v>
      </c>
      <c r="J3812" t="s">
        <v>5243</v>
      </c>
      <c r="K3812" t="s">
        <v>16829</v>
      </c>
      <c r="L3812" s="7" t="s">
        <v>22207</v>
      </c>
      <c r="M3812" t="s">
        <v>22208</v>
      </c>
      <c r="N3812">
        <v>11</v>
      </c>
      <c r="O3812">
        <v>8</v>
      </c>
      <c r="P3812">
        <v>3</v>
      </c>
      <c r="Q3812">
        <v>11</v>
      </c>
      <c r="R3812">
        <v>8</v>
      </c>
      <c r="S3812">
        <v>3</v>
      </c>
      <c r="T3812">
        <v>0</v>
      </c>
      <c r="U3812" t="s">
        <v>22209</v>
      </c>
      <c r="V3812">
        <f>Tabla1[[#This Row],[Aboard]]-Tabla1[[#This Row],[Fatalities]]</f>
        <v>0</v>
      </c>
      <c r="W3812" s="50">
        <f>IFERROR(Tabla1[[#This Row],[Fatalities]]/Tabla1[[#This Row],[Aboard]],0)</f>
        <v>1</v>
      </c>
      <c r="X3812" s="51" t="str" cm="1">
        <f t="array" ref="X3812">_xlfn.IFS(Tabla1[[#This Row],[Porcentaje de muertes]]&lt;0.35,"LEVE",AND(Tabla1[[#This Row],[Porcentaje de muertes]]&gt;0.35,Tabla1[[#This Row],[Porcentaje de muertes]]&lt;0.65),"MEDIO",Tabla1[[#This Row],[Porcentaje de muertes]]&gt;0.65,"GRAVE")</f>
        <v>GRAVE</v>
      </c>
    </row>
    <row r="3813" spans="2:24" x14ac:dyDescent="0.3">
      <c r="B3813" s="9">
        <v>3812</v>
      </c>
      <c r="C3813" s="49">
        <v>34124</v>
      </c>
      <c r="D3813" s="9">
        <f>YEAR(Tabla1[[#This Row],[Date]])</f>
        <v>1993</v>
      </c>
      <c r="E3813" s="9" t="str" cm="1">
        <f t="array" ref="E3813">IFERROR(_xlfn.IFS(AND(D3813&lt;1980,D3813&gt;=1970),"70",AND(D3813&lt;1990,D3813&gt;=1980),"80",AND(D3813&lt;2000,D3813&gt;=1990),"90",AND(D3813&lt;2010,D3813&gt;=2000),"00",AND(D3813&lt;=2019,D3813&gt;=2010),"10"),"1908-1970")</f>
        <v>90</v>
      </c>
      <c r="F3813" s="3">
        <v>4.8611111111111112E-2</v>
      </c>
      <c r="G3813" t="s">
        <v>22210</v>
      </c>
      <c r="H3813" t="s">
        <v>20990</v>
      </c>
      <c r="I3813">
        <v>583</v>
      </c>
      <c r="J3813" t="s">
        <v>22211</v>
      </c>
      <c r="K3813" t="s">
        <v>22212</v>
      </c>
      <c r="L3813" s="7" t="s">
        <v>22213</v>
      </c>
      <c r="M3813" t="s">
        <v>22214</v>
      </c>
      <c r="N3813">
        <v>264</v>
      </c>
      <c r="O3813">
        <v>248</v>
      </c>
      <c r="P3813">
        <v>16</v>
      </c>
      <c r="Q3813">
        <v>2</v>
      </c>
      <c r="R3813">
        <v>2</v>
      </c>
      <c r="S3813">
        <v>0</v>
      </c>
      <c r="T3813">
        <v>0</v>
      </c>
      <c r="U3813" t="s">
        <v>22215</v>
      </c>
      <c r="V3813">
        <f>Tabla1[[#This Row],[Aboard]]-Tabla1[[#This Row],[Fatalities]]</f>
        <v>262</v>
      </c>
      <c r="W3813" s="50">
        <f>IFERROR(Tabla1[[#This Row],[Fatalities]]/Tabla1[[#This Row],[Aboard]],0)</f>
        <v>7.575757575757576E-3</v>
      </c>
      <c r="X3813" s="51" t="str" cm="1">
        <f t="array" ref="X3813">_xlfn.IFS(Tabla1[[#This Row],[Porcentaje de muertes]]&lt;0.35,"LEVE",AND(Tabla1[[#This Row],[Porcentaje de muertes]]&gt;0.35,Tabla1[[#This Row],[Porcentaje de muertes]]&lt;0.65),"MEDIO",Tabla1[[#This Row],[Porcentaje de muertes]]&gt;0.65,"GRAVE")</f>
        <v>LEVE</v>
      </c>
    </row>
    <row r="3814" spans="2:24" x14ac:dyDescent="0.3">
      <c r="B3814" s="9">
        <v>3813</v>
      </c>
      <c r="C3814" s="49">
        <v>34078</v>
      </c>
      <c r="D3814" s="9">
        <f>YEAR(Tabla1[[#This Row],[Date]])</f>
        <v>1993</v>
      </c>
      <c r="E3814" s="9" t="str" cm="1">
        <f t="array" ref="E3814">IFERROR(_xlfn.IFS(AND(D3814&lt;1980,D3814&gt;=1970),"70",AND(D3814&lt;1990,D3814&gt;=1980),"80",AND(D3814&lt;2000,D3814&gt;=1990),"90",AND(D3814&lt;2010,D3814&gt;=2000),"00",AND(D3814&lt;=2019,D3814&gt;=2010),"10"),"1908-1970")</f>
        <v>90</v>
      </c>
      <c r="F3814" s="3">
        <v>0.66111111111111109</v>
      </c>
      <c r="G3814" t="s">
        <v>22216</v>
      </c>
      <c r="H3814" t="s">
        <v>5032</v>
      </c>
      <c r="I3814" t="s">
        <v>8152</v>
      </c>
      <c r="J3814" t="s">
        <v>22217</v>
      </c>
      <c r="K3814" t="s">
        <v>22218</v>
      </c>
      <c r="L3814" s="7" t="s">
        <v>22219</v>
      </c>
      <c r="M3814" t="s">
        <v>22220</v>
      </c>
      <c r="N3814">
        <v>8</v>
      </c>
      <c r="O3814">
        <v>6</v>
      </c>
      <c r="P3814">
        <v>2</v>
      </c>
      <c r="Q3814">
        <v>8</v>
      </c>
      <c r="R3814">
        <v>6</v>
      </c>
      <c r="S3814">
        <v>2</v>
      </c>
      <c r="T3814">
        <v>0</v>
      </c>
      <c r="U3814" t="s">
        <v>22221</v>
      </c>
      <c r="V3814">
        <f>Tabla1[[#This Row],[Aboard]]-Tabla1[[#This Row],[Fatalities]]</f>
        <v>0</v>
      </c>
      <c r="W3814" s="50">
        <f>IFERROR(Tabla1[[#This Row],[Fatalities]]/Tabla1[[#This Row],[Aboard]],0)</f>
        <v>1</v>
      </c>
      <c r="X3814" s="51" t="str" cm="1">
        <f t="array" ref="X3814">_xlfn.IFS(Tabla1[[#This Row],[Porcentaje de muertes]]&lt;0.35,"LEVE",AND(Tabla1[[#This Row],[Porcentaje de muertes]]&gt;0.35,Tabla1[[#This Row],[Porcentaje de muertes]]&lt;0.65),"MEDIO",Tabla1[[#This Row],[Porcentaje de muertes]]&gt;0.65,"GRAVE")</f>
        <v>GRAVE</v>
      </c>
    </row>
    <row r="3815" spans="2:24" x14ac:dyDescent="0.3">
      <c r="B3815" s="9">
        <v>3814</v>
      </c>
      <c r="C3815" s="49">
        <v>34082</v>
      </c>
      <c r="D3815" s="9">
        <f>YEAR(Tabla1[[#This Row],[Date]])</f>
        <v>1993</v>
      </c>
      <c r="E3815" s="9" t="str" cm="1">
        <f t="array" ref="E3815">IFERROR(_xlfn.IFS(AND(D3815&lt;1980,D3815&gt;=1970),"70",AND(D3815&lt;1990,D3815&gt;=1980),"80",AND(D3815&lt;2000,D3815&gt;=1990),"90",AND(D3815&lt;2010,D3815&gt;=2000),"00",AND(D3815&lt;=2019,D3815&gt;=2010),"10"),"1908-1970")</f>
        <v>90</v>
      </c>
      <c r="F3815" s="3" t="s">
        <v>28931</v>
      </c>
      <c r="G3815" t="s">
        <v>22222</v>
      </c>
      <c r="H3815" t="s">
        <v>21210</v>
      </c>
      <c r="I3815" t="s">
        <v>28931</v>
      </c>
      <c r="J3815" t="s">
        <v>22223</v>
      </c>
      <c r="K3815" t="s">
        <v>22224</v>
      </c>
      <c r="L3815" s="7" t="s">
        <v>22225</v>
      </c>
      <c r="M3815">
        <v>14102</v>
      </c>
      <c r="N3815">
        <v>40</v>
      </c>
      <c r="O3815">
        <v>34</v>
      </c>
      <c r="P3815">
        <v>6</v>
      </c>
      <c r="Q3815">
        <v>32</v>
      </c>
      <c r="R3815">
        <v>26</v>
      </c>
      <c r="S3815">
        <v>6</v>
      </c>
      <c r="T3815">
        <v>0</v>
      </c>
      <c r="U3815" t="s">
        <v>22226</v>
      </c>
      <c r="V3815">
        <f>Tabla1[[#This Row],[Aboard]]-Tabla1[[#This Row],[Fatalities]]</f>
        <v>8</v>
      </c>
      <c r="W3815" s="50">
        <f>IFERROR(Tabla1[[#This Row],[Fatalities]]/Tabla1[[#This Row],[Aboard]],0)</f>
        <v>0.8</v>
      </c>
      <c r="X3815" s="51" t="str" cm="1">
        <f t="array" ref="X3815">_xlfn.IFS(Tabla1[[#This Row],[Porcentaje de muertes]]&lt;0.35,"LEVE",AND(Tabla1[[#This Row],[Porcentaje de muertes]]&gt;0.35,Tabla1[[#This Row],[Porcentaje de muertes]]&lt;0.65),"MEDIO",Tabla1[[#This Row],[Porcentaje de muertes]]&gt;0.65,"GRAVE")</f>
        <v>GRAVE</v>
      </c>
    </row>
    <row r="3816" spans="2:24" x14ac:dyDescent="0.3">
      <c r="B3816" s="9">
        <v>3815</v>
      </c>
      <c r="C3816" s="49">
        <v>34085</v>
      </c>
      <c r="D3816" s="9">
        <f>YEAR(Tabla1[[#This Row],[Date]])</f>
        <v>1993</v>
      </c>
      <c r="E3816" s="9" t="str" cm="1">
        <f t="array" ref="E3816">IFERROR(_xlfn.IFS(AND(D3816&lt;1980,D3816&gt;=1970),"70",AND(D3816&lt;1990,D3816&gt;=1980),"80",AND(D3816&lt;2000,D3816&gt;=1990),"90",AND(D3816&lt;2010,D3816&gt;=2000),"00",AND(D3816&lt;=2019,D3816&gt;=2010),"10"),"1908-1970")</f>
        <v>90</v>
      </c>
      <c r="F3816" s="3">
        <v>0.54166666666666663</v>
      </c>
      <c r="G3816" t="s">
        <v>22227</v>
      </c>
      <c r="H3816" t="s">
        <v>11150</v>
      </c>
      <c r="I3816">
        <v>491</v>
      </c>
      <c r="J3816" t="s">
        <v>22228</v>
      </c>
      <c r="K3816" t="s">
        <v>16809</v>
      </c>
      <c r="L3816" s="7" t="s">
        <v>22229</v>
      </c>
      <c r="M3816" t="s">
        <v>22230</v>
      </c>
      <c r="N3816">
        <v>118</v>
      </c>
      <c r="O3816">
        <v>112</v>
      </c>
      <c r="P3816">
        <v>6</v>
      </c>
      <c r="Q3816">
        <v>55</v>
      </c>
      <c r="R3816">
        <v>55</v>
      </c>
      <c r="S3816">
        <v>0</v>
      </c>
      <c r="T3816">
        <v>0</v>
      </c>
      <c r="U3816" t="s">
        <v>22231</v>
      </c>
      <c r="V3816">
        <f>Tabla1[[#This Row],[Aboard]]-Tabla1[[#This Row],[Fatalities]]</f>
        <v>63</v>
      </c>
      <c r="W3816" s="50">
        <f>IFERROR(Tabla1[[#This Row],[Fatalities]]/Tabla1[[#This Row],[Aboard]],0)</f>
        <v>0.46610169491525422</v>
      </c>
      <c r="X3816" s="51" t="str" cm="1">
        <f t="array" ref="X3816">_xlfn.IFS(Tabla1[[#This Row],[Porcentaje de muertes]]&lt;0.35,"LEVE",AND(Tabla1[[#This Row],[Porcentaje de muertes]]&gt;0.35,Tabla1[[#This Row],[Porcentaje de muertes]]&lt;0.65),"MEDIO",Tabla1[[#This Row],[Porcentaje de muertes]]&gt;0.65,"GRAVE")</f>
        <v>MEDIO</v>
      </c>
    </row>
    <row r="3817" spans="2:24" x14ac:dyDescent="0.3">
      <c r="B3817" s="9">
        <v>3816</v>
      </c>
      <c r="C3817" s="49">
        <v>34086</v>
      </c>
      <c r="D3817" s="9">
        <f>YEAR(Tabla1[[#This Row],[Date]])</f>
        <v>1993</v>
      </c>
      <c r="E3817" s="9" t="str" cm="1">
        <f t="array" ref="E3817">IFERROR(_xlfn.IFS(AND(D3817&lt;1980,D3817&gt;=1970),"70",AND(D3817&lt;1990,D3817&gt;=1980),"80",AND(D3817&lt;2000,D3817&gt;=1990),"90",AND(D3817&lt;2010,D3817&gt;=2000),"00",AND(D3817&lt;=2019,D3817&gt;=2010),"10"),"1908-1970")</f>
        <v>90</v>
      </c>
      <c r="F3817" s="3">
        <v>0.95833333333333337</v>
      </c>
      <c r="G3817" t="s">
        <v>22232</v>
      </c>
      <c r="H3817" t="s">
        <v>21252</v>
      </c>
      <c r="I3817" t="s">
        <v>28931</v>
      </c>
      <c r="J3817" t="s">
        <v>22233</v>
      </c>
      <c r="K3817" t="s">
        <v>18405</v>
      </c>
      <c r="L3817" s="7" t="s">
        <v>22234</v>
      </c>
      <c r="M3817">
        <v>69</v>
      </c>
      <c r="N3817">
        <v>30</v>
      </c>
      <c r="O3817">
        <v>25</v>
      </c>
      <c r="P3817">
        <v>5</v>
      </c>
      <c r="Q3817">
        <v>30</v>
      </c>
      <c r="R3817">
        <v>25</v>
      </c>
      <c r="S3817">
        <v>5</v>
      </c>
      <c r="T3817">
        <v>0</v>
      </c>
      <c r="U3817" t="s">
        <v>22235</v>
      </c>
      <c r="V3817">
        <f>Tabla1[[#This Row],[Aboard]]-Tabla1[[#This Row],[Fatalities]]</f>
        <v>0</v>
      </c>
      <c r="W3817" s="50">
        <f>IFERROR(Tabla1[[#This Row],[Fatalities]]/Tabla1[[#This Row],[Aboard]],0)</f>
        <v>1</v>
      </c>
      <c r="X3817" s="51" t="str" cm="1">
        <f t="array" ref="X3817">_xlfn.IFS(Tabla1[[#This Row],[Porcentaje de muertes]]&lt;0.35,"LEVE",AND(Tabla1[[#This Row],[Porcentaje de muertes]]&gt;0.35,Tabla1[[#This Row],[Porcentaje de muertes]]&lt;0.65),"MEDIO",Tabla1[[#This Row],[Porcentaje de muertes]]&gt;0.65,"GRAVE")</f>
        <v>GRAVE</v>
      </c>
    </row>
    <row r="3818" spans="2:24" x14ac:dyDescent="0.3">
      <c r="B3818" s="9">
        <v>3817</v>
      </c>
      <c r="C3818" s="49">
        <v>34086</v>
      </c>
      <c r="D3818" s="9">
        <f>YEAR(Tabla1[[#This Row],[Date]])</f>
        <v>1993</v>
      </c>
      <c r="E3818" s="9" t="str" cm="1">
        <f t="array" ref="E3818">IFERROR(_xlfn.IFS(AND(D3818&lt;1980,D3818&gt;=1970),"70",AND(D3818&lt;1990,D3818&gt;=1980),"80",AND(D3818&lt;2000,D3818&gt;=1990),"90",AND(D3818&lt;2010,D3818&gt;=2000),"00",AND(D3818&lt;=2019,D3818&gt;=2010),"10"),"1908-1970")</f>
        <v>90</v>
      </c>
      <c r="F3818" s="3" t="s">
        <v>28931</v>
      </c>
      <c r="G3818" t="s">
        <v>22236</v>
      </c>
      <c r="H3818" t="s">
        <v>20220</v>
      </c>
      <c r="I3818" t="s">
        <v>28931</v>
      </c>
      <c r="J3818" t="s">
        <v>22237</v>
      </c>
      <c r="K3818" t="s">
        <v>20770</v>
      </c>
      <c r="L3818" s="7" t="s">
        <v>28931</v>
      </c>
      <c r="M3818" t="s">
        <v>28931</v>
      </c>
      <c r="N3818">
        <v>76</v>
      </c>
      <c r="O3818">
        <v>71</v>
      </c>
      <c r="P3818">
        <v>5</v>
      </c>
      <c r="Q3818">
        <v>76</v>
      </c>
      <c r="R3818">
        <v>71</v>
      </c>
      <c r="S3818">
        <v>5</v>
      </c>
      <c r="T3818">
        <v>0</v>
      </c>
      <c r="U3818" t="s">
        <v>22238</v>
      </c>
      <c r="V3818">
        <f>Tabla1[[#This Row],[Aboard]]-Tabla1[[#This Row],[Fatalities]]</f>
        <v>0</v>
      </c>
      <c r="W3818" s="50">
        <f>IFERROR(Tabla1[[#This Row],[Fatalities]]/Tabla1[[#This Row],[Aboard]],0)</f>
        <v>1</v>
      </c>
      <c r="X3818" s="51" t="str" cm="1">
        <f t="array" ref="X3818">_xlfn.IFS(Tabla1[[#This Row],[Porcentaje de muertes]]&lt;0.35,"LEVE",AND(Tabla1[[#This Row],[Porcentaje de muertes]]&gt;0.35,Tabla1[[#This Row],[Porcentaje de muertes]]&lt;0.65),"MEDIO",Tabla1[[#This Row],[Porcentaje de muertes]]&gt;0.65,"GRAVE")</f>
        <v>GRAVE</v>
      </c>
    </row>
    <row r="3819" spans="2:24" x14ac:dyDescent="0.3">
      <c r="B3819" s="9">
        <v>3818</v>
      </c>
      <c r="C3819" s="49">
        <v>34278</v>
      </c>
      <c r="D3819" s="9">
        <f>YEAR(Tabla1[[#This Row],[Date]])</f>
        <v>1993</v>
      </c>
      <c r="E3819" s="9" t="str" cm="1">
        <f t="array" ref="E3819">IFERROR(_xlfn.IFS(AND(D3819&lt;1980,D3819&gt;=1970),"70",AND(D3819&lt;1990,D3819&gt;=1980),"80",AND(D3819&lt;2000,D3819&gt;=1990),"90",AND(D3819&lt;2010,D3819&gt;=2000),"00",AND(D3819&lt;=2019,D3819&gt;=2010),"10"),"1908-1970")</f>
        <v>90</v>
      </c>
      <c r="F3819" s="3" t="s">
        <v>28931</v>
      </c>
      <c r="G3819" t="s">
        <v>22239</v>
      </c>
      <c r="H3819" t="s">
        <v>22240</v>
      </c>
      <c r="I3819" t="s">
        <v>28931</v>
      </c>
      <c r="J3819" t="s">
        <v>28931</v>
      </c>
      <c r="K3819" t="s">
        <v>16626</v>
      </c>
      <c r="L3819" s="7" t="s">
        <v>22241</v>
      </c>
      <c r="M3819">
        <v>9</v>
      </c>
      <c r="N3819">
        <v>2</v>
      </c>
      <c r="O3819">
        <v>0</v>
      </c>
      <c r="P3819">
        <v>2</v>
      </c>
      <c r="Q3819">
        <v>2</v>
      </c>
      <c r="R3819">
        <v>0</v>
      </c>
      <c r="S3819">
        <v>2</v>
      </c>
      <c r="T3819">
        <v>0</v>
      </c>
      <c r="U3819" t="s">
        <v>22242</v>
      </c>
      <c r="V3819">
        <f>Tabla1[[#This Row],[Aboard]]-Tabla1[[#This Row],[Fatalities]]</f>
        <v>0</v>
      </c>
      <c r="W3819" s="50">
        <f>IFERROR(Tabla1[[#This Row],[Fatalities]]/Tabla1[[#This Row],[Aboard]],0)</f>
        <v>1</v>
      </c>
      <c r="X3819" s="51" t="str" cm="1">
        <f t="array" ref="X3819">_xlfn.IFS(Tabla1[[#This Row],[Porcentaje de muertes]]&lt;0.35,"LEVE",AND(Tabla1[[#This Row],[Porcentaje de muertes]]&gt;0.35,Tabla1[[#This Row],[Porcentaje de muertes]]&lt;0.65),"MEDIO",Tabla1[[#This Row],[Porcentaje de muertes]]&gt;0.65,"GRAVE")</f>
        <v>GRAVE</v>
      </c>
    </row>
    <row r="3820" spans="2:24" x14ac:dyDescent="0.3">
      <c r="B3820" s="9">
        <v>3819</v>
      </c>
      <c r="C3820" s="49">
        <v>34104</v>
      </c>
      <c r="D3820" s="9">
        <f>YEAR(Tabla1[[#This Row],[Date]])</f>
        <v>1993</v>
      </c>
      <c r="E3820" s="9" t="str" cm="1">
        <f t="array" ref="E3820">IFERROR(_xlfn.IFS(AND(D3820&lt;1980,D3820&gt;=1970),"70",AND(D3820&lt;1990,D3820&gt;=1980),"80",AND(D3820&lt;2000,D3820&gt;=1990),"90",AND(D3820&lt;2010,D3820&gt;=2000),"00",AND(D3820&lt;=2019,D3820&gt;=2010),"10"),"1908-1970")</f>
        <v>90</v>
      </c>
      <c r="F3820" s="3" t="s">
        <v>28931</v>
      </c>
      <c r="G3820" t="s">
        <v>20871</v>
      </c>
      <c r="H3820" t="s">
        <v>22243</v>
      </c>
      <c r="I3820" t="s">
        <v>28931</v>
      </c>
      <c r="J3820" t="s">
        <v>22244</v>
      </c>
      <c r="K3820" t="s">
        <v>17323</v>
      </c>
      <c r="L3820" s="7" t="s">
        <v>22245</v>
      </c>
      <c r="M3820" t="s">
        <v>22246</v>
      </c>
      <c r="N3820">
        <v>5</v>
      </c>
      <c r="O3820">
        <v>0</v>
      </c>
      <c r="P3820">
        <v>5</v>
      </c>
      <c r="Q3820">
        <v>3</v>
      </c>
      <c r="R3820">
        <v>0</v>
      </c>
      <c r="S3820">
        <v>3</v>
      </c>
      <c r="T3820">
        <v>0</v>
      </c>
      <c r="U3820" t="s">
        <v>11114</v>
      </c>
      <c r="V3820">
        <f>Tabla1[[#This Row],[Aboard]]-Tabla1[[#This Row],[Fatalities]]</f>
        <v>2</v>
      </c>
      <c r="W3820" s="50">
        <f>IFERROR(Tabla1[[#This Row],[Fatalities]]/Tabla1[[#This Row],[Aboard]],0)</f>
        <v>0.6</v>
      </c>
      <c r="X3820" s="51" t="str" cm="1">
        <f t="array" ref="X3820">_xlfn.IFS(Tabla1[[#This Row],[Porcentaje de muertes]]&lt;0.35,"LEVE",AND(Tabla1[[#This Row],[Porcentaje de muertes]]&gt;0.35,Tabla1[[#This Row],[Porcentaje de muertes]]&lt;0.65),"MEDIO",Tabla1[[#This Row],[Porcentaje de muertes]]&gt;0.65,"GRAVE")</f>
        <v>MEDIO</v>
      </c>
    </row>
    <row r="3821" spans="2:24" x14ac:dyDescent="0.3">
      <c r="B3821" s="9">
        <v>3820</v>
      </c>
      <c r="C3821" s="49">
        <v>34108</v>
      </c>
      <c r="D3821" s="9">
        <f>YEAR(Tabla1[[#This Row],[Date]])</f>
        <v>1993</v>
      </c>
      <c r="E3821" s="9" t="str" cm="1">
        <f t="array" ref="E3821">IFERROR(_xlfn.IFS(AND(D3821&lt;1980,D3821&gt;=1970),"70",AND(D3821&lt;1990,D3821&gt;=1980),"80",AND(D3821&lt;2000,D3821&gt;=1990),"90",AND(D3821&lt;2010,D3821&gt;=2000),"00",AND(D3821&lt;=2019,D3821&gt;=2010),"10"),"1908-1970")</f>
        <v>90</v>
      </c>
      <c r="F3821" s="3">
        <v>0.62777777777777777</v>
      </c>
      <c r="G3821" t="s">
        <v>9064</v>
      </c>
      <c r="H3821" t="s">
        <v>10801</v>
      </c>
      <c r="I3821">
        <v>501</v>
      </c>
      <c r="J3821" t="s">
        <v>22247</v>
      </c>
      <c r="K3821" t="s">
        <v>22248</v>
      </c>
      <c r="L3821" s="7" t="s">
        <v>22249</v>
      </c>
      <c r="M3821" t="s">
        <v>22250</v>
      </c>
      <c r="N3821">
        <v>132</v>
      </c>
      <c r="O3821">
        <v>125</v>
      </c>
      <c r="P3821">
        <v>7</v>
      </c>
      <c r="Q3821">
        <v>132</v>
      </c>
      <c r="R3821">
        <v>125</v>
      </c>
      <c r="S3821">
        <v>7</v>
      </c>
      <c r="T3821">
        <v>0</v>
      </c>
      <c r="U3821" t="s">
        <v>22251</v>
      </c>
      <c r="V3821">
        <f>Tabla1[[#This Row],[Aboard]]-Tabla1[[#This Row],[Fatalities]]</f>
        <v>0</v>
      </c>
      <c r="W3821" s="50">
        <f>IFERROR(Tabla1[[#This Row],[Fatalities]]/Tabla1[[#This Row],[Aboard]],0)</f>
        <v>1</v>
      </c>
      <c r="X3821" s="51" t="str" cm="1">
        <f t="array" ref="X3821">_xlfn.IFS(Tabla1[[#This Row],[Porcentaje de muertes]]&lt;0.35,"LEVE",AND(Tabla1[[#This Row],[Porcentaje de muertes]]&gt;0.35,Tabla1[[#This Row],[Porcentaje de muertes]]&lt;0.65),"MEDIO",Tabla1[[#This Row],[Porcentaje de muertes]]&gt;0.65,"GRAVE")</f>
        <v>GRAVE</v>
      </c>
    </row>
    <row r="3822" spans="2:24" x14ac:dyDescent="0.3">
      <c r="B3822" s="9">
        <v>3821</v>
      </c>
      <c r="C3822" s="49">
        <v>34126</v>
      </c>
      <c r="D3822" s="9">
        <f>YEAR(Tabla1[[#This Row],[Date]])</f>
        <v>1993</v>
      </c>
      <c r="E3822" s="9" t="str" cm="1">
        <f t="array" ref="E3822">IFERROR(_xlfn.IFS(AND(D3822&lt;1980,D3822&gt;=1970),"70",AND(D3822&lt;1990,D3822&gt;=1980),"80",AND(D3822&lt;2000,D3822&gt;=1990),"90",AND(D3822&lt;2010,D3822&gt;=2000),"00",AND(D3822&lt;=2019,D3822&gt;=2010),"10"),"1908-1970")</f>
        <v>90</v>
      </c>
      <c r="F3822" s="3" t="s">
        <v>28931</v>
      </c>
      <c r="G3822" t="s">
        <v>16888</v>
      </c>
      <c r="H3822" t="s">
        <v>20895</v>
      </c>
      <c r="I3822" t="s">
        <v>28931</v>
      </c>
      <c r="J3822" t="s">
        <v>22252</v>
      </c>
      <c r="K3822" t="s">
        <v>16680</v>
      </c>
      <c r="L3822" s="7" t="s">
        <v>22253</v>
      </c>
      <c r="M3822">
        <v>771</v>
      </c>
      <c r="N3822">
        <v>2</v>
      </c>
      <c r="O3822">
        <v>0</v>
      </c>
      <c r="P3822">
        <v>2</v>
      </c>
      <c r="Q3822">
        <v>2</v>
      </c>
      <c r="R3822">
        <v>0</v>
      </c>
      <c r="S3822">
        <v>2</v>
      </c>
      <c r="T3822">
        <v>0</v>
      </c>
      <c r="U3822" t="s">
        <v>22254</v>
      </c>
      <c r="V3822">
        <f>Tabla1[[#This Row],[Aboard]]-Tabla1[[#This Row],[Fatalities]]</f>
        <v>0</v>
      </c>
      <c r="W3822" s="50">
        <f>IFERROR(Tabla1[[#This Row],[Fatalities]]/Tabla1[[#This Row],[Aboard]],0)</f>
        <v>1</v>
      </c>
      <c r="X3822" s="51" t="str" cm="1">
        <f t="array" ref="X3822">_xlfn.IFS(Tabla1[[#This Row],[Porcentaje de muertes]]&lt;0.35,"LEVE",AND(Tabla1[[#This Row],[Porcentaje de muertes]]&gt;0.35,Tabla1[[#This Row],[Porcentaje de muertes]]&lt;0.65),"MEDIO",Tabla1[[#This Row],[Porcentaje de muertes]]&gt;0.65,"GRAVE")</f>
        <v>GRAVE</v>
      </c>
    </row>
    <row r="3823" spans="2:24" x14ac:dyDescent="0.3">
      <c r="B3823" s="9">
        <v>3822</v>
      </c>
      <c r="C3823" s="49">
        <v>34218</v>
      </c>
      <c r="D3823" s="9">
        <f>YEAR(Tabla1[[#This Row],[Date]])</f>
        <v>1993</v>
      </c>
      <c r="E3823" s="9" t="str" cm="1">
        <f t="array" ref="E3823">IFERROR(_xlfn.IFS(AND(D3823&lt;1980,D3823&gt;=1970),"70",AND(D3823&lt;1990,D3823&gt;=1980),"80",AND(D3823&lt;2000,D3823&gt;=1990),"90",AND(D3823&lt;2010,D3823&gt;=2000),"00",AND(D3823&lt;=2019,D3823&gt;=2010),"10"),"1908-1970")</f>
        <v>90</v>
      </c>
      <c r="F3823" s="3" t="s">
        <v>28931</v>
      </c>
      <c r="G3823" t="s">
        <v>22255</v>
      </c>
      <c r="H3823" t="s">
        <v>22256</v>
      </c>
      <c r="I3823" t="s">
        <v>28931</v>
      </c>
      <c r="J3823" t="s">
        <v>28931</v>
      </c>
      <c r="K3823" t="s">
        <v>28948</v>
      </c>
      <c r="L3823" s="7" t="s">
        <v>22257</v>
      </c>
      <c r="M3823">
        <v>805</v>
      </c>
      <c r="N3823">
        <v>11</v>
      </c>
      <c r="O3823">
        <v>10</v>
      </c>
      <c r="P3823">
        <v>1</v>
      </c>
      <c r="Q3823">
        <v>9</v>
      </c>
      <c r="R3823">
        <v>9</v>
      </c>
      <c r="S3823">
        <v>0</v>
      </c>
      <c r="T3823">
        <v>0</v>
      </c>
      <c r="U3823" t="s">
        <v>22258</v>
      </c>
      <c r="V3823">
        <f>Tabla1[[#This Row],[Aboard]]-Tabla1[[#This Row],[Fatalities]]</f>
        <v>2</v>
      </c>
      <c r="W3823" s="50">
        <f>IFERROR(Tabla1[[#This Row],[Fatalities]]/Tabla1[[#This Row],[Aboard]],0)</f>
        <v>0.81818181818181823</v>
      </c>
      <c r="X3823" s="51" t="str" cm="1">
        <f t="array" ref="X3823">_xlfn.IFS(Tabla1[[#This Row],[Porcentaje de muertes]]&lt;0.35,"LEVE",AND(Tabla1[[#This Row],[Porcentaje de muertes]]&gt;0.35,Tabla1[[#This Row],[Porcentaje de muertes]]&lt;0.65),"MEDIO",Tabla1[[#This Row],[Porcentaje de muertes]]&gt;0.65,"GRAVE")</f>
        <v>GRAVE</v>
      </c>
    </row>
    <row r="3824" spans="2:24" x14ac:dyDescent="0.3">
      <c r="B3824" s="9">
        <v>3823</v>
      </c>
      <c r="C3824" s="49">
        <v>34136</v>
      </c>
      <c r="D3824" s="9">
        <f>YEAR(Tabla1[[#This Row],[Date]])</f>
        <v>1993</v>
      </c>
      <c r="E3824" s="9" t="str" cm="1">
        <f t="array" ref="E3824">IFERROR(_xlfn.IFS(AND(D3824&lt;1980,D3824&gt;=1970),"70",AND(D3824&lt;1990,D3824&gt;=1980),"80",AND(D3824&lt;2000,D3824&gt;=1990),"90",AND(D3824&lt;2010,D3824&gt;=2000),"00",AND(D3824&lt;=2019,D3824&gt;=2010),"10"),"1908-1970")</f>
        <v>90</v>
      </c>
      <c r="F3824" s="3" t="s">
        <v>28931</v>
      </c>
      <c r="G3824" t="s">
        <v>22259</v>
      </c>
      <c r="H3824" t="s">
        <v>20485</v>
      </c>
      <c r="I3824" t="s">
        <v>28931</v>
      </c>
      <c r="J3824" t="s">
        <v>28931</v>
      </c>
      <c r="K3824" t="s">
        <v>16680</v>
      </c>
      <c r="L3824" s="7" t="s">
        <v>22260</v>
      </c>
      <c r="M3824">
        <v>391</v>
      </c>
      <c r="N3824">
        <v>3</v>
      </c>
      <c r="O3824">
        <v>0</v>
      </c>
      <c r="P3824">
        <v>3</v>
      </c>
      <c r="Q3824">
        <v>1</v>
      </c>
      <c r="R3824">
        <v>0</v>
      </c>
      <c r="S3824">
        <v>1</v>
      </c>
      <c r="T3824">
        <v>0</v>
      </c>
      <c r="U3824" t="s">
        <v>22261</v>
      </c>
      <c r="V3824">
        <f>Tabla1[[#This Row],[Aboard]]-Tabla1[[#This Row],[Fatalities]]</f>
        <v>2</v>
      </c>
      <c r="W3824" s="50">
        <f>IFERROR(Tabla1[[#This Row],[Fatalities]]/Tabla1[[#This Row],[Aboard]],0)</f>
        <v>0.33333333333333331</v>
      </c>
      <c r="X3824" s="51" t="str" cm="1">
        <f t="array" ref="X3824">_xlfn.IFS(Tabla1[[#This Row],[Porcentaje de muertes]]&lt;0.35,"LEVE",AND(Tabla1[[#This Row],[Porcentaje de muertes]]&gt;0.35,Tabla1[[#This Row],[Porcentaje de muertes]]&lt;0.65),"MEDIO",Tabla1[[#This Row],[Porcentaje de muertes]]&gt;0.65,"GRAVE")</f>
        <v>LEVE</v>
      </c>
    </row>
    <row r="3825" spans="2:24" x14ac:dyDescent="0.3">
      <c r="B3825" s="9">
        <v>3824</v>
      </c>
      <c r="C3825" s="49">
        <v>34137</v>
      </c>
      <c r="D3825" s="9">
        <f>YEAR(Tabla1[[#This Row],[Date]])</f>
        <v>1993</v>
      </c>
      <c r="E3825" s="9" t="str" cm="1">
        <f t="array" ref="E3825">IFERROR(_xlfn.IFS(AND(D3825&lt;1980,D3825&gt;=1970),"70",AND(D3825&lt;1990,D3825&gt;=1980),"80",AND(D3825&lt;2000,D3825&gt;=1990),"90",AND(D3825&lt;2010,D3825&gt;=2000),"00",AND(D3825&lt;=2019,D3825&gt;=2010),"10"),"1908-1970")</f>
        <v>90</v>
      </c>
      <c r="F3825" s="3">
        <v>0.92708333333333337</v>
      </c>
      <c r="G3825" t="s">
        <v>22262</v>
      </c>
      <c r="H3825" t="s">
        <v>22263</v>
      </c>
      <c r="I3825" t="s">
        <v>28931</v>
      </c>
      <c r="J3825" t="s">
        <v>22264</v>
      </c>
      <c r="K3825" t="s">
        <v>17904</v>
      </c>
      <c r="L3825" s="7" t="s">
        <v>22265</v>
      </c>
      <c r="M3825" t="s">
        <v>22266</v>
      </c>
      <c r="N3825">
        <v>41</v>
      </c>
      <c r="O3825">
        <v>36</v>
      </c>
      <c r="P3825">
        <v>5</v>
      </c>
      <c r="Q3825">
        <v>41</v>
      </c>
      <c r="R3825">
        <v>36</v>
      </c>
      <c r="S3825">
        <v>5</v>
      </c>
      <c r="T3825">
        <v>0</v>
      </c>
      <c r="U3825" t="s">
        <v>22267</v>
      </c>
      <c r="V3825">
        <f>Tabla1[[#This Row],[Aboard]]-Tabla1[[#This Row],[Fatalities]]</f>
        <v>0</v>
      </c>
      <c r="W3825" s="50">
        <f>IFERROR(Tabla1[[#This Row],[Fatalities]]/Tabla1[[#This Row],[Aboard]],0)</f>
        <v>1</v>
      </c>
      <c r="X3825" s="51" t="str" cm="1">
        <f t="array" ref="X3825">_xlfn.IFS(Tabla1[[#This Row],[Porcentaje de muertes]]&lt;0.35,"LEVE",AND(Tabla1[[#This Row],[Porcentaje de muertes]]&gt;0.35,Tabla1[[#This Row],[Porcentaje de muertes]]&lt;0.65),"MEDIO",Tabla1[[#This Row],[Porcentaje de muertes]]&gt;0.65,"GRAVE")</f>
        <v>GRAVE</v>
      </c>
    </row>
    <row r="3826" spans="2:24" x14ac:dyDescent="0.3">
      <c r="B3826" s="9">
        <v>3825</v>
      </c>
      <c r="C3826" s="49">
        <v>33976</v>
      </c>
      <c r="D3826" s="9">
        <f>YEAR(Tabla1[[#This Row],[Date]])</f>
        <v>1993</v>
      </c>
      <c r="E3826" s="9" t="str" cm="1">
        <f t="array" ref="E3826">IFERROR(_xlfn.IFS(AND(D3826&lt;1980,D3826&gt;=1970),"70",AND(D3826&lt;1990,D3826&gt;=1980),"80",AND(D3826&lt;2000,D3826&gt;=1990),"90",AND(D3826&lt;2010,D3826&gt;=2000),"00",AND(D3826&lt;=2019,D3826&gt;=2010),"10"),"1908-1970")</f>
        <v>90</v>
      </c>
      <c r="F3826" s="3" t="s">
        <v>28931</v>
      </c>
      <c r="G3826" t="s">
        <v>22268</v>
      </c>
      <c r="H3826" t="s">
        <v>16296</v>
      </c>
      <c r="I3826" t="s">
        <v>22269</v>
      </c>
      <c r="J3826" t="s">
        <v>22270</v>
      </c>
      <c r="K3826" t="s">
        <v>19821</v>
      </c>
      <c r="L3826" s="7" t="s">
        <v>22271</v>
      </c>
      <c r="M3826">
        <v>11131</v>
      </c>
      <c r="N3826">
        <v>43</v>
      </c>
      <c r="O3826">
        <v>39</v>
      </c>
      <c r="P3826">
        <v>4</v>
      </c>
      <c r="Q3826">
        <v>41</v>
      </c>
      <c r="R3826">
        <v>37</v>
      </c>
      <c r="S3826">
        <v>4</v>
      </c>
      <c r="T3826">
        <v>0</v>
      </c>
      <c r="U3826" t="s">
        <v>22272</v>
      </c>
      <c r="V3826">
        <f>Tabla1[[#This Row],[Aboard]]-Tabla1[[#This Row],[Fatalities]]</f>
        <v>2</v>
      </c>
      <c r="W3826" s="50">
        <f>IFERROR(Tabla1[[#This Row],[Fatalities]]/Tabla1[[#This Row],[Aboard]],0)</f>
        <v>0.95348837209302328</v>
      </c>
      <c r="X3826" s="51" t="str" cm="1">
        <f t="array" ref="X3826">_xlfn.IFS(Tabla1[[#This Row],[Porcentaje de muertes]]&lt;0.35,"LEVE",AND(Tabla1[[#This Row],[Porcentaje de muertes]]&gt;0.35,Tabla1[[#This Row],[Porcentaje de muertes]]&lt;0.65),"MEDIO",Tabla1[[#This Row],[Porcentaje de muertes]]&gt;0.65,"GRAVE")</f>
        <v>GRAVE</v>
      </c>
    </row>
    <row r="3827" spans="2:24" x14ac:dyDescent="0.3">
      <c r="B3827" s="9">
        <v>3826</v>
      </c>
      <c r="C3827" s="49">
        <v>34127</v>
      </c>
      <c r="D3827" s="9">
        <f>YEAR(Tabla1[[#This Row],[Date]])</f>
        <v>1993</v>
      </c>
      <c r="E3827" s="9" t="str" cm="1">
        <f t="array" ref="E3827">IFERROR(_xlfn.IFS(AND(D3827&lt;1980,D3827&gt;=1970),"70",AND(D3827&lt;1990,D3827&gt;=1980),"80",AND(D3827&lt;2000,D3827&gt;=1990),"90",AND(D3827&lt;2010,D3827&gt;=2000),"00",AND(D3827&lt;=2019,D3827&gt;=2010),"10"),"1908-1970")</f>
        <v>90</v>
      </c>
      <c r="F3827" s="3" t="s">
        <v>28931</v>
      </c>
      <c r="G3827" t="s">
        <v>22273</v>
      </c>
      <c r="H3827" t="s">
        <v>22274</v>
      </c>
      <c r="I3827" t="s">
        <v>28931</v>
      </c>
      <c r="J3827" t="s">
        <v>28931</v>
      </c>
      <c r="K3827" t="s">
        <v>22172</v>
      </c>
      <c r="L3827" s="7" t="s">
        <v>28931</v>
      </c>
      <c r="M3827" t="s">
        <v>28931</v>
      </c>
      <c r="N3827">
        <v>23</v>
      </c>
      <c r="O3827" t="s">
        <v>5038</v>
      </c>
      <c r="P3827" t="s">
        <v>5038</v>
      </c>
      <c r="Q3827">
        <v>23</v>
      </c>
      <c r="R3827" t="s">
        <v>5038</v>
      </c>
      <c r="S3827" t="s">
        <v>5038</v>
      </c>
      <c r="T3827">
        <v>0</v>
      </c>
      <c r="U3827" t="s">
        <v>22275</v>
      </c>
      <c r="V3827">
        <f>Tabla1[[#This Row],[Aboard]]-Tabla1[[#This Row],[Fatalities]]</f>
        <v>0</v>
      </c>
      <c r="W3827" s="50">
        <f>IFERROR(Tabla1[[#This Row],[Fatalities]]/Tabla1[[#This Row],[Aboard]],0)</f>
        <v>1</v>
      </c>
      <c r="X3827" s="51" t="str" cm="1">
        <f t="array" ref="X3827">_xlfn.IFS(Tabla1[[#This Row],[Porcentaje de muertes]]&lt;0.35,"LEVE",AND(Tabla1[[#This Row],[Porcentaje de muertes]]&gt;0.35,Tabla1[[#This Row],[Porcentaje de muertes]]&lt;0.65),"MEDIO",Tabla1[[#This Row],[Porcentaje de muertes]]&gt;0.65,"GRAVE")</f>
        <v>GRAVE</v>
      </c>
    </row>
    <row r="3828" spans="2:24" x14ac:dyDescent="0.3">
      <c r="B3828" s="9">
        <v>3827</v>
      </c>
      <c r="C3828" s="49">
        <v>34310</v>
      </c>
      <c r="D3828" s="9">
        <f>YEAR(Tabla1[[#This Row],[Date]])</f>
        <v>1993</v>
      </c>
      <c r="E3828" s="9" t="str" cm="1">
        <f t="array" ref="E3828">IFERROR(_xlfn.IFS(AND(D3828&lt;1980,D3828&gt;=1970),"70",AND(D3828&lt;1990,D3828&gt;=1980),"80",AND(D3828&lt;2000,D3828&gt;=1990),"90",AND(D3828&lt;2010,D3828&gt;=2000),"00",AND(D3828&lt;=2019,D3828&gt;=2010),"10"),"1908-1970")</f>
        <v>90</v>
      </c>
      <c r="F3828" s="3">
        <v>0.62152777777777779</v>
      </c>
      <c r="G3828" t="s">
        <v>22276</v>
      </c>
      <c r="H3828" t="s">
        <v>5032</v>
      </c>
      <c r="I3828" t="s">
        <v>28931</v>
      </c>
      <c r="J3828" t="s">
        <v>22277</v>
      </c>
      <c r="K3828" t="s">
        <v>22278</v>
      </c>
      <c r="L3828" s="7" t="s">
        <v>22279</v>
      </c>
      <c r="M3828" t="s">
        <v>22280</v>
      </c>
      <c r="N3828">
        <v>2</v>
      </c>
      <c r="O3828">
        <v>1</v>
      </c>
      <c r="P3828">
        <v>1</v>
      </c>
      <c r="Q3828">
        <v>1</v>
      </c>
      <c r="R3828">
        <v>1</v>
      </c>
      <c r="S3828">
        <v>0</v>
      </c>
      <c r="T3828">
        <v>0</v>
      </c>
      <c r="U3828" t="s">
        <v>22281</v>
      </c>
      <c r="V3828">
        <f>Tabla1[[#This Row],[Aboard]]-Tabla1[[#This Row],[Fatalities]]</f>
        <v>1</v>
      </c>
      <c r="W3828" s="50">
        <f>IFERROR(Tabla1[[#This Row],[Fatalities]]/Tabla1[[#This Row],[Aboard]],0)</f>
        <v>0.5</v>
      </c>
      <c r="X3828" s="51" t="str" cm="1">
        <f t="array" ref="X3828">_xlfn.IFS(Tabla1[[#This Row],[Porcentaje de muertes]]&lt;0.35,"LEVE",AND(Tabla1[[#This Row],[Porcentaje de muertes]]&gt;0.35,Tabla1[[#This Row],[Porcentaje de muertes]]&lt;0.65),"MEDIO",Tabla1[[#This Row],[Porcentaje de muertes]]&gt;0.65,"GRAVE")</f>
        <v>MEDIO</v>
      </c>
    </row>
    <row r="3829" spans="2:24" x14ac:dyDescent="0.3">
      <c r="B3829" s="9">
        <v>3828</v>
      </c>
      <c r="C3829" s="49">
        <v>34173</v>
      </c>
      <c r="D3829" s="9">
        <f>YEAR(Tabla1[[#This Row],[Date]])</f>
        <v>1993</v>
      </c>
      <c r="E3829" s="9" t="str" cm="1">
        <f t="array" ref="E3829">IFERROR(_xlfn.IFS(AND(D3829&lt;1980,D3829&gt;=1970),"70",AND(D3829&lt;1990,D3829&gt;=1980),"80",AND(D3829&lt;2000,D3829&gt;=1990),"90",AND(D3829&lt;2010,D3829&gt;=2000),"00",AND(D3829&lt;=2019,D3829&gt;=2010),"10"),"1908-1970")</f>
        <v>90</v>
      </c>
      <c r="F3829" s="3">
        <v>0.65277777777777779</v>
      </c>
      <c r="G3829" t="s">
        <v>22282</v>
      </c>
      <c r="H3829" t="s">
        <v>22283</v>
      </c>
      <c r="I3829">
        <v>2119</v>
      </c>
      <c r="J3829" t="s">
        <v>22284</v>
      </c>
      <c r="K3829" t="s">
        <v>22285</v>
      </c>
      <c r="L3829" s="7" t="s">
        <v>22286</v>
      </c>
      <c r="M3829" t="s">
        <v>22287</v>
      </c>
      <c r="N3829">
        <v>113</v>
      </c>
      <c r="O3829">
        <v>108</v>
      </c>
      <c r="P3829">
        <v>5</v>
      </c>
      <c r="Q3829">
        <v>55</v>
      </c>
      <c r="R3829">
        <v>54</v>
      </c>
      <c r="S3829">
        <v>1</v>
      </c>
      <c r="T3829">
        <v>0</v>
      </c>
      <c r="U3829" t="s">
        <v>22288</v>
      </c>
      <c r="V3829">
        <f>Tabla1[[#This Row],[Aboard]]-Tabla1[[#This Row],[Fatalities]]</f>
        <v>58</v>
      </c>
      <c r="W3829" s="50">
        <f>IFERROR(Tabla1[[#This Row],[Fatalities]]/Tabla1[[#This Row],[Aboard]],0)</f>
        <v>0.48672566371681414</v>
      </c>
      <c r="X3829" s="51" t="str" cm="1">
        <f t="array" ref="X3829">_xlfn.IFS(Tabla1[[#This Row],[Porcentaje de muertes]]&lt;0.35,"LEVE",AND(Tabla1[[#This Row],[Porcentaje de muertes]]&gt;0.35,Tabla1[[#This Row],[Porcentaje de muertes]]&lt;0.65),"MEDIO",Tabla1[[#This Row],[Porcentaje de muertes]]&gt;0.65,"GRAVE")</f>
        <v>MEDIO</v>
      </c>
    </row>
    <row r="3830" spans="2:24" x14ac:dyDescent="0.3">
      <c r="B3830" s="9">
        <v>3829</v>
      </c>
      <c r="C3830" s="49">
        <v>34176</v>
      </c>
      <c r="D3830" s="9">
        <f>YEAR(Tabla1[[#This Row],[Date]])</f>
        <v>1993</v>
      </c>
      <c r="E3830" s="9" t="str" cm="1">
        <f t="array" ref="E3830">IFERROR(_xlfn.IFS(AND(D3830&lt;1980,D3830&gt;=1970),"70",AND(D3830&lt;1990,D3830&gt;=1980),"80",AND(D3830&lt;2000,D3830&gt;=1990),"90",AND(D3830&lt;2010,D3830&gt;=2000),"00",AND(D3830&lt;=2019,D3830&gt;=2010),"10"),"1908-1970")</f>
        <v>90</v>
      </c>
      <c r="F3830" s="3">
        <v>0.65833333333333333</v>
      </c>
      <c r="G3830" t="s">
        <v>22289</v>
      </c>
      <c r="H3830" t="s">
        <v>22290</v>
      </c>
      <c r="I3830">
        <v>733</v>
      </c>
      <c r="J3830" t="s">
        <v>22291</v>
      </c>
      <c r="K3830" t="s">
        <v>22292</v>
      </c>
      <c r="L3830" s="7" t="s">
        <v>22293</v>
      </c>
      <c r="M3830" t="s">
        <v>22294</v>
      </c>
      <c r="N3830">
        <v>110</v>
      </c>
      <c r="O3830">
        <v>104</v>
      </c>
      <c r="P3830">
        <v>6</v>
      </c>
      <c r="Q3830">
        <v>68</v>
      </c>
      <c r="R3830">
        <v>64</v>
      </c>
      <c r="S3830">
        <v>4</v>
      </c>
      <c r="T3830">
        <v>0</v>
      </c>
      <c r="U3830" t="s">
        <v>22295</v>
      </c>
      <c r="V3830">
        <f>Tabla1[[#This Row],[Aboard]]-Tabla1[[#This Row],[Fatalities]]</f>
        <v>42</v>
      </c>
      <c r="W3830" s="50">
        <f>IFERROR(Tabla1[[#This Row],[Fatalities]]/Tabla1[[#This Row],[Aboard]],0)</f>
        <v>0.61818181818181817</v>
      </c>
      <c r="X3830" s="51" t="str" cm="1">
        <f t="array" ref="X3830">_xlfn.IFS(Tabla1[[#This Row],[Porcentaje de muertes]]&lt;0.35,"LEVE",AND(Tabla1[[#This Row],[Porcentaje de muertes]]&gt;0.35,Tabla1[[#This Row],[Porcentaje de muertes]]&lt;0.65),"MEDIO",Tabla1[[#This Row],[Porcentaje de muertes]]&gt;0.65,"GRAVE")</f>
        <v>MEDIO</v>
      </c>
    </row>
    <row r="3831" spans="2:24" x14ac:dyDescent="0.3">
      <c r="B3831" s="9">
        <v>3830</v>
      </c>
      <c r="C3831" s="49">
        <v>34180</v>
      </c>
      <c r="D3831" s="9">
        <f>YEAR(Tabla1[[#This Row],[Date]])</f>
        <v>1993</v>
      </c>
      <c r="E3831" s="9" t="str" cm="1">
        <f t="array" ref="E3831">IFERROR(_xlfn.IFS(AND(D3831&lt;1980,D3831&gt;=1970),"70",AND(D3831&lt;1990,D3831&gt;=1980),"80",AND(D3831&lt;2000,D3831&gt;=1990),"90",AND(D3831&lt;2010,D3831&gt;=2000),"00",AND(D3831&lt;=2019,D3831&gt;=2010),"10"),"1908-1970")</f>
        <v>90</v>
      </c>
      <c r="F3831" s="3" t="s">
        <v>28931</v>
      </c>
      <c r="G3831" t="s">
        <v>22296</v>
      </c>
      <c r="H3831" t="s">
        <v>22297</v>
      </c>
      <c r="I3831" t="s">
        <v>28931</v>
      </c>
      <c r="J3831" t="s">
        <v>22298</v>
      </c>
      <c r="K3831" t="s">
        <v>20425</v>
      </c>
      <c r="L3831" s="7" t="s">
        <v>22299</v>
      </c>
      <c r="M3831" t="s">
        <v>22300</v>
      </c>
      <c r="N3831">
        <v>17</v>
      </c>
      <c r="O3831">
        <v>15</v>
      </c>
      <c r="P3831">
        <v>2</v>
      </c>
      <c r="Q3831">
        <v>1</v>
      </c>
      <c r="R3831">
        <v>1</v>
      </c>
      <c r="S3831">
        <v>0</v>
      </c>
      <c r="T3831">
        <v>0</v>
      </c>
      <c r="U3831" t="s">
        <v>22301</v>
      </c>
      <c r="V3831">
        <f>Tabla1[[#This Row],[Aboard]]-Tabla1[[#This Row],[Fatalities]]</f>
        <v>16</v>
      </c>
      <c r="W3831" s="50">
        <f>IFERROR(Tabla1[[#This Row],[Fatalities]]/Tabla1[[#This Row],[Aboard]],0)</f>
        <v>5.8823529411764705E-2</v>
      </c>
      <c r="X3831" s="51" t="str" cm="1">
        <f t="array" ref="X3831">_xlfn.IFS(Tabla1[[#This Row],[Porcentaje de muertes]]&lt;0.35,"LEVE",AND(Tabla1[[#This Row],[Porcentaje de muertes]]&gt;0.35,Tabla1[[#This Row],[Porcentaje de muertes]]&lt;0.65),"MEDIO",Tabla1[[#This Row],[Porcentaje de muertes]]&gt;0.65,"GRAVE")</f>
        <v>LEVE</v>
      </c>
    </row>
    <row r="3832" spans="2:24" x14ac:dyDescent="0.3">
      <c r="B3832" s="9">
        <v>3831</v>
      </c>
      <c r="C3832" s="49">
        <v>34181</v>
      </c>
      <c r="D3832" s="9">
        <f>YEAR(Tabla1[[#This Row],[Date]])</f>
        <v>1993</v>
      </c>
      <c r="E3832" s="9" t="str" cm="1">
        <f t="array" ref="E3832">IFERROR(_xlfn.IFS(AND(D3832&lt;1980,D3832&gt;=1970),"70",AND(D3832&lt;1990,D3832&gt;=1980),"80",AND(D3832&lt;2000,D3832&gt;=1990),"90",AND(D3832&lt;2010,D3832&gt;=2000),"00",AND(D3832&lt;=2019,D3832&gt;=2010),"10"),"1908-1970")</f>
        <v>90</v>
      </c>
      <c r="F3832" s="3">
        <v>0.54166666666666663</v>
      </c>
      <c r="G3832" t="s">
        <v>22302</v>
      </c>
      <c r="H3832" t="s">
        <v>22303</v>
      </c>
      <c r="I3832" t="s">
        <v>28931</v>
      </c>
      <c r="J3832" t="s">
        <v>22304</v>
      </c>
      <c r="K3832" t="s">
        <v>22305</v>
      </c>
      <c r="L3832" s="7" t="s">
        <v>22306</v>
      </c>
      <c r="M3832">
        <v>7029</v>
      </c>
      <c r="N3832">
        <v>19</v>
      </c>
      <c r="O3832">
        <v>16</v>
      </c>
      <c r="P3832">
        <v>3</v>
      </c>
      <c r="Q3832">
        <v>19</v>
      </c>
      <c r="R3832">
        <v>16</v>
      </c>
      <c r="S3832">
        <v>3</v>
      </c>
      <c r="T3832">
        <v>0</v>
      </c>
      <c r="U3832" t="s">
        <v>22307</v>
      </c>
      <c r="V3832">
        <f>Tabla1[[#This Row],[Aboard]]-Tabla1[[#This Row],[Fatalities]]</f>
        <v>0</v>
      </c>
      <c r="W3832" s="50">
        <f>IFERROR(Tabla1[[#This Row],[Fatalities]]/Tabla1[[#This Row],[Aboard]],0)</f>
        <v>1</v>
      </c>
      <c r="X3832" s="51" t="str" cm="1">
        <f t="array" ref="X3832">_xlfn.IFS(Tabla1[[#This Row],[Porcentaje de muertes]]&lt;0.35,"LEVE",AND(Tabla1[[#This Row],[Porcentaje de muertes]]&gt;0.35,Tabla1[[#This Row],[Porcentaje de muertes]]&lt;0.65),"MEDIO",Tabla1[[#This Row],[Porcentaje de muertes]]&gt;0.65,"GRAVE")</f>
        <v>GRAVE</v>
      </c>
    </row>
    <row r="3833" spans="2:24" x14ac:dyDescent="0.3">
      <c r="B3833" s="9">
        <v>3832</v>
      </c>
      <c r="C3833" s="49">
        <v>34199</v>
      </c>
      <c r="D3833" s="9">
        <f>YEAR(Tabla1[[#This Row],[Date]])</f>
        <v>1993</v>
      </c>
      <c r="E3833" s="9" t="str" cm="1">
        <f t="array" ref="E3833">IFERROR(_xlfn.IFS(AND(D3833&lt;1980,D3833&gt;=1970),"70",AND(D3833&lt;1990,D3833&gt;=1980),"80",AND(D3833&lt;2000,D3833&gt;=1990),"90",AND(D3833&lt;2010,D3833&gt;=2000),"00",AND(D3833&lt;=2019,D3833&gt;=2010),"10"),"1908-1970")</f>
        <v>90</v>
      </c>
      <c r="F3833" s="3">
        <v>0.7055555555555556</v>
      </c>
      <c r="G3833" t="s">
        <v>22308</v>
      </c>
      <c r="H3833" t="s">
        <v>9213</v>
      </c>
      <c r="I3833">
        <v>808</v>
      </c>
      <c r="J3833" t="s">
        <v>22309</v>
      </c>
      <c r="K3833" t="s">
        <v>18302</v>
      </c>
      <c r="L3833" s="7" t="s">
        <v>22310</v>
      </c>
      <c r="M3833">
        <v>46127</v>
      </c>
      <c r="N3833">
        <v>3</v>
      </c>
      <c r="O3833">
        <v>0</v>
      </c>
      <c r="P3833">
        <v>3</v>
      </c>
      <c r="Q3833">
        <v>0</v>
      </c>
      <c r="R3833">
        <v>0</v>
      </c>
      <c r="S3833">
        <v>0</v>
      </c>
      <c r="T3833">
        <v>0</v>
      </c>
      <c r="U3833" t="s">
        <v>22311</v>
      </c>
      <c r="V3833">
        <f>Tabla1[[#This Row],[Aboard]]-Tabla1[[#This Row],[Fatalities]]</f>
        <v>3</v>
      </c>
      <c r="W3833" s="50">
        <f>IFERROR(Tabla1[[#This Row],[Fatalities]]/Tabla1[[#This Row],[Aboard]],0)</f>
        <v>0</v>
      </c>
      <c r="X3833" s="51" t="str" cm="1">
        <f t="array" ref="X3833">_xlfn.IFS(Tabla1[[#This Row],[Porcentaje de muertes]]&lt;0.35,"LEVE",AND(Tabla1[[#This Row],[Porcentaje de muertes]]&gt;0.35,Tabla1[[#This Row],[Porcentaje de muertes]]&lt;0.65),"MEDIO",Tabla1[[#This Row],[Porcentaje de muertes]]&gt;0.65,"GRAVE")</f>
        <v>LEVE</v>
      </c>
    </row>
    <row r="3834" spans="2:24" x14ac:dyDescent="0.3">
      <c r="B3834" s="9">
        <v>3833</v>
      </c>
      <c r="C3834" s="49">
        <v>34207</v>
      </c>
      <c r="D3834" s="9">
        <f>YEAR(Tabla1[[#This Row],[Date]])</f>
        <v>1993</v>
      </c>
      <c r="E3834" s="9" t="str" cm="1">
        <f t="array" ref="E3834">IFERROR(_xlfn.IFS(AND(D3834&lt;1980,D3834&gt;=1970),"70",AND(D3834&lt;1990,D3834&gt;=1980),"80",AND(D3834&lt;2000,D3834&gt;=1990),"90",AND(D3834&lt;2010,D3834&gt;=2000),"00",AND(D3834&lt;=2019,D3834&gt;=2010),"10"),"1908-1970")</f>
        <v>90</v>
      </c>
      <c r="F3834" s="3" t="s">
        <v>28931</v>
      </c>
      <c r="G3834" t="s">
        <v>22312</v>
      </c>
      <c r="H3834" t="s">
        <v>22313</v>
      </c>
      <c r="I3834">
        <v>301</v>
      </c>
      <c r="J3834" t="s">
        <v>22314</v>
      </c>
      <c r="K3834" t="s">
        <v>22315</v>
      </c>
      <c r="L3834" s="7" t="s">
        <v>22316</v>
      </c>
      <c r="M3834">
        <v>902509</v>
      </c>
      <c r="N3834">
        <v>24</v>
      </c>
      <c r="O3834">
        <v>22</v>
      </c>
      <c r="P3834">
        <v>2</v>
      </c>
      <c r="Q3834">
        <v>24</v>
      </c>
      <c r="R3834">
        <v>22</v>
      </c>
      <c r="S3834">
        <v>2</v>
      </c>
      <c r="T3834">
        <v>0</v>
      </c>
      <c r="U3834" t="s">
        <v>22317</v>
      </c>
      <c r="V3834">
        <f>Tabla1[[#This Row],[Aboard]]-Tabla1[[#This Row],[Fatalities]]</f>
        <v>0</v>
      </c>
      <c r="W3834" s="50">
        <f>IFERROR(Tabla1[[#This Row],[Fatalities]]/Tabla1[[#This Row],[Aboard]],0)</f>
        <v>1</v>
      </c>
      <c r="X3834" s="51" t="str" cm="1">
        <f t="array" ref="X3834">_xlfn.IFS(Tabla1[[#This Row],[Porcentaje de muertes]]&lt;0.35,"LEVE",AND(Tabla1[[#This Row],[Porcentaje de muertes]]&gt;0.35,Tabla1[[#This Row],[Porcentaje de muertes]]&lt;0.65),"MEDIO",Tabla1[[#This Row],[Porcentaje de muertes]]&gt;0.65,"GRAVE")</f>
        <v>GRAVE</v>
      </c>
    </row>
    <row r="3835" spans="2:24" x14ac:dyDescent="0.3">
      <c r="B3835" s="9">
        <v>3834</v>
      </c>
      <c r="C3835" s="49">
        <v>34209</v>
      </c>
      <c r="D3835" s="9">
        <f>YEAR(Tabla1[[#This Row],[Date]])</f>
        <v>1993</v>
      </c>
      <c r="E3835" s="9" t="str" cm="1">
        <f t="array" ref="E3835">IFERROR(_xlfn.IFS(AND(D3835&lt;1980,D3835&gt;=1970),"70",AND(D3835&lt;1990,D3835&gt;=1980),"80",AND(D3835&lt;2000,D3835&gt;=1990),"90",AND(D3835&lt;2010,D3835&gt;=2000),"00",AND(D3835&lt;=2019,D3835&gt;=2010),"10"),"1908-1970")</f>
        <v>90</v>
      </c>
      <c r="F3835" s="3">
        <v>0.44791666666666669</v>
      </c>
      <c r="G3835" t="s">
        <v>22318</v>
      </c>
      <c r="H3835" t="s">
        <v>22263</v>
      </c>
      <c r="I3835" t="s">
        <v>28931</v>
      </c>
      <c r="J3835" t="s">
        <v>22319</v>
      </c>
      <c r="K3835" t="s">
        <v>15961</v>
      </c>
      <c r="L3835" s="7" t="s">
        <v>22320</v>
      </c>
      <c r="M3835">
        <v>9541944</v>
      </c>
      <c r="N3835">
        <v>86</v>
      </c>
      <c r="O3835">
        <v>81</v>
      </c>
      <c r="P3835">
        <v>5</v>
      </c>
      <c r="Q3835">
        <v>82</v>
      </c>
      <c r="R3835">
        <v>77</v>
      </c>
      <c r="S3835">
        <v>5</v>
      </c>
      <c r="T3835">
        <v>0</v>
      </c>
      <c r="U3835" t="s">
        <v>22321</v>
      </c>
      <c r="V3835">
        <f>Tabla1[[#This Row],[Aboard]]-Tabla1[[#This Row],[Fatalities]]</f>
        <v>4</v>
      </c>
      <c r="W3835" s="50">
        <f>IFERROR(Tabla1[[#This Row],[Fatalities]]/Tabla1[[#This Row],[Aboard]],0)</f>
        <v>0.95348837209302328</v>
      </c>
      <c r="X3835" s="51" t="str" cm="1">
        <f t="array" ref="X3835">_xlfn.IFS(Tabla1[[#This Row],[Porcentaje de muertes]]&lt;0.35,"LEVE",AND(Tabla1[[#This Row],[Porcentaje de muertes]]&gt;0.35,Tabla1[[#This Row],[Porcentaje de muertes]]&lt;0.65),"MEDIO",Tabla1[[#This Row],[Porcentaje de muertes]]&gt;0.65,"GRAVE")</f>
        <v>GRAVE</v>
      </c>
    </row>
    <row r="3836" spans="2:24" x14ac:dyDescent="0.3">
      <c r="B3836" s="9">
        <v>3835</v>
      </c>
      <c r="C3836" s="49">
        <v>34226</v>
      </c>
      <c r="D3836" s="9">
        <f>YEAR(Tabla1[[#This Row],[Date]])</f>
        <v>1993</v>
      </c>
      <c r="E3836" s="9" t="str" cm="1">
        <f t="array" ref="E3836">IFERROR(_xlfn.IFS(AND(D3836&lt;1980,D3836&gt;=1970),"70",AND(D3836&lt;1990,D3836&gt;=1980),"80",AND(D3836&lt;2000,D3836&gt;=1990),"90",AND(D3836&lt;2010,D3836&gt;=2000),"00",AND(D3836&lt;=2019,D3836&gt;=2010),"10"),"1908-1970")</f>
        <v>90</v>
      </c>
      <c r="F3836" s="3">
        <v>0.69652777777777775</v>
      </c>
      <c r="G3836" t="s">
        <v>7069</v>
      </c>
      <c r="H3836" t="s">
        <v>7110</v>
      </c>
      <c r="I3836" t="s">
        <v>22322</v>
      </c>
      <c r="J3836" t="s">
        <v>22323</v>
      </c>
      <c r="K3836" t="s">
        <v>22324</v>
      </c>
      <c r="L3836" s="7" t="s">
        <v>22325</v>
      </c>
      <c r="M3836">
        <v>105</v>
      </c>
      <c r="N3836">
        <v>70</v>
      </c>
      <c r="O3836">
        <v>64</v>
      </c>
      <c r="P3836">
        <v>6</v>
      </c>
      <c r="Q3836">
        <v>2</v>
      </c>
      <c r="R3836">
        <v>1</v>
      </c>
      <c r="S3836">
        <v>1</v>
      </c>
      <c r="T3836">
        <v>0</v>
      </c>
      <c r="U3836" t="s">
        <v>22326</v>
      </c>
      <c r="V3836">
        <f>Tabla1[[#This Row],[Aboard]]-Tabla1[[#This Row],[Fatalities]]</f>
        <v>68</v>
      </c>
      <c r="W3836" s="50">
        <f>IFERROR(Tabla1[[#This Row],[Fatalities]]/Tabla1[[#This Row],[Aboard]],0)</f>
        <v>2.8571428571428571E-2</v>
      </c>
      <c r="X3836" s="51" t="str" cm="1">
        <f t="array" ref="X3836">_xlfn.IFS(Tabla1[[#This Row],[Porcentaje de muertes]]&lt;0.35,"LEVE",AND(Tabla1[[#This Row],[Porcentaje de muertes]]&gt;0.35,Tabla1[[#This Row],[Porcentaje de muertes]]&lt;0.65),"MEDIO",Tabla1[[#This Row],[Porcentaje de muertes]]&gt;0.65,"GRAVE")</f>
        <v>LEVE</v>
      </c>
    </row>
    <row r="3837" spans="2:24" x14ac:dyDescent="0.3">
      <c r="B3837" s="9">
        <v>3836</v>
      </c>
      <c r="C3837" s="49">
        <v>34233</v>
      </c>
      <c r="D3837" s="9">
        <f>YEAR(Tabla1[[#This Row],[Date]])</f>
        <v>1993</v>
      </c>
      <c r="E3837" s="9" t="str" cm="1">
        <f t="array" ref="E3837">IFERROR(_xlfn.IFS(AND(D3837&lt;1980,D3837&gt;=1970),"70",AND(D3837&lt;1990,D3837&gt;=1980),"80",AND(D3837&lt;2000,D3837&gt;=1990),"90",AND(D3837&lt;2010,D3837&gt;=2000),"00",AND(D3837&lt;=2019,D3837&gt;=2010),"10"),"1908-1970")</f>
        <v>90</v>
      </c>
      <c r="F3837" s="3">
        <v>0.68402777777777779</v>
      </c>
      <c r="G3837" t="s">
        <v>22327</v>
      </c>
      <c r="H3837" t="s">
        <v>22328</v>
      </c>
      <c r="I3837" t="s">
        <v>28931</v>
      </c>
      <c r="J3837" t="s">
        <v>22329</v>
      </c>
      <c r="K3837" t="s">
        <v>16145</v>
      </c>
      <c r="L3837" s="7" t="s">
        <v>22330</v>
      </c>
      <c r="M3837">
        <v>5340120</v>
      </c>
      <c r="N3837">
        <v>27</v>
      </c>
      <c r="O3837">
        <v>22</v>
      </c>
      <c r="P3837">
        <v>5</v>
      </c>
      <c r="Q3837">
        <v>27</v>
      </c>
      <c r="R3837">
        <v>22</v>
      </c>
      <c r="S3837">
        <v>5</v>
      </c>
      <c r="T3837">
        <v>0</v>
      </c>
      <c r="U3837" t="s">
        <v>22331</v>
      </c>
      <c r="V3837">
        <f>Tabla1[[#This Row],[Aboard]]-Tabla1[[#This Row],[Fatalities]]</f>
        <v>0</v>
      </c>
      <c r="W3837" s="50">
        <f>IFERROR(Tabla1[[#This Row],[Fatalities]]/Tabla1[[#This Row],[Aboard]],0)</f>
        <v>1</v>
      </c>
      <c r="X3837" s="51" t="str" cm="1">
        <f t="array" ref="X3837">_xlfn.IFS(Tabla1[[#This Row],[Porcentaje de muertes]]&lt;0.35,"LEVE",AND(Tabla1[[#This Row],[Porcentaje de muertes]]&gt;0.35,Tabla1[[#This Row],[Porcentaje de muertes]]&lt;0.65),"MEDIO",Tabla1[[#This Row],[Porcentaje de muertes]]&gt;0.65,"GRAVE")</f>
        <v>GRAVE</v>
      </c>
    </row>
    <row r="3838" spans="2:24" x14ac:dyDescent="0.3">
      <c r="B3838" s="9">
        <v>3837</v>
      </c>
      <c r="C3838" s="49">
        <v>34234</v>
      </c>
      <c r="D3838" s="9">
        <f>YEAR(Tabla1[[#This Row],[Date]])</f>
        <v>1993</v>
      </c>
      <c r="E3838" s="9" t="str" cm="1">
        <f t="array" ref="E3838">IFERROR(_xlfn.IFS(AND(D3838&lt;1980,D3838&gt;=1970),"70",AND(D3838&lt;1990,D3838&gt;=1980),"80",AND(D3838&lt;2000,D3838&gt;=1990),"90",AND(D3838&lt;2010,D3838&gt;=2000),"00",AND(D3838&lt;=2019,D3838&gt;=2010),"10"),"1908-1970")</f>
        <v>90</v>
      </c>
      <c r="F3838" s="3">
        <v>0.77083333333333337</v>
      </c>
      <c r="G3838" t="s">
        <v>22327</v>
      </c>
      <c r="H3838" t="s">
        <v>22328</v>
      </c>
      <c r="I3838" t="s">
        <v>28931</v>
      </c>
      <c r="J3838" t="s">
        <v>17475</v>
      </c>
      <c r="K3838" t="s">
        <v>17443</v>
      </c>
      <c r="L3838" s="7" t="s">
        <v>22332</v>
      </c>
      <c r="M3838" t="s">
        <v>22333</v>
      </c>
      <c r="N3838">
        <v>132</v>
      </c>
      <c r="O3838">
        <v>120</v>
      </c>
      <c r="P3838">
        <v>12</v>
      </c>
      <c r="Q3838">
        <v>108</v>
      </c>
      <c r="R3838">
        <v>100</v>
      </c>
      <c r="S3838">
        <v>8</v>
      </c>
      <c r="T3838">
        <v>0</v>
      </c>
      <c r="U3838" t="s">
        <v>22334</v>
      </c>
      <c r="V3838">
        <f>Tabla1[[#This Row],[Aboard]]-Tabla1[[#This Row],[Fatalities]]</f>
        <v>24</v>
      </c>
      <c r="W3838" s="50">
        <f>IFERROR(Tabla1[[#This Row],[Fatalities]]/Tabla1[[#This Row],[Aboard]],0)</f>
        <v>0.81818181818181823</v>
      </c>
      <c r="X3838" s="51" t="str" cm="1">
        <f t="array" ref="X3838">_xlfn.IFS(Tabla1[[#This Row],[Porcentaje de muertes]]&lt;0.35,"LEVE",AND(Tabla1[[#This Row],[Porcentaje de muertes]]&gt;0.35,Tabla1[[#This Row],[Porcentaje de muertes]]&lt;0.65),"MEDIO",Tabla1[[#This Row],[Porcentaje de muertes]]&gt;0.65,"GRAVE")</f>
        <v>GRAVE</v>
      </c>
    </row>
    <row r="3839" spans="2:24" x14ac:dyDescent="0.3">
      <c r="B3839" s="9">
        <v>3838</v>
      </c>
      <c r="C3839" s="49">
        <v>34069</v>
      </c>
      <c r="D3839" s="9">
        <f>YEAR(Tabla1[[#This Row],[Date]])</f>
        <v>1993</v>
      </c>
      <c r="E3839" s="9" t="str" cm="1">
        <f t="array" ref="E3839">IFERROR(_xlfn.IFS(AND(D3839&lt;1980,D3839&gt;=1970),"70",AND(D3839&lt;1990,D3839&gt;=1980),"80",AND(D3839&lt;2000,D3839&gt;=1990),"90",AND(D3839&lt;2010,D3839&gt;=2000),"00",AND(D3839&lt;=2019,D3839&gt;=2010),"10"),"1908-1970")</f>
        <v>90</v>
      </c>
      <c r="F3839" s="3" t="s">
        <v>28931</v>
      </c>
      <c r="G3839" t="s">
        <v>22335</v>
      </c>
      <c r="H3839" t="s">
        <v>22274</v>
      </c>
      <c r="I3839" t="s">
        <v>28931</v>
      </c>
      <c r="J3839" t="s">
        <v>28931</v>
      </c>
      <c r="K3839" t="s">
        <v>19284</v>
      </c>
      <c r="L3839" s="7" t="s">
        <v>28931</v>
      </c>
      <c r="M3839" t="s">
        <v>28931</v>
      </c>
      <c r="N3839">
        <v>60</v>
      </c>
      <c r="O3839" t="s">
        <v>5038</v>
      </c>
      <c r="P3839" t="s">
        <v>5038</v>
      </c>
      <c r="Q3839">
        <v>60</v>
      </c>
      <c r="R3839" t="s">
        <v>5038</v>
      </c>
      <c r="S3839" t="s">
        <v>5038</v>
      </c>
      <c r="T3839">
        <v>0</v>
      </c>
      <c r="U3839" t="s">
        <v>28927</v>
      </c>
      <c r="V3839">
        <f>Tabla1[[#This Row],[Aboard]]-Tabla1[[#This Row],[Fatalities]]</f>
        <v>0</v>
      </c>
      <c r="W3839" s="50">
        <f>IFERROR(Tabla1[[#This Row],[Fatalities]]/Tabla1[[#This Row],[Aboard]],0)</f>
        <v>1</v>
      </c>
      <c r="X3839" s="51" t="str" cm="1">
        <f t="array" ref="X3839">_xlfn.IFS(Tabla1[[#This Row],[Porcentaje de muertes]]&lt;0.35,"LEVE",AND(Tabla1[[#This Row],[Porcentaje de muertes]]&gt;0.35,Tabla1[[#This Row],[Porcentaje de muertes]]&lt;0.65),"MEDIO",Tabla1[[#This Row],[Porcentaje de muertes]]&gt;0.65,"GRAVE")</f>
        <v>GRAVE</v>
      </c>
    </row>
    <row r="3840" spans="2:24" x14ac:dyDescent="0.3">
      <c r="B3840" s="9">
        <v>3839</v>
      </c>
      <c r="C3840" s="49">
        <v>34267</v>
      </c>
      <c r="D3840" s="9">
        <f>YEAR(Tabla1[[#This Row],[Date]])</f>
        <v>1993</v>
      </c>
      <c r="E3840" s="9" t="str" cm="1">
        <f t="array" ref="E3840">IFERROR(_xlfn.IFS(AND(D3840&lt;1980,D3840&gt;=1970),"70",AND(D3840&lt;1990,D3840&gt;=1980),"80",AND(D3840&lt;2000,D3840&gt;=1990),"90",AND(D3840&lt;2010,D3840&gt;=2000),"00",AND(D3840&lt;=2019,D3840&gt;=2010),"10"),"1908-1970")</f>
        <v>90</v>
      </c>
      <c r="F3840" s="3" t="s">
        <v>28931</v>
      </c>
      <c r="G3840" t="s">
        <v>22336</v>
      </c>
      <c r="H3840" t="s">
        <v>22337</v>
      </c>
      <c r="I3840" t="s">
        <v>28931</v>
      </c>
      <c r="J3840" t="s">
        <v>22338</v>
      </c>
      <c r="K3840" t="s">
        <v>22339</v>
      </c>
      <c r="L3840" s="7" t="s">
        <v>22340</v>
      </c>
      <c r="M3840">
        <v>4</v>
      </c>
      <c r="N3840">
        <v>9</v>
      </c>
      <c r="O3840">
        <v>6</v>
      </c>
      <c r="P3840">
        <v>3</v>
      </c>
      <c r="Q3840">
        <v>9</v>
      </c>
      <c r="R3840">
        <v>6</v>
      </c>
      <c r="S3840">
        <v>3</v>
      </c>
      <c r="T3840">
        <v>0</v>
      </c>
      <c r="U3840" t="s">
        <v>22341</v>
      </c>
      <c r="V3840">
        <f>Tabla1[[#This Row],[Aboard]]-Tabla1[[#This Row],[Fatalities]]</f>
        <v>0</v>
      </c>
      <c r="W3840" s="50">
        <f>IFERROR(Tabla1[[#This Row],[Fatalities]]/Tabla1[[#This Row],[Aboard]],0)</f>
        <v>1</v>
      </c>
      <c r="X3840" s="51" t="str" cm="1">
        <f t="array" ref="X3840">_xlfn.IFS(Tabla1[[#This Row],[Porcentaje de muertes]]&lt;0.35,"LEVE",AND(Tabla1[[#This Row],[Porcentaje de muertes]]&gt;0.35,Tabla1[[#This Row],[Porcentaje de muertes]]&lt;0.65),"MEDIO",Tabla1[[#This Row],[Porcentaje de muertes]]&gt;0.65,"GRAVE")</f>
        <v>GRAVE</v>
      </c>
    </row>
    <row r="3841" spans="2:24" x14ac:dyDescent="0.3">
      <c r="B3841" s="9">
        <v>3840</v>
      </c>
      <c r="C3841" s="49">
        <v>34268</v>
      </c>
      <c r="D3841" s="9">
        <f>YEAR(Tabla1[[#This Row],[Date]])</f>
        <v>1993</v>
      </c>
      <c r="E3841" s="9" t="str" cm="1">
        <f t="array" ref="E3841">IFERROR(_xlfn.IFS(AND(D3841&lt;1980,D3841&gt;=1970),"70",AND(D3841&lt;1990,D3841&gt;=1980),"80",AND(D3841&lt;2000,D3841&gt;=1990),"90",AND(D3841&lt;2010,D3841&gt;=2000),"00",AND(D3841&lt;=2019,D3841&gt;=2010),"10"),"1908-1970")</f>
        <v>90</v>
      </c>
      <c r="F3841" s="3">
        <v>0.5444444444444444</v>
      </c>
      <c r="G3841" t="s">
        <v>22342</v>
      </c>
      <c r="H3841" t="s">
        <v>20990</v>
      </c>
      <c r="I3841">
        <v>5398</v>
      </c>
      <c r="J3841" t="s">
        <v>22343</v>
      </c>
      <c r="K3841" t="s">
        <v>20382</v>
      </c>
      <c r="L3841" s="7" t="s">
        <v>22344</v>
      </c>
      <c r="M3841">
        <v>49355</v>
      </c>
      <c r="N3841">
        <v>80</v>
      </c>
      <c r="O3841">
        <v>71</v>
      </c>
      <c r="P3841">
        <v>9</v>
      </c>
      <c r="Q3841">
        <v>2</v>
      </c>
      <c r="R3841">
        <v>2</v>
      </c>
      <c r="S3841">
        <v>0</v>
      </c>
      <c r="T3841">
        <v>0</v>
      </c>
      <c r="U3841" t="s">
        <v>22345</v>
      </c>
      <c r="V3841">
        <f>Tabla1[[#This Row],[Aboard]]-Tabla1[[#This Row],[Fatalities]]</f>
        <v>78</v>
      </c>
      <c r="W3841" s="50">
        <f>IFERROR(Tabla1[[#This Row],[Fatalities]]/Tabla1[[#This Row],[Aboard]],0)</f>
        <v>2.5000000000000001E-2</v>
      </c>
      <c r="X3841" s="51" t="str" cm="1">
        <f t="array" ref="X3841">_xlfn.IFS(Tabla1[[#This Row],[Porcentaje de muertes]]&lt;0.35,"LEVE",AND(Tabla1[[#This Row],[Porcentaje de muertes]]&gt;0.35,Tabla1[[#This Row],[Porcentaje de muertes]]&lt;0.65),"MEDIO",Tabla1[[#This Row],[Porcentaje de muertes]]&gt;0.65,"GRAVE")</f>
        <v>LEVE</v>
      </c>
    </row>
    <row r="3842" spans="2:24" x14ac:dyDescent="0.3">
      <c r="B3842" s="9">
        <v>3842</v>
      </c>
      <c r="C3842" s="49">
        <v>34253</v>
      </c>
      <c r="D3842" s="9">
        <f>YEAR(Tabla1[[#This Row],[Date]])</f>
        <v>1993</v>
      </c>
      <c r="E3842" s="9" t="str" cm="1">
        <f t="array" ref="E3842">IFERROR(_xlfn.IFS(AND(D3842&lt;1980,D3842&gt;=1970),"70",AND(D3842&lt;1990,D3842&gt;=1980),"80",AND(D3842&lt;2000,D3842&gt;=1990),"90",AND(D3842&lt;2010,D3842&gt;=2000),"00",AND(D3842&lt;=2019,D3842&gt;=2010),"10"),"1908-1970")</f>
        <v>90</v>
      </c>
      <c r="F3842" s="3">
        <v>0.75347222222222221</v>
      </c>
      <c r="G3842" t="s">
        <v>22346</v>
      </c>
      <c r="H3842" t="s">
        <v>20328</v>
      </c>
      <c r="I3842">
        <v>205</v>
      </c>
      <c r="J3842" t="s">
        <v>22347</v>
      </c>
      <c r="K3842" t="s">
        <v>22348</v>
      </c>
      <c r="L3842" s="7" t="s">
        <v>22349</v>
      </c>
      <c r="M3842">
        <v>1617</v>
      </c>
      <c r="N3842">
        <v>7</v>
      </c>
      <c r="O3842">
        <v>4</v>
      </c>
      <c r="P3842">
        <v>3</v>
      </c>
      <c r="Q3842">
        <v>7</v>
      </c>
      <c r="R3842">
        <v>4</v>
      </c>
      <c r="S3842">
        <v>3</v>
      </c>
      <c r="T3842">
        <v>0</v>
      </c>
      <c r="U3842" t="s">
        <v>22350</v>
      </c>
      <c r="V3842">
        <f>Tabla1[[#This Row],[Aboard]]-Tabla1[[#This Row],[Fatalities]]</f>
        <v>0</v>
      </c>
      <c r="W3842" s="50">
        <f>IFERROR(Tabla1[[#This Row],[Fatalities]]/Tabla1[[#This Row],[Aboard]],0)</f>
        <v>1</v>
      </c>
      <c r="X3842" s="51" t="str" cm="1">
        <f t="array" ref="X3842">_xlfn.IFS(Tabla1[[#This Row],[Porcentaje de muertes]]&lt;0.35,"LEVE",AND(Tabla1[[#This Row],[Porcentaje de muertes]]&gt;0.35,Tabla1[[#This Row],[Porcentaje de muertes]]&lt;0.65),"MEDIO",Tabla1[[#This Row],[Porcentaje de muertes]]&gt;0.65,"GRAVE")</f>
        <v>GRAVE</v>
      </c>
    </row>
    <row r="3843" spans="2:24" x14ac:dyDescent="0.3">
      <c r="B3843" s="9">
        <v>3843</v>
      </c>
      <c r="C3843" s="49">
        <v>34286</v>
      </c>
      <c r="D3843" s="9">
        <f>YEAR(Tabla1[[#This Row],[Date]])</f>
        <v>1993</v>
      </c>
      <c r="E3843" s="9" t="str" cm="1">
        <f t="array" ref="E3843">IFERROR(_xlfn.IFS(AND(D3843&lt;1980,D3843&gt;=1970),"70",AND(D3843&lt;1990,D3843&gt;=1980),"80",AND(D3843&lt;2000,D3843&gt;=1990),"90",AND(D3843&lt;2010,D3843&gt;=2000),"00",AND(D3843&lt;=2019,D3843&gt;=2010),"10"),"1908-1970")</f>
        <v>90</v>
      </c>
      <c r="F3843" s="3">
        <v>0.62152777777777779</v>
      </c>
      <c r="G3843" t="s">
        <v>22351</v>
      </c>
      <c r="H3843" t="s">
        <v>22352</v>
      </c>
      <c r="I3843">
        <v>6901</v>
      </c>
      <c r="J3843" t="s">
        <v>22353</v>
      </c>
      <c r="K3843" t="s">
        <v>20382</v>
      </c>
      <c r="L3843" s="7" t="s">
        <v>22354</v>
      </c>
      <c r="M3843" t="s">
        <v>22355</v>
      </c>
      <c r="N3843">
        <v>102</v>
      </c>
      <c r="O3843">
        <v>92</v>
      </c>
      <c r="P3843">
        <v>10</v>
      </c>
      <c r="Q3843">
        <v>12</v>
      </c>
      <c r="R3843">
        <v>8</v>
      </c>
      <c r="S3843">
        <v>4</v>
      </c>
      <c r="T3843">
        <v>0</v>
      </c>
      <c r="U3843" t="s">
        <v>22356</v>
      </c>
      <c r="V3843">
        <f>Tabla1[[#This Row],[Aboard]]-Tabla1[[#This Row],[Fatalities]]</f>
        <v>90</v>
      </c>
      <c r="W3843" s="50">
        <f>IFERROR(Tabla1[[#This Row],[Fatalities]]/Tabla1[[#This Row],[Aboard]],0)</f>
        <v>0.11764705882352941</v>
      </c>
      <c r="X3843" s="51" t="str" cm="1">
        <f t="array" ref="X3843">_xlfn.IFS(Tabla1[[#This Row],[Porcentaje de muertes]]&lt;0.35,"LEVE",AND(Tabla1[[#This Row],[Porcentaje de muertes]]&gt;0.35,Tabla1[[#This Row],[Porcentaje de muertes]]&lt;0.65),"MEDIO",Tabla1[[#This Row],[Porcentaje de muertes]]&gt;0.65,"GRAVE")</f>
        <v>LEVE</v>
      </c>
    </row>
    <row r="3844" spans="2:24" x14ac:dyDescent="0.3">
      <c r="B3844" s="9">
        <v>3844</v>
      </c>
      <c r="C3844" s="49">
        <v>34288</v>
      </c>
      <c r="D3844" s="9">
        <f>YEAR(Tabla1[[#This Row],[Date]])</f>
        <v>1993</v>
      </c>
      <c r="E3844" s="9" t="str" cm="1">
        <f t="array" ref="E3844">IFERROR(_xlfn.IFS(AND(D3844&lt;1980,D3844&gt;=1970),"70",AND(D3844&lt;1990,D3844&gt;=1980),"80",AND(D3844&lt;2000,D3844&gt;=1990),"90",AND(D3844&lt;2010,D3844&gt;=2000),"00",AND(D3844&lt;=2019,D3844&gt;=2010),"10"),"1908-1970")</f>
        <v>90</v>
      </c>
      <c r="F3844" s="3">
        <v>0.79652777777777783</v>
      </c>
      <c r="G3844" t="s">
        <v>22357</v>
      </c>
      <c r="H3844" t="s">
        <v>22358</v>
      </c>
      <c r="I3844" t="s">
        <v>28931</v>
      </c>
      <c r="J3844" t="s">
        <v>22359</v>
      </c>
      <c r="K3844" t="s">
        <v>22360</v>
      </c>
      <c r="L3844" s="7" t="s">
        <v>22361</v>
      </c>
      <c r="M3844" s="5">
        <v>44658</v>
      </c>
      <c r="N3844">
        <v>17</v>
      </c>
      <c r="O3844">
        <v>14</v>
      </c>
      <c r="P3844">
        <v>3</v>
      </c>
      <c r="Q3844">
        <v>17</v>
      </c>
      <c r="R3844">
        <v>14</v>
      </c>
      <c r="S3844">
        <v>3</v>
      </c>
      <c r="T3844">
        <v>0</v>
      </c>
      <c r="U3844" t="s">
        <v>22362</v>
      </c>
      <c r="V3844">
        <f>Tabla1[[#This Row],[Aboard]]-Tabla1[[#This Row],[Fatalities]]</f>
        <v>0</v>
      </c>
      <c r="W3844" s="50">
        <f>IFERROR(Tabla1[[#This Row],[Fatalities]]/Tabla1[[#This Row],[Aboard]],0)</f>
        <v>1</v>
      </c>
      <c r="X3844" s="51" t="str" cm="1">
        <f t="array" ref="X3844">_xlfn.IFS(Tabla1[[#This Row],[Porcentaje de muertes]]&lt;0.35,"LEVE",AND(Tabla1[[#This Row],[Porcentaje de muertes]]&gt;0.35,Tabla1[[#This Row],[Porcentaje de muertes]]&lt;0.65),"MEDIO",Tabla1[[#This Row],[Porcentaje de muertes]]&gt;0.65,"GRAVE")</f>
        <v>GRAVE</v>
      </c>
    </row>
    <row r="3845" spans="2:24" x14ac:dyDescent="0.3">
      <c r="B3845" s="9">
        <v>3845</v>
      </c>
      <c r="C3845" s="49">
        <v>34293</v>
      </c>
      <c r="D3845" s="9">
        <f>YEAR(Tabla1[[#This Row],[Date]])</f>
        <v>1993</v>
      </c>
      <c r="E3845" s="9" t="str" cm="1">
        <f t="array" ref="E3845">IFERROR(_xlfn.IFS(AND(D3845&lt;1980,D3845&gt;=1970),"70",AND(D3845&lt;1990,D3845&gt;=1980),"80",AND(D3845&lt;2000,D3845&gt;=1990),"90",AND(D3845&lt;2010,D3845&gt;=2000),"00",AND(D3845&lt;=2019,D3845&gt;=2010),"10"),"1908-1970")</f>
        <v>90</v>
      </c>
      <c r="F3845" s="3">
        <v>0.97916666666666663</v>
      </c>
      <c r="G3845" t="s">
        <v>22363</v>
      </c>
      <c r="H3845" t="s">
        <v>22364</v>
      </c>
      <c r="I3845">
        <v>110</v>
      </c>
      <c r="J3845" t="s">
        <v>22365</v>
      </c>
      <c r="K3845" t="s">
        <v>21968</v>
      </c>
      <c r="L3845" s="7" t="s">
        <v>22366</v>
      </c>
      <c r="M3845">
        <v>4016557</v>
      </c>
      <c r="N3845">
        <v>116</v>
      </c>
      <c r="O3845">
        <v>108</v>
      </c>
      <c r="P3845">
        <v>8</v>
      </c>
      <c r="Q3845">
        <v>116</v>
      </c>
      <c r="R3845">
        <v>108</v>
      </c>
      <c r="S3845">
        <v>8</v>
      </c>
      <c r="T3845">
        <v>0</v>
      </c>
      <c r="U3845" t="s">
        <v>22367</v>
      </c>
      <c r="V3845">
        <f>Tabla1[[#This Row],[Aboard]]-Tabla1[[#This Row],[Fatalities]]</f>
        <v>0</v>
      </c>
      <c r="W3845" s="50">
        <f>IFERROR(Tabla1[[#This Row],[Fatalities]]/Tabla1[[#This Row],[Aboard]],0)</f>
        <v>1</v>
      </c>
      <c r="X3845" s="51" t="str" cm="1">
        <f t="array" ref="X3845">_xlfn.IFS(Tabla1[[#This Row],[Porcentaje de muertes]]&lt;0.35,"LEVE",AND(Tabla1[[#This Row],[Porcentaje de muertes]]&gt;0.35,Tabla1[[#This Row],[Porcentaje de muertes]]&lt;0.65),"MEDIO",Tabla1[[#This Row],[Porcentaje de muertes]]&gt;0.65,"GRAVE")</f>
        <v>GRAVE</v>
      </c>
    </row>
    <row r="3846" spans="2:24" x14ac:dyDescent="0.3">
      <c r="B3846" s="9">
        <v>3846</v>
      </c>
      <c r="C3846" s="49">
        <v>33981</v>
      </c>
      <c r="D3846" s="9">
        <f>YEAR(Tabla1[[#This Row],[Date]])</f>
        <v>1993</v>
      </c>
      <c r="E3846" s="9" t="str" cm="1">
        <f t="array" ref="E3846">IFERROR(_xlfn.IFS(AND(D3846&lt;1980,D3846&gt;=1970),"70",AND(D3846&lt;1990,D3846&gt;=1980),"80",AND(D3846&lt;2000,D3846&gt;=1990),"90",AND(D3846&lt;2010,D3846&gt;=2000),"00",AND(D3846&lt;=2019,D3846&gt;=2010),"10"),"1908-1970")</f>
        <v>90</v>
      </c>
      <c r="F3846" s="3">
        <v>0.82638888888888884</v>
      </c>
      <c r="G3846" t="s">
        <v>22368</v>
      </c>
      <c r="H3846" t="s">
        <v>22369</v>
      </c>
      <c r="I3846">
        <v>5719</v>
      </c>
      <c r="J3846" t="s">
        <v>22370</v>
      </c>
      <c r="K3846" t="s">
        <v>22371</v>
      </c>
      <c r="L3846" s="7" t="s">
        <v>22372</v>
      </c>
      <c r="M3846">
        <v>706</v>
      </c>
      <c r="N3846">
        <v>18</v>
      </c>
      <c r="O3846">
        <v>16</v>
      </c>
      <c r="P3846">
        <v>2</v>
      </c>
      <c r="Q3846">
        <v>18</v>
      </c>
      <c r="R3846">
        <v>16</v>
      </c>
      <c r="S3846">
        <v>2</v>
      </c>
      <c r="T3846">
        <v>0</v>
      </c>
      <c r="U3846" t="s">
        <v>22373</v>
      </c>
      <c r="V3846">
        <f>Tabla1[[#This Row],[Aboard]]-Tabla1[[#This Row],[Fatalities]]</f>
        <v>0</v>
      </c>
      <c r="W3846" s="50">
        <f>IFERROR(Tabla1[[#This Row],[Fatalities]]/Tabla1[[#This Row],[Aboard]],0)</f>
        <v>1</v>
      </c>
      <c r="X3846" s="51" t="str" cm="1">
        <f t="array" ref="X3846">_xlfn.IFS(Tabla1[[#This Row],[Porcentaje de muertes]]&lt;0.35,"LEVE",AND(Tabla1[[#This Row],[Porcentaje de muertes]]&gt;0.35,Tabla1[[#This Row],[Porcentaje de muertes]]&lt;0.65),"MEDIO",Tabla1[[#This Row],[Porcentaje de muertes]]&gt;0.65,"GRAVE")</f>
        <v>GRAVE</v>
      </c>
    </row>
    <row r="3847" spans="2:24" x14ac:dyDescent="0.3">
      <c r="B3847" s="9">
        <v>3847</v>
      </c>
      <c r="C3847" s="49">
        <v>34040</v>
      </c>
      <c r="D3847" s="9">
        <f>YEAR(Tabla1[[#This Row],[Date]])</f>
        <v>1993</v>
      </c>
      <c r="E3847" s="9" t="str" cm="1">
        <f t="array" ref="E3847">IFERROR(_xlfn.IFS(AND(D3847&lt;1980,D3847&gt;=1970),"70",AND(D3847&lt;1990,D3847&gt;=1980),"80",AND(D3847&lt;2000,D3847&gt;=1990),"90",AND(D3847&lt;2010,D3847&gt;=2000),"00",AND(D3847&lt;=2019,D3847&gt;=2010),"10"),"1908-1970")</f>
        <v>90</v>
      </c>
      <c r="F3847" s="3" t="s">
        <v>28931</v>
      </c>
      <c r="G3847" t="s">
        <v>22374</v>
      </c>
      <c r="H3847" t="s">
        <v>22375</v>
      </c>
      <c r="I3847" t="s">
        <v>28931</v>
      </c>
      <c r="J3847" t="s">
        <v>22376</v>
      </c>
      <c r="K3847" t="s">
        <v>22377</v>
      </c>
      <c r="L3847" s="7" t="s">
        <v>22378</v>
      </c>
      <c r="M3847">
        <v>398</v>
      </c>
      <c r="N3847">
        <v>7</v>
      </c>
      <c r="O3847">
        <v>6</v>
      </c>
      <c r="P3847">
        <v>1</v>
      </c>
      <c r="Q3847">
        <v>7</v>
      </c>
      <c r="R3847">
        <v>6</v>
      </c>
      <c r="S3847">
        <v>1</v>
      </c>
      <c r="T3847">
        <v>0</v>
      </c>
      <c r="U3847" t="s">
        <v>22379</v>
      </c>
      <c r="V3847">
        <f>Tabla1[[#This Row],[Aboard]]-Tabla1[[#This Row],[Fatalities]]</f>
        <v>0</v>
      </c>
      <c r="W3847" s="50">
        <f>IFERROR(Tabla1[[#This Row],[Fatalities]]/Tabla1[[#This Row],[Aboard]],0)</f>
        <v>1</v>
      </c>
      <c r="X3847" s="51" t="str" cm="1">
        <f t="array" ref="X3847">_xlfn.IFS(Tabla1[[#This Row],[Porcentaje de muertes]]&lt;0.35,"LEVE",AND(Tabla1[[#This Row],[Porcentaje de muertes]]&gt;0.35,Tabla1[[#This Row],[Porcentaje de muertes]]&lt;0.65),"MEDIO",Tabla1[[#This Row],[Porcentaje de muertes]]&gt;0.65,"GRAVE")</f>
        <v>GRAVE</v>
      </c>
    </row>
    <row r="3848" spans="2:24" x14ac:dyDescent="0.3">
      <c r="B3848" s="9">
        <v>3848</v>
      </c>
      <c r="C3848" s="49">
        <v>34224</v>
      </c>
      <c r="D3848" s="9">
        <f>YEAR(Tabla1[[#This Row],[Date]])</f>
        <v>1993</v>
      </c>
      <c r="E3848" s="9" t="str" cm="1">
        <f t="array" ref="E3848">IFERROR(_xlfn.IFS(AND(D3848&lt;1980,D3848&gt;=1970),"70",AND(D3848&lt;1990,D3848&gt;=1980),"80",AND(D3848&lt;2000,D3848&gt;=1990),"90",AND(D3848&lt;2010,D3848&gt;=2000),"00",AND(D3848&lt;=2019,D3848&gt;=2010),"10"),"1908-1970")</f>
        <v>90</v>
      </c>
      <c r="F3848" s="3" t="s">
        <v>28931</v>
      </c>
      <c r="G3848" t="s">
        <v>9078</v>
      </c>
      <c r="H3848" t="s">
        <v>22380</v>
      </c>
      <c r="I3848" t="s">
        <v>28931</v>
      </c>
      <c r="J3848" t="s">
        <v>28931</v>
      </c>
      <c r="K3848" t="s">
        <v>22381</v>
      </c>
      <c r="L3848" s="7" t="s">
        <v>22382</v>
      </c>
      <c r="M3848" t="s">
        <v>22383</v>
      </c>
      <c r="N3848">
        <v>3</v>
      </c>
      <c r="O3848">
        <v>2</v>
      </c>
      <c r="P3848">
        <v>1</v>
      </c>
      <c r="Q3848">
        <v>3</v>
      </c>
      <c r="R3848">
        <v>2</v>
      </c>
      <c r="S3848">
        <v>1</v>
      </c>
      <c r="T3848">
        <v>0</v>
      </c>
      <c r="U3848" t="s">
        <v>22384</v>
      </c>
      <c r="V3848">
        <f>Tabla1[[#This Row],[Aboard]]-Tabla1[[#This Row],[Fatalities]]</f>
        <v>0</v>
      </c>
      <c r="W3848" s="50">
        <f>IFERROR(Tabla1[[#This Row],[Fatalities]]/Tabla1[[#This Row],[Aboard]],0)</f>
        <v>1</v>
      </c>
      <c r="X3848" s="51" t="str" cm="1">
        <f t="array" ref="X3848">_xlfn.IFS(Tabla1[[#This Row],[Porcentaje de muertes]]&lt;0.35,"LEVE",AND(Tabla1[[#This Row],[Porcentaje de muertes]]&gt;0.35,Tabla1[[#This Row],[Porcentaje de muertes]]&lt;0.65),"MEDIO",Tabla1[[#This Row],[Porcentaje de muertes]]&gt;0.65,"GRAVE")</f>
        <v>GRAVE</v>
      </c>
    </row>
    <row r="3849" spans="2:24" x14ac:dyDescent="0.3">
      <c r="B3849" s="9">
        <v>3849</v>
      </c>
      <c r="C3849" s="49">
        <v>34316</v>
      </c>
      <c r="D3849" s="9">
        <f>YEAR(Tabla1[[#This Row],[Date]])</f>
        <v>1993</v>
      </c>
      <c r="E3849" s="9" t="str" cm="1">
        <f t="array" ref="E3849">IFERROR(_xlfn.IFS(AND(D3849&lt;1980,D3849&gt;=1970),"70",AND(D3849&lt;1990,D3849&gt;=1980),"80",AND(D3849&lt;2000,D3849&gt;=1990),"90",AND(D3849&lt;2010,D3849&gt;=2000),"00",AND(D3849&lt;=2019,D3849&gt;=2010),"10"),"1908-1970")</f>
        <v>90</v>
      </c>
      <c r="F3849" s="3">
        <v>0.3888888888888889</v>
      </c>
      <c r="G3849" t="s">
        <v>22385</v>
      </c>
      <c r="H3849" t="s">
        <v>22386</v>
      </c>
      <c r="I3849" t="s">
        <v>28931</v>
      </c>
      <c r="J3849" t="s">
        <v>22387</v>
      </c>
      <c r="K3849" t="s">
        <v>22388</v>
      </c>
      <c r="L3849" s="7" t="s">
        <v>22389</v>
      </c>
      <c r="M3849">
        <v>42</v>
      </c>
      <c r="N3849">
        <v>18</v>
      </c>
      <c r="O3849">
        <v>16</v>
      </c>
      <c r="P3849">
        <v>2</v>
      </c>
      <c r="Q3849">
        <v>18</v>
      </c>
      <c r="R3849">
        <v>16</v>
      </c>
      <c r="S3849">
        <v>2</v>
      </c>
      <c r="T3849">
        <v>0</v>
      </c>
      <c r="U3849" t="s">
        <v>22390</v>
      </c>
      <c r="V3849">
        <f>Tabla1[[#This Row],[Aboard]]-Tabla1[[#This Row],[Fatalities]]</f>
        <v>0</v>
      </c>
      <c r="W3849" s="50">
        <f>IFERROR(Tabla1[[#This Row],[Fatalities]]/Tabla1[[#This Row],[Aboard]],0)</f>
        <v>1</v>
      </c>
      <c r="X3849" s="51" t="str" cm="1">
        <f t="array" ref="X3849">_xlfn.IFS(Tabla1[[#This Row],[Porcentaje de muertes]]&lt;0.35,"LEVE",AND(Tabla1[[#This Row],[Porcentaje de muertes]]&gt;0.35,Tabla1[[#This Row],[Porcentaje de muertes]]&lt;0.65),"MEDIO",Tabla1[[#This Row],[Porcentaje de muertes]]&gt;0.65,"GRAVE")</f>
        <v>GRAVE</v>
      </c>
    </row>
    <row r="3850" spans="2:24" x14ac:dyDescent="0.3">
      <c r="B3850" s="9">
        <v>3850</v>
      </c>
      <c r="C3850" s="49">
        <v>34318</v>
      </c>
      <c r="D3850" s="9">
        <f>YEAR(Tabla1[[#This Row],[Date]])</f>
        <v>1993</v>
      </c>
      <c r="E3850" s="9" t="str" cm="1">
        <f t="array" ref="E3850">IFERROR(_xlfn.IFS(AND(D3850&lt;1980,D3850&gt;=1970),"70",AND(D3850&lt;1990,D3850&gt;=1980),"80",AND(D3850&lt;2000,D3850&gt;=1990),"90",AND(D3850&lt;2010,D3850&gt;=2000),"00",AND(D3850&lt;=2019,D3850&gt;=2010),"10"),"1908-1970")</f>
        <v>90</v>
      </c>
      <c r="F3850" s="3">
        <v>0.58333333333333337</v>
      </c>
      <c r="G3850" t="s">
        <v>22391</v>
      </c>
      <c r="H3850" t="s">
        <v>11996</v>
      </c>
      <c r="I3850" t="s">
        <v>28931</v>
      </c>
      <c r="J3850" t="s">
        <v>14324</v>
      </c>
      <c r="K3850" t="s">
        <v>17162</v>
      </c>
      <c r="L3850" s="7">
        <v>4761</v>
      </c>
      <c r="M3850">
        <v>4761</v>
      </c>
      <c r="N3850">
        <v>29</v>
      </c>
      <c r="O3850">
        <v>23</v>
      </c>
      <c r="P3850">
        <v>6</v>
      </c>
      <c r="Q3850">
        <v>29</v>
      </c>
      <c r="R3850">
        <v>23</v>
      </c>
      <c r="S3850">
        <v>6</v>
      </c>
      <c r="T3850">
        <v>0</v>
      </c>
      <c r="U3850" t="s">
        <v>22392</v>
      </c>
      <c r="V3850">
        <f>Tabla1[[#This Row],[Aboard]]-Tabla1[[#This Row],[Fatalities]]</f>
        <v>0</v>
      </c>
      <c r="W3850" s="50">
        <f>IFERROR(Tabla1[[#This Row],[Fatalities]]/Tabla1[[#This Row],[Aboard]],0)</f>
        <v>1</v>
      </c>
      <c r="X3850" s="51" t="str" cm="1">
        <f t="array" ref="X3850">_xlfn.IFS(Tabla1[[#This Row],[Porcentaje de muertes]]&lt;0.35,"LEVE",AND(Tabla1[[#This Row],[Porcentaje de muertes]]&gt;0.35,Tabla1[[#This Row],[Porcentaje de muertes]]&lt;0.65),"MEDIO",Tabla1[[#This Row],[Porcentaje de muertes]]&gt;0.65,"GRAVE")</f>
        <v>GRAVE</v>
      </c>
    </row>
    <row r="3851" spans="2:24" x14ac:dyDescent="0.3">
      <c r="B3851" s="9">
        <v>3851</v>
      </c>
      <c r="C3851" s="49">
        <v>34329</v>
      </c>
      <c r="D3851" s="9">
        <f>YEAR(Tabla1[[#This Row],[Date]])</f>
        <v>1993</v>
      </c>
      <c r="E3851" s="9" t="str" cm="1">
        <f t="array" ref="E3851">IFERROR(_xlfn.IFS(AND(D3851&lt;1980,D3851&gt;=1970),"70",AND(D3851&lt;1990,D3851&gt;=1980),"80",AND(D3851&lt;2000,D3851&gt;=1990),"90",AND(D3851&lt;2010,D3851&gt;=2000),"00",AND(D3851&lt;=2019,D3851&gt;=2010),"10"),"1908-1970")</f>
        <v>90</v>
      </c>
      <c r="F3851" s="3">
        <v>0.87291666666666667</v>
      </c>
      <c r="G3851" t="s">
        <v>22393</v>
      </c>
      <c r="H3851" t="s">
        <v>22394</v>
      </c>
      <c r="I3851">
        <v>5719</v>
      </c>
      <c r="J3851" t="s">
        <v>22395</v>
      </c>
      <c r="K3851" t="s">
        <v>17904</v>
      </c>
      <c r="L3851" s="7" t="s">
        <v>22396</v>
      </c>
      <c r="M3851">
        <v>12903</v>
      </c>
      <c r="N3851">
        <v>36</v>
      </c>
      <c r="O3851">
        <v>31</v>
      </c>
      <c r="P3851">
        <v>5</v>
      </c>
      <c r="Q3851">
        <v>36</v>
      </c>
      <c r="R3851">
        <v>31</v>
      </c>
      <c r="S3851">
        <v>5</v>
      </c>
      <c r="T3851">
        <v>0</v>
      </c>
      <c r="U3851" t="s">
        <v>22397</v>
      </c>
      <c r="V3851">
        <f>Tabla1[[#This Row],[Aboard]]-Tabla1[[#This Row],[Fatalities]]</f>
        <v>0</v>
      </c>
      <c r="W3851" s="50">
        <f>IFERROR(Tabla1[[#This Row],[Fatalities]]/Tabla1[[#This Row],[Aboard]],0)</f>
        <v>1</v>
      </c>
      <c r="X3851" s="51" t="str" cm="1">
        <f t="array" ref="X3851">_xlfn.IFS(Tabla1[[#This Row],[Porcentaje de muertes]]&lt;0.35,"LEVE",AND(Tabla1[[#This Row],[Porcentaje de muertes]]&gt;0.35,Tabla1[[#This Row],[Porcentaje de muertes]]&lt;0.65),"MEDIO",Tabla1[[#This Row],[Porcentaje de muertes]]&gt;0.65,"GRAVE")</f>
        <v>GRAVE</v>
      </c>
    </row>
    <row r="3852" spans="2:24" x14ac:dyDescent="0.3">
      <c r="B3852" s="9">
        <v>3852</v>
      </c>
      <c r="C3852" s="49">
        <v>34394</v>
      </c>
      <c r="D3852" s="9">
        <f>YEAR(Tabla1[[#This Row],[Date]])</f>
        <v>1994</v>
      </c>
      <c r="E3852" s="9" t="str" cm="1">
        <f t="array" ref="E3852">IFERROR(_xlfn.IFS(AND(D3852&lt;1980,D3852&gt;=1970),"70",AND(D3852&lt;1990,D3852&gt;=1980),"80",AND(D3852&lt;2000,D3852&gt;=1990),"90",AND(D3852&lt;2010,D3852&gt;=2000),"00",AND(D3852&lt;=2019,D3852&gt;=2010),"10"),"1908-1970")</f>
        <v>90</v>
      </c>
      <c r="F3852" s="3">
        <v>0.50555555555555554</v>
      </c>
      <c r="G3852" t="s">
        <v>22398</v>
      </c>
      <c r="H3852" t="s">
        <v>22399</v>
      </c>
      <c r="I3852">
        <v>130</v>
      </c>
      <c r="J3852" t="s">
        <v>22400</v>
      </c>
      <c r="K3852" t="s">
        <v>22401</v>
      </c>
      <c r="L3852" s="7" t="s">
        <v>22402</v>
      </c>
      <c r="M3852" t="s">
        <v>22403</v>
      </c>
      <c r="N3852">
        <v>124</v>
      </c>
      <c r="O3852">
        <v>115</v>
      </c>
      <c r="P3852">
        <v>9</v>
      </c>
      <c r="Q3852">
        <v>124</v>
      </c>
      <c r="R3852">
        <v>115</v>
      </c>
      <c r="S3852">
        <v>9</v>
      </c>
      <c r="T3852">
        <v>1</v>
      </c>
      <c r="U3852" t="s">
        <v>22404</v>
      </c>
      <c r="V3852">
        <f>Tabla1[[#This Row],[Aboard]]-Tabla1[[#This Row],[Fatalities]]</f>
        <v>0</v>
      </c>
      <c r="W3852" s="50">
        <f>IFERROR(Tabla1[[#This Row],[Fatalities]]/Tabla1[[#This Row],[Aboard]],0)</f>
        <v>1</v>
      </c>
      <c r="X3852" s="51" t="str" cm="1">
        <f t="array" ref="X3852">_xlfn.IFS(Tabla1[[#This Row],[Porcentaje de muertes]]&lt;0.35,"LEVE",AND(Tabla1[[#This Row],[Porcentaje de muertes]]&gt;0.35,Tabla1[[#This Row],[Porcentaje de muertes]]&lt;0.65),"MEDIO",Tabla1[[#This Row],[Porcentaje de muertes]]&gt;0.65,"GRAVE")</f>
        <v>GRAVE</v>
      </c>
    </row>
    <row r="3853" spans="2:24" x14ac:dyDescent="0.3">
      <c r="B3853" s="9">
        <v>3853</v>
      </c>
      <c r="C3853" s="49">
        <v>34516</v>
      </c>
      <c r="D3853" s="9">
        <f>YEAR(Tabla1[[#This Row],[Date]])</f>
        <v>1994</v>
      </c>
      <c r="E3853" s="9" t="str" cm="1">
        <f t="array" ref="E3853">IFERROR(_xlfn.IFS(AND(D3853&lt;1980,D3853&gt;=1970),"70",AND(D3853&lt;1990,D3853&gt;=1980),"80",AND(D3853&lt;2000,D3853&gt;=1990),"90",AND(D3853&lt;2010,D3853&gt;=2000),"00",AND(D3853&lt;=2019,D3853&gt;=2010),"10"),"1908-1970")</f>
        <v>90</v>
      </c>
      <c r="F3853" s="3">
        <v>0.97291666666666676</v>
      </c>
      <c r="G3853" t="s">
        <v>5780</v>
      </c>
      <c r="H3853" t="s">
        <v>22405</v>
      </c>
      <c r="I3853">
        <v>6291</v>
      </c>
      <c r="J3853" t="s">
        <v>22406</v>
      </c>
      <c r="K3853" t="s">
        <v>22407</v>
      </c>
      <c r="L3853" s="7" t="s">
        <v>22408</v>
      </c>
      <c r="M3853">
        <v>41016</v>
      </c>
      <c r="N3853">
        <v>8</v>
      </c>
      <c r="O3853">
        <v>3</v>
      </c>
      <c r="P3853">
        <v>5</v>
      </c>
      <c r="Q3853">
        <v>5</v>
      </c>
      <c r="R3853">
        <v>2</v>
      </c>
      <c r="S3853">
        <v>3</v>
      </c>
      <c r="T3853">
        <v>0</v>
      </c>
      <c r="U3853" t="s">
        <v>22409</v>
      </c>
      <c r="V3853">
        <f>Tabla1[[#This Row],[Aboard]]-Tabla1[[#This Row],[Fatalities]]</f>
        <v>3</v>
      </c>
      <c r="W3853" s="50">
        <f>IFERROR(Tabla1[[#This Row],[Fatalities]]/Tabla1[[#This Row],[Aboard]],0)</f>
        <v>0.625</v>
      </c>
      <c r="X3853" s="51" t="str" cm="1">
        <f t="array" ref="X3853">_xlfn.IFS(Tabla1[[#This Row],[Porcentaje de muertes]]&lt;0.35,"LEVE",AND(Tabla1[[#This Row],[Porcentaje de muertes]]&gt;0.35,Tabla1[[#This Row],[Porcentaje de muertes]]&lt;0.65),"MEDIO",Tabla1[[#This Row],[Porcentaje de muertes]]&gt;0.65,"GRAVE")</f>
        <v>MEDIO</v>
      </c>
    </row>
    <row r="3854" spans="2:24" x14ac:dyDescent="0.3">
      <c r="B3854" s="9">
        <v>3854</v>
      </c>
      <c r="C3854" s="49">
        <v>34389</v>
      </c>
      <c r="D3854" s="9">
        <f>YEAR(Tabla1[[#This Row],[Date]])</f>
        <v>1994</v>
      </c>
      <c r="E3854" s="9" t="str" cm="1">
        <f t="array" ref="E3854">IFERROR(_xlfn.IFS(AND(D3854&lt;1980,D3854&gt;=1970),"70",AND(D3854&lt;1990,D3854&gt;=1980),"80",AND(D3854&lt;2000,D3854&gt;=1990),"90",AND(D3854&lt;2010,D3854&gt;=2000),"00",AND(D3854&lt;=2019,D3854&gt;=2010),"10"),"1908-1970")</f>
        <v>90</v>
      </c>
      <c r="F3854" s="3">
        <v>0.4694444444444445</v>
      </c>
      <c r="G3854" t="s">
        <v>22410</v>
      </c>
      <c r="H3854" t="s">
        <v>22411</v>
      </c>
      <c r="I3854" t="s">
        <v>22412</v>
      </c>
      <c r="J3854" t="s">
        <v>22413</v>
      </c>
      <c r="K3854" t="s">
        <v>16941</v>
      </c>
      <c r="L3854" s="7" t="s">
        <v>22414</v>
      </c>
      <c r="M3854">
        <v>13480002</v>
      </c>
      <c r="N3854">
        <v>13</v>
      </c>
      <c r="O3854">
        <v>7</v>
      </c>
      <c r="P3854">
        <v>6</v>
      </c>
      <c r="Q3854">
        <v>13</v>
      </c>
      <c r="R3854">
        <v>7</v>
      </c>
      <c r="S3854">
        <v>6</v>
      </c>
      <c r="T3854">
        <v>0</v>
      </c>
      <c r="U3854" t="s">
        <v>22415</v>
      </c>
      <c r="V3854">
        <f>Tabla1[[#This Row],[Aboard]]-Tabla1[[#This Row],[Fatalities]]</f>
        <v>0</v>
      </c>
      <c r="W3854" s="50">
        <f>IFERROR(Tabla1[[#This Row],[Fatalities]]/Tabla1[[#This Row],[Aboard]],0)</f>
        <v>1</v>
      </c>
      <c r="X3854" s="51" t="str" cm="1">
        <f t="array" ref="X3854">_xlfn.IFS(Tabla1[[#This Row],[Porcentaje de muertes]]&lt;0.35,"LEVE",AND(Tabla1[[#This Row],[Porcentaje de muertes]]&gt;0.35,Tabla1[[#This Row],[Porcentaje de muertes]]&lt;0.65),"MEDIO",Tabla1[[#This Row],[Porcentaje de muertes]]&gt;0.65,"GRAVE")</f>
        <v>GRAVE</v>
      </c>
    </row>
    <row r="3855" spans="2:24" x14ac:dyDescent="0.3">
      <c r="B3855" s="9">
        <v>3855</v>
      </c>
      <c r="C3855" s="49">
        <v>34390</v>
      </c>
      <c r="D3855" s="9">
        <f>YEAR(Tabla1[[#This Row],[Date]])</f>
        <v>1994</v>
      </c>
      <c r="E3855" s="9" t="str" cm="1">
        <f t="array" ref="E3855">IFERROR(_xlfn.IFS(AND(D3855&lt;1980,D3855&gt;=1970),"70",AND(D3855&lt;1990,D3855&gt;=1980),"80",AND(D3855&lt;2000,D3855&gt;=1990),"90",AND(D3855&lt;2010,D3855&gt;=2000),"00",AND(D3855&lt;=2019,D3855&gt;=2010),"10"),"1908-1970")</f>
        <v>90</v>
      </c>
      <c r="F3855" s="3">
        <v>0.82361111111111107</v>
      </c>
      <c r="G3855" t="s">
        <v>22416</v>
      </c>
      <c r="H3855" t="s">
        <v>22417</v>
      </c>
      <c r="I3855">
        <v>4272</v>
      </c>
      <c r="J3855" t="s">
        <v>22418</v>
      </c>
      <c r="K3855" t="s">
        <v>22419</v>
      </c>
      <c r="L3855" s="7" t="s">
        <v>22420</v>
      </c>
      <c r="M3855">
        <v>349</v>
      </c>
      <c r="N3855">
        <v>2</v>
      </c>
      <c r="O3855">
        <v>0</v>
      </c>
      <c r="P3855">
        <v>2</v>
      </c>
      <c r="Q3855">
        <v>1</v>
      </c>
      <c r="R3855">
        <v>0</v>
      </c>
      <c r="S3855">
        <v>1</v>
      </c>
      <c r="T3855">
        <v>0</v>
      </c>
      <c r="U3855" t="s">
        <v>22421</v>
      </c>
      <c r="V3855">
        <f>Tabla1[[#This Row],[Aboard]]-Tabla1[[#This Row],[Fatalities]]</f>
        <v>1</v>
      </c>
      <c r="W3855" s="50">
        <f>IFERROR(Tabla1[[#This Row],[Fatalities]]/Tabla1[[#This Row],[Aboard]],0)</f>
        <v>0.5</v>
      </c>
      <c r="X3855" s="51" t="str" cm="1">
        <f t="array" ref="X3855">_xlfn.IFS(Tabla1[[#This Row],[Porcentaje de muertes]]&lt;0.35,"LEVE",AND(Tabla1[[#This Row],[Porcentaje de muertes]]&gt;0.35,Tabla1[[#This Row],[Porcentaje de muertes]]&lt;0.65),"MEDIO",Tabla1[[#This Row],[Porcentaje de muertes]]&gt;0.65,"GRAVE")</f>
        <v>MEDIO</v>
      </c>
    </row>
    <row r="3856" spans="2:24" x14ac:dyDescent="0.3">
      <c r="B3856" s="9">
        <v>3856</v>
      </c>
      <c r="C3856" s="49">
        <v>34390</v>
      </c>
      <c r="D3856" s="9">
        <f>YEAR(Tabla1[[#This Row],[Date]])</f>
        <v>1994</v>
      </c>
      <c r="E3856" s="9" t="str" cm="1">
        <f t="array" ref="E3856">IFERROR(_xlfn.IFS(AND(D3856&lt;1980,D3856&gt;=1970),"70",AND(D3856&lt;1990,D3856&gt;=1980),"80",AND(D3856&lt;2000,D3856&gt;=1990),"90",AND(D3856&lt;2010,D3856&gt;=2000),"00",AND(D3856&lt;=2019,D3856&gt;=2010),"10"),"1908-1970")</f>
        <v>90</v>
      </c>
      <c r="F3856" s="3" t="s">
        <v>28931</v>
      </c>
      <c r="G3856" t="s">
        <v>22422</v>
      </c>
      <c r="H3856" t="s">
        <v>22004</v>
      </c>
      <c r="I3856" t="s">
        <v>28931</v>
      </c>
      <c r="J3856" t="s">
        <v>22423</v>
      </c>
      <c r="K3856" t="s">
        <v>15961</v>
      </c>
      <c r="L3856" s="7" t="s">
        <v>22424</v>
      </c>
      <c r="M3856">
        <v>9640950</v>
      </c>
      <c r="N3856">
        <v>31</v>
      </c>
      <c r="O3856">
        <v>26</v>
      </c>
      <c r="P3856">
        <v>5</v>
      </c>
      <c r="Q3856">
        <v>31</v>
      </c>
      <c r="R3856">
        <v>26</v>
      </c>
      <c r="S3856">
        <v>5</v>
      </c>
      <c r="T3856">
        <v>0</v>
      </c>
      <c r="U3856" t="s">
        <v>22425</v>
      </c>
      <c r="V3856">
        <f>Tabla1[[#This Row],[Aboard]]-Tabla1[[#This Row],[Fatalities]]</f>
        <v>0</v>
      </c>
      <c r="W3856" s="50">
        <f>IFERROR(Tabla1[[#This Row],[Fatalities]]/Tabla1[[#This Row],[Aboard]],0)</f>
        <v>1</v>
      </c>
      <c r="X3856" s="51" t="str" cm="1">
        <f t="array" ref="X3856">_xlfn.IFS(Tabla1[[#This Row],[Porcentaje de muertes]]&lt;0.35,"LEVE",AND(Tabla1[[#This Row],[Porcentaje de muertes]]&gt;0.35,Tabla1[[#This Row],[Porcentaje de muertes]]&lt;0.65),"MEDIO",Tabla1[[#This Row],[Porcentaje de muertes]]&gt;0.65,"GRAVE")</f>
        <v>GRAVE</v>
      </c>
    </row>
    <row r="3857" spans="2:24" x14ac:dyDescent="0.3">
      <c r="B3857" s="9">
        <v>3857</v>
      </c>
      <c r="C3857" s="49">
        <v>34368</v>
      </c>
      <c r="D3857" s="9">
        <f>YEAR(Tabla1[[#This Row],[Date]])</f>
        <v>1994</v>
      </c>
      <c r="E3857" s="9" t="str" cm="1">
        <f t="array" ref="E3857">IFERROR(_xlfn.IFS(AND(D3857&lt;1980,D3857&gt;=1970),"70",AND(D3857&lt;1990,D3857&gt;=1980),"80",AND(D3857&lt;2000,D3857&gt;=1990),"90",AND(D3857&lt;2010,D3857&gt;=2000),"00",AND(D3857&lt;=2019,D3857&gt;=2010),"10"),"1908-1970")</f>
        <v>90</v>
      </c>
      <c r="F3857" s="3">
        <v>0.74930555555555556</v>
      </c>
      <c r="G3857" t="s">
        <v>5425</v>
      </c>
      <c r="H3857" t="s">
        <v>11843</v>
      </c>
      <c r="I3857">
        <v>795</v>
      </c>
      <c r="J3857" t="s">
        <v>22426</v>
      </c>
      <c r="K3857" t="s">
        <v>20382</v>
      </c>
      <c r="L3857" s="7" t="s">
        <v>22427</v>
      </c>
      <c r="M3857">
        <v>49439</v>
      </c>
      <c r="N3857">
        <v>116</v>
      </c>
      <c r="O3857">
        <v>110</v>
      </c>
      <c r="P3857">
        <v>6</v>
      </c>
      <c r="Q3857">
        <v>0</v>
      </c>
      <c r="R3857">
        <v>0</v>
      </c>
      <c r="S3857">
        <v>0</v>
      </c>
      <c r="T3857">
        <v>0</v>
      </c>
      <c r="U3857" t="s">
        <v>22428</v>
      </c>
      <c r="V3857">
        <f>Tabla1[[#This Row],[Aboard]]-Tabla1[[#This Row],[Fatalities]]</f>
        <v>116</v>
      </c>
      <c r="W3857" s="50">
        <f>IFERROR(Tabla1[[#This Row],[Fatalities]]/Tabla1[[#This Row],[Aboard]],0)</f>
        <v>0</v>
      </c>
      <c r="X3857" s="51" t="str" cm="1">
        <f t="array" ref="X3857">_xlfn.IFS(Tabla1[[#This Row],[Porcentaje de muertes]]&lt;0.35,"LEVE",AND(Tabla1[[#This Row],[Porcentaje de muertes]]&gt;0.35,Tabla1[[#This Row],[Porcentaje de muertes]]&lt;0.65),"MEDIO",Tabla1[[#This Row],[Porcentaje de muertes]]&gt;0.65,"GRAVE")</f>
        <v>LEVE</v>
      </c>
    </row>
    <row r="3858" spans="2:24" x14ac:dyDescent="0.3">
      <c r="B3858" s="9">
        <v>3858</v>
      </c>
      <c r="C3858" s="49">
        <v>34549</v>
      </c>
      <c r="D3858" s="9">
        <f>YEAR(Tabla1[[#This Row],[Date]])</f>
        <v>1994</v>
      </c>
      <c r="E3858" s="9" t="str" cm="1">
        <f t="array" ref="E3858">IFERROR(_xlfn.IFS(AND(D3858&lt;1980,D3858&gt;=1970),"70",AND(D3858&lt;1990,D3858&gt;=1980),"80",AND(D3858&lt;2000,D3858&gt;=1990),"90",AND(D3858&lt;2010,D3858&gt;=2000),"00",AND(D3858&lt;=2019,D3858&gt;=2010),"10"),"1908-1970")</f>
        <v>90</v>
      </c>
      <c r="F3858" s="3">
        <v>0.62083333333333335</v>
      </c>
      <c r="G3858" t="s">
        <v>10999</v>
      </c>
      <c r="H3858" t="s">
        <v>22429</v>
      </c>
      <c r="I3858" t="s">
        <v>28931</v>
      </c>
      <c r="J3858" t="s">
        <v>6190</v>
      </c>
      <c r="K3858" t="s">
        <v>22430</v>
      </c>
      <c r="L3858" s="7" t="s">
        <v>22431</v>
      </c>
      <c r="M3858" t="s">
        <v>22432</v>
      </c>
      <c r="N3858">
        <v>4</v>
      </c>
      <c r="O3858">
        <v>0</v>
      </c>
      <c r="P3858">
        <v>4</v>
      </c>
      <c r="Q3858">
        <v>4</v>
      </c>
      <c r="R3858">
        <v>0</v>
      </c>
      <c r="S3858">
        <v>4</v>
      </c>
      <c r="T3858">
        <v>0</v>
      </c>
      <c r="U3858" t="s">
        <v>22433</v>
      </c>
      <c r="V3858">
        <f>Tabla1[[#This Row],[Aboard]]-Tabla1[[#This Row],[Fatalities]]</f>
        <v>0</v>
      </c>
      <c r="W3858" s="50">
        <f>IFERROR(Tabla1[[#This Row],[Fatalities]]/Tabla1[[#This Row],[Aboard]],0)</f>
        <v>1</v>
      </c>
      <c r="X3858" s="51" t="str" cm="1">
        <f t="array" ref="X3858">_xlfn.IFS(Tabla1[[#This Row],[Porcentaje de muertes]]&lt;0.35,"LEVE",AND(Tabla1[[#This Row],[Porcentaje de muertes]]&gt;0.35,Tabla1[[#This Row],[Porcentaje de muertes]]&lt;0.65),"MEDIO",Tabla1[[#This Row],[Porcentaje de muertes]]&gt;0.65,"GRAVE")</f>
        <v>GRAVE</v>
      </c>
    </row>
    <row r="3859" spans="2:24" x14ac:dyDescent="0.3">
      <c r="B3859" s="9">
        <v>3859</v>
      </c>
      <c r="C3859" s="49">
        <v>34407</v>
      </c>
      <c r="D3859" s="9">
        <f>YEAR(Tabla1[[#This Row],[Date]])</f>
        <v>1994</v>
      </c>
      <c r="E3859" s="9" t="str" cm="1">
        <f t="array" ref="E3859">IFERROR(_xlfn.IFS(AND(D3859&lt;1980,D3859&gt;=1970),"70",AND(D3859&lt;1990,D3859&gt;=1980),"80",AND(D3859&lt;2000,D3859&gt;=1990),"90",AND(D3859&lt;2010,D3859&gt;=2000),"00",AND(D3859&lt;=2019,D3859&gt;=2010),"10"),"1908-1970")</f>
        <v>90</v>
      </c>
      <c r="F3859" s="3" t="s">
        <v>28931</v>
      </c>
      <c r="G3859" t="s">
        <v>22434</v>
      </c>
      <c r="H3859" t="s">
        <v>7987</v>
      </c>
      <c r="I3859" t="s">
        <v>28931</v>
      </c>
      <c r="J3859" t="s">
        <v>22435</v>
      </c>
      <c r="K3859" t="s">
        <v>18896</v>
      </c>
      <c r="L3859" s="7" t="s">
        <v>22436</v>
      </c>
      <c r="M3859">
        <v>4351</v>
      </c>
      <c r="N3859">
        <v>8</v>
      </c>
      <c r="O3859">
        <v>0</v>
      </c>
      <c r="P3859">
        <v>8</v>
      </c>
      <c r="Q3859">
        <v>8</v>
      </c>
      <c r="R3859">
        <v>0</v>
      </c>
      <c r="S3859">
        <v>8</v>
      </c>
      <c r="T3859">
        <v>0</v>
      </c>
      <c r="U3859" t="s">
        <v>22437</v>
      </c>
      <c r="V3859">
        <f>Tabla1[[#This Row],[Aboard]]-Tabla1[[#This Row],[Fatalities]]</f>
        <v>0</v>
      </c>
      <c r="W3859" s="50">
        <f>IFERROR(Tabla1[[#This Row],[Fatalities]]/Tabla1[[#This Row],[Aboard]],0)</f>
        <v>1</v>
      </c>
      <c r="X3859" s="51" t="str" cm="1">
        <f t="array" ref="X3859">_xlfn.IFS(Tabla1[[#This Row],[Porcentaje de muertes]]&lt;0.35,"LEVE",AND(Tabla1[[#This Row],[Porcentaje de muertes]]&gt;0.35,Tabla1[[#This Row],[Porcentaje de muertes]]&lt;0.65),"MEDIO",Tabla1[[#This Row],[Porcentaje de muertes]]&gt;0.65,"GRAVE")</f>
        <v>GRAVE</v>
      </c>
    </row>
    <row r="3860" spans="2:24" x14ac:dyDescent="0.3">
      <c r="B3860" s="9">
        <v>3860</v>
      </c>
      <c r="C3860" s="49">
        <v>34410</v>
      </c>
      <c r="D3860" s="9">
        <f>YEAR(Tabla1[[#This Row],[Date]])</f>
        <v>1994</v>
      </c>
      <c r="E3860" s="9" t="str" cm="1">
        <f t="array" ref="E3860">IFERROR(_xlfn.IFS(AND(D3860&lt;1980,D3860&gt;=1970),"70",AND(D3860&lt;1990,D3860&gt;=1980),"80",AND(D3860&lt;2000,D3860&gt;=1990),"90",AND(D3860&lt;2010,D3860&gt;=2000),"00",AND(D3860&lt;=2019,D3860&gt;=2010),"10"),"1908-1970")</f>
        <v>90</v>
      </c>
      <c r="F3860" s="3">
        <v>0.9375</v>
      </c>
      <c r="G3860" t="s">
        <v>22438</v>
      </c>
      <c r="H3860" t="s">
        <v>18972</v>
      </c>
      <c r="I3860" t="s">
        <v>8152</v>
      </c>
      <c r="J3860" t="s">
        <v>22439</v>
      </c>
      <c r="K3860" t="s">
        <v>18753</v>
      </c>
      <c r="L3860" s="8">
        <v>2418393</v>
      </c>
      <c r="M3860">
        <v>4432</v>
      </c>
      <c r="N3860">
        <v>32</v>
      </c>
      <c r="O3860">
        <v>19</v>
      </c>
      <c r="P3860">
        <v>13</v>
      </c>
      <c r="Q3860">
        <v>32</v>
      </c>
      <c r="R3860">
        <v>19</v>
      </c>
      <c r="S3860">
        <v>13</v>
      </c>
      <c r="T3860">
        <v>0</v>
      </c>
      <c r="U3860" t="s">
        <v>22440</v>
      </c>
      <c r="V3860">
        <f>Tabla1[[#This Row],[Aboard]]-Tabla1[[#This Row],[Fatalities]]</f>
        <v>0</v>
      </c>
      <c r="W3860" s="50">
        <f>IFERROR(Tabla1[[#This Row],[Fatalities]]/Tabla1[[#This Row],[Aboard]],0)</f>
        <v>1</v>
      </c>
      <c r="X3860" s="51" t="str" cm="1">
        <f t="array" ref="X3860">_xlfn.IFS(Tabla1[[#This Row],[Porcentaje de muertes]]&lt;0.35,"LEVE",AND(Tabla1[[#This Row],[Porcentaje de muertes]]&gt;0.35,Tabla1[[#This Row],[Porcentaje de muertes]]&lt;0.65),"MEDIO",Tabla1[[#This Row],[Porcentaje de muertes]]&gt;0.65,"GRAVE")</f>
        <v>GRAVE</v>
      </c>
    </row>
    <row r="3861" spans="2:24" x14ac:dyDescent="0.3">
      <c r="B3861" s="9">
        <v>3861</v>
      </c>
      <c r="C3861" s="49">
        <v>34411</v>
      </c>
      <c r="D3861" s="9">
        <f>YEAR(Tabla1[[#This Row],[Date]])</f>
        <v>1994</v>
      </c>
      <c r="E3861" s="9" t="str" cm="1">
        <f t="array" ref="E3861">IFERROR(_xlfn.IFS(AND(D3861&lt;1980,D3861&gt;=1970),"70",AND(D3861&lt;1990,D3861&gt;=1980),"80",AND(D3861&lt;2000,D3861&gt;=1990),"90",AND(D3861&lt;2010,D3861&gt;=2000),"00",AND(D3861&lt;=2019,D3861&gt;=2010),"10"),"1908-1970")</f>
        <v>90</v>
      </c>
      <c r="F3861" s="3">
        <v>0.48819444444444443</v>
      </c>
      <c r="G3861" t="s">
        <v>10381</v>
      </c>
      <c r="H3861" t="s">
        <v>22441</v>
      </c>
      <c r="I3861" t="s">
        <v>28931</v>
      </c>
      <c r="J3861" t="s">
        <v>22442</v>
      </c>
      <c r="K3861" t="s">
        <v>22443</v>
      </c>
      <c r="L3861" s="7" t="s">
        <v>22444</v>
      </c>
      <c r="M3861" t="s">
        <v>22445</v>
      </c>
      <c r="N3861">
        <v>2</v>
      </c>
      <c r="O3861">
        <v>0</v>
      </c>
      <c r="P3861">
        <v>2</v>
      </c>
      <c r="Q3861">
        <v>2</v>
      </c>
      <c r="R3861">
        <v>0</v>
      </c>
      <c r="S3861">
        <v>2</v>
      </c>
      <c r="T3861">
        <v>0</v>
      </c>
      <c r="U3861" t="s">
        <v>22446</v>
      </c>
      <c r="V3861">
        <f>Tabla1[[#This Row],[Aboard]]-Tabla1[[#This Row],[Fatalities]]</f>
        <v>0</v>
      </c>
      <c r="W3861" s="50">
        <f>IFERROR(Tabla1[[#This Row],[Fatalities]]/Tabla1[[#This Row],[Aboard]],0)</f>
        <v>1</v>
      </c>
      <c r="X3861" s="51" t="str" cm="1">
        <f t="array" ref="X3861">_xlfn.IFS(Tabla1[[#This Row],[Porcentaje de muertes]]&lt;0.35,"LEVE",AND(Tabla1[[#This Row],[Porcentaje de muertes]]&gt;0.35,Tabla1[[#This Row],[Porcentaje de muertes]]&lt;0.65),"MEDIO",Tabla1[[#This Row],[Porcentaje de muertes]]&gt;0.65,"GRAVE")</f>
        <v>GRAVE</v>
      </c>
    </row>
    <row r="3862" spans="2:24" x14ac:dyDescent="0.3">
      <c r="B3862" s="9">
        <v>3862</v>
      </c>
      <c r="C3862" s="49">
        <v>34411</v>
      </c>
      <c r="D3862" s="9">
        <f>YEAR(Tabla1[[#This Row],[Date]])</f>
        <v>1994</v>
      </c>
      <c r="E3862" s="9" t="str" cm="1">
        <f t="array" ref="E3862">IFERROR(_xlfn.IFS(AND(D3862&lt;1980,D3862&gt;=1970),"70",AND(D3862&lt;1990,D3862&gt;=1980),"80",AND(D3862&lt;2000,D3862&gt;=1990),"90",AND(D3862&lt;2010,D3862&gt;=2000),"00",AND(D3862&lt;=2019,D3862&gt;=2010),"10"),"1908-1970")</f>
        <v>90</v>
      </c>
      <c r="F3862" s="3">
        <v>8.0555555555555561E-2</v>
      </c>
      <c r="G3862" t="s">
        <v>18807</v>
      </c>
      <c r="H3862" t="s">
        <v>22447</v>
      </c>
      <c r="I3862" t="s">
        <v>28931</v>
      </c>
      <c r="J3862" t="s">
        <v>22448</v>
      </c>
      <c r="K3862" t="s">
        <v>9005</v>
      </c>
      <c r="L3862" s="7" t="s">
        <v>22449</v>
      </c>
      <c r="M3862">
        <v>43089</v>
      </c>
      <c r="N3862">
        <v>2</v>
      </c>
      <c r="O3862">
        <v>0</v>
      </c>
      <c r="P3862">
        <v>2</v>
      </c>
      <c r="Q3862">
        <v>2</v>
      </c>
      <c r="R3862">
        <v>0</v>
      </c>
      <c r="S3862">
        <v>2</v>
      </c>
      <c r="T3862">
        <v>0</v>
      </c>
      <c r="U3862" t="s">
        <v>22450</v>
      </c>
      <c r="V3862">
        <f>Tabla1[[#This Row],[Aboard]]-Tabla1[[#This Row],[Fatalities]]</f>
        <v>0</v>
      </c>
      <c r="W3862" s="50">
        <f>IFERROR(Tabla1[[#This Row],[Fatalities]]/Tabla1[[#This Row],[Aboard]],0)</f>
        <v>1</v>
      </c>
      <c r="X3862" s="51" t="str" cm="1">
        <f t="array" ref="X3862">_xlfn.IFS(Tabla1[[#This Row],[Porcentaje de muertes]]&lt;0.35,"LEVE",AND(Tabla1[[#This Row],[Porcentaje de muertes]]&gt;0.35,Tabla1[[#This Row],[Porcentaje de muertes]]&lt;0.65),"MEDIO",Tabla1[[#This Row],[Porcentaje de muertes]]&gt;0.65,"GRAVE")</f>
        <v>GRAVE</v>
      </c>
    </row>
    <row r="3863" spans="2:24" x14ac:dyDescent="0.3">
      <c r="B3863" s="9">
        <v>3863</v>
      </c>
      <c r="C3863" s="49">
        <v>34414</v>
      </c>
      <c r="D3863" s="9">
        <f>YEAR(Tabla1[[#This Row],[Date]])</f>
        <v>1994</v>
      </c>
      <c r="E3863" s="9" t="str" cm="1">
        <f t="array" ref="E3863">IFERROR(_xlfn.IFS(AND(D3863&lt;1980,D3863&gt;=1970),"70",AND(D3863&lt;1990,D3863&gt;=1980),"80",AND(D3863&lt;2000,D3863&gt;=1990),"90",AND(D3863&lt;2010,D3863&gt;=2000),"00",AND(D3863&lt;=2019,D3863&gt;=2010),"10"),"1908-1970")</f>
        <v>90</v>
      </c>
      <c r="F3863" s="3">
        <v>0.74583333333333324</v>
      </c>
      <c r="G3863" t="s">
        <v>22451</v>
      </c>
      <c r="H3863" t="s">
        <v>22452</v>
      </c>
      <c r="I3863" t="s">
        <v>28931</v>
      </c>
      <c r="J3863" t="s">
        <v>22453</v>
      </c>
      <c r="K3863" t="s">
        <v>22454</v>
      </c>
      <c r="L3863" s="7" t="s">
        <v>22455</v>
      </c>
      <c r="M3863">
        <v>632</v>
      </c>
      <c r="N3863">
        <v>6</v>
      </c>
      <c r="O3863">
        <v>5</v>
      </c>
      <c r="P3863">
        <v>1</v>
      </c>
      <c r="Q3863">
        <v>6</v>
      </c>
      <c r="R3863">
        <v>5</v>
      </c>
      <c r="S3863">
        <v>1</v>
      </c>
      <c r="T3863">
        <v>0</v>
      </c>
      <c r="U3863" t="s">
        <v>22456</v>
      </c>
      <c r="V3863">
        <f>Tabla1[[#This Row],[Aboard]]-Tabla1[[#This Row],[Fatalities]]</f>
        <v>0</v>
      </c>
      <c r="W3863" s="50">
        <f>IFERROR(Tabla1[[#This Row],[Fatalities]]/Tabla1[[#This Row],[Aboard]],0)</f>
        <v>1</v>
      </c>
      <c r="X3863" s="51" t="str" cm="1">
        <f t="array" ref="X3863">_xlfn.IFS(Tabla1[[#This Row],[Porcentaje de muertes]]&lt;0.35,"LEVE",AND(Tabla1[[#This Row],[Porcentaje de muertes]]&gt;0.35,Tabla1[[#This Row],[Porcentaje de muertes]]&lt;0.65),"MEDIO",Tabla1[[#This Row],[Porcentaje de muertes]]&gt;0.65,"GRAVE")</f>
        <v>GRAVE</v>
      </c>
    </row>
    <row r="3864" spans="2:24" x14ac:dyDescent="0.3">
      <c r="B3864" s="9">
        <v>3864</v>
      </c>
      <c r="C3864" s="49">
        <v>34416</v>
      </c>
      <c r="D3864" s="9">
        <f>YEAR(Tabla1[[#This Row],[Date]])</f>
        <v>1994</v>
      </c>
      <c r="E3864" s="9" t="str" cm="1">
        <f t="array" ref="E3864">IFERROR(_xlfn.IFS(AND(D3864&lt;1980,D3864&gt;=1970),"70",AND(D3864&lt;1990,D3864&gt;=1980),"80",AND(D3864&lt;2000,D3864&gt;=1990),"90",AND(D3864&lt;2010,D3864&gt;=2000),"00",AND(D3864&lt;=2019,D3864&gt;=2010),"10"),"1908-1970")</f>
        <v>90</v>
      </c>
      <c r="F3864" s="3">
        <v>3.9583333333333331E-2</v>
      </c>
      <c r="G3864" t="s">
        <v>22457</v>
      </c>
      <c r="H3864" t="s">
        <v>22458</v>
      </c>
      <c r="I3864">
        <v>593</v>
      </c>
      <c r="J3864" t="s">
        <v>22459</v>
      </c>
      <c r="K3864" t="s">
        <v>21962</v>
      </c>
      <c r="L3864" s="7" t="s">
        <v>22460</v>
      </c>
      <c r="M3864">
        <v>596</v>
      </c>
      <c r="N3864">
        <v>75</v>
      </c>
      <c r="O3864">
        <v>63</v>
      </c>
      <c r="P3864">
        <v>12</v>
      </c>
      <c r="Q3864">
        <v>75</v>
      </c>
      <c r="R3864">
        <v>63</v>
      </c>
      <c r="S3864">
        <v>12</v>
      </c>
      <c r="T3864">
        <v>0</v>
      </c>
      <c r="U3864" t="s">
        <v>22461</v>
      </c>
      <c r="V3864">
        <f>Tabla1[[#This Row],[Aboard]]-Tabla1[[#This Row],[Fatalities]]</f>
        <v>0</v>
      </c>
      <c r="W3864" s="50">
        <f>IFERROR(Tabla1[[#This Row],[Fatalities]]/Tabla1[[#This Row],[Aboard]],0)</f>
        <v>1</v>
      </c>
      <c r="X3864" s="51" t="str" cm="1">
        <f t="array" ref="X3864">_xlfn.IFS(Tabla1[[#This Row],[Porcentaje de muertes]]&lt;0.35,"LEVE",AND(Tabla1[[#This Row],[Porcentaje de muertes]]&gt;0.35,Tabla1[[#This Row],[Porcentaje de muertes]]&lt;0.65),"MEDIO",Tabla1[[#This Row],[Porcentaje de muertes]]&gt;0.65,"GRAVE")</f>
        <v>GRAVE</v>
      </c>
    </row>
    <row r="3865" spans="2:24" x14ac:dyDescent="0.3">
      <c r="B3865" s="9">
        <v>3865</v>
      </c>
      <c r="C3865" s="49">
        <v>34397</v>
      </c>
      <c r="D3865" s="9">
        <f>YEAR(Tabla1[[#This Row],[Date]])</f>
        <v>1994</v>
      </c>
      <c r="E3865" s="9" t="str" cm="1">
        <f t="array" ref="E3865">IFERROR(_xlfn.IFS(AND(D3865&lt;1980,D3865&gt;=1970),"70",AND(D3865&lt;1990,D3865&gt;=1980),"80",AND(D3865&lt;2000,D3865&gt;=1990),"90",AND(D3865&lt;2010,D3865&gt;=2000),"00",AND(D3865&lt;=2019,D3865&gt;=2010),"10"),"1908-1970")</f>
        <v>90</v>
      </c>
      <c r="F3865" s="3">
        <v>0.69166666666666676</v>
      </c>
      <c r="G3865" t="s">
        <v>22462</v>
      </c>
      <c r="H3865" t="s">
        <v>22463</v>
      </c>
      <c r="I3865" t="s">
        <v>28931</v>
      </c>
      <c r="J3865" t="s">
        <v>28931</v>
      </c>
      <c r="K3865" t="s">
        <v>22135</v>
      </c>
      <c r="L3865" s="7" t="s">
        <v>22464</v>
      </c>
      <c r="M3865">
        <v>2773</v>
      </c>
      <c r="N3865">
        <v>5</v>
      </c>
      <c r="O3865">
        <v>4</v>
      </c>
      <c r="P3865">
        <v>1</v>
      </c>
      <c r="Q3865">
        <v>5</v>
      </c>
      <c r="R3865">
        <v>4</v>
      </c>
      <c r="S3865">
        <v>1</v>
      </c>
      <c r="T3865">
        <v>0</v>
      </c>
      <c r="U3865" t="s">
        <v>22465</v>
      </c>
      <c r="V3865">
        <f>Tabla1[[#This Row],[Aboard]]-Tabla1[[#This Row],[Fatalities]]</f>
        <v>0</v>
      </c>
      <c r="W3865" s="50">
        <f>IFERROR(Tabla1[[#This Row],[Fatalities]]/Tabla1[[#This Row],[Aboard]],0)</f>
        <v>1</v>
      </c>
      <c r="X3865" s="51" t="str" cm="1">
        <f t="array" ref="X3865">_xlfn.IFS(Tabla1[[#This Row],[Porcentaje de muertes]]&lt;0.35,"LEVE",AND(Tabla1[[#This Row],[Porcentaje de muertes]]&gt;0.35,Tabla1[[#This Row],[Porcentaje de muertes]]&lt;0.65),"MEDIO",Tabla1[[#This Row],[Porcentaje de muertes]]&gt;0.65,"GRAVE")</f>
        <v>GRAVE</v>
      </c>
    </row>
    <row r="3866" spans="2:24" x14ac:dyDescent="0.3">
      <c r="B3866" s="9">
        <v>3866</v>
      </c>
      <c r="C3866" s="49">
        <v>34428</v>
      </c>
      <c r="D3866" s="9">
        <f>YEAR(Tabla1[[#This Row],[Date]])</f>
        <v>1994</v>
      </c>
      <c r="E3866" s="9" t="str" cm="1">
        <f t="array" ref="E3866">IFERROR(_xlfn.IFS(AND(D3866&lt;1980,D3866&gt;=1970),"70",AND(D3866&lt;1990,D3866&gt;=1980),"80",AND(D3866&lt;2000,D3866&gt;=1990),"90",AND(D3866&lt;2010,D3866&gt;=2000),"00",AND(D3866&lt;=2019,D3866&gt;=2010),"10"),"1908-1970")</f>
        <v>90</v>
      </c>
      <c r="F3866" s="3">
        <v>0.61527777777777781</v>
      </c>
      <c r="G3866" t="s">
        <v>6622</v>
      </c>
      <c r="H3866" t="s">
        <v>22466</v>
      </c>
      <c r="I3866">
        <v>433</v>
      </c>
      <c r="J3866" t="s">
        <v>22467</v>
      </c>
      <c r="K3866" t="s">
        <v>22468</v>
      </c>
      <c r="L3866" s="7" t="s">
        <v>22469</v>
      </c>
      <c r="M3866">
        <v>195</v>
      </c>
      <c r="N3866">
        <v>24</v>
      </c>
      <c r="O3866">
        <v>21</v>
      </c>
      <c r="P3866">
        <v>3</v>
      </c>
      <c r="Q3866">
        <v>3</v>
      </c>
      <c r="R3866">
        <v>2</v>
      </c>
      <c r="S3866">
        <v>1</v>
      </c>
      <c r="T3866">
        <v>0</v>
      </c>
      <c r="U3866" t="s">
        <v>22470</v>
      </c>
      <c r="V3866">
        <f>Tabla1[[#This Row],[Aboard]]-Tabla1[[#This Row],[Fatalities]]</f>
        <v>21</v>
      </c>
      <c r="W3866" s="50">
        <f>IFERROR(Tabla1[[#This Row],[Fatalities]]/Tabla1[[#This Row],[Aboard]],0)</f>
        <v>0.125</v>
      </c>
      <c r="X3866" s="51" t="str" cm="1">
        <f t="array" ref="X3866">_xlfn.IFS(Tabla1[[#This Row],[Porcentaje de muertes]]&lt;0.35,"LEVE",AND(Tabla1[[#This Row],[Porcentaje de muertes]]&gt;0.35,Tabla1[[#This Row],[Porcentaje de muertes]]&lt;0.65),"MEDIO",Tabla1[[#This Row],[Porcentaje de muertes]]&gt;0.65,"GRAVE")</f>
        <v>LEVE</v>
      </c>
    </row>
    <row r="3867" spans="2:24" x14ac:dyDescent="0.3">
      <c r="B3867" s="9">
        <v>3867</v>
      </c>
      <c r="C3867" s="49">
        <v>34489</v>
      </c>
      <c r="D3867" s="9">
        <f>YEAR(Tabla1[[#This Row],[Date]])</f>
        <v>1994</v>
      </c>
      <c r="E3867" s="9" t="str" cm="1">
        <f t="array" ref="E3867">IFERROR(_xlfn.IFS(AND(D3867&lt;1980,D3867&gt;=1970),"70",AND(D3867&lt;1990,D3867&gt;=1980),"80",AND(D3867&lt;2000,D3867&gt;=1990),"90",AND(D3867&lt;2010,D3867&gt;=2000),"00",AND(D3867&lt;=2019,D3867&gt;=2010),"10"),"1908-1970")</f>
        <v>90</v>
      </c>
      <c r="F3867" s="3">
        <v>0.84722222222222221</v>
      </c>
      <c r="G3867" t="s">
        <v>22471</v>
      </c>
      <c r="H3867" t="s">
        <v>22472</v>
      </c>
      <c r="I3867" t="s">
        <v>28931</v>
      </c>
      <c r="J3867" t="s">
        <v>22473</v>
      </c>
      <c r="K3867" t="s">
        <v>22474</v>
      </c>
      <c r="L3867" s="7" t="s">
        <v>22475</v>
      </c>
      <c r="M3867">
        <v>6</v>
      </c>
      <c r="N3867">
        <v>12</v>
      </c>
      <c r="O3867">
        <v>9</v>
      </c>
      <c r="P3867">
        <v>3</v>
      </c>
      <c r="Q3867">
        <v>12</v>
      </c>
      <c r="R3867">
        <v>9</v>
      </c>
      <c r="S3867">
        <v>3</v>
      </c>
      <c r="T3867">
        <v>0</v>
      </c>
      <c r="U3867" t="s">
        <v>22476</v>
      </c>
      <c r="V3867">
        <f>Tabla1[[#This Row],[Aboard]]-Tabla1[[#This Row],[Fatalities]]</f>
        <v>0</v>
      </c>
      <c r="W3867" s="50">
        <f>IFERROR(Tabla1[[#This Row],[Fatalities]]/Tabla1[[#This Row],[Aboard]],0)</f>
        <v>1</v>
      </c>
      <c r="X3867" s="51" t="str" cm="1">
        <f t="array" ref="X3867">_xlfn.IFS(Tabla1[[#This Row],[Porcentaje de muertes]]&lt;0.35,"LEVE",AND(Tabla1[[#This Row],[Porcentaje de muertes]]&gt;0.35,Tabla1[[#This Row],[Porcentaje de muertes]]&lt;0.65),"MEDIO",Tabla1[[#This Row],[Porcentaje de muertes]]&gt;0.65,"GRAVE")</f>
        <v>GRAVE</v>
      </c>
    </row>
    <row r="3868" spans="2:24" x14ac:dyDescent="0.3">
      <c r="B3868" s="9">
        <v>3868</v>
      </c>
      <c r="C3868" s="49">
        <v>34489</v>
      </c>
      <c r="D3868" s="9">
        <f>YEAR(Tabla1[[#This Row],[Date]])</f>
        <v>1994</v>
      </c>
      <c r="E3868" s="9" t="str" cm="1">
        <f t="array" ref="E3868">IFERROR(_xlfn.IFS(AND(D3868&lt;1980,D3868&gt;=1970),"70",AND(D3868&lt;1990,D3868&gt;=1980),"80",AND(D3868&lt;2000,D3868&gt;=1990),"90",AND(D3868&lt;2010,D3868&gt;=2000),"00",AND(D3868&lt;=2019,D3868&gt;=2010),"10"),"1908-1970")</f>
        <v>90</v>
      </c>
      <c r="F3868" s="3" t="s">
        <v>28931</v>
      </c>
      <c r="G3868" t="s">
        <v>22477</v>
      </c>
      <c r="H3868" t="s">
        <v>17526</v>
      </c>
      <c r="I3868" t="s">
        <v>28931</v>
      </c>
      <c r="J3868" t="s">
        <v>22478</v>
      </c>
      <c r="K3868" t="s">
        <v>16680</v>
      </c>
      <c r="L3868" s="7" t="s">
        <v>22479</v>
      </c>
      <c r="M3868">
        <v>436</v>
      </c>
      <c r="N3868">
        <v>17</v>
      </c>
      <c r="O3868">
        <v>14</v>
      </c>
      <c r="P3868">
        <v>3</v>
      </c>
      <c r="Q3868">
        <v>17</v>
      </c>
      <c r="R3868">
        <v>14</v>
      </c>
      <c r="S3868">
        <v>3</v>
      </c>
      <c r="T3868">
        <v>0</v>
      </c>
      <c r="U3868" t="s">
        <v>22480</v>
      </c>
      <c r="V3868">
        <f>Tabla1[[#This Row],[Aboard]]-Tabla1[[#This Row],[Fatalities]]</f>
        <v>0</v>
      </c>
      <c r="W3868" s="50">
        <f>IFERROR(Tabla1[[#This Row],[Fatalities]]/Tabla1[[#This Row],[Aboard]],0)</f>
        <v>1</v>
      </c>
      <c r="X3868" s="51" t="str" cm="1">
        <f t="array" ref="X3868">_xlfn.IFS(Tabla1[[#This Row],[Porcentaje de muertes]]&lt;0.35,"LEVE",AND(Tabla1[[#This Row],[Porcentaje de muertes]]&gt;0.35,Tabla1[[#This Row],[Porcentaje de muertes]]&lt;0.65),"MEDIO",Tabla1[[#This Row],[Porcentaje de muertes]]&gt;0.65,"GRAVE")</f>
        <v>GRAVE</v>
      </c>
    </row>
    <row r="3869" spans="2:24" x14ac:dyDescent="0.3">
      <c r="B3869" s="9">
        <v>3869</v>
      </c>
      <c r="C3869" s="49">
        <v>34438</v>
      </c>
      <c r="D3869" s="9">
        <f>YEAR(Tabla1[[#This Row],[Date]])</f>
        <v>1994</v>
      </c>
      <c r="E3869" s="9" t="str" cm="1">
        <f t="array" ref="E3869">IFERROR(_xlfn.IFS(AND(D3869&lt;1980,D3869&gt;=1970),"70",AND(D3869&lt;1990,D3869&gt;=1980),"80",AND(D3869&lt;2000,D3869&gt;=1990),"90",AND(D3869&lt;2010,D3869&gt;=2000),"00",AND(D3869&lt;=2019,D3869&gt;=2010),"10"),"1908-1970")</f>
        <v>90</v>
      </c>
      <c r="F3869" s="3">
        <v>0.3923611111111111</v>
      </c>
      <c r="G3869" t="s">
        <v>22481</v>
      </c>
      <c r="H3869" t="s">
        <v>22482</v>
      </c>
      <c r="I3869" t="s">
        <v>28931</v>
      </c>
      <c r="J3869" t="s">
        <v>28931</v>
      </c>
      <c r="K3869" t="s">
        <v>22483</v>
      </c>
      <c r="L3869" s="7" t="s">
        <v>22484</v>
      </c>
      <c r="M3869" t="s">
        <v>28931</v>
      </c>
      <c r="N3869">
        <v>26</v>
      </c>
      <c r="O3869" t="s">
        <v>5038</v>
      </c>
      <c r="P3869" t="s">
        <v>5038</v>
      </c>
      <c r="Q3869">
        <v>26</v>
      </c>
      <c r="R3869" t="s">
        <v>5038</v>
      </c>
      <c r="S3869" t="s">
        <v>5038</v>
      </c>
      <c r="T3869">
        <v>0</v>
      </c>
      <c r="U3869" t="s">
        <v>22485</v>
      </c>
      <c r="V3869">
        <f>Tabla1[[#This Row],[Aboard]]-Tabla1[[#This Row],[Fatalities]]</f>
        <v>0</v>
      </c>
      <c r="W3869" s="50">
        <f>IFERROR(Tabla1[[#This Row],[Fatalities]]/Tabla1[[#This Row],[Aboard]],0)</f>
        <v>1</v>
      </c>
      <c r="X3869" s="51" t="str" cm="1">
        <f t="array" ref="X3869">_xlfn.IFS(Tabla1[[#This Row],[Porcentaje de muertes]]&lt;0.35,"LEVE",AND(Tabla1[[#This Row],[Porcentaje de muertes]]&gt;0.35,Tabla1[[#This Row],[Porcentaje de muertes]]&lt;0.65),"MEDIO",Tabla1[[#This Row],[Porcentaje de muertes]]&gt;0.65,"GRAVE")</f>
        <v>GRAVE</v>
      </c>
    </row>
    <row r="3870" spans="2:24" x14ac:dyDescent="0.3">
      <c r="B3870" s="9">
        <v>3870</v>
      </c>
      <c r="C3870" s="49">
        <v>34449</v>
      </c>
      <c r="D3870" s="9">
        <f>YEAR(Tabla1[[#This Row],[Date]])</f>
        <v>1994</v>
      </c>
      <c r="E3870" s="9" t="str" cm="1">
        <f t="array" ref="E3870">IFERROR(_xlfn.IFS(AND(D3870&lt;1980,D3870&gt;=1970),"70",AND(D3870&lt;1990,D3870&gt;=1980),"80",AND(D3870&lt;2000,D3870&gt;=1990),"90",AND(D3870&lt;2010,D3870&gt;=2000),"00",AND(D3870&lt;=2019,D3870&gt;=2010),"10"),"1908-1970")</f>
        <v>90</v>
      </c>
      <c r="F3870" s="3" t="s">
        <v>28931</v>
      </c>
      <c r="G3870" t="s">
        <v>22486</v>
      </c>
      <c r="H3870" t="s">
        <v>21693</v>
      </c>
      <c r="I3870" t="s">
        <v>28931</v>
      </c>
      <c r="J3870" t="s">
        <v>22487</v>
      </c>
      <c r="K3870" t="s">
        <v>22488</v>
      </c>
      <c r="L3870" s="7" t="s">
        <v>22489</v>
      </c>
      <c r="M3870">
        <v>730</v>
      </c>
      <c r="N3870">
        <v>11</v>
      </c>
      <c r="O3870">
        <v>10</v>
      </c>
      <c r="P3870">
        <v>1</v>
      </c>
      <c r="Q3870">
        <v>11</v>
      </c>
      <c r="R3870">
        <v>10</v>
      </c>
      <c r="S3870">
        <v>1</v>
      </c>
      <c r="T3870">
        <v>0</v>
      </c>
      <c r="U3870" t="s">
        <v>22490</v>
      </c>
      <c r="V3870">
        <f>Tabla1[[#This Row],[Aboard]]-Tabla1[[#This Row],[Fatalities]]</f>
        <v>0</v>
      </c>
      <c r="W3870" s="50">
        <f>IFERROR(Tabla1[[#This Row],[Fatalities]]/Tabla1[[#This Row],[Aboard]],0)</f>
        <v>1</v>
      </c>
      <c r="X3870" s="51" t="str" cm="1">
        <f t="array" ref="X3870">_xlfn.IFS(Tabla1[[#This Row],[Porcentaje de muertes]]&lt;0.35,"LEVE",AND(Tabla1[[#This Row],[Porcentaje de muertes]]&gt;0.35,Tabla1[[#This Row],[Porcentaje de muertes]]&lt;0.65),"MEDIO",Tabla1[[#This Row],[Porcentaje de muertes]]&gt;0.65,"GRAVE")</f>
        <v>GRAVE</v>
      </c>
    </row>
    <row r="3871" spans="2:24" x14ac:dyDescent="0.3">
      <c r="B3871" s="9">
        <v>3871</v>
      </c>
      <c r="C3871" s="49">
        <v>34450</v>
      </c>
      <c r="D3871" s="9">
        <f>YEAR(Tabla1[[#This Row],[Date]])</f>
        <v>1994</v>
      </c>
      <c r="E3871" s="9" t="str" cm="1">
        <f t="array" ref="E3871">IFERROR(_xlfn.IFS(AND(D3871&lt;1980,D3871&gt;=1970),"70",AND(D3871&lt;1990,D3871&gt;=1980),"80",AND(D3871&lt;2000,D3871&gt;=1990),"90",AND(D3871&lt;2010,D3871&gt;=2000),"00",AND(D3871&lt;=2019,D3871&gt;=2010),"10"),"1908-1970")</f>
        <v>90</v>
      </c>
      <c r="F3871" s="3">
        <v>0.84444444444444444</v>
      </c>
      <c r="G3871" t="s">
        <v>22491</v>
      </c>
      <c r="H3871" t="s">
        <v>15040</v>
      </c>
      <c r="I3871">
        <v>140</v>
      </c>
      <c r="J3871" t="s">
        <v>22492</v>
      </c>
      <c r="K3871" t="s">
        <v>22493</v>
      </c>
      <c r="L3871" s="7" t="s">
        <v>22494</v>
      </c>
      <c r="M3871">
        <v>580</v>
      </c>
      <c r="N3871">
        <v>271</v>
      </c>
      <c r="O3871">
        <v>256</v>
      </c>
      <c r="P3871">
        <v>15</v>
      </c>
      <c r="Q3871">
        <v>264</v>
      </c>
      <c r="R3871">
        <v>249</v>
      </c>
      <c r="S3871">
        <v>15</v>
      </c>
      <c r="T3871">
        <v>0</v>
      </c>
      <c r="U3871" t="s">
        <v>22495</v>
      </c>
      <c r="V3871">
        <f>Tabla1[[#This Row],[Aboard]]-Tabla1[[#This Row],[Fatalities]]</f>
        <v>7</v>
      </c>
      <c r="W3871" s="50">
        <f>IFERROR(Tabla1[[#This Row],[Fatalities]]/Tabla1[[#This Row],[Aboard]],0)</f>
        <v>0.97416974169741699</v>
      </c>
      <c r="X3871" s="51" t="str" cm="1">
        <f t="array" ref="X3871">_xlfn.IFS(Tabla1[[#This Row],[Porcentaje de muertes]]&lt;0.35,"LEVE",AND(Tabla1[[#This Row],[Porcentaje de muertes]]&gt;0.35,Tabla1[[#This Row],[Porcentaje de muertes]]&lt;0.65),"MEDIO",Tabla1[[#This Row],[Porcentaje de muertes]]&gt;0.65,"GRAVE")</f>
        <v>GRAVE</v>
      </c>
    </row>
    <row r="3872" spans="2:24" x14ac:dyDescent="0.3">
      <c r="B3872" s="9">
        <v>3872</v>
      </c>
      <c r="C3872" s="49">
        <v>34520</v>
      </c>
      <c r="D3872" s="9">
        <f>YEAR(Tabla1[[#This Row],[Date]])</f>
        <v>1994</v>
      </c>
      <c r="E3872" s="9" t="str" cm="1">
        <f t="array" ref="E3872">IFERROR(_xlfn.IFS(AND(D3872&lt;1980,D3872&gt;=1970),"70",AND(D3872&lt;1990,D3872&gt;=1980),"80",AND(D3872&lt;2000,D3872&gt;=1990),"90",AND(D3872&lt;2010,D3872&gt;=2000),"00",AND(D3872&lt;=2019,D3872&gt;=2010),"10"),"1908-1970")</f>
        <v>90</v>
      </c>
      <c r="F3872" s="3" t="s">
        <v>28931</v>
      </c>
      <c r="G3872" t="s">
        <v>22496</v>
      </c>
      <c r="H3872" t="s">
        <v>22497</v>
      </c>
      <c r="I3872" t="s">
        <v>28931</v>
      </c>
      <c r="J3872" t="s">
        <v>22498</v>
      </c>
      <c r="K3872" t="s">
        <v>22499</v>
      </c>
      <c r="L3872" s="7" t="s">
        <v>22500</v>
      </c>
      <c r="M3872" t="s">
        <v>22501</v>
      </c>
      <c r="N3872">
        <v>16</v>
      </c>
      <c r="O3872">
        <v>14</v>
      </c>
      <c r="P3872">
        <v>2</v>
      </c>
      <c r="Q3872">
        <v>8</v>
      </c>
      <c r="R3872">
        <v>6</v>
      </c>
      <c r="S3872">
        <v>2</v>
      </c>
      <c r="T3872">
        <v>0</v>
      </c>
      <c r="U3872" t="s">
        <v>22502</v>
      </c>
      <c r="V3872">
        <f>Tabla1[[#This Row],[Aboard]]-Tabla1[[#This Row],[Fatalities]]</f>
        <v>8</v>
      </c>
      <c r="W3872" s="50">
        <f>IFERROR(Tabla1[[#This Row],[Fatalities]]/Tabla1[[#This Row],[Aboard]],0)</f>
        <v>0.5</v>
      </c>
      <c r="X3872" s="51" t="str" cm="1">
        <f t="array" ref="X3872">_xlfn.IFS(Tabla1[[#This Row],[Porcentaje de muertes]]&lt;0.35,"LEVE",AND(Tabla1[[#This Row],[Porcentaje de muertes]]&gt;0.35,Tabla1[[#This Row],[Porcentaje de muertes]]&lt;0.65),"MEDIO",Tabla1[[#This Row],[Porcentaje de muertes]]&gt;0.65,"GRAVE")</f>
        <v>MEDIO</v>
      </c>
    </row>
    <row r="3873" spans="2:24" x14ac:dyDescent="0.3">
      <c r="B3873" s="9">
        <v>3873</v>
      </c>
      <c r="C3873" s="49">
        <v>34477</v>
      </c>
      <c r="D3873" s="9">
        <f>YEAR(Tabla1[[#This Row],[Date]])</f>
        <v>1994</v>
      </c>
      <c r="E3873" s="9" t="str" cm="1">
        <f t="array" ref="E3873">IFERROR(_xlfn.IFS(AND(D3873&lt;1980,D3873&gt;=1970),"70",AND(D3873&lt;1990,D3873&gt;=1980),"80",AND(D3873&lt;2000,D3873&gt;=1990),"90",AND(D3873&lt;2010,D3873&gt;=2000),"00",AND(D3873&lt;=2019,D3873&gt;=2010),"10"),"1908-1970")</f>
        <v>90</v>
      </c>
      <c r="F3873" s="3">
        <v>0.4548611111111111</v>
      </c>
      <c r="G3873" t="s">
        <v>22503</v>
      </c>
      <c r="H3873" t="s">
        <v>22504</v>
      </c>
      <c r="I3873" t="s">
        <v>28931</v>
      </c>
      <c r="J3873" t="s">
        <v>22505</v>
      </c>
      <c r="K3873" t="s">
        <v>22506</v>
      </c>
      <c r="L3873" s="7" t="s">
        <v>22507</v>
      </c>
      <c r="M3873">
        <v>2111</v>
      </c>
      <c r="N3873">
        <v>11</v>
      </c>
      <c r="O3873">
        <v>9</v>
      </c>
      <c r="P3873">
        <v>2</v>
      </c>
      <c r="Q3873">
        <v>4</v>
      </c>
      <c r="R3873">
        <v>3</v>
      </c>
      <c r="S3873">
        <v>1</v>
      </c>
      <c r="T3873">
        <v>0</v>
      </c>
      <c r="U3873" t="s">
        <v>22508</v>
      </c>
      <c r="V3873">
        <f>Tabla1[[#This Row],[Aboard]]-Tabla1[[#This Row],[Fatalities]]</f>
        <v>7</v>
      </c>
      <c r="W3873" s="50">
        <f>IFERROR(Tabla1[[#This Row],[Fatalities]]/Tabla1[[#This Row],[Aboard]],0)</f>
        <v>0.36363636363636365</v>
      </c>
      <c r="X3873" s="51" t="str" cm="1">
        <f t="array" ref="X3873">_xlfn.IFS(Tabla1[[#This Row],[Porcentaje de muertes]]&lt;0.35,"LEVE",AND(Tabla1[[#This Row],[Porcentaje de muertes]]&gt;0.35,Tabla1[[#This Row],[Porcentaje de muertes]]&lt;0.65),"MEDIO",Tabla1[[#This Row],[Porcentaje de muertes]]&gt;0.65,"GRAVE")</f>
        <v>MEDIO</v>
      </c>
    </row>
    <row r="3874" spans="2:24" x14ac:dyDescent="0.3">
      <c r="B3874" s="9">
        <v>3874</v>
      </c>
      <c r="C3874" s="49">
        <v>34482</v>
      </c>
      <c r="D3874" s="9">
        <f>YEAR(Tabla1[[#This Row],[Date]])</f>
        <v>1994</v>
      </c>
      <c r="E3874" s="9" t="str" cm="1">
        <f t="array" ref="E3874">IFERROR(_xlfn.IFS(AND(D3874&lt;1980,D3874&gt;=1970),"70",AND(D3874&lt;1990,D3874&gt;=1980),"80",AND(D3874&lt;2000,D3874&gt;=1990),"90",AND(D3874&lt;2010,D3874&gt;=2000),"00",AND(D3874&lt;=2019,D3874&gt;=2010),"10"),"1908-1970")</f>
        <v>90</v>
      </c>
      <c r="F3874" s="3">
        <v>0.31805555555555554</v>
      </c>
      <c r="G3874" t="s">
        <v>13500</v>
      </c>
      <c r="H3874" t="s">
        <v>22509</v>
      </c>
      <c r="I3874" t="s">
        <v>28931</v>
      </c>
      <c r="J3874" t="s">
        <v>22510</v>
      </c>
      <c r="K3874" t="s">
        <v>8752</v>
      </c>
      <c r="L3874" s="7" t="s">
        <v>22511</v>
      </c>
      <c r="M3874">
        <v>11752</v>
      </c>
      <c r="N3874">
        <v>29</v>
      </c>
      <c r="O3874">
        <v>26</v>
      </c>
      <c r="P3874">
        <v>3</v>
      </c>
      <c r="Q3874">
        <v>7</v>
      </c>
      <c r="R3874">
        <v>4</v>
      </c>
      <c r="S3874">
        <v>3</v>
      </c>
      <c r="T3874">
        <v>0</v>
      </c>
      <c r="U3874" t="s">
        <v>22512</v>
      </c>
      <c r="V3874">
        <f>Tabla1[[#This Row],[Aboard]]-Tabla1[[#This Row],[Fatalities]]</f>
        <v>22</v>
      </c>
      <c r="W3874" s="50">
        <f>IFERROR(Tabla1[[#This Row],[Fatalities]]/Tabla1[[#This Row],[Aboard]],0)</f>
        <v>0.2413793103448276</v>
      </c>
      <c r="X3874" s="51" t="str" cm="1">
        <f t="array" ref="X3874">_xlfn.IFS(Tabla1[[#This Row],[Porcentaje de muertes]]&lt;0.35,"LEVE",AND(Tabla1[[#This Row],[Porcentaje de muertes]]&gt;0.35,Tabla1[[#This Row],[Porcentaje de muertes]]&lt;0.65),"MEDIO",Tabla1[[#This Row],[Porcentaje de muertes]]&gt;0.65,"GRAVE")</f>
        <v>LEVE</v>
      </c>
    </row>
    <row r="3875" spans="2:24" x14ac:dyDescent="0.3">
      <c r="B3875" s="9">
        <v>3875</v>
      </c>
      <c r="C3875" s="49">
        <v>34371</v>
      </c>
      <c r="D3875" s="9">
        <f>YEAR(Tabla1[[#This Row],[Date]])</f>
        <v>1994</v>
      </c>
      <c r="E3875" s="9" t="str" cm="1">
        <f t="array" ref="E3875">IFERROR(_xlfn.IFS(AND(D3875&lt;1980,D3875&gt;=1970),"70",AND(D3875&lt;1990,D3875&gt;=1980),"80",AND(D3875&lt;2000,D3875&gt;=1990),"90",AND(D3875&lt;2010,D3875&gt;=2000),"00",AND(D3875&lt;=2019,D3875&gt;=2010),"10"),"1908-1970")</f>
        <v>90</v>
      </c>
      <c r="F3875" s="3">
        <v>0.75</v>
      </c>
      <c r="G3875" t="s">
        <v>22513</v>
      </c>
      <c r="H3875" t="s">
        <v>7665</v>
      </c>
      <c r="I3875" t="s">
        <v>28931</v>
      </c>
      <c r="J3875" t="s">
        <v>22514</v>
      </c>
      <c r="K3875" t="s">
        <v>22515</v>
      </c>
      <c r="L3875" s="7" t="s">
        <v>22516</v>
      </c>
      <c r="M3875" t="s">
        <v>22517</v>
      </c>
      <c r="N3875">
        <v>29</v>
      </c>
      <c r="O3875">
        <v>25</v>
      </c>
      <c r="P3875">
        <v>4</v>
      </c>
      <c r="Q3875">
        <v>29</v>
      </c>
      <c r="R3875">
        <v>25</v>
      </c>
      <c r="S3875">
        <v>4</v>
      </c>
      <c r="T3875">
        <v>0</v>
      </c>
      <c r="U3875" t="s">
        <v>22518</v>
      </c>
      <c r="V3875">
        <f>Tabla1[[#This Row],[Aboard]]-Tabla1[[#This Row],[Fatalities]]</f>
        <v>0</v>
      </c>
      <c r="W3875" s="50">
        <f>IFERROR(Tabla1[[#This Row],[Fatalities]]/Tabla1[[#This Row],[Aboard]],0)</f>
        <v>1</v>
      </c>
      <c r="X3875" s="51" t="str" cm="1">
        <f t="array" ref="X3875">_xlfn.IFS(Tabla1[[#This Row],[Porcentaje de muertes]]&lt;0.35,"LEVE",AND(Tabla1[[#This Row],[Porcentaje de muertes]]&gt;0.35,Tabla1[[#This Row],[Porcentaje de muertes]]&lt;0.65),"MEDIO",Tabla1[[#This Row],[Porcentaje de muertes]]&gt;0.65,"GRAVE")</f>
        <v>GRAVE</v>
      </c>
    </row>
    <row r="3876" spans="2:24" x14ac:dyDescent="0.3">
      <c r="B3876" s="9">
        <v>3876</v>
      </c>
      <c r="C3876" s="49">
        <v>34491</v>
      </c>
      <c r="D3876" s="9">
        <f>YEAR(Tabla1[[#This Row],[Date]])</f>
        <v>1994</v>
      </c>
      <c r="E3876" s="9" t="str" cm="1">
        <f t="array" ref="E3876">IFERROR(_xlfn.IFS(AND(D3876&lt;1980,D3876&gt;=1970),"70",AND(D3876&lt;1990,D3876&gt;=1980),"80",AND(D3876&lt;2000,D3876&gt;=1990),"90",AND(D3876&lt;2010,D3876&gt;=2000),"00",AND(D3876&lt;=2019,D3876&gt;=2010),"10"),"1908-1970")</f>
        <v>90</v>
      </c>
      <c r="F3876" s="3">
        <v>0.34722222222222227</v>
      </c>
      <c r="G3876" t="s">
        <v>22519</v>
      </c>
      <c r="H3876" t="s">
        <v>22283</v>
      </c>
      <c r="I3876">
        <v>2303</v>
      </c>
      <c r="J3876" t="s">
        <v>22520</v>
      </c>
      <c r="K3876" t="s">
        <v>22401</v>
      </c>
      <c r="L3876" s="7" t="s">
        <v>22521</v>
      </c>
      <c r="M3876" t="s">
        <v>22522</v>
      </c>
      <c r="N3876">
        <v>160</v>
      </c>
      <c r="O3876">
        <v>146</v>
      </c>
      <c r="P3876">
        <v>14</v>
      </c>
      <c r="Q3876">
        <v>160</v>
      </c>
      <c r="R3876">
        <v>146</v>
      </c>
      <c r="S3876">
        <v>14</v>
      </c>
      <c r="T3876">
        <v>0</v>
      </c>
      <c r="U3876" t="s">
        <v>22523</v>
      </c>
      <c r="V3876">
        <f>Tabla1[[#This Row],[Aboard]]-Tabla1[[#This Row],[Fatalities]]</f>
        <v>0</v>
      </c>
      <c r="W3876" s="50">
        <f>IFERROR(Tabla1[[#This Row],[Fatalities]]/Tabla1[[#This Row],[Aboard]],0)</f>
        <v>1</v>
      </c>
      <c r="X3876" s="51" t="str" cm="1">
        <f t="array" ref="X3876">_xlfn.IFS(Tabla1[[#This Row],[Porcentaje de muertes]]&lt;0.35,"LEVE",AND(Tabla1[[#This Row],[Porcentaje de muertes]]&gt;0.35,Tabla1[[#This Row],[Porcentaje de muertes]]&lt;0.65),"MEDIO",Tabla1[[#This Row],[Porcentaje de muertes]]&gt;0.65,"GRAVE")</f>
        <v>GRAVE</v>
      </c>
    </row>
    <row r="3877" spans="2:24" x14ac:dyDescent="0.3">
      <c r="B3877" s="9">
        <v>3877</v>
      </c>
      <c r="C3877" s="49">
        <v>34498</v>
      </c>
      <c r="D3877" s="9">
        <f>YEAR(Tabla1[[#This Row],[Date]])</f>
        <v>1994</v>
      </c>
      <c r="E3877" s="9" t="str" cm="1">
        <f t="array" ref="E3877">IFERROR(_xlfn.IFS(AND(D3877&lt;1980,D3877&gt;=1970),"70",AND(D3877&lt;1990,D3877&gt;=1980),"80",AND(D3877&lt;2000,D3877&gt;=1990),"90",AND(D3877&lt;2010,D3877&gt;=2000),"00",AND(D3877&lt;=2019,D3877&gt;=2010),"10"),"1908-1970")</f>
        <v>90</v>
      </c>
      <c r="F3877" s="3">
        <v>0.78472222222222221</v>
      </c>
      <c r="G3877" t="s">
        <v>22524</v>
      </c>
      <c r="H3877" t="s">
        <v>22525</v>
      </c>
      <c r="I3877" t="s">
        <v>28931</v>
      </c>
      <c r="J3877" t="s">
        <v>22526</v>
      </c>
      <c r="K3877" t="s">
        <v>19547</v>
      </c>
      <c r="L3877" s="7" t="s">
        <v>22527</v>
      </c>
      <c r="M3877" t="s">
        <v>22528</v>
      </c>
      <c r="N3877">
        <v>9</v>
      </c>
      <c r="O3877">
        <v>7</v>
      </c>
      <c r="P3877">
        <v>2</v>
      </c>
      <c r="Q3877">
        <v>9</v>
      </c>
      <c r="R3877">
        <v>7</v>
      </c>
      <c r="S3877">
        <v>2</v>
      </c>
      <c r="T3877">
        <v>0</v>
      </c>
      <c r="U3877" t="s">
        <v>22529</v>
      </c>
      <c r="V3877">
        <f>Tabla1[[#This Row],[Aboard]]-Tabla1[[#This Row],[Fatalities]]</f>
        <v>0</v>
      </c>
      <c r="W3877" s="50">
        <f>IFERROR(Tabla1[[#This Row],[Fatalities]]/Tabla1[[#This Row],[Aboard]],0)</f>
        <v>1</v>
      </c>
      <c r="X3877" s="51" t="str" cm="1">
        <f t="array" ref="X3877">_xlfn.IFS(Tabla1[[#This Row],[Porcentaje de muertes]]&lt;0.35,"LEVE",AND(Tabla1[[#This Row],[Porcentaje de muertes]]&gt;0.35,Tabla1[[#This Row],[Porcentaje de muertes]]&lt;0.65),"MEDIO",Tabla1[[#This Row],[Porcentaje de muertes]]&gt;0.65,"GRAVE")</f>
        <v>GRAVE</v>
      </c>
    </row>
    <row r="3878" spans="2:24" x14ac:dyDescent="0.3">
      <c r="B3878" s="9">
        <v>3878</v>
      </c>
      <c r="C3878" s="49">
        <v>34503</v>
      </c>
      <c r="D3878" s="9">
        <f>YEAR(Tabla1[[#This Row],[Date]])</f>
        <v>1994</v>
      </c>
      <c r="E3878" s="9" t="str" cm="1">
        <f t="array" ref="E3878">IFERROR(_xlfn.IFS(AND(D3878&lt;1980,D3878&gt;=1970),"70",AND(D3878&lt;1990,D3878&gt;=1980),"80",AND(D3878&lt;2000,D3878&gt;=1990),"90",AND(D3878&lt;2010,D3878&gt;=2000),"00",AND(D3878&lt;=2019,D3878&gt;=2010),"10"),"1908-1970")</f>
        <v>90</v>
      </c>
      <c r="F3878" s="3">
        <v>0.51388888888888895</v>
      </c>
      <c r="G3878" t="s">
        <v>22530</v>
      </c>
      <c r="H3878" t="s">
        <v>16296</v>
      </c>
      <c r="I3878" t="s">
        <v>28931</v>
      </c>
      <c r="J3878" t="s">
        <v>22531</v>
      </c>
      <c r="K3878" t="s">
        <v>22532</v>
      </c>
      <c r="L3878" s="7" t="s">
        <v>22533</v>
      </c>
      <c r="M3878">
        <v>10597</v>
      </c>
      <c r="N3878">
        <v>12</v>
      </c>
      <c r="O3878">
        <v>7</v>
      </c>
      <c r="P3878">
        <v>5</v>
      </c>
      <c r="Q3878">
        <v>12</v>
      </c>
      <c r="R3878">
        <v>7</v>
      </c>
      <c r="S3878">
        <v>5</v>
      </c>
      <c r="T3878">
        <v>0</v>
      </c>
      <c r="U3878" t="s">
        <v>22534</v>
      </c>
      <c r="V3878">
        <f>Tabla1[[#This Row],[Aboard]]-Tabla1[[#This Row],[Fatalities]]</f>
        <v>0</v>
      </c>
      <c r="W3878" s="50">
        <f>IFERROR(Tabla1[[#This Row],[Fatalities]]/Tabla1[[#This Row],[Aboard]],0)</f>
        <v>1</v>
      </c>
      <c r="X3878" s="51" t="str" cm="1">
        <f t="array" ref="X3878">_xlfn.IFS(Tabla1[[#This Row],[Porcentaje de muertes]]&lt;0.35,"LEVE",AND(Tabla1[[#This Row],[Porcentaje de muertes]]&gt;0.35,Tabla1[[#This Row],[Porcentaje de muertes]]&lt;0.65),"MEDIO",Tabla1[[#This Row],[Porcentaje de muertes]]&gt;0.65,"GRAVE")</f>
        <v>GRAVE</v>
      </c>
    </row>
    <row r="3879" spans="2:24" x14ac:dyDescent="0.3">
      <c r="B3879" s="9">
        <v>3879</v>
      </c>
      <c r="C3879" s="49">
        <v>34503</v>
      </c>
      <c r="D3879" s="9">
        <f>YEAR(Tabla1[[#This Row],[Date]])</f>
        <v>1994</v>
      </c>
      <c r="E3879" s="9" t="str" cm="1">
        <f t="array" ref="E3879">IFERROR(_xlfn.IFS(AND(D3879&lt;1980,D3879&gt;=1970),"70",AND(D3879&lt;1990,D3879&gt;=1980),"80",AND(D3879&lt;2000,D3879&gt;=1990),"90",AND(D3879&lt;2010,D3879&gt;=2000),"00",AND(D3879&lt;=2019,D3879&gt;=2010),"10"),"1908-1970")</f>
        <v>90</v>
      </c>
      <c r="F3879" s="3">
        <v>0.2673611111111111</v>
      </c>
      <c r="G3879" t="s">
        <v>22535</v>
      </c>
      <c r="H3879" t="s">
        <v>22536</v>
      </c>
      <c r="I3879" t="s">
        <v>28931</v>
      </c>
      <c r="J3879" t="s">
        <v>22537</v>
      </c>
      <c r="K3879" t="s">
        <v>22538</v>
      </c>
      <c r="L3879" s="7" t="s">
        <v>22539</v>
      </c>
      <c r="M3879" t="s">
        <v>22540</v>
      </c>
      <c r="N3879">
        <v>12</v>
      </c>
      <c r="O3879">
        <v>10</v>
      </c>
      <c r="P3879">
        <v>2</v>
      </c>
      <c r="Q3879">
        <v>12</v>
      </c>
      <c r="R3879">
        <v>10</v>
      </c>
      <c r="S3879">
        <v>2</v>
      </c>
      <c r="T3879">
        <v>0</v>
      </c>
      <c r="U3879" t="s">
        <v>22541</v>
      </c>
      <c r="V3879">
        <f>Tabla1[[#This Row],[Aboard]]-Tabla1[[#This Row],[Fatalities]]</f>
        <v>0</v>
      </c>
      <c r="W3879" s="50">
        <f>IFERROR(Tabla1[[#This Row],[Fatalities]]/Tabla1[[#This Row],[Aboard]],0)</f>
        <v>1</v>
      </c>
      <c r="X3879" s="51" t="str" cm="1">
        <f t="array" ref="X3879">_xlfn.IFS(Tabla1[[#This Row],[Porcentaje de muertes]]&lt;0.35,"LEVE",AND(Tabla1[[#This Row],[Porcentaje de muertes]]&gt;0.35,Tabla1[[#This Row],[Porcentaje de muertes]]&lt;0.65),"MEDIO",Tabla1[[#This Row],[Porcentaje de muertes]]&gt;0.65,"GRAVE")</f>
        <v>GRAVE</v>
      </c>
    </row>
    <row r="3880" spans="2:24" x14ac:dyDescent="0.3">
      <c r="B3880" s="9">
        <v>3880</v>
      </c>
      <c r="C3880" s="49">
        <v>34511</v>
      </c>
      <c r="D3880" s="9">
        <f>YEAR(Tabla1[[#This Row],[Date]])</f>
        <v>1994</v>
      </c>
      <c r="E3880" s="9" t="str" cm="1">
        <f t="array" ref="E3880">IFERROR(_xlfn.IFS(AND(D3880&lt;1980,D3880&gt;=1970),"70",AND(D3880&lt;1990,D3880&gt;=1980),"80",AND(D3880&lt;2000,D3880&gt;=1990),"90",AND(D3880&lt;2010,D3880&gt;=2000),"00",AND(D3880&lt;=2019,D3880&gt;=2010),"10"),"1908-1970")</f>
        <v>90</v>
      </c>
      <c r="F3880" s="3">
        <v>0.81597222222222221</v>
      </c>
      <c r="G3880" t="s">
        <v>20246</v>
      </c>
      <c r="H3880" t="s">
        <v>22542</v>
      </c>
      <c r="I3880">
        <v>777</v>
      </c>
      <c r="J3880" t="s">
        <v>22543</v>
      </c>
      <c r="K3880" t="s">
        <v>15897</v>
      </c>
      <c r="L3880" s="7" t="s">
        <v>22544</v>
      </c>
      <c r="M3880">
        <v>10577</v>
      </c>
      <c r="N3880">
        <v>17</v>
      </c>
      <c r="O3880">
        <v>14</v>
      </c>
      <c r="P3880">
        <v>3</v>
      </c>
      <c r="Q3880">
        <v>17</v>
      </c>
      <c r="R3880">
        <v>14</v>
      </c>
      <c r="S3880">
        <v>3</v>
      </c>
      <c r="T3880">
        <v>0</v>
      </c>
      <c r="U3880" t="s">
        <v>22545</v>
      </c>
      <c r="V3880">
        <f>Tabla1[[#This Row],[Aboard]]-Tabla1[[#This Row],[Fatalities]]</f>
        <v>0</v>
      </c>
      <c r="W3880" s="50">
        <f>IFERROR(Tabla1[[#This Row],[Fatalities]]/Tabla1[[#This Row],[Aboard]],0)</f>
        <v>1</v>
      </c>
      <c r="X3880" s="51" t="str" cm="1">
        <f t="array" ref="X3880">_xlfn.IFS(Tabla1[[#This Row],[Porcentaje de muertes]]&lt;0.35,"LEVE",AND(Tabla1[[#This Row],[Porcentaje de muertes]]&gt;0.35,Tabla1[[#This Row],[Porcentaje de muertes]]&lt;0.65),"MEDIO",Tabla1[[#This Row],[Porcentaje de muertes]]&gt;0.65,"GRAVE")</f>
        <v>GRAVE</v>
      </c>
    </row>
    <row r="3881" spans="2:24" x14ac:dyDescent="0.3">
      <c r="B3881" s="9">
        <v>3881</v>
      </c>
      <c r="C3881" s="49">
        <v>34514</v>
      </c>
      <c r="D3881" s="9">
        <f>YEAR(Tabla1[[#This Row],[Date]])</f>
        <v>1994</v>
      </c>
      <c r="E3881" s="9" t="str" cm="1">
        <f t="array" ref="E3881">IFERROR(_xlfn.IFS(AND(D3881&lt;1980,D3881&gt;=1970),"70",AND(D3881&lt;1990,D3881&gt;=1980),"80",AND(D3881&lt;2000,D3881&gt;=1990),"90",AND(D3881&lt;2010,D3881&gt;=2000),"00",AND(D3881&lt;=2019,D3881&gt;=2010),"10"),"1908-1970")</f>
        <v>90</v>
      </c>
      <c r="F3881" s="3" t="s">
        <v>28931</v>
      </c>
      <c r="G3881" t="s">
        <v>22546</v>
      </c>
      <c r="H3881" t="s">
        <v>22547</v>
      </c>
      <c r="I3881" t="s">
        <v>28931</v>
      </c>
      <c r="J3881" t="s">
        <v>28931</v>
      </c>
      <c r="K3881" t="s">
        <v>20770</v>
      </c>
      <c r="L3881" s="7" t="s">
        <v>28931</v>
      </c>
      <c r="M3881" t="s">
        <v>28931</v>
      </c>
      <c r="N3881">
        <v>70</v>
      </c>
      <c r="O3881" t="s">
        <v>5038</v>
      </c>
      <c r="P3881" t="s">
        <v>5038</v>
      </c>
      <c r="Q3881">
        <v>50</v>
      </c>
      <c r="R3881" t="s">
        <v>5038</v>
      </c>
      <c r="S3881" t="s">
        <v>5038</v>
      </c>
      <c r="T3881">
        <v>0</v>
      </c>
      <c r="U3881" t="s">
        <v>22548</v>
      </c>
      <c r="V3881">
        <f>Tabla1[[#This Row],[Aboard]]-Tabla1[[#This Row],[Fatalities]]</f>
        <v>20</v>
      </c>
      <c r="W3881" s="50">
        <f>IFERROR(Tabla1[[#This Row],[Fatalities]]/Tabla1[[#This Row],[Aboard]],0)</f>
        <v>0.7142857142857143</v>
      </c>
      <c r="X3881" s="51" t="str" cm="1">
        <f t="array" ref="X3881">_xlfn.IFS(Tabla1[[#This Row],[Porcentaje de muertes]]&lt;0.35,"LEVE",AND(Tabla1[[#This Row],[Porcentaje de muertes]]&gt;0.35,Tabla1[[#This Row],[Porcentaje de muertes]]&lt;0.65),"MEDIO",Tabla1[[#This Row],[Porcentaje de muertes]]&gt;0.65,"GRAVE")</f>
        <v>GRAVE</v>
      </c>
    </row>
    <row r="3882" spans="2:24" x14ac:dyDescent="0.3">
      <c r="B3882" s="9">
        <v>3882</v>
      </c>
      <c r="C3882" s="49">
        <v>34515</v>
      </c>
      <c r="D3882" s="9">
        <f>YEAR(Tabla1[[#This Row],[Date]])</f>
        <v>1994</v>
      </c>
      <c r="E3882" s="9" t="str" cm="1">
        <f t="array" ref="E3882">IFERROR(_xlfn.IFS(AND(D3882&lt;1980,D3882&gt;=1970),"70",AND(D3882&lt;1990,D3882&gt;=1980),"80",AND(D3882&lt;2000,D3882&gt;=1990),"90",AND(D3882&lt;2010,D3882&gt;=2000),"00",AND(D3882&lt;=2019,D3882&gt;=2010),"10"),"1908-1970")</f>
        <v>90</v>
      </c>
      <c r="F3882" s="3">
        <v>0.7368055555555556</v>
      </c>
      <c r="G3882" t="s">
        <v>22549</v>
      </c>
      <c r="H3882" t="s">
        <v>22550</v>
      </c>
      <c r="I3882">
        <v>129</v>
      </c>
      <c r="J3882" t="s">
        <v>22551</v>
      </c>
      <c r="K3882" t="s">
        <v>22552</v>
      </c>
      <c r="L3882" s="7" t="s">
        <v>22553</v>
      </c>
      <c r="M3882">
        <v>42</v>
      </c>
      <c r="N3882">
        <v>7</v>
      </c>
      <c r="O3882">
        <v>4</v>
      </c>
      <c r="P3882">
        <v>3</v>
      </c>
      <c r="Q3882">
        <v>7</v>
      </c>
      <c r="R3882">
        <v>4</v>
      </c>
      <c r="S3882">
        <v>3</v>
      </c>
      <c r="T3882">
        <v>0</v>
      </c>
      <c r="U3882" t="s">
        <v>22554</v>
      </c>
      <c r="V3882">
        <f>Tabla1[[#This Row],[Aboard]]-Tabla1[[#This Row],[Fatalities]]</f>
        <v>0</v>
      </c>
      <c r="W3882" s="50">
        <f>IFERROR(Tabla1[[#This Row],[Fatalities]]/Tabla1[[#This Row],[Aboard]],0)</f>
        <v>1</v>
      </c>
      <c r="X3882" s="51" t="str" cm="1">
        <f t="array" ref="X3882">_xlfn.IFS(Tabla1[[#This Row],[Porcentaje de muertes]]&lt;0.35,"LEVE",AND(Tabla1[[#This Row],[Porcentaje de muertes]]&gt;0.35,Tabla1[[#This Row],[Porcentaje de muertes]]&lt;0.65),"MEDIO",Tabla1[[#This Row],[Porcentaje de muertes]]&gt;0.65,"GRAVE")</f>
        <v>GRAVE</v>
      </c>
    </row>
    <row r="3883" spans="2:24" x14ac:dyDescent="0.3">
      <c r="B3883" s="9">
        <v>3883</v>
      </c>
      <c r="C3883" s="49">
        <v>34341</v>
      </c>
      <c r="D3883" s="9">
        <f>YEAR(Tabla1[[#This Row],[Date]])</f>
        <v>1994</v>
      </c>
      <c r="E3883" s="9" t="str" cm="1">
        <f t="array" ref="E3883">IFERROR(_xlfn.IFS(AND(D3883&lt;1980,D3883&gt;=1970),"70",AND(D3883&lt;1990,D3883&gt;=1980),"80",AND(D3883&lt;2000,D3883&gt;=1990),"90",AND(D3883&lt;2010,D3883&gt;=2000),"00",AND(D3883&lt;=2019,D3883&gt;=2010),"10"),"1908-1970")</f>
        <v>90</v>
      </c>
      <c r="F3883" s="3">
        <v>0.35416666666666669</v>
      </c>
      <c r="G3883" t="s">
        <v>22555</v>
      </c>
      <c r="H3883" t="s">
        <v>22556</v>
      </c>
      <c r="I3883">
        <v>625</v>
      </c>
      <c r="J3883" t="s">
        <v>22557</v>
      </c>
      <c r="K3883" t="s">
        <v>18988</v>
      </c>
      <c r="L3883" s="7" t="s">
        <v>22558</v>
      </c>
      <c r="M3883">
        <v>11092</v>
      </c>
      <c r="N3883">
        <v>93</v>
      </c>
      <c r="O3883">
        <v>89</v>
      </c>
      <c r="P3883">
        <v>4</v>
      </c>
      <c r="Q3883">
        <v>80</v>
      </c>
      <c r="R3883">
        <v>76</v>
      </c>
      <c r="S3883">
        <v>4</v>
      </c>
      <c r="T3883">
        <v>0</v>
      </c>
      <c r="U3883" t="s">
        <v>22559</v>
      </c>
      <c r="V3883">
        <f>Tabla1[[#This Row],[Aboard]]-Tabla1[[#This Row],[Fatalities]]</f>
        <v>13</v>
      </c>
      <c r="W3883" s="50">
        <f>IFERROR(Tabla1[[#This Row],[Fatalities]]/Tabla1[[#This Row],[Aboard]],0)</f>
        <v>0.86021505376344087</v>
      </c>
      <c r="X3883" s="51" t="str" cm="1">
        <f t="array" ref="X3883">_xlfn.IFS(Tabla1[[#This Row],[Porcentaje de muertes]]&lt;0.35,"LEVE",AND(Tabla1[[#This Row],[Porcentaje de muertes]]&gt;0.35,Tabla1[[#This Row],[Porcentaje de muertes]]&lt;0.65),"MEDIO",Tabla1[[#This Row],[Porcentaje de muertes]]&gt;0.65,"GRAVE")</f>
        <v>GRAVE</v>
      </c>
    </row>
    <row r="3884" spans="2:24" x14ac:dyDescent="0.3">
      <c r="B3884" s="9">
        <v>3884</v>
      </c>
      <c r="C3884" s="49">
        <v>34372</v>
      </c>
      <c r="D3884" s="9">
        <f>YEAR(Tabla1[[#This Row],[Date]])</f>
        <v>1994</v>
      </c>
      <c r="E3884" s="9" t="str" cm="1">
        <f t="array" ref="E3884">IFERROR(_xlfn.IFS(AND(D3884&lt;1980,D3884&gt;=1970),"70",AND(D3884&lt;1990,D3884&gt;=1980),"80",AND(D3884&lt;2000,D3884&gt;=1990),"90",AND(D3884&lt;2010,D3884&gt;=2000),"00",AND(D3884&lt;=2019,D3884&gt;=2010),"10"),"1908-1970")</f>
        <v>90</v>
      </c>
      <c r="F3884" s="3">
        <v>0.77986111111111101</v>
      </c>
      <c r="G3884" t="s">
        <v>22560</v>
      </c>
      <c r="H3884" t="s">
        <v>21034</v>
      </c>
      <c r="I3884">
        <v>1016</v>
      </c>
      <c r="J3884" t="s">
        <v>22561</v>
      </c>
      <c r="K3884" t="s">
        <v>22562</v>
      </c>
      <c r="L3884" s="7" t="s">
        <v>22563</v>
      </c>
      <c r="M3884">
        <v>47590</v>
      </c>
      <c r="N3884">
        <v>57</v>
      </c>
      <c r="O3884">
        <v>52</v>
      </c>
      <c r="P3884">
        <v>5</v>
      </c>
      <c r="Q3884">
        <v>37</v>
      </c>
      <c r="R3884">
        <v>37</v>
      </c>
      <c r="S3884">
        <v>0</v>
      </c>
      <c r="T3884">
        <v>0</v>
      </c>
      <c r="U3884" t="s">
        <v>22564</v>
      </c>
      <c r="V3884">
        <f>Tabla1[[#This Row],[Aboard]]-Tabla1[[#This Row],[Fatalities]]</f>
        <v>20</v>
      </c>
      <c r="W3884" s="50">
        <f>IFERROR(Tabla1[[#This Row],[Fatalities]]/Tabla1[[#This Row],[Aboard]],0)</f>
        <v>0.64912280701754388</v>
      </c>
      <c r="X3884" s="51" t="str" cm="1">
        <f t="array" ref="X3884">_xlfn.IFS(Tabla1[[#This Row],[Porcentaje de muertes]]&lt;0.35,"LEVE",AND(Tabla1[[#This Row],[Porcentaje de muertes]]&gt;0.35,Tabla1[[#This Row],[Porcentaje de muertes]]&lt;0.65),"MEDIO",Tabla1[[#This Row],[Porcentaje de muertes]]&gt;0.65,"GRAVE")</f>
        <v>MEDIO</v>
      </c>
    </row>
    <row r="3885" spans="2:24" x14ac:dyDescent="0.3">
      <c r="B3885" s="9">
        <v>3885</v>
      </c>
      <c r="C3885" s="49">
        <v>34529</v>
      </c>
      <c r="D3885" s="9">
        <f>YEAR(Tabla1[[#This Row],[Date]])</f>
        <v>1994</v>
      </c>
      <c r="E3885" s="9" t="str" cm="1">
        <f t="array" ref="E3885">IFERROR(_xlfn.IFS(AND(D3885&lt;1980,D3885&gt;=1970),"70",AND(D3885&lt;1990,D3885&gt;=1980),"80",AND(D3885&lt;2000,D3885&gt;=1990),"90",AND(D3885&lt;2010,D3885&gt;=2000),"00",AND(D3885&lt;=2019,D3885&gt;=2010),"10"),"1908-1970")</f>
        <v>90</v>
      </c>
      <c r="F3885" s="3">
        <v>0.65</v>
      </c>
      <c r="G3885" t="s">
        <v>22565</v>
      </c>
      <c r="H3885" t="s">
        <v>22566</v>
      </c>
      <c r="I3885" t="s">
        <v>28931</v>
      </c>
      <c r="J3885" t="s">
        <v>22567</v>
      </c>
      <c r="K3885" t="s">
        <v>22568</v>
      </c>
      <c r="L3885" s="7" t="s">
        <v>22569</v>
      </c>
      <c r="M3885" t="s">
        <v>28931</v>
      </c>
      <c r="N3885">
        <v>7</v>
      </c>
      <c r="O3885">
        <v>6</v>
      </c>
      <c r="P3885">
        <v>1</v>
      </c>
      <c r="Q3885">
        <v>3</v>
      </c>
      <c r="R3885">
        <v>3</v>
      </c>
      <c r="S3885">
        <v>0</v>
      </c>
      <c r="T3885">
        <v>0</v>
      </c>
      <c r="U3885" t="s">
        <v>22570</v>
      </c>
      <c r="V3885">
        <f>Tabla1[[#This Row],[Aboard]]-Tabla1[[#This Row],[Fatalities]]</f>
        <v>4</v>
      </c>
      <c r="W3885" s="50">
        <f>IFERROR(Tabla1[[#This Row],[Fatalities]]/Tabla1[[#This Row],[Aboard]],0)</f>
        <v>0.42857142857142855</v>
      </c>
      <c r="X3885" s="51" t="str" cm="1">
        <f t="array" ref="X3885">_xlfn.IFS(Tabla1[[#This Row],[Porcentaje de muertes]]&lt;0.35,"LEVE",AND(Tabla1[[#This Row],[Porcentaje de muertes]]&gt;0.35,Tabla1[[#This Row],[Porcentaje de muertes]]&lt;0.65),"MEDIO",Tabla1[[#This Row],[Porcentaje de muertes]]&gt;0.65,"GRAVE")</f>
        <v>MEDIO</v>
      </c>
    </row>
    <row r="3886" spans="2:24" x14ac:dyDescent="0.3">
      <c r="B3886" s="9">
        <v>3886</v>
      </c>
      <c r="C3886" s="49">
        <v>34532</v>
      </c>
      <c r="D3886" s="9">
        <f>YEAR(Tabla1[[#This Row],[Date]])</f>
        <v>1994</v>
      </c>
      <c r="E3886" s="9" t="str" cm="1">
        <f t="array" ref="E3886">IFERROR(_xlfn.IFS(AND(D3886&lt;1980,D3886&gt;=1970),"70",AND(D3886&lt;1990,D3886&gt;=1980),"80",AND(D3886&lt;2000,D3886&gt;=1990),"90",AND(D3886&lt;2010,D3886&gt;=2000),"00",AND(D3886&lt;=2019,D3886&gt;=2010),"10"),"1908-1970")</f>
        <v>90</v>
      </c>
      <c r="F3886" s="3">
        <v>0.90625</v>
      </c>
      <c r="G3886" t="s">
        <v>22571</v>
      </c>
      <c r="H3886" t="s">
        <v>22572</v>
      </c>
      <c r="I3886" t="s">
        <v>28931</v>
      </c>
      <c r="J3886" t="s">
        <v>22573</v>
      </c>
      <c r="K3886" t="s">
        <v>22574</v>
      </c>
      <c r="L3886" s="7" t="s">
        <v>22575</v>
      </c>
      <c r="M3886">
        <v>2152</v>
      </c>
      <c r="N3886">
        <v>6</v>
      </c>
      <c r="O3886">
        <v>5</v>
      </c>
      <c r="P3886">
        <v>1</v>
      </c>
      <c r="Q3886">
        <v>6</v>
      </c>
      <c r="R3886">
        <v>5</v>
      </c>
      <c r="S3886">
        <v>1</v>
      </c>
      <c r="T3886">
        <v>0</v>
      </c>
      <c r="U3886" t="s">
        <v>22576</v>
      </c>
      <c r="V3886">
        <f>Tabla1[[#This Row],[Aboard]]-Tabla1[[#This Row],[Fatalities]]</f>
        <v>0</v>
      </c>
      <c r="W3886" s="50">
        <f>IFERROR(Tabla1[[#This Row],[Fatalities]]/Tabla1[[#This Row],[Aboard]],0)</f>
        <v>1</v>
      </c>
      <c r="X3886" s="51" t="str" cm="1">
        <f t="array" ref="X3886">_xlfn.IFS(Tabla1[[#This Row],[Porcentaje de muertes]]&lt;0.35,"LEVE",AND(Tabla1[[#This Row],[Porcentaje de muertes]]&gt;0.35,Tabla1[[#This Row],[Porcentaje de muertes]]&lt;0.65),"MEDIO",Tabla1[[#This Row],[Porcentaje de muertes]]&gt;0.65,"GRAVE")</f>
        <v>GRAVE</v>
      </c>
    </row>
    <row r="3887" spans="2:24" x14ac:dyDescent="0.3">
      <c r="B3887" s="9">
        <v>3887</v>
      </c>
      <c r="C3887" s="49">
        <v>34532</v>
      </c>
      <c r="D3887" s="9">
        <f>YEAR(Tabla1[[#This Row],[Date]])</f>
        <v>1994</v>
      </c>
      <c r="E3887" s="9" t="str" cm="1">
        <f t="array" ref="E3887">IFERROR(_xlfn.IFS(AND(D3887&lt;1980,D3887&gt;=1970),"70",AND(D3887&lt;1990,D3887&gt;=1980),"80",AND(D3887&lt;2000,D3887&gt;=1990),"90",AND(D3887&lt;2010,D3887&gt;=2000),"00",AND(D3887&lt;=2019,D3887&gt;=2010),"10"),"1908-1970")</f>
        <v>90</v>
      </c>
      <c r="F3887" s="3" t="s">
        <v>28931</v>
      </c>
      <c r="G3887" t="s">
        <v>22577</v>
      </c>
      <c r="H3887" t="s">
        <v>22578</v>
      </c>
      <c r="I3887" t="s">
        <v>28931</v>
      </c>
      <c r="J3887" t="s">
        <v>6190</v>
      </c>
      <c r="K3887" t="s">
        <v>22579</v>
      </c>
      <c r="L3887" s="7" t="s">
        <v>22580</v>
      </c>
      <c r="M3887">
        <v>9311326</v>
      </c>
      <c r="N3887">
        <v>9</v>
      </c>
      <c r="O3887">
        <v>5</v>
      </c>
      <c r="P3887">
        <v>4</v>
      </c>
      <c r="Q3887">
        <v>5</v>
      </c>
      <c r="R3887">
        <v>3</v>
      </c>
      <c r="S3887">
        <v>2</v>
      </c>
      <c r="T3887">
        <v>0</v>
      </c>
      <c r="U3887" t="s">
        <v>22581</v>
      </c>
      <c r="V3887">
        <f>Tabla1[[#This Row],[Aboard]]-Tabla1[[#This Row],[Fatalities]]</f>
        <v>4</v>
      </c>
      <c r="W3887" s="50">
        <f>IFERROR(Tabla1[[#This Row],[Fatalities]]/Tabla1[[#This Row],[Aboard]],0)</f>
        <v>0.55555555555555558</v>
      </c>
      <c r="X3887" s="51" t="str" cm="1">
        <f t="array" ref="X3887">_xlfn.IFS(Tabla1[[#This Row],[Porcentaje de muertes]]&lt;0.35,"LEVE",AND(Tabla1[[#This Row],[Porcentaje de muertes]]&gt;0.35,Tabla1[[#This Row],[Porcentaje de muertes]]&lt;0.65),"MEDIO",Tabla1[[#This Row],[Porcentaje de muertes]]&gt;0.65,"GRAVE")</f>
        <v>MEDIO</v>
      </c>
    </row>
    <row r="3888" spans="2:24" x14ac:dyDescent="0.3">
      <c r="B3888" s="9">
        <v>3888</v>
      </c>
      <c r="C3888" s="49">
        <v>34534</v>
      </c>
      <c r="D3888" s="9">
        <f>YEAR(Tabla1[[#This Row],[Date]])</f>
        <v>1994</v>
      </c>
      <c r="E3888" s="9" t="str" cm="1">
        <f t="array" ref="E3888">IFERROR(_xlfn.IFS(AND(D3888&lt;1980,D3888&gt;=1970),"70",AND(D3888&lt;1990,D3888&gt;=1980),"80",AND(D3888&lt;2000,D3888&gt;=1990),"90",AND(D3888&lt;2010,D3888&gt;=2000),"00",AND(D3888&lt;=2019,D3888&gt;=2010),"10"),"1908-1970")</f>
        <v>90</v>
      </c>
      <c r="F3888" s="3">
        <v>0.6875</v>
      </c>
      <c r="G3888" t="s">
        <v>22582</v>
      </c>
      <c r="H3888" t="s">
        <v>22583</v>
      </c>
      <c r="I3888" t="s">
        <v>28931</v>
      </c>
      <c r="J3888" t="s">
        <v>22584</v>
      </c>
      <c r="K3888" t="s">
        <v>18953</v>
      </c>
      <c r="L3888" s="7" t="s">
        <v>22585</v>
      </c>
      <c r="M3888" t="s">
        <v>22586</v>
      </c>
      <c r="N3888">
        <v>21</v>
      </c>
      <c r="O3888">
        <v>18</v>
      </c>
      <c r="P3888">
        <v>3</v>
      </c>
      <c r="Q3888">
        <v>21</v>
      </c>
      <c r="R3888">
        <v>18</v>
      </c>
      <c r="S3888">
        <v>3</v>
      </c>
      <c r="T3888">
        <v>0</v>
      </c>
      <c r="U3888" t="s">
        <v>22587</v>
      </c>
      <c r="V3888">
        <f>Tabla1[[#This Row],[Aboard]]-Tabla1[[#This Row],[Fatalities]]</f>
        <v>0</v>
      </c>
      <c r="W3888" s="50">
        <f>IFERROR(Tabla1[[#This Row],[Fatalities]]/Tabla1[[#This Row],[Aboard]],0)</f>
        <v>1</v>
      </c>
      <c r="X3888" s="51" t="str" cm="1">
        <f t="array" ref="X3888">_xlfn.IFS(Tabla1[[#This Row],[Porcentaje de muertes]]&lt;0.35,"LEVE",AND(Tabla1[[#This Row],[Porcentaje de muertes]]&gt;0.35,Tabla1[[#This Row],[Porcentaje de muertes]]&lt;0.65),"MEDIO",Tabla1[[#This Row],[Porcentaje de muertes]]&gt;0.65,"GRAVE")</f>
        <v>GRAVE</v>
      </c>
    </row>
    <row r="3889" spans="2:24" x14ac:dyDescent="0.3">
      <c r="B3889" s="9">
        <v>3889</v>
      </c>
      <c r="C3889" s="49">
        <v>34541</v>
      </c>
      <c r="D3889" s="9">
        <f>YEAR(Tabla1[[#This Row],[Date]])</f>
        <v>1994</v>
      </c>
      <c r="E3889" s="9" t="str" cm="1">
        <f t="array" ref="E3889">IFERROR(_xlfn.IFS(AND(D3889&lt;1980,D3889&gt;=1970),"70",AND(D3889&lt;1990,D3889&gt;=1980),"80",AND(D3889&lt;2000,D3889&gt;=1990),"90",AND(D3889&lt;2010,D3889&gt;=2000),"00",AND(D3889&lt;=2019,D3889&gt;=2010),"10"),"1908-1970")</f>
        <v>90</v>
      </c>
      <c r="F3889" s="3" t="s">
        <v>28931</v>
      </c>
      <c r="G3889" t="s">
        <v>22588</v>
      </c>
      <c r="H3889" t="s">
        <v>21199</v>
      </c>
      <c r="I3889" t="s">
        <v>28931</v>
      </c>
      <c r="J3889" t="s">
        <v>22589</v>
      </c>
      <c r="K3889" t="s">
        <v>22590</v>
      </c>
      <c r="L3889" s="7" t="s">
        <v>22591</v>
      </c>
      <c r="M3889" t="s">
        <v>22592</v>
      </c>
      <c r="N3889">
        <v>18</v>
      </c>
      <c r="O3889">
        <v>16</v>
      </c>
      <c r="P3889">
        <v>2</v>
      </c>
      <c r="Q3889">
        <v>18</v>
      </c>
      <c r="R3889">
        <v>16</v>
      </c>
      <c r="S3889">
        <v>2</v>
      </c>
      <c r="T3889">
        <v>0</v>
      </c>
      <c r="U3889" t="s">
        <v>22593</v>
      </c>
      <c r="V3889">
        <f>Tabla1[[#This Row],[Aboard]]-Tabla1[[#This Row],[Fatalities]]</f>
        <v>0</v>
      </c>
      <c r="W3889" s="50">
        <f>IFERROR(Tabla1[[#This Row],[Fatalities]]/Tabla1[[#This Row],[Aboard]],0)</f>
        <v>1</v>
      </c>
      <c r="X3889" s="51" t="str" cm="1">
        <f t="array" ref="X3889">_xlfn.IFS(Tabla1[[#This Row],[Porcentaje de muertes]]&lt;0.35,"LEVE",AND(Tabla1[[#This Row],[Porcentaje de muertes]]&gt;0.35,Tabla1[[#This Row],[Porcentaje de muertes]]&lt;0.65),"MEDIO",Tabla1[[#This Row],[Porcentaje de muertes]]&gt;0.65,"GRAVE")</f>
        <v>GRAVE</v>
      </c>
    </row>
    <row r="3890" spans="2:24" x14ac:dyDescent="0.3">
      <c r="B3890" s="9">
        <v>3890</v>
      </c>
      <c r="C3890" s="49">
        <v>34462</v>
      </c>
      <c r="D3890" s="9">
        <f>YEAR(Tabla1[[#This Row],[Date]])</f>
        <v>1994</v>
      </c>
      <c r="E3890" s="9" t="str" cm="1">
        <f t="array" ref="E3890">IFERROR(_xlfn.IFS(AND(D3890&lt;1980,D3890&gt;=1970),"70",AND(D3890&lt;1990,D3890&gt;=1980),"80",AND(D3890&lt;2000,D3890&gt;=1990),"90",AND(D3890&lt;2010,D3890&gt;=2000),"00",AND(D3890&lt;=2019,D3890&gt;=2010),"10"),"1908-1970")</f>
        <v>90</v>
      </c>
      <c r="F3890" s="3">
        <v>0.36805555555555558</v>
      </c>
      <c r="G3890" t="s">
        <v>22594</v>
      </c>
      <c r="H3890" t="s">
        <v>15187</v>
      </c>
      <c r="I3890" t="s">
        <v>28931</v>
      </c>
      <c r="J3890" t="s">
        <v>22595</v>
      </c>
      <c r="K3890" t="s">
        <v>13992</v>
      </c>
      <c r="L3890" s="7" t="s">
        <v>28931</v>
      </c>
      <c r="M3890" t="s">
        <v>28931</v>
      </c>
      <c r="N3890">
        <v>47</v>
      </c>
      <c r="O3890">
        <v>41</v>
      </c>
      <c r="P3890">
        <v>6</v>
      </c>
      <c r="Q3890">
        <v>47</v>
      </c>
      <c r="R3890">
        <v>41</v>
      </c>
      <c r="S3890">
        <v>6</v>
      </c>
      <c r="T3890">
        <v>0</v>
      </c>
      <c r="U3890" t="s">
        <v>22596</v>
      </c>
      <c r="V3890">
        <f>Tabla1[[#This Row],[Aboard]]-Tabla1[[#This Row],[Fatalities]]</f>
        <v>0</v>
      </c>
      <c r="W3890" s="50">
        <f>IFERROR(Tabla1[[#This Row],[Fatalities]]/Tabla1[[#This Row],[Aboard]],0)</f>
        <v>1</v>
      </c>
      <c r="X3890" s="51" t="str" cm="1">
        <f t="array" ref="X3890">_xlfn.IFS(Tabla1[[#This Row],[Porcentaje de muertes]]&lt;0.35,"LEVE",AND(Tabla1[[#This Row],[Porcentaje de muertes]]&gt;0.35,Tabla1[[#This Row],[Porcentaje de muertes]]&lt;0.65),"MEDIO",Tabla1[[#This Row],[Porcentaje de muertes]]&gt;0.65,"GRAVE")</f>
        <v>GRAVE</v>
      </c>
    </row>
    <row r="3891" spans="2:24" x14ac:dyDescent="0.3">
      <c r="B3891" s="9">
        <v>3891</v>
      </c>
      <c r="C3891" s="49">
        <v>34523</v>
      </c>
      <c r="D3891" s="9">
        <f>YEAR(Tabla1[[#This Row],[Date]])</f>
        <v>1994</v>
      </c>
      <c r="E3891" s="9" t="str" cm="1">
        <f t="array" ref="E3891">IFERROR(_xlfn.IFS(AND(D3891&lt;1980,D3891&gt;=1970),"70",AND(D3891&lt;1990,D3891&gt;=1980),"80",AND(D3891&lt;2000,D3891&gt;=1990),"90",AND(D3891&lt;2010,D3891&gt;=2000),"00",AND(D3891&lt;=2019,D3891&gt;=2010),"10"),"1908-1970")</f>
        <v>90</v>
      </c>
      <c r="F3891" s="3">
        <v>0.57986111111111105</v>
      </c>
      <c r="G3891" t="s">
        <v>22597</v>
      </c>
      <c r="H3891" t="s">
        <v>22598</v>
      </c>
      <c r="I3891" t="s">
        <v>28931</v>
      </c>
      <c r="J3891" t="s">
        <v>5494</v>
      </c>
      <c r="K3891" t="s">
        <v>18216</v>
      </c>
      <c r="L3891" s="7" t="s">
        <v>22599</v>
      </c>
      <c r="M3891" t="s">
        <v>28931</v>
      </c>
      <c r="N3891">
        <v>7</v>
      </c>
      <c r="O3891">
        <v>6</v>
      </c>
      <c r="P3891">
        <v>1</v>
      </c>
      <c r="Q3891">
        <v>6</v>
      </c>
      <c r="R3891">
        <v>5</v>
      </c>
      <c r="S3891">
        <v>1</v>
      </c>
      <c r="T3891">
        <v>0</v>
      </c>
      <c r="U3891" t="s">
        <v>22600</v>
      </c>
      <c r="V3891">
        <f>Tabla1[[#This Row],[Aboard]]-Tabla1[[#This Row],[Fatalities]]</f>
        <v>1</v>
      </c>
      <c r="W3891" s="50">
        <f>IFERROR(Tabla1[[#This Row],[Fatalities]]/Tabla1[[#This Row],[Aboard]],0)</f>
        <v>0.8571428571428571</v>
      </c>
      <c r="X3891" s="51" t="str" cm="1">
        <f t="array" ref="X3891">_xlfn.IFS(Tabla1[[#This Row],[Porcentaje de muertes]]&lt;0.35,"LEVE",AND(Tabla1[[#This Row],[Porcentaje de muertes]]&gt;0.35,Tabla1[[#This Row],[Porcentaje de muertes]]&lt;0.65),"MEDIO",Tabla1[[#This Row],[Porcentaje de muertes]]&gt;0.65,"GRAVE")</f>
        <v>GRAVE</v>
      </c>
    </row>
    <row r="3892" spans="2:24" x14ac:dyDescent="0.3">
      <c r="B3892" s="9">
        <v>3892</v>
      </c>
      <c r="C3892" s="49">
        <v>34615</v>
      </c>
      <c r="D3892" s="9">
        <f>YEAR(Tabla1[[#This Row],[Date]])</f>
        <v>1994</v>
      </c>
      <c r="E3892" s="9" t="str" cm="1">
        <f t="array" ref="E3892">IFERROR(_xlfn.IFS(AND(D3892&lt;1980,D3892&gt;=1970),"70",AND(D3892&lt;1990,D3892&gt;=1980),"80",AND(D3892&lt;2000,D3892&gt;=1990),"90",AND(D3892&lt;2010,D3892&gt;=2000),"00",AND(D3892&lt;=2019,D3892&gt;=2010),"10"),"1908-1970")</f>
        <v>90</v>
      </c>
      <c r="F3892" s="3">
        <v>0.47361111111111115</v>
      </c>
      <c r="G3892" t="s">
        <v>22601</v>
      </c>
      <c r="H3892" t="s">
        <v>16097</v>
      </c>
      <c r="I3892">
        <v>2033</v>
      </c>
      <c r="J3892" t="s">
        <v>22602</v>
      </c>
      <c r="K3892" t="s">
        <v>22493</v>
      </c>
      <c r="L3892" s="7" t="s">
        <v>22603</v>
      </c>
      <c r="M3892">
        <v>583</v>
      </c>
      <c r="N3892">
        <v>160</v>
      </c>
      <c r="O3892">
        <v>152</v>
      </c>
      <c r="P3892">
        <v>8</v>
      </c>
      <c r="Q3892">
        <v>0</v>
      </c>
      <c r="R3892">
        <v>0</v>
      </c>
      <c r="S3892">
        <v>0</v>
      </c>
      <c r="T3892">
        <v>0</v>
      </c>
      <c r="U3892" t="s">
        <v>22604</v>
      </c>
      <c r="V3892">
        <f>Tabla1[[#This Row],[Aboard]]-Tabla1[[#This Row],[Fatalities]]</f>
        <v>160</v>
      </c>
      <c r="W3892" s="50">
        <f>IFERROR(Tabla1[[#This Row],[Fatalities]]/Tabla1[[#This Row],[Aboard]],0)</f>
        <v>0</v>
      </c>
      <c r="X3892" s="51" t="str" cm="1">
        <f t="array" ref="X3892">_xlfn.IFS(Tabla1[[#This Row],[Porcentaje de muertes]]&lt;0.35,"LEVE",AND(Tabla1[[#This Row],[Porcentaje de muertes]]&gt;0.35,Tabla1[[#This Row],[Porcentaje de muertes]]&lt;0.65),"MEDIO",Tabla1[[#This Row],[Porcentaje de muertes]]&gt;0.65,"GRAVE")</f>
        <v>LEVE</v>
      </c>
    </row>
    <row r="3893" spans="2:24" x14ac:dyDescent="0.3">
      <c r="B3893" s="9">
        <v>3893</v>
      </c>
      <c r="C3893" s="49">
        <v>34646</v>
      </c>
      <c r="D3893" s="9">
        <f>YEAR(Tabla1[[#This Row],[Date]])</f>
        <v>1994</v>
      </c>
      <c r="E3893" s="9" t="str" cm="1">
        <f t="array" ref="E3893">IFERROR(_xlfn.IFS(AND(D3893&lt;1980,D3893&gt;=1970),"70",AND(D3893&lt;1990,D3893&gt;=1980),"80",AND(D3893&lt;2000,D3893&gt;=1990),"90",AND(D3893&lt;2010,D3893&gt;=2000),"00",AND(D3893&lt;=2019,D3893&gt;=2010),"10"),"1908-1970")</f>
        <v>90</v>
      </c>
      <c r="F3893" s="3">
        <v>0.70833333333333337</v>
      </c>
      <c r="G3893" t="s">
        <v>22605</v>
      </c>
      <c r="H3893" t="s">
        <v>22606</v>
      </c>
      <c r="I3893" t="s">
        <v>28931</v>
      </c>
      <c r="J3893" t="s">
        <v>22607</v>
      </c>
      <c r="K3893" t="s">
        <v>18216</v>
      </c>
      <c r="L3893" s="7" t="s">
        <v>22608</v>
      </c>
      <c r="M3893">
        <v>495</v>
      </c>
      <c r="N3893">
        <v>3</v>
      </c>
      <c r="O3893">
        <v>2</v>
      </c>
      <c r="P3893">
        <v>1</v>
      </c>
      <c r="Q3893">
        <v>3</v>
      </c>
      <c r="R3893">
        <v>2</v>
      </c>
      <c r="S3893">
        <v>1</v>
      </c>
      <c r="T3893">
        <v>0</v>
      </c>
      <c r="U3893" t="s">
        <v>22609</v>
      </c>
      <c r="V3893">
        <f>Tabla1[[#This Row],[Aboard]]-Tabla1[[#This Row],[Fatalities]]</f>
        <v>0</v>
      </c>
      <c r="W3893" s="50">
        <f>IFERROR(Tabla1[[#This Row],[Fatalities]]/Tabla1[[#This Row],[Aboard]],0)</f>
        <v>1</v>
      </c>
      <c r="X3893" s="51" t="str" cm="1">
        <f t="array" ref="X3893">_xlfn.IFS(Tabla1[[#This Row],[Porcentaje de muertes]]&lt;0.35,"LEVE",AND(Tabla1[[#This Row],[Porcentaje de muertes]]&gt;0.35,Tabla1[[#This Row],[Porcentaje de muertes]]&lt;0.65),"MEDIO",Tabla1[[#This Row],[Porcentaje de muertes]]&gt;0.65,"GRAVE")</f>
        <v>GRAVE</v>
      </c>
    </row>
    <row r="3894" spans="2:24" x14ac:dyDescent="0.3">
      <c r="B3894" s="9">
        <v>3894</v>
      </c>
      <c r="C3894" s="49">
        <v>34676</v>
      </c>
      <c r="D3894" s="9">
        <f>YEAR(Tabla1[[#This Row],[Date]])</f>
        <v>1994</v>
      </c>
      <c r="E3894" s="9" t="str" cm="1">
        <f t="array" ref="E3894">IFERROR(_xlfn.IFS(AND(D3894&lt;1980,D3894&gt;=1970),"70",AND(D3894&lt;1990,D3894&gt;=1980),"80",AND(D3894&lt;2000,D3894&gt;=1990),"90",AND(D3894&lt;2010,D3894&gt;=2000),"00",AND(D3894&lt;=2019,D3894&gt;=2010),"10"),"1908-1970")</f>
        <v>90</v>
      </c>
      <c r="F3894" s="3">
        <v>0.87847222222222221</v>
      </c>
      <c r="G3894" t="s">
        <v>22610</v>
      </c>
      <c r="H3894" t="s">
        <v>22611</v>
      </c>
      <c r="I3894" t="s">
        <v>28931</v>
      </c>
      <c r="J3894" t="s">
        <v>21076</v>
      </c>
      <c r="K3894" t="s">
        <v>22612</v>
      </c>
      <c r="L3894" s="7" t="s">
        <v>22613</v>
      </c>
      <c r="M3894">
        <v>52089</v>
      </c>
      <c r="N3894">
        <v>3</v>
      </c>
      <c r="O3894">
        <v>2</v>
      </c>
      <c r="P3894">
        <v>1</v>
      </c>
      <c r="Q3894">
        <v>3</v>
      </c>
      <c r="R3894">
        <v>2</v>
      </c>
      <c r="S3894">
        <v>1</v>
      </c>
      <c r="T3894">
        <v>0</v>
      </c>
      <c r="U3894" t="s">
        <v>22614</v>
      </c>
      <c r="V3894">
        <f>Tabla1[[#This Row],[Aboard]]-Tabla1[[#This Row],[Fatalities]]</f>
        <v>0</v>
      </c>
      <c r="W3894" s="50">
        <f>IFERROR(Tabla1[[#This Row],[Fatalities]]/Tabla1[[#This Row],[Aboard]],0)</f>
        <v>1</v>
      </c>
      <c r="X3894" s="51" t="str" cm="1">
        <f t="array" ref="X3894">_xlfn.IFS(Tabla1[[#This Row],[Porcentaje de muertes]]&lt;0.35,"LEVE",AND(Tabla1[[#This Row],[Porcentaje de muertes]]&gt;0.35,Tabla1[[#This Row],[Porcentaje de muertes]]&lt;0.65),"MEDIO",Tabla1[[#This Row],[Porcentaje de muertes]]&gt;0.65,"GRAVE")</f>
        <v>GRAVE</v>
      </c>
    </row>
    <row r="3895" spans="2:24" x14ac:dyDescent="0.3">
      <c r="B3895" s="9">
        <v>3895</v>
      </c>
      <c r="C3895" s="49">
        <v>34567</v>
      </c>
      <c r="D3895" s="9">
        <f>YEAR(Tabla1[[#This Row],[Date]])</f>
        <v>1994</v>
      </c>
      <c r="E3895" s="9" t="str" cm="1">
        <f t="array" ref="E3895">IFERROR(_xlfn.IFS(AND(D3895&lt;1980,D3895&gt;=1970),"70",AND(D3895&lt;1990,D3895&gt;=1980),"80",AND(D3895&lt;2000,D3895&gt;=1990),"90",AND(D3895&lt;2010,D3895&gt;=2000),"00",AND(D3895&lt;=2019,D3895&gt;=2010),"10"),"1908-1970")</f>
        <v>90</v>
      </c>
      <c r="F3895" s="3" t="s">
        <v>28931</v>
      </c>
      <c r="G3895" t="s">
        <v>22615</v>
      </c>
      <c r="H3895" t="s">
        <v>15826</v>
      </c>
      <c r="I3895">
        <v>630</v>
      </c>
      <c r="J3895" t="s">
        <v>5715</v>
      </c>
      <c r="K3895" t="s">
        <v>22616</v>
      </c>
      <c r="L3895" s="7" t="s">
        <v>22617</v>
      </c>
      <c r="M3895">
        <v>127</v>
      </c>
      <c r="N3895">
        <v>44</v>
      </c>
      <c r="O3895">
        <v>40</v>
      </c>
      <c r="P3895">
        <v>4</v>
      </c>
      <c r="Q3895">
        <v>44</v>
      </c>
      <c r="R3895">
        <v>40</v>
      </c>
      <c r="S3895">
        <v>4</v>
      </c>
      <c r="T3895">
        <v>0</v>
      </c>
      <c r="U3895" t="s">
        <v>22618</v>
      </c>
      <c r="V3895">
        <f>Tabla1[[#This Row],[Aboard]]-Tabla1[[#This Row],[Fatalities]]</f>
        <v>0</v>
      </c>
      <c r="W3895" s="50">
        <f>IFERROR(Tabla1[[#This Row],[Fatalities]]/Tabla1[[#This Row],[Aboard]],0)</f>
        <v>1</v>
      </c>
      <c r="X3895" s="51" t="str" cm="1">
        <f t="array" ref="X3895">_xlfn.IFS(Tabla1[[#This Row],[Porcentaje de muertes]]&lt;0.35,"LEVE",AND(Tabla1[[#This Row],[Porcentaje de muertes]]&gt;0.35,Tabla1[[#This Row],[Porcentaje de muertes]]&lt;0.65),"MEDIO",Tabla1[[#This Row],[Porcentaje de muertes]]&gt;0.65,"GRAVE")</f>
        <v>GRAVE</v>
      </c>
    </row>
    <row r="3896" spans="2:24" x14ac:dyDescent="0.3">
      <c r="B3896" s="9">
        <v>3896</v>
      </c>
      <c r="C3896" s="49">
        <v>34555</v>
      </c>
      <c r="D3896" s="9">
        <f>YEAR(Tabla1[[#This Row],[Date]])</f>
        <v>1994</v>
      </c>
      <c r="E3896" s="9" t="str" cm="1">
        <f t="array" ref="E3896">IFERROR(_xlfn.IFS(AND(D3896&lt;1980,D3896&gt;=1970),"70",AND(D3896&lt;1990,D3896&gt;=1980),"80",AND(D3896&lt;2000,D3896&gt;=1990),"90",AND(D3896&lt;2010,D3896&gt;=2000),"00",AND(D3896&lt;=2019,D3896&gt;=2010),"10"),"1908-1970")</f>
        <v>90</v>
      </c>
      <c r="F3896" s="3">
        <v>0.79375000000000007</v>
      </c>
      <c r="G3896" t="s">
        <v>22619</v>
      </c>
      <c r="H3896" t="s">
        <v>21034</v>
      </c>
      <c r="I3896">
        <v>427</v>
      </c>
      <c r="J3896" t="s">
        <v>22620</v>
      </c>
      <c r="K3896" t="s">
        <v>22621</v>
      </c>
      <c r="L3896" s="7" t="s">
        <v>22622</v>
      </c>
      <c r="M3896" t="s">
        <v>22623</v>
      </c>
      <c r="N3896">
        <v>132</v>
      </c>
      <c r="O3896">
        <v>127</v>
      </c>
      <c r="P3896">
        <v>5</v>
      </c>
      <c r="Q3896">
        <v>132</v>
      </c>
      <c r="R3896">
        <v>127</v>
      </c>
      <c r="S3896">
        <v>5</v>
      </c>
      <c r="T3896">
        <v>0</v>
      </c>
      <c r="U3896" t="s">
        <v>22624</v>
      </c>
      <c r="V3896">
        <f>Tabla1[[#This Row],[Aboard]]-Tabla1[[#This Row],[Fatalities]]</f>
        <v>0</v>
      </c>
      <c r="W3896" s="50">
        <f>IFERROR(Tabla1[[#This Row],[Fatalities]]/Tabla1[[#This Row],[Aboard]],0)</f>
        <v>1</v>
      </c>
      <c r="X3896" s="51" t="str" cm="1">
        <f t="array" ref="X3896">_xlfn.IFS(Tabla1[[#This Row],[Porcentaje de muertes]]&lt;0.35,"LEVE",AND(Tabla1[[#This Row],[Porcentaje de muertes]]&gt;0.35,Tabla1[[#This Row],[Porcentaje de muertes]]&lt;0.65),"MEDIO",Tabla1[[#This Row],[Porcentaje de muertes]]&gt;0.65,"GRAVE")</f>
        <v>GRAVE</v>
      </c>
    </row>
    <row r="3897" spans="2:24" x14ac:dyDescent="0.3">
      <c r="B3897" s="9">
        <v>3897</v>
      </c>
      <c r="C3897" s="49">
        <v>34590</v>
      </c>
      <c r="D3897" s="9">
        <f>YEAR(Tabla1[[#This Row],[Date]])</f>
        <v>1994</v>
      </c>
      <c r="E3897" s="9" t="str" cm="1">
        <f t="array" ref="E3897">IFERROR(_xlfn.IFS(AND(D3897&lt;1980,D3897&gt;=1970),"70",AND(D3897&lt;1990,D3897&gt;=1980),"80",AND(D3897&lt;2000,D3897&gt;=1990),"90",AND(D3897&lt;2010,D3897&gt;=2000),"00",AND(D3897&lt;=2019,D3897&gt;=2010),"10"),"1908-1970")</f>
        <v>90</v>
      </c>
      <c r="F3897" s="3">
        <v>0.50347222222222221</v>
      </c>
      <c r="G3897" t="s">
        <v>22625</v>
      </c>
      <c r="H3897" t="s">
        <v>22626</v>
      </c>
      <c r="I3897" t="s">
        <v>28931</v>
      </c>
      <c r="J3897" t="s">
        <v>22627</v>
      </c>
      <c r="K3897" t="s">
        <v>16680</v>
      </c>
      <c r="L3897" s="7" t="s">
        <v>22628</v>
      </c>
      <c r="M3897">
        <v>538</v>
      </c>
      <c r="N3897">
        <v>5</v>
      </c>
      <c r="O3897">
        <v>3</v>
      </c>
      <c r="P3897">
        <v>2</v>
      </c>
      <c r="Q3897">
        <v>3</v>
      </c>
      <c r="R3897">
        <v>2</v>
      </c>
      <c r="S3897">
        <v>1</v>
      </c>
      <c r="T3897">
        <v>0</v>
      </c>
      <c r="U3897" t="s">
        <v>22629</v>
      </c>
      <c r="V3897">
        <f>Tabla1[[#This Row],[Aboard]]-Tabla1[[#This Row],[Fatalities]]</f>
        <v>2</v>
      </c>
      <c r="W3897" s="50">
        <f>IFERROR(Tabla1[[#This Row],[Fatalities]]/Tabla1[[#This Row],[Aboard]],0)</f>
        <v>0.6</v>
      </c>
      <c r="X3897" s="51" t="str" cm="1">
        <f t="array" ref="X3897">_xlfn.IFS(Tabla1[[#This Row],[Porcentaje de muertes]]&lt;0.35,"LEVE",AND(Tabla1[[#This Row],[Porcentaje de muertes]]&gt;0.35,Tabla1[[#This Row],[Porcentaje de muertes]]&lt;0.65),"MEDIO",Tabla1[[#This Row],[Porcentaje de muertes]]&gt;0.65,"GRAVE")</f>
        <v>MEDIO</v>
      </c>
    </row>
    <row r="3898" spans="2:24" x14ac:dyDescent="0.3">
      <c r="B3898" s="9">
        <v>3898</v>
      </c>
      <c r="C3898" s="49">
        <v>34594</v>
      </c>
      <c r="D3898" s="9">
        <f>YEAR(Tabla1[[#This Row],[Date]])</f>
        <v>1994</v>
      </c>
      <c r="E3898" s="9" t="str" cm="1">
        <f t="array" ref="E3898">IFERROR(_xlfn.IFS(AND(D3898&lt;1980,D3898&gt;=1970),"70",AND(D3898&lt;1990,D3898&gt;=1980),"80",AND(D3898&lt;2000,D3898&gt;=1990),"90",AND(D3898&lt;2010,D3898&gt;=2000),"00",AND(D3898&lt;=2019,D3898&gt;=2010),"10"),"1908-1970")</f>
        <v>90</v>
      </c>
      <c r="F3898" s="3">
        <v>0.4916666666666667</v>
      </c>
      <c r="G3898" t="s">
        <v>22630</v>
      </c>
      <c r="H3898" t="s">
        <v>18493</v>
      </c>
      <c r="I3898" t="s">
        <v>28931</v>
      </c>
      <c r="J3898" t="s">
        <v>22631</v>
      </c>
      <c r="K3898" t="s">
        <v>14888</v>
      </c>
      <c r="L3898" s="7" t="s">
        <v>22632</v>
      </c>
      <c r="M3898">
        <v>36</v>
      </c>
      <c r="N3898">
        <v>4</v>
      </c>
      <c r="O3898">
        <v>2</v>
      </c>
      <c r="P3898">
        <v>2</v>
      </c>
      <c r="Q3898">
        <v>3</v>
      </c>
      <c r="R3898">
        <v>2</v>
      </c>
      <c r="S3898">
        <v>1</v>
      </c>
      <c r="T3898">
        <v>0</v>
      </c>
      <c r="U3898" t="s">
        <v>22633</v>
      </c>
      <c r="V3898">
        <f>Tabla1[[#This Row],[Aboard]]-Tabla1[[#This Row],[Fatalities]]</f>
        <v>1</v>
      </c>
      <c r="W3898" s="50">
        <f>IFERROR(Tabla1[[#This Row],[Fatalities]]/Tabla1[[#This Row],[Aboard]],0)</f>
        <v>0.75</v>
      </c>
      <c r="X3898" s="51" t="str" cm="1">
        <f t="array" ref="X3898">_xlfn.IFS(Tabla1[[#This Row],[Porcentaje de muertes]]&lt;0.35,"LEVE",AND(Tabla1[[#This Row],[Porcentaje de muertes]]&gt;0.35,Tabla1[[#This Row],[Porcentaje de muertes]]&lt;0.65),"MEDIO",Tabla1[[#This Row],[Porcentaje de muertes]]&gt;0.65,"GRAVE")</f>
        <v>GRAVE</v>
      </c>
    </row>
    <row r="3899" spans="2:24" x14ac:dyDescent="0.3">
      <c r="B3899" s="9">
        <v>3899</v>
      </c>
      <c r="C3899" s="49">
        <v>34595</v>
      </c>
      <c r="D3899" s="9">
        <f>YEAR(Tabla1[[#This Row],[Date]])</f>
        <v>1994</v>
      </c>
      <c r="E3899" s="9" t="str" cm="1">
        <f t="array" ref="E3899">IFERROR(_xlfn.IFS(AND(D3899&lt;1980,D3899&gt;=1970),"70",AND(D3899&lt;1990,D3899&gt;=1980),"80",AND(D3899&lt;2000,D3899&gt;=1990),"90",AND(D3899&lt;2010,D3899&gt;=2000),"00",AND(D3899&lt;=2019,D3899&gt;=2010),"10"),"1908-1970")</f>
        <v>90</v>
      </c>
      <c r="F3899" s="3">
        <v>0.33819444444444446</v>
      </c>
      <c r="G3899" t="s">
        <v>14911</v>
      </c>
      <c r="H3899" t="s">
        <v>22634</v>
      </c>
      <c r="I3899" t="s">
        <v>28931</v>
      </c>
      <c r="J3899" t="s">
        <v>22635</v>
      </c>
      <c r="K3899" t="s">
        <v>16240</v>
      </c>
      <c r="L3899" s="7" t="s">
        <v>22636</v>
      </c>
      <c r="M3899">
        <v>229</v>
      </c>
      <c r="N3899">
        <v>39</v>
      </c>
      <c r="O3899">
        <v>32</v>
      </c>
      <c r="P3899">
        <v>7</v>
      </c>
      <c r="Q3899">
        <v>5</v>
      </c>
      <c r="R3899">
        <v>3</v>
      </c>
      <c r="S3899">
        <v>2</v>
      </c>
      <c r="T3899">
        <v>0</v>
      </c>
      <c r="U3899" t="s">
        <v>22637</v>
      </c>
      <c r="V3899">
        <f>Tabla1[[#This Row],[Aboard]]-Tabla1[[#This Row],[Fatalities]]</f>
        <v>34</v>
      </c>
      <c r="W3899" s="50">
        <f>IFERROR(Tabla1[[#This Row],[Fatalities]]/Tabla1[[#This Row],[Aboard]],0)</f>
        <v>0.12820512820512819</v>
      </c>
      <c r="X3899" s="51" t="str" cm="1">
        <f t="array" ref="X3899">_xlfn.IFS(Tabla1[[#This Row],[Porcentaje de muertes]]&lt;0.35,"LEVE",AND(Tabla1[[#This Row],[Porcentaje de muertes]]&gt;0.35,Tabla1[[#This Row],[Porcentaje de muertes]]&lt;0.65),"MEDIO",Tabla1[[#This Row],[Porcentaje de muertes]]&gt;0.65,"GRAVE")</f>
        <v>LEVE</v>
      </c>
    </row>
    <row r="3900" spans="2:24" x14ac:dyDescent="0.3">
      <c r="B3900" s="9">
        <v>3900</v>
      </c>
      <c r="C3900" s="49">
        <v>34600</v>
      </c>
      <c r="D3900" s="9">
        <f>YEAR(Tabla1[[#This Row],[Date]])</f>
        <v>1994</v>
      </c>
      <c r="E3900" s="9" t="str" cm="1">
        <f t="array" ref="E3900">IFERROR(_xlfn.IFS(AND(D3900&lt;1980,D3900&gt;=1970),"70",AND(D3900&lt;1990,D3900&gt;=1980),"80",AND(D3900&lt;2000,D3900&gt;=1990),"90",AND(D3900&lt;2010,D3900&gt;=2000),"00",AND(D3900&lt;=2019,D3900&gt;=2010),"10"),"1908-1970")</f>
        <v>90</v>
      </c>
      <c r="F3900" s="3">
        <v>0.80208333333333337</v>
      </c>
      <c r="G3900" t="s">
        <v>20668</v>
      </c>
      <c r="H3900" t="s">
        <v>22638</v>
      </c>
      <c r="I3900" t="s">
        <v>28931</v>
      </c>
      <c r="J3900" t="s">
        <v>11531</v>
      </c>
      <c r="K3900" t="s">
        <v>17107</v>
      </c>
      <c r="L3900" s="7" t="s">
        <v>22639</v>
      </c>
      <c r="M3900">
        <v>4826</v>
      </c>
      <c r="N3900">
        <v>12</v>
      </c>
      <c r="O3900">
        <v>6</v>
      </c>
      <c r="P3900">
        <v>6</v>
      </c>
      <c r="Q3900">
        <v>6</v>
      </c>
      <c r="R3900">
        <v>3</v>
      </c>
      <c r="S3900">
        <v>3</v>
      </c>
      <c r="T3900">
        <v>0</v>
      </c>
      <c r="U3900" t="s">
        <v>22640</v>
      </c>
      <c r="V3900">
        <f>Tabla1[[#This Row],[Aboard]]-Tabla1[[#This Row],[Fatalities]]</f>
        <v>6</v>
      </c>
      <c r="W3900" s="50">
        <f>IFERROR(Tabla1[[#This Row],[Fatalities]]/Tabla1[[#This Row],[Aboard]],0)</f>
        <v>0.5</v>
      </c>
      <c r="X3900" s="51" t="str" cm="1">
        <f t="array" ref="X3900">_xlfn.IFS(Tabla1[[#This Row],[Porcentaje de muertes]]&lt;0.35,"LEVE",AND(Tabla1[[#This Row],[Porcentaje de muertes]]&gt;0.35,Tabla1[[#This Row],[Porcentaje de muertes]]&lt;0.65),"MEDIO",Tabla1[[#This Row],[Porcentaje de muertes]]&gt;0.65,"GRAVE")</f>
        <v>MEDIO</v>
      </c>
    </row>
    <row r="3901" spans="2:24" x14ac:dyDescent="0.3">
      <c r="B3901" s="9">
        <v>3901</v>
      </c>
      <c r="C3901" s="49">
        <v>34603</v>
      </c>
      <c r="D3901" s="9">
        <f>YEAR(Tabla1[[#This Row],[Date]])</f>
        <v>1994</v>
      </c>
      <c r="E3901" s="9" t="str" cm="1">
        <f t="array" ref="E3901">IFERROR(_xlfn.IFS(AND(D3901&lt;1980,D3901&gt;=1970),"70",AND(D3901&lt;1990,D3901&gt;=1980),"80",AND(D3901&lt;2000,D3901&gt;=1990),"90",AND(D3901&lt;2010,D3901&gt;=2000),"00",AND(D3901&lt;=2019,D3901&gt;=2010),"10"),"1908-1970")</f>
        <v>90</v>
      </c>
      <c r="F3901" s="3">
        <v>0.73402777777777783</v>
      </c>
      <c r="G3901" t="s">
        <v>22641</v>
      </c>
      <c r="H3901" t="s">
        <v>22642</v>
      </c>
      <c r="I3901" t="s">
        <v>28931</v>
      </c>
      <c r="J3901" t="s">
        <v>22643</v>
      </c>
      <c r="K3901" t="s">
        <v>15961</v>
      </c>
      <c r="L3901" s="7" t="s">
        <v>22644</v>
      </c>
      <c r="M3901">
        <v>9441337</v>
      </c>
      <c r="N3901">
        <v>28</v>
      </c>
      <c r="O3901">
        <v>24</v>
      </c>
      <c r="P3901">
        <v>4</v>
      </c>
      <c r="Q3901">
        <v>28</v>
      </c>
      <c r="R3901">
        <v>24</v>
      </c>
      <c r="S3901">
        <v>4</v>
      </c>
      <c r="T3901">
        <v>0</v>
      </c>
      <c r="U3901" t="s">
        <v>22645</v>
      </c>
      <c r="V3901">
        <f>Tabla1[[#This Row],[Aboard]]-Tabla1[[#This Row],[Fatalities]]</f>
        <v>0</v>
      </c>
      <c r="W3901" s="50">
        <f>IFERROR(Tabla1[[#This Row],[Fatalities]]/Tabla1[[#This Row],[Aboard]],0)</f>
        <v>1</v>
      </c>
      <c r="X3901" s="51" t="str" cm="1">
        <f t="array" ref="X3901">_xlfn.IFS(Tabla1[[#This Row],[Porcentaje de muertes]]&lt;0.35,"LEVE",AND(Tabla1[[#This Row],[Porcentaje de muertes]]&gt;0.35,Tabla1[[#This Row],[Porcentaje de muertes]]&lt;0.65),"MEDIO",Tabla1[[#This Row],[Porcentaje de muertes]]&gt;0.65,"GRAVE")</f>
        <v>GRAVE</v>
      </c>
    </row>
    <row r="3902" spans="2:24" x14ac:dyDescent="0.3">
      <c r="B3902" s="9">
        <v>3902</v>
      </c>
      <c r="C3902" s="49">
        <v>34605</v>
      </c>
      <c r="D3902" s="9">
        <f>YEAR(Tabla1[[#This Row],[Date]])</f>
        <v>1994</v>
      </c>
      <c r="E3902" s="9" t="str" cm="1">
        <f t="array" ref="E3902">IFERROR(_xlfn.IFS(AND(D3902&lt;1980,D3902&gt;=1970),"70",AND(D3902&lt;1990,D3902&gt;=1980),"80",AND(D3902&lt;2000,D3902&gt;=1990),"90",AND(D3902&lt;2010,D3902&gt;=2000),"00",AND(D3902&lt;=2019,D3902&gt;=2010),"10"),"1908-1970")</f>
        <v>90</v>
      </c>
      <c r="F3902" s="3" t="s">
        <v>28931</v>
      </c>
      <c r="G3902" t="s">
        <v>22646</v>
      </c>
      <c r="H3902" t="s">
        <v>22647</v>
      </c>
      <c r="I3902" t="s">
        <v>28931</v>
      </c>
      <c r="J3902" t="s">
        <v>22648</v>
      </c>
      <c r="K3902" t="s">
        <v>10133</v>
      </c>
      <c r="L3902" s="7" t="s">
        <v>22649</v>
      </c>
      <c r="M3902">
        <v>34346</v>
      </c>
      <c r="N3902">
        <v>27</v>
      </c>
      <c r="O3902">
        <v>25</v>
      </c>
      <c r="P3902">
        <v>2</v>
      </c>
      <c r="Q3902">
        <v>1</v>
      </c>
      <c r="R3902">
        <v>0</v>
      </c>
      <c r="S3902">
        <v>1</v>
      </c>
      <c r="T3902">
        <v>0</v>
      </c>
      <c r="U3902" t="s">
        <v>22650</v>
      </c>
      <c r="V3902">
        <f>Tabla1[[#This Row],[Aboard]]-Tabla1[[#This Row],[Fatalities]]</f>
        <v>26</v>
      </c>
      <c r="W3902" s="50">
        <f>IFERROR(Tabla1[[#This Row],[Fatalities]]/Tabla1[[#This Row],[Aboard]],0)</f>
        <v>3.7037037037037035E-2</v>
      </c>
      <c r="X3902" s="51" t="str" cm="1">
        <f t="array" ref="X3902">_xlfn.IFS(Tabla1[[#This Row],[Porcentaje de muertes]]&lt;0.35,"LEVE",AND(Tabla1[[#This Row],[Porcentaje de muertes]]&gt;0.35,Tabla1[[#This Row],[Porcentaje de muertes]]&lt;0.65),"MEDIO",Tabla1[[#This Row],[Porcentaje de muertes]]&gt;0.65,"GRAVE")</f>
        <v>LEVE</v>
      </c>
    </row>
    <row r="3903" spans="2:24" x14ac:dyDescent="0.3">
      <c r="B3903" s="9">
        <v>3903</v>
      </c>
      <c r="C3903" s="49">
        <v>34607</v>
      </c>
      <c r="D3903" s="9">
        <f>YEAR(Tabla1[[#This Row],[Date]])</f>
        <v>1994</v>
      </c>
      <c r="E3903" s="9" t="str" cm="1">
        <f t="array" ref="E3903">IFERROR(_xlfn.IFS(AND(D3903&lt;1980,D3903&gt;=1970),"70",AND(D3903&lt;1990,D3903&gt;=1980),"80",AND(D3903&lt;2000,D3903&gt;=1990),"90",AND(D3903&lt;2010,D3903&gt;=2000),"00",AND(D3903&lt;=2019,D3903&gt;=2010),"10"),"1908-1970")</f>
        <v>90</v>
      </c>
      <c r="F3903" s="3">
        <v>0.46527777777777773</v>
      </c>
      <c r="G3903" t="s">
        <v>22651</v>
      </c>
      <c r="H3903" t="s">
        <v>22652</v>
      </c>
      <c r="I3903" t="s">
        <v>28931</v>
      </c>
      <c r="J3903" t="s">
        <v>22653</v>
      </c>
      <c r="K3903" t="s">
        <v>22080</v>
      </c>
      <c r="L3903" s="7" t="s">
        <v>22654</v>
      </c>
      <c r="M3903" t="s">
        <v>22655</v>
      </c>
      <c r="N3903">
        <v>20</v>
      </c>
      <c r="O3903">
        <v>13</v>
      </c>
      <c r="P3903">
        <v>7</v>
      </c>
      <c r="Q3903">
        <v>8</v>
      </c>
      <c r="R3903">
        <v>3</v>
      </c>
      <c r="S3903">
        <v>5</v>
      </c>
      <c r="T3903">
        <v>0</v>
      </c>
      <c r="U3903" t="s">
        <v>22656</v>
      </c>
      <c r="V3903">
        <f>Tabla1[[#This Row],[Aboard]]-Tabla1[[#This Row],[Fatalities]]</f>
        <v>12</v>
      </c>
      <c r="W3903" s="50">
        <f>IFERROR(Tabla1[[#This Row],[Fatalities]]/Tabla1[[#This Row],[Aboard]],0)</f>
        <v>0.4</v>
      </c>
      <c r="X3903" s="51" t="str" cm="1">
        <f t="array" ref="X3903">_xlfn.IFS(Tabla1[[#This Row],[Porcentaje de muertes]]&lt;0.35,"LEVE",AND(Tabla1[[#This Row],[Porcentaje de muertes]]&gt;0.35,Tabla1[[#This Row],[Porcentaje de muertes]]&lt;0.65),"MEDIO",Tabla1[[#This Row],[Porcentaje de muertes]]&gt;0.65,"GRAVE")</f>
        <v>MEDIO</v>
      </c>
    </row>
    <row r="3904" spans="2:24" x14ac:dyDescent="0.3">
      <c r="B3904" s="9">
        <v>3904</v>
      </c>
      <c r="C3904" s="49">
        <v>34556</v>
      </c>
      <c r="D3904" s="9">
        <f>YEAR(Tabla1[[#This Row],[Date]])</f>
        <v>1994</v>
      </c>
      <c r="E3904" s="9" t="str" cm="1">
        <f t="array" ref="E3904">IFERROR(_xlfn.IFS(AND(D3904&lt;1980,D3904&gt;=1970),"70",AND(D3904&lt;1990,D3904&gt;=1980),"80",AND(D3904&lt;2000,D3904&gt;=1990),"90",AND(D3904&lt;2010,D3904&gt;=2000),"00",AND(D3904&lt;=2019,D3904&gt;=2010),"10"),"1908-1970")</f>
        <v>90</v>
      </c>
      <c r="F3904" s="3">
        <v>0.65625</v>
      </c>
      <c r="G3904" t="s">
        <v>22657</v>
      </c>
      <c r="H3904" t="s">
        <v>22658</v>
      </c>
      <c r="I3904" t="s">
        <v>28931</v>
      </c>
      <c r="J3904" t="s">
        <v>22025</v>
      </c>
      <c r="K3904" t="s">
        <v>22659</v>
      </c>
      <c r="L3904" s="7" t="s">
        <v>22660</v>
      </c>
      <c r="M3904">
        <v>3301</v>
      </c>
      <c r="N3904">
        <v>10</v>
      </c>
      <c r="O3904">
        <v>5</v>
      </c>
      <c r="P3904">
        <v>5</v>
      </c>
      <c r="Q3904">
        <v>10</v>
      </c>
      <c r="R3904">
        <v>5</v>
      </c>
      <c r="S3904">
        <v>5</v>
      </c>
      <c r="T3904">
        <v>0</v>
      </c>
      <c r="U3904" t="s">
        <v>22661</v>
      </c>
      <c r="V3904">
        <f>Tabla1[[#This Row],[Aboard]]-Tabla1[[#This Row],[Fatalities]]</f>
        <v>0</v>
      </c>
      <c r="W3904" s="50">
        <f>IFERROR(Tabla1[[#This Row],[Fatalities]]/Tabla1[[#This Row],[Aboard]],0)</f>
        <v>1</v>
      </c>
      <c r="X3904" s="51" t="str" cm="1">
        <f t="array" ref="X3904">_xlfn.IFS(Tabla1[[#This Row],[Porcentaje de muertes]]&lt;0.35,"LEVE",AND(Tabla1[[#This Row],[Porcentaje de muertes]]&gt;0.35,Tabla1[[#This Row],[Porcentaje de muertes]]&lt;0.65),"MEDIO",Tabla1[[#This Row],[Porcentaje de muertes]]&gt;0.65,"GRAVE")</f>
        <v>GRAVE</v>
      </c>
    </row>
    <row r="3905" spans="2:24" x14ac:dyDescent="0.3">
      <c r="B3905" s="9">
        <v>3905</v>
      </c>
      <c r="C3905" s="49">
        <v>34678</v>
      </c>
      <c r="D3905" s="9">
        <f>YEAR(Tabla1[[#This Row],[Date]])</f>
        <v>1994</v>
      </c>
      <c r="E3905" s="9" t="str" cm="1">
        <f t="array" ref="E3905">IFERROR(_xlfn.IFS(AND(D3905&lt;1980,D3905&gt;=1970),"70",AND(D3905&lt;1990,D3905&gt;=1980),"80",AND(D3905&lt;2000,D3905&gt;=1990),"90",AND(D3905&lt;2010,D3905&gt;=2000),"00",AND(D3905&lt;=2019,D3905&gt;=2010),"10"),"1908-1970")</f>
        <v>90</v>
      </c>
      <c r="F3905" s="3">
        <v>0.95138888888888884</v>
      </c>
      <c r="G3905" t="s">
        <v>22662</v>
      </c>
      <c r="H3905" t="s">
        <v>22663</v>
      </c>
      <c r="I3905">
        <v>746</v>
      </c>
      <c r="J3905" t="s">
        <v>22664</v>
      </c>
      <c r="K3905" t="s">
        <v>16685</v>
      </c>
      <c r="L3905" s="7" t="s">
        <v>22665</v>
      </c>
      <c r="M3905">
        <v>11070</v>
      </c>
      <c r="N3905">
        <v>66</v>
      </c>
      <c r="O3905">
        <v>59</v>
      </c>
      <c r="P3905">
        <v>7</v>
      </c>
      <c r="Q3905">
        <v>66</v>
      </c>
      <c r="R3905">
        <v>59</v>
      </c>
      <c r="S3905">
        <v>7</v>
      </c>
      <c r="T3905">
        <v>0</v>
      </c>
      <c r="U3905" t="s">
        <v>22666</v>
      </c>
      <c r="V3905">
        <f>Tabla1[[#This Row],[Aboard]]-Tabla1[[#This Row],[Fatalities]]</f>
        <v>0</v>
      </c>
      <c r="W3905" s="50">
        <f>IFERROR(Tabla1[[#This Row],[Fatalities]]/Tabla1[[#This Row],[Aboard]],0)</f>
        <v>1</v>
      </c>
      <c r="X3905" s="51" t="str" cm="1">
        <f t="array" ref="X3905">_xlfn.IFS(Tabla1[[#This Row],[Porcentaje de muertes]]&lt;0.35,"LEVE",AND(Tabla1[[#This Row],[Porcentaje de muertes]]&gt;0.35,Tabla1[[#This Row],[Porcentaje de muertes]]&lt;0.65),"MEDIO",Tabla1[[#This Row],[Porcentaje de muertes]]&gt;0.65,"GRAVE")</f>
        <v>GRAVE</v>
      </c>
    </row>
    <row r="3906" spans="2:24" x14ac:dyDescent="0.3">
      <c r="B3906" s="9">
        <v>3906</v>
      </c>
      <c r="C3906" s="49">
        <v>34621</v>
      </c>
      <c r="D3906" s="9">
        <f>YEAR(Tabla1[[#This Row],[Date]])</f>
        <v>1994</v>
      </c>
      <c r="E3906" s="9" t="str" cm="1">
        <f t="array" ref="E3906">IFERROR(_xlfn.IFS(AND(D3906&lt;1980,D3906&gt;=1970),"70",AND(D3906&lt;1990,D3906&gt;=1980),"80",AND(D3906&lt;2000,D3906&gt;=1990),"90",AND(D3906&lt;2010,D3906&gt;=2000),"00",AND(D3906&lt;=2019,D3906&gt;=2010),"10"),"1908-1970")</f>
        <v>90</v>
      </c>
      <c r="F3906" s="3">
        <v>0.91666666666666663</v>
      </c>
      <c r="G3906" t="s">
        <v>22667</v>
      </c>
      <c r="H3906" t="s">
        <v>9398</v>
      </c>
      <c r="I3906" t="s">
        <v>28931</v>
      </c>
      <c r="J3906" t="s">
        <v>8188</v>
      </c>
      <c r="K3906" t="s">
        <v>15987</v>
      </c>
      <c r="L3906" s="7" t="s">
        <v>22668</v>
      </c>
      <c r="M3906">
        <v>4293</v>
      </c>
      <c r="N3906">
        <v>21</v>
      </c>
      <c r="O3906">
        <v>15</v>
      </c>
      <c r="P3906">
        <v>6</v>
      </c>
      <c r="Q3906">
        <v>21</v>
      </c>
      <c r="R3906">
        <v>15</v>
      </c>
      <c r="S3906">
        <v>6</v>
      </c>
      <c r="T3906">
        <v>0</v>
      </c>
      <c r="U3906" t="s">
        <v>22669</v>
      </c>
      <c r="V3906">
        <f>Tabla1[[#This Row],[Aboard]]-Tabla1[[#This Row],[Fatalities]]</f>
        <v>0</v>
      </c>
      <c r="W3906" s="50">
        <f>IFERROR(Tabla1[[#This Row],[Fatalities]]/Tabla1[[#This Row],[Aboard]],0)</f>
        <v>1</v>
      </c>
      <c r="X3906" s="51" t="str" cm="1">
        <f t="array" ref="X3906">_xlfn.IFS(Tabla1[[#This Row],[Porcentaje de muertes]]&lt;0.35,"LEVE",AND(Tabla1[[#This Row],[Porcentaje de muertes]]&gt;0.35,Tabla1[[#This Row],[Porcentaje de muertes]]&lt;0.65),"MEDIO",Tabla1[[#This Row],[Porcentaje de muertes]]&gt;0.65,"GRAVE")</f>
        <v>GRAVE</v>
      </c>
    </row>
    <row r="3907" spans="2:24" x14ac:dyDescent="0.3">
      <c r="B3907" s="9">
        <v>3907</v>
      </c>
      <c r="C3907" s="49">
        <v>34633</v>
      </c>
      <c r="D3907" s="9">
        <f>YEAR(Tabla1[[#This Row],[Date]])</f>
        <v>1994</v>
      </c>
      <c r="E3907" s="9" t="str" cm="1">
        <f t="array" ref="E3907">IFERROR(_xlfn.IFS(AND(D3907&lt;1980,D3907&gt;=1970),"70",AND(D3907&lt;1990,D3907&gt;=1980),"80",AND(D3907&lt;2000,D3907&gt;=1990),"90",AND(D3907&lt;2010,D3907&gt;=2000),"00",AND(D3907&lt;=2019,D3907&gt;=2010),"10"),"1908-1970")</f>
        <v>90</v>
      </c>
      <c r="F3907" s="3" t="s">
        <v>28931</v>
      </c>
      <c r="G3907" t="s">
        <v>22670</v>
      </c>
      <c r="H3907" t="s">
        <v>17903</v>
      </c>
      <c r="I3907" t="s">
        <v>28931</v>
      </c>
      <c r="J3907" t="s">
        <v>28931</v>
      </c>
      <c r="K3907" t="s">
        <v>22671</v>
      </c>
      <c r="L3907" s="7" t="s">
        <v>22672</v>
      </c>
      <c r="M3907" t="s">
        <v>28931</v>
      </c>
      <c r="N3907">
        <v>22</v>
      </c>
      <c r="O3907" t="s">
        <v>5038</v>
      </c>
      <c r="P3907" t="s">
        <v>5038</v>
      </c>
      <c r="Q3907">
        <v>22</v>
      </c>
      <c r="R3907" t="s">
        <v>5038</v>
      </c>
      <c r="S3907" t="s">
        <v>5038</v>
      </c>
      <c r="T3907">
        <v>0</v>
      </c>
      <c r="U3907" t="s">
        <v>19062</v>
      </c>
      <c r="V3907">
        <f>Tabla1[[#This Row],[Aboard]]-Tabla1[[#This Row],[Fatalities]]</f>
        <v>0</v>
      </c>
      <c r="W3907" s="50">
        <f>IFERROR(Tabla1[[#This Row],[Fatalities]]/Tabla1[[#This Row],[Aboard]],0)</f>
        <v>1</v>
      </c>
      <c r="X3907" s="51" t="str" cm="1">
        <f t="array" ref="X3907">_xlfn.IFS(Tabla1[[#This Row],[Porcentaje de muertes]]&lt;0.35,"LEVE",AND(Tabla1[[#This Row],[Porcentaje de muertes]]&gt;0.35,Tabla1[[#This Row],[Porcentaje de muertes]]&lt;0.65),"MEDIO",Tabla1[[#This Row],[Porcentaje de muertes]]&gt;0.65,"GRAVE")</f>
        <v>GRAVE</v>
      </c>
    </row>
    <row r="3908" spans="2:24" x14ac:dyDescent="0.3">
      <c r="B3908" s="9">
        <v>3908</v>
      </c>
      <c r="C3908" s="49">
        <v>34636</v>
      </c>
      <c r="D3908" s="9">
        <f>YEAR(Tabla1[[#This Row],[Date]])</f>
        <v>1994</v>
      </c>
      <c r="E3908" s="9" t="str" cm="1">
        <f t="array" ref="E3908">IFERROR(_xlfn.IFS(AND(D3908&lt;1980,D3908&gt;=1970),"70",AND(D3908&lt;1990,D3908&gt;=1980),"80",AND(D3908&lt;2000,D3908&gt;=1990),"90",AND(D3908&lt;2010,D3908&gt;=2000),"00",AND(D3908&lt;=2019,D3908&gt;=2010),"10"),"1908-1970")</f>
        <v>90</v>
      </c>
      <c r="F3908" s="3">
        <v>0.89583333333333337</v>
      </c>
      <c r="G3908" t="s">
        <v>22673</v>
      </c>
      <c r="H3908" t="s">
        <v>19846</v>
      </c>
      <c r="I3908" t="s">
        <v>28931</v>
      </c>
      <c r="J3908" t="s">
        <v>22674</v>
      </c>
      <c r="K3908" t="s">
        <v>22675</v>
      </c>
      <c r="L3908" s="7" t="s">
        <v>22676</v>
      </c>
      <c r="M3908">
        <v>1340302</v>
      </c>
      <c r="N3908">
        <v>23</v>
      </c>
      <c r="O3908">
        <v>16</v>
      </c>
      <c r="P3908">
        <v>7</v>
      </c>
      <c r="Q3908">
        <v>23</v>
      </c>
      <c r="R3908">
        <v>16</v>
      </c>
      <c r="S3908">
        <v>7</v>
      </c>
      <c r="T3908">
        <v>0</v>
      </c>
      <c r="U3908" t="s">
        <v>22677</v>
      </c>
      <c r="V3908">
        <f>Tabla1[[#This Row],[Aboard]]-Tabla1[[#This Row],[Fatalities]]</f>
        <v>0</v>
      </c>
      <c r="W3908" s="50">
        <f>IFERROR(Tabla1[[#This Row],[Fatalities]]/Tabla1[[#This Row],[Aboard]],0)</f>
        <v>1</v>
      </c>
      <c r="X3908" s="51" t="str" cm="1">
        <f t="array" ref="X3908">_xlfn.IFS(Tabla1[[#This Row],[Porcentaje de muertes]]&lt;0.35,"LEVE",AND(Tabla1[[#This Row],[Porcentaje de muertes]]&gt;0.35,Tabla1[[#This Row],[Porcentaje de muertes]]&lt;0.65),"MEDIO",Tabla1[[#This Row],[Porcentaje de muertes]]&gt;0.65,"GRAVE")</f>
        <v>GRAVE</v>
      </c>
    </row>
    <row r="3909" spans="2:24" x14ac:dyDescent="0.3">
      <c r="B3909" s="9">
        <v>3909</v>
      </c>
      <c r="C3909" s="49">
        <v>34636</v>
      </c>
      <c r="D3909" s="9">
        <f>YEAR(Tabla1[[#This Row],[Date]])</f>
        <v>1994</v>
      </c>
      <c r="E3909" s="9" t="str" cm="1">
        <f t="array" ref="E3909">IFERROR(_xlfn.IFS(AND(D3909&lt;1980,D3909&gt;=1970),"70",AND(D3909&lt;1990,D3909&gt;=1980),"80",AND(D3909&lt;2000,D3909&gt;=1990),"90",AND(D3909&lt;2010,D3909&gt;=2000),"00",AND(D3909&lt;=2019,D3909&gt;=2010),"10"),"1908-1970")</f>
        <v>90</v>
      </c>
      <c r="F3909" s="3">
        <v>0.43888888888888888</v>
      </c>
      <c r="G3909" t="s">
        <v>22678</v>
      </c>
      <c r="H3909" t="s">
        <v>22029</v>
      </c>
      <c r="I3909" t="s">
        <v>28931</v>
      </c>
      <c r="J3909" t="s">
        <v>28931</v>
      </c>
      <c r="K3909" t="s">
        <v>14581</v>
      </c>
      <c r="L3909" s="7" t="s">
        <v>22679</v>
      </c>
      <c r="M3909" t="s">
        <v>22680</v>
      </c>
      <c r="N3909">
        <v>19</v>
      </c>
      <c r="O3909">
        <v>17</v>
      </c>
      <c r="P3909">
        <v>2</v>
      </c>
      <c r="Q3909">
        <v>7</v>
      </c>
      <c r="R3909">
        <v>7</v>
      </c>
      <c r="S3909">
        <v>0</v>
      </c>
      <c r="T3909">
        <v>0</v>
      </c>
      <c r="U3909" t="s">
        <v>22681</v>
      </c>
      <c r="V3909">
        <f>Tabla1[[#This Row],[Aboard]]-Tabla1[[#This Row],[Fatalities]]</f>
        <v>12</v>
      </c>
      <c r="W3909" s="50">
        <f>IFERROR(Tabla1[[#This Row],[Fatalities]]/Tabla1[[#This Row],[Aboard]],0)</f>
        <v>0.36842105263157893</v>
      </c>
      <c r="X3909" s="51" t="str" cm="1">
        <f t="array" ref="X3909">_xlfn.IFS(Tabla1[[#This Row],[Porcentaje de muertes]]&lt;0.35,"LEVE",AND(Tabla1[[#This Row],[Porcentaje de muertes]]&gt;0.35,Tabla1[[#This Row],[Porcentaje de muertes]]&lt;0.65),"MEDIO",Tabla1[[#This Row],[Porcentaje de muertes]]&gt;0.65,"GRAVE")</f>
        <v>MEDIO</v>
      </c>
    </row>
    <row r="3910" spans="2:24" x14ac:dyDescent="0.3">
      <c r="B3910" s="9">
        <v>3910</v>
      </c>
      <c r="C3910" s="49">
        <v>34638</v>
      </c>
      <c r="D3910" s="9">
        <f>YEAR(Tabla1[[#This Row],[Date]])</f>
        <v>1994</v>
      </c>
      <c r="E3910" s="9" t="str" cm="1">
        <f t="array" ref="E3910">IFERROR(_xlfn.IFS(AND(D3910&lt;1980,D3910&gt;=1970),"70",AND(D3910&lt;1990,D3910&gt;=1980),"80",AND(D3910&lt;2000,D3910&gt;=1990),"90",AND(D3910&lt;2010,D3910&gt;=2000),"00",AND(D3910&lt;=2019,D3910&gt;=2010),"10"),"1908-1970")</f>
        <v>90</v>
      </c>
      <c r="F3910" s="3">
        <v>0.66597222222222219</v>
      </c>
      <c r="G3910" t="s">
        <v>22682</v>
      </c>
      <c r="H3910" t="s">
        <v>20320</v>
      </c>
      <c r="I3910">
        <v>4184</v>
      </c>
      <c r="J3910" t="s">
        <v>22683</v>
      </c>
      <c r="K3910" t="s">
        <v>22684</v>
      </c>
      <c r="L3910" s="7" t="s">
        <v>22685</v>
      </c>
      <c r="M3910">
        <v>401</v>
      </c>
      <c r="N3910">
        <v>68</v>
      </c>
      <c r="O3910">
        <v>64</v>
      </c>
      <c r="P3910">
        <v>4</v>
      </c>
      <c r="Q3910">
        <v>68</v>
      </c>
      <c r="R3910">
        <v>64</v>
      </c>
      <c r="S3910">
        <v>4</v>
      </c>
      <c r="T3910">
        <v>0</v>
      </c>
      <c r="U3910" t="s">
        <v>22686</v>
      </c>
      <c r="V3910">
        <f>Tabla1[[#This Row],[Aboard]]-Tabla1[[#This Row],[Fatalities]]</f>
        <v>0</v>
      </c>
      <c r="W3910" s="50">
        <f>IFERROR(Tabla1[[#This Row],[Fatalities]]/Tabla1[[#This Row],[Aboard]],0)</f>
        <v>1</v>
      </c>
      <c r="X3910" s="51" t="str" cm="1">
        <f t="array" ref="X3910">_xlfn.IFS(Tabla1[[#This Row],[Porcentaje de muertes]]&lt;0.35,"LEVE",AND(Tabla1[[#This Row],[Porcentaje de muertes]]&gt;0.35,Tabla1[[#This Row],[Porcentaje de muertes]]&lt;0.65),"MEDIO",Tabla1[[#This Row],[Porcentaje de muertes]]&gt;0.65,"GRAVE")</f>
        <v>GRAVE</v>
      </c>
    </row>
    <row r="3911" spans="2:24" x14ac:dyDescent="0.3">
      <c r="B3911" s="9">
        <v>3911</v>
      </c>
      <c r="C3911" s="49">
        <v>34345</v>
      </c>
      <c r="D3911" s="9">
        <f>YEAR(Tabla1[[#This Row],[Date]])</f>
        <v>1994</v>
      </c>
      <c r="E3911" s="9" t="str" cm="1">
        <f t="array" ref="E3911">IFERROR(_xlfn.IFS(AND(D3911&lt;1980,D3911&gt;=1970),"70",AND(D3911&lt;1990,D3911&gt;=1980),"80",AND(D3911&lt;2000,D3911&gt;=1990),"90",AND(D3911&lt;2010,D3911&gt;=2000),"00",AND(D3911&lt;=2019,D3911&gt;=2010),"10"),"1908-1970")</f>
        <v>90</v>
      </c>
      <c r="F3911" s="3" t="s">
        <v>28931</v>
      </c>
      <c r="G3911" t="s">
        <v>22687</v>
      </c>
      <c r="H3911" t="s">
        <v>22688</v>
      </c>
      <c r="I3911" t="s">
        <v>28931</v>
      </c>
      <c r="J3911" t="s">
        <v>22689</v>
      </c>
      <c r="K3911" t="s">
        <v>17471</v>
      </c>
      <c r="L3911" s="7" t="s">
        <v>22690</v>
      </c>
      <c r="M3911">
        <v>30824</v>
      </c>
      <c r="N3911">
        <v>14</v>
      </c>
      <c r="O3911">
        <v>13</v>
      </c>
      <c r="P3911">
        <v>1</v>
      </c>
      <c r="Q3911">
        <v>14</v>
      </c>
      <c r="R3911">
        <v>13</v>
      </c>
      <c r="S3911">
        <v>1</v>
      </c>
      <c r="T3911">
        <v>0</v>
      </c>
      <c r="U3911" t="s">
        <v>22691</v>
      </c>
      <c r="V3911">
        <f>Tabla1[[#This Row],[Aboard]]-Tabla1[[#This Row],[Fatalities]]</f>
        <v>0</v>
      </c>
      <c r="W3911" s="50">
        <f>IFERROR(Tabla1[[#This Row],[Fatalities]]/Tabla1[[#This Row],[Aboard]],0)</f>
        <v>1</v>
      </c>
      <c r="X3911" s="51" t="str" cm="1">
        <f t="array" ref="X3911">_xlfn.IFS(Tabla1[[#This Row],[Porcentaje de muertes]]&lt;0.35,"LEVE",AND(Tabla1[[#This Row],[Porcentaje de muertes]]&gt;0.35,Tabla1[[#This Row],[Porcentaje de muertes]]&lt;0.65),"MEDIO",Tabla1[[#This Row],[Porcentaje de muertes]]&gt;0.65,"GRAVE")</f>
        <v>GRAVE</v>
      </c>
    </row>
    <row r="3912" spans="2:24" x14ac:dyDescent="0.3">
      <c r="B3912" s="9">
        <v>3912</v>
      </c>
      <c r="C3912" s="49">
        <v>34435</v>
      </c>
      <c r="D3912" s="9">
        <f>YEAR(Tabla1[[#This Row],[Date]])</f>
        <v>1994</v>
      </c>
      <c r="E3912" s="9" t="str" cm="1">
        <f t="array" ref="E3912">IFERROR(_xlfn.IFS(AND(D3912&lt;1980,D3912&gt;=1970),"70",AND(D3912&lt;1990,D3912&gt;=1980),"80",AND(D3912&lt;2000,D3912&gt;=1990),"90",AND(D3912&lt;2010,D3912&gt;=2000),"00",AND(D3912&lt;=2019,D3912&gt;=2010),"10"),"1908-1970")</f>
        <v>90</v>
      </c>
      <c r="F3912" s="3" t="s">
        <v>28931</v>
      </c>
      <c r="G3912" t="s">
        <v>16754</v>
      </c>
      <c r="H3912" t="s">
        <v>22692</v>
      </c>
      <c r="I3912" t="s">
        <v>28931</v>
      </c>
      <c r="J3912" t="s">
        <v>22693</v>
      </c>
      <c r="K3912" t="s">
        <v>14888</v>
      </c>
      <c r="L3912" s="7" t="s">
        <v>22694</v>
      </c>
      <c r="M3912">
        <v>55</v>
      </c>
      <c r="N3912">
        <v>4</v>
      </c>
      <c r="O3912">
        <v>2</v>
      </c>
      <c r="P3912">
        <v>2</v>
      </c>
      <c r="Q3912">
        <v>4</v>
      </c>
      <c r="R3912">
        <v>2</v>
      </c>
      <c r="S3912">
        <v>2</v>
      </c>
      <c r="T3912">
        <v>0</v>
      </c>
      <c r="U3912" t="s">
        <v>22695</v>
      </c>
      <c r="V3912">
        <f>Tabla1[[#This Row],[Aboard]]-Tabla1[[#This Row],[Fatalities]]</f>
        <v>0</v>
      </c>
      <c r="W3912" s="50">
        <f>IFERROR(Tabla1[[#This Row],[Fatalities]]/Tabla1[[#This Row],[Aboard]],0)</f>
        <v>1</v>
      </c>
      <c r="X3912" s="51" t="str" cm="1">
        <f t="array" ref="X3912">_xlfn.IFS(Tabla1[[#This Row],[Porcentaje de muertes]]&lt;0.35,"LEVE",AND(Tabla1[[#This Row],[Porcentaje de muertes]]&gt;0.35,Tabla1[[#This Row],[Porcentaje de muertes]]&lt;0.65),"MEDIO",Tabla1[[#This Row],[Porcentaje de muertes]]&gt;0.65,"GRAVE")</f>
        <v>GRAVE</v>
      </c>
    </row>
    <row r="3913" spans="2:24" x14ac:dyDescent="0.3">
      <c r="B3913" s="9">
        <v>3913</v>
      </c>
      <c r="C3913" s="49">
        <v>34465</v>
      </c>
      <c r="D3913" s="9">
        <f>YEAR(Tabla1[[#This Row],[Date]])</f>
        <v>1994</v>
      </c>
      <c r="E3913" s="9" t="str" cm="1">
        <f t="array" ref="E3913">IFERROR(_xlfn.IFS(AND(D3913&lt;1980,D3913&gt;=1970),"70",AND(D3913&lt;1990,D3913&gt;=1980),"80",AND(D3913&lt;2000,D3913&gt;=1990),"90",AND(D3913&lt;2010,D3913&gt;=2000),"00",AND(D3913&lt;=2019,D3913&gt;=2010),"10"),"1908-1970")</f>
        <v>90</v>
      </c>
      <c r="F3913" s="3" t="s">
        <v>28931</v>
      </c>
      <c r="G3913" t="s">
        <v>22696</v>
      </c>
      <c r="H3913" t="s">
        <v>22697</v>
      </c>
      <c r="I3913" t="s">
        <v>28931</v>
      </c>
      <c r="J3913" t="s">
        <v>22698</v>
      </c>
      <c r="K3913" t="s">
        <v>15961</v>
      </c>
      <c r="L3913" s="7" t="s">
        <v>22699</v>
      </c>
      <c r="M3913">
        <v>9140220</v>
      </c>
      <c r="N3913">
        <v>30</v>
      </c>
      <c r="O3913">
        <v>26</v>
      </c>
      <c r="P3913">
        <v>4</v>
      </c>
      <c r="Q3913">
        <v>6</v>
      </c>
      <c r="R3913">
        <v>5</v>
      </c>
      <c r="S3913">
        <v>1</v>
      </c>
      <c r="T3913">
        <v>0</v>
      </c>
      <c r="U3913" t="s">
        <v>22700</v>
      </c>
      <c r="V3913">
        <f>Tabla1[[#This Row],[Aboard]]-Tabla1[[#This Row],[Fatalities]]</f>
        <v>24</v>
      </c>
      <c r="W3913" s="50">
        <f>IFERROR(Tabla1[[#This Row],[Fatalities]]/Tabla1[[#This Row],[Aboard]],0)</f>
        <v>0.2</v>
      </c>
      <c r="X3913" s="51" t="str" cm="1">
        <f t="array" ref="X3913">_xlfn.IFS(Tabla1[[#This Row],[Porcentaje de muertes]]&lt;0.35,"LEVE",AND(Tabla1[[#This Row],[Porcentaje de muertes]]&gt;0.35,Tabla1[[#This Row],[Porcentaje de muertes]]&lt;0.65),"MEDIO",Tabla1[[#This Row],[Porcentaje de muertes]]&gt;0.65,"GRAVE")</f>
        <v>LEVE</v>
      </c>
    </row>
    <row r="3914" spans="2:24" x14ac:dyDescent="0.3">
      <c r="B3914" s="9">
        <v>3914</v>
      </c>
      <c r="C3914" s="49">
        <v>34654</v>
      </c>
      <c r="D3914" s="9">
        <f>YEAR(Tabla1[[#This Row],[Date]])</f>
        <v>1994</v>
      </c>
      <c r="E3914" s="9" t="str" cm="1">
        <f t="array" ref="E3914">IFERROR(_xlfn.IFS(AND(D3914&lt;1980,D3914&gt;=1970),"70",AND(D3914&lt;1990,D3914&gt;=1980),"80",AND(D3914&lt;2000,D3914&gt;=1990),"90",AND(D3914&lt;2010,D3914&gt;=2000),"00",AND(D3914&lt;=2019,D3914&gt;=2010),"10"),"1908-1970")</f>
        <v>90</v>
      </c>
      <c r="F3914" s="3">
        <v>0.1111111111111111</v>
      </c>
      <c r="G3914" t="s">
        <v>22701</v>
      </c>
      <c r="H3914" t="s">
        <v>22702</v>
      </c>
      <c r="I3914" t="s">
        <v>28931</v>
      </c>
      <c r="J3914" t="s">
        <v>9356</v>
      </c>
      <c r="K3914" t="s">
        <v>21309</v>
      </c>
      <c r="L3914" s="7" t="s">
        <v>22703</v>
      </c>
      <c r="M3914" t="s">
        <v>22704</v>
      </c>
      <c r="N3914">
        <v>1</v>
      </c>
      <c r="O3914">
        <v>0</v>
      </c>
      <c r="P3914">
        <v>1</v>
      </c>
      <c r="Q3914">
        <v>1</v>
      </c>
      <c r="R3914">
        <v>0</v>
      </c>
      <c r="S3914">
        <v>1</v>
      </c>
      <c r="T3914">
        <v>0</v>
      </c>
      <c r="U3914" t="s">
        <v>22705</v>
      </c>
      <c r="V3914">
        <f>Tabla1[[#This Row],[Aboard]]-Tabla1[[#This Row],[Fatalities]]</f>
        <v>0</v>
      </c>
      <c r="W3914" s="50">
        <f>IFERROR(Tabla1[[#This Row],[Fatalities]]/Tabla1[[#This Row],[Aboard]],0)</f>
        <v>1</v>
      </c>
      <c r="X3914" s="51" t="str" cm="1">
        <f t="array" ref="X3914">_xlfn.IFS(Tabla1[[#This Row],[Porcentaje de muertes]]&lt;0.35,"LEVE",AND(Tabla1[[#This Row],[Porcentaje de muertes]]&gt;0.35,Tabla1[[#This Row],[Porcentaje de muertes]]&lt;0.65),"MEDIO",Tabla1[[#This Row],[Porcentaje de muertes]]&gt;0.65,"GRAVE")</f>
        <v>GRAVE</v>
      </c>
    </row>
    <row r="3915" spans="2:24" x14ac:dyDescent="0.3">
      <c r="B3915" s="9">
        <v>3915</v>
      </c>
      <c r="C3915" s="49">
        <v>34660</v>
      </c>
      <c r="D3915" s="9">
        <f>YEAR(Tabla1[[#This Row],[Date]])</f>
        <v>1994</v>
      </c>
      <c r="E3915" s="9" t="str" cm="1">
        <f t="array" ref="E3915">IFERROR(_xlfn.IFS(AND(D3915&lt;1980,D3915&gt;=1970),"70",AND(D3915&lt;1990,D3915&gt;=1980),"80",AND(D3915&lt;2000,D3915&gt;=1990),"90",AND(D3915&lt;2010,D3915&gt;=2000),"00",AND(D3915&lt;=2019,D3915&gt;=2010),"10"),"1908-1970")</f>
        <v>90</v>
      </c>
      <c r="F3915" s="3">
        <v>0.4861111111111111</v>
      </c>
      <c r="G3915" t="s">
        <v>22706</v>
      </c>
      <c r="H3915" t="s">
        <v>22256</v>
      </c>
      <c r="I3915" t="s">
        <v>28931</v>
      </c>
      <c r="J3915" t="s">
        <v>22707</v>
      </c>
      <c r="K3915" t="s">
        <v>18254</v>
      </c>
      <c r="L3915" s="7" t="s">
        <v>22708</v>
      </c>
      <c r="M3915">
        <v>835</v>
      </c>
      <c r="N3915">
        <v>7</v>
      </c>
      <c r="O3915">
        <v>6</v>
      </c>
      <c r="P3915">
        <v>1</v>
      </c>
      <c r="Q3915">
        <v>7</v>
      </c>
      <c r="R3915">
        <v>6</v>
      </c>
      <c r="S3915">
        <v>1</v>
      </c>
      <c r="T3915">
        <v>0</v>
      </c>
      <c r="U3915" t="s">
        <v>22709</v>
      </c>
      <c r="V3915">
        <f>Tabla1[[#This Row],[Aboard]]-Tabla1[[#This Row],[Fatalities]]</f>
        <v>0</v>
      </c>
      <c r="W3915" s="50">
        <f>IFERROR(Tabla1[[#This Row],[Fatalities]]/Tabla1[[#This Row],[Aboard]],0)</f>
        <v>1</v>
      </c>
      <c r="X3915" s="51" t="str" cm="1">
        <f t="array" ref="X3915">_xlfn.IFS(Tabla1[[#This Row],[Porcentaje de muertes]]&lt;0.35,"LEVE",AND(Tabla1[[#This Row],[Porcentaje de muertes]]&gt;0.35,Tabla1[[#This Row],[Porcentaje de muertes]]&lt;0.65),"MEDIO",Tabla1[[#This Row],[Porcentaje de muertes]]&gt;0.65,"GRAVE")</f>
        <v>GRAVE</v>
      </c>
    </row>
    <row r="3916" spans="2:24" x14ac:dyDescent="0.3">
      <c r="B3916" s="9">
        <v>3916</v>
      </c>
      <c r="C3916" s="49">
        <v>34660</v>
      </c>
      <c r="D3916" s="9">
        <f>YEAR(Tabla1[[#This Row],[Date]])</f>
        <v>1994</v>
      </c>
      <c r="E3916" s="9" t="str" cm="1">
        <f t="array" ref="E3916">IFERROR(_xlfn.IFS(AND(D3916&lt;1980,D3916&gt;=1970),"70",AND(D3916&lt;1990,D3916&gt;=1980),"80",AND(D3916&lt;2000,D3916&gt;=1990),"90",AND(D3916&lt;2010,D3916&gt;=2000),"00",AND(D3916&lt;=2019,D3916&gt;=2010),"10"),"1908-1970")</f>
        <v>90</v>
      </c>
      <c r="F3916" s="3">
        <v>0.91875000000000007</v>
      </c>
      <c r="G3916" t="s">
        <v>22710</v>
      </c>
      <c r="H3916" t="s">
        <v>14871</v>
      </c>
      <c r="I3916" t="s">
        <v>28931</v>
      </c>
      <c r="J3916" t="s">
        <v>28931</v>
      </c>
      <c r="K3916" t="s">
        <v>22711</v>
      </c>
      <c r="L3916" s="7" t="s">
        <v>22712</v>
      </c>
      <c r="M3916" t="s">
        <v>22713</v>
      </c>
      <c r="N3916">
        <v>142</v>
      </c>
      <c r="O3916">
        <v>132</v>
      </c>
      <c r="P3916">
        <v>10</v>
      </c>
      <c r="Q3916">
        <v>2</v>
      </c>
      <c r="R3916">
        <v>0</v>
      </c>
      <c r="S3916">
        <v>2</v>
      </c>
      <c r="T3916">
        <v>0</v>
      </c>
      <c r="U3916" t="s">
        <v>22714</v>
      </c>
      <c r="V3916">
        <f>Tabla1[[#This Row],[Aboard]]-Tabla1[[#This Row],[Fatalities]]</f>
        <v>140</v>
      </c>
      <c r="W3916" s="50">
        <f>IFERROR(Tabla1[[#This Row],[Fatalities]]/Tabla1[[#This Row],[Aboard]],0)</f>
        <v>1.4084507042253521E-2</v>
      </c>
      <c r="X3916" s="51" t="str" cm="1">
        <f t="array" ref="X3916">_xlfn.IFS(Tabla1[[#This Row],[Porcentaje de muertes]]&lt;0.35,"LEVE",AND(Tabla1[[#This Row],[Porcentaje de muertes]]&gt;0.35,Tabla1[[#This Row],[Porcentaje de muertes]]&lt;0.65),"MEDIO",Tabla1[[#This Row],[Porcentaje de muertes]]&gt;0.65,"GRAVE")</f>
        <v>LEVE</v>
      </c>
    </row>
    <row r="3917" spans="2:24" x14ac:dyDescent="0.3">
      <c r="B3917" s="9">
        <v>3917</v>
      </c>
      <c r="C3917" s="49">
        <v>34663</v>
      </c>
      <c r="D3917" s="9">
        <f>YEAR(Tabla1[[#This Row],[Date]])</f>
        <v>1994</v>
      </c>
      <c r="E3917" s="9" t="str" cm="1">
        <f t="array" ref="E3917">IFERROR(_xlfn.IFS(AND(D3917&lt;1980,D3917&gt;=1970),"70",AND(D3917&lt;1990,D3917&gt;=1980),"80",AND(D3917&lt;2000,D3917&gt;=1990),"90",AND(D3917&lt;2010,D3917&gt;=2000),"00",AND(D3917&lt;=2019,D3917&gt;=2010),"10"),"1908-1970")</f>
        <v>90</v>
      </c>
      <c r="F3917" s="3" t="s">
        <v>28931</v>
      </c>
      <c r="G3917" t="s">
        <v>22670</v>
      </c>
      <c r="H3917" t="s">
        <v>17903</v>
      </c>
      <c r="I3917" t="s">
        <v>28931</v>
      </c>
      <c r="J3917" t="s">
        <v>28931</v>
      </c>
      <c r="K3917" t="s">
        <v>20207</v>
      </c>
      <c r="L3917" s="7" t="s">
        <v>22715</v>
      </c>
      <c r="M3917" t="s">
        <v>28931</v>
      </c>
      <c r="N3917">
        <v>22</v>
      </c>
      <c r="O3917" t="s">
        <v>5038</v>
      </c>
      <c r="P3917" t="s">
        <v>5038</v>
      </c>
      <c r="Q3917">
        <v>22</v>
      </c>
      <c r="R3917" t="s">
        <v>5038</v>
      </c>
      <c r="S3917" t="s">
        <v>5038</v>
      </c>
      <c r="T3917">
        <v>0</v>
      </c>
      <c r="U3917" t="s">
        <v>22716</v>
      </c>
      <c r="V3917">
        <f>Tabla1[[#This Row],[Aboard]]-Tabla1[[#This Row],[Fatalities]]</f>
        <v>0</v>
      </c>
      <c r="W3917" s="50">
        <f>IFERROR(Tabla1[[#This Row],[Fatalities]]/Tabla1[[#This Row],[Aboard]],0)</f>
        <v>1</v>
      </c>
      <c r="X3917" s="51" t="str" cm="1">
        <f t="array" ref="X3917">_xlfn.IFS(Tabla1[[#This Row],[Porcentaje de muertes]]&lt;0.35,"LEVE",AND(Tabla1[[#This Row],[Porcentaje de muertes]]&gt;0.35,Tabla1[[#This Row],[Porcentaje de muertes]]&lt;0.65),"MEDIO",Tabla1[[#This Row],[Porcentaje de muertes]]&gt;0.65,"GRAVE")</f>
        <v>GRAVE</v>
      </c>
    </row>
    <row r="3918" spans="2:24" x14ac:dyDescent="0.3">
      <c r="B3918" s="9">
        <v>3918</v>
      </c>
      <c r="C3918" s="49">
        <v>34619</v>
      </c>
      <c r="D3918" s="9">
        <f>YEAR(Tabla1[[#This Row],[Date]])</f>
        <v>1994</v>
      </c>
      <c r="E3918" s="9" t="str" cm="1">
        <f t="array" ref="E3918">IFERROR(_xlfn.IFS(AND(D3918&lt;1980,D3918&gt;=1970),"70",AND(D3918&lt;1990,D3918&gt;=1980),"80",AND(D3918&lt;2000,D3918&gt;=1990),"90",AND(D3918&lt;2010,D3918&gt;=2000),"00",AND(D3918&lt;=2019,D3918&gt;=2010),"10"),"1908-1970")</f>
        <v>90</v>
      </c>
      <c r="F3918" s="3">
        <v>0.47916666666666669</v>
      </c>
      <c r="G3918" t="s">
        <v>19216</v>
      </c>
      <c r="H3918" t="s">
        <v>8992</v>
      </c>
      <c r="I3918">
        <v>434</v>
      </c>
      <c r="J3918" t="s">
        <v>22717</v>
      </c>
      <c r="K3918" t="s">
        <v>20583</v>
      </c>
      <c r="L3918" s="7" t="s">
        <v>22718</v>
      </c>
      <c r="M3918">
        <v>21575</v>
      </c>
      <c r="N3918">
        <v>293</v>
      </c>
      <c r="O3918">
        <v>273</v>
      </c>
      <c r="P3918">
        <v>20</v>
      </c>
      <c r="Q3918">
        <v>1</v>
      </c>
      <c r="R3918">
        <v>1</v>
      </c>
      <c r="S3918">
        <v>0</v>
      </c>
      <c r="T3918">
        <v>0</v>
      </c>
      <c r="U3918" t="s">
        <v>22719</v>
      </c>
      <c r="V3918">
        <f>Tabla1[[#This Row],[Aboard]]-Tabla1[[#This Row],[Fatalities]]</f>
        <v>292</v>
      </c>
      <c r="W3918" s="50">
        <f>IFERROR(Tabla1[[#This Row],[Fatalities]]/Tabla1[[#This Row],[Aboard]],0)</f>
        <v>3.4129692832764505E-3</v>
      </c>
      <c r="X3918" s="51" t="str" cm="1">
        <f t="array" ref="X3918">_xlfn.IFS(Tabla1[[#This Row],[Porcentaje de muertes]]&lt;0.35,"LEVE",AND(Tabla1[[#This Row],[Porcentaje de muertes]]&gt;0.35,Tabla1[[#This Row],[Porcentaje de muertes]]&lt;0.65),"MEDIO",Tabla1[[#This Row],[Porcentaje de muertes]]&gt;0.65,"GRAVE")</f>
        <v>LEVE</v>
      </c>
    </row>
    <row r="3919" spans="2:24" x14ac:dyDescent="0.3">
      <c r="B3919" s="9">
        <v>3919</v>
      </c>
      <c r="C3919" s="49">
        <v>34681</v>
      </c>
      <c r="D3919" s="9">
        <f>YEAR(Tabla1[[#This Row],[Date]])</f>
        <v>1994</v>
      </c>
      <c r="E3919" s="9" t="str" cm="1">
        <f t="array" ref="E3919">IFERROR(_xlfn.IFS(AND(D3919&lt;1980,D3919&gt;=1970),"70",AND(D3919&lt;1990,D3919&gt;=1980),"80",AND(D3919&lt;2000,D3919&gt;=1990),"90",AND(D3919&lt;2010,D3919&gt;=2000),"00",AND(D3919&lt;=2019,D3919&gt;=2010),"10"),"1908-1970")</f>
        <v>90</v>
      </c>
      <c r="F3919" s="3">
        <v>0.77361111111111114</v>
      </c>
      <c r="G3919" t="s">
        <v>22720</v>
      </c>
      <c r="H3919" t="s">
        <v>20320</v>
      </c>
      <c r="I3919">
        <v>3379</v>
      </c>
      <c r="J3919" t="s">
        <v>22721</v>
      </c>
      <c r="K3919" t="s">
        <v>22722</v>
      </c>
      <c r="L3919" s="7" t="s">
        <v>22723</v>
      </c>
      <c r="M3919">
        <v>918</v>
      </c>
      <c r="N3919">
        <v>20</v>
      </c>
      <c r="O3919">
        <v>18</v>
      </c>
      <c r="P3919">
        <v>2</v>
      </c>
      <c r="Q3919">
        <v>15</v>
      </c>
      <c r="R3919">
        <v>13</v>
      </c>
      <c r="S3919">
        <v>2</v>
      </c>
      <c r="T3919">
        <v>0</v>
      </c>
      <c r="U3919" t="s">
        <v>22724</v>
      </c>
      <c r="V3919">
        <f>Tabla1[[#This Row],[Aboard]]-Tabla1[[#This Row],[Fatalities]]</f>
        <v>5</v>
      </c>
      <c r="W3919" s="50">
        <f>IFERROR(Tabla1[[#This Row],[Fatalities]]/Tabla1[[#This Row],[Aboard]],0)</f>
        <v>0.75</v>
      </c>
      <c r="X3919" s="51" t="str" cm="1">
        <f t="array" ref="X3919">_xlfn.IFS(Tabla1[[#This Row],[Porcentaje de muertes]]&lt;0.35,"LEVE",AND(Tabla1[[#This Row],[Porcentaje de muertes]]&gt;0.35,Tabla1[[#This Row],[Porcentaje de muertes]]&lt;0.65),"MEDIO",Tabla1[[#This Row],[Porcentaje de muertes]]&gt;0.65,"GRAVE")</f>
        <v>GRAVE</v>
      </c>
    </row>
    <row r="3920" spans="2:24" x14ac:dyDescent="0.3">
      <c r="B3920" s="9">
        <v>3920</v>
      </c>
      <c r="C3920" s="49">
        <v>34683</v>
      </c>
      <c r="D3920" s="9">
        <f>YEAR(Tabla1[[#This Row],[Date]])</f>
        <v>1994</v>
      </c>
      <c r="E3920" s="9" t="str" cm="1">
        <f t="array" ref="E3920">IFERROR(_xlfn.IFS(AND(D3920&lt;1980,D3920&gt;=1970),"70",AND(D3920&lt;1990,D3920&gt;=1980),"80",AND(D3920&lt;2000,D3920&gt;=1990),"90",AND(D3920&lt;2010,D3920&gt;=2000),"00",AND(D3920&lt;=2019,D3920&gt;=2010),"10"),"1908-1970")</f>
        <v>90</v>
      </c>
      <c r="F3920" s="3">
        <v>0.26041666666666669</v>
      </c>
      <c r="G3920" t="s">
        <v>16452</v>
      </c>
      <c r="H3920" t="s">
        <v>22725</v>
      </c>
      <c r="I3920" t="s">
        <v>28931</v>
      </c>
      <c r="J3920" t="s">
        <v>28931</v>
      </c>
      <c r="K3920" t="s">
        <v>7057</v>
      </c>
      <c r="L3920" s="7" t="s">
        <v>22726</v>
      </c>
      <c r="M3920">
        <v>13321</v>
      </c>
      <c r="N3920">
        <v>2</v>
      </c>
      <c r="O3920">
        <v>0</v>
      </c>
      <c r="P3920">
        <v>2</v>
      </c>
      <c r="Q3920">
        <v>2</v>
      </c>
      <c r="R3920">
        <v>0</v>
      </c>
      <c r="S3920">
        <v>2</v>
      </c>
      <c r="T3920">
        <v>0</v>
      </c>
      <c r="U3920" t="s">
        <v>22727</v>
      </c>
      <c r="V3920">
        <f>Tabla1[[#This Row],[Aboard]]-Tabla1[[#This Row],[Fatalities]]</f>
        <v>0</v>
      </c>
      <c r="W3920" s="50">
        <f>IFERROR(Tabla1[[#This Row],[Fatalities]]/Tabla1[[#This Row],[Aboard]],0)</f>
        <v>1</v>
      </c>
      <c r="X3920" s="51" t="str" cm="1">
        <f t="array" ref="X3920">_xlfn.IFS(Tabla1[[#This Row],[Porcentaje de muertes]]&lt;0.35,"LEVE",AND(Tabla1[[#This Row],[Porcentaje de muertes]]&gt;0.35,Tabla1[[#This Row],[Porcentaje de muertes]]&lt;0.65),"MEDIO",Tabla1[[#This Row],[Porcentaje de muertes]]&gt;0.65,"GRAVE")</f>
        <v>GRAVE</v>
      </c>
    </row>
    <row r="3921" spans="2:24" x14ac:dyDescent="0.3">
      <c r="B3921" s="9">
        <v>3921</v>
      </c>
      <c r="C3921" s="49">
        <v>34685</v>
      </c>
      <c r="D3921" s="9">
        <f>YEAR(Tabla1[[#This Row],[Date]])</f>
        <v>1994</v>
      </c>
      <c r="E3921" s="9" t="str" cm="1">
        <f t="array" ref="E3921">IFERROR(_xlfn.IFS(AND(D3921&lt;1980,D3921&gt;=1970),"70",AND(D3921&lt;1990,D3921&gt;=1980),"80",AND(D3921&lt;2000,D3921&gt;=1990),"90",AND(D3921&lt;2010,D3921&gt;=2000),"00",AND(D3921&lt;=2019,D3921&gt;=2010),"10"),"1908-1970")</f>
        <v>90</v>
      </c>
      <c r="F3921" s="3">
        <v>0.4375</v>
      </c>
      <c r="G3921" t="s">
        <v>22728</v>
      </c>
      <c r="H3921" t="s">
        <v>22729</v>
      </c>
      <c r="I3921" t="s">
        <v>28931</v>
      </c>
      <c r="J3921" t="s">
        <v>28931</v>
      </c>
      <c r="K3921" t="s">
        <v>8723</v>
      </c>
      <c r="L3921" s="7" t="s">
        <v>22730</v>
      </c>
      <c r="M3921">
        <v>12476</v>
      </c>
      <c r="N3921">
        <v>9</v>
      </c>
      <c r="O3921">
        <v>6</v>
      </c>
      <c r="P3921">
        <v>3</v>
      </c>
      <c r="Q3921">
        <v>7</v>
      </c>
      <c r="R3921">
        <v>4</v>
      </c>
      <c r="S3921">
        <v>3</v>
      </c>
      <c r="T3921">
        <v>0</v>
      </c>
      <c r="U3921" t="s">
        <v>22731</v>
      </c>
      <c r="V3921">
        <f>Tabla1[[#This Row],[Aboard]]-Tabla1[[#This Row],[Fatalities]]</f>
        <v>2</v>
      </c>
      <c r="W3921" s="50">
        <f>IFERROR(Tabla1[[#This Row],[Fatalities]]/Tabla1[[#This Row],[Aboard]],0)</f>
        <v>0.77777777777777779</v>
      </c>
      <c r="X3921" s="51" t="str" cm="1">
        <f t="array" ref="X3921">_xlfn.IFS(Tabla1[[#This Row],[Porcentaje de muertes]]&lt;0.35,"LEVE",AND(Tabla1[[#This Row],[Porcentaje de muertes]]&gt;0.35,Tabla1[[#This Row],[Porcentaje de muertes]]&lt;0.65),"MEDIO",Tabla1[[#This Row],[Porcentaje de muertes]]&gt;0.65,"GRAVE")</f>
        <v>GRAVE</v>
      </c>
    </row>
    <row r="3922" spans="2:24" x14ac:dyDescent="0.3">
      <c r="B3922" s="9">
        <v>3922</v>
      </c>
      <c r="C3922" s="49">
        <v>34685</v>
      </c>
      <c r="D3922" s="9">
        <f>YEAR(Tabla1[[#This Row],[Date]])</f>
        <v>1994</v>
      </c>
      <c r="E3922" s="9" t="str" cm="1">
        <f t="array" ref="E3922">IFERROR(_xlfn.IFS(AND(D3922&lt;1980,D3922&gt;=1970),"70",AND(D3922&lt;1990,D3922&gt;=1980),"80",AND(D3922&lt;2000,D3922&gt;=1990),"90",AND(D3922&lt;2010,D3922&gt;=2000),"00",AND(D3922&lt;=2019,D3922&gt;=2010),"10"),"1908-1970")</f>
        <v>90</v>
      </c>
      <c r="F3922" s="3">
        <v>0.55555555555555558</v>
      </c>
      <c r="G3922" t="s">
        <v>16559</v>
      </c>
      <c r="H3922" t="s">
        <v>20340</v>
      </c>
      <c r="I3922" t="s">
        <v>28931</v>
      </c>
      <c r="J3922" t="s">
        <v>22732</v>
      </c>
      <c r="K3922" t="s">
        <v>15361</v>
      </c>
      <c r="L3922" s="7" t="s">
        <v>22733</v>
      </c>
      <c r="M3922">
        <v>187</v>
      </c>
      <c r="N3922">
        <v>28</v>
      </c>
      <c r="O3922">
        <v>26</v>
      </c>
      <c r="P3922">
        <v>2</v>
      </c>
      <c r="Q3922">
        <v>28</v>
      </c>
      <c r="R3922">
        <v>26</v>
      </c>
      <c r="S3922">
        <v>2</v>
      </c>
      <c r="T3922">
        <v>0</v>
      </c>
      <c r="U3922" t="s">
        <v>22734</v>
      </c>
      <c r="V3922">
        <f>Tabla1[[#This Row],[Aboard]]-Tabla1[[#This Row],[Fatalities]]</f>
        <v>0</v>
      </c>
      <c r="W3922" s="50">
        <f>IFERROR(Tabla1[[#This Row],[Fatalities]]/Tabla1[[#This Row],[Aboard]],0)</f>
        <v>1</v>
      </c>
      <c r="X3922" s="51" t="str" cm="1">
        <f t="array" ref="X3922">_xlfn.IFS(Tabla1[[#This Row],[Porcentaje de muertes]]&lt;0.35,"LEVE",AND(Tabla1[[#This Row],[Porcentaje de muertes]]&gt;0.35,Tabla1[[#This Row],[Porcentaje de muertes]]&lt;0.65),"MEDIO",Tabla1[[#This Row],[Porcentaje de muertes]]&gt;0.65,"GRAVE")</f>
        <v>GRAVE</v>
      </c>
    </row>
    <row r="3923" spans="2:24" x14ac:dyDescent="0.3">
      <c r="B3923" s="9">
        <v>3923</v>
      </c>
      <c r="C3923" s="49">
        <v>34689</v>
      </c>
      <c r="D3923" s="9">
        <f>YEAR(Tabla1[[#This Row],[Date]])</f>
        <v>1994</v>
      </c>
      <c r="E3923" s="9" t="str" cm="1">
        <f t="array" ref="E3923">IFERROR(_xlfn.IFS(AND(D3923&lt;1980,D3923&gt;=1970),"70",AND(D3923&lt;1990,D3923&gt;=1980),"80",AND(D3923&lt;2000,D3923&gt;=1990),"90",AND(D3923&lt;2010,D3923&gt;=2000),"00",AND(D3923&lt;=2019,D3923&gt;=2010),"10"),"1908-1970")</f>
        <v>90</v>
      </c>
      <c r="F3923" s="3">
        <v>0.41180555555555554</v>
      </c>
      <c r="G3923" t="s">
        <v>22735</v>
      </c>
      <c r="H3923" t="s">
        <v>22736</v>
      </c>
      <c r="I3923">
        <v>702</v>
      </c>
      <c r="J3923" t="s">
        <v>22737</v>
      </c>
      <c r="K3923" t="s">
        <v>22738</v>
      </c>
      <c r="L3923" s="7" t="s">
        <v>22739</v>
      </c>
      <c r="M3923" t="s">
        <v>22740</v>
      </c>
      <c r="N3923">
        <v>5</v>
      </c>
      <c r="O3923">
        <v>0</v>
      </c>
      <c r="P3923">
        <v>5</v>
      </c>
      <c r="Q3923">
        <v>5</v>
      </c>
      <c r="R3923">
        <v>0</v>
      </c>
      <c r="S3923">
        <v>5</v>
      </c>
      <c r="T3923">
        <v>0</v>
      </c>
      <c r="U3923" t="s">
        <v>22741</v>
      </c>
      <c r="V3923">
        <f>Tabla1[[#This Row],[Aboard]]-Tabla1[[#This Row],[Fatalities]]</f>
        <v>0</v>
      </c>
      <c r="W3923" s="50">
        <f>IFERROR(Tabla1[[#This Row],[Fatalities]]/Tabla1[[#This Row],[Aboard]],0)</f>
        <v>1</v>
      </c>
      <c r="X3923" s="51" t="str" cm="1">
        <f t="array" ref="X3923">_xlfn.IFS(Tabla1[[#This Row],[Porcentaje de muertes]]&lt;0.35,"LEVE",AND(Tabla1[[#This Row],[Porcentaje de muertes]]&gt;0.35,Tabla1[[#This Row],[Porcentaje de muertes]]&lt;0.65),"MEDIO",Tabla1[[#This Row],[Porcentaje de muertes]]&gt;0.65,"GRAVE")</f>
        <v>GRAVE</v>
      </c>
    </row>
    <row r="3924" spans="2:24" x14ac:dyDescent="0.3">
      <c r="B3924" s="9">
        <v>3924</v>
      </c>
      <c r="C3924" s="49">
        <v>34694</v>
      </c>
      <c r="D3924" s="9">
        <f>YEAR(Tabla1[[#This Row],[Date]])</f>
        <v>1994</v>
      </c>
      <c r="E3924" s="9" t="str" cm="1">
        <f t="array" ref="E3924">IFERROR(_xlfn.IFS(AND(D3924&lt;1980,D3924&gt;=1970),"70",AND(D3924&lt;1990,D3924&gt;=1980),"80",AND(D3924&lt;2000,D3924&gt;=1990),"90",AND(D3924&lt;2010,D3924&gt;=2000),"00",AND(D3924&lt;=2019,D3924&gt;=2010),"10"),"1908-1970")</f>
        <v>90</v>
      </c>
      <c r="F3924" s="3">
        <v>0.70833333333333337</v>
      </c>
      <c r="G3924" t="s">
        <v>22742</v>
      </c>
      <c r="H3924" t="s">
        <v>6375</v>
      </c>
      <c r="I3924">
        <v>8969</v>
      </c>
      <c r="J3924" t="s">
        <v>22743</v>
      </c>
      <c r="K3924" t="s">
        <v>22744</v>
      </c>
      <c r="L3924" s="7" t="s">
        <v>22745</v>
      </c>
      <c r="M3924">
        <v>104</v>
      </c>
      <c r="N3924">
        <v>239</v>
      </c>
      <c r="O3924">
        <v>227</v>
      </c>
      <c r="P3924">
        <v>12</v>
      </c>
      <c r="Q3924">
        <v>3</v>
      </c>
      <c r="R3924">
        <v>3</v>
      </c>
      <c r="S3924">
        <v>0</v>
      </c>
      <c r="T3924">
        <v>0</v>
      </c>
      <c r="U3924" t="s">
        <v>22746</v>
      </c>
      <c r="V3924">
        <f>Tabla1[[#This Row],[Aboard]]-Tabla1[[#This Row],[Fatalities]]</f>
        <v>236</v>
      </c>
      <c r="W3924" s="50">
        <f>IFERROR(Tabla1[[#This Row],[Fatalities]]/Tabla1[[#This Row],[Aboard]],0)</f>
        <v>1.2552301255230125E-2</v>
      </c>
      <c r="X3924" s="51" t="str" cm="1">
        <f t="array" ref="X3924">_xlfn.IFS(Tabla1[[#This Row],[Porcentaje de muertes]]&lt;0.35,"LEVE",AND(Tabla1[[#This Row],[Porcentaje de muertes]]&gt;0.35,Tabla1[[#This Row],[Porcentaje de muertes]]&lt;0.65),"MEDIO",Tabla1[[#This Row],[Porcentaje de muertes]]&gt;0.65,"GRAVE")</f>
        <v>LEVE</v>
      </c>
    </row>
    <row r="3925" spans="2:24" x14ac:dyDescent="0.3">
      <c r="B3925" s="9">
        <v>3925</v>
      </c>
      <c r="C3925" s="49">
        <v>34697</v>
      </c>
      <c r="D3925" s="9">
        <f>YEAR(Tabla1[[#This Row],[Date]])</f>
        <v>1994</v>
      </c>
      <c r="E3925" s="9" t="str" cm="1">
        <f t="array" ref="E3925">IFERROR(_xlfn.IFS(AND(D3925&lt;1980,D3925&gt;=1970),"70",AND(D3925&lt;1990,D3925&gt;=1980),"80",AND(D3925&lt;2000,D3925&gt;=1990),"90",AND(D3925&lt;2010,D3925&gt;=2000),"00",AND(D3925&lt;=2019,D3925&gt;=2010),"10"),"1908-1970")</f>
        <v>90</v>
      </c>
      <c r="F3925" s="3">
        <v>0.64583333333333337</v>
      </c>
      <c r="G3925" t="s">
        <v>22747</v>
      </c>
      <c r="H3925" t="s">
        <v>12613</v>
      </c>
      <c r="I3925">
        <v>278</v>
      </c>
      <c r="J3925" t="s">
        <v>11100</v>
      </c>
      <c r="K3925" t="s">
        <v>20790</v>
      </c>
      <c r="L3925" s="7" t="s">
        <v>22748</v>
      </c>
      <c r="M3925" t="s">
        <v>22749</v>
      </c>
      <c r="N3925">
        <v>76</v>
      </c>
      <c r="O3925">
        <v>69</v>
      </c>
      <c r="P3925">
        <v>7</v>
      </c>
      <c r="Q3925">
        <v>57</v>
      </c>
      <c r="R3925">
        <v>52</v>
      </c>
      <c r="S3925">
        <v>5</v>
      </c>
      <c r="T3925">
        <v>0</v>
      </c>
      <c r="U3925" t="s">
        <v>22750</v>
      </c>
      <c r="V3925">
        <f>Tabla1[[#This Row],[Aboard]]-Tabla1[[#This Row],[Fatalities]]</f>
        <v>19</v>
      </c>
      <c r="W3925" s="50">
        <f>IFERROR(Tabla1[[#This Row],[Fatalities]]/Tabla1[[#This Row],[Aboard]],0)</f>
        <v>0.75</v>
      </c>
      <c r="X3925" s="51" t="str" cm="1">
        <f t="array" ref="X3925">_xlfn.IFS(Tabla1[[#This Row],[Porcentaje de muertes]]&lt;0.35,"LEVE",AND(Tabla1[[#This Row],[Porcentaje de muertes]]&gt;0.35,Tabla1[[#This Row],[Porcentaje de muertes]]&lt;0.65),"MEDIO",Tabla1[[#This Row],[Porcentaje de muertes]]&gt;0.65,"GRAVE")</f>
        <v>GRAVE</v>
      </c>
    </row>
    <row r="3926" spans="2:24" x14ac:dyDescent="0.3">
      <c r="B3926" s="9">
        <v>3926</v>
      </c>
      <c r="C3926" s="49">
        <v>34820</v>
      </c>
      <c r="D3926" s="9">
        <f>YEAR(Tabla1[[#This Row],[Date]])</f>
        <v>1995</v>
      </c>
      <c r="E3926" s="9" t="str" cm="1">
        <f t="array" ref="E3926">IFERROR(_xlfn.IFS(AND(D3926&lt;1980,D3926&gt;=1970),"70",AND(D3926&lt;1990,D3926&gt;=1980),"80",AND(D3926&lt;2000,D3926&gt;=1990),"90",AND(D3926&lt;2010,D3926&gt;=2000),"00",AND(D3926&lt;=2019,D3926&gt;=2010),"10"),"1908-1970")</f>
        <v>90</v>
      </c>
      <c r="F3926" s="3">
        <v>0.86458333333333337</v>
      </c>
      <c r="G3926" t="s">
        <v>22751</v>
      </c>
      <c r="H3926" t="s">
        <v>18972</v>
      </c>
      <c r="I3926" t="s">
        <v>28931</v>
      </c>
      <c r="J3926" t="s">
        <v>22752</v>
      </c>
      <c r="K3926" t="s">
        <v>22753</v>
      </c>
      <c r="L3926" s="7">
        <v>1003</v>
      </c>
      <c r="M3926">
        <v>5203</v>
      </c>
      <c r="N3926">
        <v>12</v>
      </c>
      <c r="O3926">
        <v>6</v>
      </c>
      <c r="P3926">
        <v>6</v>
      </c>
      <c r="Q3926">
        <v>12</v>
      </c>
      <c r="R3926">
        <v>6</v>
      </c>
      <c r="S3926">
        <v>6</v>
      </c>
      <c r="T3926">
        <v>0</v>
      </c>
      <c r="U3926" t="s">
        <v>22754</v>
      </c>
      <c r="V3926">
        <f>Tabla1[[#This Row],[Aboard]]-Tabla1[[#This Row],[Fatalities]]</f>
        <v>0</v>
      </c>
      <c r="W3926" s="50">
        <f>IFERROR(Tabla1[[#This Row],[Fatalities]]/Tabla1[[#This Row],[Aboard]],0)</f>
        <v>1</v>
      </c>
      <c r="X3926" s="51" t="str" cm="1">
        <f t="array" ref="X3926">_xlfn.IFS(Tabla1[[#This Row],[Porcentaje de muertes]]&lt;0.35,"LEVE",AND(Tabla1[[#This Row],[Porcentaje de muertes]]&gt;0.35,Tabla1[[#This Row],[Porcentaje de muertes]]&lt;0.65),"MEDIO",Tabla1[[#This Row],[Porcentaje de muertes]]&gt;0.65,"GRAVE")</f>
        <v>GRAVE</v>
      </c>
    </row>
    <row r="3927" spans="2:24" x14ac:dyDescent="0.3">
      <c r="B3927" s="9">
        <v>3927</v>
      </c>
      <c r="C3927" s="49">
        <v>34973</v>
      </c>
      <c r="D3927" s="9">
        <f>YEAR(Tabla1[[#This Row],[Date]])</f>
        <v>1995</v>
      </c>
      <c r="E3927" s="9" t="str" cm="1">
        <f t="array" ref="E3927">IFERROR(_xlfn.IFS(AND(D3927&lt;1980,D3927&gt;=1970),"70",AND(D3927&lt;1990,D3927&gt;=1980),"80",AND(D3927&lt;2000,D3927&gt;=1990),"90",AND(D3927&lt;2010,D3927&gt;=2000),"00",AND(D3927&lt;=2019,D3927&gt;=2010),"10"),"1908-1970")</f>
        <v>90</v>
      </c>
      <c r="F3927" s="3" t="s">
        <v>28931</v>
      </c>
      <c r="G3927" t="s">
        <v>22755</v>
      </c>
      <c r="H3927" t="s">
        <v>16296</v>
      </c>
      <c r="I3927">
        <v>6715</v>
      </c>
      <c r="J3927" t="s">
        <v>22756</v>
      </c>
      <c r="K3927" t="s">
        <v>16680</v>
      </c>
      <c r="L3927" s="7" t="s">
        <v>22757</v>
      </c>
      <c r="M3927">
        <v>390</v>
      </c>
      <c r="N3927">
        <v>14</v>
      </c>
      <c r="O3927">
        <v>10</v>
      </c>
      <c r="P3927">
        <v>4</v>
      </c>
      <c r="Q3927">
        <v>14</v>
      </c>
      <c r="R3927">
        <v>10</v>
      </c>
      <c r="S3927">
        <v>4</v>
      </c>
      <c r="T3927">
        <v>0</v>
      </c>
      <c r="U3927" t="s">
        <v>22758</v>
      </c>
      <c r="V3927">
        <f>Tabla1[[#This Row],[Aboard]]-Tabla1[[#This Row],[Fatalities]]</f>
        <v>0</v>
      </c>
      <c r="W3927" s="50">
        <f>IFERROR(Tabla1[[#This Row],[Fatalities]]/Tabla1[[#This Row],[Aboard]],0)</f>
        <v>1</v>
      </c>
      <c r="X3927" s="51" t="str" cm="1">
        <f t="array" ref="X3927">_xlfn.IFS(Tabla1[[#This Row],[Porcentaje de muertes]]&lt;0.35,"LEVE",AND(Tabla1[[#This Row],[Porcentaje de muertes]]&gt;0.35,Tabla1[[#This Row],[Porcentaje de muertes]]&lt;0.65),"MEDIO",Tabla1[[#This Row],[Porcentaje de muertes]]&gt;0.65,"GRAVE")</f>
        <v>GRAVE</v>
      </c>
    </row>
    <row r="3928" spans="2:24" x14ac:dyDescent="0.3">
      <c r="B3928" s="9">
        <v>3928</v>
      </c>
      <c r="C3928" s="49">
        <v>35004</v>
      </c>
      <c r="D3928" s="9">
        <f>YEAR(Tabla1[[#This Row],[Date]])</f>
        <v>1995</v>
      </c>
      <c r="E3928" s="9" t="str" cm="1">
        <f t="array" ref="E3928">IFERROR(_xlfn.IFS(AND(D3928&lt;1980,D3928&gt;=1970),"70",AND(D3928&lt;1990,D3928&gt;=1980),"80",AND(D3928&lt;2000,D3928&gt;=1990),"90",AND(D3928&lt;2010,D3928&gt;=2000),"00",AND(D3928&lt;=2019,D3928&gt;=2010),"10"),"1908-1970")</f>
        <v>90</v>
      </c>
      <c r="F3928" s="3">
        <v>0.81805555555555554</v>
      </c>
      <c r="G3928" t="s">
        <v>22759</v>
      </c>
      <c r="H3928" t="s">
        <v>22760</v>
      </c>
      <c r="I3928">
        <v>256</v>
      </c>
      <c r="J3928" t="s">
        <v>16893</v>
      </c>
      <c r="K3928" t="s">
        <v>14763</v>
      </c>
      <c r="L3928" s="7" t="s">
        <v>22761</v>
      </c>
      <c r="M3928" t="s">
        <v>22762</v>
      </c>
      <c r="N3928">
        <v>52</v>
      </c>
      <c r="O3928">
        <v>47</v>
      </c>
      <c r="P3928">
        <v>5</v>
      </c>
      <c r="Q3928">
        <v>51</v>
      </c>
      <c r="R3928">
        <v>46</v>
      </c>
      <c r="S3928">
        <v>5</v>
      </c>
      <c r="T3928">
        <v>0</v>
      </c>
      <c r="U3928" t="s">
        <v>22763</v>
      </c>
      <c r="V3928">
        <f>Tabla1[[#This Row],[Aboard]]-Tabla1[[#This Row],[Fatalities]]</f>
        <v>1</v>
      </c>
      <c r="W3928" s="50">
        <f>IFERROR(Tabla1[[#This Row],[Fatalities]]/Tabla1[[#This Row],[Aboard]],0)</f>
        <v>0.98076923076923073</v>
      </c>
      <c r="X3928" s="51" t="str" cm="1">
        <f t="array" ref="X3928">_xlfn.IFS(Tabla1[[#This Row],[Porcentaje de muertes]]&lt;0.35,"LEVE",AND(Tabla1[[#This Row],[Porcentaje de muertes]]&gt;0.35,Tabla1[[#This Row],[Porcentaje de muertes]]&lt;0.65),"MEDIO",Tabla1[[#This Row],[Porcentaje de muertes]]&gt;0.65,"GRAVE")</f>
        <v>GRAVE</v>
      </c>
    </row>
    <row r="3929" spans="2:24" x14ac:dyDescent="0.3">
      <c r="B3929" s="9">
        <v>3929</v>
      </c>
      <c r="C3929" s="49">
        <v>34713</v>
      </c>
      <c r="D3929" s="9">
        <f>YEAR(Tabla1[[#This Row],[Date]])</f>
        <v>1995</v>
      </c>
      <c r="E3929" s="9" t="str" cm="1">
        <f t="array" ref="E3929">IFERROR(_xlfn.IFS(AND(D3929&lt;1980,D3929&gt;=1970),"70",AND(D3929&lt;1990,D3929&gt;=1980),"80",AND(D3929&lt;2000,D3929&gt;=1990),"90",AND(D3929&lt;2010,D3929&gt;=2000),"00",AND(D3929&lt;=2019,D3929&gt;=2010),"10"),"1908-1970")</f>
        <v>90</v>
      </c>
      <c r="F3929" s="3">
        <v>0.82291666666666663</v>
      </c>
      <c r="G3929" t="s">
        <v>14027</v>
      </c>
      <c r="H3929" t="s">
        <v>22764</v>
      </c>
      <c r="I3929" t="s">
        <v>28931</v>
      </c>
      <c r="J3929" t="s">
        <v>22765</v>
      </c>
      <c r="K3929" t="s">
        <v>16731</v>
      </c>
      <c r="L3929" s="7" t="s">
        <v>22766</v>
      </c>
      <c r="M3929">
        <v>3520</v>
      </c>
      <c r="N3929">
        <v>4</v>
      </c>
      <c r="O3929">
        <v>3</v>
      </c>
      <c r="P3929">
        <v>1</v>
      </c>
      <c r="Q3929">
        <v>2</v>
      </c>
      <c r="R3929">
        <v>2</v>
      </c>
      <c r="S3929">
        <v>0</v>
      </c>
      <c r="T3929">
        <v>0</v>
      </c>
      <c r="U3929" t="s">
        <v>22767</v>
      </c>
      <c r="V3929">
        <f>Tabla1[[#This Row],[Aboard]]-Tabla1[[#This Row],[Fatalities]]</f>
        <v>2</v>
      </c>
      <c r="W3929" s="50">
        <f>IFERROR(Tabla1[[#This Row],[Fatalities]]/Tabla1[[#This Row],[Aboard]],0)</f>
        <v>0.5</v>
      </c>
      <c r="X3929" s="51" t="str" cm="1">
        <f t="array" ref="X3929">_xlfn.IFS(Tabla1[[#This Row],[Porcentaje de muertes]]&lt;0.35,"LEVE",AND(Tabla1[[#This Row],[Porcentaje de muertes]]&gt;0.35,Tabla1[[#This Row],[Porcentaje de muertes]]&lt;0.65),"MEDIO",Tabla1[[#This Row],[Porcentaje de muertes]]&gt;0.65,"GRAVE")</f>
        <v>MEDIO</v>
      </c>
    </row>
    <row r="3930" spans="2:24" x14ac:dyDescent="0.3">
      <c r="B3930" s="9">
        <v>3930</v>
      </c>
      <c r="C3930" s="49">
        <v>34716</v>
      </c>
      <c r="D3930" s="9">
        <f>YEAR(Tabla1[[#This Row],[Date]])</f>
        <v>1995</v>
      </c>
      <c r="E3930" s="9" t="str" cm="1">
        <f t="array" ref="E3930">IFERROR(_xlfn.IFS(AND(D3930&lt;1980,D3930&gt;=1970),"70",AND(D3930&lt;1990,D3930&gt;=1980),"80",AND(D3930&lt;2000,D3930&gt;=1990),"90",AND(D3930&lt;2010,D3930&gt;=2000),"00",AND(D3930&lt;=2019,D3930&gt;=2010),"10"),"1908-1970")</f>
        <v>90</v>
      </c>
      <c r="F3930" s="3">
        <v>0.58263888888888882</v>
      </c>
      <c r="G3930" t="s">
        <v>11781</v>
      </c>
      <c r="H3930" t="s">
        <v>13123</v>
      </c>
      <c r="I3930">
        <v>133</v>
      </c>
      <c r="J3930" t="s">
        <v>22768</v>
      </c>
      <c r="K3930" t="s">
        <v>16680</v>
      </c>
      <c r="L3930" s="7" t="s">
        <v>22769</v>
      </c>
      <c r="M3930">
        <v>392</v>
      </c>
      <c r="N3930">
        <v>24</v>
      </c>
      <c r="O3930">
        <v>21</v>
      </c>
      <c r="P3930">
        <v>3</v>
      </c>
      <c r="Q3930">
        <v>2</v>
      </c>
      <c r="R3930">
        <v>1</v>
      </c>
      <c r="S3930">
        <v>1</v>
      </c>
      <c r="T3930">
        <v>0</v>
      </c>
      <c r="U3930" t="s">
        <v>22770</v>
      </c>
      <c r="V3930">
        <f>Tabla1[[#This Row],[Aboard]]-Tabla1[[#This Row],[Fatalities]]</f>
        <v>22</v>
      </c>
      <c r="W3930" s="50">
        <f>IFERROR(Tabla1[[#This Row],[Fatalities]]/Tabla1[[#This Row],[Aboard]],0)</f>
        <v>8.3333333333333329E-2</v>
      </c>
      <c r="X3930" s="51" t="str" cm="1">
        <f t="array" ref="X3930">_xlfn.IFS(Tabla1[[#This Row],[Porcentaje de muertes]]&lt;0.35,"LEVE",AND(Tabla1[[#This Row],[Porcentaje de muertes]]&gt;0.35,Tabla1[[#This Row],[Porcentaje de muertes]]&lt;0.65),"MEDIO",Tabla1[[#This Row],[Porcentaje de muertes]]&gt;0.65,"GRAVE")</f>
        <v>LEVE</v>
      </c>
    </row>
    <row r="3931" spans="2:24" x14ac:dyDescent="0.3">
      <c r="B3931" s="9">
        <v>3931</v>
      </c>
      <c r="C3931" s="49">
        <v>34719</v>
      </c>
      <c r="D3931" s="9">
        <f>YEAR(Tabla1[[#This Row],[Date]])</f>
        <v>1995</v>
      </c>
      <c r="E3931" s="9" t="str" cm="1">
        <f t="array" ref="E3931">IFERROR(_xlfn.IFS(AND(D3931&lt;1980,D3931&gt;=1970),"70",AND(D3931&lt;1990,D3931&gt;=1980),"80",AND(D3931&lt;2000,D3931&gt;=1990),"90",AND(D3931&lt;2010,D3931&gt;=2000),"00",AND(D3931&lt;=2019,D3931&gt;=2010),"10"),"1908-1970")</f>
        <v>90</v>
      </c>
      <c r="F3931" s="3" t="s">
        <v>28931</v>
      </c>
      <c r="G3931" t="s">
        <v>8755</v>
      </c>
      <c r="H3931" t="s">
        <v>22771</v>
      </c>
      <c r="I3931" t="s">
        <v>28931</v>
      </c>
      <c r="J3931" t="s">
        <v>22772</v>
      </c>
      <c r="K3931" t="s">
        <v>22773</v>
      </c>
      <c r="L3931" s="7" t="s">
        <v>22774</v>
      </c>
      <c r="M3931">
        <v>225</v>
      </c>
      <c r="N3931">
        <v>10</v>
      </c>
      <c r="O3931">
        <v>7</v>
      </c>
      <c r="P3931">
        <v>3</v>
      </c>
      <c r="Q3931">
        <v>10</v>
      </c>
      <c r="R3931">
        <v>7</v>
      </c>
      <c r="S3931">
        <v>3</v>
      </c>
      <c r="T3931">
        <v>0</v>
      </c>
      <c r="U3931" t="s">
        <v>22775</v>
      </c>
      <c r="V3931">
        <f>Tabla1[[#This Row],[Aboard]]-Tabla1[[#This Row],[Fatalities]]</f>
        <v>0</v>
      </c>
      <c r="W3931" s="50">
        <f>IFERROR(Tabla1[[#This Row],[Fatalities]]/Tabla1[[#This Row],[Aboard]],0)</f>
        <v>1</v>
      </c>
      <c r="X3931" s="51" t="str" cm="1">
        <f t="array" ref="X3931">_xlfn.IFS(Tabla1[[#This Row],[Porcentaje de muertes]]&lt;0.35,"LEVE",AND(Tabla1[[#This Row],[Porcentaje de muertes]]&gt;0.35,Tabla1[[#This Row],[Porcentaje de muertes]]&lt;0.65),"MEDIO",Tabla1[[#This Row],[Porcentaje de muertes]]&gt;0.65,"GRAVE")</f>
        <v>GRAVE</v>
      </c>
    </row>
    <row r="3932" spans="2:24" x14ac:dyDescent="0.3">
      <c r="B3932" s="9">
        <v>3932</v>
      </c>
      <c r="C3932" s="49">
        <v>34719</v>
      </c>
      <c r="D3932" s="9">
        <f>YEAR(Tabla1[[#This Row],[Date]])</f>
        <v>1995</v>
      </c>
      <c r="E3932" s="9" t="str" cm="1">
        <f t="array" ref="E3932">IFERROR(_xlfn.IFS(AND(D3932&lt;1980,D3932&gt;=1970),"70",AND(D3932&lt;1990,D3932&gt;=1980),"80",AND(D3932&lt;2000,D3932&gt;=1990),"90",AND(D3932&lt;2010,D3932&gt;=2000),"00",AND(D3932&lt;=2019,D3932&gt;=2010),"10"),"1908-1970")</f>
        <v>90</v>
      </c>
      <c r="F3932" s="3">
        <v>0.80069444444444438</v>
      </c>
      <c r="G3932" t="s">
        <v>22776</v>
      </c>
      <c r="H3932" t="s">
        <v>22777</v>
      </c>
      <c r="I3932" t="s">
        <v>28931</v>
      </c>
      <c r="J3932" t="s">
        <v>22778</v>
      </c>
      <c r="K3932" t="s">
        <v>20760</v>
      </c>
      <c r="L3932" s="7" t="s">
        <v>22779</v>
      </c>
      <c r="M3932">
        <v>790316</v>
      </c>
      <c r="N3932">
        <v>19</v>
      </c>
      <c r="O3932">
        <v>17</v>
      </c>
      <c r="P3932">
        <v>2</v>
      </c>
      <c r="Q3932">
        <v>3</v>
      </c>
      <c r="R3932">
        <v>1</v>
      </c>
      <c r="S3932">
        <v>2</v>
      </c>
      <c r="T3932">
        <v>0</v>
      </c>
      <c r="U3932" t="s">
        <v>22780</v>
      </c>
      <c r="V3932">
        <f>Tabla1[[#This Row],[Aboard]]-Tabla1[[#This Row],[Fatalities]]</f>
        <v>16</v>
      </c>
      <c r="W3932" s="50">
        <f>IFERROR(Tabla1[[#This Row],[Fatalities]]/Tabla1[[#This Row],[Aboard]],0)</f>
        <v>0.15789473684210525</v>
      </c>
      <c r="X3932" s="51" t="str" cm="1">
        <f t="array" ref="X3932">_xlfn.IFS(Tabla1[[#This Row],[Porcentaje de muertes]]&lt;0.35,"LEVE",AND(Tabla1[[#This Row],[Porcentaje de muertes]]&gt;0.35,Tabla1[[#This Row],[Porcentaje de muertes]]&lt;0.65),"MEDIO",Tabla1[[#This Row],[Porcentaje de muertes]]&gt;0.65,"GRAVE")</f>
        <v>LEVE</v>
      </c>
    </row>
    <row r="3933" spans="2:24" x14ac:dyDescent="0.3">
      <c r="B3933" s="9">
        <v>3933</v>
      </c>
      <c r="C3933" s="49">
        <v>34746</v>
      </c>
      <c r="D3933" s="9">
        <f>YEAR(Tabla1[[#This Row],[Date]])</f>
        <v>1995</v>
      </c>
      <c r="E3933" s="9" t="str" cm="1">
        <f t="array" ref="E3933">IFERROR(_xlfn.IFS(AND(D3933&lt;1980,D3933&gt;=1970),"70",AND(D3933&lt;1990,D3933&gt;=1980),"80",AND(D3933&lt;2000,D3933&gt;=1990),"90",AND(D3933&lt;2010,D3933&gt;=2000),"00",AND(D3933&lt;=2019,D3933&gt;=2010),"10"),"1908-1970")</f>
        <v>90</v>
      </c>
      <c r="F3933" s="3">
        <v>0.85416666666666663</v>
      </c>
      <c r="G3933" t="s">
        <v>5906</v>
      </c>
      <c r="H3933" t="s">
        <v>21835</v>
      </c>
      <c r="I3933" t="s">
        <v>28931</v>
      </c>
      <c r="J3933" t="s">
        <v>22781</v>
      </c>
      <c r="K3933" t="s">
        <v>16910</v>
      </c>
      <c r="L3933" s="7" t="s">
        <v>22782</v>
      </c>
      <c r="M3933" t="s">
        <v>22783</v>
      </c>
      <c r="N3933">
        <v>3</v>
      </c>
      <c r="O3933">
        <v>0</v>
      </c>
      <c r="P3933">
        <v>3</v>
      </c>
      <c r="Q3933">
        <v>3</v>
      </c>
      <c r="R3933">
        <v>0</v>
      </c>
      <c r="S3933">
        <v>3</v>
      </c>
      <c r="T3933">
        <v>0</v>
      </c>
      <c r="U3933" t="s">
        <v>22784</v>
      </c>
      <c r="V3933">
        <f>Tabla1[[#This Row],[Aboard]]-Tabla1[[#This Row],[Fatalities]]</f>
        <v>0</v>
      </c>
      <c r="W3933" s="50">
        <f>IFERROR(Tabla1[[#This Row],[Fatalities]]/Tabla1[[#This Row],[Aboard]],0)</f>
        <v>1</v>
      </c>
      <c r="X3933" s="51" t="str" cm="1">
        <f t="array" ref="X3933">_xlfn.IFS(Tabla1[[#This Row],[Porcentaje de muertes]]&lt;0.35,"LEVE",AND(Tabla1[[#This Row],[Porcentaje de muertes]]&gt;0.35,Tabla1[[#This Row],[Porcentaje de muertes]]&lt;0.65),"MEDIO",Tabla1[[#This Row],[Porcentaje de muertes]]&gt;0.65,"GRAVE")</f>
        <v>GRAVE</v>
      </c>
    </row>
    <row r="3934" spans="2:24" x14ac:dyDescent="0.3">
      <c r="B3934" s="9">
        <v>3934</v>
      </c>
      <c r="C3934" s="49">
        <v>34774</v>
      </c>
      <c r="D3934" s="9">
        <f>YEAR(Tabla1[[#This Row],[Date]])</f>
        <v>1995</v>
      </c>
      <c r="E3934" s="9" t="str" cm="1">
        <f t="array" ref="E3934">IFERROR(_xlfn.IFS(AND(D3934&lt;1980,D3934&gt;=1970),"70",AND(D3934&lt;1990,D3934&gt;=1980),"80",AND(D3934&lt;2000,D3934&gt;=1990),"90",AND(D3934&lt;2010,D3934&gt;=2000),"00",AND(D3934&lt;=2019,D3934&gt;=2010),"10"),"1908-1970")</f>
        <v>90</v>
      </c>
      <c r="F3934" s="3" t="s">
        <v>28931</v>
      </c>
      <c r="G3934" t="s">
        <v>22785</v>
      </c>
      <c r="H3934" t="s">
        <v>6541</v>
      </c>
      <c r="I3934" t="s">
        <v>28931</v>
      </c>
      <c r="J3934" t="s">
        <v>22786</v>
      </c>
      <c r="K3934" t="s">
        <v>22787</v>
      </c>
      <c r="L3934" s="7" t="s">
        <v>22788</v>
      </c>
      <c r="M3934">
        <v>11806</v>
      </c>
      <c r="N3934">
        <v>10</v>
      </c>
      <c r="O3934">
        <v>4</v>
      </c>
      <c r="P3934">
        <v>6</v>
      </c>
      <c r="Q3934">
        <v>9</v>
      </c>
      <c r="R3934">
        <v>3</v>
      </c>
      <c r="S3934">
        <v>6</v>
      </c>
      <c r="T3934">
        <v>0</v>
      </c>
      <c r="U3934" t="s">
        <v>22789</v>
      </c>
      <c r="V3934">
        <f>Tabla1[[#This Row],[Aboard]]-Tabla1[[#This Row],[Fatalities]]</f>
        <v>1</v>
      </c>
      <c r="W3934" s="50">
        <f>IFERROR(Tabla1[[#This Row],[Fatalities]]/Tabla1[[#This Row],[Aboard]],0)</f>
        <v>0.9</v>
      </c>
      <c r="X3934" s="51" t="str" cm="1">
        <f t="array" ref="X3934">_xlfn.IFS(Tabla1[[#This Row],[Porcentaje de muertes]]&lt;0.35,"LEVE",AND(Tabla1[[#This Row],[Porcentaje de muertes]]&gt;0.35,Tabla1[[#This Row],[Porcentaje de muertes]]&lt;0.65),"MEDIO",Tabla1[[#This Row],[Porcentaje de muertes]]&gt;0.65,"GRAVE")</f>
        <v>GRAVE</v>
      </c>
    </row>
    <row r="3935" spans="2:24" x14ac:dyDescent="0.3">
      <c r="B3935" s="9">
        <v>3935</v>
      </c>
      <c r="C3935" s="49">
        <v>34789</v>
      </c>
      <c r="D3935" s="9">
        <f>YEAR(Tabla1[[#This Row],[Date]])</f>
        <v>1995</v>
      </c>
      <c r="E3935" s="9" t="str" cm="1">
        <f t="array" ref="E3935">IFERROR(_xlfn.IFS(AND(D3935&lt;1980,D3935&gt;=1970),"70",AND(D3935&lt;1990,D3935&gt;=1980),"80",AND(D3935&lt;2000,D3935&gt;=1990),"90",AND(D3935&lt;2010,D3935&gt;=2000),"00",AND(D3935&lt;=2019,D3935&gt;=2010),"10"),"1908-1970")</f>
        <v>90</v>
      </c>
      <c r="F3935" s="3">
        <v>0.38263888888888892</v>
      </c>
      <c r="G3935" t="s">
        <v>22790</v>
      </c>
      <c r="H3935" t="s">
        <v>22791</v>
      </c>
      <c r="I3935">
        <v>371</v>
      </c>
      <c r="J3935" t="s">
        <v>22792</v>
      </c>
      <c r="K3935" t="s">
        <v>22793</v>
      </c>
      <c r="L3935" s="7" t="s">
        <v>22794</v>
      </c>
      <c r="M3935" t="s">
        <v>22795</v>
      </c>
      <c r="N3935">
        <v>60</v>
      </c>
      <c r="O3935">
        <v>49</v>
      </c>
      <c r="P3935">
        <v>11</v>
      </c>
      <c r="Q3935">
        <v>60</v>
      </c>
      <c r="R3935">
        <v>49</v>
      </c>
      <c r="S3935">
        <v>11</v>
      </c>
      <c r="T3935">
        <v>0</v>
      </c>
      <c r="U3935" t="s">
        <v>22796</v>
      </c>
      <c r="V3935">
        <f>Tabla1[[#This Row],[Aboard]]-Tabla1[[#This Row],[Fatalities]]</f>
        <v>0</v>
      </c>
      <c r="W3935" s="50">
        <f>IFERROR(Tabla1[[#This Row],[Fatalities]]/Tabla1[[#This Row],[Aboard]],0)</f>
        <v>1</v>
      </c>
      <c r="X3935" s="51" t="str" cm="1">
        <f t="array" ref="X3935">_xlfn.IFS(Tabla1[[#This Row],[Porcentaje de muertes]]&lt;0.35,"LEVE",AND(Tabla1[[#This Row],[Porcentaje de muertes]]&gt;0.35,Tabla1[[#This Row],[Porcentaje de muertes]]&lt;0.65),"MEDIO",Tabla1[[#This Row],[Porcentaje de muertes]]&gt;0.65,"GRAVE")</f>
        <v>GRAVE</v>
      </c>
    </row>
    <row r="3936" spans="2:24" x14ac:dyDescent="0.3">
      <c r="B3936" s="9">
        <v>3936</v>
      </c>
      <c r="C3936" s="49">
        <v>34812</v>
      </c>
      <c r="D3936" s="9">
        <f>YEAR(Tabla1[[#This Row],[Date]])</f>
        <v>1995</v>
      </c>
      <c r="E3936" s="9" t="str" cm="1">
        <f t="array" ref="E3936">IFERROR(_xlfn.IFS(AND(D3936&lt;1980,D3936&gt;=1970),"70",AND(D3936&lt;1990,D3936&gt;=1980),"80",AND(D3936&lt;2000,D3936&gt;=1990),"90",AND(D3936&lt;2010,D3936&gt;=2000),"00",AND(D3936&lt;=2019,D3936&gt;=2010),"10"),"1908-1970")</f>
        <v>90</v>
      </c>
      <c r="F3936" s="3">
        <v>0.52777777777777779</v>
      </c>
      <c r="G3936" t="s">
        <v>22797</v>
      </c>
      <c r="H3936" t="s">
        <v>19043</v>
      </c>
      <c r="I3936" t="s">
        <v>28931</v>
      </c>
      <c r="J3936" t="s">
        <v>22798</v>
      </c>
      <c r="K3936" t="s">
        <v>16680</v>
      </c>
      <c r="L3936" s="7" t="s">
        <v>22799</v>
      </c>
      <c r="M3936">
        <v>607</v>
      </c>
      <c r="N3936">
        <v>9</v>
      </c>
      <c r="O3936">
        <v>7</v>
      </c>
      <c r="P3936">
        <v>2</v>
      </c>
      <c r="Q3936">
        <v>1</v>
      </c>
      <c r="R3936">
        <v>0</v>
      </c>
      <c r="S3936">
        <v>1</v>
      </c>
      <c r="T3936">
        <v>0</v>
      </c>
      <c r="U3936" t="s">
        <v>22800</v>
      </c>
      <c r="V3936">
        <f>Tabla1[[#This Row],[Aboard]]-Tabla1[[#This Row],[Fatalities]]</f>
        <v>8</v>
      </c>
      <c r="W3936" s="50">
        <f>IFERROR(Tabla1[[#This Row],[Fatalities]]/Tabla1[[#This Row],[Aboard]],0)</f>
        <v>0.1111111111111111</v>
      </c>
      <c r="X3936" s="51" t="str" cm="1">
        <f t="array" ref="X3936">_xlfn.IFS(Tabla1[[#This Row],[Porcentaje de muertes]]&lt;0.35,"LEVE",AND(Tabla1[[#This Row],[Porcentaje de muertes]]&gt;0.35,Tabla1[[#This Row],[Porcentaje de muertes]]&lt;0.65),"MEDIO",Tabla1[[#This Row],[Porcentaje de muertes]]&gt;0.65,"GRAVE")</f>
        <v>LEVE</v>
      </c>
    </row>
    <row r="3937" spans="2:24" x14ac:dyDescent="0.3">
      <c r="B3937" s="9">
        <v>3937</v>
      </c>
      <c r="C3937" s="49">
        <v>34818</v>
      </c>
      <c r="D3937" s="9">
        <f>YEAR(Tabla1[[#This Row],[Date]])</f>
        <v>1995</v>
      </c>
      <c r="E3937" s="9" t="str" cm="1">
        <f t="array" ref="E3937">IFERROR(_xlfn.IFS(AND(D3937&lt;1980,D3937&gt;=1970),"70",AND(D3937&lt;1990,D3937&gt;=1980),"80",AND(D3937&lt;2000,D3937&gt;=1990),"90",AND(D3937&lt;2010,D3937&gt;=2000),"00",AND(D3937&lt;=2019,D3937&gt;=2010),"10"),"1908-1970")</f>
        <v>90</v>
      </c>
      <c r="F3937" s="3" t="s">
        <v>28931</v>
      </c>
      <c r="G3937" t="s">
        <v>22801</v>
      </c>
      <c r="H3937" t="s">
        <v>21918</v>
      </c>
      <c r="I3937" t="s">
        <v>28931</v>
      </c>
      <c r="J3937" t="s">
        <v>22802</v>
      </c>
      <c r="K3937" t="s">
        <v>22803</v>
      </c>
      <c r="L3937" s="7" t="s">
        <v>22804</v>
      </c>
      <c r="M3937">
        <v>1768</v>
      </c>
      <c r="N3937">
        <v>52</v>
      </c>
      <c r="O3937">
        <v>49</v>
      </c>
      <c r="P3937">
        <v>3</v>
      </c>
      <c r="Q3937">
        <v>52</v>
      </c>
      <c r="R3937">
        <v>49</v>
      </c>
      <c r="S3937">
        <v>3</v>
      </c>
      <c r="T3937">
        <v>0</v>
      </c>
      <c r="U3937" t="s">
        <v>22805</v>
      </c>
      <c r="V3937">
        <f>Tabla1[[#This Row],[Aboard]]-Tabla1[[#This Row],[Fatalities]]</f>
        <v>0</v>
      </c>
      <c r="W3937" s="50">
        <f>IFERROR(Tabla1[[#This Row],[Fatalities]]/Tabla1[[#This Row],[Aboard]],0)</f>
        <v>1</v>
      </c>
      <c r="X3937" s="51" t="str" cm="1">
        <f t="array" ref="X3937">_xlfn.IFS(Tabla1[[#This Row],[Porcentaje de muertes]]&lt;0.35,"LEVE",AND(Tabla1[[#This Row],[Porcentaje de muertes]]&gt;0.35,Tabla1[[#This Row],[Porcentaje de muertes]]&lt;0.65),"MEDIO",Tabla1[[#This Row],[Porcentaje de muertes]]&gt;0.65,"GRAVE")</f>
        <v>GRAVE</v>
      </c>
    </row>
    <row r="3938" spans="2:24" x14ac:dyDescent="0.3">
      <c r="B3938" s="9">
        <v>3938</v>
      </c>
      <c r="C3938" s="49">
        <v>34704</v>
      </c>
      <c r="D3938" s="9">
        <f>YEAR(Tabla1[[#This Row],[Date]])</f>
        <v>1995</v>
      </c>
      <c r="E3938" s="9" t="str" cm="1">
        <f t="array" ref="E3938">IFERROR(_xlfn.IFS(AND(D3938&lt;1980,D3938&gt;=1970),"70",AND(D3938&lt;1990,D3938&gt;=1980),"80",AND(D3938&lt;2000,D3938&gt;=1990),"90",AND(D3938&lt;2010,D3938&gt;=2000),"00",AND(D3938&lt;=2019,D3938&gt;=2010),"10"),"1908-1970")</f>
        <v>90</v>
      </c>
      <c r="F3938" s="3">
        <v>0.56111111111111112</v>
      </c>
      <c r="G3938" t="s">
        <v>22806</v>
      </c>
      <c r="H3938" t="s">
        <v>22807</v>
      </c>
      <c r="I3938" t="s">
        <v>22808</v>
      </c>
      <c r="J3938" t="s">
        <v>22809</v>
      </c>
      <c r="K3938" t="s">
        <v>22810</v>
      </c>
      <c r="L3938" s="7" t="s">
        <v>22811</v>
      </c>
      <c r="M3938" t="s">
        <v>22812</v>
      </c>
      <c r="N3938">
        <v>8</v>
      </c>
      <c r="O3938">
        <v>5</v>
      </c>
      <c r="P3938">
        <v>3</v>
      </c>
      <c r="Q3938">
        <v>8</v>
      </c>
      <c r="R3938">
        <v>5</v>
      </c>
      <c r="S3938">
        <v>3</v>
      </c>
      <c r="T3938">
        <v>0</v>
      </c>
      <c r="U3938" t="s">
        <v>22813</v>
      </c>
      <c r="V3938">
        <f>Tabla1[[#This Row],[Aboard]]-Tabla1[[#This Row],[Fatalities]]</f>
        <v>0</v>
      </c>
      <c r="W3938" s="50">
        <f>IFERROR(Tabla1[[#This Row],[Fatalities]]/Tabla1[[#This Row],[Aboard]],0)</f>
        <v>1</v>
      </c>
      <c r="X3938" s="51" t="str" cm="1">
        <f t="array" ref="X3938">_xlfn.IFS(Tabla1[[#This Row],[Porcentaje de muertes]]&lt;0.35,"LEVE",AND(Tabla1[[#This Row],[Porcentaje de muertes]]&gt;0.35,Tabla1[[#This Row],[Porcentaje de muertes]]&lt;0.65),"MEDIO",Tabla1[[#This Row],[Porcentaje de muertes]]&gt;0.65,"GRAVE")</f>
        <v>GRAVE</v>
      </c>
    </row>
    <row r="3939" spans="2:24" x14ac:dyDescent="0.3">
      <c r="B3939" s="9">
        <v>3939</v>
      </c>
      <c r="C3939" s="49">
        <v>34763</v>
      </c>
      <c r="D3939" s="9">
        <f>YEAR(Tabla1[[#This Row],[Date]])</f>
        <v>1995</v>
      </c>
      <c r="E3939" s="9" t="str" cm="1">
        <f t="array" ref="E3939">IFERROR(_xlfn.IFS(AND(D3939&lt;1980,D3939&gt;=1970),"70",AND(D3939&lt;1990,D3939&gt;=1980),"80",AND(D3939&lt;2000,D3939&gt;=1990),"90",AND(D3939&lt;2010,D3939&gt;=2000),"00",AND(D3939&lt;=2019,D3939&gt;=2010),"10"),"1908-1970")</f>
        <v>90</v>
      </c>
      <c r="F3939" s="3">
        <v>3.125E-2</v>
      </c>
      <c r="G3939" t="s">
        <v>12314</v>
      </c>
      <c r="H3939" t="s">
        <v>22814</v>
      </c>
      <c r="I3939" t="s">
        <v>28931</v>
      </c>
      <c r="J3939" t="s">
        <v>22815</v>
      </c>
      <c r="K3939" t="s">
        <v>22816</v>
      </c>
      <c r="L3939" s="7" t="s">
        <v>22817</v>
      </c>
      <c r="M3939">
        <v>83</v>
      </c>
      <c r="N3939">
        <v>7</v>
      </c>
      <c r="O3939">
        <v>5</v>
      </c>
      <c r="P3939">
        <v>2</v>
      </c>
      <c r="Q3939">
        <v>7</v>
      </c>
      <c r="R3939">
        <v>5</v>
      </c>
      <c r="S3939">
        <v>2</v>
      </c>
      <c r="T3939">
        <v>0</v>
      </c>
      <c r="U3939" t="s">
        <v>22818</v>
      </c>
      <c r="V3939">
        <f>Tabla1[[#This Row],[Aboard]]-Tabla1[[#This Row],[Fatalities]]</f>
        <v>0</v>
      </c>
      <c r="W3939" s="50">
        <f>IFERROR(Tabla1[[#This Row],[Fatalities]]/Tabla1[[#This Row],[Aboard]],0)</f>
        <v>1</v>
      </c>
      <c r="X3939" s="51" t="str" cm="1">
        <f t="array" ref="X3939">_xlfn.IFS(Tabla1[[#This Row],[Porcentaje de muertes]]&lt;0.35,"LEVE",AND(Tabla1[[#This Row],[Porcentaje de muertes]]&gt;0.35,Tabla1[[#This Row],[Porcentaje de muertes]]&lt;0.65),"MEDIO",Tabla1[[#This Row],[Porcentaje de muertes]]&gt;0.65,"GRAVE")</f>
        <v>GRAVE</v>
      </c>
    </row>
    <row r="3940" spans="2:24" x14ac:dyDescent="0.3">
      <c r="B3940" s="9">
        <v>3940</v>
      </c>
      <c r="C3940" s="49">
        <v>34947</v>
      </c>
      <c r="D3940" s="9">
        <f>YEAR(Tabla1[[#This Row],[Date]])</f>
        <v>1995</v>
      </c>
      <c r="E3940" s="9" t="str" cm="1">
        <f t="array" ref="E3940">IFERROR(_xlfn.IFS(AND(D3940&lt;1980,D3940&gt;=1970),"70",AND(D3940&lt;1990,D3940&gt;=1980),"80",AND(D3940&lt;2000,D3940&gt;=1990),"90",AND(D3940&lt;2010,D3940&gt;=2000),"00",AND(D3940&lt;=2019,D3940&gt;=2010),"10"),"1908-1970")</f>
        <v>90</v>
      </c>
      <c r="F3940" s="3">
        <v>0.69097222222222221</v>
      </c>
      <c r="G3940" t="s">
        <v>22819</v>
      </c>
      <c r="H3940" t="s">
        <v>21598</v>
      </c>
      <c r="I3940" t="s">
        <v>28931</v>
      </c>
      <c r="J3940" t="s">
        <v>22820</v>
      </c>
      <c r="K3940" t="s">
        <v>10927</v>
      </c>
      <c r="L3940" s="7" t="s">
        <v>22821</v>
      </c>
      <c r="M3940">
        <v>22538</v>
      </c>
      <c r="N3940">
        <v>9</v>
      </c>
      <c r="O3940">
        <v>5</v>
      </c>
      <c r="P3940">
        <v>4</v>
      </c>
      <c r="Q3940">
        <v>9</v>
      </c>
      <c r="R3940">
        <v>5</v>
      </c>
      <c r="S3940">
        <v>4</v>
      </c>
      <c r="T3940">
        <v>0</v>
      </c>
      <c r="U3940" t="s">
        <v>22822</v>
      </c>
      <c r="V3940">
        <f>Tabla1[[#This Row],[Aboard]]-Tabla1[[#This Row],[Fatalities]]</f>
        <v>0</v>
      </c>
      <c r="W3940" s="50">
        <f>IFERROR(Tabla1[[#This Row],[Fatalities]]/Tabla1[[#This Row],[Aboard]],0)</f>
        <v>1</v>
      </c>
      <c r="X3940" s="51" t="str" cm="1">
        <f t="array" ref="X3940">_xlfn.IFS(Tabla1[[#This Row],[Porcentaje de muertes]]&lt;0.35,"LEVE",AND(Tabla1[[#This Row],[Porcentaje de muertes]]&gt;0.35,Tabla1[[#This Row],[Porcentaje de muertes]]&lt;0.65),"MEDIO",Tabla1[[#This Row],[Porcentaje de muertes]]&gt;0.65,"GRAVE")</f>
        <v>GRAVE</v>
      </c>
    </row>
    <row r="3941" spans="2:24" x14ac:dyDescent="0.3">
      <c r="B3941" s="9">
        <v>3941</v>
      </c>
      <c r="C3941" s="49">
        <v>34832</v>
      </c>
      <c r="D3941" s="9">
        <f>YEAR(Tabla1[[#This Row],[Date]])</f>
        <v>1995</v>
      </c>
      <c r="E3941" s="9" t="str" cm="1">
        <f t="array" ref="E3941">IFERROR(_xlfn.IFS(AND(D3941&lt;1980,D3941&gt;=1970),"70",AND(D3941&lt;1990,D3941&gt;=1980),"80",AND(D3941&lt;2000,D3941&gt;=1990),"90",AND(D3941&lt;2010,D3941&gt;=2000),"00",AND(D3941&lt;=2019,D3941&gt;=2010),"10"),"1908-1970")</f>
        <v>90</v>
      </c>
      <c r="F3941" s="3" t="s">
        <v>28931</v>
      </c>
      <c r="G3941" t="s">
        <v>22823</v>
      </c>
      <c r="H3941" t="s">
        <v>7987</v>
      </c>
      <c r="I3941" t="s">
        <v>28931</v>
      </c>
      <c r="J3941" t="s">
        <v>22824</v>
      </c>
      <c r="K3941" t="s">
        <v>18804</v>
      </c>
      <c r="L3941" s="7" t="s">
        <v>22825</v>
      </c>
      <c r="M3941">
        <v>3801</v>
      </c>
      <c r="N3941">
        <v>6</v>
      </c>
      <c r="O3941">
        <v>0</v>
      </c>
      <c r="P3941">
        <v>6</v>
      </c>
      <c r="Q3941">
        <v>6</v>
      </c>
      <c r="R3941">
        <v>0</v>
      </c>
      <c r="S3941">
        <v>6</v>
      </c>
      <c r="T3941">
        <v>0</v>
      </c>
      <c r="U3941" t="s">
        <v>22826</v>
      </c>
      <c r="V3941">
        <f>Tabla1[[#This Row],[Aboard]]-Tabla1[[#This Row],[Fatalities]]</f>
        <v>0</v>
      </c>
      <c r="W3941" s="50">
        <f>IFERROR(Tabla1[[#This Row],[Fatalities]]/Tabla1[[#This Row],[Aboard]],0)</f>
        <v>1</v>
      </c>
      <c r="X3941" s="51" t="str" cm="1">
        <f t="array" ref="X3941">_xlfn.IFS(Tabla1[[#This Row],[Porcentaje de muertes]]&lt;0.35,"LEVE",AND(Tabla1[[#This Row],[Porcentaje de muertes]]&gt;0.35,Tabla1[[#This Row],[Porcentaje de muertes]]&lt;0.65),"MEDIO",Tabla1[[#This Row],[Porcentaje de muertes]]&gt;0.65,"GRAVE")</f>
        <v>GRAVE</v>
      </c>
    </row>
    <row r="3942" spans="2:24" x14ac:dyDescent="0.3">
      <c r="B3942" s="9">
        <v>3942</v>
      </c>
      <c r="C3942" s="49">
        <v>34843</v>
      </c>
      <c r="D3942" s="9">
        <f>YEAR(Tabla1[[#This Row],[Date]])</f>
        <v>1995</v>
      </c>
      <c r="E3942" s="9" t="str" cm="1">
        <f t="array" ref="E3942">IFERROR(_xlfn.IFS(AND(D3942&lt;1980,D3942&gt;=1970),"70",AND(D3942&lt;1990,D3942&gt;=1980),"80",AND(D3942&lt;2000,D3942&gt;=1990),"90",AND(D3942&lt;2010,D3942&gt;=2000),"00",AND(D3942&lt;=2019,D3942&gt;=2010),"10"),"1908-1970")</f>
        <v>90</v>
      </c>
      <c r="F3942" s="3">
        <v>0.70208333333333339</v>
      </c>
      <c r="G3942" t="s">
        <v>22827</v>
      </c>
      <c r="H3942" t="s">
        <v>22828</v>
      </c>
      <c r="I3942">
        <v>816</v>
      </c>
      <c r="J3942" t="s">
        <v>22829</v>
      </c>
      <c r="K3942" t="s">
        <v>22830</v>
      </c>
      <c r="L3942" s="7" t="s">
        <v>22831</v>
      </c>
      <c r="M3942" t="s">
        <v>22832</v>
      </c>
      <c r="N3942">
        <v>12</v>
      </c>
      <c r="O3942">
        <v>9</v>
      </c>
      <c r="P3942">
        <v>3</v>
      </c>
      <c r="Q3942">
        <v>12</v>
      </c>
      <c r="R3942">
        <v>9</v>
      </c>
      <c r="S3942">
        <v>3</v>
      </c>
      <c r="T3942">
        <v>0</v>
      </c>
      <c r="U3942" t="s">
        <v>22833</v>
      </c>
      <c r="V3942">
        <f>Tabla1[[#This Row],[Aboard]]-Tabla1[[#This Row],[Fatalities]]</f>
        <v>0</v>
      </c>
      <c r="W3942" s="50">
        <f>IFERROR(Tabla1[[#This Row],[Fatalities]]/Tabla1[[#This Row],[Aboard]],0)</f>
        <v>1</v>
      </c>
      <c r="X3942" s="51" t="str" cm="1">
        <f t="array" ref="X3942">_xlfn.IFS(Tabla1[[#This Row],[Porcentaje de muertes]]&lt;0.35,"LEVE",AND(Tabla1[[#This Row],[Porcentaje de muertes]]&gt;0.35,Tabla1[[#This Row],[Porcentaje de muertes]]&lt;0.65),"MEDIO",Tabla1[[#This Row],[Porcentaje de muertes]]&gt;0.65,"GRAVE")</f>
        <v>GRAVE</v>
      </c>
    </row>
    <row r="3943" spans="2:24" x14ac:dyDescent="0.3">
      <c r="B3943" s="9">
        <v>3943</v>
      </c>
      <c r="C3943" s="49">
        <v>34844</v>
      </c>
      <c r="D3943" s="9">
        <f>YEAR(Tabla1[[#This Row],[Date]])</f>
        <v>1995</v>
      </c>
      <c r="E3943" s="9" t="str" cm="1">
        <f t="array" ref="E3943">IFERROR(_xlfn.IFS(AND(D3943&lt;1980,D3943&gt;=1970),"70",AND(D3943&lt;1990,D3943&gt;=1980),"80",AND(D3943&lt;2000,D3943&gt;=1990),"90",AND(D3943&lt;2010,D3943&gt;=2000),"00",AND(D3943&lt;=2019,D3943&gt;=2010),"10"),"1908-1970")</f>
        <v>90</v>
      </c>
      <c r="F3943" s="3">
        <v>0.625</v>
      </c>
      <c r="G3943" t="s">
        <v>22834</v>
      </c>
      <c r="H3943" t="s">
        <v>22835</v>
      </c>
      <c r="I3943" t="s">
        <v>28931</v>
      </c>
      <c r="J3943" t="s">
        <v>22836</v>
      </c>
      <c r="K3943" t="s">
        <v>9005</v>
      </c>
      <c r="L3943" s="7" t="s">
        <v>22837</v>
      </c>
      <c r="M3943">
        <v>25659</v>
      </c>
      <c r="N3943">
        <v>11</v>
      </c>
      <c r="O3943">
        <v>9</v>
      </c>
      <c r="P3943">
        <v>2</v>
      </c>
      <c r="Q3943">
        <v>2</v>
      </c>
      <c r="R3943">
        <v>2</v>
      </c>
      <c r="S3943">
        <v>0</v>
      </c>
      <c r="T3943">
        <v>0</v>
      </c>
      <c r="U3943" t="s">
        <v>28927</v>
      </c>
      <c r="V3943">
        <f>Tabla1[[#This Row],[Aboard]]-Tabla1[[#This Row],[Fatalities]]</f>
        <v>9</v>
      </c>
      <c r="W3943" s="50">
        <f>IFERROR(Tabla1[[#This Row],[Fatalities]]/Tabla1[[#This Row],[Aboard]],0)</f>
        <v>0.18181818181818182</v>
      </c>
      <c r="X3943" s="51" t="str" cm="1">
        <f t="array" ref="X3943">_xlfn.IFS(Tabla1[[#This Row],[Porcentaje de muertes]]&lt;0.35,"LEVE",AND(Tabla1[[#This Row],[Porcentaje de muertes]]&gt;0.35,Tabla1[[#This Row],[Porcentaje de muertes]]&lt;0.65),"MEDIO",Tabla1[[#This Row],[Porcentaje de muertes]]&gt;0.65,"GRAVE")</f>
        <v>LEVE</v>
      </c>
    </row>
    <row r="3944" spans="2:24" x14ac:dyDescent="0.3">
      <c r="B3944" s="9">
        <v>3944</v>
      </c>
      <c r="C3944" s="49">
        <v>34848</v>
      </c>
      <c r="D3944" s="9">
        <f>YEAR(Tabla1[[#This Row],[Date]])</f>
        <v>1995</v>
      </c>
      <c r="E3944" s="9" t="str" cm="1">
        <f t="array" ref="E3944">IFERROR(_xlfn.IFS(AND(D3944&lt;1980,D3944&gt;=1970),"70",AND(D3944&lt;1990,D3944&gt;=1980),"80",AND(D3944&lt;2000,D3944&gt;=1990),"90",AND(D3944&lt;2010,D3944&gt;=2000),"00",AND(D3944&lt;=2019,D3944&gt;=2010),"10"),"1908-1970")</f>
        <v>90</v>
      </c>
      <c r="F3944" s="3" t="s">
        <v>28931</v>
      </c>
      <c r="G3944" t="s">
        <v>22838</v>
      </c>
      <c r="H3944" t="s">
        <v>22839</v>
      </c>
      <c r="I3944" t="s">
        <v>28931</v>
      </c>
      <c r="J3944" t="s">
        <v>28931</v>
      </c>
      <c r="K3944" t="s">
        <v>22840</v>
      </c>
      <c r="L3944" s="7" t="s">
        <v>22841</v>
      </c>
      <c r="M3944" t="s">
        <v>22842</v>
      </c>
      <c r="N3944">
        <v>10</v>
      </c>
      <c r="O3944">
        <v>8</v>
      </c>
      <c r="P3944">
        <v>2</v>
      </c>
      <c r="Q3944">
        <v>6</v>
      </c>
      <c r="R3944">
        <v>4</v>
      </c>
      <c r="S3944">
        <v>2</v>
      </c>
      <c r="T3944">
        <v>0</v>
      </c>
      <c r="U3944" t="s">
        <v>22843</v>
      </c>
      <c r="V3944">
        <f>Tabla1[[#This Row],[Aboard]]-Tabla1[[#This Row],[Fatalities]]</f>
        <v>4</v>
      </c>
      <c r="W3944" s="50">
        <f>IFERROR(Tabla1[[#This Row],[Fatalities]]/Tabla1[[#This Row],[Aboard]],0)</f>
        <v>0.6</v>
      </c>
      <c r="X3944" s="51" t="str" cm="1">
        <f t="array" ref="X3944">_xlfn.IFS(Tabla1[[#This Row],[Porcentaje de muertes]]&lt;0.35,"LEVE",AND(Tabla1[[#This Row],[Porcentaje de muertes]]&gt;0.35,Tabla1[[#This Row],[Porcentaje de muertes]]&lt;0.65),"MEDIO",Tabla1[[#This Row],[Porcentaje de muertes]]&gt;0.65,"GRAVE")</f>
        <v>MEDIO</v>
      </c>
    </row>
    <row r="3945" spans="2:24" x14ac:dyDescent="0.3">
      <c r="B3945" s="9">
        <v>3945</v>
      </c>
      <c r="C3945" s="49">
        <v>34948</v>
      </c>
      <c r="D3945" s="9">
        <f>YEAR(Tabla1[[#This Row],[Date]])</f>
        <v>1995</v>
      </c>
      <c r="E3945" s="9" t="str" cm="1">
        <f t="array" ref="E3945">IFERROR(_xlfn.IFS(AND(D3945&lt;1980,D3945&gt;=1970),"70",AND(D3945&lt;1990,D3945&gt;=1980),"80",AND(D3945&lt;2000,D3945&gt;=1990),"90",AND(D3945&lt;2010,D3945&gt;=2000),"00",AND(D3945&lt;=2019,D3945&gt;=2010),"10"),"1908-1970")</f>
        <v>90</v>
      </c>
      <c r="F3945" s="3">
        <v>0.39027777777777778</v>
      </c>
      <c r="G3945" t="s">
        <v>22844</v>
      </c>
      <c r="H3945" t="s">
        <v>22845</v>
      </c>
      <c r="I3945">
        <v>703</v>
      </c>
      <c r="J3945" t="s">
        <v>7189</v>
      </c>
      <c r="K3945" t="s">
        <v>22846</v>
      </c>
      <c r="L3945" s="7" t="s">
        <v>22847</v>
      </c>
      <c r="M3945">
        <v>55</v>
      </c>
      <c r="N3945">
        <v>21</v>
      </c>
      <c r="O3945">
        <v>18</v>
      </c>
      <c r="P3945">
        <v>3</v>
      </c>
      <c r="Q3945">
        <v>5</v>
      </c>
      <c r="R3945">
        <v>4</v>
      </c>
      <c r="S3945">
        <v>1</v>
      </c>
      <c r="T3945">
        <v>0</v>
      </c>
      <c r="U3945" t="s">
        <v>22848</v>
      </c>
      <c r="V3945">
        <f>Tabla1[[#This Row],[Aboard]]-Tabla1[[#This Row],[Fatalities]]</f>
        <v>16</v>
      </c>
      <c r="W3945" s="50">
        <f>IFERROR(Tabla1[[#This Row],[Fatalities]]/Tabla1[[#This Row],[Aboard]],0)</f>
        <v>0.23809523809523808</v>
      </c>
      <c r="X3945" s="51" t="str" cm="1">
        <f t="array" ref="X3945">_xlfn.IFS(Tabla1[[#This Row],[Porcentaje de muertes]]&lt;0.35,"LEVE",AND(Tabla1[[#This Row],[Porcentaje de muertes]]&gt;0.35,Tabla1[[#This Row],[Porcentaje de muertes]]&lt;0.65),"MEDIO",Tabla1[[#This Row],[Porcentaje de muertes]]&gt;0.65,"GRAVE")</f>
        <v>LEVE</v>
      </c>
    </row>
    <row r="3946" spans="2:24" x14ac:dyDescent="0.3">
      <c r="B3946" s="9">
        <v>3946</v>
      </c>
      <c r="C3946" s="49">
        <v>34866</v>
      </c>
      <c r="D3946" s="9">
        <f>YEAR(Tabla1[[#This Row],[Date]])</f>
        <v>1995</v>
      </c>
      <c r="E3946" s="9" t="str" cm="1">
        <f t="array" ref="E3946">IFERROR(_xlfn.IFS(AND(D3946&lt;1980,D3946&gt;=1970),"70",AND(D3946&lt;1990,D3946&gt;=1980),"80",AND(D3946&lt;2000,D3946&gt;=1990),"90",AND(D3946&lt;2010,D3946&gt;=2000),"00",AND(D3946&lt;=2019,D3946&gt;=2010),"10"),"1908-1970")</f>
        <v>90</v>
      </c>
      <c r="F3946" s="3">
        <v>0.59375</v>
      </c>
      <c r="G3946" t="s">
        <v>22849</v>
      </c>
      <c r="H3946" t="s">
        <v>6541</v>
      </c>
      <c r="I3946" t="s">
        <v>28931</v>
      </c>
      <c r="J3946" t="s">
        <v>22850</v>
      </c>
      <c r="K3946" t="s">
        <v>14581</v>
      </c>
      <c r="L3946" s="7" t="s">
        <v>22851</v>
      </c>
      <c r="M3946" t="s">
        <v>22852</v>
      </c>
      <c r="N3946">
        <v>14</v>
      </c>
      <c r="O3946">
        <v>12</v>
      </c>
      <c r="P3946">
        <v>2</v>
      </c>
      <c r="Q3946">
        <v>13</v>
      </c>
      <c r="R3946">
        <v>11</v>
      </c>
      <c r="S3946">
        <v>2</v>
      </c>
      <c r="T3946">
        <v>0</v>
      </c>
      <c r="U3946" t="s">
        <v>22853</v>
      </c>
      <c r="V3946">
        <f>Tabla1[[#This Row],[Aboard]]-Tabla1[[#This Row],[Fatalities]]</f>
        <v>1</v>
      </c>
      <c r="W3946" s="50">
        <f>IFERROR(Tabla1[[#This Row],[Fatalities]]/Tabla1[[#This Row],[Aboard]],0)</f>
        <v>0.9285714285714286</v>
      </c>
      <c r="X3946" s="51" t="str" cm="1">
        <f t="array" ref="X3946">_xlfn.IFS(Tabla1[[#This Row],[Porcentaje de muertes]]&lt;0.35,"LEVE",AND(Tabla1[[#This Row],[Porcentaje de muertes]]&gt;0.35,Tabla1[[#This Row],[Porcentaje de muertes]]&lt;0.65),"MEDIO",Tabla1[[#This Row],[Porcentaje de muertes]]&gt;0.65,"GRAVE")</f>
        <v>GRAVE</v>
      </c>
    </row>
    <row r="3947" spans="2:24" x14ac:dyDescent="0.3">
      <c r="B3947" s="9">
        <v>3947</v>
      </c>
      <c r="C3947" s="49">
        <v>34866</v>
      </c>
      <c r="D3947" s="9">
        <f>YEAR(Tabla1[[#This Row],[Date]])</f>
        <v>1995</v>
      </c>
      <c r="E3947" s="9" t="str" cm="1">
        <f t="array" ref="E3947">IFERROR(_xlfn.IFS(AND(D3947&lt;1980,D3947&gt;=1970),"70",AND(D3947&lt;1990,D3947&gt;=1980),"80",AND(D3947&lt;2000,D3947&gt;=1990),"90",AND(D3947&lt;2010,D3947&gt;=2000),"00",AND(D3947&lt;=2019,D3947&gt;=2010),"10"),"1908-1970")</f>
        <v>90</v>
      </c>
      <c r="F3947" s="3" t="s">
        <v>28931</v>
      </c>
      <c r="G3947" t="s">
        <v>22854</v>
      </c>
      <c r="H3947" t="s">
        <v>22855</v>
      </c>
      <c r="I3947" t="s">
        <v>28931</v>
      </c>
      <c r="J3947" t="s">
        <v>22856</v>
      </c>
      <c r="K3947" t="s">
        <v>22857</v>
      </c>
      <c r="L3947" s="7" t="s">
        <v>22858</v>
      </c>
      <c r="M3947" t="s">
        <v>22859</v>
      </c>
      <c r="N3947">
        <v>12</v>
      </c>
      <c r="O3947" t="s">
        <v>5038</v>
      </c>
      <c r="P3947" t="s">
        <v>5038</v>
      </c>
      <c r="Q3947">
        <v>12</v>
      </c>
      <c r="R3947" t="s">
        <v>5038</v>
      </c>
      <c r="S3947" t="s">
        <v>5038</v>
      </c>
      <c r="T3947">
        <v>0</v>
      </c>
      <c r="U3947" t="s">
        <v>22860</v>
      </c>
      <c r="V3947">
        <f>Tabla1[[#This Row],[Aboard]]-Tabla1[[#This Row],[Fatalities]]</f>
        <v>0</v>
      </c>
      <c r="W3947" s="50">
        <f>IFERROR(Tabla1[[#This Row],[Fatalities]]/Tabla1[[#This Row],[Aboard]],0)</f>
        <v>1</v>
      </c>
      <c r="X3947" s="51" t="str" cm="1">
        <f t="array" ref="X3947">_xlfn.IFS(Tabla1[[#This Row],[Porcentaje de muertes]]&lt;0.35,"LEVE",AND(Tabla1[[#This Row],[Porcentaje de muertes]]&gt;0.35,Tabla1[[#This Row],[Porcentaje de muertes]]&lt;0.65),"MEDIO",Tabla1[[#This Row],[Porcentaje de muertes]]&gt;0.65,"GRAVE")</f>
        <v>GRAVE</v>
      </c>
    </row>
    <row r="3948" spans="2:24" x14ac:dyDescent="0.3">
      <c r="B3948" s="9">
        <v>3948</v>
      </c>
      <c r="C3948" s="49">
        <v>34867</v>
      </c>
      <c r="D3948" s="9">
        <f>YEAR(Tabla1[[#This Row],[Date]])</f>
        <v>1995</v>
      </c>
      <c r="E3948" s="9" t="str" cm="1">
        <f t="array" ref="E3948">IFERROR(_xlfn.IFS(AND(D3948&lt;1980,D3948&gt;=1970),"70",AND(D3948&lt;1990,D3948&gt;=1980),"80",AND(D3948&lt;2000,D3948&gt;=1990),"90",AND(D3948&lt;2010,D3948&gt;=2000),"00",AND(D3948&lt;=2019,D3948&gt;=2010),"10"),"1908-1970")</f>
        <v>90</v>
      </c>
      <c r="F3948" s="3" t="s">
        <v>28931</v>
      </c>
      <c r="G3948" t="s">
        <v>22861</v>
      </c>
      <c r="H3948" t="s">
        <v>17903</v>
      </c>
      <c r="I3948" t="s">
        <v>28931</v>
      </c>
      <c r="J3948" t="s">
        <v>22862</v>
      </c>
      <c r="K3948" t="s">
        <v>21195</v>
      </c>
      <c r="L3948" s="7" t="s">
        <v>22863</v>
      </c>
      <c r="M3948" t="s">
        <v>22864</v>
      </c>
      <c r="N3948">
        <v>48</v>
      </c>
      <c r="O3948">
        <v>45</v>
      </c>
      <c r="P3948">
        <v>3</v>
      </c>
      <c r="Q3948">
        <v>48</v>
      </c>
      <c r="R3948">
        <v>45</v>
      </c>
      <c r="S3948">
        <v>3</v>
      </c>
      <c r="T3948">
        <v>0</v>
      </c>
      <c r="U3948" t="s">
        <v>22865</v>
      </c>
      <c r="V3948">
        <f>Tabla1[[#This Row],[Aboard]]-Tabla1[[#This Row],[Fatalities]]</f>
        <v>0</v>
      </c>
      <c r="W3948" s="50">
        <f>IFERROR(Tabla1[[#This Row],[Fatalities]]/Tabla1[[#This Row],[Aboard]],0)</f>
        <v>1</v>
      </c>
      <c r="X3948" s="51" t="str" cm="1">
        <f t="array" ref="X3948">_xlfn.IFS(Tabla1[[#This Row],[Porcentaje de muertes]]&lt;0.35,"LEVE",AND(Tabla1[[#This Row],[Porcentaje de muertes]]&gt;0.35,Tabla1[[#This Row],[Porcentaje de muertes]]&lt;0.65),"MEDIO",Tabla1[[#This Row],[Porcentaje de muertes]]&gt;0.65,"GRAVE")</f>
        <v>GRAVE</v>
      </c>
    </row>
    <row r="3949" spans="2:24" x14ac:dyDescent="0.3">
      <c r="B3949" s="9">
        <v>3949</v>
      </c>
      <c r="C3949" s="49">
        <v>34874</v>
      </c>
      <c r="D3949" s="9">
        <f>YEAR(Tabla1[[#This Row],[Date]])</f>
        <v>1995</v>
      </c>
      <c r="E3949" s="9" t="str" cm="1">
        <f t="array" ref="E3949">IFERROR(_xlfn.IFS(AND(D3949&lt;1980,D3949&gt;=1970),"70",AND(D3949&lt;1990,D3949&gt;=1980),"80",AND(D3949&lt;2000,D3949&gt;=1990),"90",AND(D3949&lt;2010,D3949&gt;=2000),"00",AND(D3949&lt;=2019,D3949&gt;=2010),"10"),"1908-1970")</f>
        <v>90</v>
      </c>
      <c r="F3949" s="3">
        <v>0.67013888888888884</v>
      </c>
      <c r="G3949" t="s">
        <v>22797</v>
      </c>
      <c r="H3949" t="s">
        <v>22866</v>
      </c>
      <c r="I3949" t="s">
        <v>28931</v>
      </c>
      <c r="J3949" t="s">
        <v>22867</v>
      </c>
      <c r="K3949" t="s">
        <v>16145</v>
      </c>
      <c r="L3949" s="7" t="s">
        <v>22868</v>
      </c>
      <c r="M3949">
        <v>4308068</v>
      </c>
      <c r="N3949">
        <v>80</v>
      </c>
      <c r="O3949">
        <v>74</v>
      </c>
      <c r="P3949">
        <v>6</v>
      </c>
      <c r="Q3949">
        <v>16</v>
      </c>
      <c r="R3949">
        <v>16</v>
      </c>
      <c r="S3949">
        <v>0</v>
      </c>
      <c r="T3949">
        <v>0</v>
      </c>
      <c r="U3949" t="s">
        <v>22869</v>
      </c>
      <c r="V3949">
        <f>Tabla1[[#This Row],[Aboard]]-Tabla1[[#This Row],[Fatalities]]</f>
        <v>64</v>
      </c>
      <c r="W3949" s="50">
        <f>IFERROR(Tabla1[[#This Row],[Fatalities]]/Tabla1[[#This Row],[Aboard]],0)</f>
        <v>0.2</v>
      </c>
      <c r="X3949" s="51" t="str" cm="1">
        <f t="array" ref="X3949">_xlfn.IFS(Tabla1[[#This Row],[Porcentaje de muertes]]&lt;0.35,"LEVE",AND(Tabla1[[#This Row],[Porcentaje de muertes]]&gt;0.35,Tabla1[[#This Row],[Porcentaje de muertes]]&lt;0.65),"MEDIO",Tabla1[[#This Row],[Porcentaje de muertes]]&gt;0.65,"GRAVE")</f>
        <v>LEVE</v>
      </c>
    </row>
    <row r="3950" spans="2:24" x14ac:dyDescent="0.3">
      <c r="B3950" s="9">
        <v>3950</v>
      </c>
      <c r="C3950" s="49">
        <v>34877</v>
      </c>
      <c r="D3950" s="9">
        <f>YEAR(Tabla1[[#This Row],[Date]])</f>
        <v>1995</v>
      </c>
      <c r="E3950" s="9" t="str" cm="1">
        <f t="array" ref="E3950">IFERROR(_xlfn.IFS(AND(D3950&lt;1980,D3950&gt;=1970),"70",AND(D3950&lt;1990,D3950&gt;=1980),"80",AND(D3950&lt;2000,D3950&gt;=1990),"90",AND(D3950&lt;2010,D3950&gt;=2000),"00",AND(D3950&lt;=2019,D3950&gt;=2010),"10"),"1908-1970")</f>
        <v>90</v>
      </c>
      <c r="F3950" s="3">
        <v>0.40972222222222227</v>
      </c>
      <c r="G3950" t="s">
        <v>22870</v>
      </c>
      <c r="H3950" t="s">
        <v>22447</v>
      </c>
      <c r="I3950" t="s">
        <v>28931</v>
      </c>
      <c r="J3950" t="s">
        <v>22871</v>
      </c>
      <c r="K3950" t="s">
        <v>14237</v>
      </c>
      <c r="L3950" s="7" t="s">
        <v>22872</v>
      </c>
      <c r="M3950">
        <v>432</v>
      </c>
      <c r="N3950">
        <v>2</v>
      </c>
      <c r="O3950">
        <v>0</v>
      </c>
      <c r="P3950">
        <v>2</v>
      </c>
      <c r="Q3950">
        <v>2</v>
      </c>
      <c r="R3950">
        <v>0</v>
      </c>
      <c r="S3950">
        <v>2</v>
      </c>
      <c r="T3950">
        <v>0</v>
      </c>
      <c r="U3950" t="s">
        <v>22873</v>
      </c>
      <c r="V3950">
        <f>Tabla1[[#This Row],[Aboard]]-Tabla1[[#This Row],[Fatalities]]</f>
        <v>0</v>
      </c>
      <c r="W3950" s="50">
        <f>IFERROR(Tabla1[[#This Row],[Fatalities]]/Tabla1[[#This Row],[Aboard]],0)</f>
        <v>1</v>
      </c>
      <c r="X3950" s="51" t="str" cm="1">
        <f t="array" ref="X3950">_xlfn.IFS(Tabla1[[#This Row],[Porcentaje de muertes]]&lt;0.35,"LEVE",AND(Tabla1[[#This Row],[Porcentaje de muertes]]&gt;0.35,Tabla1[[#This Row],[Porcentaje de muertes]]&lt;0.65),"MEDIO",Tabla1[[#This Row],[Porcentaje de muertes]]&gt;0.65,"GRAVE")</f>
        <v>GRAVE</v>
      </c>
    </row>
    <row r="3951" spans="2:24" x14ac:dyDescent="0.3">
      <c r="B3951" s="9">
        <v>3951</v>
      </c>
      <c r="C3951" s="49">
        <v>34706</v>
      </c>
      <c r="D3951" s="9">
        <f>YEAR(Tabla1[[#This Row],[Date]])</f>
        <v>1995</v>
      </c>
      <c r="E3951" s="9" t="str" cm="1">
        <f t="array" ref="E3951">IFERROR(_xlfn.IFS(AND(D3951&lt;1980,D3951&gt;=1970),"70",AND(D3951&lt;1990,D3951&gt;=1980),"80",AND(D3951&lt;2000,D3951&gt;=1990),"90",AND(D3951&lt;2010,D3951&gt;=2000),"00",AND(D3951&lt;=2019,D3951&gt;=2010),"10"),"1908-1970")</f>
        <v>90</v>
      </c>
      <c r="F3951" s="3" t="s">
        <v>28931</v>
      </c>
      <c r="G3951" t="s">
        <v>22874</v>
      </c>
      <c r="H3951" t="s">
        <v>22875</v>
      </c>
      <c r="I3951" t="s">
        <v>28931</v>
      </c>
      <c r="J3951" t="s">
        <v>22876</v>
      </c>
      <c r="K3951" t="s">
        <v>15078</v>
      </c>
      <c r="L3951" s="7" t="s">
        <v>22877</v>
      </c>
      <c r="M3951">
        <v>13</v>
      </c>
      <c r="N3951">
        <v>3</v>
      </c>
      <c r="O3951">
        <v>1</v>
      </c>
      <c r="P3951">
        <v>2</v>
      </c>
      <c r="Q3951">
        <v>3</v>
      </c>
      <c r="R3951">
        <v>1</v>
      </c>
      <c r="S3951">
        <v>2</v>
      </c>
      <c r="T3951">
        <v>0</v>
      </c>
      <c r="U3951" t="s">
        <v>22878</v>
      </c>
      <c r="V3951">
        <f>Tabla1[[#This Row],[Aboard]]-Tabla1[[#This Row],[Fatalities]]</f>
        <v>0</v>
      </c>
      <c r="W3951" s="50">
        <f>IFERROR(Tabla1[[#This Row],[Fatalities]]/Tabla1[[#This Row],[Aboard]],0)</f>
        <v>1</v>
      </c>
      <c r="X3951" s="51" t="str" cm="1">
        <f t="array" ref="X3951">_xlfn.IFS(Tabla1[[#This Row],[Porcentaje de muertes]]&lt;0.35,"LEVE",AND(Tabla1[[#This Row],[Porcentaje de muertes]]&gt;0.35,Tabla1[[#This Row],[Porcentaje de muertes]]&lt;0.65),"MEDIO",Tabla1[[#This Row],[Porcentaje de muertes]]&gt;0.65,"GRAVE")</f>
        <v>GRAVE</v>
      </c>
    </row>
    <row r="3952" spans="2:24" x14ac:dyDescent="0.3">
      <c r="B3952" s="9">
        <v>3952</v>
      </c>
      <c r="C3952" s="49">
        <v>35040</v>
      </c>
      <c r="D3952" s="9">
        <f>YEAR(Tabla1[[#This Row],[Date]])</f>
        <v>1995</v>
      </c>
      <c r="E3952" s="9" t="str" cm="1">
        <f t="array" ref="E3952">IFERROR(_xlfn.IFS(AND(D3952&lt;1980,D3952&gt;=1970),"70",AND(D3952&lt;1990,D3952&gt;=1980),"80",AND(D3952&lt;2000,D3952&gt;=1990),"90",AND(D3952&lt;2010,D3952&gt;=2000),"00",AND(D3952&lt;=2019,D3952&gt;=2010),"10"),"1908-1970")</f>
        <v>90</v>
      </c>
      <c r="F3952" s="3">
        <v>0.33333333333333331</v>
      </c>
      <c r="G3952" t="s">
        <v>22879</v>
      </c>
      <c r="H3952" t="s">
        <v>22880</v>
      </c>
      <c r="I3952" t="s">
        <v>28931</v>
      </c>
      <c r="J3952" t="s">
        <v>22881</v>
      </c>
      <c r="K3952" t="s">
        <v>16680</v>
      </c>
      <c r="L3952" s="7" t="s">
        <v>22882</v>
      </c>
      <c r="M3952">
        <v>275</v>
      </c>
      <c r="N3952">
        <v>15</v>
      </c>
      <c r="O3952">
        <v>13</v>
      </c>
      <c r="P3952">
        <v>2</v>
      </c>
      <c r="Q3952">
        <v>15</v>
      </c>
      <c r="R3952">
        <v>13</v>
      </c>
      <c r="S3952">
        <v>2</v>
      </c>
      <c r="T3952">
        <v>0</v>
      </c>
      <c r="U3952" t="s">
        <v>22883</v>
      </c>
      <c r="V3952">
        <f>Tabla1[[#This Row],[Aboard]]-Tabla1[[#This Row],[Fatalities]]</f>
        <v>0</v>
      </c>
      <c r="W3952" s="50">
        <f>IFERROR(Tabla1[[#This Row],[Fatalities]]/Tabla1[[#This Row],[Aboard]],0)</f>
        <v>1</v>
      </c>
      <c r="X3952" s="51" t="str" cm="1">
        <f t="array" ref="X3952">_xlfn.IFS(Tabla1[[#This Row],[Porcentaje de muertes]]&lt;0.35,"LEVE",AND(Tabla1[[#This Row],[Porcentaje de muertes]]&gt;0.35,Tabla1[[#This Row],[Porcentaje de muertes]]&lt;0.65),"MEDIO",Tabla1[[#This Row],[Porcentaje de muertes]]&gt;0.65,"GRAVE")</f>
        <v>GRAVE</v>
      </c>
    </row>
    <row r="3953" spans="2:24" x14ac:dyDescent="0.3">
      <c r="B3953" s="9">
        <v>3953</v>
      </c>
      <c r="C3953" s="49">
        <v>34897</v>
      </c>
      <c r="D3953" s="9">
        <f>YEAR(Tabla1[[#This Row],[Date]])</f>
        <v>1995</v>
      </c>
      <c r="E3953" s="9" t="str" cm="1">
        <f t="array" ref="E3953">IFERROR(_xlfn.IFS(AND(D3953&lt;1980,D3953&gt;=1970),"70",AND(D3953&lt;1990,D3953&gt;=1980),"80",AND(D3953&lt;2000,D3953&gt;=1990),"90",AND(D3953&lt;2010,D3953&gt;=2000),"00",AND(D3953&lt;=2019,D3953&gt;=2010),"10"),"1908-1970")</f>
        <v>90</v>
      </c>
      <c r="F3953" s="3" t="s">
        <v>28931</v>
      </c>
      <c r="G3953" t="s">
        <v>22884</v>
      </c>
      <c r="H3953" t="s">
        <v>16296</v>
      </c>
      <c r="I3953" t="s">
        <v>28931</v>
      </c>
      <c r="J3953" t="s">
        <v>28931</v>
      </c>
      <c r="K3953" t="s">
        <v>16680</v>
      </c>
      <c r="L3953" s="7" t="s">
        <v>22885</v>
      </c>
      <c r="M3953">
        <v>473</v>
      </c>
      <c r="N3953">
        <v>18</v>
      </c>
      <c r="O3953">
        <v>16</v>
      </c>
      <c r="P3953">
        <v>2</v>
      </c>
      <c r="Q3953">
        <v>1</v>
      </c>
      <c r="R3953">
        <v>0</v>
      </c>
      <c r="S3953">
        <v>1</v>
      </c>
      <c r="T3953">
        <v>0</v>
      </c>
      <c r="U3953" t="s">
        <v>22886</v>
      </c>
      <c r="V3953">
        <f>Tabla1[[#This Row],[Aboard]]-Tabla1[[#This Row],[Fatalities]]</f>
        <v>17</v>
      </c>
      <c r="W3953" s="50">
        <f>IFERROR(Tabla1[[#This Row],[Fatalities]]/Tabla1[[#This Row],[Aboard]],0)</f>
        <v>5.5555555555555552E-2</v>
      </c>
      <c r="X3953" s="51" t="str" cm="1">
        <f t="array" ref="X3953">_xlfn.IFS(Tabla1[[#This Row],[Porcentaje de muertes]]&lt;0.35,"LEVE",AND(Tabla1[[#This Row],[Porcentaje de muertes]]&gt;0.35,Tabla1[[#This Row],[Porcentaje de muertes]]&lt;0.65),"MEDIO",Tabla1[[#This Row],[Porcentaje de muertes]]&gt;0.65,"GRAVE")</f>
        <v>LEVE</v>
      </c>
    </row>
    <row r="3954" spans="2:24" x14ac:dyDescent="0.3">
      <c r="B3954" s="9">
        <v>3954</v>
      </c>
      <c r="C3954" s="49">
        <v>34898</v>
      </c>
      <c r="D3954" s="9">
        <f>YEAR(Tabla1[[#This Row],[Date]])</f>
        <v>1995</v>
      </c>
      <c r="E3954" s="9" t="str" cm="1">
        <f t="array" ref="E3954">IFERROR(_xlfn.IFS(AND(D3954&lt;1980,D3954&gt;=1970),"70",AND(D3954&lt;1990,D3954&gt;=1980),"80",AND(D3954&lt;2000,D3954&gt;=1990),"90",AND(D3954&lt;2010,D3954&gt;=2000),"00",AND(D3954&lt;=2019,D3954&gt;=2010),"10"),"1908-1970")</f>
        <v>90</v>
      </c>
      <c r="F3954" s="3" t="s">
        <v>28931</v>
      </c>
      <c r="G3954" t="s">
        <v>22887</v>
      </c>
      <c r="H3954" t="s">
        <v>22888</v>
      </c>
      <c r="I3954" t="s">
        <v>28931</v>
      </c>
      <c r="J3954" t="s">
        <v>22889</v>
      </c>
      <c r="K3954" t="s">
        <v>8105</v>
      </c>
      <c r="L3954" s="7" t="s">
        <v>22890</v>
      </c>
      <c r="M3954">
        <v>19525</v>
      </c>
      <c r="N3954">
        <v>34</v>
      </c>
      <c r="O3954">
        <v>29</v>
      </c>
      <c r="P3954">
        <v>5</v>
      </c>
      <c r="Q3954">
        <v>34</v>
      </c>
      <c r="R3954">
        <v>29</v>
      </c>
      <c r="S3954">
        <v>5</v>
      </c>
      <c r="T3954">
        <v>0</v>
      </c>
      <c r="U3954" t="s">
        <v>22891</v>
      </c>
      <c r="V3954">
        <f>Tabla1[[#This Row],[Aboard]]-Tabla1[[#This Row],[Fatalities]]</f>
        <v>0</v>
      </c>
      <c r="W3954" s="50">
        <f>IFERROR(Tabla1[[#This Row],[Fatalities]]/Tabla1[[#This Row],[Aboard]],0)</f>
        <v>1</v>
      </c>
      <c r="X3954" s="51" t="str" cm="1">
        <f t="array" ref="X3954">_xlfn.IFS(Tabla1[[#This Row],[Porcentaje de muertes]]&lt;0.35,"LEVE",AND(Tabla1[[#This Row],[Porcentaje de muertes]]&gt;0.35,Tabla1[[#This Row],[Porcentaje de muertes]]&lt;0.65),"MEDIO",Tabla1[[#This Row],[Porcentaje de muertes]]&gt;0.65,"GRAVE")</f>
        <v>GRAVE</v>
      </c>
    </row>
    <row r="3955" spans="2:24" x14ac:dyDescent="0.3">
      <c r="B3955" s="9">
        <v>3955</v>
      </c>
      <c r="C3955" s="49">
        <v>34905</v>
      </c>
      <c r="D3955" s="9">
        <f>YEAR(Tabla1[[#This Row],[Date]])</f>
        <v>1995</v>
      </c>
      <c r="E3955" s="9" t="str" cm="1">
        <f t="array" ref="E3955">IFERROR(_xlfn.IFS(AND(D3955&lt;1980,D3955&gt;=1970),"70",AND(D3955&lt;1990,D3955&gt;=1980),"80",AND(D3955&lt;2000,D3955&gt;=1990),"90",AND(D3955&lt;2010,D3955&gt;=2000),"00",AND(D3955&lt;=2019,D3955&gt;=2010),"10"),"1908-1970")</f>
        <v>90</v>
      </c>
      <c r="F3955" s="3" t="s">
        <v>28931</v>
      </c>
      <c r="G3955" t="s">
        <v>22892</v>
      </c>
      <c r="H3955" t="s">
        <v>22893</v>
      </c>
      <c r="I3955" t="s">
        <v>28931</v>
      </c>
      <c r="J3955" t="s">
        <v>28931</v>
      </c>
      <c r="K3955" t="s">
        <v>15949</v>
      </c>
      <c r="L3955" s="7" t="s">
        <v>22894</v>
      </c>
      <c r="M3955">
        <v>393</v>
      </c>
      <c r="N3955">
        <v>2</v>
      </c>
      <c r="O3955">
        <v>1</v>
      </c>
      <c r="P3955">
        <v>1</v>
      </c>
      <c r="Q3955">
        <v>2</v>
      </c>
      <c r="R3955">
        <v>1</v>
      </c>
      <c r="S3955">
        <v>1</v>
      </c>
      <c r="T3955">
        <v>0</v>
      </c>
      <c r="U3955" t="s">
        <v>22895</v>
      </c>
      <c r="V3955">
        <f>Tabla1[[#This Row],[Aboard]]-Tabla1[[#This Row],[Fatalities]]</f>
        <v>0</v>
      </c>
      <c r="W3955" s="50">
        <f>IFERROR(Tabla1[[#This Row],[Fatalities]]/Tabla1[[#This Row],[Aboard]],0)</f>
        <v>1</v>
      </c>
      <c r="X3955" s="51" t="str" cm="1">
        <f t="array" ref="X3955">_xlfn.IFS(Tabla1[[#This Row],[Porcentaje de muertes]]&lt;0.35,"LEVE",AND(Tabla1[[#This Row],[Porcentaje de muertes]]&gt;0.35,Tabla1[[#This Row],[Porcentaje de muertes]]&lt;0.65),"MEDIO",Tabla1[[#This Row],[Porcentaje de muertes]]&gt;0.65,"GRAVE")</f>
        <v>GRAVE</v>
      </c>
    </row>
    <row r="3956" spans="2:24" x14ac:dyDescent="0.3">
      <c r="B3956" s="9">
        <v>3956</v>
      </c>
      <c r="C3956" s="49">
        <v>34738</v>
      </c>
      <c r="D3956" s="9">
        <f>YEAR(Tabla1[[#This Row],[Date]])</f>
        <v>1995</v>
      </c>
      <c r="E3956" s="9" t="str" cm="1">
        <f t="array" ref="E3956">IFERROR(_xlfn.IFS(AND(D3956&lt;1980,D3956&gt;=1970),"70",AND(D3956&lt;1990,D3956&gt;=1980),"80",AND(D3956&lt;2000,D3956&gt;=1990),"90",AND(D3956&lt;2010,D3956&gt;=2000),"00",AND(D3956&lt;=2019,D3956&gt;=2010),"10"),"1908-1970")</f>
        <v>90</v>
      </c>
      <c r="F3956" s="3" t="s">
        <v>28931</v>
      </c>
      <c r="G3956" t="s">
        <v>22896</v>
      </c>
      <c r="H3956" t="s">
        <v>22897</v>
      </c>
      <c r="I3956" t="s">
        <v>28931</v>
      </c>
      <c r="J3956" t="s">
        <v>22898</v>
      </c>
      <c r="K3956" t="s">
        <v>22899</v>
      </c>
      <c r="L3956" s="7" t="s">
        <v>22900</v>
      </c>
      <c r="M3956" t="s">
        <v>22901</v>
      </c>
      <c r="N3956">
        <v>3</v>
      </c>
      <c r="O3956">
        <v>0</v>
      </c>
      <c r="P3956">
        <v>3</v>
      </c>
      <c r="Q3956">
        <v>3</v>
      </c>
      <c r="R3956">
        <v>0</v>
      </c>
      <c r="S3956">
        <v>3</v>
      </c>
      <c r="T3956">
        <v>0</v>
      </c>
      <c r="U3956" t="s">
        <v>22902</v>
      </c>
      <c r="V3956">
        <f>Tabla1[[#This Row],[Aboard]]-Tabla1[[#This Row],[Fatalities]]</f>
        <v>0</v>
      </c>
      <c r="W3956" s="50">
        <f>IFERROR(Tabla1[[#This Row],[Fatalities]]/Tabla1[[#This Row],[Aboard]],0)</f>
        <v>1</v>
      </c>
      <c r="X3956" s="51" t="str" cm="1">
        <f t="array" ref="X3956">_xlfn.IFS(Tabla1[[#This Row],[Porcentaje de muertes]]&lt;0.35,"LEVE",AND(Tabla1[[#This Row],[Porcentaje de muertes]]&gt;0.35,Tabla1[[#This Row],[Porcentaje de muertes]]&lt;0.65),"MEDIO",Tabla1[[#This Row],[Porcentaje de muertes]]&gt;0.65,"GRAVE")</f>
        <v>GRAVE</v>
      </c>
    </row>
    <row r="3957" spans="2:24" x14ac:dyDescent="0.3">
      <c r="B3957" s="9">
        <v>3957</v>
      </c>
      <c r="C3957" s="49">
        <v>34950</v>
      </c>
      <c r="D3957" s="9">
        <f>YEAR(Tabla1[[#This Row],[Date]])</f>
        <v>1995</v>
      </c>
      <c r="E3957" s="9" t="str" cm="1">
        <f t="array" ref="E3957">IFERROR(_xlfn.IFS(AND(D3957&lt;1980,D3957&gt;=1970),"70",AND(D3957&lt;1990,D3957&gt;=1980),"80",AND(D3957&lt;2000,D3957&gt;=1990),"90",AND(D3957&lt;2010,D3957&gt;=2000),"00",AND(D3957&lt;=2019,D3957&gt;=2010),"10"),"1908-1970")</f>
        <v>90</v>
      </c>
      <c r="F3957" s="3">
        <v>0.84305555555555556</v>
      </c>
      <c r="G3957" t="s">
        <v>22903</v>
      </c>
      <c r="H3957" t="s">
        <v>11155</v>
      </c>
      <c r="I3957">
        <v>901</v>
      </c>
      <c r="J3957" t="s">
        <v>22904</v>
      </c>
      <c r="K3957" t="s">
        <v>18022</v>
      </c>
      <c r="L3957" s="7" t="s">
        <v>22905</v>
      </c>
      <c r="M3957" t="s">
        <v>22906</v>
      </c>
      <c r="N3957">
        <v>65</v>
      </c>
      <c r="O3957">
        <v>58</v>
      </c>
      <c r="P3957">
        <v>7</v>
      </c>
      <c r="Q3957">
        <v>65</v>
      </c>
      <c r="R3957">
        <v>58</v>
      </c>
      <c r="S3957">
        <v>7</v>
      </c>
      <c r="T3957">
        <v>0</v>
      </c>
      <c r="U3957" t="s">
        <v>22907</v>
      </c>
      <c r="V3957">
        <f>Tabla1[[#This Row],[Aboard]]-Tabla1[[#This Row],[Fatalities]]</f>
        <v>0</v>
      </c>
      <c r="W3957" s="50">
        <f>IFERROR(Tabla1[[#This Row],[Fatalities]]/Tabla1[[#This Row],[Aboard]],0)</f>
        <v>1</v>
      </c>
      <c r="X3957" s="51" t="str" cm="1">
        <f t="array" ref="X3957">_xlfn.IFS(Tabla1[[#This Row],[Porcentaje de muertes]]&lt;0.35,"LEVE",AND(Tabla1[[#This Row],[Porcentaje de muertes]]&gt;0.35,Tabla1[[#This Row],[Porcentaje de muertes]]&lt;0.65),"MEDIO",Tabla1[[#This Row],[Porcentaje de muertes]]&gt;0.65,"GRAVE")</f>
        <v>GRAVE</v>
      </c>
    </row>
    <row r="3958" spans="2:24" x14ac:dyDescent="0.3">
      <c r="B3958" s="9">
        <v>3958</v>
      </c>
      <c r="C3958" s="49">
        <v>34950</v>
      </c>
      <c r="D3958" s="9">
        <f>YEAR(Tabla1[[#This Row],[Date]])</f>
        <v>1995</v>
      </c>
      <c r="E3958" s="9" t="str" cm="1">
        <f t="array" ref="E3958">IFERROR(_xlfn.IFS(AND(D3958&lt;1980,D3958&gt;=1970),"70",AND(D3958&lt;1990,D3958&gt;=1980),"80",AND(D3958&lt;2000,D3958&gt;=1990),"90",AND(D3958&lt;2010,D3958&gt;=2000),"00",AND(D3958&lt;=2019,D3958&gt;=2010),"10"),"1908-1970")</f>
        <v>90</v>
      </c>
      <c r="F3958" s="3" t="s">
        <v>28931</v>
      </c>
      <c r="G3958" t="s">
        <v>22908</v>
      </c>
      <c r="H3958" t="s">
        <v>22909</v>
      </c>
      <c r="I3958" t="s">
        <v>28931</v>
      </c>
      <c r="J3958" t="s">
        <v>22910</v>
      </c>
      <c r="K3958" t="s">
        <v>22911</v>
      </c>
      <c r="L3958" s="7" t="s">
        <v>22912</v>
      </c>
      <c r="M3958">
        <v>1735</v>
      </c>
      <c r="N3958">
        <v>10</v>
      </c>
      <c r="O3958">
        <v>6</v>
      </c>
      <c r="P3958">
        <v>4</v>
      </c>
      <c r="Q3958">
        <v>10</v>
      </c>
      <c r="R3958">
        <v>6</v>
      </c>
      <c r="S3958">
        <v>4</v>
      </c>
      <c r="T3958">
        <v>0</v>
      </c>
      <c r="U3958" t="s">
        <v>22913</v>
      </c>
      <c r="V3958">
        <f>Tabla1[[#This Row],[Aboard]]-Tabla1[[#This Row],[Fatalities]]</f>
        <v>0</v>
      </c>
      <c r="W3958" s="50">
        <f>IFERROR(Tabla1[[#This Row],[Fatalities]]/Tabla1[[#This Row],[Aboard]],0)</f>
        <v>1</v>
      </c>
      <c r="X3958" s="51" t="str" cm="1">
        <f t="array" ref="X3958">_xlfn.IFS(Tabla1[[#This Row],[Porcentaje de muertes]]&lt;0.35,"LEVE",AND(Tabla1[[#This Row],[Porcentaje de muertes]]&gt;0.35,Tabla1[[#This Row],[Porcentaje de muertes]]&lt;0.65),"MEDIO",Tabla1[[#This Row],[Porcentaje de muertes]]&gt;0.65,"GRAVE")</f>
        <v>GRAVE</v>
      </c>
    </row>
    <row r="3959" spans="2:24" x14ac:dyDescent="0.3">
      <c r="B3959" s="9">
        <v>3959</v>
      </c>
      <c r="C3959" s="49">
        <v>34925</v>
      </c>
      <c r="D3959" s="9">
        <f>YEAR(Tabla1[[#This Row],[Date]])</f>
        <v>1995</v>
      </c>
      <c r="E3959" s="9" t="str" cm="1">
        <f t="array" ref="E3959">IFERROR(_xlfn.IFS(AND(D3959&lt;1980,D3959&gt;=1970),"70",AND(D3959&lt;1990,D3959&gt;=1980),"80",AND(D3959&lt;2000,D3959&gt;=1990),"90",AND(D3959&lt;2010,D3959&gt;=2000),"00",AND(D3959&lt;=2019,D3959&gt;=2010),"10"),"1908-1970")</f>
        <v>90</v>
      </c>
      <c r="F3959" s="3" t="s">
        <v>28931</v>
      </c>
      <c r="G3959" t="s">
        <v>22914</v>
      </c>
      <c r="H3959" t="s">
        <v>19780</v>
      </c>
      <c r="I3959">
        <v>145</v>
      </c>
      <c r="J3959" t="s">
        <v>22915</v>
      </c>
      <c r="K3959" t="s">
        <v>18953</v>
      </c>
      <c r="L3959" s="7" t="s">
        <v>22916</v>
      </c>
      <c r="M3959">
        <v>110310</v>
      </c>
      <c r="N3959">
        <v>10</v>
      </c>
      <c r="O3959">
        <v>8</v>
      </c>
      <c r="P3959">
        <v>2</v>
      </c>
      <c r="Q3959">
        <v>10</v>
      </c>
      <c r="R3959">
        <v>8</v>
      </c>
      <c r="S3959">
        <v>2</v>
      </c>
      <c r="T3959">
        <v>0</v>
      </c>
      <c r="U3959" t="s">
        <v>22917</v>
      </c>
      <c r="V3959">
        <f>Tabla1[[#This Row],[Aboard]]-Tabla1[[#This Row],[Fatalities]]</f>
        <v>0</v>
      </c>
      <c r="W3959" s="50">
        <f>IFERROR(Tabla1[[#This Row],[Fatalities]]/Tabla1[[#This Row],[Aboard]],0)</f>
        <v>1</v>
      </c>
      <c r="X3959" s="51" t="str" cm="1">
        <f t="array" ref="X3959">_xlfn.IFS(Tabla1[[#This Row],[Porcentaje de muertes]]&lt;0.35,"LEVE",AND(Tabla1[[#This Row],[Porcentaje de muertes]]&gt;0.35,Tabla1[[#This Row],[Porcentaje de muertes]]&lt;0.65),"MEDIO",Tabla1[[#This Row],[Porcentaje de muertes]]&gt;0.65,"GRAVE")</f>
        <v>GRAVE</v>
      </c>
    </row>
    <row r="3960" spans="2:24" x14ac:dyDescent="0.3">
      <c r="B3960" s="9">
        <v>3960</v>
      </c>
      <c r="C3960" s="49">
        <v>34932</v>
      </c>
      <c r="D3960" s="9">
        <f>YEAR(Tabla1[[#This Row],[Date]])</f>
        <v>1995</v>
      </c>
      <c r="E3960" s="9" t="str" cm="1">
        <f t="array" ref="E3960">IFERROR(_xlfn.IFS(AND(D3960&lt;1980,D3960&gt;=1970),"70",AND(D3960&lt;1990,D3960&gt;=1980),"80",AND(D3960&lt;2000,D3960&gt;=1990),"90",AND(D3960&lt;2010,D3960&gt;=2000),"00",AND(D3960&lt;=2019,D3960&gt;=2010),"10"),"1908-1970")</f>
        <v>90</v>
      </c>
      <c r="F3960" s="3">
        <v>0.53680555555555554</v>
      </c>
      <c r="G3960" t="s">
        <v>22918</v>
      </c>
      <c r="H3960" t="s">
        <v>20167</v>
      </c>
      <c r="I3960">
        <v>529</v>
      </c>
      <c r="J3960" t="s">
        <v>22919</v>
      </c>
      <c r="K3960" t="s">
        <v>22920</v>
      </c>
      <c r="L3960" s="7" t="s">
        <v>22921</v>
      </c>
      <c r="M3960" t="s">
        <v>22922</v>
      </c>
      <c r="N3960">
        <v>29</v>
      </c>
      <c r="O3960">
        <v>26</v>
      </c>
      <c r="P3960">
        <v>3</v>
      </c>
      <c r="Q3960">
        <v>10</v>
      </c>
      <c r="R3960">
        <v>9</v>
      </c>
      <c r="S3960">
        <v>1</v>
      </c>
      <c r="T3960">
        <v>0</v>
      </c>
      <c r="U3960" t="s">
        <v>22923</v>
      </c>
      <c r="V3960">
        <f>Tabla1[[#This Row],[Aboard]]-Tabla1[[#This Row],[Fatalities]]</f>
        <v>19</v>
      </c>
      <c r="W3960" s="50">
        <f>IFERROR(Tabla1[[#This Row],[Fatalities]]/Tabla1[[#This Row],[Aboard]],0)</f>
        <v>0.34482758620689657</v>
      </c>
      <c r="X3960" s="51" t="str" cm="1">
        <f t="array" ref="X3960">_xlfn.IFS(Tabla1[[#This Row],[Porcentaje de muertes]]&lt;0.35,"LEVE",AND(Tabla1[[#This Row],[Porcentaje de muertes]]&gt;0.35,Tabla1[[#This Row],[Porcentaje de muertes]]&lt;0.65),"MEDIO",Tabla1[[#This Row],[Porcentaje de muertes]]&gt;0.65,"GRAVE")</f>
        <v>LEVE</v>
      </c>
    </row>
    <row r="3961" spans="2:24" x14ac:dyDescent="0.3">
      <c r="B3961" s="9">
        <v>3961</v>
      </c>
      <c r="C3961" s="49">
        <v>34708</v>
      </c>
      <c r="D3961" s="9">
        <f>YEAR(Tabla1[[#This Row],[Date]])</f>
        <v>1995</v>
      </c>
      <c r="E3961" s="9" t="str" cm="1">
        <f t="array" ref="E3961">IFERROR(_xlfn.IFS(AND(D3961&lt;1980,D3961&gt;=1970),"70",AND(D3961&lt;1990,D3961&gt;=1980),"80",AND(D3961&lt;2000,D3961&gt;=1990),"90",AND(D3961&lt;2010,D3961&gt;=2000),"00",AND(D3961&lt;=2019,D3961&gt;=2010),"10"),"1908-1970")</f>
        <v>90</v>
      </c>
      <c r="F3961" s="3">
        <v>0.5</v>
      </c>
      <c r="G3961" t="s">
        <v>22924</v>
      </c>
      <c r="H3961" t="s">
        <v>22925</v>
      </c>
      <c r="I3961" t="s">
        <v>28931</v>
      </c>
      <c r="J3961" t="s">
        <v>22926</v>
      </c>
      <c r="K3961" t="s">
        <v>22927</v>
      </c>
      <c r="L3961" s="7" t="s">
        <v>22928</v>
      </c>
      <c r="M3961" t="s">
        <v>22929</v>
      </c>
      <c r="N3961">
        <v>1</v>
      </c>
      <c r="O3961">
        <v>0</v>
      </c>
      <c r="P3961">
        <v>1</v>
      </c>
      <c r="Q3961">
        <v>1</v>
      </c>
      <c r="R3961">
        <v>0</v>
      </c>
      <c r="S3961">
        <v>1</v>
      </c>
      <c r="T3961">
        <v>0</v>
      </c>
      <c r="U3961" t="s">
        <v>22930</v>
      </c>
      <c r="V3961">
        <f>Tabla1[[#This Row],[Aboard]]-Tabla1[[#This Row],[Fatalities]]</f>
        <v>0</v>
      </c>
      <c r="W3961" s="50">
        <f>IFERROR(Tabla1[[#This Row],[Fatalities]]/Tabla1[[#This Row],[Aboard]],0)</f>
        <v>1</v>
      </c>
      <c r="X3961" s="51" t="str" cm="1">
        <f t="array" ref="X3961">_xlfn.IFS(Tabla1[[#This Row],[Porcentaje de muertes]]&lt;0.35,"LEVE",AND(Tabla1[[#This Row],[Porcentaje de muertes]]&gt;0.35,Tabla1[[#This Row],[Porcentaje de muertes]]&lt;0.65),"MEDIO",Tabla1[[#This Row],[Porcentaje de muertes]]&gt;0.65,"GRAVE")</f>
        <v>GRAVE</v>
      </c>
    </row>
    <row r="3962" spans="2:24" x14ac:dyDescent="0.3">
      <c r="B3962" s="9">
        <v>3962</v>
      </c>
      <c r="C3962" s="49">
        <v>34739</v>
      </c>
      <c r="D3962" s="9">
        <f>YEAR(Tabla1[[#This Row],[Date]])</f>
        <v>1995</v>
      </c>
      <c r="E3962" s="9" t="str" cm="1">
        <f t="array" ref="E3962">IFERROR(_xlfn.IFS(AND(D3962&lt;1980,D3962&gt;=1970),"70",AND(D3962&lt;1990,D3962&gt;=1980),"80",AND(D3962&lt;2000,D3962&gt;=1990),"90",AND(D3962&lt;2010,D3962&gt;=2000),"00",AND(D3962&lt;=2019,D3962&gt;=2010),"10"),"1908-1970")</f>
        <v>90</v>
      </c>
      <c r="F3962" s="3" t="s">
        <v>28931</v>
      </c>
      <c r="G3962" t="s">
        <v>22931</v>
      </c>
      <c r="H3962" t="s">
        <v>7665</v>
      </c>
      <c r="I3962" t="s">
        <v>28931</v>
      </c>
      <c r="J3962" t="s">
        <v>22932</v>
      </c>
      <c r="K3962" t="s">
        <v>22933</v>
      </c>
      <c r="L3962" s="7" t="s">
        <v>22934</v>
      </c>
      <c r="M3962">
        <v>8014</v>
      </c>
      <c r="N3962">
        <v>7</v>
      </c>
      <c r="O3962">
        <v>0</v>
      </c>
      <c r="P3962">
        <v>7</v>
      </c>
      <c r="Q3962">
        <v>7</v>
      </c>
      <c r="R3962">
        <v>0</v>
      </c>
      <c r="S3962">
        <v>7</v>
      </c>
      <c r="T3962">
        <v>0</v>
      </c>
      <c r="U3962" t="s">
        <v>22935</v>
      </c>
      <c r="V3962">
        <f>Tabla1[[#This Row],[Aboard]]-Tabla1[[#This Row],[Fatalities]]</f>
        <v>0</v>
      </c>
      <c r="W3962" s="50">
        <f>IFERROR(Tabla1[[#This Row],[Fatalities]]/Tabla1[[#This Row],[Aboard]],0)</f>
        <v>1</v>
      </c>
      <c r="X3962" s="51" t="str" cm="1">
        <f t="array" ref="X3962">_xlfn.IFS(Tabla1[[#This Row],[Porcentaje de muertes]]&lt;0.35,"LEVE",AND(Tabla1[[#This Row],[Porcentaje de muertes]]&gt;0.35,Tabla1[[#This Row],[Porcentaje de muertes]]&lt;0.65),"MEDIO",Tabla1[[#This Row],[Porcentaje de muertes]]&gt;0.65,"GRAVE")</f>
        <v>GRAVE</v>
      </c>
    </row>
    <row r="3963" spans="2:24" x14ac:dyDescent="0.3">
      <c r="B3963" s="9">
        <v>3963</v>
      </c>
      <c r="C3963" s="49">
        <v>34739</v>
      </c>
      <c r="D3963" s="9">
        <f>YEAR(Tabla1[[#This Row],[Date]])</f>
        <v>1995</v>
      </c>
      <c r="E3963" s="9" t="str" cm="1">
        <f t="array" ref="E3963">IFERROR(_xlfn.IFS(AND(D3963&lt;1980,D3963&gt;=1970),"70",AND(D3963&lt;1990,D3963&gt;=1980),"80",AND(D3963&lt;2000,D3963&gt;=1990),"90",AND(D3963&lt;2010,D3963&gt;=2000),"00",AND(D3963&lt;=2019,D3963&gt;=2010),"10"),"1908-1970")</f>
        <v>90</v>
      </c>
      <c r="F3963" s="3">
        <v>0.35972222222222222</v>
      </c>
      <c r="G3963" t="s">
        <v>22936</v>
      </c>
      <c r="H3963" t="s">
        <v>22937</v>
      </c>
      <c r="I3963" t="s">
        <v>28931</v>
      </c>
      <c r="J3963" t="s">
        <v>22938</v>
      </c>
      <c r="K3963" t="s">
        <v>22939</v>
      </c>
      <c r="L3963" s="7" t="s">
        <v>22940</v>
      </c>
      <c r="M3963" t="s">
        <v>22941</v>
      </c>
      <c r="N3963">
        <v>8</v>
      </c>
      <c r="O3963">
        <v>7</v>
      </c>
      <c r="P3963">
        <v>1</v>
      </c>
      <c r="Q3963">
        <v>8</v>
      </c>
      <c r="R3963">
        <v>7</v>
      </c>
      <c r="S3963">
        <v>1</v>
      </c>
      <c r="T3963">
        <v>0</v>
      </c>
      <c r="U3963" t="s">
        <v>22942</v>
      </c>
      <c r="V3963">
        <f>Tabla1[[#This Row],[Aboard]]-Tabla1[[#This Row],[Fatalities]]</f>
        <v>0</v>
      </c>
      <c r="W3963" s="50">
        <f>IFERROR(Tabla1[[#This Row],[Fatalities]]/Tabla1[[#This Row],[Aboard]],0)</f>
        <v>1</v>
      </c>
      <c r="X3963" s="51" t="str" cm="1">
        <f t="array" ref="X3963">_xlfn.IFS(Tabla1[[#This Row],[Porcentaje de muertes]]&lt;0.35,"LEVE",AND(Tabla1[[#This Row],[Porcentaje de muertes]]&gt;0.35,Tabla1[[#This Row],[Porcentaje de muertes]]&lt;0.65),"MEDIO",Tabla1[[#This Row],[Porcentaje de muertes]]&gt;0.65,"GRAVE")</f>
        <v>GRAVE</v>
      </c>
    </row>
    <row r="3964" spans="2:24" x14ac:dyDescent="0.3">
      <c r="B3964" s="9">
        <v>3964</v>
      </c>
      <c r="C3964" s="49">
        <v>34951</v>
      </c>
      <c r="D3964" s="9">
        <f>YEAR(Tabla1[[#This Row],[Date]])</f>
        <v>1995</v>
      </c>
      <c r="E3964" s="9" t="str" cm="1">
        <f t="array" ref="E3964">IFERROR(_xlfn.IFS(AND(D3964&lt;1980,D3964&gt;=1970),"70",AND(D3964&lt;1990,D3964&gt;=1980),"80",AND(D3964&lt;2000,D3964&gt;=1990),"90",AND(D3964&lt;2010,D3964&gt;=2000),"00",AND(D3964&lt;=2019,D3964&gt;=2010),"10"),"1908-1970")</f>
        <v>90</v>
      </c>
      <c r="F3964" s="3">
        <v>0.30208333333333331</v>
      </c>
      <c r="G3964" t="s">
        <v>22943</v>
      </c>
      <c r="H3964" t="s">
        <v>9883</v>
      </c>
      <c r="I3964" t="s">
        <v>28931</v>
      </c>
      <c r="J3964" t="s">
        <v>22944</v>
      </c>
      <c r="K3964" t="s">
        <v>20276</v>
      </c>
      <c r="L3964" s="7" t="s">
        <v>22945</v>
      </c>
      <c r="M3964">
        <v>306</v>
      </c>
      <c r="N3964">
        <v>22</v>
      </c>
      <c r="O3964">
        <v>18</v>
      </c>
      <c r="P3964">
        <v>4</v>
      </c>
      <c r="Q3964">
        <v>21</v>
      </c>
      <c r="R3964">
        <v>17</v>
      </c>
      <c r="S3964">
        <v>4</v>
      </c>
      <c r="T3964">
        <v>0</v>
      </c>
      <c r="U3964" t="s">
        <v>22946</v>
      </c>
      <c r="V3964">
        <f>Tabla1[[#This Row],[Aboard]]-Tabla1[[#This Row],[Fatalities]]</f>
        <v>1</v>
      </c>
      <c r="W3964" s="50">
        <f>IFERROR(Tabla1[[#This Row],[Fatalities]]/Tabla1[[#This Row],[Aboard]],0)</f>
        <v>0.95454545454545459</v>
      </c>
      <c r="X3964" s="51" t="str" cm="1">
        <f t="array" ref="X3964">_xlfn.IFS(Tabla1[[#This Row],[Porcentaje de muertes]]&lt;0.35,"LEVE",AND(Tabla1[[#This Row],[Porcentaje de muertes]]&gt;0.35,Tabla1[[#This Row],[Porcentaje de muertes]]&lt;0.65),"MEDIO",Tabla1[[#This Row],[Porcentaje de muertes]]&gt;0.65,"GRAVE")</f>
        <v>GRAVE</v>
      </c>
    </row>
    <row r="3965" spans="2:24" x14ac:dyDescent="0.3">
      <c r="B3965" s="9">
        <v>3965</v>
      </c>
      <c r="C3965" s="49">
        <v>35012</v>
      </c>
      <c r="D3965" s="9">
        <f>YEAR(Tabla1[[#This Row],[Date]])</f>
        <v>1995</v>
      </c>
      <c r="E3965" s="9" t="str" cm="1">
        <f t="array" ref="E3965">IFERROR(_xlfn.IFS(AND(D3965&lt;1980,D3965&gt;=1970),"70",AND(D3965&lt;1990,D3965&gt;=1980),"80",AND(D3965&lt;2000,D3965&gt;=1990),"90",AND(D3965&lt;2010,D3965&gt;=2000),"00",AND(D3965&lt;=2019,D3965&gt;=2010),"10"),"1908-1970")</f>
        <v>90</v>
      </c>
      <c r="F3965" s="3" t="s">
        <v>28931</v>
      </c>
      <c r="G3965" t="s">
        <v>22947</v>
      </c>
      <c r="H3965" t="s">
        <v>11177</v>
      </c>
      <c r="I3965" t="s">
        <v>28931</v>
      </c>
      <c r="J3965" t="s">
        <v>22948</v>
      </c>
      <c r="K3965" t="s">
        <v>22224</v>
      </c>
      <c r="L3965" s="7" t="s">
        <v>22949</v>
      </c>
      <c r="M3965">
        <v>14305</v>
      </c>
      <c r="N3965">
        <v>51</v>
      </c>
      <c r="O3965">
        <v>44</v>
      </c>
      <c r="P3965">
        <v>7</v>
      </c>
      <c r="Q3965">
        <v>3</v>
      </c>
      <c r="R3965">
        <v>3</v>
      </c>
      <c r="S3965">
        <v>0</v>
      </c>
      <c r="T3965">
        <v>0</v>
      </c>
      <c r="U3965" t="s">
        <v>22950</v>
      </c>
      <c r="V3965">
        <f>Tabla1[[#This Row],[Aboard]]-Tabla1[[#This Row],[Fatalities]]</f>
        <v>48</v>
      </c>
      <c r="W3965" s="50">
        <f>IFERROR(Tabla1[[#This Row],[Fatalities]]/Tabla1[[#This Row],[Aboard]],0)</f>
        <v>5.8823529411764705E-2</v>
      </c>
      <c r="X3965" s="51" t="str" cm="1">
        <f t="array" ref="X3965">_xlfn.IFS(Tabla1[[#This Row],[Porcentaje de muertes]]&lt;0.35,"LEVE",AND(Tabla1[[#This Row],[Porcentaje de muertes]]&gt;0.35,Tabla1[[#This Row],[Porcentaje de muertes]]&lt;0.65),"MEDIO",Tabla1[[#This Row],[Porcentaje de muertes]]&gt;0.65,"GRAVE")</f>
        <v>LEVE</v>
      </c>
    </row>
    <row r="3966" spans="2:24" x14ac:dyDescent="0.3">
      <c r="B3966" s="9">
        <v>3966</v>
      </c>
      <c r="C3966" s="49">
        <v>35042</v>
      </c>
      <c r="D3966" s="9">
        <f>YEAR(Tabla1[[#This Row],[Date]])</f>
        <v>1995</v>
      </c>
      <c r="E3966" s="9" t="str" cm="1">
        <f t="array" ref="E3966">IFERROR(_xlfn.IFS(AND(D3966&lt;1980,D3966&gt;=1970),"70",AND(D3966&lt;1990,D3966&gt;=1980),"80",AND(D3966&lt;2000,D3966&gt;=1990),"90",AND(D3966&lt;2010,D3966&gt;=2000),"00",AND(D3966&lt;=2019,D3966&gt;=2010),"10"),"1908-1970")</f>
        <v>90</v>
      </c>
      <c r="F3966" s="3">
        <v>0.30555555555555552</v>
      </c>
      <c r="G3966" t="s">
        <v>22951</v>
      </c>
      <c r="H3966" t="s">
        <v>21918</v>
      </c>
      <c r="I3966" t="s">
        <v>28931</v>
      </c>
      <c r="J3966" t="s">
        <v>22952</v>
      </c>
      <c r="K3966" t="s">
        <v>20770</v>
      </c>
      <c r="L3966" s="7" t="s">
        <v>22953</v>
      </c>
      <c r="M3966">
        <v>3502</v>
      </c>
      <c r="N3966">
        <v>81</v>
      </c>
      <c r="O3966">
        <v>76</v>
      </c>
      <c r="P3966">
        <v>5</v>
      </c>
      <c r="Q3966">
        <v>81</v>
      </c>
      <c r="R3966">
        <v>76</v>
      </c>
      <c r="S3966">
        <v>5</v>
      </c>
      <c r="T3966">
        <v>0</v>
      </c>
      <c r="U3966" t="s">
        <v>22954</v>
      </c>
      <c r="V3966">
        <f>Tabla1[[#This Row],[Aboard]]-Tabla1[[#This Row],[Fatalities]]</f>
        <v>0</v>
      </c>
      <c r="W3966" s="50">
        <f>IFERROR(Tabla1[[#This Row],[Fatalities]]/Tabla1[[#This Row],[Aboard]],0)</f>
        <v>1</v>
      </c>
      <c r="X3966" s="51" t="str" cm="1">
        <f t="array" ref="X3966">_xlfn.IFS(Tabla1[[#This Row],[Porcentaje de muertes]]&lt;0.35,"LEVE",AND(Tabla1[[#This Row],[Porcentaje de muertes]]&gt;0.35,Tabla1[[#This Row],[Porcentaje de muertes]]&lt;0.65),"MEDIO",Tabla1[[#This Row],[Porcentaje de muertes]]&gt;0.65,"GRAVE")</f>
        <v>GRAVE</v>
      </c>
    </row>
    <row r="3967" spans="2:24" x14ac:dyDescent="0.3">
      <c r="B3967" s="9">
        <v>3967</v>
      </c>
      <c r="C3967" s="49">
        <v>34957</v>
      </c>
      <c r="D3967" s="9">
        <f>YEAR(Tabla1[[#This Row],[Date]])</f>
        <v>1995</v>
      </c>
      <c r="E3967" s="9" t="str" cm="1">
        <f t="array" ref="E3967">IFERROR(_xlfn.IFS(AND(D3967&lt;1980,D3967&gt;=1970),"70",AND(D3967&lt;1990,D3967&gt;=1980),"80",AND(D3967&lt;2000,D3967&gt;=1990),"90",AND(D3967&lt;2010,D3967&gt;=2000),"00",AND(D3967&lt;=2019,D3967&gt;=2010),"10"),"1908-1970")</f>
        <v>90</v>
      </c>
      <c r="F3967" s="3">
        <v>0.51527777777777783</v>
      </c>
      <c r="G3967" t="s">
        <v>22955</v>
      </c>
      <c r="H3967" t="s">
        <v>18020</v>
      </c>
      <c r="I3967">
        <v>2133</v>
      </c>
      <c r="J3967" t="s">
        <v>22956</v>
      </c>
      <c r="K3967" t="s">
        <v>22957</v>
      </c>
      <c r="L3967" s="7" t="s">
        <v>22958</v>
      </c>
      <c r="M3967">
        <v>20174</v>
      </c>
      <c r="N3967">
        <v>53</v>
      </c>
      <c r="O3967">
        <v>49</v>
      </c>
      <c r="P3967">
        <v>4</v>
      </c>
      <c r="Q3967">
        <v>34</v>
      </c>
      <c r="R3967">
        <v>32</v>
      </c>
      <c r="S3967">
        <v>2</v>
      </c>
      <c r="T3967">
        <v>0</v>
      </c>
      <c r="U3967" t="s">
        <v>22959</v>
      </c>
      <c r="V3967">
        <f>Tabla1[[#This Row],[Aboard]]-Tabla1[[#This Row],[Fatalities]]</f>
        <v>19</v>
      </c>
      <c r="W3967" s="50">
        <f>IFERROR(Tabla1[[#This Row],[Fatalities]]/Tabla1[[#This Row],[Aboard]],0)</f>
        <v>0.64150943396226412</v>
      </c>
      <c r="X3967" s="51" t="str" cm="1">
        <f t="array" ref="X3967">_xlfn.IFS(Tabla1[[#This Row],[Porcentaje de muertes]]&lt;0.35,"LEVE",AND(Tabla1[[#This Row],[Porcentaje de muertes]]&gt;0.35,Tabla1[[#This Row],[Porcentaje de muertes]]&lt;0.65),"MEDIO",Tabla1[[#This Row],[Porcentaje de muertes]]&gt;0.65,"GRAVE")</f>
        <v>MEDIO</v>
      </c>
    </row>
    <row r="3968" spans="2:24" x14ac:dyDescent="0.3">
      <c r="B3968" s="9">
        <v>3968</v>
      </c>
      <c r="C3968" s="49">
        <v>34963</v>
      </c>
      <c r="D3968" s="9">
        <f>YEAR(Tabla1[[#This Row],[Date]])</f>
        <v>1995</v>
      </c>
      <c r="E3968" s="9" t="str" cm="1">
        <f t="array" ref="E3968">IFERROR(_xlfn.IFS(AND(D3968&lt;1980,D3968&gt;=1970),"70",AND(D3968&lt;1990,D3968&gt;=1980),"80",AND(D3968&lt;2000,D3968&gt;=1990),"90",AND(D3968&lt;2010,D3968&gt;=2000),"00",AND(D3968&lt;=2019,D3968&gt;=2010),"10"),"1908-1970")</f>
        <v>90</v>
      </c>
      <c r="F3968" s="3">
        <v>0.52083333333333337</v>
      </c>
      <c r="G3968" t="s">
        <v>22960</v>
      </c>
      <c r="H3968" t="s">
        <v>21210</v>
      </c>
      <c r="I3968" t="s">
        <v>28931</v>
      </c>
      <c r="J3968" t="s">
        <v>22961</v>
      </c>
      <c r="K3968" t="s">
        <v>17266</v>
      </c>
      <c r="L3968" s="7" t="s">
        <v>22962</v>
      </c>
      <c r="M3968">
        <v>573101103</v>
      </c>
      <c r="N3968">
        <v>43</v>
      </c>
      <c r="O3968">
        <v>37</v>
      </c>
      <c r="P3968">
        <v>6</v>
      </c>
      <c r="Q3968">
        <v>42</v>
      </c>
      <c r="R3968">
        <v>36</v>
      </c>
      <c r="S3968">
        <v>6</v>
      </c>
      <c r="T3968">
        <v>0</v>
      </c>
      <c r="U3968" t="s">
        <v>22963</v>
      </c>
      <c r="V3968">
        <f>Tabla1[[#This Row],[Aboard]]-Tabla1[[#This Row],[Fatalities]]</f>
        <v>1</v>
      </c>
      <c r="W3968" s="50">
        <f>IFERROR(Tabla1[[#This Row],[Fatalities]]/Tabla1[[#This Row],[Aboard]],0)</f>
        <v>0.97674418604651159</v>
      </c>
      <c r="X3968" s="51" t="str" cm="1">
        <f t="array" ref="X3968">_xlfn.IFS(Tabla1[[#This Row],[Porcentaje de muertes]]&lt;0.35,"LEVE",AND(Tabla1[[#This Row],[Porcentaje de muertes]]&gt;0.35,Tabla1[[#This Row],[Porcentaje de muertes]]&lt;0.65),"MEDIO",Tabla1[[#This Row],[Porcentaje de muertes]]&gt;0.65,"GRAVE")</f>
        <v>GRAVE</v>
      </c>
    </row>
    <row r="3969" spans="2:24" x14ac:dyDescent="0.3">
      <c r="B3969" s="9">
        <v>3969</v>
      </c>
      <c r="C3969" s="49">
        <v>34964</v>
      </c>
      <c r="D3969" s="9">
        <f>YEAR(Tabla1[[#This Row],[Date]])</f>
        <v>1995</v>
      </c>
      <c r="E3969" s="9" t="str" cm="1">
        <f t="array" ref="E3969">IFERROR(_xlfn.IFS(AND(D3969&lt;1980,D3969&gt;=1970),"70",AND(D3969&lt;1990,D3969&gt;=1980),"80",AND(D3969&lt;2000,D3969&gt;=1990),"90",AND(D3969&lt;2010,D3969&gt;=2000),"00",AND(D3969&lt;=2019,D3969&gt;=2010),"10"),"1908-1970")</f>
        <v>90</v>
      </c>
      <c r="F3969" s="3">
        <v>0.32291666666666669</v>
      </c>
      <c r="G3969" t="s">
        <v>16022</v>
      </c>
      <c r="H3969" t="s">
        <v>7987</v>
      </c>
      <c r="I3969">
        <v>27</v>
      </c>
      <c r="J3969" t="s">
        <v>22964</v>
      </c>
      <c r="K3969" t="s">
        <v>22965</v>
      </c>
      <c r="L3969" s="7" t="s">
        <v>22966</v>
      </c>
      <c r="M3969" t="s">
        <v>22967</v>
      </c>
      <c r="N3969">
        <v>24</v>
      </c>
      <c r="O3969">
        <v>20</v>
      </c>
      <c r="P3969">
        <v>4</v>
      </c>
      <c r="Q3969">
        <v>24</v>
      </c>
      <c r="R3969">
        <v>20</v>
      </c>
      <c r="S3969">
        <v>4</v>
      </c>
      <c r="T3969">
        <v>0</v>
      </c>
      <c r="U3969" t="s">
        <v>22968</v>
      </c>
      <c r="V3969">
        <f>Tabla1[[#This Row],[Aboard]]-Tabla1[[#This Row],[Fatalities]]</f>
        <v>0</v>
      </c>
      <c r="W3969" s="50">
        <f>IFERROR(Tabla1[[#This Row],[Fatalities]]/Tabla1[[#This Row],[Aboard]],0)</f>
        <v>1</v>
      </c>
      <c r="X3969" s="51" t="str" cm="1">
        <f t="array" ref="X3969">_xlfn.IFS(Tabla1[[#This Row],[Porcentaje de muertes]]&lt;0.35,"LEVE",AND(Tabla1[[#This Row],[Porcentaje de muertes]]&gt;0.35,Tabla1[[#This Row],[Porcentaje de muertes]]&lt;0.65),"MEDIO",Tabla1[[#This Row],[Porcentaje de muertes]]&gt;0.65,"GRAVE")</f>
        <v>GRAVE</v>
      </c>
    </row>
    <row r="3970" spans="2:24" x14ac:dyDescent="0.3">
      <c r="B3970" s="9">
        <v>3970</v>
      </c>
      <c r="C3970" s="49">
        <v>34966</v>
      </c>
      <c r="D3970" s="9">
        <f>YEAR(Tabla1[[#This Row],[Date]])</f>
        <v>1995</v>
      </c>
      <c r="E3970" s="9" t="str" cm="1">
        <f t="array" ref="E3970">IFERROR(_xlfn.IFS(AND(D3970&lt;1980,D3970&gt;=1970),"70",AND(D3970&lt;1990,D3970&gt;=1980),"80",AND(D3970&lt;2000,D3970&gt;=1990),"90",AND(D3970&lt;2010,D3970&gt;=2000),"00",AND(D3970&lt;=2019,D3970&gt;=2010),"10"),"1908-1970")</f>
        <v>90</v>
      </c>
      <c r="F3970" s="3" t="s">
        <v>28931</v>
      </c>
      <c r="G3970" t="s">
        <v>22969</v>
      </c>
      <c r="H3970" t="s">
        <v>22970</v>
      </c>
      <c r="I3970" t="s">
        <v>28931</v>
      </c>
      <c r="J3970" t="s">
        <v>22971</v>
      </c>
      <c r="K3970" t="s">
        <v>21449</v>
      </c>
      <c r="L3970" s="7" t="s">
        <v>22972</v>
      </c>
      <c r="M3970">
        <v>98522942</v>
      </c>
      <c r="N3970">
        <v>15</v>
      </c>
      <c r="O3970">
        <v>10</v>
      </c>
      <c r="P3970">
        <v>5</v>
      </c>
      <c r="Q3970">
        <v>15</v>
      </c>
      <c r="R3970">
        <v>10</v>
      </c>
      <c r="S3970">
        <v>5</v>
      </c>
      <c r="T3970">
        <v>0</v>
      </c>
      <c r="U3970" t="s">
        <v>22973</v>
      </c>
      <c r="V3970">
        <f>Tabla1[[#This Row],[Aboard]]-Tabla1[[#This Row],[Fatalities]]</f>
        <v>0</v>
      </c>
      <c r="W3970" s="50">
        <f>IFERROR(Tabla1[[#This Row],[Fatalities]]/Tabla1[[#This Row],[Aboard]],0)</f>
        <v>1</v>
      </c>
      <c r="X3970" s="51" t="str" cm="1">
        <f t="array" ref="X3970">_xlfn.IFS(Tabla1[[#This Row],[Porcentaje de muertes]]&lt;0.35,"LEVE",AND(Tabla1[[#This Row],[Porcentaje de muertes]]&gt;0.35,Tabla1[[#This Row],[Porcentaje de muertes]]&lt;0.65),"MEDIO",Tabla1[[#This Row],[Porcentaje de muertes]]&gt;0.65,"GRAVE")</f>
        <v>GRAVE</v>
      </c>
    </row>
    <row r="3971" spans="2:24" x14ac:dyDescent="0.3">
      <c r="B3971" s="9">
        <v>3971</v>
      </c>
      <c r="C3971" s="49">
        <v>34969</v>
      </c>
      <c r="D3971" s="9">
        <f>YEAR(Tabla1[[#This Row],[Date]])</f>
        <v>1995</v>
      </c>
      <c r="E3971" s="9" t="str" cm="1">
        <f t="array" ref="E3971">IFERROR(_xlfn.IFS(AND(D3971&lt;1980,D3971&gt;=1970),"70",AND(D3971&lt;1990,D3971&gt;=1980),"80",AND(D3971&lt;2000,D3971&gt;=1990),"90",AND(D3971&lt;2010,D3971&gt;=2000),"00",AND(D3971&lt;=2019,D3971&gt;=2010),"10"),"1908-1970")</f>
        <v>90</v>
      </c>
      <c r="F3971" s="3">
        <v>0.79861111111111116</v>
      </c>
      <c r="G3971" t="s">
        <v>22974</v>
      </c>
      <c r="H3971" t="s">
        <v>22975</v>
      </c>
      <c r="I3971" t="s">
        <v>8152</v>
      </c>
      <c r="J3971" t="s">
        <v>22976</v>
      </c>
      <c r="K3971" t="s">
        <v>22977</v>
      </c>
      <c r="L3971" s="7" t="s">
        <v>22978</v>
      </c>
      <c r="M3971">
        <v>38</v>
      </c>
      <c r="N3971">
        <v>10</v>
      </c>
      <c r="O3971">
        <v>9</v>
      </c>
      <c r="P3971">
        <v>1</v>
      </c>
      <c r="Q3971">
        <v>8</v>
      </c>
      <c r="R3971">
        <v>7</v>
      </c>
      <c r="S3971">
        <v>1</v>
      </c>
      <c r="T3971">
        <v>0</v>
      </c>
      <c r="U3971" t="s">
        <v>22979</v>
      </c>
      <c r="V3971">
        <f>Tabla1[[#This Row],[Aboard]]-Tabla1[[#This Row],[Fatalities]]</f>
        <v>2</v>
      </c>
      <c r="W3971" s="50">
        <f>IFERROR(Tabla1[[#This Row],[Fatalities]]/Tabla1[[#This Row],[Aboard]],0)</f>
        <v>0.8</v>
      </c>
      <c r="X3971" s="51" t="str" cm="1">
        <f t="array" ref="X3971">_xlfn.IFS(Tabla1[[#This Row],[Porcentaje de muertes]]&lt;0.35,"LEVE",AND(Tabla1[[#This Row],[Porcentaje de muertes]]&gt;0.35,Tabla1[[#This Row],[Porcentaje de muertes]]&lt;0.65),"MEDIO",Tabla1[[#This Row],[Porcentaje de muertes]]&gt;0.65,"GRAVE")</f>
        <v>GRAVE</v>
      </c>
    </row>
    <row r="3972" spans="2:24" x14ac:dyDescent="0.3">
      <c r="B3972" s="9">
        <v>3972</v>
      </c>
      <c r="C3972" s="49">
        <v>34768</v>
      </c>
      <c r="D3972" s="9">
        <f>YEAR(Tabla1[[#This Row],[Date]])</f>
        <v>1995</v>
      </c>
      <c r="E3972" s="9" t="str" cm="1">
        <f t="array" ref="E3972">IFERROR(_xlfn.IFS(AND(D3972&lt;1980,D3972&gt;=1970),"70",AND(D3972&lt;1990,D3972&gt;=1980),"80",AND(D3972&lt;2000,D3972&gt;=1990),"90",AND(D3972&lt;2010,D3972&gt;=2000),"00",AND(D3972&lt;=2019,D3972&gt;=2010),"10"),"1908-1970")</f>
        <v>90</v>
      </c>
      <c r="F3972" s="3">
        <v>0.33333333333333331</v>
      </c>
      <c r="G3972" t="s">
        <v>22980</v>
      </c>
      <c r="H3972" t="s">
        <v>22981</v>
      </c>
      <c r="I3972">
        <v>1994</v>
      </c>
      <c r="J3972" t="s">
        <v>22982</v>
      </c>
      <c r="K3972" t="s">
        <v>22983</v>
      </c>
      <c r="L3972" s="7" t="s">
        <v>22984</v>
      </c>
      <c r="M3972" t="s">
        <v>22985</v>
      </c>
      <c r="N3972">
        <v>14</v>
      </c>
      <c r="O3972">
        <v>12</v>
      </c>
      <c r="P3972">
        <v>2</v>
      </c>
      <c r="Q3972">
        <v>1</v>
      </c>
      <c r="R3972">
        <v>0</v>
      </c>
      <c r="S3972">
        <v>1</v>
      </c>
      <c r="T3972">
        <v>0</v>
      </c>
      <c r="U3972" t="s">
        <v>22986</v>
      </c>
      <c r="V3972">
        <f>Tabla1[[#This Row],[Aboard]]-Tabla1[[#This Row],[Fatalities]]</f>
        <v>13</v>
      </c>
      <c r="W3972" s="50">
        <f>IFERROR(Tabla1[[#This Row],[Fatalities]]/Tabla1[[#This Row],[Aboard]],0)</f>
        <v>7.1428571428571425E-2</v>
      </c>
      <c r="X3972" s="51" t="str" cm="1">
        <f t="array" ref="X3972">_xlfn.IFS(Tabla1[[#This Row],[Porcentaje de muertes]]&lt;0.35,"LEVE",AND(Tabla1[[#This Row],[Porcentaje de muertes]]&gt;0.35,Tabla1[[#This Row],[Porcentaje de muertes]]&lt;0.65),"MEDIO",Tabla1[[#This Row],[Porcentaje de muertes]]&gt;0.65,"GRAVE")</f>
        <v>LEVE</v>
      </c>
    </row>
    <row r="3973" spans="2:24" x14ac:dyDescent="0.3">
      <c r="B3973" s="9">
        <v>3973</v>
      </c>
      <c r="C3973" s="49">
        <v>34799</v>
      </c>
      <c r="D3973" s="9">
        <f>YEAR(Tabla1[[#This Row],[Date]])</f>
        <v>1995</v>
      </c>
      <c r="E3973" s="9" t="str" cm="1">
        <f t="array" ref="E3973">IFERROR(_xlfn.IFS(AND(D3973&lt;1980,D3973&gt;=1970),"70",AND(D3973&lt;1990,D3973&gt;=1980),"80",AND(D3973&lt;2000,D3973&gt;=1990),"90",AND(D3973&lt;2010,D3973&gt;=2000),"00",AND(D3973&lt;=2019,D3973&gt;=2010),"10"),"1908-1970")</f>
        <v>90</v>
      </c>
      <c r="F3973" s="3" t="s">
        <v>28931</v>
      </c>
      <c r="G3973" t="s">
        <v>22987</v>
      </c>
      <c r="H3973" t="s">
        <v>22988</v>
      </c>
      <c r="I3973" t="s">
        <v>28931</v>
      </c>
      <c r="J3973" t="s">
        <v>28931</v>
      </c>
      <c r="K3973" t="s">
        <v>22989</v>
      </c>
      <c r="L3973" s="7" t="s">
        <v>22990</v>
      </c>
      <c r="M3973">
        <v>95489</v>
      </c>
      <c r="N3973">
        <v>15</v>
      </c>
      <c r="O3973">
        <v>12</v>
      </c>
      <c r="P3973">
        <v>3</v>
      </c>
      <c r="Q3973">
        <v>15</v>
      </c>
      <c r="R3973">
        <v>12</v>
      </c>
      <c r="S3973">
        <v>3</v>
      </c>
      <c r="T3973">
        <v>0</v>
      </c>
      <c r="U3973" t="s">
        <v>22991</v>
      </c>
      <c r="V3973">
        <f>Tabla1[[#This Row],[Aboard]]-Tabla1[[#This Row],[Fatalities]]</f>
        <v>0</v>
      </c>
      <c r="W3973" s="50">
        <f>IFERROR(Tabla1[[#This Row],[Fatalities]]/Tabla1[[#This Row],[Aboard]],0)</f>
        <v>1</v>
      </c>
      <c r="X3973" s="51" t="str" cm="1">
        <f t="array" ref="X3973">_xlfn.IFS(Tabla1[[#This Row],[Porcentaje de muertes]]&lt;0.35,"LEVE",AND(Tabla1[[#This Row],[Porcentaje de muertes]]&gt;0.35,Tabla1[[#This Row],[Porcentaje de muertes]]&lt;0.65),"MEDIO",Tabla1[[#This Row],[Porcentaje de muertes]]&gt;0.65,"GRAVE")</f>
        <v>GRAVE</v>
      </c>
    </row>
    <row r="3974" spans="2:24" x14ac:dyDescent="0.3">
      <c r="B3974" s="9">
        <v>3974</v>
      </c>
      <c r="C3974" s="49">
        <v>34953</v>
      </c>
      <c r="D3974" s="9">
        <f>YEAR(Tabla1[[#This Row],[Date]])</f>
        <v>1995</v>
      </c>
      <c r="E3974" s="9" t="str" cm="1">
        <f t="array" ref="E3974">IFERROR(_xlfn.IFS(AND(D3974&lt;1980,D3974&gt;=1970),"70",AND(D3974&lt;1990,D3974&gt;=1980),"80",AND(D3974&lt;2000,D3974&gt;=1990),"90",AND(D3974&lt;2010,D3974&gt;=2000),"00",AND(D3974&lt;=2019,D3974&gt;=2010),"10"),"1908-1970")</f>
        <v>90</v>
      </c>
      <c r="F3974" s="3">
        <v>0.875</v>
      </c>
      <c r="G3974" t="s">
        <v>22992</v>
      </c>
      <c r="H3974" t="s">
        <v>13144</v>
      </c>
      <c r="I3974" t="s">
        <v>28931</v>
      </c>
      <c r="J3974" t="s">
        <v>22993</v>
      </c>
      <c r="K3974" t="s">
        <v>16099</v>
      </c>
      <c r="L3974" s="7" t="s">
        <v>17340</v>
      </c>
      <c r="M3974">
        <v>10619</v>
      </c>
      <c r="N3974">
        <v>53</v>
      </c>
      <c r="O3974">
        <v>48</v>
      </c>
      <c r="P3974">
        <v>5</v>
      </c>
      <c r="Q3974">
        <v>53</v>
      </c>
      <c r="R3974">
        <v>48</v>
      </c>
      <c r="S3974">
        <v>5</v>
      </c>
      <c r="T3974">
        <v>0</v>
      </c>
      <c r="U3974" t="s">
        <v>22994</v>
      </c>
      <c r="V3974">
        <f>Tabla1[[#This Row],[Aboard]]-Tabla1[[#This Row],[Fatalities]]</f>
        <v>0</v>
      </c>
      <c r="W3974" s="50">
        <f>IFERROR(Tabla1[[#This Row],[Fatalities]]/Tabla1[[#This Row],[Aboard]],0)</f>
        <v>1</v>
      </c>
      <c r="X3974" s="51" t="str" cm="1">
        <f t="array" ref="X3974">_xlfn.IFS(Tabla1[[#This Row],[Porcentaje de muertes]]&lt;0.35,"LEVE",AND(Tabla1[[#This Row],[Porcentaje de muertes]]&gt;0.35,Tabla1[[#This Row],[Porcentaje de muertes]]&lt;0.65),"MEDIO",Tabla1[[#This Row],[Porcentaje de muertes]]&gt;0.65,"GRAVE")</f>
        <v>GRAVE</v>
      </c>
    </row>
    <row r="3975" spans="2:24" x14ac:dyDescent="0.3">
      <c r="B3975" s="9">
        <v>3975</v>
      </c>
      <c r="C3975" s="49">
        <v>35016</v>
      </c>
      <c r="D3975" s="9">
        <f>YEAR(Tabla1[[#This Row],[Date]])</f>
        <v>1995</v>
      </c>
      <c r="E3975" s="9" t="str" cm="1">
        <f t="array" ref="E3975">IFERROR(_xlfn.IFS(AND(D3975&lt;1980,D3975&gt;=1970),"70",AND(D3975&lt;1990,D3975&gt;=1980),"80",AND(D3975&lt;2000,D3975&gt;=1990),"90",AND(D3975&lt;2010,D3975&gt;=2000),"00",AND(D3975&lt;=2019,D3975&gt;=2010),"10"),"1908-1970")</f>
        <v>90</v>
      </c>
      <c r="F3975" s="3">
        <v>0.37152777777777773</v>
      </c>
      <c r="G3975" t="s">
        <v>22995</v>
      </c>
      <c r="H3975" t="s">
        <v>15690</v>
      </c>
      <c r="I3975">
        <v>357</v>
      </c>
      <c r="J3975" t="s">
        <v>22996</v>
      </c>
      <c r="K3975" t="s">
        <v>22997</v>
      </c>
      <c r="L3975" s="7" t="s">
        <v>22998</v>
      </c>
      <c r="M3975">
        <v>22985</v>
      </c>
      <c r="N3975">
        <v>137</v>
      </c>
      <c r="O3975">
        <v>129</v>
      </c>
      <c r="P3975">
        <v>8</v>
      </c>
      <c r="Q3975">
        <v>9</v>
      </c>
      <c r="R3975">
        <v>9</v>
      </c>
      <c r="S3975">
        <v>0</v>
      </c>
      <c r="T3975">
        <v>0</v>
      </c>
      <c r="U3975" t="s">
        <v>22999</v>
      </c>
      <c r="V3975">
        <f>Tabla1[[#This Row],[Aboard]]-Tabla1[[#This Row],[Fatalities]]</f>
        <v>128</v>
      </c>
      <c r="W3975" s="50">
        <f>IFERROR(Tabla1[[#This Row],[Fatalities]]/Tabla1[[#This Row],[Aboard]],0)</f>
        <v>6.569343065693431E-2</v>
      </c>
      <c r="X3975" s="51" t="str" cm="1">
        <f t="array" ref="X3975">_xlfn.IFS(Tabla1[[#This Row],[Porcentaje de muertes]]&lt;0.35,"LEVE",AND(Tabla1[[#This Row],[Porcentaje de muertes]]&gt;0.35,Tabla1[[#This Row],[Porcentaje de muertes]]&lt;0.65),"MEDIO",Tabla1[[#This Row],[Porcentaje de muertes]]&gt;0.65,"GRAVE")</f>
        <v>LEVE</v>
      </c>
    </row>
    <row r="3976" spans="2:24" x14ac:dyDescent="0.3">
      <c r="B3976" s="9">
        <v>3976</v>
      </c>
      <c r="C3976" s="49">
        <v>35025</v>
      </c>
      <c r="D3976" s="9">
        <f>YEAR(Tabla1[[#This Row],[Date]])</f>
        <v>1995</v>
      </c>
      <c r="E3976" s="9" t="str" cm="1">
        <f t="array" ref="E3976">IFERROR(_xlfn.IFS(AND(D3976&lt;1980,D3976&gt;=1970),"70",AND(D3976&lt;1990,D3976&gt;=1980),"80",AND(D3976&lt;2000,D3976&gt;=1990),"90",AND(D3976&lt;2010,D3976&gt;=2000),"00",AND(D3976&lt;=2019,D3976&gt;=2010),"10"),"1908-1970")</f>
        <v>90</v>
      </c>
      <c r="F3976" s="3">
        <v>0.79166666666666663</v>
      </c>
      <c r="G3976" t="s">
        <v>23000</v>
      </c>
      <c r="H3976" t="s">
        <v>21918</v>
      </c>
      <c r="I3976" t="s">
        <v>28931</v>
      </c>
      <c r="J3976" t="s">
        <v>23001</v>
      </c>
      <c r="K3976" t="s">
        <v>20770</v>
      </c>
      <c r="L3976" s="7" t="s">
        <v>23002</v>
      </c>
      <c r="M3976">
        <v>3503</v>
      </c>
      <c r="N3976">
        <v>63</v>
      </c>
      <c r="O3976">
        <v>57</v>
      </c>
      <c r="P3976">
        <v>6</v>
      </c>
      <c r="Q3976">
        <v>63</v>
      </c>
      <c r="R3976">
        <v>57</v>
      </c>
      <c r="S3976">
        <v>6</v>
      </c>
      <c r="T3976">
        <v>0</v>
      </c>
      <c r="U3976" t="s">
        <v>23003</v>
      </c>
      <c r="V3976">
        <f>Tabla1[[#This Row],[Aboard]]-Tabla1[[#This Row],[Fatalities]]</f>
        <v>0</v>
      </c>
      <c r="W3976" s="50">
        <f>IFERROR(Tabla1[[#This Row],[Fatalities]]/Tabla1[[#This Row],[Aboard]],0)</f>
        <v>1</v>
      </c>
      <c r="X3976" s="51" t="str" cm="1">
        <f t="array" ref="X3976">_xlfn.IFS(Tabla1[[#This Row],[Porcentaje de muertes]]&lt;0.35,"LEVE",AND(Tabla1[[#This Row],[Porcentaje de muertes]]&gt;0.35,Tabla1[[#This Row],[Porcentaje de muertes]]&lt;0.65),"MEDIO",Tabla1[[#This Row],[Porcentaje de muertes]]&gt;0.65,"GRAVE")</f>
        <v>GRAVE</v>
      </c>
    </row>
    <row r="3977" spans="2:24" x14ac:dyDescent="0.3">
      <c r="B3977" s="9">
        <v>3977</v>
      </c>
      <c r="C3977" s="49">
        <v>35032</v>
      </c>
      <c r="D3977" s="9">
        <f>YEAR(Tabla1[[#This Row],[Date]])</f>
        <v>1995</v>
      </c>
      <c r="E3977" s="9" t="str" cm="1">
        <f t="array" ref="E3977">IFERROR(_xlfn.IFS(AND(D3977&lt;1980,D3977&gt;=1970),"70",AND(D3977&lt;1990,D3977&gt;=1980),"80",AND(D3977&lt;2000,D3977&gt;=1990),"90",AND(D3977&lt;2010,D3977&gt;=2000),"00",AND(D3977&lt;=2019,D3977&gt;=2010),"10"),"1908-1970")</f>
        <v>90</v>
      </c>
      <c r="F3977" s="3">
        <v>0.42708333333333331</v>
      </c>
      <c r="G3977" t="s">
        <v>23004</v>
      </c>
      <c r="H3977" t="s">
        <v>17624</v>
      </c>
      <c r="I3977" t="s">
        <v>28931</v>
      </c>
      <c r="J3977" t="s">
        <v>28931</v>
      </c>
      <c r="K3977" t="s">
        <v>23005</v>
      </c>
      <c r="L3977" s="7" t="s">
        <v>23006</v>
      </c>
      <c r="M3977">
        <v>33171</v>
      </c>
      <c r="N3977">
        <v>10</v>
      </c>
      <c r="O3977">
        <v>8</v>
      </c>
      <c r="P3977">
        <v>2</v>
      </c>
      <c r="Q3977">
        <v>10</v>
      </c>
      <c r="R3977">
        <v>8</v>
      </c>
      <c r="S3977">
        <v>2</v>
      </c>
      <c r="T3977">
        <v>0</v>
      </c>
      <c r="U3977" t="s">
        <v>23007</v>
      </c>
      <c r="V3977">
        <f>Tabla1[[#This Row],[Aboard]]-Tabla1[[#This Row],[Fatalities]]</f>
        <v>0</v>
      </c>
      <c r="W3977" s="50">
        <f>IFERROR(Tabla1[[#This Row],[Fatalities]]/Tabla1[[#This Row],[Aboard]],0)</f>
        <v>1</v>
      </c>
      <c r="X3977" s="51" t="str" cm="1">
        <f t="array" ref="X3977">_xlfn.IFS(Tabla1[[#This Row],[Porcentaje de muertes]]&lt;0.35,"LEVE",AND(Tabla1[[#This Row],[Porcentaje de muertes]]&gt;0.35,Tabla1[[#This Row],[Porcentaje de muertes]]&lt;0.65),"MEDIO",Tabla1[[#This Row],[Porcentaje de muertes]]&gt;0.65,"GRAVE")</f>
        <v>GRAVE</v>
      </c>
    </row>
    <row r="3978" spans="2:24" x14ac:dyDescent="0.3">
      <c r="B3978" s="9">
        <v>3978</v>
      </c>
      <c r="C3978" s="49">
        <v>35033</v>
      </c>
      <c r="D3978" s="9">
        <f>YEAR(Tabla1[[#This Row],[Date]])</f>
        <v>1995</v>
      </c>
      <c r="E3978" s="9" t="str" cm="1">
        <f t="array" ref="E3978">IFERROR(_xlfn.IFS(AND(D3978&lt;1980,D3978&gt;=1970),"70",AND(D3978&lt;1990,D3978&gt;=1980),"80",AND(D3978&lt;2000,D3978&gt;=1990),"90",AND(D3978&lt;2010,D3978&gt;=2000),"00",AND(D3978&lt;=2019,D3978&gt;=2010),"10"),"1908-1970")</f>
        <v>90</v>
      </c>
      <c r="F3978" s="3">
        <v>0.79861111111111116</v>
      </c>
      <c r="G3978" t="s">
        <v>23008</v>
      </c>
      <c r="H3978" t="s">
        <v>23009</v>
      </c>
      <c r="I3978" t="s">
        <v>28931</v>
      </c>
      <c r="J3978" t="s">
        <v>28931</v>
      </c>
      <c r="K3978" t="s">
        <v>23010</v>
      </c>
      <c r="L3978" s="7" t="s">
        <v>23011</v>
      </c>
      <c r="M3978" t="s">
        <v>23012</v>
      </c>
      <c r="N3978">
        <v>6</v>
      </c>
      <c r="O3978">
        <v>0</v>
      </c>
      <c r="P3978">
        <v>6</v>
      </c>
      <c r="Q3978">
        <v>2</v>
      </c>
      <c r="R3978">
        <v>0</v>
      </c>
      <c r="S3978">
        <v>2</v>
      </c>
      <c r="T3978">
        <v>0</v>
      </c>
      <c r="U3978" t="s">
        <v>23013</v>
      </c>
      <c r="V3978">
        <f>Tabla1[[#This Row],[Aboard]]-Tabla1[[#This Row],[Fatalities]]</f>
        <v>4</v>
      </c>
      <c r="W3978" s="50">
        <f>IFERROR(Tabla1[[#This Row],[Fatalities]]/Tabla1[[#This Row],[Aboard]],0)</f>
        <v>0.33333333333333331</v>
      </c>
      <c r="X3978" s="51" t="str" cm="1">
        <f t="array" ref="X3978">_xlfn.IFS(Tabla1[[#This Row],[Porcentaje de muertes]]&lt;0.35,"LEVE",AND(Tabla1[[#This Row],[Porcentaje de muertes]]&gt;0.35,Tabla1[[#This Row],[Porcentaje de muertes]]&lt;0.65),"MEDIO",Tabla1[[#This Row],[Porcentaje de muertes]]&gt;0.65,"GRAVE")</f>
        <v>LEVE</v>
      </c>
    </row>
    <row r="3979" spans="2:24" x14ac:dyDescent="0.3">
      <c r="B3979" s="9">
        <v>3979</v>
      </c>
      <c r="C3979" s="49">
        <v>34770</v>
      </c>
      <c r="D3979" s="9">
        <f>YEAR(Tabla1[[#This Row],[Date]])</f>
        <v>1995</v>
      </c>
      <c r="E3979" s="9" t="str" cm="1">
        <f t="array" ref="E3979">IFERROR(_xlfn.IFS(AND(D3979&lt;1980,D3979&gt;=1970),"70",AND(D3979&lt;1990,D3979&gt;=1980),"80",AND(D3979&lt;2000,D3979&gt;=1990),"90",AND(D3979&lt;2010,D3979&gt;=2000),"00",AND(D3979&lt;=2019,D3979&gt;=2010),"10"),"1908-1970")</f>
        <v>90</v>
      </c>
      <c r="F3979" s="3">
        <v>0.9472222222222223</v>
      </c>
      <c r="G3979" t="s">
        <v>23014</v>
      </c>
      <c r="H3979" t="s">
        <v>19003</v>
      </c>
      <c r="I3979">
        <v>3701</v>
      </c>
      <c r="J3979" t="s">
        <v>23015</v>
      </c>
      <c r="K3979" t="s">
        <v>23016</v>
      </c>
      <c r="L3979" s="7" t="s">
        <v>23017</v>
      </c>
      <c r="M3979" t="s">
        <v>23018</v>
      </c>
      <c r="N3979">
        <v>78</v>
      </c>
      <c r="O3979">
        <v>72</v>
      </c>
      <c r="P3979">
        <v>6</v>
      </c>
      <c r="Q3979">
        <v>72</v>
      </c>
      <c r="R3979">
        <v>68</v>
      </c>
      <c r="S3979">
        <v>4</v>
      </c>
      <c r="T3979">
        <v>0</v>
      </c>
      <c r="U3979" t="s">
        <v>23019</v>
      </c>
      <c r="V3979">
        <f>Tabla1[[#This Row],[Aboard]]-Tabla1[[#This Row],[Fatalities]]</f>
        <v>6</v>
      </c>
      <c r="W3979" s="50">
        <f>IFERROR(Tabla1[[#This Row],[Fatalities]]/Tabla1[[#This Row],[Aboard]],0)</f>
        <v>0.92307692307692313</v>
      </c>
      <c r="X3979" s="51" t="str" cm="1">
        <f t="array" ref="X3979">_xlfn.IFS(Tabla1[[#This Row],[Porcentaje de muertes]]&lt;0.35,"LEVE",AND(Tabla1[[#This Row],[Porcentaje de muertes]]&gt;0.35,Tabla1[[#This Row],[Porcentaje de muertes]]&lt;0.65),"MEDIO",Tabla1[[#This Row],[Porcentaje de muertes]]&gt;0.65,"GRAVE")</f>
        <v>GRAVE</v>
      </c>
    </row>
    <row r="3980" spans="2:24" x14ac:dyDescent="0.3">
      <c r="B3980" s="9">
        <v>3980</v>
      </c>
      <c r="C3980" s="49">
        <v>34831</v>
      </c>
      <c r="D3980" s="9">
        <f>YEAR(Tabla1[[#This Row],[Date]])</f>
        <v>1995</v>
      </c>
      <c r="E3980" s="9" t="str" cm="1">
        <f t="array" ref="E3980">IFERROR(_xlfn.IFS(AND(D3980&lt;1980,D3980&gt;=1970),"70",AND(D3980&lt;1990,D3980&gt;=1980),"80",AND(D3980&lt;2000,D3980&gt;=1990),"90",AND(D3980&lt;2010,D3980&gt;=2000),"00",AND(D3980&lt;=2019,D3980&gt;=2010),"10"),"1908-1970")</f>
        <v>90</v>
      </c>
      <c r="F3980" s="3">
        <v>0.74652777777777779</v>
      </c>
      <c r="G3980" t="s">
        <v>23020</v>
      </c>
      <c r="H3980" t="s">
        <v>23021</v>
      </c>
      <c r="I3980">
        <v>56</v>
      </c>
      <c r="J3980" t="s">
        <v>23022</v>
      </c>
      <c r="K3980" t="s">
        <v>23023</v>
      </c>
      <c r="L3980" s="7" t="s">
        <v>23024</v>
      </c>
      <c r="M3980">
        <v>63383</v>
      </c>
      <c r="N3980">
        <v>82</v>
      </c>
      <c r="O3980">
        <v>76</v>
      </c>
      <c r="P3980">
        <v>6</v>
      </c>
      <c r="Q3980">
        <v>54</v>
      </c>
      <c r="R3980">
        <v>52</v>
      </c>
      <c r="S3980">
        <v>2</v>
      </c>
      <c r="T3980">
        <v>0</v>
      </c>
      <c r="U3980" t="s">
        <v>23025</v>
      </c>
      <c r="V3980">
        <f>Tabla1[[#This Row],[Aboard]]-Tabla1[[#This Row],[Fatalities]]</f>
        <v>28</v>
      </c>
      <c r="W3980" s="50">
        <f>IFERROR(Tabla1[[#This Row],[Fatalities]]/Tabla1[[#This Row],[Aboard]],0)</f>
        <v>0.65853658536585369</v>
      </c>
      <c r="X3980" s="51" t="str" cm="1">
        <f t="array" ref="X3980">_xlfn.IFS(Tabla1[[#This Row],[Porcentaje de muertes]]&lt;0.35,"LEVE",AND(Tabla1[[#This Row],[Porcentaje de muertes]]&gt;0.35,Tabla1[[#This Row],[Porcentaje de muertes]]&lt;0.65),"MEDIO",Tabla1[[#This Row],[Porcentaje de muertes]]&gt;0.65,"GRAVE")</f>
        <v>GRAVE</v>
      </c>
    </row>
    <row r="3981" spans="2:24" x14ac:dyDescent="0.3">
      <c r="B3981" s="9">
        <v>3981</v>
      </c>
      <c r="C3981" s="49">
        <v>34892</v>
      </c>
      <c r="D3981" s="9">
        <f>YEAR(Tabla1[[#This Row],[Date]])</f>
        <v>1995</v>
      </c>
      <c r="E3981" s="9" t="str" cm="1">
        <f t="array" ref="E3981">IFERROR(_xlfn.IFS(AND(D3981&lt;1980,D3981&gt;=1970),"70",AND(D3981&lt;1990,D3981&gt;=1980),"80",AND(D3981&lt;2000,D3981&gt;=1990),"90",AND(D3981&lt;2010,D3981&gt;=2000),"00",AND(D3981&lt;=2019,D3981&gt;=2010),"10"),"1908-1970")</f>
        <v>90</v>
      </c>
      <c r="F3981" s="3">
        <v>0.22222222222222221</v>
      </c>
      <c r="G3981" t="s">
        <v>23026</v>
      </c>
      <c r="H3981" t="s">
        <v>23027</v>
      </c>
      <c r="I3981">
        <v>3949</v>
      </c>
      <c r="J3981" t="s">
        <v>23028</v>
      </c>
      <c r="K3981" t="s">
        <v>17443</v>
      </c>
      <c r="L3981" s="7" t="s">
        <v>23029</v>
      </c>
      <c r="M3981" t="s">
        <v>23030</v>
      </c>
      <c r="N3981">
        <v>98</v>
      </c>
      <c r="O3981">
        <v>90</v>
      </c>
      <c r="P3981">
        <v>8</v>
      </c>
      <c r="Q3981">
        <v>98</v>
      </c>
      <c r="R3981">
        <v>90</v>
      </c>
      <c r="S3981">
        <v>8</v>
      </c>
      <c r="T3981">
        <v>0</v>
      </c>
      <c r="U3981" t="s">
        <v>23031</v>
      </c>
      <c r="V3981">
        <f>Tabla1[[#This Row],[Aboard]]-Tabla1[[#This Row],[Fatalities]]</f>
        <v>0</v>
      </c>
      <c r="W3981" s="50">
        <f>IFERROR(Tabla1[[#This Row],[Fatalities]]/Tabla1[[#This Row],[Aboard]],0)</f>
        <v>1</v>
      </c>
      <c r="X3981" s="51" t="str" cm="1">
        <f t="array" ref="X3981">_xlfn.IFS(Tabla1[[#This Row],[Porcentaje de muertes]]&lt;0.35,"LEVE",AND(Tabla1[[#This Row],[Porcentaje de muertes]]&gt;0.35,Tabla1[[#This Row],[Porcentaje de muertes]]&lt;0.65),"MEDIO",Tabla1[[#This Row],[Porcentaje de muertes]]&gt;0.65,"GRAVE")</f>
        <v>GRAVE</v>
      </c>
    </row>
    <row r="3982" spans="2:24" x14ac:dyDescent="0.3">
      <c r="B3982" s="9">
        <v>3982</v>
      </c>
      <c r="C3982" s="49">
        <v>35046</v>
      </c>
      <c r="D3982" s="9">
        <f>YEAR(Tabla1[[#This Row],[Date]])</f>
        <v>1995</v>
      </c>
      <c r="E3982" s="9" t="str" cm="1">
        <f t="array" ref="E3982">IFERROR(_xlfn.IFS(AND(D3982&lt;1980,D3982&gt;=1970),"70",AND(D3982&lt;1990,D3982&gt;=1980),"80",AND(D3982&lt;2000,D3982&gt;=1990),"90",AND(D3982&lt;2010,D3982&gt;=2000),"00",AND(D3982&lt;=2019,D3982&gt;=2010),"10"),"1908-1970")</f>
        <v>90</v>
      </c>
      <c r="F3982" s="3">
        <v>0.79166666666666663</v>
      </c>
      <c r="G3982" t="s">
        <v>23032</v>
      </c>
      <c r="H3982" t="s">
        <v>23033</v>
      </c>
      <c r="I3982">
        <v>166</v>
      </c>
      <c r="J3982" t="s">
        <v>23034</v>
      </c>
      <c r="K3982" t="s">
        <v>14666</v>
      </c>
      <c r="L3982" s="7" t="s">
        <v>23035</v>
      </c>
      <c r="M3982">
        <v>77303309</v>
      </c>
      <c r="N3982">
        <v>49</v>
      </c>
      <c r="O3982">
        <v>41</v>
      </c>
      <c r="P3982">
        <v>8</v>
      </c>
      <c r="Q3982">
        <v>49</v>
      </c>
      <c r="R3982">
        <v>41</v>
      </c>
      <c r="S3982">
        <v>8</v>
      </c>
      <c r="T3982">
        <v>0</v>
      </c>
      <c r="U3982" t="s">
        <v>23036</v>
      </c>
      <c r="V3982">
        <f>Tabla1[[#This Row],[Aboard]]-Tabla1[[#This Row],[Fatalities]]</f>
        <v>0</v>
      </c>
      <c r="W3982" s="50">
        <f>IFERROR(Tabla1[[#This Row],[Fatalities]]/Tabla1[[#This Row],[Aboard]],0)</f>
        <v>1</v>
      </c>
      <c r="X3982" s="51" t="str" cm="1">
        <f t="array" ref="X3982">_xlfn.IFS(Tabla1[[#This Row],[Porcentaje de muertes]]&lt;0.35,"LEVE",AND(Tabla1[[#This Row],[Porcentaje de muertes]]&gt;0.35,Tabla1[[#This Row],[Porcentaje de muertes]]&lt;0.65),"MEDIO",Tabla1[[#This Row],[Porcentaje de muertes]]&gt;0.65,"GRAVE")</f>
        <v>GRAVE</v>
      </c>
    </row>
    <row r="3983" spans="2:24" x14ac:dyDescent="0.3">
      <c r="B3983" s="9">
        <v>3983</v>
      </c>
      <c r="C3983" s="49">
        <v>35051</v>
      </c>
      <c r="D3983" s="9">
        <f>YEAR(Tabla1[[#This Row],[Date]])</f>
        <v>1995</v>
      </c>
      <c r="E3983" s="9" t="str" cm="1">
        <f t="array" ref="E3983">IFERROR(_xlfn.IFS(AND(D3983&lt;1980,D3983&gt;=1970),"70",AND(D3983&lt;1990,D3983&gt;=1980),"80",AND(D3983&lt;2000,D3983&gt;=1990),"90",AND(D3983&lt;2010,D3983&gt;=2000),"00",AND(D3983&lt;=2019,D3983&gt;=2010),"10"),"1908-1970")</f>
        <v>90</v>
      </c>
      <c r="F3983" s="3" t="s">
        <v>28931</v>
      </c>
      <c r="G3983" t="s">
        <v>23037</v>
      </c>
      <c r="H3983" t="s">
        <v>22156</v>
      </c>
      <c r="I3983" t="s">
        <v>28931</v>
      </c>
      <c r="J3983" t="s">
        <v>23038</v>
      </c>
      <c r="K3983" t="s">
        <v>13248</v>
      </c>
      <c r="L3983" s="7" t="s">
        <v>23039</v>
      </c>
      <c r="M3983">
        <v>1080</v>
      </c>
      <c r="N3983">
        <v>144</v>
      </c>
      <c r="O3983">
        <v>139</v>
      </c>
      <c r="P3983">
        <v>5</v>
      </c>
      <c r="Q3983">
        <v>141</v>
      </c>
      <c r="R3983">
        <v>137</v>
      </c>
      <c r="S3983">
        <v>4</v>
      </c>
      <c r="T3983">
        <v>0</v>
      </c>
      <c r="U3983" t="s">
        <v>23040</v>
      </c>
      <c r="V3983">
        <f>Tabla1[[#This Row],[Aboard]]-Tabla1[[#This Row],[Fatalities]]</f>
        <v>3</v>
      </c>
      <c r="W3983" s="50">
        <f>IFERROR(Tabla1[[#This Row],[Fatalities]]/Tabla1[[#This Row],[Aboard]],0)</f>
        <v>0.97916666666666663</v>
      </c>
      <c r="X3983" s="51" t="str" cm="1">
        <f t="array" ref="X3983">_xlfn.IFS(Tabla1[[#This Row],[Porcentaje de muertes]]&lt;0.35,"LEVE",AND(Tabla1[[#This Row],[Porcentaje de muertes]]&gt;0.35,Tabla1[[#This Row],[Porcentaje de muertes]]&lt;0.65),"MEDIO",Tabla1[[#This Row],[Porcentaje de muertes]]&gt;0.65,"GRAVE")</f>
        <v>GRAVE</v>
      </c>
    </row>
    <row r="3984" spans="2:24" x14ac:dyDescent="0.3">
      <c r="B3984" s="9">
        <v>3984</v>
      </c>
      <c r="C3984" s="49">
        <v>35053</v>
      </c>
      <c r="D3984" s="9">
        <f>YEAR(Tabla1[[#This Row],[Date]])</f>
        <v>1995</v>
      </c>
      <c r="E3984" s="9" t="str" cm="1">
        <f t="array" ref="E3984">IFERROR(_xlfn.IFS(AND(D3984&lt;1980,D3984&gt;=1970),"70",AND(D3984&lt;1990,D3984&gt;=1980),"80",AND(D3984&lt;2000,D3984&gt;=1990),"90",AND(D3984&lt;2010,D3984&gt;=2000),"00",AND(D3984&lt;=2019,D3984&gt;=2010),"10"),"1908-1970")</f>
        <v>90</v>
      </c>
      <c r="F3984" s="3">
        <v>0.90138888888888891</v>
      </c>
      <c r="G3984" t="s">
        <v>23041</v>
      </c>
      <c r="H3984" t="s">
        <v>6536</v>
      </c>
      <c r="I3984">
        <v>965</v>
      </c>
      <c r="J3984" t="s">
        <v>23042</v>
      </c>
      <c r="K3984" t="s">
        <v>23043</v>
      </c>
      <c r="L3984" s="7" t="s">
        <v>23044</v>
      </c>
      <c r="M3984" t="s">
        <v>23045</v>
      </c>
      <c r="N3984">
        <v>164</v>
      </c>
      <c r="O3984">
        <v>156</v>
      </c>
      <c r="P3984">
        <v>8</v>
      </c>
      <c r="Q3984">
        <v>160</v>
      </c>
      <c r="R3984">
        <v>152</v>
      </c>
      <c r="S3984">
        <v>8</v>
      </c>
      <c r="T3984">
        <v>0</v>
      </c>
      <c r="U3984" t="s">
        <v>23046</v>
      </c>
      <c r="V3984">
        <f>Tabla1[[#This Row],[Aboard]]-Tabla1[[#This Row],[Fatalities]]</f>
        <v>4</v>
      </c>
      <c r="W3984" s="50">
        <f>IFERROR(Tabla1[[#This Row],[Fatalities]]/Tabla1[[#This Row],[Aboard]],0)</f>
        <v>0.97560975609756095</v>
      </c>
      <c r="X3984" s="51" t="str" cm="1">
        <f t="array" ref="X3984">_xlfn.IFS(Tabla1[[#This Row],[Porcentaje de muertes]]&lt;0.35,"LEVE",AND(Tabla1[[#This Row],[Porcentaje de muertes]]&gt;0.35,Tabla1[[#This Row],[Porcentaje de muertes]]&lt;0.65),"MEDIO",Tabla1[[#This Row],[Porcentaje de muertes]]&gt;0.65,"GRAVE")</f>
        <v>GRAVE</v>
      </c>
    </row>
    <row r="3985" spans="2:24" x14ac:dyDescent="0.3">
      <c r="B3985" s="9">
        <v>3985</v>
      </c>
      <c r="C3985" s="49">
        <v>35055</v>
      </c>
      <c r="D3985" s="9">
        <f>YEAR(Tabla1[[#This Row],[Date]])</f>
        <v>1995</v>
      </c>
      <c r="E3985" s="9" t="str" cm="1">
        <f t="array" ref="E3985">IFERROR(_xlfn.IFS(AND(D3985&lt;1980,D3985&gt;=1970),"70",AND(D3985&lt;1990,D3985&gt;=1980),"80",AND(D3985&lt;2000,D3985&gt;=1990),"90",AND(D3985&lt;2010,D3985&gt;=2000),"00",AND(D3985&lt;=2019,D3985&gt;=2010),"10"),"1908-1970")</f>
        <v>90</v>
      </c>
      <c r="F3985" s="3" t="s">
        <v>28931</v>
      </c>
      <c r="G3985" t="s">
        <v>23047</v>
      </c>
      <c r="H3985" t="s">
        <v>17935</v>
      </c>
      <c r="I3985" t="s">
        <v>28931</v>
      </c>
      <c r="J3985" t="s">
        <v>23048</v>
      </c>
      <c r="K3985" t="s">
        <v>22488</v>
      </c>
      <c r="L3985" s="7" t="s">
        <v>23049</v>
      </c>
      <c r="M3985">
        <v>207</v>
      </c>
      <c r="N3985">
        <v>12</v>
      </c>
      <c r="O3985">
        <v>11</v>
      </c>
      <c r="P3985">
        <v>1</v>
      </c>
      <c r="Q3985">
        <v>2</v>
      </c>
      <c r="R3985">
        <v>1</v>
      </c>
      <c r="S3985">
        <v>1</v>
      </c>
      <c r="T3985">
        <v>0</v>
      </c>
      <c r="U3985" t="s">
        <v>23050</v>
      </c>
      <c r="V3985">
        <f>Tabla1[[#This Row],[Aboard]]-Tabla1[[#This Row],[Fatalities]]</f>
        <v>10</v>
      </c>
      <c r="W3985" s="50">
        <f>IFERROR(Tabla1[[#This Row],[Fatalities]]/Tabla1[[#This Row],[Aboard]],0)</f>
        <v>0.16666666666666666</v>
      </c>
      <c r="X3985" s="51" t="str" cm="1">
        <f t="array" ref="X3985">_xlfn.IFS(Tabla1[[#This Row],[Porcentaje de muertes]]&lt;0.35,"LEVE",AND(Tabla1[[#This Row],[Porcentaje de muertes]]&gt;0.35,Tabla1[[#This Row],[Porcentaje de muertes]]&lt;0.65),"MEDIO",Tabla1[[#This Row],[Porcentaje de muertes]]&gt;0.65,"GRAVE")</f>
        <v>LEVE</v>
      </c>
    </row>
    <row r="3986" spans="2:24" x14ac:dyDescent="0.3">
      <c r="B3986" s="9">
        <v>3986</v>
      </c>
      <c r="C3986" s="49">
        <v>35278</v>
      </c>
      <c r="D3986" s="9">
        <f>YEAR(Tabla1[[#This Row],[Date]])</f>
        <v>1996</v>
      </c>
      <c r="E3986" s="9" t="str" cm="1">
        <f t="array" ref="E3986">IFERROR(_xlfn.IFS(AND(D3986&lt;1980,D3986&gt;=1970),"70",AND(D3986&lt;1990,D3986&gt;=1980),"80",AND(D3986&lt;2000,D3986&gt;=1990),"90",AND(D3986&lt;2010,D3986&gt;=2000),"00",AND(D3986&lt;=2019,D3986&gt;=2010),"10"),"1908-1970")</f>
        <v>90</v>
      </c>
      <c r="F3986" s="3" t="s">
        <v>28931</v>
      </c>
      <c r="G3986" t="s">
        <v>17707</v>
      </c>
      <c r="H3986" t="s">
        <v>23051</v>
      </c>
      <c r="I3986" t="s">
        <v>28931</v>
      </c>
      <c r="J3986" t="s">
        <v>23052</v>
      </c>
      <c r="K3986" t="s">
        <v>23053</v>
      </c>
      <c r="L3986" s="7" t="s">
        <v>23054</v>
      </c>
      <c r="M3986">
        <v>436</v>
      </c>
      <c r="N3986">
        <v>10</v>
      </c>
      <c r="O3986">
        <v>9</v>
      </c>
      <c r="P3986">
        <v>1</v>
      </c>
      <c r="Q3986">
        <v>1</v>
      </c>
      <c r="R3986">
        <v>1</v>
      </c>
      <c r="S3986">
        <v>0</v>
      </c>
      <c r="T3986">
        <v>0</v>
      </c>
      <c r="U3986" t="s">
        <v>23055</v>
      </c>
      <c r="V3986">
        <f>Tabla1[[#This Row],[Aboard]]-Tabla1[[#This Row],[Fatalities]]</f>
        <v>9</v>
      </c>
      <c r="W3986" s="50">
        <f>IFERROR(Tabla1[[#This Row],[Fatalities]]/Tabla1[[#This Row],[Aboard]],0)</f>
        <v>0.1</v>
      </c>
      <c r="X3986" s="51" t="str" cm="1">
        <f t="array" ref="X3986">_xlfn.IFS(Tabla1[[#This Row],[Porcentaje de muertes]]&lt;0.35,"LEVE",AND(Tabla1[[#This Row],[Porcentaje de muertes]]&gt;0.35,Tabla1[[#This Row],[Porcentaje de muertes]]&lt;0.65),"MEDIO",Tabla1[[#This Row],[Porcentaje de muertes]]&gt;0.65,"GRAVE")</f>
        <v>LEVE</v>
      </c>
    </row>
    <row r="3987" spans="2:24" x14ac:dyDescent="0.3">
      <c r="B3987" s="9">
        <v>3987</v>
      </c>
      <c r="C3987" s="49">
        <v>35278</v>
      </c>
      <c r="D3987" s="9">
        <f>YEAR(Tabla1[[#This Row],[Date]])</f>
        <v>1996</v>
      </c>
      <c r="E3987" s="9" t="str" cm="1">
        <f t="array" ref="E3987">IFERROR(_xlfn.IFS(AND(D3987&lt;1980,D3987&gt;=1970),"70",AND(D3987&lt;1990,D3987&gt;=1980),"80",AND(D3987&lt;2000,D3987&gt;=1990),"90",AND(D3987&lt;2010,D3987&gt;=2000),"00",AND(D3987&lt;=2019,D3987&gt;=2010),"10"),"1908-1970")</f>
        <v>90</v>
      </c>
      <c r="F3987" s="3">
        <v>0.52986111111111112</v>
      </c>
      <c r="G3987" t="s">
        <v>15498</v>
      </c>
      <c r="H3987" t="s">
        <v>23056</v>
      </c>
      <c r="I3987" t="s">
        <v>28931</v>
      </c>
      <c r="J3987" t="s">
        <v>23057</v>
      </c>
      <c r="K3987" t="s">
        <v>22659</v>
      </c>
      <c r="L3987" s="7" t="s">
        <v>23058</v>
      </c>
      <c r="M3987">
        <v>2301</v>
      </c>
      <c r="N3987">
        <v>6</v>
      </c>
      <c r="O3987">
        <v>0</v>
      </c>
      <c r="P3987">
        <v>6</v>
      </c>
      <c r="Q3987">
        <v>2</v>
      </c>
      <c r="R3987">
        <v>0</v>
      </c>
      <c r="S3987">
        <v>2</v>
      </c>
      <c r="T3987">
        <v>225</v>
      </c>
      <c r="U3987" t="s">
        <v>23059</v>
      </c>
      <c r="V3987">
        <f>Tabla1[[#This Row],[Aboard]]-Tabla1[[#This Row],[Fatalities]]</f>
        <v>4</v>
      </c>
      <c r="W3987" s="50">
        <f>IFERROR(Tabla1[[#This Row],[Fatalities]]/Tabla1[[#This Row],[Aboard]],0)</f>
        <v>0.33333333333333331</v>
      </c>
      <c r="X3987" s="51" t="str" cm="1">
        <f t="array" ref="X3987">_xlfn.IFS(Tabla1[[#This Row],[Porcentaje de muertes]]&lt;0.35,"LEVE",AND(Tabla1[[#This Row],[Porcentaje de muertes]]&gt;0.35,Tabla1[[#This Row],[Porcentaje de muertes]]&lt;0.65),"MEDIO",Tabla1[[#This Row],[Porcentaje de muertes]]&gt;0.65,"GRAVE")</f>
        <v>LEVE</v>
      </c>
    </row>
    <row r="3988" spans="2:24" x14ac:dyDescent="0.3">
      <c r="B3988" s="9">
        <v>3988</v>
      </c>
      <c r="C3988" s="49">
        <v>35082</v>
      </c>
      <c r="D3988" s="9">
        <f>YEAR(Tabla1[[#This Row],[Date]])</f>
        <v>1996</v>
      </c>
      <c r="E3988" s="9" t="str" cm="1">
        <f t="array" ref="E3988">IFERROR(_xlfn.IFS(AND(D3988&lt;1980,D3988&gt;=1970),"70",AND(D3988&lt;1990,D3988&gt;=1980),"80",AND(D3988&lt;2000,D3988&gt;=1990),"90",AND(D3988&lt;2010,D3988&gt;=2000),"00",AND(D3988&lt;=2019,D3988&gt;=2010),"10"),"1908-1970")</f>
        <v>90</v>
      </c>
      <c r="F3988" s="3">
        <v>0.84722222222222221</v>
      </c>
      <c r="G3988" t="s">
        <v>13255</v>
      </c>
      <c r="H3988" t="s">
        <v>23060</v>
      </c>
      <c r="I3988" t="s">
        <v>28931</v>
      </c>
      <c r="J3988" t="s">
        <v>23061</v>
      </c>
      <c r="K3988" t="s">
        <v>23062</v>
      </c>
      <c r="L3988" s="7" t="s">
        <v>23063</v>
      </c>
      <c r="M3988">
        <v>257196</v>
      </c>
      <c r="N3988">
        <v>14</v>
      </c>
      <c r="O3988">
        <v>10</v>
      </c>
      <c r="P3988">
        <v>4</v>
      </c>
      <c r="Q3988">
        <v>14</v>
      </c>
      <c r="R3988">
        <v>10</v>
      </c>
      <c r="S3988">
        <v>4</v>
      </c>
      <c r="T3988">
        <v>0</v>
      </c>
      <c r="U3988" t="s">
        <v>23064</v>
      </c>
      <c r="V3988">
        <f>Tabla1[[#This Row],[Aboard]]-Tabla1[[#This Row],[Fatalities]]</f>
        <v>0</v>
      </c>
      <c r="W3988" s="50">
        <f>IFERROR(Tabla1[[#This Row],[Fatalities]]/Tabla1[[#This Row],[Aboard]],0)</f>
        <v>1</v>
      </c>
      <c r="X3988" s="51" t="str" cm="1">
        <f t="array" ref="X3988">_xlfn.IFS(Tabla1[[#This Row],[Porcentaje de muertes]]&lt;0.35,"LEVE",AND(Tabla1[[#This Row],[Porcentaje de muertes]]&gt;0.35,Tabla1[[#This Row],[Porcentaje de muertes]]&lt;0.65),"MEDIO",Tabla1[[#This Row],[Porcentaje de muertes]]&gt;0.65,"GRAVE")</f>
        <v>GRAVE</v>
      </c>
    </row>
    <row r="3989" spans="2:24" x14ac:dyDescent="0.3">
      <c r="B3989" s="9">
        <v>3989</v>
      </c>
      <c r="C3989" s="49">
        <v>35086</v>
      </c>
      <c r="D3989" s="9">
        <f>YEAR(Tabla1[[#This Row],[Date]])</f>
        <v>1996</v>
      </c>
      <c r="E3989" s="9" t="str" cm="1">
        <f t="array" ref="E3989">IFERROR(_xlfn.IFS(AND(D3989&lt;1980,D3989&gt;=1970),"70",AND(D3989&lt;1990,D3989&gt;=1980),"80",AND(D3989&lt;2000,D3989&gt;=1990),"90",AND(D3989&lt;2010,D3989&gt;=2000),"00",AND(D3989&lt;=2019,D3989&gt;=2010),"10"),"1908-1970")</f>
        <v>90</v>
      </c>
      <c r="F3989" s="3">
        <v>0.5</v>
      </c>
      <c r="G3989" t="s">
        <v>23065</v>
      </c>
      <c r="H3989" t="s">
        <v>21918</v>
      </c>
      <c r="I3989" t="s">
        <v>28931</v>
      </c>
      <c r="J3989" t="s">
        <v>28931</v>
      </c>
      <c r="K3989" t="s">
        <v>20207</v>
      </c>
      <c r="L3989" s="7" t="s">
        <v>23066</v>
      </c>
      <c r="M3989" t="s">
        <v>28931</v>
      </c>
      <c r="N3989">
        <v>39</v>
      </c>
      <c r="O3989" t="s">
        <v>5038</v>
      </c>
      <c r="P3989" t="s">
        <v>5038</v>
      </c>
      <c r="Q3989">
        <v>39</v>
      </c>
      <c r="R3989" t="s">
        <v>5038</v>
      </c>
      <c r="S3989" t="s">
        <v>5038</v>
      </c>
      <c r="T3989">
        <v>0</v>
      </c>
      <c r="U3989" t="s">
        <v>23067</v>
      </c>
      <c r="V3989">
        <f>Tabla1[[#This Row],[Aboard]]-Tabla1[[#This Row],[Fatalities]]</f>
        <v>0</v>
      </c>
      <c r="W3989" s="50">
        <f>IFERROR(Tabla1[[#This Row],[Fatalities]]/Tabla1[[#This Row],[Aboard]],0)</f>
        <v>1</v>
      </c>
      <c r="X3989" s="51" t="str" cm="1">
        <f t="array" ref="X3989">_xlfn.IFS(Tabla1[[#This Row],[Porcentaje de muertes]]&lt;0.35,"LEVE",AND(Tabla1[[#This Row],[Porcentaje de muertes]]&gt;0.35,Tabla1[[#This Row],[Porcentaje de muertes]]&lt;0.65),"MEDIO",Tabla1[[#This Row],[Porcentaje de muertes]]&gt;0.65,"GRAVE")</f>
        <v>GRAVE</v>
      </c>
    </row>
    <row r="3990" spans="2:24" x14ac:dyDescent="0.3">
      <c r="B3990" s="9">
        <v>3990</v>
      </c>
      <c r="C3990" s="49">
        <v>35157</v>
      </c>
      <c r="D3990" s="9">
        <f>YEAR(Tabla1[[#This Row],[Date]])</f>
        <v>1996</v>
      </c>
      <c r="E3990" s="9" t="str" cm="1">
        <f t="array" ref="E3990">IFERROR(_xlfn.IFS(AND(D3990&lt;1980,D3990&gt;=1970),"70",AND(D3990&lt;1990,D3990&gt;=1980),"80",AND(D3990&lt;2000,D3990&gt;=1990),"90",AND(D3990&lt;2010,D3990&gt;=2000),"00",AND(D3990&lt;=2019,D3990&gt;=2010),"10"),"1908-1970")</f>
        <v>90</v>
      </c>
      <c r="F3990" s="3">
        <v>0.59166666666666667</v>
      </c>
      <c r="G3990" t="s">
        <v>14669</v>
      </c>
      <c r="H3990" t="s">
        <v>23068</v>
      </c>
      <c r="I3990" t="s">
        <v>28931</v>
      </c>
      <c r="J3990" t="s">
        <v>23069</v>
      </c>
      <c r="K3990" t="s">
        <v>17244</v>
      </c>
      <c r="L3990" s="7" t="s">
        <v>23070</v>
      </c>
      <c r="M3990" t="s">
        <v>23071</v>
      </c>
      <c r="N3990">
        <v>4</v>
      </c>
      <c r="O3990">
        <v>1</v>
      </c>
      <c r="P3990">
        <v>3</v>
      </c>
      <c r="Q3990">
        <v>4</v>
      </c>
      <c r="R3990">
        <v>1</v>
      </c>
      <c r="S3990">
        <v>3</v>
      </c>
      <c r="T3990">
        <v>24</v>
      </c>
      <c r="U3990" t="s">
        <v>23072</v>
      </c>
      <c r="V3990">
        <f>Tabla1[[#This Row],[Aboard]]-Tabla1[[#This Row],[Fatalities]]</f>
        <v>0</v>
      </c>
      <c r="W3990" s="50">
        <f>IFERROR(Tabla1[[#This Row],[Fatalities]]/Tabla1[[#This Row],[Aboard]],0)</f>
        <v>1</v>
      </c>
      <c r="X3990" s="51" t="str" cm="1">
        <f t="array" ref="X3990">_xlfn.IFS(Tabla1[[#This Row],[Porcentaje de muertes]]&lt;0.35,"LEVE",AND(Tabla1[[#This Row],[Porcentaje de muertes]]&gt;0.35,Tabla1[[#This Row],[Porcentaje de muertes]]&lt;0.65),"MEDIO",Tabla1[[#This Row],[Porcentaje de muertes]]&gt;0.65,"GRAVE")</f>
        <v>GRAVE</v>
      </c>
    </row>
    <row r="3991" spans="2:24" x14ac:dyDescent="0.3">
      <c r="B3991" s="9">
        <v>3991</v>
      </c>
      <c r="C3991" s="49">
        <v>35187</v>
      </c>
      <c r="D3991" s="9">
        <f>YEAR(Tabla1[[#This Row],[Date]])</f>
        <v>1996</v>
      </c>
      <c r="E3991" s="9" t="str" cm="1">
        <f t="array" ref="E3991">IFERROR(_xlfn.IFS(AND(D3991&lt;1980,D3991&gt;=1970),"70",AND(D3991&lt;1990,D3991&gt;=1980),"80",AND(D3991&lt;2000,D3991&gt;=1990),"90",AND(D3991&lt;2010,D3991&gt;=2000),"00",AND(D3991&lt;=2019,D3991&gt;=2010),"10"),"1908-1970")</f>
        <v>90</v>
      </c>
      <c r="F3991" s="3">
        <v>0.40972222222222227</v>
      </c>
      <c r="G3991" t="s">
        <v>23073</v>
      </c>
      <c r="H3991" t="s">
        <v>23074</v>
      </c>
      <c r="I3991" t="s">
        <v>28931</v>
      </c>
      <c r="J3991" t="s">
        <v>23075</v>
      </c>
      <c r="K3991" t="s">
        <v>23076</v>
      </c>
      <c r="L3991" s="7" t="s">
        <v>23077</v>
      </c>
      <c r="M3991">
        <v>338</v>
      </c>
      <c r="N3991">
        <v>4</v>
      </c>
      <c r="O3991">
        <v>2</v>
      </c>
      <c r="P3991">
        <v>2</v>
      </c>
      <c r="Q3991">
        <v>4</v>
      </c>
      <c r="R3991">
        <v>2</v>
      </c>
      <c r="S3991">
        <v>2</v>
      </c>
      <c r="T3991">
        <v>0</v>
      </c>
      <c r="U3991" t="s">
        <v>23078</v>
      </c>
      <c r="V3991">
        <f>Tabla1[[#This Row],[Aboard]]-Tabla1[[#This Row],[Fatalities]]</f>
        <v>0</v>
      </c>
      <c r="W3991" s="50">
        <f>IFERROR(Tabla1[[#This Row],[Fatalities]]/Tabla1[[#This Row],[Aboard]],0)</f>
        <v>1</v>
      </c>
      <c r="X3991" s="51" t="str" cm="1">
        <f t="array" ref="X3991">_xlfn.IFS(Tabla1[[#This Row],[Porcentaje de muertes]]&lt;0.35,"LEVE",AND(Tabla1[[#This Row],[Porcentaje de muertes]]&gt;0.35,Tabla1[[#This Row],[Porcentaje de muertes]]&lt;0.65),"MEDIO",Tabla1[[#This Row],[Porcentaje de muertes]]&gt;0.65,"GRAVE")</f>
        <v>GRAVE</v>
      </c>
    </row>
    <row r="3992" spans="2:24" x14ac:dyDescent="0.3">
      <c r="B3992" s="9">
        <v>3992</v>
      </c>
      <c r="C3992" s="49">
        <v>35218</v>
      </c>
      <c r="D3992" s="9">
        <f>YEAR(Tabla1[[#This Row],[Date]])</f>
        <v>1996</v>
      </c>
      <c r="E3992" s="9" t="str" cm="1">
        <f t="array" ref="E3992">IFERROR(_xlfn.IFS(AND(D3992&lt;1980,D3992&gt;=1970),"70",AND(D3992&lt;1990,D3992&gt;=1980),"80",AND(D3992&lt;2000,D3992&gt;=1990),"90",AND(D3992&lt;2010,D3992&gt;=2000),"00",AND(D3992&lt;=2019,D3992&gt;=2010),"10"),"1908-1970")</f>
        <v>90</v>
      </c>
      <c r="F3992" s="3">
        <v>0.99097222222222225</v>
      </c>
      <c r="G3992" t="s">
        <v>23079</v>
      </c>
      <c r="H3992" t="s">
        <v>23080</v>
      </c>
      <c r="I3992">
        <v>301</v>
      </c>
      <c r="J3992" t="s">
        <v>23081</v>
      </c>
      <c r="K3992" t="s">
        <v>23082</v>
      </c>
      <c r="L3992" s="7" t="s">
        <v>23083</v>
      </c>
      <c r="M3992" t="s">
        <v>23084</v>
      </c>
      <c r="N3992">
        <v>189</v>
      </c>
      <c r="O3992">
        <v>176</v>
      </c>
      <c r="P3992">
        <v>13</v>
      </c>
      <c r="Q3992">
        <v>189</v>
      </c>
      <c r="R3992">
        <v>176</v>
      </c>
      <c r="S3992">
        <v>13</v>
      </c>
      <c r="T3992">
        <v>0</v>
      </c>
      <c r="U3992" t="s">
        <v>23085</v>
      </c>
      <c r="V3992">
        <f>Tabla1[[#This Row],[Aboard]]-Tabla1[[#This Row],[Fatalities]]</f>
        <v>0</v>
      </c>
      <c r="W3992" s="50">
        <f>IFERROR(Tabla1[[#This Row],[Fatalities]]/Tabla1[[#This Row],[Aboard]],0)</f>
        <v>1</v>
      </c>
      <c r="X3992" s="51" t="str" cm="1">
        <f t="array" ref="X3992">_xlfn.IFS(Tabla1[[#This Row],[Porcentaje de muertes]]&lt;0.35,"LEVE",AND(Tabla1[[#This Row],[Porcentaje de muertes]]&gt;0.35,Tabla1[[#This Row],[Porcentaje de muertes]]&lt;0.65),"MEDIO",Tabla1[[#This Row],[Porcentaje de muertes]]&gt;0.65,"GRAVE")</f>
        <v>GRAVE</v>
      </c>
    </row>
    <row r="3993" spans="2:24" x14ac:dyDescent="0.3">
      <c r="B3993" s="9">
        <v>3993</v>
      </c>
      <c r="C3993" s="49">
        <v>35371</v>
      </c>
      <c r="D3993" s="9">
        <f>YEAR(Tabla1[[#This Row],[Date]])</f>
        <v>1996</v>
      </c>
      <c r="E3993" s="9" t="str" cm="1">
        <f t="array" ref="E3993">IFERROR(_xlfn.IFS(AND(D3993&lt;1980,D3993&gt;=1970),"70",AND(D3993&lt;1990,D3993&gt;=1980),"80",AND(D3993&lt;2000,D3993&gt;=1990),"90",AND(D3993&lt;2010,D3993&gt;=2000),"00",AND(D3993&lt;=2019,D3993&gt;=2010),"10"),"1908-1970")</f>
        <v>90</v>
      </c>
      <c r="F3993" s="3" t="s">
        <v>28931</v>
      </c>
      <c r="G3993" t="s">
        <v>19930</v>
      </c>
      <c r="H3993" t="s">
        <v>23086</v>
      </c>
      <c r="I3993" t="s">
        <v>28931</v>
      </c>
      <c r="J3993" t="s">
        <v>28931</v>
      </c>
      <c r="K3993" t="s">
        <v>5038</v>
      </c>
      <c r="L3993" s="7" t="s">
        <v>28931</v>
      </c>
      <c r="M3993" t="s">
        <v>28931</v>
      </c>
      <c r="N3993">
        <v>20</v>
      </c>
      <c r="O3993" t="s">
        <v>5038</v>
      </c>
      <c r="P3993" t="s">
        <v>5038</v>
      </c>
      <c r="Q3993">
        <v>20</v>
      </c>
      <c r="R3993" t="s">
        <v>5038</v>
      </c>
      <c r="S3993" t="s">
        <v>5038</v>
      </c>
      <c r="T3993">
        <v>0</v>
      </c>
      <c r="U3993" t="s">
        <v>23087</v>
      </c>
      <c r="V3993">
        <f>Tabla1[[#This Row],[Aboard]]-Tabla1[[#This Row],[Fatalities]]</f>
        <v>0</v>
      </c>
      <c r="W3993" s="50">
        <f>IFERROR(Tabla1[[#This Row],[Fatalities]]/Tabla1[[#This Row],[Aboard]],0)</f>
        <v>1</v>
      </c>
      <c r="X3993" s="51" t="str" cm="1">
        <f t="array" ref="X3993">_xlfn.IFS(Tabla1[[#This Row],[Porcentaje de muertes]]&lt;0.35,"LEVE",AND(Tabla1[[#This Row],[Porcentaje de muertes]]&gt;0.35,Tabla1[[#This Row],[Porcentaje de muertes]]&lt;0.65),"MEDIO",Tabla1[[#This Row],[Porcentaje de muertes]]&gt;0.65,"GRAVE")</f>
        <v>GRAVE</v>
      </c>
    </row>
    <row r="3994" spans="2:24" x14ac:dyDescent="0.3">
      <c r="B3994" s="9">
        <v>3994</v>
      </c>
      <c r="C3994" s="49">
        <v>35401</v>
      </c>
      <c r="D3994" s="9">
        <f>YEAR(Tabla1[[#This Row],[Date]])</f>
        <v>1996</v>
      </c>
      <c r="E3994" s="9" t="str" cm="1">
        <f t="array" ref="E3994">IFERROR(_xlfn.IFS(AND(D3994&lt;1980,D3994&gt;=1970),"70",AND(D3994&lt;1990,D3994&gt;=1980),"80",AND(D3994&lt;2000,D3994&gt;=1990),"90",AND(D3994&lt;2010,D3994&gt;=2000),"00",AND(D3994&lt;=2019,D3994&gt;=2010),"10"),"1908-1970")</f>
        <v>90</v>
      </c>
      <c r="F3994" s="3">
        <v>0.50069444444444444</v>
      </c>
      <c r="G3994" t="s">
        <v>23088</v>
      </c>
      <c r="H3994" t="s">
        <v>23089</v>
      </c>
      <c r="I3994" t="s">
        <v>28931</v>
      </c>
      <c r="J3994" t="s">
        <v>23090</v>
      </c>
      <c r="K3994" t="s">
        <v>23091</v>
      </c>
      <c r="L3994" s="7" t="s">
        <v>23092</v>
      </c>
      <c r="M3994">
        <v>62</v>
      </c>
      <c r="N3994">
        <v>15</v>
      </c>
      <c r="O3994">
        <v>13</v>
      </c>
      <c r="P3994">
        <v>2</v>
      </c>
      <c r="Q3994">
        <v>11</v>
      </c>
      <c r="R3994">
        <v>9</v>
      </c>
      <c r="S3994">
        <v>2</v>
      </c>
      <c r="T3994">
        <v>0</v>
      </c>
      <c r="U3994" t="s">
        <v>23093</v>
      </c>
      <c r="V3994">
        <f>Tabla1[[#This Row],[Aboard]]-Tabla1[[#This Row],[Fatalities]]</f>
        <v>4</v>
      </c>
      <c r="W3994" s="50">
        <f>IFERROR(Tabla1[[#This Row],[Fatalities]]/Tabla1[[#This Row],[Aboard]],0)</f>
        <v>0.73333333333333328</v>
      </c>
      <c r="X3994" s="51" t="str" cm="1">
        <f t="array" ref="X3994">_xlfn.IFS(Tabla1[[#This Row],[Porcentaje de muertes]]&lt;0.35,"LEVE",AND(Tabla1[[#This Row],[Porcentaje de muertes]]&gt;0.35,Tabla1[[#This Row],[Porcentaje de muertes]]&lt;0.65),"MEDIO",Tabla1[[#This Row],[Porcentaje de muertes]]&gt;0.65,"GRAVE")</f>
        <v>GRAVE</v>
      </c>
    </row>
    <row r="3995" spans="2:24" x14ac:dyDescent="0.3">
      <c r="B3995" s="9">
        <v>3995</v>
      </c>
      <c r="C3995" s="49">
        <v>35121</v>
      </c>
      <c r="D3995" s="9">
        <f>YEAR(Tabla1[[#This Row],[Date]])</f>
        <v>1996</v>
      </c>
      <c r="E3995" s="9" t="str" cm="1">
        <f t="array" ref="E3995">IFERROR(_xlfn.IFS(AND(D3995&lt;1980,D3995&gt;=1970),"70",AND(D3995&lt;1990,D3995&gt;=1980),"80",AND(D3995&lt;2000,D3995&gt;=1990),"90",AND(D3995&lt;2010,D3995&gt;=2000),"00",AND(D3995&lt;=2019,D3995&gt;=2010),"10"),"1908-1970")</f>
        <v>90</v>
      </c>
      <c r="F3995" s="3">
        <v>0.79166666666666663</v>
      </c>
      <c r="G3995" t="s">
        <v>23094</v>
      </c>
      <c r="H3995" t="s">
        <v>23095</v>
      </c>
      <c r="I3995" t="s">
        <v>28931</v>
      </c>
      <c r="J3995" t="s">
        <v>23096</v>
      </c>
      <c r="K3995" t="s">
        <v>17162</v>
      </c>
      <c r="L3995" s="7" t="s">
        <v>28931</v>
      </c>
      <c r="M3995" t="s">
        <v>28931</v>
      </c>
      <c r="N3995">
        <v>91</v>
      </c>
      <c r="O3995">
        <v>85</v>
      </c>
      <c r="P3995">
        <v>6</v>
      </c>
      <c r="Q3995">
        <v>91</v>
      </c>
      <c r="R3995">
        <v>85</v>
      </c>
      <c r="S3995">
        <v>6</v>
      </c>
      <c r="T3995">
        <v>0</v>
      </c>
      <c r="U3995" t="s">
        <v>23097</v>
      </c>
      <c r="V3995">
        <f>Tabla1[[#This Row],[Aboard]]-Tabla1[[#This Row],[Fatalities]]</f>
        <v>0</v>
      </c>
      <c r="W3995" s="50">
        <f>IFERROR(Tabla1[[#This Row],[Fatalities]]/Tabla1[[#This Row],[Aboard]],0)</f>
        <v>1</v>
      </c>
      <c r="X3995" s="51" t="str" cm="1">
        <f t="array" ref="X3995">_xlfn.IFS(Tabla1[[#This Row],[Porcentaje de muertes]]&lt;0.35,"LEVE",AND(Tabla1[[#This Row],[Porcentaje de muertes]]&gt;0.35,Tabla1[[#This Row],[Porcentaje de muertes]]&lt;0.65),"MEDIO",Tabla1[[#This Row],[Porcentaje de muertes]]&gt;0.65,"GRAVE")</f>
        <v>GRAVE</v>
      </c>
    </row>
    <row r="3996" spans="2:24" x14ac:dyDescent="0.3">
      <c r="B3996" s="9">
        <v>3996</v>
      </c>
      <c r="C3996" s="49">
        <v>35122</v>
      </c>
      <c r="D3996" s="9">
        <f>YEAR(Tabla1[[#This Row],[Date]])</f>
        <v>1996</v>
      </c>
      <c r="E3996" s="9" t="str" cm="1">
        <f t="array" ref="E3996">IFERROR(_xlfn.IFS(AND(D3996&lt;1980,D3996&gt;=1970),"70",AND(D3996&lt;1990,D3996&gt;=1980),"80",AND(D3996&lt;2000,D3996&gt;=1990),"90",AND(D3996&lt;2010,D3996&gt;=2000),"00",AND(D3996&lt;=2019,D3996&gt;=2010),"10"),"1908-1970")</f>
        <v>90</v>
      </c>
      <c r="F3996" s="3">
        <v>0.23611111111111113</v>
      </c>
      <c r="G3996" t="s">
        <v>23098</v>
      </c>
      <c r="H3996" t="s">
        <v>23099</v>
      </c>
      <c r="I3996" t="s">
        <v>28931</v>
      </c>
      <c r="J3996" t="s">
        <v>23100</v>
      </c>
      <c r="K3996" t="s">
        <v>20707</v>
      </c>
      <c r="L3996" s="7" t="s">
        <v>23101</v>
      </c>
      <c r="M3996">
        <v>402812</v>
      </c>
      <c r="N3996">
        <v>8</v>
      </c>
      <c r="O3996">
        <v>3</v>
      </c>
      <c r="P3996">
        <v>5</v>
      </c>
      <c r="Q3996">
        <v>8</v>
      </c>
      <c r="R3996">
        <v>3</v>
      </c>
      <c r="S3996">
        <v>5</v>
      </c>
      <c r="T3996">
        <v>0</v>
      </c>
      <c r="U3996" t="s">
        <v>23102</v>
      </c>
      <c r="V3996">
        <f>Tabla1[[#This Row],[Aboard]]-Tabla1[[#This Row],[Fatalities]]</f>
        <v>0</v>
      </c>
      <c r="W3996" s="50">
        <f>IFERROR(Tabla1[[#This Row],[Fatalities]]/Tabla1[[#This Row],[Aboard]],0)</f>
        <v>1</v>
      </c>
      <c r="X3996" s="51" t="str" cm="1">
        <f t="array" ref="X3996">_xlfn.IFS(Tabla1[[#This Row],[Porcentaje de muertes]]&lt;0.35,"LEVE",AND(Tabla1[[#This Row],[Porcentaje de muertes]]&gt;0.35,Tabla1[[#This Row],[Porcentaje de muertes]]&lt;0.65),"MEDIO",Tabla1[[#This Row],[Porcentaje de muertes]]&gt;0.65,"GRAVE")</f>
        <v>GRAVE</v>
      </c>
    </row>
    <row r="3997" spans="2:24" x14ac:dyDescent="0.3">
      <c r="B3997" s="9">
        <v>3997</v>
      </c>
      <c r="C3997" s="49">
        <v>35124</v>
      </c>
      <c r="D3997" s="9">
        <f>YEAR(Tabla1[[#This Row],[Date]])</f>
        <v>1996</v>
      </c>
      <c r="E3997" s="9" t="str" cm="1">
        <f t="array" ref="E3997">IFERROR(_xlfn.IFS(AND(D3997&lt;1980,D3997&gt;=1970),"70",AND(D3997&lt;1990,D3997&gt;=1980),"80",AND(D3997&lt;2000,D3997&gt;=1990),"90",AND(D3997&lt;2010,D3997&gt;=2000),"00",AND(D3997&lt;=2019,D3997&gt;=2010),"10"),"1908-1970")</f>
        <v>90</v>
      </c>
      <c r="F3997" s="3">
        <v>0.85069444444444453</v>
      </c>
      <c r="G3997" t="s">
        <v>23103</v>
      </c>
      <c r="H3997" t="s">
        <v>23104</v>
      </c>
      <c r="I3997">
        <v>251</v>
      </c>
      <c r="J3997" t="s">
        <v>23105</v>
      </c>
      <c r="K3997" t="s">
        <v>16666</v>
      </c>
      <c r="L3997" s="7" t="s">
        <v>23106</v>
      </c>
      <c r="M3997" t="s">
        <v>23107</v>
      </c>
      <c r="N3997">
        <v>123</v>
      </c>
      <c r="O3997">
        <v>117</v>
      </c>
      <c r="P3997">
        <v>6</v>
      </c>
      <c r="Q3997">
        <v>123</v>
      </c>
      <c r="R3997">
        <v>117</v>
      </c>
      <c r="S3997">
        <v>6</v>
      </c>
      <c r="T3997">
        <v>0</v>
      </c>
      <c r="U3997" t="s">
        <v>23108</v>
      </c>
      <c r="V3997">
        <f>Tabla1[[#This Row],[Aboard]]-Tabla1[[#This Row],[Fatalities]]</f>
        <v>0</v>
      </c>
      <c r="W3997" s="50">
        <f>IFERROR(Tabla1[[#This Row],[Fatalities]]/Tabla1[[#This Row],[Aboard]],0)</f>
        <v>1</v>
      </c>
      <c r="X3997" s="51" t="str" cm="1">
        <f t="array" ref="X3997">_xlfn.IFS(Tabla1[[#This Row],[Porcentaje de muertes]]&lt;0.35,"LEVE",AND(Tabla1[[#This Row],[Porcentaje de muertes]]&gt;0.35,Tabla1[[#This Row],[Porcentaje de muertes]]&lt;0.65),"MEDIO",Tabla1[[#This Row],[Porcentaje de muertes]]&gt;0.65,"GRAVE")</f>
        <v>GRAVE</v>
      </c>
    </row>
    <row r="3998" spans="2:24" x14ac:dyDescent="0.3">
      <c r="B3998" s="9">
        <v>3998</v>
      </c>
      <c r="C3998" s="49">
        <v>35311</v>
      </c>
      <c r="D3998" s="9">
        <f>YEAR(Tabla1[[#This Row],[Date]])</f>
        <v>1996</v>
      </c>
      <c r="E3998" s="9" t="str" cm="1">
        <f t="array" ref="E3998">IFERROR(_xlfn.IFS(AND(D3998&lt;1980,D3998&gt;=1970),"70",AND(D3998&lt;1990,D3998&gt;=1980),"80",AND(D3998&lt;2000,D3998&gt;=1990),"90",AND(D3998&lt;2010,D3998&gt;=2000),"00",AND(D3998&lt;=2019,D3998&gt;=2010),"10"),"1908-1970")</f>
        <v>90</v>
      </c>
      <c r="F3998" s="3" t="s">
        <v>28931</v>
      </c>
      <c r="G3998" t="s">
        <v>23109</v>
      </c>
      <c r="H3998" t="s">
        <v>23110</v>
      </c>
      <c r="I3998" t="s">
        <v>28931</v>
      </c>
      <c r="J3998" t="s">
        <v>23111</v>
      </c>
      <c r="K3998" t="s">
        <v>23112</v>
      </c>
      <c r="L3998" s="7" t="s">
        <v>23113</v>
      </c>
      <c r="M3998" t="s">
        <v>28931</v>
      </c>
      <c r="N3998">
        <v>23</v>
      </c>
      <c r="O3998" t="s">
        <v>5038</v>
      </c>
      <c r="P3998" t="s">
        <v>5038</v>
      </c>
      <c r="Q3998">
        <v>23</v>
      </c>
      <c r="R3998" t="s">
        <v>5038</v>
      </c>
      <c r="S3998" t="s">
        <v>5038</v>
      </c>
      <c r="T3998">
        <v>0</v>
      </c>
      <c r="U3998" t="s">
        <v>23114</v>
      </c>
      <c r="V3998">
        <f>Tabla1[[#This Row],[Aboard]]-Tabla1[[#This Row],[Fatalities]]</f>
        <v>0</v>
      </c>
      <c r="W3998" s="50">
        <f>IFERROR(Tabla1[[#This Row],[Fatalities]]/Tabla1[[#This Row],[Aboard]],0)</f>
        <v>1</v>
      </c>
      <c r="X3998" s="51" t="str" cm="1">
        <f t="array" ref="X3998">_xlfn.IFS(Tabla1[[#This Row],[Porcentaje de muertes]]&lt;0.35,"LEVE",AND(Tabla1[[#This Row],[Porcentaje de muertes]]&gt;0.35,Tabla1[[#This Row],[Porcentaje de muertes]]&lt;0.65),"MEDIO",Tabla1[[#This Row],[Porcentaje de muertes]]&gt;0.65,"GRAVE")</f>
        <v>GRAVE</v>
      </c>
    </row>
    <row r="3999" spans="2:24" x14ac:dyDescent="0.3">
      <c r="B3999" s="9">
        <v>3999</v>
      </c>
      <c r="C3999" s="49">
        <v>35402</v>
      </c>
      <c r="D3999" s="9">
        <f>YEAR(Tabla1[[#This Row],[Date]])</f>
        <v>1996</v>
      </c>
      <c r="E3999" s="9" t="str" cm="1">
        <f t="array" ref="E3999">IFERROR(_xlfn.IFS(AND(D3999&lt;1980,D3999&gt;=1970),"70",AND(D3999&lt;1990,D3999&gt;=1980),"80",AND(D3999&lt;2000,D3999&gt;=1990),"90",AND(D3999&lt;2010,D3999&gt;=2000),"00",AND(D3999&lt;=2019,D3999&gt;=2010),"10"),"1908-1970")</f>
        <v>90</v>
      </c>
      <c r="F3999" s="3" t="s">
        <v>28931</v>
      </c>
      <c r="G3999" t="s">
        <v>23115</v>
      </c>
      <c r="H3999" t="s">
        <v>23116</v>
      </c>
      <c r="I3999" t="s">
        <v>28931</v>
      </c>
      <c r="J3999" t="s">
        <v>28931</v>
      </c>
      <c r="K3999" t="s">
        <v>23117</v>
      </c>
      <c r="L3999" s="7" t="s">
        <v>23118</v>
      </c>
      <c r="M3999">
        <v>8142</v>
      </c>
      <c r="N3999">
        <v>12</v>
      </c>
      <c r="O3999">
        <v>9</v>
      </c>
      <c r="P3999">
        <v>3</v>
      </c>
      <c r="Q3999">
        <v>12</v>
      </c>
      <c r="R3999">
        <v>9</v>
      </c>
      <c r="S3999">
        <v>3</v>
      </c>
      <c r="T3999">
        <v>0</v>
      </c>
      <c r="U3999" t="s">
        <v>23119</v>
      </c>
      <c r="V3999">
        <f>Tabla1[[#This Row],[Aboard]]-Tabla1[[#This Row],[Fatalities]]</f>
        <v>0</v>
      </c>
      <c r="W3999" s="50">
        <f>IFERROR(Tabla1[[#This Row],[Fatalities]]/Tabla1[[#This Row],[Aboard]],0)</f>
        <v>1</v>
      </c>
      <c r="X3999" s="51" t="str" cm="1">
        <f t="array" ref="X3999">_xlfn.IFS(Tabla1[[#This Row],[Porcentaje de muertes]]&lt;0.35,"LEVE",AND(Tabla1[[#This Row],[Porcentaje de muertes]]&gt;0.35,Tabla1[[#This Row],[Porcentaje de muertes]]&lt;0.65),"MEDIO",Tabla1[[#This Row],[Porcentaje de muertes]]&gt;0.65,"GRAVE")</f>
        <v>GRAVE</v>
      </c>
    </row>
    <row r="4000" spans="2:24" x14ac:dyDescent="0.3">
      <c r="B4000" s="9">
        <v>4000</v>
      </c>
      <c r="C4000" s="49">
        <v>35128</v>
      </c>
      <c r="D4000" s="9">
        <f>YEAR(Tabla1[[#This Row],[Date]])</f>
        <v>1996</v>
      </c>
      <c r="E4000" s="9" t="str" cm="1">
        <f t="array" ref="E4000">IFERROR(_xlfn.IFS(AND(D4000&lt;1980,D4000&gt;=1970),"70",AND(D4000&lt;1990,D4000&gt;=1980),"80",AND(D4000&lt;2000,D4000&gt;=1990),"90",AND(D4000&lt;2010,D4000&gt;=2000),"00",AND(D4000&lt;=2019,D4000&gt;=2010),"10"),"1908-1970")</f>
        <v>90</v>
      </c>
      <c r="F4000" s="3">
        <v>0.61944444444444446</v>
      </c>
      <c r="G4000" t="s">
        <v>23120</v>
      </c>
      <c r="H4000" t="s">
        <v>7987</v>
      </c>
      <c r="I4000">
        <v>21</v>
      </c>
      <c r="J4000" t="s">
        <v>23121</v>
      </c>
      <c r="K4000" t="s">
        <v>23122</v>
      </c>
      <c r="L4000" s="7" t="s">
        <v>23123</v>
      </c>
      <c r="M4000" t="s">
        <v>23124</v>
      </c>
      <c r="N4000">
        <v>35</v>
      </c>
      <c r="O4000">
        <v>29</v>
      </c>
      <c r="P4000">
        <v>6</v>
      </c>
      <c r="Q4000">
        <v>35</v>
      </c>
      <c r="R4000">
        <v>29</v>
      </c>
      <c r="S4000">
        <v>6</v>
      </c>
      <c r="T4000">
        <v>0</v>
      </c>
      <c r="U4000" t="s">
        <v>23125</v>
      </c>
      <c r="V4000">
        <f>Tabla1[[#This Row],[Aboard]]-Tabla1[[#This Row],[Fatalities]]</f>
        <v>0</v>
      </c>
      <c r="W4000" s="50">
        <f>IFERROR(Tabla1[[#This Row],[Fatalities]]/Tabla1[[#This Row],[Aboard]],0)</f>
        <v>1</v>
      </c>
      <c r="X4000" s="51" t="str" cm="1">
        <f t="array" ref="X4000">_xlfn.IFS(Tabla1[[#This Row],[Porcentaje de muertes]]&lt;0.35,"LEVE",AND(Tabla1[[#This Row],[Porcentaje de muertes]]&gt;0.35,Tabla1[[#This Row],[Porcentaje de muertes]]&lt;0.65),"MEDIO",Tabla1[[#This Row],[Porcentaje de muertes]]&gt;0.65,"GRAVE")</f>
        <v>GRAVE</v>
      </c>
    </row>
    <row r="4001" spans="2:24" x14ac:dyDescent="0.3">
      <c r="B4001" s="9">
        <v>4001</v>
      </c>
      <c r="C4001" s="49">
        <v>35189</v>
      </c>
      <c r="D4001" s="9">
        <f>YEAR(Tabla1[[#This Row],[Date]])</f>
        <v>1996</v>
      </c>
      <c r="E4001" s="9" t="str" cm="1">
        <f t="array" ref="E4001">IFERROR(_xlfn.IFS(AND(D4001&lt;1980,D4001&gt;=1970),"70",AND(D4001&lt;1990,D4001&gt;=1980),"80",AND(D4001&lt;2000,D4001&gt;=1990),"90",AND(D4001&lt;2010,D4001&gt;=2000),"00",AND(D4001&lt;=2019,D4001&gt;=2010),"10"),"1908-1970")</f>
        <v>90</v>
      </c>
      <c r="F4001" s="3">
        <v>0.61388888888888882</v>
      </c>
      <c r="G4001" t="s">
        <v>23126</v>
      </c>
      <c r="H4001" t="s">
        <v>23127</v>
      </c>
      <c r="I4001" t="s">
        <v>28931</v>
      </c>
      <c r="J4001" t="s">
        <v>23128</v>
      </c>
      <c r="K4001" t="s">
        <v>21092</v>
      </c>
      <c r="L4001" s="7" t="s">
        <v>23129</v>
      </c>
      <c r="M4001">
        <v>93498967</v>
      </c>
      <c r="N4001">
        <v>20</v>
      </c>
      <c r="O4001">
        <v>11</v>
      </c>
      <c r="P4001">
        <v>9</v>
      </c>
      <c r="Q4001">
        <v>20</v>
      </c>
      <c r="R4001">
        <v>11</v>
      </c>
      <c r="S4001">
        <v>9</v>
      </c>
      <c r="T4001">
        <v>0</v>
      </c>
      <c r="U4001" t="s">
        <v>23130</v>
      </c>
      <c r="V4001">
        <f>Tabla1[[#This Row],[Aboard]]-Tabla1[[#This Row],[Fatalities]]</f>
        <v>0</v>
      </c>
      <c r="W4001" s="50">
        <f>IFERROR(Tabla1[[#This Row],[Fatalities]]/Tabla1[[#This Row],[Aboard]],0)</f>
        <v>1</v>
      </c>
      <c r="X4001" s="51" t="str" cm="1">
        <f t="array" ref="X4001">_xlfn.IFS(Tabla1[[#This Row],[Porcentaje de muertes]]&lt;0.35,"LEVE",AND(Tabla1[[#This Row],[Porcentaje de muertes]]&gt;0.35,Tabla1[[#This Row],[Porcentaje de muertes]]&lt;0.65),"MEDIO",Tabla1[[#This Row],[Porcentaje de muertes]]&gt;0.65,"GRAVE")</f>
        <v>GRAVE</v>
      </c>
    </row>
    <row r="4002" spans="2:24" x14ac:dyDescent="0.3">
      <c r="B4002" s="9">
        <v>4002</v>
      </c>
      <c r="C4002" s="49">
        <v>35189</v>
      </c>
      <c r="D4002" s="9">
        <f>YEAR(Tabla1[[#This Row],[Date]])</f>
        <v>1996</v>
      </c>
      <c r="E4002" s="9" t="str" cm="1">
        <f t="array" ref="E4002">IFERROR(_xlfn.IFS(AND(D4002&lt;1980,D4002&gt;=1970),"70",AND(D4002&lt;1990,D4002&gt;=1980),"80",AND(D4002&lt;2000,D4002&gt;=1990),"90",AND(D4002&lt;2010,D4002&gt;=2000),"00",AND(D4002&lt;=2019,D4002&gt;=2010),"10"),"1908-1970")</f>
        <v>90</v>
      </c>
      <c r="F4002" s="3" t="s">
        <v>28931</v>
      </c>
      <c r="G4002" t="s">
        <v>23131</v>
      </c>
      <c r="H4002" t="s">
        <v>20910</v>
      </c>
      <c r="I4002" t="s">
        <v>28931</v>
      </c>
      <c r="J4002" t="s">
        <v>23132</v>
      </c>
      <c r="K4002" t="s">
        <v>23133</v>
      </c>
      <c r="L4002" s="7" t="s">
        <v>23134</v>
      </c>
      <c r="M4002">
        <v>8223</v>
      </c>
      <c r="N4002">
        <v>17</v>
      </c>
      <c r="O4002">
        <v>15</v>
      </c>
      <c r="P4002">
        <v>2</v>
      </c>
      <c r="Q4002">
        <v>6</v>
      </c>
      <c r="R4002">
        <v>6</v>
      </c>
      <c r="S4002">
        <v>0</v>
      </c>
      <c r="T4002">
        <v>0</v>
      </c>
      <c r="U4002" t="s">
        <v>23135</v>
      </c>
      <c r="V4002">
        <f>Tabla1[[#This Row],[Aboard]]-Tabla1[[#This Row],[Fatalities]]</f>
        <v>11</v>
      </c>
      <c r="W4002" s="50">
        <f>IFERROR(Tabla1[[#This Row],[Fatalities]]/Tabla1[[#This Row],[Aboard]],0)</f>
        <v>0.35294117647058826</v>
      </c>
      <c r="X4002" s="51" t="str" cm="1">
        <f t="array" ref="X4002">_xlfn.IFS(Tabla1[[#This Row],[Porcentaje de muertes]]&lt;0.35,"LEVE",AND(Tabla1[[#This Row],[Porcentaje de muertes]]&gt;0.35,Tabla1[[#This Row],[Porcentaje de muertes]]&lt;0.65),"MEDIO",Tabla1[[#This Row],[Porcentaje de muertes]]&gt;0.65,"GRAVE")</f>
        <v>MEDIO</v>
      </c>
    </row>
    <row r="4003" spans="2:24" x14ac:dyDescent="0.3">
      <c r="B4003" s="9">
        <v>4003</v>
      </c>
      <c r="C4003" s="49">
        <v>35373</v>
      </c>
      <c r="D4003" s="9">
        <f>YEAR(Tabla1[[#This Row],[Date]])</f>
        <v>1996</v>
      </c>
      <c r="E4003" s="9" t="str" cm="1">
        <f t="array" ref="E4003">IFERROR(_xlfn.IFS(AND(D4003&lt;1980,D4003&gt;=1970),"70",AND(D4003&lt;1990,D4003&gt;=1980),"80",AND(D4003&lt;2000,D4003&gt;=1990),"90",AND(D4003&lt;2010,D4003&gt;=2000),"00",AND(D4003&lt;=2019,D4003&gt;=2010),"10"),"1908-1970")</f>
        <v>90</v>
      </c>
      <c r="F4003" s="3">
        <v>0.35000000000000003</v>
      </c>
      <c r="G4003" t="s">
        <v>5287</v>
      </c>
      <c r="H4003" t="s">
        <v>5032</v>
      </c>
      <c r="I4003" t="s">
        <v>28931</v>
      </c>
      <c r="J4003" t="s">
        <v>23136</v>
      </c>
      <c r="K4003" t="s">
        <v>23137</v>
      </c>
      <c r="L4003" s="7" t="s">
        <v>23138</v>
      </c>
      <c r="M4003">
        <v>17702266</v>
      </c>
      <c r="N4003">
        <v>3</v>
      </c>
      <c r="O4003">
        <v>2</v>
      </c>
      <c r="P4003">
        <v>1</v>
      </c>
      <c r="Q4003">
        <v>3</v>
      </c>
      <c r="R4003">
        <v>2</v>
      </c>
      <c r="S4003">
        <v>1</v>
      </c>
      <c r="T4003">
        <v>0</v>
      </c>
      <c r="U4003" t="s">
        <v>23139</v>
      </c>
      <c r="V4003">
        <f>Tabla1[[#This Row],[Aboard]]-Tabla1[[#This Row],[Fatalities]]</f>
        <v>0</v>
      </c>
      <c r="W4003" s="50">
        <f>IFERROR(Tabla1[[#This Row],[Fatalities]]/Tabla1[[#This Row],[Aboard]],0)</f>
        <v>1</v>
      </c>
      <c r="X4003" s="51" t="str" cm="1">
        <f t="array" ref="X4003">_xlfn.IFS(Tabla1[[#This Row],[Porcentaje de muertes]]&lt;0.35,"LEVE",AND(Tabla1[[#This Row],[Porcentaje de muertes]]&gt;0.35,Tabla1[[#This Row],[Porcentaje de muertes]]&lt;0.65),"MEDIO",Tabla1[[#This Row],[Porcentaje de muertes]]&gt;0.65,"GRAVE")</f>
        <v>GRAVE</v>
      </c>
    </row>
    <row r="4004" spans="2:24" x14ac:dyDescent="0.3">
      <c r="B4004" s="9">
        <v>4004</v>
      </c>
      <c r="C4004" s="49">
        <v>35129</v>
      </c>
      <c r="D4004" s="9">
        <f>YEAR(Tabla1[[#This Row],[Date]])</f>
        <v>1996</v>
      </c>
      <c r="E4004" s="9" t="str" cm="1">
        <f t="array" ref="E4004">IFERROR(_xlfn.IFS(AND(D4004&lt;1980,D4004&gt;=1970),"70",AND(D4004&lt;1990,D4004&gt;=1980),"80",AND(D4004&lt;2000,D4004&gt;=1990),"90",AND(D4004&lt;2010,D4004&gt;=2000),"00",AND(D4004&lt;=2019,D4004&gt;=2010),"10"),"1908-1970")</f>
        <v>90</v>
      </c>
      <c r="F4004" s="3">
        <v>0.91666666666666663</v>
      </c>
      <c r="G4004" t="s">
        <v>23140</v>
      </c>
      <c r="H4004" t="s">
        <v>23141</v>
      </c>
      <c r="I4004" t="s">
        <v>28931</v>
      </c>
      <c r="J4004" t="s">
        <v>23142</v>
      </c>
      <c r="K4004" t="s">
        <v>14340</v>
      </c>
      <c r="L4004" s="7" t="s">
        <v>23143</v>
      </c>
      <c r="M4004" t="s">
        <v>23144</v>
      </c>
      <c r="N4004">
        <v>53</v>
      </c>
      <c r="O4004">
        <v>48</v>
      </c>
      <c r="P4004">
        <v>5</v>
      </c>
      <c r="Q4004">
        <v>53</v>
      </c>
      <c r="R4004">
        <v>48</v>
      </c>
      <c r="S4004">
        <v>5</v>
      </c>
      <c r="T4004">
        <v>0</v>
      </c>
      <c r="U4004" t="s">
        <v>23145</v>
      </c>
      <c r="V4004">
        <f>Tabla1[[#This Row],[Aboard]]-Tabla1[[#This Row],[Fatalities]]</f>
        <v>0</v>
      </c>
      <c r="W4004" s="50">
        <f>IFERROR(Tabla1[[#This Row],[Fatalities]]/Tabla1[[#This Row],[Aboard]],0)</f>
        <v>1</v>
      </c>
      <c r="X4004" s="51" t="str" cm="1">
        <f t="array" ref="X4004">_xlfn.IFS(Tabla1[[#This Row],[Porcentaje de muertes]]&lt;0.35,"LEVE",AND(Tabla1[[#This Row],[Porcentaje de muertes]]&gt;0.35,Tabla1[[#This Row],[Porcentaje de muertes]]&lt;0.65),"MEDIO",Tabla1[[#This Row],[Porcentaje de muertes]]&gt;0.65,"GRAVE")</f>
        <v>GRAVE</v>
      </c>
    </row>
    <row r="4005" spans="2:24" x14ac:dyDescent="0.3">
      <c r="B4005" s="9">
        <v>4005</v>
      </c>
      <c r="C4005" s="49">
        <v>35313</v>
      </c>
      <c r="D4005" s="9">
        <f>YEAR(Tabla1[[#This Row],[Date]])</f>
        <v>1996</v>
      </c>
      <c r="E4005" s="9" t="str" cm="1">
        <f t="array" ref="E4005">IFERROR(_xlfn.IFS(AND(D4005&lt;1980,D4005&gt;=1970),"70",AND(D4005&lt;1990,D4005&gt;=1980),"80",AND(D4005&lt;2000,D4005&gt;=1990),"90",AND(D4005&lt;2010,D4005&gt;=2000),"00",AND(D4005&lt;=2019,D4005&gt;=2010),"10"),"1908-1970")</f>
        <v>90</v>
      </c>
      <c r="F4005" s="3" t="s">
        <v>28931</v>
      </c>
      <c r="G4005" t="s">
        <v>23146</v>
      </c>
      <c r="H4005" t="s">
        <v>23147</v>
      </c>
      <c r="I4005" t="s">
        <v>28931</v>
      </c>
      <c r="J4005" t="s">
        <v>28931</v>
      </c>
      <c r="K4005" t="s">
        <v>12223</v>
      </c>
      <c r="L4005" s="7" t="s">
        <v>23148</v>
      </c>
      <c r="M4005">
        <v>194</v>
      </c>
      <c r="N4005">
        <v>2</v>
      </c>
      <c r="O4005">
        <v>0</v>
      </c>
      <c r="P4005">
        <v>2</v>
      </c>
      <c r="Q4005">
        <v>2</v>
      </c>
      <c r="R4005">
        <v>0</v>
      </c>
      <c r="S4005">
        <v>2</v>
      </c>
      <c r="T4005">
        <v>0</v>
      </c>
      <c r="U4005" t="s">
        <v>23149</v>
      </c>
      <c r="V4005">
        <f>Tabla1[[#This Row],[Aboard]]-Tabla1[[#This Row],[Fatalities]]</f>
        <v>0</v>
      </c>
      <c r="W4005" s="50">
        <f>IFERROR(Tabla1[[#This Row],[Fatalities]]/Tabla1[[#This Row],[Aboard]],0)</f>
        <v>1</v>
      </c>
      <c r="X4005" s="51" t="str" cm="1">
        <f t="array" ref="X4005">_xlfn.IFS(Tabla1[[#This Row],[Porcentaje de muertes]]&lt;0.35,"LEVE",AND(Tabla1[[#This Row],[Porcentaje de muertes]]&gt;0.35,Tabla1[[#This Row],[Porcentaje de muertes]]&lt;0.65),"MEDIO",Tabla1[[#This Row],[Porcentaje de muertes]]&gt;0.65,"GRAVE")</f>
        <v>GRAVE</v>
      </c>
    </row>
    <row r="4006" spans="2:24" x14ac:dyDescent="0.3">
      <c r="B4006" s="9">
        <v>4006</v>
      </c>
      <c r="C4006" s="49">
        <v>35343</v>
      </c>
      <c r="D4006" s="9">
        <f>YEAR(Tabla1[[#This Row],[Date]])</f>
        <v>1996</v>
      </c>
      <c r="E4006" s="9" t="str" cm="1">
        <f t="array" ref="E4006">IFERROR(_xlfn.IFS(AND(D4006&lt;1980,D4006&gt;=1970),"70",AND(D4006&lt;1990,D4006&gt;=1980),"80",AND(D4006&lt;2000,D4006&gt;=1990),"90",AND(D4006&lt;2010,D4006&gt;=2000),"00",AND(D4006&lt;=2019,D4006&gt;=2010),"10"),"1908-1970")</f>
        <v>90</v>
      </c>
      <c r="F4006" s="3" t="s">
        <v>28931</v>
      </c>
      <c r="G4006" t="s">
        <v>23150</v>
      </c>
      <c r="H4006" t="s">
        <v>23151</v>
      </c>
      <c r="I4006" t="s">
        <v>28931</v>
      </c>
      <c r="J4006" t="s">
        <v>23152</v>
      </c>
      <c r="K4006" t="s">
        <v>15361</v>
      </c>
      <c r="L4006" s="7" t="s">
        <v>23153</v>
      </c>
      <c r="M4006">
        <v>126</v>
      </c>
      <c r="N4006">
        <v>19</v>
      </c>
      <c r="O4006">
        <v>17</v>
      </c>
      <c r="P4006">
        <v>2</v>
      </c>
      <c r="Q4006">
        <v>16</v>
      </c>
      <c r="R4006">
        <v>14</v>
      </c>
      <c r="S4006">
        <v>2</v>
      </c>
      <c r="T4006">
        <v>0</v>
      </c>
      <c r="U4006" t="s">
        <v>23154</v>
      </c>
      <c r="V4006">
        <f>Tabla1[[#This Row],[Aboard]]-Tabla1[[#This Row],[Fatalities]]</f>
        <v>3</v>
      </c>
      <c r="W4006" s="50">
        <f>IFERROR(Tabla1[[#This Row],[Fatalities]]/Tabla1[[#This Row],[Aboard]],0)</f>
        <v>0.84210526315789469</v>
      </c>
      <c r="X4006" s="51" t="str" cm="1">
        <f t="array" ref="X4006">_xlfn.IFS(Tabla1[[#This Row],[Porcentaje de muertes]]&lt;0.35,"LEVE",AND(Tabla1[[#This Row],[Porcentaje de muertes]]&gt;0.35,Tabla1[[#This Row],[Porcentaje de muertes]]&lt;0.65),"MEDIO",Tabla1[[#This Row],[Porcentaje de muertes]]&gt;0.65,"GRAVE")</f>
        <v>GRAVE</v>
      </c>
    </row>
    <row r="4007" spans="2:24" x14ac:dyDescent="0.3">
      <c r="B4007" s="9">
        <v>4007</v>
      </c>
      <c r="C4007" s="49">
        <v>35374</v>
      </c>
      <c r="D4007" s="9">
        <f>YEAR(Tabla1[[#This Row],[Date]])</f>
        <v>1996</v>
      </c>
      <c r="E4007" s="9" t="str" cm="1">
        <f t="array" ref="E4007">IFERROR(_xlfn.IFS(AND(D4007&lt;1980,D4007&gt;=1970),"70",AND(D4007&lt;1990,D4007&gt;=1980),"80",AND(D4007&lt;2000,D4007&gt;=1990),"90",AND(D4007&lt;2010,D4007&gt;=2000),"00",AND(D4007&lt;=2019,D4007&gt;=2010),"10"),"1908-1970")</f>
        <v>90</v>
      </c>
      <c r="F4007" s="3">
        <v>0.59375</v>
      </c>
      <c r="G4007" t="s">
        <v>23155</v>
      </c>
      <c r="H4007" t="s">
        <v>23156</v>
      </c>
      <c r="I4007">
        <v>592</v>
      </c>
      <c r="J4007" t="s">
        <v>23157</v>
      </c>
      <c r="K4007" t="s">
        <v>15468</v>
      </c>
      <c r="L4007" s="7" t="s">
        <v>23158</v>
      </c>
      <c r="M4007" t="s">
        <v>23159</v>
      </c>
      <c r="N4007">
        <v>110</v>
      </c>
      <c r="O4007">
        <v>105</v>
      </c>
      <c r="P4007">
        <v>5</v>
      </c>
      <c r="Q4007">
        <v>110</v>
      </c>
      <c r="R4007">
        <v>105</v>
      </c>
      <c r="S4007">
        <v>5</v>
      </c>
      <c r="T4007">
        <v>0</v>
      </c>
      <c r="U4007" t="s">
        <v>23160</v>
      </c>
      <c r="V4007">
        <f>Tabla1[[#This Row],[Aboard]]-Tabla1[[#This Row],[Fatalities]]</f>
        <v>0</v>
      </c>
      <c r="W4007" s="50">
        <f>IFERROR(Tabla1[[#This Row],[Fatalities]]/Tabla1[[#This Row],[Aboard]],0)</f>
        <v>1</v>
      </c>
      <c r="X4007" s="51" t="str" cm="1">
        <f t="array" ref="X4007">_xlfn.IFS(Tabla1[[#This Row],[Porcentaje de muertes]]&lt;0.35,"LEVE",AND(Tabla1[[#This Row],[Porcentaje de muertes]]&gt;0.35,Tabla1[[#This Row],[Porcentaje de muertes]]&lt;0.65),"MEDIO",Tabla1[[#This Row],[Porcentaje de muertes]]&gt;0.65,"GRAVE")</f>
        <v>GRAVE</v>
      </c>
    </row>
    <row r="4008" spans="2:24" x14ac:dyDescent="0.3">
      <c r="B4008" s="9">
        <v>4008</v>
      </c>
      <c r="C4008" s="49">
        <v>35374</v>
      </c>
      <c r="D4008" s="9">
        <f>YEAR(Tabla1[[#This Row],[Date]])</f>
        <v>1996</v>
      </c>
      <c r="E4008" s="9" t="str" cm="1">
        <f t="array" ref="E4008">IFERROR(_xlfn.IFS(AND(D4008&lt;1980,D4008&gt;=1970),"70",AND(D4008&lt;1990,D4008&gt;=1980),"80",AND(D4008&lt;2000,D4008&gt;=1990),"90",AND(D4008&lt;2010,D4008&gt;=2000),"00",AND(D4008&lt;=2019,D4008&gt;=2010),"10"),"1908-1970")</f>
        <v>90</v>
      </c>
      <c r="F4008" s="3">
        <v>0.55208333333333337</v>
      </c>
      <c r="G4008" t="s">
        <v>23161</v>
      </c>
      <c r="H4008" t="s">
        <v>22880</v>
      </c>
      <c r="I4008" t="s">
        <v>28931</v>
      </c>
      <c r="J4008" t="s">
        <v>23162</v>
      </c>
      <c r="K4008" t="s">
        <v>23163</v>
      </c>
      <c r="L4008" s="7" t="s">
        <v>23164</v>
      </c>
      <c r="M4008">
        <v>582</v>
      </c>
      <c r="N4008">
        <v>10</v>
      </c>
      <c r="O4008">
        <v>9</v>
      </c>
      <c r="P4008">
        <v>1</v>
      </c>
      <c r="Q4008">
        <v>1</v>
      </c>
      <c r="R4008">
        <v>1</v>
      </c>
      <c r="S4008">
        <v>0</v>
      </c>
      <c r="T4008">
        <v>0</v>
      </c>
      <c r="U4008" t="s">
        <v>23165</v>
      </c>
      <c r="V4008">
        <f>Tabla1[[#This Row],[Aboard]]-Tabla1[[#This Row],[Fatalities]]</f>
        <v>9</v>
      </c>
      <c r="W4008" s="50">
        <f>IFERROR(Tabla1[[#This Row],[Fatalities]]/Tabla1[[#This Row],[Aboard]],0)</f>
        <v>0.1</v>
      </c>
      <c r="X4008" s="51" t="str" cm="1">
        <f t="array" ref="X4008">_xlfn.IFS(Tabla1[[#This Row],[Porcentaje de muertes]]&lt;0.35,"LEVE",AND(Tabla1[[#This Row],[Porcentaje de muertes]]&gt;0.35,Tabla1[[#This Row],[Porcentaje de muertes]]&lt;0.65),"MEDIO",Tabla1[[#This Row],[Porcentaje de muertes]]&gt;0.65,"GRAVE")</f>
        <v>LEVE</v>
      </c>
    </row>
    <row r="4009" spans="2:24" x14ac:dyDescent="0.3">
      <c r="B4009" s="9">
        <v>4009</v>
      </c>
      <c r="C4009" s="49">
        <v>35204</v>
      </c>
      <c r="D4009" s="9">
        <f>YEAR(Tabla1[[#This Row],[Date]])</f>
        <v>1996</v>
      </c>
      <c r="E4009" s="9" t="str" cm="1">
        <f t="array" ref="E4009">IFERROR(_xlfn.IFS(AND(D4009&lt;1980,D4009&gt;=1970),"70",AND(D4009&lt;1990,D4009&gt;=1980),"80",AND(D4009&lt;2000,D4009&gt;=1990),"90",AND(D4009&lt;2010,D4009&gt;=2000),"00",AND(D4009&lt;=2019,D4009&gt;=2010),"10"),"1908-1970")</f>
        <v>90</v>
      </c>
      <c r="F4009" s="3">
        <v>0.98333333333333339</v>
      </c>
      <c r="G4009" t="s">
        <v>23166</v>
      </c>
      <c r="H4009" t="s">
        <v>20117</v>
      </c>
      <c r="I4009" t="s">
        <v>28931</v>
      </c>
      <c r="J4009" t="s">
        <v>23167</v>
      </c>
      <c r="K4009" t="s">
        <v>23168</v>
      </c>
      <c r="L4009" s="7" t="s">
        <v>23169</v>
      </c>
      <c r="M4009">
        <v>544</v>
      </c>
      <c r="N4009">
        <v>3</v>
      </c>
      <c r="O4009">
        <v>2</v>
      </c>
      <c r="P4009">
        <v>1</v>
      </c>
      <c r="Q4009">
        <v>3</v>
      </c>
      <c r="R4009">
        <v>2</v>
      </c>
      <c r="S4009">
        <v>1</v>
      </c>
      <c r="T4009">
        <v>0</v>
      </c>
      <c r="U4009" t="s">
        <v>23170</v>
      </c>
      <c r="V4009">
        <f>Tabla1[[#This Row],[Aboard]]-Tabla1[[#This Row],[Fatalities]]</f>
        <v>0</v>
      </c>
      <c r="W4009" s="50">
        <f>IFERROR(Tabla1[[#This Row],[Fatalities]]/Tabla1[[#This Row],[Aboard]],0)</f>
        <v>1</v>
      </c>
      <c r="X4009" s="51" t="str" cm="1">
        <f t="array" ref="X4009">_xlfn.IFS(Tabla1[[#This Row],[Porcentaje de muertes]]&lt;0.35,"LEVE",AND(Tabla1[[#This Row],[Porcentaje de muertes]]&gt;0.35,Tabla1[[#This Row],[Porcentaje de muertes]]&lt;0.65),"MEDIO",Tabla1[[#This Row],[Porcentaje de muertes]]&gt;0.65,"GRAVE")</f>
        <v>GRAVE</v>
      </c>
    </row>
    <row r="4010" spans="2:24" x14ac:dyDescent="0.3">
      <c r="B4010" s="9">
        <v>4010</v>
      </c>
      <c r="C4010" s="49">
        <v>35222</v>
      </c>
      <c r="D4010" s="9">
        <f>YEAR(Tabla1[[#This Row],[Date]])</f>
        <v>1996</v>
      </c>
      <c r="E4010" s="9" t="str" cm="1">
        <f t="array" ref="E4010">IFERROR(_xlfn.IFS(AND(D4010&lt;1980,D4010&gt;=1970),"70",AND(D4010&lt;1990,D4010&gt;=1980),"80",AND(D4010&lt;2000,D4010&gt;=1990),"90",AND(D4010&lt;2010,D4010&gt;=2000),"00",AND(D4010&lt;=2019,D4010&gt;=2010),"10"),"1908-1970")</f>
        <v>90</v>
      </c>
      <c r="F4010" s="3" t="s">
        <v>28931</v>
      </c>
      <c r="G4010" t="s">
        <v>22155</v>
      </c>
      <c r="H4010" t="s">
        <v>23171</v>
      </c>
      <c r="I4010" t="s">
        <v>28931</v>
      </c>
      <c r="J4010" t="s">
        <v>23172</v>
      </c>
      <c r="K4010" t="s">
        <v>23173</v>
      </c>
      <c r="L4010" s="7" t="s">
        <v>23174</v>
      </c>
      <c r="M4010">
        <v>33442234</v>
      </c>
      <c r="N4010">
        <v>10</v>
      </c>
      <c r="O4010">
        <v>2</v>
      </c>
      <c r="P4010">
        <v>8</v>
      </c>
      <c r="Q4010">
        <v>10</v>
      </c>
      <c r="R4010">
        <v>2</v>
      </c>
      <c r="S4010">
        <v>8</v>
      </c>
      <c r="T4010">
        <v>0</v>
      </c>
      <c r="U4010" t="s">
        <v>10178</v>
      </c>
      <c r="V4010">
        <f>Tabla1[[#This Row],[Aboard]]-Tabla1[[#This Row],[Fatalities]]</f>
        <v>0</v>
      </c>
      <c r="W4010" s="50">
        <f>IFERROR(Tabla1[[#This Row],[Fatalities]]/Tabla1[[#This Row],[Aboard]],0)</f>
        <v>1</v>
      </c>
      <c r="X4010" s="51" t="str" cm="1">
        <f t="array" ref="X4010">_xlfn.IFS(Tabla1[[#This Row],[Porcentaje de muertes]]&lt;0.35,"LEVE",AND(Tabla1[[#This Row],[Porcentaje de muertes]]&gt;0.35,Tabla1[[#This Row],[Porcentaje de muertes]]&lt;0.65),"MEDIO",Tabla1[[#This Row],[Porcentaje de muertes]]&gt;0.65,"GRAVE")</f>
        <v>GRAVE</v>
      </c>
    </row>
    <row r="4011" spans="2:24" x14ac:dyDescent="0.3">
      <c r="B4011" s="9">
        <v>4011</v>
      </c>
      <c r="C4011" s="49">
        <v>35314</v>
      </c>
      <c r="D4011" s="9">
        <f>YEAR(Tabla1[[#This Row],[Date]])</f>
        <v>1996</v>
      </c>
      <c r="E4011" s="9" t="str" cm="1">
        <f t="array" ref="E4011">IFERROR(_xlfn.IFS(AND(D4011&lt;1980,D4011&gt;=1970),"70",AND(D4011&lt;1990,D4011&gt;=1980),"80",AND(D4011&lt;2000,D4011&gt;=1990),"90",AND(D4011&lt;2010,D4011&gt;=2000),"00",AND(D4011&lt;=2019,D4011&gt;=2010),"10"),"1908-1970")</f>
        <v>90</v>
      </c>
      <c r="F4011" s="3">
        <v>0.62152777777777779</v>
      </c>
      <c r="G4011" t="s">
        <v>23175</v>
      </c>
      <c r="H4011" t="s">
        <v>10176</v>
      </c>
      <c r="I4011" t="s">
        <v>28931</v>
      </c>
      <c r="J4011" t="s">
        <v>6190</v>
      </c>
      <c r="K4011" t="s">
        <v>23176</v>
      </c>
      <c r="L4011" s="7" t="s">
        <v>23177</v>
      </c>
      <c r="M4011" t="s">
        <v>23178</v>
      </c>
      <c r="N4011">
        <v>7</v>
      </c>
      <c r="O4011">
        <v>0</v>
      </c>
      <c r="P4011">
        <v>7</v>
      </c>
      <c r="Q4011">
        <v>7</v>
      </c>
      <c r="R4011">
        <v>0</v>
      </c>
      <c r="S4011">
        <v>7</v>
      </c>
      <c r="T4011">
        <v>0</v>
      </c>
      <c r="U4011" t="s">
        <v>23179</v>
      </c>
      <c r="V4011">
        <f>Tabla1[[#This Row],[Aboard]]-Tabla1[[#This Row],[Fatalities]]</f>
        <v>0</v>
      </c>
      <c r="W4011" s="50">
        <f>IFERROR(Tabla1[[#This Row],[Fatalities]]/Tabla1[[#This Row],[Aboard]],0)</f>
        <v>1</v>
      </c>
      <c r="X4011" s="51" t="str" cm="1">
        <f t="array" ref="X4011">_xlfn.IFS(Tabla1[[#This Row],[Porcentaje de muertes]]&lt;0.35,"LEVE",AND(Tabla1[[#This Row],[Porcentaje de muertes]]&gt;0.35,Tabla1[[#This Row],[Porcentaje de muertes]]&lt;0.65),"MEDIO",Tabla1[[#This Row],[Porcentaje de muertes]]&gt;0.65,"GRAVE")</f>
        <v>GRAVE</v>
      </c>
    </row>
    <row r="4012" spans="2:24" x14ac:dyDescent="0.3">
      <c r="B4012" s="9">
        <v>4012</v>
      </c>
      <c r="C4012" s="49">
        <v>35405</v>
      </c>
      <c r="D4012" s="9">
        <f>YEAR(Tabla1[[#This Row],[Date]])</f>
        <v>1996</v>
      </c>
      <c r="E4012" s="9" t="str" cm="1">
        <f t="array" ref="E4012">IFERROR(_xlfn.IFS(AND(D4012&lt;1980,D4012&gt;=1970),"70",AND(D4012&lt;1990,D4012&gt;=1980),"80",AND(D4012&lt;2000,D4012&gt;=1990),"90",AND(D4012&lt;2010,D4012&gt;=2000),"00",AND(D4012&lt;=2019,D4012&gt;=2010),"10"),"1908-1970")</f>
        <v>90</v>
      </c>
      <c r="F4012" s="3">
        <v>0.79166666666666663</v>
      </c>
      <c r="G4012" t="s">
        <v>23180</v>
      </c>
      <c r="H4012" t="s">
        <v>23181</v>
      </c>
      <c r="I4012" t="s">
        <v>28931</v>
      </c>
      <c r="J4012" t="s">
        <v>28931</v>
      </c>
      <c r="K4012" t="s">
        <v>23182</v>
      </c>
      <c r="L4012" s="7" t="s">
        <v>23183</v>
      </c>
      <c r="M4012" t="s">
        <v>23184</v>
      </c>
      <c r="N4012">
        <v>28</v>
      </c>
      <c r="O4012" t="s">
        <v>5038</v>
      </c>
      <c r="P4012" t="s">
        <v>5038</v>
      </c>
      <c r="Q4012">
        <v>18</v>
      </c>
      <c r="R4012" t="s">
        <v>5038</v>
      </c>
      <c r="S4012" t="s">
        <v>5038</v>
      </c>
      <c r="T4012">
        <v>0</v>
      </c>
      <c r="U4012" t="s">
        <v>23185</v>
      </c>
      <c r="V4012">
        <f>Tabla1[[#This Row],[Aboard]]-Tabla1[[#This Row],[Fatalities]]</f>
        <v>10</v>
      </c>
      <c r="W4012" s="50">
        <f>IFERROR(Tabla1[[#This Row],[Fatalities]]/Tabla1[[#This Row],[Aboard]],0)</f>
        <v>0.6428571428571429</v>
      </c>
      <c r="X4012" s="51" t="str" cm="1">
        <f t="array" ref="X4012">_xlfn.IFS(Tabla1[[#This Row],[Porcentaje de muertes]]&lt;0.35,"LEVE",AND(Tabla1[[#This Row],[Porcentaje de muertes]]&gt;0.35,Tabla1[[#This Row],[Porcentaje de muertes]]&lt;0.65),"MEDIO",Tabla1[[#This Row],[Porcentaje de muertes]]&gt;0.65,"GRAVE")</f>
        <v>MEDIO</v>
      </c>
    </row>
    <row r="4013" spans="2:24" x14ac:dyDescent="0.3">
      <c r="B4013" s="9">
        <v>4013</v>
      </c>
      <c r="C4013" s="49">
        <v>35229</v>
      </c>
      <c r="D4013" s="9">
        <f>YEAR(Tabla1[[#This Row],[Date]])</f>
        <v>1996</v>
      </c>
      <c r="E4013" s="9" t="str" cm="1">
        <f t="array" ref="E4013">IFERROR(_xlfn.IFS(AND(D4013&lt;1980,D4013&gt;=1970),"70",AND(D4013&lt;1990,D4013&gt;=1980),"80",AND(D4013&lt;2000,D4013&gt;=1990),"90",AND(D4013&lt;2010,D4013&gt;=2000),"00",AND(D4013&lt;=2019,D4013&gt;=2010),"10"),"1908-1970")</f>
        <v>90</v>
      </c>
      <c r="F4013" s="3">
        <v>0.50486111111111109</v>
      </c>
      <c r="G4013" t="s">
        <v>23186</v>
      </c>
      <c r="H4013" t="s">
        <v>10225</v>
      </c>
      <c r="I4013">
        <v>865</v>
      </c>
      <c r="J4013" t="s">
        <v>23187</v>
      </c>
      <c r="K4013" t="s">
        <v>18549</v>
      </c>
      <c r="L4013" s="7" t="s">
        <v>23188</v>
      </c>
      <c r="M4013" t="s">
        <v>23189</v>
      </c>
      <c r="N4013">
        <v>275</v>
      </c>
      <c r="O4013">
        <v>260</v>
      </c>
      <c r="P4013">
        <v>15</v>
      </c>
      <c r="Q4013">
        <v>3</v>
      </c>
      <c r="R4013">
        <v>3</v>
      </c>
      <c r="S4013">
        <v>0</v>
      </c>
      <c r="T4013">
        <v>0</v>
      </c>
      <c r="U4013" t="s">
        <v>23190</v>
      </c>
      <c r="V4013">
        <f>Tabla1[[#This Row],[Aboard]]-Tabla1[[#This Row],[Fatalities]]</f>
        <v>272</v>
      </c>
      <c r="W4013" s="50">
        <f>IFERROR(Tabla1[[#This Row],[Fatalities]]/Tabla1[[#This Row],[Aboard]],0)</f>
        <v>1.090909090909091E-2</v>
      </c>
      <c r="X4013" s="51" t="str" cm="1">
        <f t="array" ref="X4013">_xlfn.IFS(Tabla1[[#This Row],[Porcentaje de muertes]]&lt;0.35,"LEVE",AND(Tabla1[[#This Row],[Porcentaje de muertes]]&gt;0.35,Tabla1[[#This Row],[Porcentaje de muertes]]&lt;0.65),"MEDIO",Tabla1[[#This Row],[Porcentaje de muertes]]&gt;0.65,"GRAVE")</f>
        <v>LEVE</v>
      </c>
    </row>
    <row r="4014" spans="2:24" x14ac:dyDescent="0.3">
      <c r="B4014" s="9">
        <v>4014</v>
      </c>
      <c r="C4014" s="49">
        <v>35237</v>
      </c>
      <c r="D4014" s="9">
        <f>YEAR(Tabla1[[#This Row],[Date]])</f>
        <v>1996</v>
      </c>
      <c r="E4014" s="9" t="str" cm="1">
        <f t="array" ref="E4014">IFERROR(_xlfn.IFS(AND(D4014&lt;1980,D4014&gt;=1970),"70",AND(D4014&lt;1990,D4014&gt;=1980),"80",AND(D4014&lt;2000,D4014&gt;=1990),"90",AND(D4014&lt;2010,D4014&gt;=2000),"00",AND(D4014&lt;=2019,D4014&gt;=2010),"10"),"1908-1970")</f>
        <v>90</v>
      </c>
      <c r="F4014" s="3">
        <v>0.71111111111111114</v>
      </c>
      <c r="G4014" t="s">
        <v>6009</v>
      </c>
      <c r="H4014" t="s">
        <v>23191</v>
      </c>
      <c r="I4014" t="s">
        <v>28931</v>
      </c>
      <c r="J4014" t="s">
        <v>23192</v>
      </c>
      <c r="K4014" t="s">
        <v>23193</v>
      </c>
      <c r="L4014" s="7" t="s">
        <v>23194</v>
      </c>
      <c r="M4014">
        <v>1</v>
      </c>
      <c r="N4014">
        <v>12</v>
      </c>
      <c r="O4014">
        <v>9</v>
      </c>
      <c r="P4014">
        <v>3</v>
      </c>
      <c r="Q4014">
        <v>2</v>
      </c>
      <c r="R4014">
        <v>1</v>
      </c>
      <c r="S4014">
        <v>1</v>
      </c>
      <c r="T4014">
        <v>0</v>
      </c>
      <c r="U4014" t="s">
        <v>23195</v>
      </c>
      <c r="V4014">
        <f>Tabla1[[#This Row],[Aboard]]-Tabla1[[#This Row],[Fatalities]]</f>
        <v>10</v>
      </c>
      <c r="W4014" s="50">
        <f>IFERROR(Tabla1[[#This Row],[Fatalities]]/Tabla1[[#This Row],[Aboard]],0)</f>
        <v>0.16666666666666666</v>
      </c>
      <c r="X4014" s="51" t="str" cm="1">
        <f t="array" ref="X4014">_xlfn.IFS(Tabla1[[#This Row],[Porcentaje de muertes]]&lt;0.35,"LEVE",AND(Tabla1[[#This Row],[Porcentaje de muertes]]&gt;0.35,Tabla1[[#This Row],[Porcentaje de muertes]]&lt;0.65),"MEDIO",Tabla1[[#This Row],[Porcentaje de muertes]]&gt;0.65,"GRAVE")</f>
        <v>LEVE</v>
      </c>
    </row>
    <row r="4015" spans="2:24" x14ac:dyDescent="0.3">
      <c r="B4015" s="9">
        <v>4015</v>
      </c>
      <c r="C4015" s="49">
        <v>35223</v>
      </c>
      <c r="D4015" s="9">
        <f>YEAR(Tabla1[[#This Row],[Date]])</f>
        <v>1996</v>
      </c>
      <c r="E4015" s="9" t="str" cm="1">
        <f t="array" ref="E4015">IFERROR(_xlfn.IFS(AND(D4015&lt;1980,D4015&gt;=1970),"70",AND(D4015&lt;1990,D4015&gt;=1980),"80",AND(D4015&lt;2000,D4015&gt;=1990),"90",AND(D4015&lt;2010,D4015&gt;=2000),"00",AND(D4015&lt;=2019,D4015&gt;=2010),"10"),"1908-1970")</f>
        <v>90</v>
      </c>
      <c r="F4015" s="3">
        <v>0.65416666666666667</v>
      </c>
      <c r="G4015" t="s">
        <v>18147</v>
      </c>
      <c r="H4015" t="s">
        <v>6658</v>
      </c>
      <c r="I4015">
        <v>1288</v>
      </c>
      <c r="J4015" t="s">
        <v>23196</v>
      </c>
      <c r="K4015" t="s">
        <v>23197</v>
      </c>
      <c r="L4015" s="7" t="s">
        <v>23198</v>
      </c>
      <c r="M4015" t="s">
        <v>23199</v>
      </c>
      <c r="N4015">
        <v>142</v>
      </c>
      <c r="O4015">
        <v>137</v>
      </c>
      <c r="P4015">
        <v>5</v>
      </c>
      <c r="Q4015">
        <v>2</v>
      </c>
      <c r="R4015">
        <v>2</v>
      </c>
      <c r="S4015">
        <v>0</v>
      </c>
      <c r="T4015">
        <v>0</v>
      </c>
      <c r="U4015" t="s">
        <v>23200</v>
      </c>
      <c r="V4015">
        <f>Tabla1[[#This Row],[Aboard]]-Tabla1[[#This Row],[Fatalities]]</f>
        <v>140</v>
      </c>
      <c r="W4015" s="50">
        <f>IFERROR(Tabla1[[#This Row],[Fatalities]]/Tabla1[[#This Row],[Aboard]],0)</f>
        <v>1.4084507042253521E-2</v>
      </c>
      <c r="X4015" s="51" t="str" cm="1">
        <f t="array" ref="X4015">_xlfn.IFS(Tabla1[[#This Row],[Porcentaje de muertes]]&lt;0.35,"LEVE",AND(Tabla1[[#This Row],[Porcentaje de muertes]]&gt;0.35,Tabla1[[#This Row],[Porcentaje de muertes]]&lt;0.65),"MEDIO",Tabla1[[#This Row],[Porcentaje de muertes]]&gt;0.65,"GRAVE")</f>
        <v>LEVE</v>
      </c>
    </row>
    <row r="4016" spans="2:24" x14ac:dyDescent="0.3">
      <c r="B4016" s="9">
        <v>4016</v>
      </c>
      <c r="C4016" s="49">
        <v>35315</v>
      </c>
      <c r="D4016" s="9">
        <f>YEAR(Tabla1[[#This Row],[Date]])</f>
        <v>1996</v>
      </c>
      <c r="E4016" s="9" t="str" cm="1">
        <f t="array" ref="E4016">IFERROR(_xlfn.IFS(AND(D4016&lt;1980,D4016&gt;=1970),"70",AND(D4016&lt;1990,D4016&gt;=1980),"80",AND(D4016&lt;2000,D4016&gt;=1990),"90",AND(D4016&lt;2010,D4016&gt;=2000),"00",AND(D4016&lt;=2019,D4016&gt;=2010),"10"),"1908-1970")</f>
        <v>90</v>
      </c>
      <c r="F4016" s="3">
        <v>0.6875</v>
      </c>
      <c r="G4016" t="s">
        <v>16559</v>
      </c>
      <c r="H4016" t="s">
        <v>22880</v>
      </c>
      <c r="I4016" t="s">
        <v>28931</v>
      </c>
      <c r="J4016" t="s">
        <v>23201</v>
      </c>
      <c r="K4016" t="s">
        <v>16680</v>
      </c>
      <c r="L4016" s="7" t="s">
        <v>23202</v>
      </c>
      <c r="M4016">
        <v>290</v>
      </c>
      <c r="N4016">
        <v>20</v>
      </c>
      <c r="O4016">
        <v>19</v>
      </c>
      <c r="P4016">
        <v>1</v>
      </c>
      <c r="Q4016">
        <v>20</v>
      </c>
      <c r="R4016">
        <v>19</v>
      </c>
      <c r="S4016">
        <v>1</v>
      </c>
      <c r="T4016">
        <v>0</v>
      </c>
      <c r="U4016" t="s">
        <v>23203</v>
      </c>
      <c r="V4016">
        <f>Tabla1[[#This Row],[Aboard]]-Tabla1[[#This Row],[Fatalities]]</f>
        <v>0</v>
      </c>
      <c r="W4016" s="50">
        <f>IFERROR(Tabla1[[#This Row],[Fatalities]]/Tabla1[[#This Row],[Aboard]],0)</f>
        <v>1</v>
      </c>
      <c r="X4016" s="51" t="str" cm="1">
        <f t="array" ref="X4016">_xlfn.IFS(Tabla1[[#This Row],[Porcentaje de muertes]]&lt;0.35,"LEVE",AND(Tabla1[[#This Row],[Porcentaje de muertes]]&gt;0.35,Tabla1[[#This Row],[Porcentaje de muertes]]&lt;0.65),"MEDIO",Tabla1[[#This Row],[Porcentaje de muertes]]&gt;0.65,"GRAVE")</f>
        <v>GRAVE</v>
      </c>
    </row>
    <row r="4017" spans="2:24" x14ac:dyDescent="0.3">
      <c r="B4017" s="9">
        <v>4017</v>
      </c>
      <c r="C4017" s="49">
        <v>35376</v>
      </c>
      <c r="D4017" s="9">
        <f>YEAR(Tabla1[[#This Row],[Date]])</f>
        <v>1996</v>
      </c>
      <c r="E4017" s="9" t="str" cm="1">
        <f t="array" ref="E4017">IFERROR(_xlfn.IFS(AND(D4017&lt;1980,D4017&gt;=1970),"70",AND(D4017&lt;1990,D4017&gt;=1980),"80",AND(D4017&lt;2000,D4017&gt;=1990),"90",AND(D4017&lt;2010,D4017&gt;=2000),"00",AND(D4017&lt;=2019,D4017&gt;=2010),"10"),"1908-1970")</f>
        <v>90</v>
      </c>
      <c r="F4017" s="3">
        <v>0.375</v>
      </c>
      <c r="G4017" t="s">
        <v>23204</v>
      </c>
      <c r="H4017" t="s">
        <v>23205</v>
      </c>
      <c r="I4017" t="s">
        <v>28931</v>
      </c>
      <c r="J4017" t="s">
        <v>23206</v>
      </c>
      <c r="K4017" t="s">
        <v>23207</v>
      </c>
      <c r="L4017" s="7" t="s">
        <v>23208</v>
      </c>
      <c r="M4017">
        <v>942703</v>
      </c>
      <c r="N4017">
        <v>9</v>
      </c>
      <c r="O4017">
        <v>6</v>
      </c>
      <c r="P4017">
        <v>3</v>
      </c>
      <c r="Q4017">
        <v>9</v>
      </c>
      <c r="R4017">
        <v>6</v>
      </c>
      <c r="S4017">
        <v>3</v>
      </c>
      <c r="T4017">
        <v>0</v>
      </c>
      <c r="U4017" t="s">
        <v>23209</v>
      </c>
      <c r="V4017">
        <f>Tabla1[[#This Row],[Aboard]]-Tabla1[[#This Row],[Fatalities]]</f>
        <v>0</v>
      </c>
      <c r="W4017" s="50">
        <f>IFERROR(Tabla1[[#This Row],[Fatalities]]/Tabla1[[#This Row],[Aboard]],0)</f>
        <v>1</v>
      </c>
      <c r="X4017" s="51" t="str" cm="1">
        <f t="array" ref="X4017">_xlfn.IFS(Tabla1[[#This Row],[Porcentaje de muertes]]&lt;0.35,"LEVE",AND(Tabla1[[#This Row],[Porcentaje de muertes]]&gt;0.35,Tabla1[[#This Row],[Porcentaje de muertes]]&lt;0.65),"MEDIO",Tabla1[[#This Row],[Porcentaje de muertes]]&gt;0.65,"GRAVE")</f>
        <v>GRAVE</v>
      </c>
    </row>
    <row r="4018" spans="2:24" x14ac:dyDescent="0.3">
      <c r="B4018" s="9">
        <v>4018</v>
      </c>
      <c r="C4018" s="49">
        <v>35261</v>
      </c>
      <c r="D4018" s="9">
        <f>YEAR(Tabla1[[#This Row],[Date]])</f>
        <v>1996</v>
      </c>
      <c r="E4018" s="9" t="str" cm="1">
        <f t="array" ref="E4018">IFERROR(_xlfn.IFS(AND(D4018&lt;1980,D4018&gt;=1970),"70",AND(D4018&lt;1990,D4018&gt;=1980),"80",AND(D4018&lt;2000,D4018&gt;=1990),"90",AND(D4018&lt;2010,D4018&gt;=2000),"00",AND(D4018&lt;=2019,D4018&gt;=2010),"10"),"1908-1970")</f>
        <v>90</v>
      </c>
      <c r="F4018" s="3">
        <v>0.75</v>
      </c>
      <c r="G4018" t="s">
        <v>23210</v>
      </c>
      <c r="H4018" t="s">
        <v>13402</v>
      </c>
      <c r="I4018" t="s">
        <v>28931</v>
      </c>
      <c r="J4018" t="s">
        <v>23211</v>
      </c>
      <c r="K4018" t="s">
        <v>17162</v>
      </c>
      <c r="L4018" s="7" t="s">
        <v>23212</v>
      </c>
      <c r="M4018">
        <v>4473</v>
      </c>
      <c r="N4018">
        <v>41</v>
      </c>
      <c r="O4018">
        <v>37</v>
      </c>
      <c r="P4018">
        <v>4</v>
      </c>
      <c r="Q4018">
        <v>34</v>
      </c>
      <c r="R4018">
        <v>30</v>
      </c>
      <c r="S4018">
        <v>4</v>
      </c>
      <c r="T4018">
        <v>0</v>
      </c>
      <c r="U4018" t="s">
        <v>23213</v>
      </c>
      <c r="V4018">
        <f>Tabla1[[#This Row],[Aboard]]-Tabla1[[#This Row],[Fatalities]]</f>
        <v>7</v>
      </c>
      <c r="W4018" s="50">
        <f>IFERROR(Tabla1[[#This Row],[Fatalities]]/Tabla1[[#This Row],[Aboard]],0)</f>
        <v>0.82926829268292679</v>
      </c>
      <c r="X4018" s="51" t="str" cm="1">
        <f t="array" ref="X4018">_xlfn.IFS(Tabla1[[#This Row],[Porcentaje de muertes]]&lt;0.35,"LEVE",AND(Tabla1[[#This Row],[Porcentaje de muertes]]&gt;0.35,Tabla1[[#This Row],[Porcentaje de muertes]]&lt;0.65),"MEDIO",Tabla1[[#This Row],[Porcentaje de muertes]]&gt;0.65,"GRAVE")</f>
        <v>GRAVE</v>
      </c>
    </row>
    <row r="4019" spans="2:24" x14ac:dyDescent="0.3">
      <c r="B4019" s="9">
        <v>4019</v>
      </c>
      <c r="C4019" s="49">
        <v>35263</v>
      </c>
      <c r="D4019" s="9">
        <f>YEAR(Tabla1[[#This Row],[Date]])</f>
        <v>1996</v>
      </c>
      <c r="E4019" s="9" t="str" cm="1">
        <f t="array" ref="E4019">IFERROR(_xlfn.IFS(AND(D4019&lt;1980,D4019&gt;=1970),"70",AND(D4019&lt;1990,D4019&gt;=1980),"80",AND(D4019&lt;2000,D4019&gt;=1990),"90",AND(D4019&lt;2010,D4019&gt;=2000),"00",AND(D4019&lt;=2019,D4019&gt;=2010),"10"),"1908-1970")</f>
        <v>90</v>
      </c>
      <c r="F4019" s="3">
        <v>0.69097222222222221</v>
      </c>
      <c r="G4019" t="s">
        <v>23214</v>
      </c>
      <c r="H4019" t="s">
        <v>23215</v>
      </c>
      <c r="I4019" t="s">
        <v>28931</v>
      </c>
      <c r="J4019" t="s">
        <v>23216</v>
      </c>
      <c r="K4019" t="s">
        <v>16680</v>
      </c>
      <c r="L4019" s="7" t="s">
        <v>23217</v>
      </c>
      <c r="M4019">
        <v>734</v>
      </c>
      <c r="N4019">
        <v>18</v>
      </c>
      <c r="O4019">
        <v>16</v>
      </c>
      <c r="P4019">
        <v>2</v>
      </c>
      <c r="Q4019">
        <v>1</v>
      </c>
      <c r="R4019">
        <v>1</v>
      </c>
      <c r="S4019">
        <v>0</v>
      </c>
      <c r="T4019">
        <v>0</v>
      </c>
      <c r="U4019" t="s">
        <v>23218</v>
      </c>
      <c r="V4019">
        <f>Tabla1[[#This Row],[Aboard]]-Tabla1[[#This Row],[Fatalities]]</f>
        <v>17</v>
      </c>
      <c r="W4019" s="50">
        <f>IFERROR(Tabla1[[#This Row],[Fatalities]]/Tabla1[[#This Row],[Aboard]],0)</f>
        <v>5.5555555555555552E-2</v>
      </c>
      <c r="X4019" s="51" t="str" cm="1">
        <f t="array" ref="X4019">_xlfn.IFS(Tabla1[[#This Row],[Porcentaje de muertes]]&lt;0.35,"LEVE",AND(Tabla1[[#This Row],[Porcentaje de muertes]]&gt;0.35,Tabla1[[#This Row],[Porcentaje de muertes]]&lt;0.65),"MEDIO",Tabla1[[#This Row],[Porcentaje de muertes]]&gt;0.65,"GRAVE")</f>
        <v>LEVE</v>
      </c>
    </row>
    <row r="4020" spans="2:24" x14ac:dyDescent="0.3">
      <c r="B4020" s="9">
        <v>4020</v>
      </c>
      <c r="C4020" s="49">
        <v>35263</v>
      </c>
      <c r="D4020" s="9">
        <f>YEAR(Tabla1[[#This Row],[Date]])</f>
        <v>1996</v>
      </c>
      <c r="E4020" s="9" t="str" cm="1">
        <f t="array" ref="E4020">IFERROR(_xlfn.IFS(AND(D4020&lt;1980,D4020&gt;=1970),"70",AND(D4020&lt;1990,D4020&gt;=1980),"80",AND(D4020&lt;2000,D4020&gt;=1990),"90",AND(D4020&lt;2010,D4020&gt;=2000),"00",AND(D4020&lt;=2019,D4020&gt;=2010),"10"),"1908-1970")</f>
        <v>90</v>
      </c>
      <c r="F4020" s="3">
        <v>0.85486111111111107</v>
      </c>
      <c r="G4020" t="s">
        <v>23219</v>
      </c>
      <c r="H4020" t="s">
        <v>10166</v>
      </c>
      <c r="I4020">
        <v>800</v>
      </c>
      <c r="J4020" t="s">
        <v>23220</v>
      </c>
      <c r="K4020" t="s">
        <v>23221</v>
      </c>
      <c r="L4020" s="7" t="s">
        <v>23222</v>
      </c>
      <c r="M4020" t="s">
        <v>23223</v>
      </c>
      <c r="N4020">
        <v>230</v>
      </c>
      <c r="O4020">
        <v>212</v>
      </c>
      <c r="P4020">
        <v>18</v>
      </c>
      <c r="Q4020">
        <v>230</v>
      </c>
      <c r="R4020">
        <v>212</v>
      </c>
      <c r="S4020">
        <v>18</v>
      </c>
      <c r="T4020">
        <v>0</v>
      </c>
      <c r="U4020" t="s">
        <v>23224</v>
      </c>
      <c r="V4020">
        <f>Tabla1[[#This Row],[Aboard]]-Tabla1[[#This Row],[Fatalities]]</f>
        <v>0</v>
      </c>
      <c r="W4020" s="50">
        <f>IFERROR(Tabla1[[#This Row],[Fatalities]]/Tabla1[[#This Row],[Aboard]],0)</f>
        <v>1</v>
      </c>
      <c r="X4020" s="51" t="str" cm="1">
        <f t="array" ref="X4020">_xlfn.IFS(Tabla1[[#This Row],[Porcentaje de muertes]]&lt;0.35,"LEVE",AND(Tabla1[[#This Row],[Porcentaje de muertes]]&gt;0.35,Tabla1[[#This Row],[Porcentaje de muertes]]&lt;0.65),"MEDIO",Tabla1[[#This Row],[Porcentaje de muertes]]&gt;0.65,"GRAVE")</f>
        <v>GRAVE</v>
      </c>
    </row>
    <row r="4021" spans="2:24" x14ac:dyDescent="0.3">
      <c r="B4021" s="9">
        <v>4021</v>
      </c>
      <c r="C4021" s="49">
        <v>35266</v>
      </c>
      <c r="D4021" s="9">
        <f>YEAR(Tabla1[[#This Row],[Date]])</f>
        <v>1996</v>
      </c>
      <c r="E4021" s="9" t="str" cm="1">
        <f t="array" ref="E4021">IFERROR(_xlfn.IFS(AND(D4021&lt;1980,D4021&gt;=1970),"70",AND(D4021&lt;1990,D4021&gt;=1980),"80",AND(D4021&lt;2000,D4021&gt;=1990),"90",AND(D4021&lt;2010,D4021&gt;=2000),"00",AND(D4021&lt;=2019,D4021&gt;=2010),"10"),"1908-1970")</f>
        <v>90</v>
      </c>
      <c r="F4021" s="3">
        <v>0.63541666666666663</v>
      </c>
      <c r="G4021" t="s">
        <v>23225</v>
      </c>
      <c r="H4021" t="s">
        <v>23226</v>
      </c>
      <c r="I4021">
        <v>33</v>
      </c>
      <c r="J4021" t="s">
        <v>23227</v>
      </c>
      <c r="K4021" t="s">
        <v>11052</v>
      </c>
      <c r="L4021" s="7" t="s">
        <v>23228</v>
      </c>
      <c r="M4021" t="s">
        <v>23229</v>
      </c>
      <c r="N4021">
        <v>4</v>
      </c>
      <c r="O4021">
        <v>1</v>
      </c>
      <c r="P4021">
        <v>3</v>
      </c>
      <c r="Q4021">
        <v>4</v>
      </c>
      <c r="R4021">
        <v>1</v>
      </c>
      <c r="S4021">
        <v>3</v>
      </c>
      <c r="T4021">
        <v>0</v>
      </c>
      <c r="U4021" t="s">
        <v>23230</v>
      </c>
      <c r="V4021">
        <f>Tabla1[[#This Row],[Aboard]]-Tabla1[[#This Row],[Fatalities]]</f>
        <v>0</v>
      </c>
      <c r="W4021" s="50">
        <f>IFERROR(Tabla1[[#This Row],[Fatalities]]/Tabla1[[#This Row],[Aboard]],0)</f>
        <v>1</v>
      </c>
      <c r="X4021" s="51" t="str" cm="1">
        <f t="array" ref="X4021">_xlfn.IFS(Tabla1[[#This Row],[Porcentaje de muertes]]&lt;0.35,"LEVE",AND(Tabla1[[#This Row],[Porcentaje de muertes]]&gt;0.35,Tabla1[[#This Row],[Porcentaje de muertes]]&lt;0.65),"MEDIO",Tabla1[[#This Row],[Porcentaje de muertes]]&gt;0.65,"GRAVE")</f>
        <v>GRAVE</v>
      </c>
    </row>
    <row r="4022" spans="2:24" x14ac:dyDescent="0.3">
      <c r="B4022" s="9">
        <v>4022</v>
      </c>
      <c r="C4022" s="49">
        <v>35270</v>
      </c>
      <c r="D4022" s="9">
        <f>YEAR(Tabla1[[#This Row],[Date]])</f>
        <v>1996</v>
      </c>
      <c r="E4022" s="9" t="str" cm="1">
        <f t="array" ref="E4022">IFERROR(_xlfn.IFS(AND(D4022&lt;1980,D4022&gt;=1970),"70",AND(D4022&lt;1990,D4022&gt;=1980),"80",AND(D4022&lt;2000,D4022&gt;=1990),"90",AND(D4022&lt;2010,D4022&gt;=2000),"00",AND(D4022&lt;=2019,D4022&gt;=2010),"10"),"1908-1970")</f>
        <v>90</v>
      </c>
      <c r="F4022" s="3" t="s">
        <v>28931</v>
      </c>
      <c r="G4022" t="s">
        <v>23231</v>
      </c>
      <c r="H4022" t="s">
        <v>23232</v>
      </c>
      <c r="I4022" t="s">
        <v>28931</v>
      </c>
      <c r="J4022" t="s">
        <v>23233</v>
      </c>
      <c r="K4022" t="s">
        <v>15526</v>
      </c>
      <c r="L4022" s="7" t="s">
        <v>23234</v>
      </c>
      <c r="M4022">
        <v>10433</v>
      </c>
      <c r="N4022">
        <v>49</v>
      </c>
      <c r="O4022">
        <v>44</v>
      </c>
      <c r="P4022">
        <v>5</v>
      </c>
      <c r="Q4022">
        <v>8</v>
      </c>
      <c r="R4022">
        <v>8</v>
      </c>
      <c r="S4022">
        <v>0</v>
      </c>
      <c r="T4022">
        <v>0</v>
      </c>
      <c r="U4022" t="s">
        <v>23235</v>
      </c>
      <c r="V4022">
        <f>Tabla1[[#This Row],[Aboard]]-Tabla1[[#This Row],[Fatalities]]</f>
        <v>41</v>
      </c>
      <c r="W4022" s="50">
        <f>IFERROR(Tabla1[[#This Row],[Fatalities]]/Tabla1[[#This Row],[Aboard]],0)</f>
        <v>0.16326530612244897</v>
      </c>
      <c r="X4022" s="51" t="str" cm="1">
        <f t="array" ref="X4022">_xlfn.IFS(Tabla1[[#This Row],[Porcentaje de muertes]]&lt;0.35,"LEVE",AND(Tabla1[[#This Row],[Porcentaje de muertes]]&gt;0.35,Tabla1[[#This Row],[Porcentaje de muertes]]&lt;0.65),"MEDIO",Tabla1[[#This Row],[Porcentaje de muertes]]&gt;0.65,"GRAVE")</f>
        <v>LEVE</v>
      </c>
    </row>
    <row r="4023" spans="2:24" x14ac:dyDescent="0.3">
      <c r="B4023" s="9">
        <v>4023</v>
      </c>
      <c r="C4023" s="49">
        <v>35407</v>
      </c>
      <c r="D4023" s="9">
        <f>YEAR(Tabla1[[#This Row],[Date]])</f>
        <v>1996</v>
      </c>
      <c r="E4023" s="9" t="str" cm="1">
        <f t="array" ref="E4023">IFERROR(_xlfn.IFS(AND(D4023&lt;1980,D4023&gt;=1970),"70",AND(D4023&lt;1990,D4023&gt;=1980),"80",AND(D4023&lt;2000,D4023&gt;=1990),"90",AND(D4023&lt;2010,D4023&gt;=2000),"00",AND(D4023&lt;=2019,D4023&gt;=2010),"10"),"1908-1970")</f>
        <v>90</v>
      </c>
      <c r="F4023" s="3">
        <v>0.57430555555555551</v>
      </c>
      <c r="G4023" t="s">
        <v>23236</v>
      </c>
      <c r="H4023" t="s">
        <v>23237</v>
      </c>
      <c r="I4023">
        <v>64</v>
      </c>
      <c r="J4023" t="s">
        <v>23238</v>
      </c>
      <c r="K4023" t="s">
        <v>16680</v>
      </c>
      <c r="L4023" s="7" t="s">
        <v>23239</v>
      </c>
      <c r="M4023">
        <v>427</v>
      </c>
      <c r="N4023">
        <v>2</v>
      </c>
      <c r="O4023">
        <v>0</v>
      </c>
      <c r="P4023">
        <v>2</v>
      </c>
      <c r="Q4023">
        <v>2</v>
      </c>
      <c r="R4023">
        <v>0</v>
      </c>
      <c r="S4023">
        <v>2</v>
      </c>
      <c r="T4023">
        <v>0</v>
      </c>
      <c r="U4023" t="s">
        <v>23240</v>
      </c>
      <c r="V4023">
        <f>Tabla1[[#This Row],[Aboard]]-Tabla1[[#This Row],[Fatalities]]</f>
        <v>0</v>
      </c>
      <c r="W4023" s="50">
        <f>IFERROR(Tabla1[[#This Row],[Fatalities]]/Tabla1[[#This Row],[Aboard]],0)</f>
        <v>1</v>
      </c>
      <c r="X4023" s="51" t="str" cm="1">
        <f t="array" ref="X4023">_xlfn.IFS(Tabla1[[#This Row],[Porcentaje de muertes]]&lt;0.35,"LEVE",AND(Tabla1[[#This Row],[Porcentaje de muertes]]&gt;0.35,Tabla1[[#This Row],[Porcentaje de muertes]]&lt;0.65),"MEDIO",Tabla1[[#This Row],[Porcentaje de muertes]]&gt;0.65,"GRAVE")</f>
        <v>GRAVE</v>
      </c>
    </row>
    <row r="4024" spans="2:24" x14ac:dyDescent="0.3">
      <c r="B4024" s="9">
        <v>4024</v>
      </c>
      <c r="C4024" s="49">
        <v>35291</v>
      </c>
      <c r="D4024" s="9">
        <f>YEAR(Tabla1[[#This Row],[Date]])</f>
        <v>1996</v>
      </c>
      <c r="E4024" s="9" t="str" cm="1">
        <f t="array" ref="E4024">IFERROR(_xlfn.IFS(AND(D4024&lt;1980,D4024&gt;=1970),"70",AND(D4024&lt;1990,D4024&gt;=1980),"80",AND(D4024&lt;2000,D4024&gt;=1990),"90",AND(D4024&lt;2010,D4024&gt;=2000),"00",AND(D4024&lt;=2019,D4024&gt;=2010),"10"),"1908-1970")</f>
        <v>90</v>
      </c>
      <c r="F4024" s="3" t="s">
        <v>28931</v>
      </c>
      <c r="G4024" t="s">
        <v>23241</v>
      </c>
      <c r="H4024" t="s">
        <v>23242</v>
      </c>
      <c r="I4024" t="s">
        <v>28931</v>
      </c>
      <c r="J4024" t="s">
        <v>23243</v>
      </c>
      <c r="K4024" t="s">
        <v>8822</v>
      </c>
      <c r="L4024" s="7" t="s">
        <v>23244</v>
      </c>
      <c r="M4024" t="s">
        <v>23245</v>
      </c>
      <c r="N4024">
        <v>3</v>
      </c>
      <c r="O4024">
        <v>0</v>
      </c>
      <c r="P4024">
        <v>3</v>
      </c>
      <c r="Q4024">
        <v>1</v>
      </c>
      <c r="R4024">
        <v>0</v>
      </c>
      <c r="S4024">
        <v>1</v>
      </c>
      <c r="T4024">
        <v>0</v>
      </c>
      <c r="U4024" t="s">
        <v>23246</v>
      </c>
      <c r="V4024">
        <f>Tabla1[[#This Row],[Aboard]]-Tabla1[[#This Row],[Fatalities]]</f>
        <v>2</v>
      </c>
      <c r="W4024" s="50">
        <f>IFERROR(Tabla1[[#This Row],[Fatalities]]/Tabla1[[#This Row],[Aboard]],0)</f>
        <v>0.33333333333333331</v>
      </c>
      <c r="X4024" s="51" t="str" cm="1">
        <f t="array" ref="X4024">_xlfn.IFS(Tabla1[[#This Row],[Porcentaje de muertes]]&lt;0.35,"LEVE",AND(Tabla1[[#This Row],[Porcentaje de muertes]]&gt;0.35,Tabla1[[#This Row],[Porcentaje de muertes]]&lt;0.65),"MEDIO",Tabla1[[#This Row],[Porcentaje de muertes]]&gt;0.65,"GRAVE")</f>
        <v>LEVE</v>
      </c>
    </row>
    <row r="4025" spans="2:24" x14ac:dyDescent="0.3">
      <c r="B4025" s="9">
        <v>4025</v>
      </c>
      <c r="C4025" s="49">
        <v>35294</v>
      </c>
      <c r="D4025" s="9">
        <f>YEAR(Tabla1[[#This Row],[Date]])</f>
        <v>1996</v>
      </c>
      <c r="E4025" s="9" t="str" cm="1">
        <f t="array" ref="E4025">IFERROR(_xlfn.IFS(AND(D4025&lt;1980,D4025&gt;=1970),"70",AND(D4025&lt;1990,D4025&gt;=1980),"80",AND(D4025&lt;2000,D4025&gt;=1990),"90",AND(D4025&lt;2010,D4025&gt;=2000),"00",AND(D4025&lt;=2019,D4025&gt;=2010),"10"),"1908-1970")</f>
        <v>90</v>
      </c>
      <c r="F4025" s="3">
        <v>0.9916666666666667</v>
      </c>
      <c r="G4025" t="s">
        <v>23247</v>
      </c>
      <c r="H4025" t="s">
        <v>7987</v>
      </c>
      <c r="I4025" t="s">
        <v>28931</v>
      </c>
      <c r="J4025" t="s">
        <v>23248</v>
      </c>
      <c r="K4025" t="s">
        <v>18896</v>
      </c>
      <c r="L4025" s="7" t="s">
        <v>23249</v>
      </c>
      <c r="M4025">
        <v>4597</v>
      </c>
      <c r="N4025">
        <v>9</v>
      </c>
      <c r="O4025">
        <v>1</v>
      </c>
      <c r="P4025">
        <v>8</v>
      </c>
      <c r="Q4025">
        <v>9</v>
      </c>
      <c r="R4025">
        <v>1</v>
      </c>
      <c r="S4025">
        <v>8</v>
      </c>
      <c r="T4025">
        <v>0</v>
      </c>
      <c r="U4025" t="s">
        <v>23250</v>
      </c>
      <c r="V4025">
        <f>Tabla1[[#This Row],[Aboard]]-Tabla1[[#This Row],[Fatalities]]</f>
        <v>0</v>
      </c>
      <c r="W4025" s="50">
        <f>IFERROR(Tabla1[[#This Row],[Fatalities]]/Tabla1[[#This Row],[Aboard]],0)</f>
        <v>1</v>
      </c>
      <c r="X4025" s="51" t="str" cm="1">
        <f t="array" ref="X4025">_xlfn.IFS(Tabla1[[#This Row],[Porcentaje de muertes]]&lt;0.35,"LEVE",AND(Tabla1[[#This Row],[Porcentaje de muertes]]&gt;0.35,Tabla1[[#This Row],[Porcentaje de muertes]]&lt;0.65),"MEDIO",Tabla1[[#This Row],[Porcentaje de muertes]]&gt;0.65,"GRAVE")</f>
        <v>GRAVE</v>
      </c>
    </row>
    <row r="4026" spans="2:24" x14ac:dyDescent="0.3">
      <c r="B4026" s="9">
        <v>4026</v>
      </c>
      <c r="C4026" s="49">
        <v>35295</v>
      </c>
      <c r="D4026" s="9">
        <f>YEAR(Tabla1[[#This Row],[Date]])</f>
        <v>1996</v>
      </c>
      <c r="E4026" s="9" t="str" cm="1">
        <f t="array" ref="E4026">IFERROR(_xlfn.IFS(AND(D4026&lt;1980,D4026&gt;=1970),"70",AND(D4026&lt;1990,D4026&gt;=1980),"80",AND(D4026&lt;2000,D4026&gt;=1990),"90",AND(D4026&lt;2010,D4026&gt;=2000),"00",AND(D4026&lt;=2019,D4026&gt;=2010),"10"),"1908-1970")</f>
        <v>90</v>
      </c>
      <c r="F4026" s="3">
        <v>0.82638888888888884</v>
      </c>
      <c r="G4026" t="s">
        <v>23251</v>
      </c>
      <c r="H4026" t="s">
        <v>23252</v>
      </c>
      <c r="I4026" t="s">
        <v>28931</v>
      </c>
      <c r="J4026" t="s">
        <v>23253</v>
      </c>
      <c r="K4026" t="s">
        <v>23254</v>
      </c>
      <c r="L4026" s="7" t="s">
        <v>23255</v>
      </c>
      <c r="M4026">
        <v>32</v>
      </c>
      <c r="N4026">
        <v>3</v>
      </c>
      <c r="O4026">
        <v>2</v>
      </c>
      <c r="P4026">
        <v>1</v>
      </c>
      <c r="Q4026">
        <v>3</v>
      </c>
      <c r="R4026">
        <v>2</v>
      </c>
      <c r="S4026">
        <v>1</v>
      </c>
      <c r="T4026">
        <v>0</v>
      </c>
      <c r="U4026" t="s">
        <v>23256</v>
      </c>
      <c r="V4026">
        <f>Tabla1[[#This Row],[Aboard]]-Tabla1[[#This Row],[Fatalities]]</f>
        <v>0</v>
      </c>
      <c r="W4026" s="50">
        <f>IFERROR(Tabla1[[#This Row],[Fatalities]]/Tabla1[[#This Row],[Aboard]],0)</f>
        <v>1</v>
      </c>
      <c r="X4026" s="51" t="str" cm="1">
        <f t="array" ref="X4026">_xlfn.IFS(Tabla1[[#This Row],[Porcentaje de muertes]]&lt;0.35,"LEVE",AND(Tabla1[[#This Row],[Porcentaje de muertes]]&gt;0.35,Tabla1[[#This Row],[Porcentaje de muertes]]&lt;0.65),"MEDIO",Tabla1[[#This Row],[Porcentaje de muertes]]&gt;0.65,"GRAVE")</f>
        <v>GRAVE</v>
      </c>
    </row>
    <row r="4027" spans="2:24" x14ac:dyDescent="0.3">
      <c r="B4027" s="9">
        <v>4027</v>
      </c>
      <c r="C4027" s="49">
        <v>35296</v>
      </c>
      <c r="D4027" s="9">
        <f>YEAR(Tabla1[[#This Row],[Date]])</f>
        <v>1996</v>
      </c>
      <c r="E4027" s="9" t="str" cm="1">
        <f t="array" ref="E4027">IFERROR(_xlfn.IFS(AND(D4027&lt;1980,D4027&gt;=1970),"70",AND(D4027&lt;1990,D4027&gt;=1980),"80",AND(D4027&lt;2000,D4027&gt;=1990),"90",AND(D4027&lt;2010,D4027&gt;=2000),"00",AND(D4027&lt;=2019,D4027&gt;=2010),"10"),"1908-1970")</f>
        <v>90</v>
      </c>
      <c r="F4027" s="3">
        <v>0.1361111111111111</v>
      </c>
      <c r="G4027" t="s">
        <v>23257</v>
      </c>
      <c r="H4027" t="s">
        <v>23258</v>
      </c>
      <c r="I4027" t="s">
        <v>28931</v>
      </c>
      <c r="J4027" t="s">
        <v>23259</v>
      </c>
      <c r="K4027" t="s">
        <v>23260</v>
      </c>
      <c r="L4027" s="7" t="s">
        <v>23261</v>
      </c>
      <c r="M4027">
        <v>83414451</v>
      </c>
      <c r="N4027">
        <v>12</v>
      </c>
      <c r="O4027">
        <v>2</v>
      </c>
      <c r="P4027">
        <v>10</v>
      </c>
      <c r="Q4027">
        <v>12</v>
      </c>
      <c r="R4027">
        <v>2</v>
      </c>
      <c r="S4027">
        <v>10</v>
      </c>
      <c r="T4027">
        <v>0</v>
      </c>
      <c r="U4027" t="s">
        <v>23262</v>
      </c>
      <c r="V4027">
        <f>Tabla1[[#This Row],[Aboard]]-Tabla1[[#This Row],[Fatalities]]</f>
        <v>0</v>
      </c>
      <c r="W4027" s="50">
        <f>IFERROR(Tabla1[[#This Row],[Fatalities]]/Tabla1[[#This Row],[Aboard]],0)</f>
        <v>1</v>
      </c>
      <c r="X4027" s="51" t="str" cm="1">
        <f t="array" ref="X4027">_xlfn.IFS(Tabla1[[#This Row],[Porcentaje de muertes]]&lt;0.35,"LEVE",AND(Tabla1[[#This Row],[Porcentaje de muertes]]&gt;0.35,Tabla1[[#This Row],[Porcentaje de muertes]]&lt;0.65),"MEDIO",Tabla1[[#This Row],[Porcentaje de muertes]]&gt;0.65,"GRAVE")</f>
        <v>GRAVE</v>
      </c>
    </row>
    <row r="4028" spans="2:24" x14ac:dyDescent="0.3">
      <c r="B4028" s="9">
        <v>4028</v>
      </c>
      <c r="C4028" s="49">
        <v>35306</v>
      </c>
      <c r="D4028" s="9">
        <f>YEAR(Tabla1[[#This Row],[Date]])</f>
        <v>1996</v>
      </c>
      <c r="E4028" s="9" t="str" cm="1">
        <f t="array" ref="E4028">IFERROR(_xlfn.IFS(AND(D4028&lt;1980,D4028&gt;=1970),"70",AND(D4028&lt;1990,D4028&gt;=1980),"80",AND(D4028&lt;2000,D4028&gt;=1990),"90",AND(D4028&lt;2010,D4028&gt;=2000),"00",AND(D4028&lt;=2019,D4028&gt;=2010),"10"),"1908-1970")</f>
        <v>90</v>
      </c>
      <c r="F4028" s="3">
        <v>0.43194444444444446</v>
      </c>
      <c r="G4028" t="s">
        <v>23263</v>
      </c>
      <c r="H4028" t="s">
        <v>23264</v>
      </c>
      <c r="I4028">
        <v>2801</v>
      </c>
      <c r="J4028" t="s">
        <v>23265</v>
      </c>
      <c r="K4028" t="s">
        <v>22401</v>
      </c>
      <c r="L4028" s="7" t="s">
        <v>23266</v>
      </c>
      <c r="M4028" t="s">
        <v>23267</v>
      </c>
      <c r="N4028">
        <v>141</v>
      </c>
      <c r="O4028">
        <v>129</v>
      </c>
      <c r="P4028">
        <v>12</v>
      </c>
      <c r="Q4028">
        <v>141</v>
      </c>
      <c r="R4028">
        <v>129</v>
      </c>
      <c r="S4028">
        <v>12</v>
      </c>
      <c r="T4028">
        <v>0</v>
      </c>
      <c r="U4028" t="s">
        <v>23268</v>
      </c>
      <c r="V4028">
        <f>Tabla1[[#This Row],[Aboard]]-Tabla1[[#This Row],[Fatalities]]</f>
        <v>0</v>
      </c>
      <c r="W4028" s="50">
        <f>IFERROR(Tabla1[[#This Row],[Fatalities]]/Tabla1[[#This Row],[Aboard]],0)</f>
        <v>1</v>
      </c>
      <c r="X4028" s="51" t="str" cm="1">
        <f t="array" ref="X4028">_xlfn.IFS(Tabla1[[#This Row],[Porcentaje de muertes]]&lt;0.35,"LEVE",AND(Tabla1[[#This Row],[Porcentaje de muertes]]&gt;0.35,Tabla1[[#This Row],[Porcentaje de muertes]]&lt;0.65),"MEDIO",Tabla1[[#This Row],[Porcentaje de muertes]]&gt;0.65,"GRAVE")</f>
        <v>GRAVE</v>
      </c>
    </row>
    <row r="4029" spans="2:24" x14ac:dyDescent="0.3">
      <c r="B4029" s="9">
        <v>4029</v>
      </c>
      <c r="C4029" s="49">
        <v>35333</v>
      </c>
      <c r="D4029" s="9">
        <f>YEAR(Tabla1[[#This Row],[Date]])</f>
        <v>1996</v>
      </c>
      <c r="E4029" s="9" t="str" cm="1">
        <f t="array" ref="E4029">IFERROR(_xlfn.IFS(AND(D4029&lt;1980,D4029&gt;=1970),"70",AND(D4029&lt;1990,D4029&gt;=1980),"80",AND(D4029&lt;2000,D4029&gt;=1990),"90",AND(D4029&lt;2010,D4029&gt;=2000),"00",AND(D4029&lt;=2019,D4029&gt;=2010),"10"),"1908-1970")</f>
        <v>90</v>
      </c>
      <c r="F4029" s="3">
        <v>0.69236111111111109</v>
      </c>
      <c r="G4029" t="s">
        <v>23269</v>
      </c>
      <c r="H4029" t="s">
        <v>23270</v>
      </c>
      <c r="I4029" t="s">
        <v>28931</v>
      </c>
      <c r="J4029" t="s">
        <v>23271</v>
      </c>
      <c r="K4029" t="s">
        <v>9005</v>
      </c>
      <c r="L4029" s="7" t="s">
        <v>23272</v>
      </c>
      <c r="M4029">
        <v>19109</v>
      </c>
      <c r="N4029">
        <v>32</v>
      </c>
      <c r="O4029">
        <v>26</v>
      </c>
      <c r="P4029">
        <v>6</v>
      </c>
      <c r="Q4029">
        <v>32</v>
      </c>
      <c r="R4029">
        <v>26</v>
      </c>
      <c r="S4029">
        <v>6</v>
      </c>
      <c r="T4029">
        <v>0</v>
      </c>
      <c r="U4029" t="s">
        <v>23273</v>
      </c>
      <c r="V4029">
        <f>Tabla1[[#This Row],[Aboard]]-Tabla1[[#This Row],[Fatalities]]</f>
        <v>0</v>
      </c>
      <c r="W4029" s="50">
        <f>IFERROR(Tabla1[[#This Row],[Fatalities]]/Tabla1[[#This Row],[Aboard]],0)</f>
        <v>1</v>
      </c>
      <c r="X4029" s="51" t="str" cm="1">
        <f t="array" ref="X4029">_xlfn.IFS(Tabla1[[#This Row],[Porcentaje de muertes]]&lt;0.35,"LEVE",AND(Tabla1[[#This Row],[Porcentaje de muertes]]&gt;0.35,Tabla1[[#This Row],[Porcentaje de muertes]]&lt;0.65),"MEDIO",Tabla1[[#This Row],[Porcentaje de muertes]]&gt;0.65,"GRAVE")</f>
        <v>GRAVE</v>
      </c>
    </row>
    <row r="4030" spans="2:24" x14ac:dyDescent="0.3">
      <c r="B4030" s="9">
        <v>4030</v>
      </c>
      <c r="C4030" s="49">
        <v>35105</v>
      </c>
      <c r="D4030" s="9">
        <f>YEAR(Tabla1[[#This Row],[Date]])</f>
        <v>1996</v>
      </c>
      <c r="E4030" s="9" t="str" cm="1">
        <f t="array" ref="E4030">IFERROR(_xlfn.IFS(AND(D4030&lt;1980,D4030&gt;=1970),"70",AND(D4030&lt;1990,D4030&gt;=1980),"80",AND(D4030&lt;2000,D4030&gt;=1990),"90",AND(D4030&lt;2010,D4030&gt;=2000),"00",AND(D4030&lt;=2019,D4030&gt;=2010),"10"),"1908-1970")</f>
        <v>90</v>
      </c>
      <c r="F4030" s="3">
        <v>5.2777777777777778E-2</v>
      </c>
      <c r="G4030" t="s">
        <v>23274</v>
      </c>
      <c r="H4030" t="s">
        <v>23275</v>
      </c>
      <c r="I4030">
        <v>603</v>
      </c>
      <c r="J4030" t="s">
        <v>23276</v>
      </c>
      <c r="K4030" t="s">
        <v>23277</v>
      </c>
      <c r="L4030" s="7" t="s">
        <v>23278</v>
      </c>
      <c r="M4030" t="s">
        <v>23279</v>
      </c>
      <c r="N4030">
        <v>70</v>
      </c>
      <c r="O4030">
        <v>61</v>
      </c>
      <c r="P4030">
        <v>9</v>
      </c>
      <c r="Q4030">
        <v>70</v>
      </c>
      <c r="R4030">
        <v>61</v>
      </c>
      <c r="S4030">
        <v>9</v>
      </c>
      <c r="T4030">
        <v>0</v>
      </c>
      <c r="U4030" t="s">
        <v>23280</v>
      </c>
      <c r="V4030">
        <f>Tabla1[[#This Row],[Aboard]]-Tabla1[[#This Row],[Fatalities]]</f>
        <v>0</v>
      </c>
      <c r="W4030" s="50">
        <f>IFERROR(Tabla1[[#This Row],[Fatalities]]/Tabla1[[#This Row],[Aboard]],0)</f>
        <v>1</v>
      </c>
      <c r="X4030" s="51" t="str" cm="1">
        <f t="array" ref="X4030">_xlfn.IFS(Tabla1[[#This Row],[Porcentaje de muertes]]&lt;0.35,"LEVE",AND(Tabla1[[#This Row],[Porcentaje de muertes]]&gt;0.35,Tabla1[[#This Row],[Porcentaje de muertes]]&lt;0.65),"MEDIO",Tabla1[[#This Row],[Porcentaje de muertes]]&gt;0.65,"GRAVE")</f>
        <v>GRAVE</v>
      </c>
    </row>
    <row r="4031" spans="2:24" x14ac:dyDescent="0.3">
      <c r="B4031" s="9">
        <v>4031</v>
      </c>
      <c r="C4031" s="49">
        <v>35134</v>
      </c>
      <c r="D4031" s="9">
        <f>YEAR(Tabla1[[#This Row],[Date]])</f>
        <v>1996</v>
      </c>
      <c r="E4031" s="9" t="str" cm="1">
        <f t="array" ref="E4031">IFERROR(_xlfn.IFS(AND(D4031&lt;1980,D4031&gt;=1970),"70",AND(D4031&lt;1990,D4031&gt;=1980),"80",AND(D4031&lt;2000,D4031&gt;=1990),"90",AND(D4031&lt;2010,D4031&gt;=2000),"00",AND(D4031&lt;=2019,D4031&gt;=2010),"10"),"1908-1970")</f>
        <v>90</v>
      </c>
      <c r="F4031" s="3" t="s">
        <v>28931</v>
      </c>
      <c r="G4031" t="s">
        <v>23281</v>
      </c>
      <c r="H4031" t="s">
        <v>23282</v>
      </c>
      <c r="I4031" t="s">
        <v>28931</v>
      </c>
      <c r="J4031" t="s">
        <v>28931</v>
      </c>
      <c r="K4031" t="s">
        <v>15361</v>
      </c>
      <c r="L4031" s="7" t="s">
        <v>23283</v>
      </c>
      <c r="M4031">
        <v>74</v>
      </c>
      <c r="N4031">
        <v>21</v>
      </c>
      <c r="O4031">
        <v>19</v>
      </c>
      <c r="P4031">
        <v>2</v>
      </c>
      <c r="Q4031">
        <v>6</v>
      </c>
      <c r="R4031">
        <v>4</v>
      </c>
      <c r="S4031">
        <v>2</v>
      </c>
      <c r="T4031">
        <v>0</v>
      </c>
      <c r="U4031" t="s">
        <v>23284</v>
      </c>
      <c r="V4031">
        <f>Tabla1[[#This Row],[Aboard]]-Tabla1[[#This Row],[Fatalities]]</f>
        <v>15</v>
      </c>
      <c r="W4031" s="50">
        <f>IFERROR(Tabla1[[#This Row],[Fatalities]]/Tabla1[[#This Row],[Aboard]],0)</f>
        <v>0.2857142857142857</v>
      </c>
      <c r="X4031" s="51" t="str" cm="1">
        <f t="array" ref="X4031">_xlfn.IFS(Tabla1[[#This Row],[Porcentaje de muertes]]&lt;0.35,"LEVE",AND(Tabla1[[#This Row],[Porcentaje de muertes]]&gt;0.35,Tabla1[[#This Row],[Porcentaje de muertes]]&lt;0.65),"MEDIO",Tabla1[[#This Row],[Porcentaje de muertes]]&gt;0.65,"GRAVE")</f>
        <v>LEVE</v>
      </c>
    </row>
    <row r="4032" spans="2:24" x14ac:dyDescent="0.3">
      <c r="B4032" s="9">
        <v>4032</v>
      </c>
      <c r="C4032" s="49">
        <v>35226</v>
      </c>
      <c r="D4032" s="9">
        <f>YEAR(Tabla1[[#This Row],[Date]])</f>
        <v>1996</v>
      </c>
      <c r="E4032" s="9" t="str" cm="1">
        <f t="array" ref="E4032">IFERROR(_xlfn.IFS(AND(D4032&lt;1980,D4032&gt;=1970),"70",AND(D4032&lt;1990,D4032&gt;=1980),"80",AND(D4032&lt;2000,D4032&gt;=1990),"90",AND(D4032&lt;2010,D4032&gt;=2000),"00",AND(D4032&lt;=2019,D4032&gt;=2010),"10"),"1908-1970")</f>
        <v>90</v>
      </c>
      <c r="F4032" s="3" t="s">
        <v>28931</v>
      </c>
      <c r="G4032" t="s">
        <v>23285</v>
      </c>
      <c r="H4032" t="s">
        <v>23286</v>
      </c>
      <c r="I4032" t="s">
        <v>28931</v>
      </c>
      <c r="J4032" t="s">
        <v>28931</v>
      </c>
      <c r="K4032" t="s">
        <v>23287</v>
      </c>
      <c r="L4032" s="7" t="s">
        <v>23288</v>
      </c>
      <c r="M4032">
        <v>1347703</v>
      </c>
      <c r="N4032">
        <v>19</v>
      </c>
      <c r="O4032">
        <v>13</v>
      </c>
      <c r="P4032">
        <v>6</v>
      </c>
      <c r="Q4032">
        <v>6</v>
      </c>
      <c r="R4032">
        <v>5</v>
      </c>
      <c r="S4032">
        <v>1</v>
      </c>
      <c r="T4032">
        <v>0</v>
      </c>
      <c r="U4032" t="s">
        <v>23289</v>
      </c>
      <c r="V4032">
        <f>Tabla1[[#This Row],[Aboard]]-Tabla1[[#This Row],[Fatalities]]</f>
        <v>13</v>
      </c>
      <c r="W4032" s="50">
        <f>IFERROR(Tabla1[[#This Row],[Fatalities]]/Tabla1[[#This Row],[Aboard]],0)</f>
        <v>0.31578947368421051</v>
      </c>
      <c r="X4032" s="51" t="str" cm="1">
        <f t="array" ref="X4032">_xlfn.IFS(Tabla1[[#This Row],[Porcentaje de muertes]]&lt;0.35,"LEVE",AND(Tabla1[[#This Row],[Porcentaje de muertes]]&gt;0.35,Tabla1[[#This Row],[Porcentaje de muertes]]&lt;0.65),"MEDIO",Tabla1[[#This Row],[Porcentaje de muertes]]&gt;0.65,"GRAVE")</f>
        <v>LEVE</v>
      </c>
    </row>
    <row r="4033" spans="2:24" x14ac:dyDescent="0.3">
      <c r="B4033" s="9">
        <v>4033</v>
      </c>
      <c r="C4033" s="49">
        <v>35287</v>
      </c>
      <c r="D4033" s="9">
        <f>YEAR(Tabla1[[#This Row],[Date]])</f>
        <v>1996</v>
      </c>
      <c r="E4033" s="9" t="str" cm="1">
        <f t="array" ref="E4033">IFERROR(_xlfn.IFS(AND(D4033&lt;1980,D4033&gt;=1970),"70",AND(D4033&lt;1990,D4033&gt;=1980),"80",AND(D4033&lt;2000,D4033&gt;=1990),"90",AND(D4033&lt;2010,D4033&gt;=2000),"00",AND(D4033&lt;=2019,D4033&gt;=2010),"10"),"1908-1970")</f>
        <v>90</v>
      </c>
      <c r="F4033" s="3">
        <v>0.4513888888888889</v>
      </c>
      <c r="G4033" t="s">
        <v>23290</v>
      </c>
      <c r="H4033" t="s">
        <v>6541</v>
      </c>
      <c r="I4033">
        <v>9981</v>
      </c>
      <c r="J4033" t="s">
        <v>23291</v>
      </c>
      <c r="K4033" t="s">
        <v>23292</v>
      </c>
      <c r="L4033" s="7" t="s">
        <v>23293</v>
      </c>
      <c r="M4033">
        <v>9773053359122</v>
      </c>
      <c r="N4033">
        <v>23</v>
      </c>
      <c r="O4033">
        <v>0</v>
      </c>
      <c r="P4033">
        <v>23</v>
      </c>
      <c r="Q4033">
        <v>2</v>
      </c>
      <c r="R4033">
        <v>0</v>
      </c>
      <c r="S4033">
        <v>2</v>
      </c>
      <c r="T4033">
        <v>2</v>
      </c>
      <c r="U4033" t="s">
        <v>23294</v>
      </c>
      <c r="V4033">
        <f>Tabla1[[#This Row],[Aboard]]-Tabla1[[#This Row],[Fatalities]]</f>
        <v>21</v>
      </c>
      <c r="W4033" s="50">
        <f>IFERROR(Tabla1[[#This Row],[Fatalities]]/Tabla1[[#This Row],[Aboard]],0)</f>
        <v>8.6956521739130432E-2</v>
      </c>
      <c r="X4033" s="51" t="str" cm="1">
        <f t="array" ref="X4033">_xlfn.IFS(Tabla1[[#This Row],[Porcentaje de muertes]]&lt;0.35,"LEVE",AND(Tabla1[[#This Row],[Porcentaje de muertes]]&gt;0.35,Tabla1[[#This Row],[Porcentaje de muertes]]&lt;0.65),"MEDIO",Tabla1[[#This Row],[Porcentaje de muertes]]&gt;0.65,"GRAVE")</f>
        <v>LEVE</v>
      </c>
    </row>
    <row r="4034" spans="2:24" x14ac:dyDescent="0.3">
      <c r="B4034" s="9">
        <v>4034</v>
      </c>
      <c r="C4034" s="49">
        <v>35360</v>
      </c>
      <c r="D4034" s="9">
        <f>YEAR(Tabla1[[#This Row],[Date]])</f>
        <v>1996</v>
      </c>
      <c r="E4034" s="9" t="str" cm="1">
        <f t="array" ref="E4034">IFERROR(_xlfn.IFS(AND(D4034&lt;1980,D4034&gt;=1970),"70",AND(D4034&lt;1990,D4034&gt;=1980),"80",AND(D4034&lt;2000,D4034&gt;=1990),"90",AND(D4034&lt;2010,D4034&gt;=2000),"00",AND(D4034&lt;=2019,D4034&gt;=2010),"10"),"1908-1970")</f>
        <v>90</v>
      </c>
      <c r="F4034" s="3">
        <v>0.94513888888888886</v>
      </c>
      <c r="G4034" t="s">
        <v>23295</v>
      </c>
      <c r="H4034" t="s">
        <v>23296</v>
      </c>
      <c r="I4034" t="s">
        <v>28931</v>
      </c>
      <c r="J4034" t="s">
        <v>23297</v>
      </c>
      <c r="K4034" t="s">
        <v>23298</v>
      </c>
      <c r="L4034" s="7" t="s">
        <v>23299</v>
      </c>
      <c r="M4034" t="s">
        <v>23300</v>
      </c>
      <c r="N4034">
        <v>4</v>
      </c>
      <c r="O4034">
        <v>0</v>
      </c>
      <c r="P4034">
        <v>4</v>
      </c>
      <c r="Q4034">
        <v>4</v>
      </c>
      <c r="R4034">
        <v>0</v>
      </c>
      <c r="S4034">
        <v>4</v>
      </c>
      <c r="T4034">
        <v>30</v>
      </c>
      <c r="U4034" t="s">
        <v>23301</v>
      </c>
      <c r="V4034">
        <f>Tabla1[[#This Row],[Aboard]]-Tabla1[[#This Row],[Fatalities]]</f>
        <v>0</v>
      </c>
      <c r="W4034" s="50">
        <f>IFERROR(Tabla1[[#This Row],[Fatalities]]/Tabla1[[#This Row],[Aboard]],0)</f>
        <v>1</v>
      </c>
      <c r="X4034" s="51" t="str" cm="1">
        <f t="array" ref="X4034">_xlfn.IFS(Tabla1[[#This Row],[Porcentaje de muertes]]&lt;0.35,"LEVE",AND(Tabla1[[#This Row],[Porcentaje de muertes]]&gt;0.35,Tabla1[[#This Row],[Porcentaje de muertes]]&lt;0.65),"MEDIO",Tabla1[[#This Row],[Porcentaje de muertes]]&gt;0.65,"GRAVE")</f>
        <v>GRAVE</v>
      </c>
    </row>
    <row r="4035" spans="2:24" x14ac:dyDescent="0.3">
      <c r="B4035" s="9">
        <v>4035</v>
      </c>
      <c r="C4035" s="49">
        <v>35364</v>
      </c>
      <c r="D4035" s="9">
        <f>YEAR(Tabla1[[#This Row],[Date]])</f>
        <v>1996</v>
      </c>
      <c r="E4035" s="9" t="str" cm="1">
        <f t="array" ref="E4035">IFERROR(_xlfn.IFS(AND(D4035&lt;1980,D4035&gt;=1970),"70",AND(D4035&lt;1990,D4035&gt;=1980),"80",AND(D4035&lt;2000,D4035&gt;=1990),"90",AND(D4035&lt;2010,D4035&gt;=2000),"00",AND(D4035&lt;=2019,D4035&gt;=2010),"10"),"1908-1970")</f>
        <v>90</v>
      </c>
      <c r="F4035" s="3">
        <v>0.86458333333333337</v>
      </c>
      <c r="G4035" t="s">
        <v>14337</v>
      </c>
      <c r="H4035" t="s">
        <v>23302</v>
      </c>
      <c r="I4035" t="s">
        <v>28931</v>
      </c>
      <c r="J4035" t="s">
        <v>14339</v>
      </c>
      <c r="K4035" t="s">
        <v>15961</v>
      </c>
      <c r="L4035" s="7" t="s">
        <v>23303</v>
      </c>
      <c r="M4035">
        <v>9711252</v>
      </c>
      <c r="N4035">
        <v>34</v>
      </c>
      <c r="O4035">
        <v>30</v>
      </c>
      <c r="P4035">
        <v>4</v>
      </c>
      <c r="Q4035">
        <v>5</v>
      </c>
      <c r="R4035">
        <v>3</v>
      </c>
      <c r="S4035">
        <v>2</v>
      </c>
      <c r="T4035">
        <v>0</v>
      </c>
      <c r="U4035" t="s">
        <v>23304</v>
      </c>
      <c r="V4035">
        <f>Tabla1[[#This Row],[Aboard]]-Tabla1[[#This Row],[Fatalities]]</f>
        <v>29</v>
      </c>
      <c r="W4035" s="50">
        <f>IFERROR(Tabla1[[#This Row],[Fatalities]]/Tabla1[[#This Row],[Aboard]],0)</f>
        <v>0.14705882352941177</v>
      </c>
      <c r="X4035" s="51" t="str" cm="1">
        <f t="array" ref="X4035">_xlfn.IFS(Tabla1[[#This Row],[Porcentaje de muertes]]&lt;0.35,"LEVE",AND(Tabla1[[#This Row],[Porcentaje de muertes]]&gt;0.35,Tabla1[[#This Row],[Porcentaje de muertes]]&lt;0.65),"MEDIO",Tabla1[[#This Row],[Porcentaje de muertes]]&gt;0.65,"GRAVE")</f>
        <v>LEVE</v>
      </c>
    </row>
    <row r="4036" spans="2:24" x14ac:dyDescent="0.3">
      <c r="B4036" s="9">
        <v>4036</v>
      </c>
      <c r="C4036" s="49">
        <v>35369</v>
      </c>
      <c r="D4036" s="9">
        <f>YEAR(Tabla1[[#This Row],[Date]])</f>
        <v>1996</v>
      </c>
      <c r="E4036" s="9" t="str" cm="1">
        <f t="array" ref="E4036">IFERROR(_xlfn.IFS(AND(D4036&lt;1980,D4036&gt;=1970),"70",AND(D4036&lt;1990,D4036&gt;=1980),"80",AND(D4036&lt;2000,D4036&gt;=1990),"90",AND(D4036&lt;2010,D4036&gt;=2000),"00",AND(D4036&lt;=2019,D4036&gt;=2010),"10"),"1908-1970")</f>
        <v>90</v>
      </c>
      <c r="F4036" s="3">
        <v>0.3520833333333333</v>
      </c>
      <c r="G4036" t="s">
        <v>23305</v>
      </c>
      <c r="H4036" t="s">
        <v>11392</v>
      </c>
      <c r="I4036">
        <v>402</v>
      </c>
      <c r="J4036" t="s">
        <v>23306</v>
      </c>
      <c r="K4036" t="s">
        <v>22186</v>
      </c>
      <c r="L4036" s="7" t="s">
        <v>23307</v>
      </c>
      <c r="M4036">
        <v>11440</v>
      </c>
      <c r="N4036">
        <v>95</v>
      </c>
      <c r="O4036">
        <v>89</v>
      </c>
      <c r="P4036">
        <v>6</v>
      </c>
      <c r="Q4036">
        <v>95</v>
      </c>
      <c r="R4036">
        <v>89</v>
      </c>
      <c r="S4036">
        <v>6</v>
      </c>
      <c r="T4036">
        <v>3</v>
      </c>
      <c r="U4036" t="s">
        <v>23308</v>
      </c>
      <c r="V4036">
        <f>Tabla1[[#This Row],[Aboard]]-Tabla1[[#This Row],[Fatalities]]</f>
        <v>0</v>
      </c>
      <c r="W4036" s="50">
        <f>IFERROR(Tabla1[[#This Row],[Fatalities]]/Tabla1[[#This Row],[Aboard]],0)</f>
        <v>1</v>
      </c>
      <c r="X4036" s="51" t="str" cm="1">
        <f t="array" ref="X4036">_xlfn.IFS(Tabla1[[#This Row],[Porcentaje de muertes]]&lt;0.35,"LEVE",AND(Tabla1[[#This Row],[Porcentaje de muertes]]&gt;0.35,Tabla1[[#This Row],[Porcentaje de muertes]]&lt;0.65),"MEDIO",Tabla1[[#This Row],[Porcentaje de muertes]]&gt;0.65,"GRAVE")</f>
        <v>GRAVE</v>
      </c>
    </row>
    <row r="4037" spans="2:24" x14ac:dyDescent="0.3">
      <c r="B4037" s="9">
        <v>4037</v>
      </c>
      <c r="C4037" s="49">
        <v>35075</v>
      </c>
      <c r="D4037" s="9">
        <f>YEAR(Tabla1[[#This Row],[Date]])</f>
        <v>1996</v>
      </c>
      <c r="E4037" s="9" t="str" cm="1">
        <f t="array" ref="E4037">IFERROR(_xlfn.IFS(AND(D4037&lt;1980,D4037&gt;=1970),"70",AND(D4037&lt;1990,D4037&gt;=1980),"80",AND(D4037&lt;2000,D4037&gt;=1990),"90",AND(D4037&lt;2010,D4037&gt;=2000),"00",AND(D4037&lt;=2019,D4037&gt;=2010),"10"),"1908-1970")</f>
        <v>90</v>
      </c>
      <c r="F4037" s="3">
        <v>0.34027777777777773</v>
      </c>
      <c r="G4037" t="s">
        <v>23309</v>
      </c>
      <c r="H4037" t="s">
        <v>23310</v>
      </c>
      <c r="I4037" t="s">
        <v>28931</v>
      </c>
      <c r="J4037" t="s">
        <v>23311</v>
      </c>
      <c r="K4037" t="s">
        <v>18953</v>
      </c>
      <c r="L4037" s="7" t="s">
        <v>23312</v>
      </c>
      <c r="M4037">
        <v>110313</v>
      </c>
      <c r="N4037">
        <v>16</v>
      </c>
      <c r="O4037">
        <v>14</v>
      </c>
      <c r="P4037">
        <v>2</v>
      </c>
      <c r="Q4037">
        <v>16</v>
      </c>
      <c r="R4037">
        <v>14</v>
      </c>
      <c r="S4037">
        <v>2</v>
      </c>
      <c r="T4037">
        <v>0</v>
      </c>
      <c r="U4037" t="s">
        <v>23313</v>
      </c>
      <c r="V4037">
        <f>Tabla1[[#This Row],[Aboard]]-Tabla1[[#This Row],[Fatalities]]</f>
        <v>0</v>
      </c>
      <c r="W4037" s="50">
        <f>IFERROR(Tabla1[[#This Row],[Fatalities]]/Tabla1[[#This Row],[Aboard]],0)</f>
        <v>1</v>
      </c>
      <c r="X4037" s="51" t="str" cm="1">
        <f t="array" ref="X4037">_xlfn.IFS(Tabla1[[#This Row],[Porcentaje de muertes]]&lt;0.35,"LEVE",AND(Tabla1[[#This Row],[Porcentaje de muertes]]&gt;0.35,Tabla1[[#This Row],[Porcentaje de muertes]]&lt;0.65),"MEDIO",Tabla1[[#This Row],[Porcentaje de muertes]]&gt;0.65,"GRAVE")</f>
        <v>GRAVE</v>
      </c>
    </row>
    <row r="4038" spans="2:24" x14ac:dyDescent="0.3">
      <c r="B4038" s="9">
        <v>4038</v>
      </c>
      <c r="C4038" s="49">
        <v>35257</v>
      </c>
      <c r="D4038" s="9">
        <f>YEAR(Tabla1[[#This Row],[Date]])</f>
        <v>1996</v>
      </c>
      <c r="E4038" s="9" t="str" cm="1">
        <f t="array" ref="E4038">IFERROR(_xlfn.IFS(AND(D4038&lt;1980,D4038&gt;=1970),"70",AND(D4038&lt;1990,D4038&gt;=1980),"80",AND(D4038&lt;2000,D4038&gt;=1990),"90",AND(D4038&lt;2010,D4038&gt;=2000),"00",AND(D4038&lt;=2019,D4038&gt;=2010),"10"),"1908-1970")</f>
        <v>90</v>
      </c>
      <c r="F4038" s="3">
        <v>0.70833333333333337</v>
      </c>
      <c r="G4038" t="s">
        <v>22797</v>
      </c>
      <c r="H4038" t="s">
        <v>23314</v>
      </c>
      <c r="I4038">
        <v>86</v>
      </c>
      <c r="J4038" t="s">
        <v>22798</v>
      </c>
      <c r="K4038" t="s">
        <v>17227</v>
      </c>
      <c r="L4038" s="7" t="s">
        <v>23315</v>
      </c>
      <c r="M4038" t="s">
        <v>23316</v>
      </c>
      <c r="N4038">
        <v>143</v>
      </c>
      <c r="O4038">
        <v>134</v>
      </c>
      <c r="P4038">
        <v>9</v>
      </c>
      <c r="Q4038">
        <v>143</v>
      </c>
      <c r="R4038">
        <v>134</v>
      </c>
      <c r="S4038">
        <v>9</v>
      </c>
      <c r="T4038">
        <v>0</v>
      </c>
      <c r="U4038" t="s">
        <v>23317</v>
      </c>
      <c r="V4038">
        <f>Tabla1[[#This Row],[Aboard]]-Tabla1[[#This Row],[Fatalities]]</f>
        <v>0</v>
      </c>
      <c r="W4038" s="50">
        <f>IFERROR(Tabla1[[#This Row],[Fatalities]]/Tabla1[[#This Row],[Aboard]],0)</f>
        <v>1</v>
      </c>
      <c r="X4038" s="51" t="str" cm="1">
        <f t="array" ref="X4038">_xlfn.IFS(Tabla1[[#This Row],[Porcentaje de muertes]]&lt;0.35,"LEVE",AND(Tabla1[[#This Row],[Porcentaje de muertes]]&gt;0.35,Tabla1[[#This Row],[Porcentaje de muertes]]&lt;0.65),"MEDIO",Tabla1[[#This Row],[Porcentaje de muertes]]&gt;0.65,"GRAVE")</f>
        <v>GRAVE</v>
      </c>
    </row>
    <row r="4039" spans="2:24" x14ac:dyDescent="0.3">
      <c r="B4039" s="9">
        <v>4039</v>
      </c>
      <c r="C4039" s="49">
        <v>35257</v>
      </c>
      <c r="D4039" s="9">
        <f>YEAR(Tabla1[[#This Row],[Date]])</f>
        <v>1996</v>
      </c>
      <c r="E4039" s="9" t="str" cm="1">
        <f t="array" ref="E4039">IFERROR(_xlfn.IFS(AND(D4039&lt;1980,D4039&gt;=1970),"70",AND(D4039&lt;1990,D4039&gt;=1980),"80",AND(D4039&lt;2000,D4039&gt;=1990),"90",AND(D4039&lt;2010,D4039&gt;=2000),"00",AND(D4039&lt;=2019,D4039&gt;=2010),"10"),"1908-1970")</f>
        <v>90</v>
      </c>
      <c r="F4039" s="3">
        <v>0.39513888888888887</v>
      </c>
      <c r="G4039" t="s">
        <v>23318</v>
      </c>
      <c r="H4039" t="s">
        <v>23319</v>
      </c>
      <c r="I4039" t="s">
        <v>28931</v>
      </c>
      <c r="J4039" t="s">
        <v>23320</v>
      </c>
      <c r="K4039" t="s">
        <v>22939</v>
      </c>
      <c r="L4039" s="7" t="s">
        <v>23321</v>
      </c>
      <c r="M4039" t="s">
        <v>23322</v>
      </c>
      <c r="N4039">
        <v>8</v>
      </c>
      <c r="O4039">
        <v>7</v>
      </c>
      <c r="P4039">
        <v>1</v>
      </c>
      <c r="Q4039">
        <v>8</v>
      </c>
      <c r="R4039">
        <v>7</v>
      </c>
      <c r="S4039">
        <v>1</v>
      </c>
      <c r="T4039">
        <v>0</v>
      </c>
      <c r="U4039" t="s">
        <v>23323</v>
      </c>
      <c r="V4039">
        <f>Tabla1[[#This Row],[Aboard]]-Tabla1[[#This Row],[Fatalities]]</f>
        <v>0</v>
      </c>
      <c r="W4039" s="50">
        <f>IFERROR(Tabla1[[#This Row],[Fatalities]]/Tabla1[[#This Row],[Aboard]],0)</f>
        <v>1</v>
      </c>
      <c r="X4039" s="51" t="str" cm="1">
        <f t="array" ref="X4039">_xlfn.IFS(Tabla1[[#This Row],[Porcentaje de muertes]]&lt;0.35,"LEVE",AND(Tabla1[[#This Row],[Porcentaje de muertes]]&gt;0.35,Tabla1[[#This Row],[Porcentaje de muertes]]&lt;0.65),"MEDIO",Tabla1[[#This Row],[Porcentaje de muertes]]&gt;0.65,"GRAVE")</f>
        <v>GRAVE</v>
      </c>
    </row>
    <row r="4040" spans="2:24" x14ac:dyDescent="0.3">
      <c r="B4040" s="9">
        <v>4040</v>
      </c>
      <c r="C4040" s="49">
        <v>35410</v>
      </c>
      <c r="D4040" s="9">
        <f>YEAR(Tabla1[[#This Row],[Date]])</f>
        <v>1996</v>
      </c>
      <c r="E4040" s="9" t="str" cm="1">
        <f t="array" ref="E4040">IFERROR(_xlfn.IFS(AND(D4040&lt;1980,D4040&gt;=1970),"70",AND(D4040&lt;1990,D4040&gt;=1980),"80",AND(D4040&lt;2000,D4040&gt;=1990),"90",AND(D4040&lt;2010,D4040&gt;=2000),"00",AND(D4040&lt;=2019,D4040&gt;=2010),"10"),"1908-1970")</f>
        <v>90</v>
      </c>
      <c r="F4040" s="3">
        <v>0.77777777777777779</v>
      </c>
      <c r="G4040" t="s">
        <v>23324</v>
      </c>
      <c r="H4040" t="s">
        <v>23325</v>
      </c>
      <c r="I4040" t="s">
        <v>23326</v>
      </c>
      <c r="J4040" t="s">
        <v>23327</v>
      </c>
      <c r="K4040" t="s">
        <v>23328</v>
      </c>
      <c r="L4040" s="7" t="s">
        <v>23329</v>
      </c>
      <c r="M4040" t="s">
        <v>23330</v>
      </c>
      <c r="N4040">
        <v>349</v>
      </c>
      <c r="O4040">
        <v>316</v>
      </c>
      <c r="P4040">
        <v>33</v>
      </c>
      <c r="Q4040">
        <v>349</v>
      </c>
      <c r="R4040">
        <v>316</v>
      </c>
      <c r="S4040">
        <v>33</v>
      </c>
      <c r="T4040">
        <v>0</v>
      </c>
      <c r="U4040" t="s">
        <v>23331</v>
      </c>
      <c r="V4040">
        <f>Tabla1[[#This Row],[Aboard]]-Tabla1[[#This Row],[Fatalities]]</f>
        <v>0</v>
      </c>
      <c r="W4040" s="50">
        <f>IFERROR(Tabla1[[#This Row],[Fatalities]]/Tabla1[[#This Row],[Aboard]],0)</f>
        <v>1</v>
      </c>
      <c r="X4040" s="51" t="str" cm="1">
        <f t="array" ref="X4040">_xlfn.IFS(Tabla1[[#This Row],[Porcentaje de muertes]]&lt;0.35,"LEVE",AND(Tabla1[[#This Row],[Porcentaje de muertes]]&gt;0.35,Tabla1[[#This Row],[Porcentaje de muertes]]&lt;0.65),"MEDIO",Tabla1[[#This Row],[Porcentaje de muertes]]&gt;0.65,"GRAVE")</f>
        <v>GRAVE</v>
      </c>
    </row>
    <row r="4041" spans="2:24" x14ac:dyDescent="0.3">
      <c r="B4041" s="9">
        <v>4041</v>
      </c>
      <c r="C4041" s="49">
        <v>35383</v>
      </c>
      <c r="D4041" s="9">
        <f>YEAR(Tabla1[[#This Row],[Date]])</f>
        <v>1996</v>
      </c>
      <c r="E4041" s="9" t="str" cm="1">
        <f t="array" ref="E4041">IFERROR(_xlfn.IFS(AND(D4041&lt;1980,D4041&gt;=1970),"70",AND(D4041&lt;1990,D4041&gt;=1980),"80",AND(D4041&lt;2000,D4041&gt;=1990),"90",AND(D4041&lt;2010,D4041&gt;=2000),"00",AND(D4041&lt;=2019,D4041&gt;=2010),"10"),"1908-1970")</f>
        <v>90</v>
      </c>
      <c r="F4041" s="3">
        <v>0.54305555555555551</v>
      </c>
      <c r="G4041" t="s">
        <v>23332</v>
      </c>
      <c r="H4041" t="s">
        <v>23333</v>
      </c>
      <c r="I4041" t="s">
        <v>28931</v>
      </c>
      <c r="J4041" t="s">
        <v>23334</v>
      </c>
      <c r="K4041" t="s">
        <v>14581</v>
      </c>
      <c r="L4041" s="7" t="s">
        <v>23335</v>
      </c>
      <c r="M4041" t="s">
        <v>23336</v>
      </c>
      <c r="N4041">
        <v>15</v>
      </c>
      <c r="O4041">
        <v>13</v>
      </c>
      <c r="P4041">
        <v>2</v>
      </c>
      <c r="Q4041">
        <v>14</v>
      </c>
      <c r="R4041">
        <v>13</v>
      </c>
      <c r="S4041">
        <v>1</v>
      </c>
      <c r="T4041">
        <v>0</v>
      </c>
      <c r="U4041" t="s">
        <v>23337</v>
      </c>
      <c r="V4041">
        <f>Tabla1[[#This Row],[Aboard]]-Tabla1[[#This Row],[Fatalities]]</f>
        <v>1</v>
      </c>
      <c r="W4041" s="50">
        <f>IFERROR(Tabla1[[#This Row],[Fatalities]]/Tabla1[[#This Row],[Aboard]],0)</f>
        <v>0.93333333333333335</v>
      </c>
      <c r="X4041" s="51" t="str" cm="1">
        <f t="array" ref="X4041">_xlfn.IFS(Tabla1[[#This Row],[Porcentaje de muertes]]&lt;0.35,"LEVE",AND(Tabla1[[#This Row],[Porcentaje de muertes]]&gt;0.35,Tabla1[[#This Row],[Porcentaje de muertes]]&lt;0.65),"MEDIO",Tabla1[[#This Row],[Porcentaje de muertes]]&gt;0.65,"GRAVE")</f>
        <v>GRAVE</v>
      </c>
    </row>
    <row r="4042" spans="2:24" x14ac:dyDescent="0.3">
      <c r="B4042" s="9">
        <v>4042</v>
      </c>
      <c r="C4042" s="49">
        <v>35388</v>
      </c>
      <c r="D4042" s="9">
        <f>YEAR(Tabla1[[#This Row],[Date]])</f>
        <v>1996</v>
      </c>
      <c r="E4042" s="9" t="str" cm="1">
        <f t="array" ref="E4042">IFERROR(_xlfn.IFS(AND(D4042&lt;1980,D4042&gt;=1970),"70",AND(D4042&lt;1990,D4042&gt;=1980),"80",AND(D4042&lt;2000,D4042&gt;=1990),"90",AND(D4042&lt;2010,D4042&gt;=2000),"00",AND(D4042&lt;=2019,D4042&gt;=2010),"10"),"1908-1970")</f>
        <v>90</v>
      </c>
      <c r="F4042" s="3">
        <v>0.7090277777777777</v>
      </c>
      <c r="G4042" t="s">
        <v>23338</v>
      </c>
      <c r="H4042" t="s">
        <v>23339</v>
      </c>
      <c r="I4042">
        <v>5925</v>
      </c>
      <c r="J4042" t="s">
        <v>23340</v>
      </c>
      <c r="K4042" t="s">
        <v>23341</v>
      </c>
      <c r="L4042" s="7" t="s">
        <v>23342</v>
      </c>
      <c r="M4042" t="s">
        <v>23343</v>
      </c>
      <c r="N4042">
        <v>14</v>
      </c>
      <c r="O4042">
        <v>10</v>
      </c>
      <c r="P4042">
        <v>4</v>
      </c>
      <c r="Q4042">
        <v>14</v>
      </c>
      <c r="R4042">
        <v>10</v>
      </c>
      <c r="S4042">
        <v>4</v>
      </c>
      <c r="T4042">
        <v>0</v>
      </c>
      <c r="U4042" t="s">
        <v>23344</v>
      </c>
      <c r="V4042">
        <f>Tabla1[[#This Row],[Aboard]]-Tabla1[[#This Row],[Fatalities]]</f>
        <v>0</v>
      </c>
      <c r="W4042" s="50">
        <f>IFERROR(Tabla1[[#This Row],[Fatalities]]/Tabla1[[#This Row],[Aboard]],0)</f>
        <v>1</v>
      </c>
      <c r="X4042" s="51" t="str" cm="1">
        <f t="array" ref="X4042">_xlfn.IFS(Tabla1[[#This Row],[Porcentaje de muertes]]&lt;0.35,"LEVE",AND(Tabla1[[#This Row],[Porcentaje de muertes]]&gt;0.35,Tabla1[[#This Row],[Porcentaje de muertes]]&lt;0.65),"MEDIO",Tabla1[[#This Row],[Porcentaje de muertes]]&gt;0.65,"GRAVE")</f>
        <v>GRAVE</v>
      </c>
    </row>
    <row r="4043" spans="2:24" x14ac:dyDescent="0.3">
      <c r="B4043" s="9">
        <v>4043</v>
      </c>
      <c r="C4043" s="49">
        <v>35391</v>
      </c>
      <c r="D4043" s="9">
        <f>YEAR(Tabla1[[#This Row],[Date]])</f>
        <v>1996</v>
      </c>
      <c r="E4043" s="9" t="str" cm="1">
        <f t="array" ref="E4043">IFERROR(_xlfn.IFS(AND(D4043&lt;1980,D4043&gt;=1970),"70",AND(D4043&lt;1990,D4043&gt;=1980),"80",AND(D4043&lt;2000,D4043&gt;=1990),"90",AND(D4043&lt;2010,D4043&gt;=2000),"00",AND(D4043&lt;=2019,D4043&gt;=2010),"10"),"1908-1970")</f>
        <v>90</v>
      </c>
      <c r="F4043" s="3">
        <v>0.8125</v>
      </c>
      <c r="G4043" t="s">
        <v>23345</v>
      </c>
      <c r="H4043" t="s">
        <v>7987</v>
      </c>
      <c r="I4043" t="s">
        <v>28931</v>
      </c>
      <c r="J4043" t="s">
        <v>23346</v>
      </c>
      <c r="K4043" t="s">
        <v>20087</v>
      </c>
      <c r="L4043" s="7" t="s">
        <v>23347</v>
      </c>
      <c r="M4043">
        <v>4072</v>
      </c>
      <c r="N4043">
        <v>11</v>
      </c>
      <c r="O4043">
        <v>0</v>
      </c>
      <c r="P4043">
        <v>11</v>
      </c>
      <c r="Q4043">
        <v>10</v>
      </c>
      <c r="R4043">
        <v>0</v>
      </c>
      <c r="S4043">
        <v>10</v>
      </c>
      <c r="T4043">
        <v>0</v>
      </c>
      <c r="U4043" t="s">
        <v>23348</v>
      </c>
      <c r="V4043">
        <f>Tabla1[[#This Row],[Aboard]]-Tabla1[[#This Row],[Fatalities]]</f>
        <v>1</v>
      </c>
      <c r="W4043" s="50">
        <f>IFERROR(Tabla1[[#This Row],[Fatalities]]/Tabla1[[#This Row],[Aboard]],0)</f>
        <v>0.90909090909090906</v>
      </c>
      <c r="X4043" s="51" t="str" cm="1">
        <f t="array" ref="X4043">_xlfn.IFS(Tabla1[[#This Row],[Porcentaje de muertes]]&lt;0.35,"LEVE",AND(Tabla1[[#This Row],[Porcentaje de muertes]]&gt;0.35,Tabla1[[#This Row],[Porcentaje de muertes]]&lt;0.65),"MEDIO",Tabla1[[#This Row],[Porcentaje de muertes]]&gt;0.65,"GRAVE")</f>
        <v>GRAVE</v>
      </c>
    </row>
    <row r="4044" spans="2:24" x14ac:dyDescent="0.3">
      <c r="B4044" s="9">
        <v>4044</v>
      </c>
      <c r="C4044" s="49">
        <v>35392</v>
      </c>
      <c r="D4044" s="9">
        <f>YEAR(Tabla1[[#This Row],[Date]])</f>
        <v>1996</v>
      </c>
      <c r="E4044" s="9" t="str" cm="1">
        <f t="array" ref="E4044">IFERROR(_xlfn.IFS(AND(D4044&lt;1980,D4044&gt;=1970),"70",AND(D4044&lt;1990,D4044&gt;=1980),"80",AND(D4044&lt;2000,D4044&gt;=1990),"90",AND(D4044&lt;2010,D4044&gt;=2000),"00",AND(D4044&lt;=2019,D4044&gt;=2010),"10"),"1908-1970")</f>
        <v>90</v>
      </c>
      <c r="F4044" s="3">
        <v>0.63541666666666663</v>
      </c>
      <c r="G4044" t="s">
        <v>23349</v>
      </c>
      <c r="H4044" t="s">
        <v>13000</v>
      </c>
      <c r="I4044">
        <v>961</v>
      </c>
      <c r="J4044" t="s">
        <v>23350</v>
      </c>
      <c r="K4044" t="s">
        <v>23351</v>
      </c>
      <c r="L4044" s="7" t="s">
        <v>23352</v>
      </c>
      <c r="M4044" t="s">
        <v>23353</v>
      </c>
      <c r="N4044">
        <v>175</v>
      </c>
      <c r="O4044">
        <v>163</v>
      </c>
      <c r="P4044">
        <v>12</v>
      </c>
      <c r="Q4044">
        <v>127</v>
      </c>
      <c r="R4044">
        <v>117</v>
      </c>
      <c r="S4044">
        <v>10</v>
      </c>
      <c r="T4044">
        <v>0</v>
      </c>
      <c r="U4044" t="s">
        <v>23354</v>
      </c>
      <c r="V4044">
        <f>Tabla1[[#This Row],[Aboard]]-Tabla1[[#This Row],[Fatalities]]</f>
        <v>48</v>
      </c>
      <c r="W4044" s="50">
        <f>IFERROR(Tabla1[[#This Row],[Fatalities]]/Tabla1[[#This Row],[Aboard]],0)</f>
        <v>0.72571428571428576</v>
      </c>
      <c r="X4044" s="51" t="str" cm="1">
        <f t="array" ref="X4044">_xlfn.IFS(Tabla1[[#This Row],[Porcentaje de muertes]]&lt;0.35,"LEVE",AND(Tabla1[[#This Row],[Porcentaje de muertes]]&gt;0.35,Tabla1[[#This Row],[Porcentaje de muertes]]&lt;0.65),"MEDIO",Tabla1[[#This Row],[Porcentaje de muertes]]&gt;0.65,"GRAVE")</f>
        <v>GRAVE</v>
      </c>
    </row>
    <row r="4045" spans="2:24" x14ac:dyDescent="0.3">
      <c r="B4045" s="9">
        <v>4045</v>
      </c>
      <c r="C4045" s="49">
        <v>35396</v>
      </c>
      <c r="D4045" s="9">
        <f>YEAR(Tabla1[[#This Row],[Date]])</f>
        <v>1996</v>
      </c>
      <c r="E4045" s="9" t="str" cm="1">
        <f t="array" ref="E4045">IFERROR(_xlfn.IFS(AND(D4045&lt;1980,D4045&gt;=1970),"70",AND(D4045&lt;1990,D4045&gt;=1980),"80",AND(D4045&lt;2000,D4045&gt;=1990),"90",AND(D4045&lt;2010,D4045&gt;=2000),"00",AND(D4045&lt;=2019,D4045&gt;=2010),"10"),"1908-1970")</f>
        <v>90</v>
      </c>
      <c r="F4045" s="3">
        <v>0.49583333333333335</v>
      </c>
      <c r="G4045" t="s">
        <v>23355</v>
      </c>
      <c r="H4045" t="s">
        <v>15187</v>
      </c>
      <c r="I4045" t="s">
        <v>28931</v>
      </c>
      <c r="J4045" t="s">
        <v>23356</v>
      </c>
      <c r="K4045" t="s">
        <v>21088</v>
      </c>
      <c r="L4045" s="7" t="s">
        <v>23357</v>
      </c>
      <c r="M4045">
        <v>93492278</v>
      </c>
      <c r="N4045">
        <v>23</v>
      </c>
      <c r="O4045">
        <v>19</v>
      </c>
      <c r="P4045">
        <v>4</v>
      </c>
      <c r="Q4045">
        <v>23</v>
      </c>
      <c r="R4045">
        <v>19</v>
      </c>
      <c r="S4045">
        <v>4</v>
      </c>
      <c r="T4045">
        <v>0</v>
      </c>
      <c r="U4045" t="s">
        <v>23358</v>
      </c>
      <c r="V4045">
        <f>Tabla1[[#This Row],[Aboard]]-Tabla1[[#This Row],[Fatalities]]</f>
        <v>0</v>
      </c>
      <c r="W4045" s="50">
        <f>IFERROR(Tabla1[[#This Row],[Fatalities]]/Tabla1[[#This Row],[Aboard]],0)</f>
        <v>1</v>
      </c>
      <c r="X4045" s="51" t="str" cm="1">
        <f t="array" ref="X4045">_xlfn.IFS(Tabla1[[#This Row],[Porcentaje de muertes]]&lt;0.35,"LEVE",AND(Tabla1[[#This Row],[Porcentaje de muertes]]&gt;0.35,Tabla1[[#This Row],[Porcentaje de muertes]]&lt;0.65),"MEDIO",Tabla1[[#This Row],[Porcentaje de muertes]]&gt;0.65,"GRAVE")</f>
        <v>GRAVE</v>
      </c>
    </row>
    <row r="4046" spans="2:24" x14ac:dyDescent="0.3">
      <c r="B4046" s="9">
        <v>4046</v>
      </c>
      <c r="C4046" s="49">
        <v>35399</v>
      </c>
      <c r="D4046" s="9">
        <f>YEAR(Tabla1[[#This Row],[Date]])</f>
        <v>1996</v>
      </c>
      <c r="E4046" s="9" t="str" cm="1">
        <f t="array" ref="E4046">IFERROR(_xlfn.IFS(AND(D4046&lt;1980,D4046&gt;=1970),"70",AND(D4046&lt;1990,D4046&gt;=1980),"80",AND(D4046&lt;2000,D4046&gt;=1990),"90",AND(D4046&lt;2010,D4046&gt;=2000),"00",AND(D4046&lt;=2019,D4046&gt;=2010),"10"),"1908-1970")</f>
        <v>90</v>
      </c>
      <c r="F4046" s="3">
        <v>0.43958333333333338</v>
      </c>
      <c r="G4046" t="s">
        <v>6615</v>
      </c>
      <c r="H4046" t="s">
        <v>19047</v>
      </c>
      <c r="I4046">
        <v>148</v>
      </c>
      <c r="J4046" t="s">
        <v>23359</v>
      </c>
      <c r="K4046" t="s">
        <v>16680</v>
      </c>
      <c r="L4046" s="7" t="s">
        <v>23360</v>
      </c>
      <c r="M4046">
        <v>746</v>
      </c>
      <c r="N4046">
        <v>15</v>
      </c>
      <c r="O4046">
        <v>13</v>
      </c>
      <c r="P4046">
        <v>2</v>
      </c>
      <c r="Q4046">
        <v>14</v>
      </c>
      <c r="R4046">
        <v>12</v>
      </c>
      <c r="S4046">
        <v>2</v>
      </c>
      <c r="T4046">
        <v>0</v>
      </c>
      <c r="U4046" t="s">
        <v>23361</v>
      </c>
      <c r="V4046">
        <f>Tabla1[[#This Row],[Aboard]]-Tabla1[[#This Row],[Fatalities]]</f>
        <v>1</v>
      </c>
      <c r="W4046" s="50">
        <f>IFERROR(Tabla1[[#This Row],[Fatalities]]/Tabla1[[#This Row],[Aboard]],0)</f>
        <v>0.93333333333333335</v>
      </c>
      <c r="X4046" s="51" t="str" cm="1">
        <f t="array" ref="X4046">_xlfn.IFS(Tabla1[[#This Row],[Porcentaje de muertes]]&lt;0.35,"LEVE",AND(Tabla1[[#This Row],[Porcentaje de muertes]]&gt;0.35,Tabla1[[#This Row],[Porcentaje de muertes]]&lt;0.65),"MEDIO",Tabla1[[#This Row],[Porcentaje de muertes]]&gt;0.65,"GRAVE")</f>
        <v>GRAVE</v>
      </c>
    </row>
    <row r="4047" spans="2:24" x14ac:dyDescent="0.3">
      <c r="B4047" s="9">
        <v>4047</v>
      </c>
      <c r="C4047" s="49">
        <v>35258</v>
      </c>
      <c r="D4047" s="9">
        <f>YEAR(Tabla1[[#This Row],[Date]])</f>
        <v>1996</v>
      </c>
      <c r="E4047" s="9" t="str" cm="1">
        <f t="array" ref="E4047">IFERROR(_xlfn.IFS(AND(D4047&lt;1980,D4047&gt;=1970),"70",AND(D4047&lt;1990,D4047&gt;=1980),"80",AND(D4047&lt;2000,D4047&gt;=1990),"90",AND(D4047&lt;2010,D4047&gt;=2000),"00",AND(D4047&lt;=2019,D4047&gt;=2010),"10"),"1908-1970")</f>
        <v>90</v>
      </c>
      <c r="F4047" s="3">
        <v>0.64097222222222217</v>
      </c>
      <c r="G4047" t="s">
        <v>17726</v>
      </c>
      <c r="H4047" t="s">
        <v>21693</v>
      </c>
      <c r="I4047" t="s">
        <v>28931</v>
      </c>
      <c r="J4047" t="s">
        <v>23362</v>
      </c>
      <c r="K4047" t="s">
        <v>18608</v>
      </c>
      <c r="L4047" s="7" t="s">
        <v>23363</v>
      </c>
      <c r="M4047" t="s">
        <v>23364</v>
      </c>
      <c r="N4047">
        <v>17</v>
      </c>
      <c r="O4047">
        <v>15</v>
      </c>
      <c r="P4047">
        <v>2</v>
      </c>
      <c r="Q4047">
        <v>16</v>
      </c>
      <c r="R4047">
        <v>14</v>
      </c>
      <c r="S4047">
        <v>2</v>
      </c>
      <c r="T4047">
        <v>2</v>
      </c>
      <c r="U4047" t="s">
        <v>23365</v>
      </c>
      <c r="V4047">
        <f>Tabla1[[#This Row],[Aboard]]-Tabla1[[#This Row],[Fatalities]]</f>
        <v>1</v>
      </c>
      <c r="W4047" s="50">
        <f>IFERROR(Tabla1[[#This Row],[Fatalities]]/Tabla1[[#This Row],[Aboard]],0)</f>
        <v>0.94117647058823528</v>
      </c>
      <c r="X4047" s="51" t="str" cm="1">
        <f t="array" ref="X4047">_xlfn.IFS(Tabla1[[#This Row],[Porcentaje de muertes]]&lt;0.35,"LEVE",AND(Tabla1[[#This Row],[Porcentaje de muertes]]&gt;0.35,Tabla1[[#This Row],[Porcentaje de muertes]]&lt;0.65),"MEDIO",Tabla1[[#This Row],[Porcentaje de muertes]]&gt;0.65,"GRAVE")</f>
        <v>GRAVE</v>
      </c>
    </row>
    <row r="4048" spans="2:24" x14ac:dyDescent="0.3">
      <c r="B4048" s="9">
        <v>4048</v>
      </c>
      <c r="C4048" s="49">
        <v>35320</v>
      </c>
      <c r="D4048" s="9">
        <f>YEAR(Tabla1[[#This Row],[Date]])</f>
        <v>1996</v>
      </c>
      <c r="E4048" s="9" t="str" cm="1">
        <f t="array" ref="E4048">IFERROR(_xlfn.IFS(AND(D4048&lt;1980,D4048&gt;=1970),"70",AND(D4048&lt;1990,D4048&gt;=1980),"80",AND(D4048&lt;2000,D4048&gt;=1990),"90",AND(D4048&lt;2010,D4048&gt;=2000),"00",AND(D4048&lt;=2019,D4048&gt;=2010),"10"),"1908-1970")</f>
        <v>90</v>
      </c>
      <c r="F4048" s="3">
        <v>0.75208333333333333</v>
      </c>
      <c r="G4048" t="s">
        <v>23366</v>
      </c>
      <c r="H4048" t="s">
        <v>23367</v>
      </c>
      <c r="I4048" t="s">
        <v>28931</v>
      </c>
      <c r="J4048" t="s">
        <v>23368</v>
      </c>
      <c r="K4048" t="s">
        <v>8105</v>
      </c>
      <c r="L4048" s="7" t="s">
        <v>23369</v>
      </c>
      <c r="M4048">
        <v>9173</v>
      </c>
      <c r="N4048">
        <v>2</v>
      </c>
      <c r="O4048">
        <v>0</v>
      </c>
      <c r="P4048">
        <v>2</v>
      </c>
      <c r="Q4048">
        <v>2</v>
      </c>
      <c r="R4048">
        <v>0</v>
      </c>
      <c r="S4048">
        <v>2</v>
      </c>
      <c r="T4048">
        <v>0</v>
      </c>
      <c r="U4048" t="s">
        <v>23370</v>
      </c>
      <c r="V4048">
        <f>Tabla1[[#This Row],[Aboard]]-Tabla1[[#This Row],[Fatalities]]</f>
        <v>0</v>
      </c>
      <c r="W4048" s="50">
        <f>IFERROR(Tabla1[[#This Row],[Fatalities]]/Tabla1[[#This Row],[Aboard]],0)</f>
        <v>1</v>
      </c>
      <c r="X4048" s="51" t="str" cm="1">
        <f t="array" ref="X4048">_xlfn.IFS(Tabla1[[#This Row],[Porcentaje de muertes]]&lt;0.35,"LEVE",AND(Tabla1[[#This Row],[Porcentaje de muertes]]&gt;0.35,Tabla1[[#This Row],[Porcentaje de muertes]]&lt;0.65),"MEDIO",Tabla1[[#This Row],[Porcentaje de muertes]]&gt;0.65,"GRAVE")</f>
        <v>GRAVE</v>
      </c>
    </row>
    <row r="4049" spans="2:24" x14ac:dyDescent="0.3">
      <c r="B4049" s="9">
        <v>4049</v>
      </c>
      <c r="C4049" s="49">
        <v>35416</v>
      </c>
      <c r="D4049" s="9">
        <f>YEAR(Tabla1[[#This Row],[Date]])</f>
        <v>1996</v>
      </c>
      <c r="E4049" s="9" t="str" cm="1">
        <f t="array" ref="E4049">IFERROR(_xlfn.IFS(AND(D4049&lt;1980,D4049&gt;=1970),"70",AND(D4049&lt;1990,D4049&gt;=1980),"80",AND(D4049&lt;2000,D4049&gt;=1990),"90",AND(D4049&lt;2010,D4049&gt;=2000),"00",AND(D4049&lt;=2019,D4049&gt;=2010),"10"),"1908-1970")</f>
        <v>90</v>
      </c>
      <c r="F4049" s="3" t="s">
        <v>28931</v>
      </c>
      <c r="G4049" t="s">
        <v>23371</v>
      </c>
      <c r="H4049" t="s">
        <v>15187</v>
      </c>
      <c r="I4049" t="s">
        <v>28931</v>
      </c>
      <c r="J4049" t="s">
        <v>23372</v>
      </c>
      <c r="K4049" t="s">
        <v>13992</v>
      </c>
      <c r="L4049" s="7" t="s">
        <v>28931</v>
      </c>
      <c r="M4049" t="s">
        <v>28931</v>
      </c>
      <c r="N4049">
        <v>18</v>
      </c>
      <c r="O4049">
        <v>11</v>
      </c>
      <c r="P4049">
        <v>7</v>
      </c>
      <c r="Q4049">
        <v>18</v>
      </c>
      <c r="R4049">
        <v>11</v>
      </c>
      <c r="S4049">
        <v>7</v>
      </c>
      <c r="T4049">
        <v>0</v>
      </c>
      <c r="U4049" t="s">
        <v>23373</v>
      </c>
      <c r="V4049">
        <f>Tabla1[[#This Row],[Aboard]]-Tabla1[[#This Row],[Fatalities]]</f>
        <v>0</v>
      </c>
      <c r="W4049" s="50">
        <f>IFERROR(Tabla1[[#This Row],[Fatalities]]/Tabla1[[#This Row],[Aboard]],0)</f>
        <v>1</v>
      </c>
      <c r="X4049" s="51" t="str" cm="1">
        <f t="array" ref="X4049">_xlfn.IFS(Tabla1[[#This Row],[Porcentaje de muertes]]&lt;0.35,"LEVE",AND(Tabla1[[#This Row],[Porcentaje de muertes]]&gt;0.35,Tabla1[[#This Row],[Porcentaje de muertes]]&lt;0.65),"MEDIO",Tabla1[[#This Row],[Porcentaje de muertes]]&gt;0.65,"GRAVE")</f>
        <v>GRAVE</v>
      </c>
    </row>
    <row r="4050" spans="2:24" x14ac:dyDescent="0.3">
      <c r="B4050" s="9">
        <v>4050</v>
      </c>
      <c r="C4050" s="49">
        <v>35420</v>
      </c>
      <c r="D4050" s="9">
        <f>YEAR(Tabla1[[#This Row],[Date]])</f>
        <v>1996</v>
      </c>
      <c r="E4050" s="9" t="str" cm="1">
        <f t="array" ref="E4050">IFERROR(_xlfn.IFS(AND(D4050&lt;1980,D4050&gt;=1970),"70",AND(D4050&lt;1990,D4050&gt;=1980),"80",AND(D4050&lt;2000,D4050&gt;=1990),"90",AND(D4050&lt;2010,D4050&gt;=2000),"00",AND(D4050&lt;=2019,D4050&gt;=2010),"10"),"1908-1970")</f>
        <v>90</v>
      </c>
      <c r="F4050" s="3">
        <v>0.93888888888888899</v>
      </c>
      <c r="G4050" t="s">
        <v>23374</v>
      </c>
      <c r="H4050" t="s">
        <v>22658</v>
      </c>
      <c r="I4050" t="s">
        <v>28931</v>
      </c>
      <c r="J4050" t="s">
        <v>23375</v>
      </c>
      <c r="K4050" t="s">
        <v>23376</v>
      </c>
      <c r="L4050" s="7" t="s">
        <v>23377</v>
      </c>
      <c r="M4050">
        <v>3402</v>
      </c>
      <c r="N4050">
        <v>4</v>
      </c>
      <c r="O4050">
        <v>1</v>
      </c>
      <c r="P4050">
        <v>3</v>
      </c>
      <c r="Q4050">
        <v>4</v>
      </c>
      <c r="R4050">
        <v>1</v>
      </c>
      <c r="S4050">
        <v>3</v>
      </c>
      <c r="T4050">
        <v>0</v>
      </c>
      <c r="U4050" t="s">
        <v>23378</v>
      </c>
      <c r="V4050">
        <f>Tabla1[[#This Row],[Aboard]]-Tabla1[[#This Row],[Fatalities]]</f>
        <v>0</v>
      </c>
      <c r="W4050" s="50">
        <f>IFERROR(Tabla1[[#This Row],[Fatalities]]/Tabla1[[#This Row],[Aboard]],0)</f>
        <v>1</v>
      </c>
      <c r="X4050" s="51" t="str" cm="1">
        <f t="array" ref="X4050">_xlfn.IFS(Tabla1[[#This Row],[Porcentaje de muertes]]&lt;0.35,"LEVE",AND(Tabla1[[#This Row],[Porcentaje de muertes]]&gt;0.35,Tabla1[[#This Row],[Porcentaje de muertes]]&lt;0.65),"MEDIO",Tabla1[[#This Row],[Porcentaje de muertes]]&gt;0.65,"GRAVE")</f>
        <v>GRAVE</v>
      </c>
    </row>
    <row r="4051" spans="2:24" x14ac:dyDescent="0.3">
      <c r="B4051" s="9">
        <v>4051</v>
      </c>
      <c r="C4051" s="49">
        <v>35421</v>
      </c>
      <c r="D4051" s="9">
        <f>YEAR(Tabla1[[#This Row],[Date]])</f>
        <v>1996</v>
      </c>
      <c r="E4051" s="9" t="str" cm="1">
        <f t="array" ref="E4051">IFERROR(_xlfn.IFS(AND(D4051&lt;1980,D4051&gt;=1970),"70",AND(D4051&lt;1990,D4051&gt;=1980),"80",AND(D4051&lt;2000,D4051&gt;=1990),"90",AND(D4051&lt;2010,D4051&gt;=2000),"00",AND(D4051&lt;=2019,D4051&gt;=2010),"10"),"1908-1970")</f>
        <v>90</v>
      </c>
      <c r="F4051" s="3">
        <v>0.75694444444444453</v>
      </c>
      <c r="G4051" t="s">
        <v>23379</v>
      </c>
      <c r="H4051" t="s">
        <v>21223</v>
      </c>
      <c r="I4051">
        <v>827</v>
      </c>
      <c r="J4051" t="s">
        <v>5028</v>
      </c>
      <c r="K4051" t="s">
        <v>16910</v>
      </c>
      <c r="L4051" s="7" t="s">
        <v>23380</v>
      </c>
      <c r="M4051" t="s">
        <v>23381</v>
      </c>
      <c r="N4051">
        <v>6</v>
      </c>
      <c r="O4051">
        <v>3</v>
      </c>
      <c r="P4051">
        <v>3</v>
      </c>
      <c r="Q4051">
        <v>6</v>
      </c>
      <c r="R4051">
        <v>3</v>
      </c>
      <c r="S4051">
        <v>3</v>
      </c>
      <c r="T4051">
        <v>0</v>
      </c>
      <c r="U4051" t="s">
        <v>23382</v>
      </c>
      <c r="V4051">
        <f>Tabla1[[#This Row],[Aboard]]-Tabla1[[#This Row],[Fatalities]]</f>
        <v>0</v>
      </c>
      <c r="W4051" s="50">
        <f>IFERROR(Tabla1[[#This Row],[Fatalities]]/Tabla1[[#This Row],[Aboard]],0)</f>
        <v>1</v>
      </c>
      <c r="X4051" s="51" t="str" cm="1">
        <f t="array" ref="X4051">_xlfn.IFS(Tabla1[[#This Row],[Porcentaje de muertes]]&lt;0.35,"LEVE",AND(Tabla1[[#This Row],[Porcentaje de muertes]]&gt;0.35,Tabla1[[#This Row],[Porcentaje de muertes]]&lt;0.65),"MEDIO",Tabla1[[#This Row],[Porcentaje de muertes]]&gt;0.65,"GRAVE")</f>
        <v>GRAVE</v>
      </c>
    </row>
    <row r="4052" spans="2:24" x14ac:dyDescent="0.3">
      <c r="B4052" s="9">
        <v>4052</v>
      </c>
      <c r="C4052" s="49">
        <v>35423</v>
      </c>
      <c r="D4052" s="9">
        <f>YEAR(Tabla1[[#This Row],[Date]])</f>
        <v>1996</v>
      </c>
      <c r="E4052" s="9" t="str" cm="1">
        <f t="array" ref="E4052">IFERROR(_xlfn.IFS(AND(D4052&lt;1980,D4052&gt;=1970),"70",AND(D4052&lt;1990,D4052&gt;=1980),"80",AND(D4052&lt;2000,D4052&gt;=1990),"90",AND(D4052&lt;2010,D4052&gt;=2000),"00",AND(D4052&lt;=2019,D4052&gt;=2010),"10"),"1908-1970")</f>
        <v>90</v>
      </c>
      <c r="F4052" s="3">
        <v>0.4201388888888889</v>
      </c>
      <c r="G4052" t="s">
        <v>23383</v>
      </c>
      <c r="H4052" t="s">
        <v>23384</v>
      </c>
      <c r="I4052" t="s">
        <v>28931</v>
      </c>
      <c r="J4052" t="s">
        <v>23385</v>
      </c>
      <c r="K4052" t="s">
        <v>23386</v>
      </c>
      <c r="L4052" s="7" t="s">
        <v>23387</v>
      </c>
      <c r="M4052" t="s">
        <v>23388</v>
      </c>
      <c r="N4052">
        <v>2</v>
      </c>
      <c r="O4052">
        <v>0</v>
      </c>
      <c r="P4052">
        <v>2</v>
      </c>
      <c r="Q4052">
        <v>2</v>
      </c>
      <c r="R4052">
        <v>0</v>
      </c>
      <c r="S4052">
        <v>2</v>
      </c>
      <c r="T4052">
        <v>0</v>
      </c>
      <c r="U4052" t="s">
        <v>23389</v>
      </c>
      <c r="V4052">
        <f>Tabla1[[#This Row],[Aboard]]-Tabla1[[#This Row],[Fatalities]]</f>
        <v>0</v>
      </c>
      <c r="W4052" s="50">
        <f>IFERROR(Tabla1[[#This Row],[Fatalities]]/Tabla1[[#This Row],[Aboard]],0)</f>
        <v>1</v>
      </c>
      <c r="X4052" s="51" t="str" cm="1">
        <f t="array" ref="X4052">_xlfn.IFS(Tabla1[[#This Row],[Porcentaje de muertes]]&lt;0.35,"LEVE",AND(Tabla1[[#This Row],[Porcentaje de muertes]]&gt;0.35,Tabla1[[#This Row],[Porcentaje de muertes]]&lt;0.65),"MEDIO",Tabla1[[#This Row],[Porcentaje de muertes]]&gt;0.65,"GRAVE")</f>
        <v>GRAVE</v>
      </c>
    </row>
    <row r="4053" spans="2:24" x14ac:dyDescent="0.3">
      <c r="B4053" s="9">
        <v>4053</v>
      </c>
      <c r="C4053" s="49">
        <v>35423</v>
      </c>
      <c r="D4053" s="9">
        <f>YEAR(Tabla1[[#This Row],[Date]])</f>
        <v>1996</v>
      </c>
      <c r="E4053" s="9" t="str" cm="1">
        <f t="array" ref="E4053">IFERROR(_xlfn.IFS(AND(D4053&lt;1980,D4053&gt;=1970),"70",AND(D4053&lt;1990,D4053&gt;=1980),"80",AND(D4053&lt;2000,D4053&gt;=1990),"90",AND(D4053&lt;2010,D4053&gt;=2000),"00",AND(D4053&lt;=2019,D4053&gt;=2010),"10"),"1908-1970")</f>
        <v>90</v>
      </c>
      <c r="F4053" s="3">
        <v>0.625</v>
      </c>
      <c r="G4053" t="s">
        <v>23390</v>
      </c>
      <c r="H4053" t="s">
        <v>8036</v>
      </c>
      <c r="I4053" t="s">
        <v>28931</v>
      </c>
      <c r="J4053" t="s">
        <v>23391</v>
      </c>
      <c r="K4053" t="s">
        <v>21562</v>
      </c>
      <c r="L4053" s="7" t="s">
        <v>23392</v>
      </c>
      <c r="M4053">
        <v>528</v>
      </c>
      <c r="N4053">
        <v>22</v>
      </c>
      <c r="O4053">
        <v>17</v>
      </c>
      <c r="P4053">
        <v>5</v>
      </c>
      <c r="Q4053">
        <v>22</v>
      </c>
      <c r="R4053">
        <v>17</v>
      </c>
      <c r="S4053">
        <v>5</v>
      </c>
      <c r="T4053">
        <v>0</v>
      </c>
      <c r="U4053" t="s">
        <v>23393</v>
      </c>
      <c r="V4053">
        <f>Tabla1[[#This Row],[Aboard]]-Tabla1[[#This Row],[Fatalities]]</f>
        <v>0</v>
      </c>
      <c r="W4053" s="50">
        <f>IFERROR(Tabla1[[#This Row],[Fatalities]]/Tabla1[[#This Row],[Aboard]],0)</f>
        <v>1</v>
      </c>
      <c r="X4053" s="51" t="str" cm="1">
        <f t="array" ref="X4053">_xlfn.IFS(Tabla1[[#This Row],[Porcentaje de muertes]]&lt;0.35,"LEVE",AND(Tabla1[[#This Row],[Porcentaje de muertes]]&gt;0.35,Tabla1[[#This Row],[Porcentaje de muertes]]&lt;0.65),"MEDIO",Tabla1[[#This Row],[Porcentaje de muertes]]&gt;0.65,"GRAVE")</f>
        <v>GRAVE</v>
      </c>
    </row>
    <row r="4054" spans="2:24" x14ac:dyDescent="0.3">
      <c r="B4054" s="9">
        <v>4054</v>
      </c>
      <c r="C4054" s="49">
        <v>35612</v>
      </c>
      <c r="D4054" s="9">
        <f>YEAR(Tabla1[[#This Row],[Date]])</f>
        <v>1997</v>
      </c>
      <c r="E4054" s="9" t="str" cm="1">
        <f t="array" ref="E4054">IFERROR(_xlfn.IFS(AND(D4054&lt;1980,D4054&gt;=1970),"70",AND(D4054&lt;1990,D4054&gt;=1980),"80",AND(D4054&lt;2000,D4054&gt;=1990),"90",AND(D4054&lt;2010,D4054&gt;=2000),"00",AND(D4054&lt;=2019,D4054&gt;=2010),"10"),"1908-1970")</f>
        <v>90</v>
      </c>
      <c r="F4054" s="3">
        <v>0.45833333333333331</v>
      </c>
      <c r="G4054" t="s">
        <v>23394</v>
      </c>
      <c r="H4054" t="s">
        <v>15735</v>
      </c>
      <c r="I4054">
        <v>211</v>
      </c>
      <c r="J4054" t="s">
        <v>23395</v>
      </c>
      <c r="K4054" t="s">
        <v>16680</v>
      </c>
      <c r="L4054" s="7" t="s">
        <v>23396</v>
      </c>
      <c r="M4054">
        <v>678</v>
      </c>
      <c r="N4054">
        <v>5</v>
      </c>
      <c r="O4054">
        <v>3</v>
      </c>
      <c r="P4054">
        <v>2</v>
      </c>
      <c r="Q4054">
        <v>3</v>
      </c>
      <c r="R4054">
        <v>2</v>
      </c>
      <c r="S4054">
        <v>1</v>
      </c>
      <c r="T4054">
        <v>0</v>
      </c>
      <c r="U4054" t="s">
        <v>23397</v>
      </c>
      <c r="V4054">
        <f>Tabla1[[#This Row],[Aboard]]-Tabla1[[#This Row],[Fatalities]]</f>
        <v>2</v>
      </c>
      <c r="W4054" s="50">
        <f>IFERROR(Tabla1[[#This Row],[Fatalities]]/Tabla1[[#This Row],[Aboard]],0)</f>
        <v>0.6</v>
      </c>
      <c r="X4054" s="51" t="str" cm="1">
        <f t="array" ref="X4054">_xlfn.IFS(Tabla1[[#This Row],[Porcentaje de muertes]]&lt;0.35,"LEVE",AND(Tabla1[[#This Row],[Porcentaje de muertes]]&gt;0.35,Tabla1[[#This Row],[Porcentaje de muertes]]&lt;0.65),"MEDIO",Tabla1[[#This Row],[Porcentaje de muertes]]&gt;0.65,"GRAVE")</f>
        <v>MEDIO</v>
      </c>
    </row>
    <row r="4055" spans="2:24" x14ac:dyDescent="0.3">
      <c r="B4055" s="9">
        <v>4055</v>
      </c>
      <c r="C4055" s="49">
        <v>35674</v>
      </c>
      <c r="D4055" s="9">
        <f>YEAR(Tabla1[[#This Row],[Date]])</f>
        <v>1997</v>
      </c>
      <c r="E4055" s="9" t="str" cm="1">
        <f t="array" ref="E4055">IFERROR(_xlfn.IFS(AND(D4055&lt;1980,D4055&gt;=1970),"70",AND(D4055&lt;1990,D4055&gt;=1980),"80",AND(D4055&lt;2000,D4055&gt;=1990),"90",AND(D4055&lt;2010,D4055&gt;=2000),"00",AND(D4055&lt;=2019,D4055&gt;=2010),"10"),"1908-1970")</f>
        <v>90</v>
      </c>
      <c r="F4055" s="3">
        <v>0.66249999999999998</v>
      </c>
      <c r="G4055" t="s">
        <v>23398</v>
      </c>
      <c r="H4055" t="s">
        <v>18513</v>
      </c>
      <c r="I4055">
        <v>3272</v>
      </c>
      <c r="J4055" t="s">
        <v>18853</v>
      </c>
      <c r="K4055" t="s">
        <v>20169</v>
      </c>
      <c r="L4055" s="7" t="s">
        <v>23399</v>
      </c>
      <c r="M4055">
        <v>120257</v>
      </c>
      <c r="N4055">
        <v>29</v>
      </c>
      <c r="O4055">
        <v>26</v>
      </c>
      <c r="P4055">
        <v>3</v>
      </c>
      <c r="Q4055">
        <v>29</v>
      </c>
      <c r="R4055">
        <v>26</v>
      </c>
      <c r="S4055">
        <v>3</v>
      </c>
      <c r="T4055">
        <v>0</v>
      </c>
      <c r="U4055" t="s">
        <v>23400</v>
      </c>
      <c r="V4055">
        <f>Tabla1[[#This Row],[Aboard]]-Tabla1[[#This Row],[Fatalities]]</f>
        <v>0</v>
      </c>
      <c r="W4055" s="50">
        <f>IFERROR(Tabla1[[#This Row],[Fatalities]]/Tabla1[[#This Row],[Aboard]],0)</f>
        <v>1</v>
      </c>
      <c r="X4055" s="51" t="str" cm="1">
        <f t="array" ref="X4055">_xlfn.IFS(Tabla1[[#This Row],[Porcentaje de muertes]]&lt;0.35,"LEVE",AND(Tabla1[[#This Row],[Porcentaje de muertes]]&gt;0.35,Tabla1[[#This Row],[Porcentaje de muertes]]&lt;0.65),"MEDIO",Tabla1[[#This Row],[Porcentaje de muertes]]&gt;0.65,"GRAVE")</f>
        <v>GRAVE</v>
      </c>
    </row>
    <row r="4056" spans="2:24" x14ac:dyDescent="0.3">
      <c r="B4056" s="9">
        <v>4056</v>
      </c>
      <c r="C4056" s="49">
        <v>35459</v>
      </c>
      <c r="D4056" s="9">
        <f>YEAR(Tabla1[[#This Row],[Date]])</f>
        <v>1997</v>
      </c>
      <c r="E4056" s="9" t="str" cm="1">
        <f t="array" ref="E4056">IFERROR(_xlfn.IFS(AND(D4056&lt;1980,D4056&gt;=1970),"70",AND(D4056&lt;1990,D4056&gt;=1980),"80",AND(D4056&lt;2000,D4056&gt;=1990),"90",AND(D4056&lt;2010,D4056&gt;=2000),"00",AND(D4056&lt;=2019,D4056&gt;=2010),"10"),"1908-1970")</f>
        <v>90</v>
      </c>
      <c r="F4056" s="3">
        <v>0.96527777777777779</v>
      </c>
      <c r="G4056" t="s">
        <v>23401</v>
      </c>
      <c r="H4056" t="s">
        <v>23402</v>
      </c>
      <c r="I4056" t="s">
        <v>28931</v>
      </c>
      <c r="J4056" t="s">
        <v>23403</v>
      </c>
      <c r="K4056" t="s">
        <v>18395</v>
      </c>
      <c r="L4056" s="7" t="s">
        <v>23404</v>
      </c>
      <c r="M4056">
        <v>126</v>
      </c>
      <c r="N4056">
        <v>2</v>
      </c>
      <c r="O4056">
        <v>0</v>
      </c>
      <c r="P4056">
        <v>2</v>
      </c>
      <c r="Q4056">
        <v>1</v>
      </c>
      <c r="R4056">
        <v>0</v>
      </c>
      <c r="S4056">
        <v>1</v>
      </c>
      <c r="T4056">
        <v>0</v>
      </c>
      <c r="U4056" t="s">
        <v>23405</v>
      </c>
      <c r="V4056">
        <f>Tabla1[[#This Row],[Aboard]]-Tabla1[[#This Row],[Fatalities]]</f>
        <v>1</v>
      </c>
      <c r="W4056" s="50">
        <f>IFERROR(Tabla1[[#This Row],[Fatalities]]/Tabla1[[#This Row],[Aboard]],0)</f>
        <v>0.5</v>
      </c>
      <c r="X4056" s="51" t="str" cm="1">
        <f t="array" ref="X4056">_xlfn.IFS(Tabla1[[#This Row],[Porcentaje de muertes]]&lt;0.35,"LEVE",AND(Tabla1[[#This Row],[Porcentaje de muertes]]&gt;0.35,Tabla1[[#This Row],[Porcentaje de muertes]]&lt;0.65),"MEDIO",Tabla1[[#This Row],[Porcentaje de muertes]]&gt;0.65,"GRAVE")</f>
        <v>MEDIO</v>
      </c>
    </row>
    <row r="4057" spans="2:24" x14ac:dyDescent="0.3">
      <c r="B4057" s="9">
        <v>4057</v>
      </c>
      <c r="C4057" s="49">
        <v>35461</v>
      </c>
      <c r="D4057" s="9">
        <f>YEAR(Tabla1[[#This Row],[Date]])</f>
        <v>1997</v>
      </c>
      <c r="E4057" s="9" t="str" cm="1">
        <f t="array" ref="E4057">IFERROR(_xlfn.IFS(AND(D4057&lt;1980,D4057&gt;=1970),"70",AND(D4057&lt;1990,D4057&gt;=1980),"80",AND(D4057&lt;2000,D4057&gt;=1990),"90",AND(D4057&lt;2010,D4057&gt;=2000),"00",AND(D4057&lt;=2019,D4057&gt;=2010),"10"),"1908-1970")</f>
        <v>90</v>
      </c>
      <c r="F4057" s="3" t="s">
        <v>28931</v>
      </c>
      <c r="G4057" t="s">
        <v>23406</v>
      </c>
      <c r="H4057" t="s">
        <v>23407</v>
      </c>
      <c r="I4057" t="s">
        <v>28931</v>
      </c>
      <c r="J4057" t="s">
        <v>23408</v>
      </c>
      <c r="K4057" t="s">
        <v>23409</v>
      </c>
      <c r="L4057" s="7" t="s">
        <v>23410</v>
      </c>
      <c r="M4057">
        <v>110458</v>
      </c>
      <c r="N4057">
        <v>16</v>
      </c>
      <c r="O4057">
        <v>13</v>
      </c>
      <c r="P4057">
        <v>3</v>
      </c>
      <c r="Q4057">
        <v>5</v>
      </c>
      <c r="R4057">
        <v>2</v>
      </c>
      <c r="S4057">
        <v>3</v>
      </c>
      <c r="T4057">
        <v>0</v>
      </c>
      <c r="U4057" t="s">
        <v>23411</v>
      </c>
      <c r="V4057">
        <f>Tabla1[[#This Row],[Aboard]]-Tabla1[[#This Row],[Fatalities]]</f>
        <v>11</v>
      </c>
      <c r="W4057" s="50">
        <f>IFERROR(Tabla1[[#This Row],[Fatalities]]/Tabla1[[#This Row],[Aboard]],0)</f>
        <v>0.3125</v>
      </c>
      <c r="X4057" s="51" t="str" cm="1">
        <f t="array" ref="X4057">_xlfn.IFS(Tabla1[[#This Row],[Porcentaje de muertes]]&lt;0.35,"LEVE",AND(Tabla1[[#This Row],[Porcentaje de muertes]]&gt;0.35,Tabla1[[#This Row],[Porcentaje de muertes]]&lt;0.65),"MEDIO",Tabla1[[#This Row],[Porcentaje de muertes]]&gt;0.65,"GRAVE")</f>
        <v>LEVE</v>
      </c>
    </row>
    <row r="4058" spans="2:24" x14ac:dyDescent="0.3">
      <c r="B4058" s="9">
        <v>4058</v>
      </c>
      <c r="C4058" s="49">
        <v>35432</v>
      </c>
      <c r="D4058" s="9">
        <f>YEAR(Tabla1[[#This Row],[Date]])</f>
        <v>1997</v>
      </c>
      <c r="E4058" s="9" t="str" cm="1">
        <f t="array" ref="E4058">IFERROR(_xlfn.IFS(AND(D4058&lt;1980,D4058&gt;=1970),"70",AND(D4058&lt;1990,D4058&gt;=1980),"80",AND(D4058&lt;2000,D4058&gt;=1990),"90",AND(D4058&lt;2010,D4058&gt;=2000),"00",AND(D4058&lt;=2019,D4058&gt;=2010),"10"),"1908-1970")</f>
        <v>90</v>
      </c>
      <c r="F4058" s="3">
        <v>0.60972222222222217</v>
      </c>
      <c r="G4058" t="s">
        <v>23412</v>
      </c>
      <c r="H4058" t="s">
        <v>23413</v>
      </c>
      <c r="I4058" t="s">
        <v>28931</v>
      </c>
      <c r="J4058" t="s">
        <v>23414</v>
      </c>
      <c r="K4058" t="s">
        <v>23415</v>
      </c>
      <c r="L4058" s="7" t="s">
        <v>23416</v>
      </c>
      <c r="M4058">
        <v>1769</v>
      </c>
      <c r="N4058">
        <v>52</v>
      </c>
      <c r="O4058">
        <v>49</v>
      </c>
      <c r="P4058">
        <v>3</v>
      </c>
      <c r="Q4058">
        <v>25</v>
      </c>
      <c r="R4058">
        <v>22</v>
      </c>
      <c r="S4058">
        <v>3</v>
      </c>
      <c r="T4058">
        <v>0</v>
      </c>
      <c r="U4058" t="s">
        <v>23417</v>
      </c>
      <c r="V4058">
        <f>Tabla1[[#This Row],[Aboard]]-Tabla1[[#This Row],[Fatalities]]</f>
        <v>27</v>
      </c>
      <c r="W4058" s="50">
        <f>IFERROR(Tabla1[[#This Row],[Fatalities]]/Tabla1[[#This Row],[Aboard]],0)</f>
        <v>0.48076923076923078</v>
      </c>
      <c r="X4058" s="51" t="str" cm="1">
        <f t="array" ref="X4058">_xlfn.IFS(Tabla1[[#This Row],[Porcentaje de muertes]]&lt;0.35,"LEVE",AND(Tabla1[[#This Row],[Porcentaje de muertes]]&gt;0.35,Tabla1[[#This Row],[Porcentaje de muertes]]&lt;0.65),"MEDIO",Tabla1[[#This Row],[Porcentaje de muertes]]&gt;0.65,"GRAVE")</f>
        <v>MEDIO</v>
      </c>
    </row>
    <row r="4059" spans="2:24" x14ac:dyDescent="0.3">
      <c r="B4059" s="9">
        <v>4059</v>
      </c>
      <c r="C4059" s="49">
        <v>35463</v>
      </c>
      <c r="D4059" s="9">
        <f>YEAR(Tabla1[[#This Row],[Date]])</f>
        <v>1997</v>
      </c>
      <c r="E4059" s="9" t="str" cm="1">
        <f t="array" ref="E4059">IFERROR(_xlfn.IFS(AND(D4059&lt;1980,D4059&gt;=1970),"70",AND(D4059&lt;1990,D4059&gt;=1980),"80",AND(D4059&lt;2000,D4059&gt;=1990),"90",AND(D4059&lt;2010,D4059&gt;=2000),"00",AND(D4059&lt;=2019,D4059&gt;=2010),"10"),"1908-1970")</f>
        <v>90</v>
      </c>
      <c r="F4059" s="3">
        <v>0.72916666666666663</v>
      </c>
      <c r="G4059" t="s">
        <v>23418</v>
      </c>
      <c r="H4059" t="s">
        <v>23419</v>
      </c>
      <c r="I4059" t="s">
        <v>28931</v>
      </c>
      <c r="J4059" t="s">
        <v>21625</v>
      </c>
      <c r="K4059" t="s">
        <v>20276</v>
      </c>
      <c r="L4059" s="7" t="s">
        <v>23420</v>
      </c>
      <c r="M4059">
        <v>325</v>
      </c>
      <c r="N4059">
        <v>37</v>
      </c>
      <c r="O4059">
        <v>33</v>
      </c>
      <c r="P4059">
        <v>4</v>
      </c>
      <c r="Q4059">
        <v>37</v>
      </c>
      <c r="R4059">
        <v>33</v>
      </c>
      <c r="S4059">
        <v>4</v>
      </c>
      <c r="T4059">
        <v>0</v>
      </c>
      <c r="U4059" t="s">
        <v>23421</v>
      </c>
      <c r="V4059">
        <f>Tabla1[[#This Row],[Aboard]]-Tabla1[[#This Row],[Fatalities]]</f>
        <v>0</v>
      </c>
      <c r="W4059" s="50">
        <f>IFERROR(Tabla1[[#This Row],[Fatalities]]/Tabla1[[#This Row],[Aboard]],0)</f>
        <v>1</v>
      </c>
      <c r="X4059" s="51" t="str" cm="1">
        <f t="array" ref="X4059">_xlfn.IFS(Tabla1[[#This Row],[Porcentaje de muertes]]&lt;0.35,"LEVE",AND(Tabla1[[#This Row],[Porcentaje de muertes]]&gt;0.35,Tabla1[[#This Row],[Porcentaje de muertes]]&lt;0.65),"MEDIO",Tabla1[[#This Row],[Porcentaje de muertes]]&gt;0.65,"GRAVE")</f>
        <v>GRAVE</v>
      </c>
    </row>
    <row r="4060" spans="2:24" x14ac:dyDescent="0.3">
      <c r="B4060" s="9">
        <v>4060</v>
      </c>
      <c r="C4060" s="49">
        <v>35522</v>
      </c>
      <c r="D4060" s="9">
        <f>YEAR(Tabla1[[#This Row],[Date]])</f>
        <v>1997</v>
      </c>
      <c r="E4060" s="9" t="str" cm="1">
        <f t="array" ref="E4060">IFERROR(_xlfn.IFS(AND(D4060&lt;1980,D4060&gt;=1970),"70",AND(D4060&lt;1990,D4060&gt;=1980),"80",AND(D4060&lt;2000,D4060&gt;=1990),"90",AND(D4060&lt;2010,D4060&gt;=2000),"00",AND(D4060&lt;=2019,D4060&gt;=2010),"10"),"1908-1970")</f>
        <v>90</v>
      </c>
      <c r="F4060" s="3">
        <v>0.79166666666666663</v>
      </c>
      <c r="G4060" t="s">
        <v>23422</v>
      </c>
      <c r="H4060" t="s">
        <v>23423</v>
      </c>
      <c r="I4060" t="s">
        <v>28931</v>
      </c>
      <c r="J4060" t="s">
        <v>28931</v>
      </c>
      <c r="K4060" t="s">
        <v>23424</v>
      </c>
      <c r="L4060" s="7" t="s">
        <v>23425</v>
      </c>
      <c r="M4060" t="s">
        <v>28931</v>
      </c>
      <c r="N4060">
        <v>73</v>
      </c>
      <c r="O4060" t="s">
        <v>5038</v>
      </c>
      <c r="P4060" t="s">
        <v>5038</v>
      </c>
      <c r="Q4060">
        <v>73</v>
      </c>
      <c r="R4060" t="s">
        <v>5038</v>
      </c>
      <c r="S4060" t="s">
        <v>5038</v>
      </c>
      <c r="T4060">
        <v>0</v>
      </c>
      <c r="U4060" t="s">
        <v>23426</v>
      </c>
      <c r="V4060">
        <f>Tabla1[[#This Row],[Aboard]]-Tabla1[[#This Row],[Fatalities]]</f>
        <v>0</v>
      </c>
      <c r="W4060" s="50">
        <f>IFERROR(Tabla1[[#This Row],[Fatalities]]/Tabla1[[#This Row],[Aboard]],0)</f>
        <v>1</v>
      </c>
      <c r="X4060" s="51" t="str" cm="1">
        <f t="array" ref="X4060">_xlfn.IFS(Tabla1[[#This Row],[Porcentaje de muertes]]&lt;0.35,"LEVE",AND(Tabla1[[#This Row],[Porcentaje de muertes]]&gt;0.35,Tabla1[[#This Row],[Porcentaje de muertes]]&lt;0.65),"MEDIO",Tabla1[[#This Row],[Porcentaje de muertes]]&gt;0.65,"GRAVE")</f>
        <v>GRAVE</v>
      </c>
    </row>
    <row r="4061" spans="2:24" x14ac:dyDescent="0.3">
      <c r="B4061" s="9">
        <v>4061</v>
      </c>
      <c r="C4061" s="49">
        <v>35475</v>
      </c>
      <c r="D4061" s="9">
        <f>YEAR(Tabla1[[#This Row],[Date]])</f>
        <v>1997</v>
      </c>
      <c r="E4061" s="9" t="str" cm="1">
        <f t="array" ref="E4061">IFERROR(_xlfn.IFS(AND(D4061&lt;1980,D4061&gt;=1970),"70",AND(D4061&lt;1990,D4061&gt;=1980),"80",AND(D4061&lt;2000,D4061&gt;=1990),"90",AND(D4061&lt;2010,D4061&gt;=2000),"00",AND(D4061&lt;=2019,D4061&gt;=2010),"10"),"1908-1970")</f>
        <v>90</v>
      </c>
      <c r="F4061" s="3">
        <v>0.52361111111111114</v>
      </c>
      <c r="G4061" t="s">
        <v>20392</v>
      </c>
      <c r="H4061" t="s">
        <v>8118</v>
      </c>
      <c r="I4061">
        <v>265</v>
      </c>
      <c r="J4061" t="s">
        <v>23427</v>
      </c>
      <c r="K4061" t="s">
        <v>23428</v>
      </c>
      <c r="L4061" s="7" t="s">
        <v>23429</v>
      </c>
      <c r="M4061" t="s">
        <v>23430</v>
      </c>
      <c r="N4061">
        <v>52</v>
      </c>
      <c r="O4061">
        <v>46</v>
      </c>
      <c r="P4061">
        <v>6</v>
      </c>
      <c r="Q4061">
        <v>1</v>
      </c>
      <c r="R4061">
        <v>0</v>
      </c>
      <c r="S4061">
        <v>1</v>
      </c>
      <c r="T4061">
        <v>0</v>
      </c>
      <c r="U4061" t="s">
        <v>23431</v>
      </c>
      <c r="V4061">
        <f>Tabla1[[#This Row],[Aboard]]-Tabla1[[#This Row],[Fatalities]]</f>
        <v>51</v>
      </c>
      <c r="W4061" s="50">
        <f>IFERROR(Tabla1[[#This Row],[Fatalities]]/Tabla1[[#This Row],[Aboard]],0)</f>
        <v>1.9230769230769232E-2</v>
      </c>
      <c r="X4061" s="51" t="str" cm="1">
        <f t="array" ref="X4061">_xlfn.IFS(Tabla1[[#This Row],[Porcentaje de muertes]]&lt;0.35,"LEVE",AND(Tabla1[[#This Row],[Porcentaje de muertes]]&gt;0.35,Tabla1[[#This Row],[Porcentaje de muertes]]&lt;0.65),"MEDIO",Tabla1[[#This Row],[Porcentaje de muertes]]&gt;0.65,"GRAVE")</f>
        <v>LEVE</v>
      </c>
    </row>
    <row r="4062" spans="2:24" x14ac:dyDescent="0.3">
      <c r="B4062" s="9">
        <v>4062</v>
      </c>
      <c r="C4062" s="49">
        <v>35480</v>
      </c>
      <c r="D4062" s="9">
        <f>YEAR(Tabla1[[#This Row],[Date]])</f>
        <v>1997</v>
      </c>
      <c r="E4062" s="9" t="str" cm="1">
        <f t="array" ref="E4062">IFERROR(_xlfn.IFS(AND(D4062&lt;1980,D4062&gt;=1970),"70",AND(D4062&lt;1990,D4062&gt;=1980),"80",AND(D4062&lt;2000,D4062&gt;=1990),"90",AND(D4062&lt;2010,D4062&gt;=2000),"00",AND(D4062&lt;=2019,D4062&gt;=2010),"10"),"1908-1970")</f>
        <v>90</v>
      </c>
      <c r="F4062" s="3">
        <v>0.12916666666666668</v>
      </c>
      <c r="G4062" t="s">
        <v>11790</v>
      </c>
      <c r="H4062" t="s">
        <v>23432</v>
      </c>
      <c r="I4062" t="s">
        <v>28931</v>
      </c>
      <c r="J4062" t="s">
        <v>23433</v>
      </c>
      <c r="K4062" t="s">
        <v>19959</v>
      </c>
      <c r="L4062" s="7" t="s">
        <v>23434</v>
      </c>
      <c r="M4062">
        <v>211</v>
      </c>
      <c r="N4062">
        <v>5</v>
      </c>
      <c r="O4062">
        <v>4</v>
      </c>
      <c r="P4062">
        <v>1</v>
      </c>
      <c r="Q4062">
        <v>5</v>
      </c>
      <c r="R4062">
        <v>4</v>
      </c>
      <c r="S4062">
        <v>1</v>
      </c>
      <c r="T4062">
        <v>0</v>
      </c>
      <c r="U4062" t="s">
        <v>23435</v>
      </c>
      <c r="V4062">
        <f>Tabla1[[#This Row],[Aboard]]-Tabla1[[#This Row],[Fatalities]]</f>
        <v>0</v>
      </c>
      <c r="W4062" s="50">
        <f>IFERROR(Tabla1[[#This Row],[Fatalities]]/Tabla1[[#This Row],[Aboard]],0)</f>
        <v>1</v>
      </c>
      <c r="X4062" s="51" t="str" cm="1">
        <f t="array" ref="X4062">_xlfn.IFS(Tabla1[[#This Row],[Porcentaje de muertes]]&lt;0.35,"LEVE",AND(Tabla1[[#This Row],[Porcentaje de muertes]]&gt;0.35,Tabla1[[#This Row],[Porcentaje de muertes]]&lt;0.65),"MEDIO",Tabla1[[#This Row],[Porcentaje de muertes]]&gt;0.65,"GRAVE")</f>
        <v>GRAVE</v>
      </c>
    </row>
    <row r="4063" spans="2:24" x14ac:dyDescent="0.3">
      <c r="B4063" s="9">
        <v>4063</v>
      </c>
      <c r="C4063" s="49">
        <v>35767</v>
      </c>
      <c r="D4063" s="9">
        <f>YEAR(Tabla1[[#This Row],[Date]])</f>
        <v>1997</v>
      </c>
      <c r="E4063" s="9" t="str" cm="1">
        <f t="array" ref="E4063">IFERROR(_xlfn.IFS(AND(D4063&lt;1980,D4063&gt;=1970),"70",AND(D4063&lt;1990,D4063&gt;=1980),"80",AND(D4063&lt;2000,D4063&gt;=1990),"90",AND(D4063&lt;2010,D4063&gt;=2000),"00",AND(D4063&lt;=2019,D4063&gt;=2010),"10"),"1908-1970")</f>
        <v>90</v>
      </c>
      <c r="F4063" s="3" t="s">
        <v>28931</v>
      </c>
      <c r="G4063" t="s">
        <v>23436</v>
      </c>
      <c r="H4063" t="s">
        <v>23437</v>
      </c>
      <c r="I4063" t="s">
        <v>28931</v>
      </c>
      <c r="J4063" t="s">
        <v>23438</v>
      </c>
      <c r="K4063" t="s">
        <v>16093</v>
      </c>
      <c r="L4063" s="7" t="s">
        <v>23439</v>
      </c>
      <c r="M4063">
        <v>6344506</v>
      </c>
      <c r="N4063">
        <v>16</v>
      </c>
      <c r="O4063">
        <v>12</v>
      </c>
      <c r="P4063">
        <v>4</v>
      </c>
      <c r="Q4063">
        <v>16</v>
      </c>
      <c r="R4063">
        <v>12</v>
      </c>
      <c r="S4063">
        <v>4</v>
      </c>
      <c r="T4063">
        <v>0</v>
      </c>
      <c r="U4063" t="s">
        <v>23440</v>
      </c>
      <c r="V4063">
        <f>Tabla1[[#This Row],[Aboard]]-Tabla1[[#This Row],[Fatalities]]</f>
        <v>0</v>
      </c>
      <c r="W4063" s="50">
        <f>IFERROR(Tabla1[[#This Row],[Fatalities]]/Tabla1[[#This Row],[Aboard]],0)</f>
        <v>1</v>
      </c>
      <c r="X4063" s="51" t="str" cm="1">
        <f t="array" ref="X4063">_xlfn.IFS(Tabla1[[#This Row],[Porcentaje de muertes]]&lt;0.35,"LEVE",AND(Tabla1[[#This Row],[Porcentaje de muertes]]&gt;0.35,Tabla1[[#This Row],[Porcentaje de muertes]]&lt;0.65),"MEDIO",Tabla1[[#This Row],[Porcentaje de muertes]]&gt;0.65,"GRAVE")</f>
        <v>GRAVE</v>
      </c>
    </row>
    <row r="4064" spans="2:24" x14ac:dyDescent="0.3">
      <c r="B4064" s="9">
        <v>4064</v>
      </c>
      <c r="C4064" s="49">
        <v>35502</v>
      </c>
      <c r="D4064" s="9">
        <f>YEAR(Tabla1[[#This Row],[Date]])</f>
        <v>1997</v>
      </c>
      <c r="E4064" s="9" t="str" cm="1">
        <f t="array" ref="E4064">IFERROR(_xlfn.IFS(AND(D4064&lt;1980,D4064&gt;=1970),"70",AND(D4064&lt;1990,D4064&gt;=1980),"80",AND(D4064&lt;2000,D4064&gt;=1990),"90",AND(D4064&lt;2010,D4064&gt;=2000),"00",AND(D4064&lt;=2019,D4064&gt;=2010),"10"),"1908-1970")</f>
        <v>90</v>
      </c>
      <c r="F4064" s="3">
        <v>0.75416666666666676</v>
      </c>
      <c r="G4064" t="s">
        <v>23441</v>
      </c>
      <c r="H4064" t="s">
        <v>18972</v>
      </c>
      <c r="I4064" t="s">
        <v>28931</v>
      </c>
      <c r="J4064" t="s">
        <v>23442</v>
      </c>
      <c r="K4064" t="s">
        <v>23443</v>
      </c>
      <c r="L4064" s="7" t="s">
        <v>28931</v>
      </c>
      <c r="M4064" t="s">
        <v>28931</v>
      </c>
      <c r="N4064">
        <v>88</v>
      </c>
      <c r="O4064">
        <v>80</v>
      </c>
      <c r="P4064">
        <v>8</v>
      </c>
      <c r="Q4064">
        <v>88</v>
      </c>
      <c r="R4064">
        <v>80</v>
      </c>
      <c r="S4064">
        <v>8</v>
      </c>
      <c r="T4064">
        <v>0</v>
      </c>
      <c r="U4064" t="s">
        <v>23444</v>
      </c>
      <c r="V4064">
        <f>Tabla1[[#This Row],[Aboard]]-Tabla1[[#This Row],[Fatalities]]</f>
        <v>0</v>
      </c>
      <c r="W4064" s="50">
        <f>IFERROR(Tabla1[[#This Row],[Fatalities]]/Tabla1[[#This Row],[Aboard]],0)</f>
        <v>1</v>
      </c>
      <c r="X4064" s="51" t="str" cm="1">
        <f t="array" ref="X4064">_xlfn.IFS(Tabla1[[#This Row],[Porcentaje de muertes]]&lt;0.35,"LEVE",AND(Tabla1[[#This Row],[Porcentaje de muertes]]&gt;0.35,Tabla1[[#This Row],[Porcentaje de muertes]]&lt;0.65),"MEDIO",Tabla1[[#This Row],[Porcentaje de muertes]]&gt;0.65,"GRAVE")</f>
        <v>GRAVE</v>
      </c>
    </row>
    <row r="4065" spans="2:24" x14ac:dyDescent="0.3">
      <c r="B4065" s="9">
        <v>4065</v>
      </c>
      <c r="C4065" s="49">
        <v>35507</v>
      </c>
      <c r="D4065" s="9">
        <f>YEAR(Tabla1[[#This Row],[Date]])</f>
        <v>1997</v>
      </c>
      <c r="E4065" s="9" t="str" cm="1">
        <f t="array" ref="E4065">IFERROR(_xlfn.IFS(AND(D4065&lt;1980,D4065&gt;=1970),"70",AND(D4065&lt;1990,D4065&gt;=1980),"80",AND(D4065&lt;2000,D4065&gt;=1990),"90",AND(D4065&lt;2010,D4065&gt;=2000),"00",AND(D4065&lt;=2019,D4065&gt;=2010),"10"),"1908-1970")</f>
        <v>90</v>
      </c>
      <c r="F4065" s="3">
        <v>0.41944444444444445</v>
      </c>
      <c r="G4065" t="s">
        <v>23445</v>
      </c>
      <c r="H4065" t="s">
        <v>23446</v>
      </c>
      <c r="I4065">
        <v>1023</v>
      </c>
      <c r="J4065" t="s">
        <v>23447</v>
      </c>
      <c r="K4065" t="s">
        <v>17266</v>
      </c>
      <c r="L4065" s="7" t="s">
        <v>23448</v>
      </c>
      <c r="M4065">
        <v>37308502</v>
      </c>
      <c r="N4065">
        <v>50</v>
      </c>
      <c r="O4065">
        <v>44</v>
      </c>
      <c r="P4065">
        <v>6</v>
      </c>
      <c r="Q4065">
        <v>50</v>
      </c>
      <c r="R4065">
        <v>44</v>
      </c>
      <c r="S4065">
        <v>6</v>
      </c>
      <c r="T4065">
        <v>0</v>
      </c>
      <c r="U4065" t="s">
        <v>23449</v>
      </c>
      <c r="V4065">
        <f>Tabla1[[#This Row],[Aboard]]-Tabla1[[#This Row],[Fatalities]]</f>
        <v>0</v>
      </c>
      <c r="W4065" s="50">
        <f>IFERROR(Tabla1[[#This Row],[Fatalities]]/Tabla1[[#This Row],[Aboard]],0)</f>
        <v>1</v>
      </c>
      <c r="X4065" s="51" t="str" cm="1">
        <f t="array" ref="X4065">_xlfn.IFS(Tabla1[[#This Row],[Porcentaje de muertes]]&lt;0.35,"LEVE",AND(Tabla1[[#This Row],[Porcentaje de muertes]]&gt;0.35,Tabla1[[#This Row],[Porcentaje de muertes]]&lt;0.65),"MEDIO",Tabla1[[#This Row],[Porcentaje de muertes]]&gt;0.65,"GRAVE")</f>
        <v>GRAVE</v>
      </c>
    </row>
    <row r="4066" spans="2:24" x14ac:dyDescent="0.3">
      <c r="B4066" s="9">
        <v>4066</v>
      </c>
      <c r="C4066" s="49">
        <v>35434</v>
      </c>
      <c r="D4066" s="9">
        <f>YEAR(Tabla1[[#This Row],[Date]])</f>
        <v>1997</v>
      </c>
      <c r="E4066" s="9" t="str" cm="1">
        <f t="array" ref="E4066">IFERROR(_xlfn.IFS(AND(D4066&lt;1980,D4066&gt;=1970),"70",AND(D4066&lt;1990,D4066&gt;=1980),"80",AND(D4066&lt;2000,D4066&gt;=1990),"90",AND(D4066&lt;2010,D4066&gt;=2000),"00",AND(D4066&lt;=2019,D4066&gt;=2010),"10"),"1908-1970")</f>
        <v>90</v>
      </c>
      <c r="F4066" s="3" t="s">
        <v>28931</v>
      </c>
      <c r="G4066" t="s">
        <v>14845</v>
      </c>
      <c r="H4066" t="s">
        <v>7987</v>
      </c>
      <c r="I4066" t="s">
        <v>28931</v>
      </c>
      <c r="J4066" t="s">
        <v>23450</v>
      </c>
      <c r="K4066" t="s">
        <v>18896</v>
      </c>
      <c r="L4066" s="7" t="s">
        <v>23451</v>
      </c>
      <c r="M4066">
        <v>5161</v>
      </c>
      <c r="N4066">
        <v>10</v>
      </c>
      <c r="O4066" t="s">
        <v>5038</v>
      </c>
      <c r="P4066" t="s">
        <v>5038</v>
      </c>
      <c r="Q4066">
        <v>3</v>
      </c>
      <c r="R4066" t="s">
        <v>5038</v>
      </c>
      <c r="S4066" t="s">
        <v>5038</v>
      </c>
      <c r="T4066">
        <v>0</v>
      </c>
      <c r="U4066" t="s">
        <v>23452</v>
      </c>
      <c r="V4066">
        <f>Tabla1[[#This Row],[Aboard]]-Tabla1[[#This Row],[Fatalities]]</f>
        <v>7</v>
      </c>
      <c r="W4066" s="50">
        <f>IFERROR(Tabla1[[#This Row],[Fatalities]]/Tabla1[[#This Row],[Aboard]],0)</f>
        <v>0.3</v>
      </c>
      <c r="X4066" s="51" t="str" cm="1">
        <f t="array" ref="X4066">_xlfn.IFS(Tabla1[[#This Row],[Porcentaje de muertes]]&lt;0.35,"LEVE",AND(Tabla1[[#This Row],[Porcentaje de muertes]]&gt;0.35,Tabla1[[#This Row],[Porcentaje de muertes]]&lt;0.65),"MEDIO",Tabla1[[#This Row],[Porcentaje de muertes]]&gt;0.65,"GRAVE")</f>
        <v>LEVE</v>
      </c>
    </row>
    <row r="4067" spans="2:24" x14ac:dyDescent="0.3">
      <c r="B4067" s="9">
        <v>4067</v>
      </c>
      <c r="C4067" s="49">
        <v>35524</v>
      </c>
      <c r="D4067" s="9">
        <f>YEAR(Tabla1[[#This Row],[Date]])</f>
        <v>1997</v>
      </c>
      <c r="E4067" s="9" t="str" cm="1">
        <f t="array" ref="E4067">IFERROR(_xlfn.IFS(AND(D4067&lt;1980,D4067&gt;=1970),"70",AND(D4067&lt;1990,D4067&gt;=1980),"80",AND(D4067&lt;2000,D4067&gt;=1990),"90",AND(D4067&lt;2010,D4067&gt;=2000),"00",AND(D4067&lt;=2019,D4067&gt;=2010),"10"),"1908-1970")</f>
        <v>90</v>
      </c>
      <c r="F4067" s="3">
        <v>1.1111111111111112E-2</v>
      </c>
      <c r="G4067" t="s">
        <v>23453</v>
      </c>
      <c r="H4067" t="s">
        <v>23454</v>
      </c>
      <c r="I4067" t="s">
        <v>28931</v>
      </c>
      <c r="J4067" t="s">
        <v>23455</v>
      </c>
      <c r="K4067" t="s">
        <v>23456</v>
      </c>
      <c r="L4067" s="7" t="s">
        <v>23457</v>
      </c>
      <c r="M4067">
        <v>10365</v>
      </c>
      <c r="N4067">
        <v>2</v>
      </c>
      <c r="O4067">
        <v>0</v>
      </c>
      <c r="P4067">
        <v>2</v>
      </c>
      <c r="Q4067">
        <v>2</v>
      </c>
      <c r="R4067">
        <v>0</v>
      </c>
      <c r="S4067">
        <v>2</v>
      </c>
      <c r="T4067">
        <v>0</v>
      </c>
      <c r="U4067" t="s">
        <v>23458</v>
      </c>
      <c r="V4067">
        <f>Tabla1[[#This Row],[Aboard]]-Tabla1[[#This Row],[Fatalities]]</f>
        <v>0</v>
      </c>
      <c r="W4067" s="50">
        <f>IFERROR(Tabla1[[#This Row],[Fatalities]]/Tabla1[[#This Row],[Aboard]],0)</f>
        <v>1</v>
      </c>
      <c r="X4067" s="51" t="str" cm="1">
        <f t="array" ref="X4067">_xlfn.IFS(Tabla1[[#This Row],[Porcentaje de muertes]]&lt;0.35,"LEVE",AND(Tabla1[[#This Row],[Porcentaje de muertes]]&gt;0.35,Tabla1[[#This Row],[Porcentaje de muertes]]&lt;0.65),"MEDIO",Tabla1[[#This Row],[Porcentaje de muertes]]&gt;0.65,"GRAVE")</f>
        <v>GRAVE</v>
      </c>
    </row>
    <row r="4068" spans="2:24" x14ac:dyDescent="0.3">
      <c r="B4068" s="9">
        <v>4068</v>
      </c>
      <c r="C4068" s="49">
        <v>35707</v>
      </c>
      <c r="D4068" s="9">
        <f>YEAR(Tabla1[[#This Row],[Date]])</f>
        <v>1997</v>
      </c>
      <c r="E4068" s="9" t="str" cm="1">
        <f t="array" ref="E4068">IFERROR(_xlfn.IFS(AND(D4068&lt;1980,D4068&gt;=1970),"70",AND(D4068&lt;1990,D4068&gt;=1980),"80",AND(D4068&lt;2000,D4068&gt;=1990),"90",AND(D4068&lt;2010,D4068&gt;=2000),"00",AND(D4068&lt;=2019,D4068&gt;=2010),"10"),"1908-1970")</f>
        <v>90</v>
      </c>
      <c r="F4068" s="3">
        <v>0.85416666666666663</v>
      </c>
      <c r="G4068" t="s">
        <v>23459</v>
      </c>
      <c r="H4068" t="s">
        <v>23460</v>
      </c>
      <c r="I4068">
        <v>502</v>
      </c>
      <c r="J4068" t="s">
        <v>23461</v>
      </c>
      <c r="K4068" t="s">
        <v>21225</v>
      </c>
      <c r="L4068" s="7" t="s">
        <v>23462</v>
      </c>
      <c r="M4068" t="s">
        <v>23463</v>
      </c>
      <c r="N4068">
        <v>5</v>
      </c>
      <c r="O4068">
        <v>4</v>
      </c>
      <c r="P4068">
        <v>1</v>
      </c>
      <c r="Q4068">
        <v>5</v>
      </c>
      <c r="R4068">
        <v>4</v>
      </c>
      <c r="S4068">
        <v>1</v>
      </c>
      <c r="T4068">
        <v>0</v>
      </c>
      <c r="U4068" t="s">
        <v>23464</v>
      </c>
      <c r="V4068">
        <f>Tabla1[[#This Row],[Aboard]]-Tabla1[[#This Row],[Fatalities]]</f>
        <v>0</v>
      </c>
      <c r="W4068" s="50">
        <f>IFERROR(Tabla1[[#This Row],[Fatalities]]/Tabla1[[#This Row],[Aboard]],0)</f>
        <v>1</v>
      </c>
      <c r="X4068" s="51" t="str" cm="1">
        <f t="array" ref="X4068">_xlfn.IFS(Tabla1[[#This Row],[Porcentaje de muertes]]&lt;0.35,"LEVE",AND(Tabla1[[#This Row],[Porcentaje de muertes]]&gt;0.35,Tabla1[[#This Row],[Porcentaje de muertes]]&lt;0.65),"MEDIO",Tabla1[[#This Row],[Porcentaje de muertes]]&gt;0.65,"GRAVE")</f>
        <v>GRAVE</v>
      </c>
    </row>
    <row r="4069" spans="2:24" x14ac:dyDescent="0.3">
      <c r="B4069" s="9">
        <v>4069</v>
      </c>
      <c r="C4069" s="49">
        <v>35534</v>
      </c>
      <c r="D4069" s="9">
        <f>YEAR(Tabla1[[#This Row],[Date]])</f>
        <v>1997</v>
      </c>
      <c r="E4069" s="9" t="str" cm="1">
        <f t="array" ref="E4069">IFERROR(_xlfn.IFS(AND(D4069&lt;1980,D4069&gt;=1970),"70",AND(D4069&lt;1990,D4069&gt;=1980),"80",AND(D4069&lt;2000,D4069&gt;=1990),"90",AND(D4069&lt;2010,D4069&gt;=2000),"00",AND(D4069&lt;=2019,D4069&gt;=2010),"10"),"1908-1970")</f>
        <v>90</v>
      </c>
      <c r="F4069" s="3" t="s">
        <v>28931</v>
      </c>
      <c r="G4069" t="s">
        <v>23465</v>
      </c>
      <c r="H4069" t="s">
        <v>18885</v>
      </c>
      <c r="I4069" t="s">
        <v>28931</v>
      </c>
      <c r="J4069" t="s">
        <v>23466</v>
      </c>
      <c r="K4069" t="s">
        <v>15526</v>
      </c>
      <c r="L4069" s="7" t="s">
        <v>23467</v>
      </c>
      <c r="M4069">
        <v>10424</v>
      </c>
      <c r="N4069">
        <v>7</v>
      </c>
      <c r="O4069">
        <v>4</v>
      </c>
      <c r="P4069">
        <v>3</v>
      </c>
      <c r="Q4069">
        <v>3</v>
      </c>
      <c r="R4069">
        <v>0</v>
      </c>
      <c r="S4069">
        <v>3</v>
      </c>
      <c r="T4069">
        <v>0</v>
      </c>
      <c r="U4069" t="s">
        <v>23468</v>
      </c>
      <c r="V4069">
        <f>Tabla1[[#This Row],[Aboard]]-Tabla1[[#This Row],[Fatalities]]</f>
        <v>4</v>
      </c>
      <c r="W4069" s="50">
        <f>IFERROR(Tabla1[[#This Row],[Fatalities]]/Tabla1[[#This Row],[Aboard]],0)</f>
        <v>0.42857142857142855</v>
      </c>
      <c r="X4069" s="51" t="str" cm="1">
        <f t="array" ref="X4069">_xlfn.IFS(Tabla1[[#This Row],[Porcentaje de muertes]]&lt;0.35,"LEVE",AND(Tabla1[[#This Row],[Porcentaje de muertes]]&gt;0.35,Tabla1[[#This Row],[Porcentaje de muertes]]&lt;0.65),"MEDIO",Tabla1[[#This Row],[Porcentaje de muertes]]&gt;0.65,"GRAVE")</f>
        <v>MEDIO</v>
      </c>
    </row>
    <row r="4070" spans="2:24" x14ac:dyDescent="0.3">
      <c r="B4070" s="9">
        <v>4070</v>
      </c>
      <c r="C4070" s="49">
        <v>35535</v>
      </c>
      <c r="D4070" s="9">
        <f>YEAR(Tabla1[[#This Row],[Date]])</f>
        <v>1997</v>
      </c>
      <c r="E4070" s="9" t="str" cm="1">
        <f t="array" ref="E4070">IFERROR(_xlfn.IFS(AND(D4070&lt;1980,D4070&gt;=1970),"70",AND(D4070&lt;1990,D4070&gt;=1980),"80",AND(D4070&lt;2000,D4070&gt;=1990),"90",AND(D4070&lt;2010,D4070&gt;=2000),"00",AND(D4070&lt;=2019,D4070&gt;=2010),"10"),"1908-1970")</f>
        <v>90</v>
      </c>
      <c r="F4070" s="3" t="s">
        <v>28931</v>
      </c>
      <c r="G4070" t="s">
        <v>23469</v>
      </c>
      <c r="H4070" t="s">
        <v>23009</v>
      </c>
      <c r="I4070" t="s">
        <v>28931</v>
      </c>
      <c r="J4070" t="s">
        <v>6190</v>
      </c>
      <c r="K4070" t="s">
        <v>17256</v>
      </c>
      <c r="L4070" s="7" t="s">
        <v>23470</v>
      </c>
      <c r="M4070">
        <v>9510640</v>
      </c>
      <c r="N4070">
        <v>6</v>
      </c>
      <c r="O4070">
        <v>0</v>
      </c>
      <c r="P4070">
        <v>6</v>
      </c>
      <c r="Q4070">
        <v>6</v>
      </c>
      <c r="R4070">
        <v>0</v>
      </c>
      <c r="S4070">
        <v>6</v>
      </c>
      <c r="T4070">
        <v>0</v>
      </c>
      <c r="U4070" t="s">
        <v>23471</v>
      </c>
      <c r="V4070">
        <f>Tabla1[[#This Row],[Aboard]]-Tabla1[[#This Row],[Fatalities]]</f>
        <v>0</v>
      </c>
      <c r="W4070" s="50">
        <f>IFERROR(Tabla1[[#This Row],[Fatalities]]/Tabla1[[#This Row],[Aboard]],0)</f>
        <v>1</v>
      </c>
      <c r="X4070" s="51" t="str" cm="1">
        <f t="array" ref="X4070">_xlfn.IFS(Tabla1[[#This Row],[Porcentaje de muertes]]&lt;0.35,"LEVE",AND(Tabla1[[#This Row],[Porcentaje de muertes]]&gt;0.35,Tabla1[[#This Row],[Porcentaje de muertes]]&lt;0.65),"MEDIO",Tabla1[[#This Row],[Porcentaje de muertes]]&gt;0.65,"GRAVE")</f>
        <v>GRAVE</v>
      </c>
    </row>
    <row r="4071" spans="2:24" x14ac:dyDescent="0.3">
      <c r="B4071" s="9">
        <v>4071</v>
      </c>
      <c r="C4071" s="49">
        <v>35536</v>
      </c>
      <c r="D4071" s="9">
        <f>YEAR(Tabla1[[#This Row],[Date]])</f>
        <v>1997</v>
      </c>
      <c r="E4071" s="9" t="str" cm="1">
        <f t="array" ref="E4071">IFERROR(_xlfn.IFS(AND(D4071&lt;1980,D4071&gt;=1970),"70",AND(D4071&lt;1990,D4071&gt;=1980),"80",AND(D4071&lt;2000,D4071&gt;=1990),"90",AND(D4071&lt;2010,D4071&gt;=2000),"00",AND(D4071&lt;=2019,D4071&gt;=2010),"10"),"1908-1970")</f>
        <v>90</v>
      </c>
      <c r="F4071" s="3" t="s">
        <v>28931</v>
      </c>
      <c r="G4071" t="s">
        <v>23472</v>
      </c>
      <c r="H4071" t="s">
        <v>23473</v>
      </c>
      <c r="I4071" t="s">
        <v>28931</v>
      </c>
      <c r="J4071" t="s">
        <v>23474</v>
      </c>
      <c r="K4071" t="s">
        <v>18896</v>
      </c>
      <c r="L4071" s="7" t="s">
        <v>23475</v>
      </c>
      <c r="M4071">
        <v>4829</v>
      </c>
      <c r="N4071">
        <v>14</v>
      </c>
      <c r="O4071" t="s">
        <v>5038</v>
      </c>
      <c r="P4071" t="s">
        <v>5038</v>
      </c>
      <c r="Q4071">
        <v>14</v>
      </c>
      <c r="R4071" t="s">
        <v>5038</v>
      </c>
      <c r="S4071" t="s">
        <v>5038</v>
      </c>
      <c r="T4071">
        <v>0</v>
      </c>
      <c r="U4071" t="s">
        <v>23476</v>
      </c>
      <c r="V4071">
        <f>Tabla1[[#This Row],[Aboard]]-Tabla1[[#This Row],[Fatalities]]</f>
        <v>0</v>
      </c>
      <c r="W4071" s="50">
        <f>IFERROR(Tabla1[[#This Row],[Fatalities]]/Tabla1[[#This Row],[Aboard]],0)</f>
        <v>1</v>
      </c>
      <c r="X4071" s="51" t="str" cm="1">
        <f t="array" ref="X4071">_xlfn.IFS(Tabla1[[#This Row],[Porcentaje de muertes]]&lt;0.35,"LEVE",AND(Tabla1[[#This Row],[Porcentaje de muertes]]&gt;0.35,Tabla1[[#This Row],[Porcentaje de muertes]]&lt;0.65),"MEDIO",Tabla1[[#This Row],[Porcentaje de muertes]]&gt;0.65,"GRAVE")</f>
        <v>GRAVE</v>
      </c>
    </row>
    <row r="4072" spans="2:24" x14ac:dyDescent="0.3">
      <c r="B4072" s="9">
        <v>4072</v>
      </c>
      <c r="C4072" s="49">
        <v>35539</v>
      </c>
      <c r="D4072" s="9">
        <f>YEAR(Tabla1[[#This Row],[Date]])</f>
        <v>1997</v>
      </c>
      <c r="E4072" s="9" t="str" cm="1">
        <f t="array" ref="E4072">IFERROR(_xlfn.IFS(AND(D4072&lt;1980,D4072&gt;=1970),"70",AND(D4072&lt;1990,D4072&gt;=1980),"80",AND(D4072&lt;2000,D4072&gt;=1990),"90",AND(D4072&lt;2010,D4072&gt;=2000),"00",AND(D4072&lt;=2019,D4072&gt;=2010),"10"),"1908-1970")</f>
        <v>90</v>
      </c>
      <c r="F4072" s="3">
        <v>0.31875000000000003</v>
      </c>
      <c r="G4072" t="s">
        <v>23477</v>
      </c>
      <c r="H4072" t="s">
        <v>16296</v>
      </c>
      <c r="I4072">
        <v>106</v>
      </c>
      <c r="J4072" t="s">
        <v>23478</v>
      </c>
      <c r="K4072" t="s">
        <v>23479</v>
      </c>
      <c r="L4072" s="7" t="s">
        <v>23480</v>
      </c>
      <c r="M4072">
        <v>2048</v>
      </c>
      <c r="N4072">
        <v>53</v>
      </c>
      <c r="O4072">
        <v>48</v>
      </c>
      <c r="P4072">
        <v>5</v>
      </c>
      <c r="Q4072">
        <v>15</v>
      </c>
      <c r="R4072">
        <v>11</v>
      </c>
      <c r="S4072">
        <v>4</v>
      </c>
      <c r="T4072">
        <v>0</v>
      </c>
      <c r="U4072" t="s">
        <v>23481</v>
      </c>
      <c r="V4072">
        <f>Tabla1[[#This Row],[Aboard]]-Tabla1[[#This Row],[Fatalities]]</f>
        <v>38</v>
      </c>
      <c r="W4072" s="50">
        <f>IFERROR(Tabla1[[#This Row],[Fatalities]]/Tabla1[[#This Row],[Aboard]],0)</f>
        <v>0.28301886792452829</v>
      </c>
      <c r="X4072" s="51" t="str" cm="1">
        <f t="array" ref="X4072">_xlfn.IFS(Tabla1[[#This Row],[Porcentaje de muertes]]&lt;0.35,"LEVE",AND(Tabla1[[#This Row],[Porcentaje de muertes]]&gt;0.35,Tabla1[[#This Row],[Porcentaje de muertes]]&lt;0.65),"MEDIO",Tabla1[[#This Row],[Porcentaje de muertes]]&gt;0.65,"GRAVE")</f>
        <v>LEVE</v>
      </c>
    </row>
    <row r="4073" spans="2:24" x14ac:dyDescent="0.3">
      <c r="B4073" s="9">
        <v>4073</v>
      </c>
      <c r="C4073" s="49">
        <v>35543</v>
      </c>
      <c r="D4073" s="9">
        <f>YEAR(Tabla1[[#This Row],[Date]])</f>
        <v>1997</v>
      </c>
      <c r="E4073" s="9" t="str" cm="1">
        <f t="array" ref="E4073">IFERROR(_xlfn.IFS(AND(D4073&lt;1980,D4073&gt;=1970),"70",AND(D4073&lt;1990,D4073&gt;=1980),"80",AND(D4073&lt;2000,D4073&gt;=1990),"90",AND(D4073&lt;2010,D4073&gt;=2000),"00",AND(D4073&lt;=2019,D4073&gt;=2010),"10"),"1908-1970")</f>
        <v>90</v>
      </c>
      <c r="F4073" s="3">
        <v>0.75</v>
      </c>
      <c r="G4073" t="s">
        <v>23482</v>
      </c>
      <c r="H4073" t="s">
        <v>20220</v>
      </c>
      <c r="I4073" t="s">
        <v>28931</v>
      </c>
      <c r="J4073" t="s">
        <v>28931</v>
      </c>
      <c r="K4073" t="s">
        <v>17904</v>
      </c>
      <c r="L4073" s="7" t="s">
        <v>28931</v>
      </c>
      <c r="M4073" t="s">
        <v>28931</v>
      </c>
      <c r="N4073">
        <v>36</v>
      </c>
      <c r="O4073" t="s">
        <v>5038</v>
      </c>
      <c r="P4073" t="s">
        <v>5038</v>
      </c>
      <c r="Q4073">
        <v>36</v>
      </c>
      <c r="R4073" t="s">
        <v>5038</v>
      </c>
      <c r="S4073" t="s">
        <v>5038</v>
      </c>
      <c r="T4073">
        <v>0</v>
      </c>
      <c r="U4073" t="s">
        <v>23483</v>
      </c>
      <c r="V4073">
        <f>Tabla1[[#This Row],[Aboard]]-Tabla1[[#This Row],[Fatalities]]</f>
        <v>0</v>
      </c>
      <c r="W4073" s="50">
        <f>IFERROR(Tabla1[[#This Row],[Fatalities]]/Tabla1[[#This Row],[Aboard]],0)</f>
        <v>1</v>
      </c>
      <c r="X4073" s="51" t="str" cm="1">
        <f t="array" ref="X4073">_xlfn.IFS(Tabla1[[#This Row],[Porcentaje de muertes]]&lt;0.35,"LEVE",AND(Tabla1[[#This Row],[Porcentaje de muertes]]&gt;0.35,Tabla1[[#This Row],[Porcentaje de muertes]]&lt;0.65),"MEDIO",Tabla1[[#This Row],[Porcentaje de muertes]]&gt;0.65,"GRAVE")</f>
        <v>GRAVE</v>
      </c>
    </row>
    <row r="4074" spans="2:24" x14ac:dyDescent="0.3">
      <c r="B4074" s="9">
        <v>4074</v>
      </c>
      <c r="C4074" s="49">
        <v>35647</v>
      </c>
      <c r="D4074" s="9">
        <f>YEAR(Tabla1[[#This Row],[Date]])</f>
        <v>1997</v>
      </c>
      <c r="E4074" s="9" t="str" cm="1">
        <f t="array" ref="E4074">IFERROR(_xlfn.IFS(AND(D4074&lt;1980,D4074&gt;=1970),"70",AND(D4074&lt;1990,D4074&gt;=1980),"80",AND(D4074&lt;2000,D4074&gt;=1990),"90",AND(D4074&lt;2010,D4074&gt;=2000),"00",AND(D4074&lt;=2019,D4074&gt;=2010),"10"),"1908-1970")</f>
        <v>90</v>
      </c>
      <c r="F4074" s="3">
        <v>0.89444444444444438</v>
      </c>
      <c r="G4074" t="s">
        <v>23484</v>
      </c>
      <c r="H4074" t="s">
        <v>22100</v>
      </c>
      <c r="I4074">
        <v>3456</v>
      </c>
      <c r="J4074" t="s">
        <v>23485</v>
      </c>
      <c r="K4074" t="s">
        <v>23486</v>
      </c>
      <c r="L4074" s="7" t="s">
        <v>23487</v>
      </c>
      <c r="M4074" t="s">
        <v>23488</v>
      </c>
      <c r="N4074">
        <v>74</v>
      </c>
      <c r="O4074">
        <v>65</v>
      </c>
      <c r="P4074">
        <v>9</v>
      </c>
      <c r="Q4074">
        <v>35</v>
      </c>
      <c r="R4074">
        <v>33</v>
      </c>
      <c r="S4074">
        <v>2</v>
      </c>
      <c r="T4074">
        <v>0</v>
      </c>
      <c r="U4074" t="s">
        <v>23489</v>
      </c>
      <c r="V4074">
        <f>Tabla1[[#This Row],[Aboard]]-Tabla1[[#This Row],[Fatalities]]</f>
        <v>39</v>
      </c>
      <c r="W4074" s="50">
        <f>IFERROR(Tabla1[[#This Row],[Fatalities]]/Tabla1[[#This Row],[Aboard]],0)</f>
        <v>0.47297297297297297</v>
      </c>
      <c r="X4074" s="51" t="str" cm="1">
        <f t="array" ref="X4074">_xlfn.IFS(Tabla1[[#This Row],[Porcentaje de muertes]]&lt;0.35,"LEVE",AND(Tabla1[[#This Row],[Porcentaje de muertes]]&gt;0.35,Tabla1[[#This Row],[Porcentaje de muertes]]&lt;0.65),"MEDIO",Tabla1[[#This Row],[Porcentaje de muertes]]&gt;0.65,"GRAVE")</f>
        <v>MEDIO</v>
      </c>
    </row>
    <row r="4075" spans="2:24" x14ac:dyDescent="0.3">
      <c r="B4075" s="9">
        <v>4075</v>
      </c>
      <c r="C4075" s="49">
        <v>35587</v>
      </c>
      <c r="D4075" s="9">
        <f>YEAR(Tabla1[[#This Row],[Date]])</f>
        <v>1997</v>
      </c>
      <c r="E4075" s="9" t="str" cm="1">
        <f t="array" ref="E4075">IFERROR(_xlfn.IFS(AND(D4075&lt;1980,D4075&gt;=1970),"70",AND(D4075&lt;1990,D4075&gt;=1980),"80",AND(D4075&lt;2000,D4075&gt;=1990),"90",AND(D4075&lt;2010,D4075&gt;=2000),"00",AND(D4075&lt;=2019,D4075&gt;=2010),"10"),"1908-1970")</f>
        <v>90</v>
      </c>
      <c r="F4075" s="3">
        <v>0.31597222222222221</v>
      </c>
      <c r="G4075" t="s">
        <v>23490</v>
      </c>
      <c r="H4075" t="s">
        <v>23491</v>
      </c>
      <c r="I4075" t="s">
        <v>28931</v>
      </c>
      <c r="J4075" t="s">
        <v>23492</v>
      </c>
      <c r="K4075" t="s">
        <v>23493</v>
      </c>
      <c r="L4075" s="7" t="s">
        <v>23494</v>
      </c>
      <c r="M4075">
        <v>280</v>
      </c>
      <c r="N4075">
        <v>27</v>
      </c>
      <c r="O4075">
        <v>20</v>
      </c>
      <c r="P4075">
        <v>7</v>
      </c>
      <c r="Q4075">
        <v>27</v>
      </c>
      <c r="R4075">
        <v>20</v>
      </c>
      <c r="S4075">
        <v>7</v>
      </c>
      <c r="T4075">
        <v>0</v>
      </c>
      <c r="U4075" t="s">
        <v>23495</v>
      </c>
      <c r="V4075">
        <f>Tabla1[[#This Row],[Aboard]]-Tabla1[[#This Row],[Fatalities]]</f>
        <v>0</v>
      </c>
      <c r="W4075" s="50">
        <f>IFERROR(Tabla1[[#This Row],[Fatalities]]/Tabla1[[#This Row],[Aboard]],0)</f>
        <v>1</v>
      </c>
      <c r="X4075" s="51" t="str" cm="1">
        <f t="array" ref="X4075">_xlfn.IFS(Tabla1[[#This Row],[Porcentaje de muertes]]&lt;0.35,"LEVE",AND(Tabla1[[#This Row],[Porcentaje de muertes]]&gt;0.35,Tabla1[[#This Row],[Porcentaje de muertes]]&lt;0.65),"MEDIO",Tabla1[[#This Row],[Porcentaje de muertes]]&gt;0.65,"GRAVE")</f>
        <v>GRAVE</v>
      </c>
    </row>
    <row r="4076" spans="2:24" x14ac:dyDescent="0.3">
      <c r="B4076" s="9">
        <v>4076</v>
      </c>
      <c r="C4076" s="49">
        <v>35709</v>
      </c>
      <c r="D4076" s="9">
        <f>YEAR(Tabla1[[#This Row],[Date]])</f>
        <v>1997</v>
      </c>
      <c r="E4076" s="9" t="str" cm="1">
        <f t="array" ref="E4076">IFERROR(_xlfn.IFS(AND(D4076&lt;1980,D4076&gt;=1970),"70",AND(D4076&lt;1990,D4076&gt;=1980),"80",AND(D4076&lt;2000,D4076&gt;=1990),"90",AND(D4076&lt;2010,D4076&gt;=2000),"00",AND(D4076&lt;=2019,D4076&gt;=2010),"10"),"1908-1970")</f>
        <v>90</v>
      </c>
      <c r="F4076" s="3" t="s">
        <v>28931</v>
      </c>
      <c r="G4076" t="s">
        <v>23496</v>
      </c>
      <c r="H4076" t="s">
        <v>21210</v>
      </c>
      <c r="I4076" t="s">
        <v>28931</v>
      </c>
      <c r="J4076" t="s">
        <v>23497</v>
      </c>
      <c r="K4076" t="s">
        <v>23498</v>
      </c>
      <c r="L4076" s="7" t="s">
        <v>23499</v>
      </c>
      <c r="M4076">
        <v>6</v>
      </c>
      <c r="N4076">
        <v>12</v>
      </c>
      <c r="O4076">
        <v>10</v>
      </c>
      <c r="P4076">
        <v>2</v>
      </c>
      <c r="Q4076">
        <v>7</v>
      </c>
      <c r="R4076">
        <v>7</v>
      </c>
      <c r="S4076">
        <v>0</v>
      </c>
      <c r="T4076">
        <v>0</v>
      </c>
      <c r="U4076" t="s">
        <v>23500</v>
      </c>
      <c r="V4076">
        <f>Tabla1[[#This Row],[Aboard]]-Tabla1[[#This Row],[Fatalities]]</f>
        <v>5</v>
      </c>
      <c r="W4076" s="50">
        <f>IFERROR(Tabla1[[#This Row],[Fatalities]]/Tabla1[[#This Row],[Aboard]],0)</f>
        <v>0.58333333333333337</v>
      </c>
      <c r="X4076" s="51" t="str" cm="1">
        <f t="array" ref="X4076">_xlfn.IFS(Tabla1[[#This Row],[Porcentaje de muertes]]&lt;0.35,"LEVE",AND(Tabla1[[#This Row],[Porcentaje de muertes]]&gt;0.35,Tabla1[[#This Row],[Porcentaje de muertes]]&lt;0.65),"MEDIO",Tabla1[[#This Row],[Porcentaje de muertes]]&gt;0.65,"GRAVE")</f>
        <v>MEDIO</v>
      </c>
    </row>
    <row r="4077" spans="2:24" x14ac:dyDescent="0.3">
      <c r="B4077" s="9">
        <v>4077</v>
      </c>
      <c r="C4077" s="49">
        <v>35496</v>
      </c>
      <c r="D4077" s="9">
        <f>YEAR(Tabla1[[#This Row],[Date]])</f>
        <v>1997</v>
      </c>
      <c r="E4077" s="9" t="str" cm="1">
        <f t="array" ref="E4077">IFERROR(_xlfn.IFS(AND(D4077&lt;1980,D4077&gt;=1970),"70",AND(D4077&lt;1990,D4077&gt;=1980),"80",AND(D4077&lt;2000,D4077&gt;=1990),"90",AND(D4077&lt;2010,D4077&gt;=2000),"00",AND(D4077&lt;=2019,D4077&gt;=2010),"10"),"1908-1970")</f>
        <v>90</v>
      </c>
      <c r="F4077" s="3">
        <v>0.15902777777777777</v>
      </c>
      <c r="G4077" t="s">
        <v>23501</v>
      </c>
      <c r="H4077" t="s">
        <v>23502</v>
      </c>
      <c r="I4077" t="s">
        <v>28931</v>
      </c>
      <c r="J4077" t="s">
        <v>23503</v>
      </c>
      <c r="K4077" t="s">
        <v>14481</v>
      </c>
      <c r="L4077" s="7" t="s">
        <v>23504</v>
      </c>
      <c r="M4077">
        <v>10670</v>
      </c>
      <c r="N4077">
        <v>2</v>
      </c>
      <c r="O4077">
        <v>0</v>
      </c>
      <c r="P4077">
        <v>2</v>
      </c>
      <c r="Q4077">
        <v>2</v>
      </c>
      <c r="R4077">
        <v>0</v>
      </c>
      <c r="S4077">
        <v>2</v>
      </c>
      <c r="T4077">
        <v>0</v>
      </c>
      <c r="U4077" t="s">
        <v>23505</v>
      </c>
      <c r="V4077">
        <f>Tabla1[[#This Row],[Aboard]]-Tabla1[[#This Row],[Fatalities]]</f>
        <v>0</v>
      </c>
      <c r="W4077" s="50">
        <f>IFERROR(Tabla1[[#This Row],[Fatalities]]/Tabla1[[#This Row],[Aboard]],0)</f>
        <v>1</v>
      </c>
      <c r="X4077" s="51" t="str" cm="1">
        <f t="array" ref="X4077">_xlfn.IFS(Tabla1[[#This Row],[Porcentaje de muertes]]&lt;0.35,"LEVE",AND(Tabla1[[#This Row],[Porcentaje de muertes]]&gt;0.35,Tabla1[[#This Row],[Porcentaje de muertes]]&lt;0.65),"MEDIO",Tabla1[[#This Row],[Porcentaje de muertes]]&gt;0.65,"GRAVE")</f>
        <v>GRAVE</v>
      </c>
    </row>
    <row r="4078" spans="2:24" x14ac:dyDescent="0.3">
      <c r="B4078" s="9">
        <v>4078</v>
      </c>
      <c r="C4078" s="49">
        <v>35588</v>
      </c>
      <c r="D4078" s="9">
        <f>YEAR(Tabla1[[#This Row],[Date]])</f>
        <v>1997</v>
      </c>
      <c r="E4078" s="9" t="str" cm="1">
        <f t="array" ref="E4078">IFERROR(_xlfn.IFS(AND(D4078&lt;1980,D4078&gt;=1970),"70",AND(D4078&lt;1990,D4078&gt;=1980),"80",AND(D4078&lt;2000,D4078&gt;=1990),"90",AND(D4078&lt;2010,D4078&gt;=2000),"00",AND(D4078&lt;=2019,D4078&gt;=2010),"10"),"1908-1970")</f>
        <v>90</v>
      </c>
      <c r="F4078" s="3" t="s">
        <v>28931</v>
      </c>
      <c r="G4078" t="s">
        <v>20090</v>
      </c>
      <c r="H4078" t="s">
        <v>23506</v>
      </c>
      <c r="I4078" t="s">
        <v>28931</v>
      </c>
      <c r="J4078" t="s">
        <v>28931</v>
      </c>
      <c r="K4078" t="s">
        <v>20207</v>
      </c>
      <c r="L4078" s="7" t="s">
        <v>28931</v>
      </c>
      <c r="M4078" t="s">
        <v>28931</v>
      </c>
      <c r="N4078">
        <v>29</v>
      </c>
      <c r="O4078">
        <v>25</v>
      </c>
      <c r="P4078">
        <v>4</v>
      </c>
      <c r="Q4078">
        <v>25</v>
      </c>
      <c r="R4078">
        <v>21</v>
      </c>
      <c r="S4078">
        <v>4</v>
      </c>
      <c r="T4078">
        <v>0</v>
      </c>
      <c r="U4078" t="s">
        <v>20428</v>
      </c>
      <c r="V4078">
        <f>Tabla1[[#This Row],[Aboard]]-Tabla1[[#This Row],[Fatalities]]</f>
        <v>4</v>
      </c>
      <c r="W4078" s="50">
        <f>IFERROR(Tabla1[[#This Row],[Fatalities]]/Tabla1[[#This Row],[Aboard]],0)</f>
        <v>0.86206896551724133</v>
      </c>
      <c r="X4078" s="51" t="str" cm="1">
        <f t="array" ref="X4078">_xlfn.IFS(Tabla1[[#This Row],[Porcentaje de muertes]]&lt;0.35,"LEVE",AND(Tabla1[[#This Row],[Porcentaje de muertes]]&gt;0.35,Tabla1[[#This Row],[Porcentaje de muertes]]&lt;0.65),"MEDIO",Tabla1[[#This Row],[Porcentaje de muertes]]&gt;0.65,"GRAVE")</f>
        <v>GRAVE</v>
      </c>
    </row>
    <row r="4079" spans="2:24" x14ac:dyDescent="0.3">
      <c r="B4079" s="9">
        <v>4079</v>
      </c>
      <c r="C4079" s="49">
        <v>35680</v>
      </c>
      <c r="D4079" s="9">
        <f>YEAR(Tabla1[[#This Row],[Date]])</f>
        <v>1997</v>
      </c>
      <c r="E4079" s="9" t="str" cm="1">
        <f t="array" ref="E4079">IFERROR(_xlfn.IFS(AND(D4079&lt;1980,D4079&gt;=1970),"70",AND(D4079&lt;1990,D4079&gt;=1980),"80",AND(D4079&lt;2000,D4079&gt;=1990),"90",AND(D4079&lt;2010,D4079&gt;=2000),"00",AND(D4079&lt;=2019,D4079&gt;=2010),"10"),"1908-1970")</f>
        <v>90</v>
      </c>
      <c r="F4079" s="3">
        <v>0.39583333333333331</v>
      </c>
      <c r="G4079" t="s">
        <v>23507</v>
      </c>
      <c r="H4079" t="s">
        <v>11392</v>
      </c>
      <c r="I4079">
        <v>283</v>
      </c>
      <c r="J4079" t="s">
        <v>23508</v>
      </c>
      <c r="K4079" t="s">
        <v>22186</v>
      </c>
      <c r="L4079" s="7" t="s">
        <v>23509</v>
      </c>
      <c r="M4079">
        <v>11440</v>
      </c>
      <c r="N4079">
        <v>60</v>
      </c>
      <c r="O4079">
        <v>55</v>
      </c>
      <c r="P4079">
        <v>5</v>
      </c>
      <c r="Q4079">
        <v>1</v>
      </c>
      <c r="R4079">
        <v>1</v>
      </c>
      <c r="S4079">
        <v>0</v>
      </c>
      <c r="T4079">
        <v>0</v>
      </c>
      <c r="U4079" t="s">
        <v>23510</v>
      </c>
      <c r="V4079">
        <f>Tabla1[[#This Row],[Aboard]]-Tabla1[[#This Row],[Fatalities]]</f>
        <v>59</v>
      </c>
      <c r="W4079" s="50">
        <f>IFERROR(Tabla1[[#This Row],[Fatalities]]/Tabla1[[#This Row],[Aboard]],0)</f>
        <v>1.6666666666666666E-2</v>
      </c>
      <c r="X4079" s="51" t="str" cm="1">
        <f t="array" ref="X4079">_xlfn.IFS(Tabla1[[#This Row],[Porcentaje de muertes]]&lt;0.35,"LEVE",AND(Tabla1[[#This Row],[Porcentaje de muertes]]&gt;0.35,Tabla1[[#This Row],[Porcentaje de muertes]]&lt;0.65),"MEDIO",Tabla1[[#This Row],[Porcentaje de muertes]]&gt;0.65,"GRAVE")</f>
        <v>LEVE</v>
      </c>
    </row>
    <row r="4080" spans="2:24" x14ac:dyDescent="0.3">
      <c r="B4080" s="9">
        <v>4080</v>
      </c>
      <c r="C4080" s="49">
        <v>35741</v>
      </c>
      <c r="D4080" s="9">
        <f>YEAR(Tabla1[[#This Row],[Date]])</f>
        <v>1997</v>
      </c>
      <c r="E4080" s="9" t="str" cm="1">
        <f t="array" ref="E4080">IFERROR(_xlfn.IFS(AND(D4080&lt;1980,D4080&gt;=1970),"70",AND(D4080&lt;1990,D4080&gt;=1980),"80",AND(D4080&lt;2000,D4080&gt;=1990),"90",AND(D4080&lt;2010,D4080&gt;=2000),"00",AND(D4080&lt;=2019,D4080&gt;=2010),"10"),"1908-1970")</f>
        <v>90</v>
      </c>
      <c r="F4080" s="3">
        <v>0.91319444444444453</v>
      </c>
      <c r="G4080" t="s">
        <v>23511</v>
      </c>
      <c r="H4080" t="s">
        <v>6524</v>
      </c>
      <c r="I4080">
        <v>787</v>
      </c>
      <c r="J4080" t="s">
        <v>5756</v>
      </c>
      <c r="K4080" t="s">
        <v>14340</v>
      </c>
      <c r="L4080" s="7" t="s">
        <v>23512</v>
      </c>
      <c r="M4080">
        <v>27307610</v>
      </c>
      <c r="N4080">
        <v>44</v>
      </c>
      <c r="O4080">
        <v>39</v>
      </c>
      <c r="P4080">
        <v>5</v>
      </c>
      <c r="Q4080">
        <v>44</v>
      </c>
      <c r="R4080">
        <v>39</v>
      </c>
      <c r="S4080">
        <v>5</v>
      </c>
      <c r="T4080">
        <v>0</v>
      </c>
      <c r="U4080" t="s">
        <v>23513</v>
      </c>
      <c r="V4080">
        <f>Tabla1[[#This Row],[Aboard]]-Tabla1[[#This Row],[Fatalities]]</f>
        <v>0</v>
      </c>
      <c r="W4080" s="50">
        <f>IFERROR(Tabla1[[#This Row],[Fatalities]]/Tabla1[[#This Row],[Aboard]],0)</f>
        <v>1</v>
      </c>
      <c r="X4080" s="51" t="str" cm="1">
        <f t="array" ref="X4080">_xlfn.IFS(Tabla1[[#This Row],[Porcentaje de muertes]]&lt;0.35,"LEVE",AND(Tabla1[[#This Row],[Porcentaje de muertes]]&gt;0.35,Tabla1[[#This Row],[Porcentaje de muertes]]&lt;0.65),"MEDIO",Tabla1[[#This Row],[Porcentaje de muertes]]&gt;0.65,"GRAVE")</f>
        <v>GRAVE</v>
      </c>
    </row>
    <row r="4081" spans="2:24" x14ac:dyDescent="0.3">
      <c r="B4081" s="9">
        <v>4081</v>
      </c>
      <c r="C4081" s="49">
        <v>35628</v>
      </c>
      <c r="D4081" s="9">
        <f>YEAR(Tabla1[[#This Row],[Date]])</f>
        <v>1997</v>
      </c>
      <c r="E4081" s="9" t="str" cm="1">
        <f t="array" ref="E4081">IFERROR(_xlfn.IFS(AND(D4081&lt;1980,D4081&gt;=1970),"70",AND(D4081&lt;1990,D4081&gt;=1980),"80",AND(D4081&lt;2000,D4081&gt;=1990),"90",AND(D4081&lt;2010,D4081&gt;=2000),"00",AND(D4081&lt;=2019,D4081&gt;=2010),"10"),"1908-1970")</f>
        <v>90</v>
      </c>
      <c r="F4081" s="3">
        <v>0.49722222222222223</v>
      </c>
      <c r="G4081" t="s">
        <v>23514</v>
      </c>
      <c r="H4081" t="s">
        <v>23515</v>
      </c>
      <c r="I4081">
        <v>304</v>
      </c>
      <c r="J4081" t="s">
        <v>23516</v>
      </c>
      <c r="K4081" t="s">
        <v>15526</v>
      </c>
      <c r="L4081" s="7" t="s">
        <v>23517</v>
      </c>
      <c r="M4081">
        <v>10415</v>
      </c>
      <c r="N4081">
        <v>50</v>
      </c>
      <c r="O4081">
        <v>45</v>
      </c>
      <c r="P4081">
        <v>5</v>
      </c>
      <c r="Q4081">
        <v>30</v>
      </c>
      <c r="R4081">
        <v>25</v>
      </c>
      <c r="S4081">
        <v>5</v>
      </c>
      <c r="T4081">
        <v>0</v>
      </c>
      <c r="U4081" t="s">
        <v>23518</v>
      </c>
      <c r="V4081">
        <f>Tabla1[[#This Row],[Aboard]]-Tabla1[[#This Row],[Fatalities]]</f>
        <v>20</v>
      </c>
      <c r="W4081" s="50">
        <f>IFERROR(Tabla1[[#This Row],[Fatalities]]/Tabla1[[#This Row],[Aboard]],0)</f>
        <v>0.6</v>
      </c>
      <c r="X4081" s="51" t="str" cm="1">
        <f t="array" ref="X4081">_xlfn.IFS(Tabla1[[#This Row],[Porcentaje de muertes]]&lt;0.35,"LEVE",AND(Tabla1[[#This Row],[Porcentaje de muertes]]&gt;0.35,Tabla1[[#This Row],[Porcentaje de muertes]]&lt;0.65),"MEDIO",Tabla1[[#This Row],[Porcentaje de muertes]]&gt;0.65,"GRAVE")</f>
        <v>MEDIO</v>
      </c>
    </row>
    <row r="4082" spans="2:24" x14ac:dyDescent="0.3">
      <c r="B4082" s="9">
        <v>4082</v>
      </c>
      <c r="C4082" s="49">
        <v>35629</v>
      </c>
      <c r="D4082" s="9">
        <f>YEAR(Tabla1[[#This Row],[Date]])</f>
        <v>1997</v>
      </c>
      <c r="E4082" s="9" t="str" cm="1">
        <f t="array" ref="E4082">IFERROR(_xlfn.IFS(AND(D4082&lt;1980,D4082&gt;=1970),"70",AND(D4082&lt;1990,D4082&gt;=1980),"80",AND(D4082&lt;2000,D4082&gt;=1990),"90",AND(D4082&lt;2010,D4082&gt;=2000),"00",AND(D4082&lt;=2019,D4082&gt;=2010),"10"),"1908-1970")</f>
        <v>90</v>
      </c>
      <c r="F4082" s="3">
        <v>0.43888888888888888</v>
      </c>
      <c r="G4082" t="s">
        <v>23519</v>
      </c>
      <c r="H4082" t="s">
        <v>23520</v>
      </c>
      <c r="I4082" t="s">
        <v>28931</v>
      </c>
      <c r="J4082" t="s">
        <v>23521</v>
      </c>
      <c r="K4082" t="s">
        <v>16680</v>
      </c>
      <c r="L4082" s="7" t="s">
        <v>23522</v>
      </c>
      <c r="M4082">
        <v>250</v>
      </c>
      <c r="N4082">
        <v>4</v>
      </c>
      <c r="O4082">
        <v>3</v>
      </c>
      <c r="P4082">
        <v>1</v>
      </c>
      <c r="Q4082">
        <v>2</v>
      </c>
      <c r="R4082">
        <v>1</v>
      </c>
      <c r="S4082">
        <v>1</v>
      </c>
      <c r="T4082">
        <v>0</v>
      </c>
      <c r="U4082" t="s">
        <v>23523</v>
      </c>
      <c r="V4082">
        <f>Tabla1[[#This Row],[Aboard]]-Tabla1[[#This Row],[Fatalities]]</f>
        <v>2</v>
      </c>
      <c r="W4082" s="50">
        <f>IFERROR(Tabla1[[#This Row],[Fatalities]]/Tabla1[[#This Row],[Aboard]],0)</f>
        <v>0.5</v>
      </c>
      <c r="X4082" s="51" t="str" cm="1">
        <f t="array" ref="X4082">_xlfn.IFS(Tabla1[[#This Row],[Porcentaje de muertes]]&lt;0.35,"LEVE",AND(Tabla1[[#This Row],[Porcentaje de muertes]]&gt;0.35,Tabla1[[#This Row],[Porcentaje de muertes]]&lt;0.65),"MEDIO",Tabla1[[#This Row],[Porcentaje de muertes]]&gt;0.65,"GRAVE")</f>
        <v>MEDIO</v>
      </c>
    </row>
    <row r="4083" spans="2:24" x14ac:dyDescent="0.3">
      <c r="B4083" s="9">
        <v>4083</v>
      </c>
      <c r="C4083" s="49">
        <v>35640</v>
      </c>
      <c r="D4083" s="9">
        <f>YEAR(Tabla1[[#This Row],[Date]])</f>
        <v>1997</v>
      </c>
      <c r="E4083" s="9" t="str" cm="1">
        <f t="array" ref="E4083">IFERROR(_xlfn.IFS(AND(D4083&lt;1980,D4083&gt;=1970),"70",AND(D4083&lt;1990,D4083&gt;=1980),"80",AND(D4083&lt;2000,D4083&gt;=1990),"90",AND(D4083&lt;2010,D4083&gt;=2000),"00",AND(D4083&lt;=2019,D4083&gt;=2010),"10"),"1908-1970")</f>
        <v>90</v>
      </c>
      <c r="F4083" s="3" t="s">
        <v>28931</v>
      </c>
      <c r="G4083" t="s">
        <v>23524</v>
      </c>
      <c r="H4083" t="s">
        <v>23525</v>
      </c>
      <c r="I4083" t="s">
        <v>28931</v>
      </c>
      <c r="J4083" t="s">
        <v>23526</v>
      </c>
      <c r="K4083" t="s">
        <v>14724</v>
      </c>
      <c r="L4083" s="7" t="s">
        <v>23527</v>
      </c>
      <c r="M4083">
        <v>41</v>
      </c>
      <c r="N4083">
        <v>55</v>
      </c>
      <c r="O4083">
        <v>49</v>
      </c>
      <c r="P4083">
        <v>6</v>
      </c>
      <c r="Q4083">
        <v>1</v>
      </c>
      <c r="R4083">
        <v>0</v>
      </c>
      <c r="S4083">
        <v>1</v>
      </c>
      <c r="T4083">
        <v>0</v>
      </c>
      <c r="U4083" t="s">
        <v>23528</v>
      </c>
      <c r="V4083">
        <f>Tabla1[[#This Row],[Aboard]]-Tabla1[[#This Row],[Fatalities]]</f>
        <v>54</v>
      </c>
      <c r="W4083" s="50">
        <f>IFERROR(Tabla1[[#This Row],[Fatalities]]/Tabla1[[#This Row],[Aboard]],0)</f>
        <v>1.8181818181818181E-2</v>
      </c>
      <c r="X4083" s="51" t="str" cm="1">
        <f t="array" ref="X4083">_xlfn.IFS(Tabla1[[#This Row],[Porcentaje de muertes]]&lt;0.35,"LEVE",AND(Tabla1[[#This Row],[Porcentaje de muertes]]&gt;0.35,Tabla1[[#This Row],[Porcentaje de muertes]]&lt;0.65),"MEDIO",Tabla1[[#This Row],[Porcentaje de muertes]]&gt;0.65,"GRAVE")</f>
        <v>LEVE</v>
      </c>
    </row>
    <row r="4084" spans="2:24" x14ac:dyDescent="0.3">
      <c r="B4084" s="9">
        <v>4084</v>
      </c>
      <c r="C4084" s="49">
        <v>35641</v>
      </c>
      <c r="D4084" s="9">
        <f>YEAR(Tabla1[[#This Row],[Date]])</f>
        <v>1997</v>
      </c>
      <c r="E4084" s="9" t="str" cm="1">
        <f t="array" ref="E4084">IFERROR(_xlfn.IFS(AND(D4084&lt;1980,D4084&gt;=1970),"70",AND(D4084&lt;1990,D4084&gt;=1980),"80",AND(D4084&lt;2000,D4084&gt;=1990),"90",AND(D4084&lt;2010,D4084&gt;=2000),"00",AND(D4084&lt;=2019,D4084&gt;=2010),"10"),"1908-1970")</f>
        <v>90</v>
      </c>
      <c r="F4084" s="3">
        <v>0.4375</v>
      </c>
      <c r="G4084" t="s">
        <v>23529</v>
      </c>
      <c r="H4084" t="s">
        <v>20474</v>
      </c>
      <c r="I4084">
        <v>701</v>
      </c>
      <c r="J4084" t="s">
        <v>23530</v>
      </c>
      <c r="K4084" t="s">
        <v>23531</v>
      </c>
      <c r="L4084" s="7" t="s">
        <v>23532</v>
      </c>
      <c r="M4084">
        <v>492</v>
      </c>
      <c r="N4084">
        <v>17</v>
      </c>
      <c r="O4084">
        <v>14</v>
      </c>
      <c r="P4084">
        <v>3</v>
      </c>
      <c r="Q4084">
        <v>1</v>
      </c>
      <c r="R4084">
        <v>0</v>
      </c>
      <c r="S4084">
        <v>1</v>
      </c>
      <c r="T4084">
        <v>0</v>
      </c>
      <c r="U4084" t="s">
        <v>23533</v>
      </c>
      <c r="V4084">
        <f>Tabla1[[#This Row],[Aboard]]-Tabla1[[#This Row],[Fatalities]]</f>
        <v>16</v>
      </c>
      <c r="W4084" s="50">
        <f>IFERROR(Tabla1[[#This Row],[Fatalities]]/Tabla1[[#This Row],[Aboard]],0)</f>
        <v>5.8823529411764705E-2</v>
      </c>
      <c r="X4084" s="51" t="str" cm="1">
        <f t="array" ref="X4084">_xlfn.IFS(Tabla1[[#This Row],[Porcentaje de muertes]]&lt;0.35,"LEVE",AND(Tabla1[[#This Row],[Porcentaje de muertes]]&gt;0.35,Tabla1[[#This Row],[Porcentaje de muertes]]&lt;0.65),"MEDIO",Tabla1[[#This Row],[Porcentaje de muertes]]&gt;0.65,"GRAVE")</f>
        <v>LEVE</v>
      </c>
    </row>
    <row r="4085" spans="2:24" x14ac:dyDescent="0.3">
      <c r="B4085" s="9">
        <v>4085</v>
      </c>
      <c r="C4085" s="49">
        <v>35589</v>
      </c>
      <c r="D4085" s="9">
        <f>YEAR(Tabla1[[#This Row],[Date]])</f>
        <v>1997</v>
      </c>
      <c r="E4085" s="9" t="str" cm="1">
        <f t="array" ref="E4085">IFERROR(_xlfn.IFS(AND(D4085&lt;1980,D4085&gt;=1970),"70",AND(D4085&lt;1990,D4085&gt;=1980),"80",AND(D4085&lt;2000,D4085&gt;=1990),"90",AND(D4085&lt;2010,D4085&gt;=2000),"00",AND(D4085&lt;=2019,D4085&gt;=2010),"10"),"1908-1970")</f>
        <v>90</v>
      </c>
      <c r="F4085" s="3">
        <v>7.0833333333333331E-2</v>
      </c>
      <c r="G4085" t="s">
        <v>17619</v>
      </c>
      <c r="H4085" t="s">
        <v>16097</v>
      </c>
      <c r="I4085">
        <v>801</v>
      </c>
      <c r="J4085" t="s">
        <v>23534</v>
      </c>
      <c r="K4085" t="s">
        <v>23535</v>
      </c>
      <c r="L4085" s="7" t="s">
        <v>23536</v>
      </c>
      <c r="M4085" t="s">
        <v>23537</v>
      </c>
      <c r="N4085">
        <v>254</v>
      </c>
      <c r="O4085">
        <v>231</v>
      </c>
      <c r="P4085">
        <v>23</v>
      </c>
      <c r="Q4085">
        <v>228</v>
      </c>
      <c r="R4085">
        <v>206</v>
      </c>
      <c r="S4085">
        <v>22</v>
      </c>
      <c r="T4085">
        <v>0</v>
      </c>
      <c r="U4085" t="s">
        <v>23538</v>
      </c>
      <c r="V4085">
        <f>Tabla1[[#This Row],[Aboard]]-Tabla1[[#This Row],[Fatalities]]</f>
        <v>26</v>
      </c>
      <c r="W4085" s="50">
        <f>IFERROR(Tabla1[[#This Row],[Fatalities]]/Tabla1[[#This Row],[Aboard]],0)</f>
        <v>0.89763779527559051</v>
      </c>
      <c r="X4085" s="51" t="str" cm="1">
        <f t="array" ref="X4085">_xlfn.IFS(Tabla1[[#This Row],[Porcentaje de muertes]]&lt;0.35,"LEVE",AND(Tabla1[[#This Row],[Porcentaje de muertes]]&gt;0.35,Tabla1[[#This Row],[Porcentaje de muertes]]&lt;0.65),"MEDIO",Tabla1[[#This Row],[Porcentaje de muertes]]&gt;0.65,"GRAVE")</f>
        <v>GRAVE</v>
      </c>
    </row>
    <row r="4086" spans="2:24" x14ac:dyDescent="0.3">
      <c r="B4086" s="9">
        <v>4086</v>
      </c>
      <c r="C4086" s="49">
        <v>35619</v>
      </c>
      <c r="D4086" s="9">
        <f>YEAR(Tabla1[[#This Row],[Date]])</f>
        <v>1997</v>
      </c>
      <c r="E4086" s="9" t="str" cm="1">
        <f t="array" ref="E4086">IFERROR(_xlfn.IFS(AND(D4086&lt;1980,D4086&gt;=1970),"70",AND(D4086&lt;1990,D4086&gt;=1980),"80",AND(D4086&lt;2000,D4086&gt;=1990),"90",AND(D4086&lt;2010,D4086&gt;=2000),"00",AND(D4086&lt;=2019,D4086&gt;=2010),"10"),"1908-1970")</f>
        <v>90</v>
      </c>
      <c r="F4086" s="3">
        <v>0.52500000000000002</v>
      </c>
      <c r="G4086" t="s">
        <v>7709</v>
      </c>
      <c r="H4086" t="s">
        <v>23539</v>
      </c>
      <c r="I4086" t="s">
        <v>23540</v>
      </c>
      <c r="J4086" t="s">
        <v>23541</v>
      </c>
      <c r="K4086" t="s">
        <v>23542</v>
      </c>
      <c r="L4086" s="7" t="s">
        <v>23543</v>
      </c>
      <c r="M4086" t="s">
        <v>23544</v>
      </c>
      <c r="N4086">
        <v>4</v>
      </c>
      <c r="O4086">
        <v>1</v>
      </c>
      <c r="P4086">
        <v>3</v>
      </c>
      <c r="Q4086">
        <v>4</v>
      </c>
      <c r="R4086">
        <v>1</v>
      </c>
      <c r="S4086">
        <v>3</v>
      </c>
      <c r="T4086">
        <v>1</v>
      </c>
      <c r="U4086" t="s">
        <v>23545</v>
      </c>
      <c r="V4086">
        <f>Tabla1[[#This Row],[Aboard]]-Tabla1[[#This Row],[Fatalities]]</f>
        <v>0</v>
      </c>
      <c r="W4086" s="50">
        <f>IFERROR(Tabla1[[#This Row],[Fatalities]]/Tabla1[[#This Row],[Aboard]],0)</f>
        <v>1</v>
      </c>
      <c r="X4086" s="51" t="str" cm="1">
        <f t="array" ref="X4086">_xlfn.IFS(Tabla1[[#This Row],[Porcentaje de muertes]]&lt;0.35,"LEVE",AND(Tabla1[[#This Row],[Porcentaje de muertes]]&gt;0.35,Tabla1[[#This Row],[Porcentaje de muertes]]&lt;0.65),"MEDIO",Tabla1[[#This Row],[Porcentaje de muertes]]&gt;0.65,"GRAVE")</f>
        <v>GRAVE</v>
      </c>
    </row>
    <row r="4087" spans="2:24" x14ac:dyDescent="0.3">
      <c r="B4087" s="9">
        <v>4087</v>
      </c>
      <c r="C4087" s="49">
        <v>35711</v>
      </c>
      <c r="D4087" s="9">
        <f>YEAR(Tabla1[[#This Row],[Date]])</f>
        <v>1997</v>
      </c>
      <c r="E4087" s="9" t="str" cm="1">
        <f t="array" ref="E4087">IFERROR(_xlfn.IFS(AND(D4087&lt;1980,D4087&gt;=1970),"70",AND(D4087&lt;1990,D4087&gt;=1980),"80",AND(D4087&lt;2000,D4087&gt;=1990),"90",AND(D4087&lt;2010,D4087&gt;=2000),"00",AND(D4087&lt;=2019,D4087&gt;=2010),"10"),"1908-1970")</f>
        <v>90</v>
      </c>
      <c r="F4087" s="3">
        <v>0.34375</v>
      </c>
      <c r="G4087" t="s">
        <v>23546</v>
      </c>
      <c r="H4087" t="s">
        <v>20910</v>
      </c>
      <c r="I4087">
        <v>7601</v>
      </c>
      <c r="J4087" t="s">
        <v>23547</v>
      </c>
      <c r="K4087" t="s">
        <v>23548</v>
      </c>
      <c r="L4087" s="7" t="s">
        <v>23549</v>
      </c>
      <c r="M4087">
        <v>8220</v>
      </c>
      <c r="N4087">
        <v>16</v>
      </c>
      <c r="O4087">
        <v>14</v>
      </c>
      <c r="P4087">
        <v>2</v>
      </c>
      <c r="Q4087">
        <v>16</v>
      </c>
      <c r="R4087">
        <v>14</v>
      </c>
      <c r="S4087">
        <v>2</v>
      </c>
      <c r="T4087">
        <v>0</v>
      </c>
      <c r="U4087" t="s">
        <v>23550</v>
      </c>
      <c r="V4087">
        <f>Tabla1[[#This Row],[Aboard]]-Tabla1[[#This Row],[Fatalities]]</f>
        <v>0</v>
      </c>
      <c r="W4087" s="50">
        <f>IFERROR(Tabla1[[#This Row],[Fatalities]]/Tabla1[[#This Row],[Aboard]],0)</f>
        <v>1</v>
      </c>
      <c r="X4087" s="51" t="str" cm="1">
        <f t="array" ref="X4087">_xlfn.IFS(Tabla1[[#This Row],[Porcentaje de muertes]]&lt;0.35,"LEVE",AND(Tabla1[[#This Row],[Porcentaje de muertes]]&gt;0.35,Tabla1[[#This Row],[Porcentaje de muertes]]&lt;0.65),"MEDIO",Tabla1[[#This Row],[Porcentaje de muertes]]&gt;0.65,"GRAVE")</f>
        <v>GRAVE</v>
      </c>
    </row>
    <row r="4088" spans="2:24" x14ac:dyDescent="0.3">
      <c r="B4088" s="9">
        <v>4088</v>
      </c>
      <c r="C4088" s="49">
        <v>35671</v>
      </c>
      <c r="D4088" s="9">
        <f>YEAR(Tabla1[[#This Row],[Date]])</f>
        <v>1997</v>
      </c>
      <c r="E4088" s="9" t="str" cm="1">
        <f t="array" ref="E4088">IFERROR(_xlfn.IFS(AND(D4088&lt;1980,D4088&gt;=1970),"70",AND(D4088&lt;1990,D4088&gt;=1980),"80",AND(D4088&lt;2000,D4088&gt;=1990),"90",AND(D4088&lt;2010,D4088&gt;=2000),"00",AND(D4088&lt;=2019,D4088&gt;=2010),"10"),"1908-1970")</f>
        <v>90</v>
      </c>
      <c r="F4088" s="3" t="s">
        <v>28931</v>
      </c>
      <c r="G4088" t="s">
        <v>23551</v>
      </c>
      <c r="H4088" t="s">
        <v>15622</v>
      </c>
      <c r="I4088" t="s">
        <v>28931</v>
      </c>
      <c r="J4088" t="s">
        <v>23552</v>
      </c>
      <c r="K4088" t="s">
        <v>23553</v>
      </c>
      <c r="L4088" s="7" t="s">
        <v>23554</v>
      </c>
      <c r="M4088">
        <v>820</v>
      </c>
      <c r="N4088">
        <v>12</v>
      </c>
      <c r="O4088">
        <v>10</v>
      </c>
      <c r="P4088">
        <v>2</v>
      </c>
      <c r="Q4088">
        <v>12</v>
      </c>
      <c r="R4088">
        <v>10</v>
      </c>
      <c r="S4088">
        <v>2</v>
      </c>
      <c r="T4088">
        <v>0</v>
      </c>
      <c r="U4088" t="s">
        <v>23555</v>
      </c>
      <c r="V4088">
        <f>Tabla1[[#This Row],[Aboard]]-Tabla1[[#This Row],[Fatalities]]</f>
        <v>0</v>
      </c>
      <c r="W4088" s="50">
        <f>IFERROR(Tabla1[[#This Row],[Fatalities]]/Tabla1[[#This Row],[Aboard]],0)</f>
        <v>1</v>
      </c>
      <c r="X4088" s="51" t="str" cm="1">
        <f t="array" ref="X4088">_xlfn.IFS(Tabla1[[#This Row],[Porcentaje de muertes]]&lt;0.35,"LEVE",AND(Tabla1[[#This Row],[Porcentaje de muertes]]&gt;0.35,Tabla1[[#This Row],[Porcentaje de muertes]]&lt;0.65),"MEDIO",Tabla1[[#This Row],[Porcentaje de muertes]]&gt;0.65,"GRAVE")</f>
        <v>GRAVE</v>
      </c>
    </row>
    <row r="4089" spans="2:24" x14ac:dyDescent="0.3">
      <c r="B4089" s="9">
        <v>4089</v>
      </c>
      <c r="C4089" s="49">
        <v>35498</v>
      </c>
      <c r="D4089" s="9">
        <f>YEAR(Tabla1[[#This Row],[Date]])</f>
        <v>1997</v>
      </c>
      <c r="E4089" s="9" t="str" cm="1">
        <f t="array" ref="E4089">IFERROR(_xlfn.IFS(AND(D4089&lt;1980,D4089&gt;=1970),"70",AND(D4089&lt;1990,D4089&gt;=1980),"80",AND(D4089&lt;2000,D4089&gt;=1990),"90",AND(D4089&lt;2010,D4089&gt;=2000),"00",AND(D4089&lt;=2019,D4089&gt;=2010),"10"),"1908-1970")</f>
        <v>90</v>
      </c>
      <c r="F4089" s="3">
        <v>0.58333333333333337</v>
      </c>
      <c r="G4089" t="s">
        <v>23556</v>
      </c>
      <c r="H4089" t="s">
        <v>22090</v>
      </c>
      <c r="I4089">
        <v>815</v>
      </c>
      <c r="J4089" t="s">
        <v>23557</v>
      </c>
      <c r="K4089" t="s">
        <v>17430</v>
      </c>
      <c r="L4089" s="7" t="s">
        <v>23558</v>
      </c>
      <c r="M4089">
        <v>66360</v>
      </c>
      <c r="N4089">
        <v>66</v>
      </c>
      <c r="O4089">
        <v>60</v>
      </c>
      <c r="P4089">
        <v>6</v>
      </c>
      <c r="Q4089">
        <v>65</v>
      </c>
      <c r="R4089">
        <v>59</v>
      </c>
      <c r="S4089">
        <v>6</v>
      </c>
      <c r="T4089">
        <v>0</v>
      </c>
      <c r="U4089" t="s">
        <v>23559</v>
      </c>
      <c r="V4089">
        <f>Tabla1[[#This Row],[Aboard]]-Tabla1[[#This Row],[Fatalities]]</f>
        <v>1</v>
      </c>
      <c r="W4089" s="50">
        <f>IFERROR(Tabla1[[#This Row],[Fatalities]]/Tabla1[[#This Row],[Aboard]],0)</f>
        <v>0.98484848484848486</v>
      </c>
      <c r="X4089" s="51" t="str" cm="1">
        <f t="array" ref="X4089">_xlfn.IFS(Tabla1[[#This Row],[Porcentaje de muertes]]&lt;0.35,"LEVE",AND(Tabla1[[#This Row],[Porcentaje de muertes]]&gt;0.35,Tabla1[[#This Row],[Porcentaje de muertes]]&lt;0.65),"MEDIO",Tabla1[[#This Row],[Porcentaje de muertes]]&gt;0.65,"GRAVE")</f>
        <v>GRAVE</v>
      </c>
    </row>
    <row r="4090" spans="2:24" x14ac:dyDescent="0.3">
      <c r="B4090" s="9">
        <v>4090</v>
      </c>
      <c r="C4090" s="49">
        <v>35590</v>
      </c>
      <c r="D4090" s="9">
        <f>YEAR(Tabla1[[#This Row],[Date]])</f>
        <v>1997</v>
      </c>
      <c r="E4090" s="9" t="str" cm="1">
        <f t="array" ref="E4090">IFERROR(_xlfn.IFS(AND(D4090&lt;1980,D4090&gt;=1970),"70",AND(D4090&lt;1990,D4090&gt;=1980),"80",AND(D4090&lt;2000,D4090&gt;=1990),"90",AND(D4090&lt;2010,D4090&gt;=2000),"00",AND(D4090&lt;=2019,D4090&gt;=2010),"10"),"1908-1970")</f>
        <v>90</v>
      </c>
      <c r="F4090" s="3">
        <v>0.8222222222222223</v>
      </c>
      <c r="G4090" t="s">
        <v>23560</v>
      </c>
      <c r="H4090" t="s">
        <v>23561</v>
      </c>
      <c r="I4090">
        <v>238</v>
      </c>
      <c r="J4090" t="s">
        <v>23562</v>
      </c>
      <c r="K4090" t="s">
        <v>23133</v>
      </c>
      <c r="L4090" s="7" t="s">
        <v>23563</v>
      </c>
      <c r="M4090">
        <v>8217</v>
      </c>
      <c r="N4090">
        <v>10</v>
      </c>
      <c r="O4090">
        <v>8</v>
      </c>
      <c r="P4090">
        <v>2</v>
      </c>
      <c r="Q4090">
        <v>10</v>
      </c>
      <c r="R4090">
        <v>8</v>
      </c>
      <c r="S4090">
        <v>2</v>
      </c>
      <c r="T4090">
        <v>0</v>
      </c>
      <c r="U4090" t="s">
        <v>23564</v>
      </c>
      <c r="V4090">
        <f>Tabla1[[#This Row],[Aboard]]-Tabla1[[#This Row],[Fatalities]]</f>
        <v>0</v>
      </c>
      <c r="W4090" s="50">
        <f>IFERROR(Tabla1[[#This Row],[Fatalities]]/Tabla1[[#This Row],[Aboard]],0)</f>
        <v>1</v>
      </c>
      <c r="X4090" s="51" t="str" cm="1">
        <f t="array" ref="X4090">_xlfn.IFS(Tabla1[[#This Row],[Porcentaje de muertes]]&lt;0.35,"LEVE",AND(Tabla1[[#This Row],[Porcentaje de muertes]]&gt;0.35,Tabla1[[#This Row],[Porcentaje de muertes]]&lt;0.65),"MEDIO",Tabla1[[#This Row],[Porcentaje de muertes]]&gt;0.65,"GRAVE")</f>
        <v>GRAVE</v>
      </c>
    </row>
    <row r="4091" spans="2:24" x14ac:dyDescent="0.3">
      <c r="B4091" s="9">
        <v>4091</v>
      </c>
      <c r="C4091" s="49">
        <v>35773</v>
      </c>
      <c r="D4091" s="9">
        <f>YEAR(Tabla1[[#This Row],[Date]])</f>
        <v>1997</v>
      </c>
      <c r="E4091" s="9" t="str" cm="1">
        <f t="array" ref="E4091">IFERROR(_xlfn.IFS(AND(D4091&lt;1980,D4091&gt;=1970),"70",AND(D4091&lt;1990,D4091&gt;=1980),"80",AND(D4091&lt;2000,D4091&gt;=1990),"90",AND(D4091&lt;2010,D4091&gt;=2000),"00",AND(D4091&lt;=2019,D4091&gt;=2010),"10"),"1908-1970")</f>
        <v>90</v>
      </c>
      <c r="F4091" s="3" t="s">
        <v>28931</v>
      </c>
      <c r="G4091" t="s">
        <v>23565</v>
      </c>
      <c r="H4091" t="s">
        <v>23566</v>
      </c>
      <c r="I4091" t="s">
        <v>28931</v>
      </c>
      <c r="J4091" t="s">
        <v>23567</v>
      </c>
      <c r="K4091" t="s">
        <v>16680</v>
      </c>
      <c r="L4091" s="7" t="s">
        <v>23568</v>
      </c>
      <c r="M4091">
        <v>735</v>
      </c>
      <c r="N4091">
        <v>22</v>
      </c>
      <c r="O4091">
        <v>21</v>
      </c>
      <c r="P4091">
        <v>1</v>
      </c>
      <c r="Q4091">
        <v>22</v>
      </c>
      <c r="R4091">
        <v>21</v>
      </c>
      <c r="S4091">
        <v>1</v>
      </c>
      <c r="T4091">
        <v>0</v>
      </c>
      <c r="U4091" t="s">
        <v>23569</v>
      </c>
      <c r="V4091">
        <f>Tabla1[[#This Row],[Aboard]]-Tabla1[[#This Row],[Fatalities]]</f>
        <v>0</v>
      </c>
      <c r="W4091" s="50">
        <f>IFERROR(Tabla1[[#This Row],[Fatalities]]/Tabla1[[#This Row],[Aboard]],0)</f>
        <v>1</v>
      </c>
      <c r="X4091" s="51" t="str" cm="1">
        <f t="array" ref="X4091">_xlfn.IFS(Tabla1[[#This Row],[Porcentaje de muertes]]&lt;0.35,"LEVE",AND(Tabla1[[#This Row],[Porcentaje de muertes]]&gt;0.35,Tabla1[[#This Row],[Porcentaje de muertes]]&lt;0.65),"MEDIO",Tabla1[[#This Row],[Porcentaje de muertes]]&gt;0.65,"GRAVE")</f>
        <v>GRAVE</v>
      </c>
    </row>
    <row r="4092" spans="2:24" x14ac:dyDescent="0.3">
      <c r="B4092" s="9">
        <v>4092</v>
      </c>
      <c r="C4092" s="49">
        <v>35686</v>
      </c>
      <c r="D4092" s="9">
        <f>YEAR(Tabla1[[#This Row],[Date]])</f>
        <v>1997</v>
      </c>
      <c r="E4092" s="9" t="str" cm="1">
        <f t="array" ref="E4092">IFERROR(_xlfn.IFS(AND(D4092&lt;1980,D4092&gt;=1970),"70",AND(D4092&lt;1990,D4092&gt;=1980),"80",AND(D4092&lt;2000,D4092&gt;=1990),"90",AND(D4092&lt;2010,D4092&gt;=2000),"00",AND(D4092&lt;=2019,D4092&gt;=2010),"10"),"1908-1970")</f>
        <v>90</v>
      </c>
      <c r="F4092" s="3">
        <v>0.71527777777777779</v>
      </c>
      <c r="G4092" t="s">
        <v>23570</v>
      </c>
      <c r="H4092" t="s">
        <v>23571</v>
      </c>
      <c r="I4092">
        <v>74</v>
      </c>
      <c r="J4092" t="s">
        <v>23572</v>
      </c>
      <c r="K4092" t="s">
        <v>23573</v>
      </c>
      <c r="L4092" s="7" t="s">
        <v>23574</v>
      </c>
      <c r="M4092" t="s">
        <v>23575</v>
      </c>
      <c r="N4092">
        <v>33</v>
      </c>
      <c r="O4092">
        <v>23</v>
      </c>
      <c r="P4092">
        <v>10</v>
      </c>
      <c r="Q4092">
        <v>33</v>
      </c>
      <c r="R4092">
        <v>23</v>
      </c>
      <c r="S4092">
        <v>10</v>
      </c>
      <c r="T4092">
        <v>0</v>
      </c>
      <c r="U4092" t="s">
        <v>23576</v>
      </c>
      <c r="V4092">
        <f>Tabla1[[#This Row],[Aboard]]-Tabla1[[#This Row],[Fatalities]]</f>
        <v>0</v>
      </c>
      <c r="W4092" s="50">
        <f>IFERROR(Tabla1[[#This Row],[Fatalities]]/Tabla1[[#This Row],[Aboard]],0)</f>
        <v>1</v>
      </c>
      <c r="X4092" s="51" t="str" cm="1">
        <f t="array" ref="X4092">_xlfn.IFS(Tabla1[[#This Row],[Porcentaje de muertes]]&lt;0.35,"LEVE",AND(Tabla1[[#This Row],[Porcentaje de muertes]]&gt;0.35,Tabla1[[#This Row],[Porcentaje de muertes]]&lt;0.65),"MEDIO",Tabla1[[#This Row],[Porcentaje de muertes]]&gt;0.65,"GRAVE")</f>
        <v>GRAVE</v>
      </c>
    </row>
    <row r="4093" spans="2:24" x14ac:dyDescent="0.3">
      <c r="B4093" s="9">
        <v>4093</v>
      </c>
      <c r="C4093" s="49">
        <v>35699</v>
      </c>
      <c r="D4093" s="9">
        <f>YEAR(Tabla1[[#This Row],[Date]])</f>
        <v>1997</v>
      </c>
      <c r="E4093" s="9" t="str" cm="1">
        <f t="array" ref="E4093">IFERROR(_xlfn.IFS(AND(D4093&lt;1980,D4093&gt;=1970),"70",AND(D4093&lt;1990,D4093&gt;=1980),"80",AND(D4093&lt;2000,D4093&gt;=1990),"90",AND(D4093&lt;2010,D4093&gt;=2000),"00",AND(D4093&lt;=2019,D4093&gt;=2010),"10"),"1908-1970")</f>
        <v>90</v>
      </c>
      <c r="F4093" s="3">
        <v>0.56527777777777777</v>
      </c>
      <c r="G4093" t="s">
        <v>23577</v>
      </c>
      <c r="H4093" t="s">
        <v>10225</v>
      </c>
      <c r="I4093">
        <v>152</v>
      </c>
      <c r="J4093" t="s">
        <v>23578</v>
      </c>
      <c r="K4093" t="s">
        <v>23579</v>
      </c>
      <c r="L4093" s="7" t="s">
        <v>23580</v>
      </c>
      <c r="M4093">
        <v>214</v>
      </c>
      <c r="N4093">
        <v>234</v>
      </c>
      <c r="O4093">
        <v>222</v>
      </c>
      <c r="P4093">
        <v>12</v>
      </c>
      <c r="Q4093">
        <v>234</v>
      </c>
      <c r="R4093">
        <v>222</v>
      </c>
      <c r="S4093">
        <v>12</v>
      </c>
      <c r="T4093">
        <v>0</v>
      </c>
      <c r="U4093" t="s">
        <v>23581</v>
      </c>
      <c r="V4093">
        <f>Tabla1[[#This Row],[Aboard]]-Tabla1[[#This Row],[Fatalities]]</f>
        <v>0</v>
      </c>
      <c r="W4093" s="50">
        <f>IFERROR(Tabla1[[#This Row],[Fatalities]]/Tabla1[[#This Row],[Aboard]],0)</f>
        <v>1</v>
      </c>
      <c r="X4093" s="51" t="str" cm="1">
        <f t="array" ref="X4093">_xlfn.IFS(Tabla1[[#This Row],[Porcentaje de muertes]]&lt;0.35,"LEVE",AND(Tabla1[[#This Row],[Porcentaje de muertes]]&gt;0.35,Tabla1[[#This Row],[Porcentaje de muertes]]&lt;0.65),"MEDIO",Tabla1[[#This Row],[Porcentaje de muertes]]&gt;0.65,"GRAVE")</f>
        <v>GRAVE</v>
      </c>
    </row>
    <row r="4094" spans="2:24" x14ac:dyDescent="0.3">
      <c r="B4094" s="9">
        <v>4094</v>
      </c>
      <c r="C4094" s="49">
        <v>35652</v>
      </c>
      <c r="D4094" s="9">
        <f>YEAR(Tabla1[[#This Row],[Date]])</f>
        <v>1997</v>
      </c>
      <c r="E4094" s="9" t="str" cm="1">
        <f t="array" ref="E4094">IFERROR(_xlfn.IFS(AND(D4094&lt;1980,D4094&gt;=1970),"70",AND(D4094&lt;1990,D4094&gt;=1980),"80",AND(D4094&lt;2000,D4094&gt;=1990),"90",AND(D4094&lt;2010,D4094&gt;=2000),"00",AND(D4094&lt;=2019,D4094&gt;=2010),"10"),"1908-1970")</f>
        <v>90</v>
      </c>
      <c r="F4094" s="3">
        <v>0.30763888888888891</v>
      </c>
      <c r="G4094" t="s">
        <v>23582</v>
      </c>
      <c r="H4094" t="s">
        <v>23583</v>
      </c>
      <c r="I4094" t="s">
        <v>8152</v>
      </c>
      <c r="J4094" t="s">
        <v>23584</v>
      </c>
      <c r="K4094" t="s">
        <v>21225</v>
      </c>
      <c r="L4094" s="7" t="s">
        <v>23585</v>
      </c>
      <c r="M4094" t="s">
        <v>23586</v>
      </c>
      <c r="N4094">
        <v>9</v>
      </c>
      <c r="O4094">
        <v>8</v>
      </c>
      <c r="P4094">
        <v>1</v>
      </c>
      <c r="Q4094">
        <v>9</v>
      </c>
      <c r="R4094">
        <v>8</v>
      </c>
      <c r="S4094">
        <v>1</v>
      </c>
      <c r="T4094">
        <v>0</v>
      </c>
      <c r="U4094" t="s">
        <v>23587</v>
      </c>
      <c r="V4094">
        <f>Tabla1[[#This Row],[Aboard]]-Tabla1[[#This Row],[Fatalities]]</f>
        <v>0</v>
      </c>
      <c r="W4094" s="50">
        <f>IFERROR(Tabla1[[#This Row],[Fatalities]]/Tabla1[[#This Row],[Aboard]],0)</f>
        <v>1</v>
      </c>
      <c r="X4094" s="51" t="str" cm="1">
        <f t="array" ref="X4094">_xlfn.IFS(Tabla1[[#This Row],[Porcentaje de muertes]]&lt;0.35,"LEVE",AND(Tabla1[[#This Row],[Porcentaje de muertes]]&gt;0.35,Tabla1[[#This Row],[Porcentaje de muertes]]&lt;0.65),"MEDIO",Tabla1[[#This Row],[Porcentaje de muertes]]&gt;0.65,"GRAVE")</f>
        <v>GRAVE</v>
      </c>
    </row>
    <row r="4095" spans="2:24" x14ac:dyDescent="0.3">
      <c r="B4095" s="9">
        <v>4095</v>
      </c>
      <c r="C4095" s="49">
        <v>35713</v>
      </c>
      <c r="D4095" s="9">
        <f>YEAR(Tabla1[[#This Row],[Date]])</f>
        <v>1997</v>
      </c>
      <c r="E4095" s="9" t="str" cm="1">
        <f t="array" ref="E4095">IFERROR(_xlfn.IFS(AND(D4095&lt;1980,D4095&gt;=1970),"70",AND(D4095&lt;1990,D4095&gt;=1980),"80",AND(D4095&lt;2000,D4095&gt;=1990),"90",AND(D4095&lt;2010,D4095&gt;=2000),"00",AND(D4095&lt;=2019,D4095&gt;=2010),"10"),"1908-1970")</f>
        <v>90</v>
      </c>
      <c r="F4095" s="3">
        <v>0.93263888888888891</v>
      </c>
      <c r="G4095" t="s">
        <v>23588</v>
      </c>
      <c r="H4095" t="s">
        <v>12575</v>
      </c>
      <c r="I4095">
        <v>2553</v>
      </c>
      <c r="J4095" t="s">
        <v>23589</v>
      </c>
      <c r="K4095" t="s">
        <v>15468</v>
      </c>
      <c r="L4095" s="7" t="s">
        <v>23590</v>
      </c>
      <c r="M4095" t="s">
        <v>23591</v>
      </c>
      <c r="N4095">
        <v>74</v>
      </c>
      <c r="O4095">
        <v>69</v>
      </c>
      <c r="P4095">
        <v>5</v>
      </c>
      <c r="Q4095">
        <v>74</v>
      </c>
      <c r="R4095">
        <v>69</v>
      </c>
      <c r="S4095">
        <v>5</v>
      </c>
      <c r="T4095">
        <v>0</v>
      </c>
      <c r="U4095" t="s">
        <v>23592</v>
      </c>
      <c r="V4095">
        <f>Tabla1[[#This Row],[Aboard]]-Tabla1[[#This Row],[Fatalities]]</f>
        <v>0</v>
      </c>
      <c r="W4095" s="50">
        <f>IFERROR(Tabla1[[#This Row],[Fatalities]]/Tabla1[[#This Row],[Aboard]],0)</f>
        <v>1</v>
      </c>
      <c r="X4095" s="51" t="str" cm="1">
        <f t="array" ref="X4095">_xlfn.IFS(Tabla1[[#This Row],[Porcentaje de muertes]]&lt;0.35,"LEVE",AND(Tabla1[[#This Row],[Porcentaje de muertes]]&gt;0.35,Tabla1[[#This Row],[Porcentaje de muertes]]&lt;0.65),"MEDIO",Tabla1[[#This Row],[Porcentaje de muertes]]&gt;0.65,"GRAVE")</f>
        <v>GRAVE</v>
      </c>
    </row>
    <row r="4096" spans="2:24" x14ac:dyDescent="0.3">
      <c r="B4096" s="9">
        <v>4096</v>
      </c>
      <c r="C4096" s="49">
        <v>35713</v>
      </c>
      <c r="D4096" s="9">
        <f>YEAR(Tabla1[[#This Row],[Date]])</f>
        <v>1997</v>
      </c>
      <c r="E4096" s="9" t="str" cm="1">
        <f t="array" ref="E4096">IFERROR(_xlfn.IFS(AND(D4096&lt;1980,D4096&gt;=1970),"70",AND(D4096&lt;1990,D4096&gt;=1980),"80",AND(D4096&lt;2000,D4096&gt;=1990),"90",AND(D4096&lt;2010,D4096&gt;=2000),"00",AND(D4096&lt;=2019,D4096&gt;=2010),"10"),"1908-1970")</f>
        <v>90</v>
      </c>
      <c r="F4096" s="3" t="s">
        <v>28931</v>
      </c>
      <c r="G4096" t="s">
        <v>9664</v>
      </c>
      <c r="H4096" t="s">
        <v>19384</v>
      </c>
      <c r="I4096" t="s">
        <v>28931</v>
      </c>
      <c r="J4096" t="s">
        <v>28931</v>
      </c>
      <c r="K4096" t="s">
        <v>18896</v>
      </c>
      <c r="L4096" s="7">
        <v>1310</v>
      </c>
      <c r="M4096">
        <v>5067</v>
      </c>
      <c r="N4096">
        <v>5</v>
      </c>
      <c r="O4096">
        <v>0</v>
      </c>
      <c r="P4096">
        <v>5</v>
      </c>
      <c r="Q4096">
        <v>5</v>
      </c>
      <c r="R4096">
        <v>0</v>
      </c>
      <c r="S4096">
        <v>5</v>
      </c>
      <c r="T4096">
        <v>0</v>
      </c>
      <c r="U4096" t="s">
        <v>23593</v>
      </c>
      <c r="V4096">
        <f>Tabla1[[#This Row],[Aboard]]-Tabla1[[#This Row],[Fatalities]]</f>
        <v>0</v>
      </c>
      <c r="W4096" s="50">
        <f>IFERROR(Tabla1[[#This Row],[Fatalities]]/Tabla1[[#This Row],[Aboard]],0)</f>
        <v>1</v>
      </c>
      <c r="X4096" s="51" t="str" cm="1">
        <f t="array" ref="X4096">_xlfn.IFS(Tabla1[[#This Row],[Porcentaje de muertes]]&lt;0.35,"LEVE",AND(Tabla1[[#This Row],[Porcentaje de muertes]]&gt;0.35,Tabla1[[#This Row],[Porcentaje de muertes]]&lt;0.65),"MEDIO",Tabla1[[#This Row],[Porcentaje de muertes]]&gt;0.65,"GRAVE")</f>
        <v>GRAVE</v>
      </c>
    </row>
    <row r="4097" spans="2:24" x14ac:dyDescent="0.3">
      <c r="B4097" s="9">
        <v>4097</v>
      </c>
      <c r="C4097" s="49">
        <v>35774</v>
      </c>
      <c r="D4097" s="9">
        <f>YEAR(Tabla1[[#This Row],[Date]])</f>
        <v>1997</v>
      </c>
      <c r="E4097" s="9" t="str" cm="1">
        <f t="array" ref="E4097">IFERROR(_xlfn.IFS(AND(D4097&lt;1980,D4097&gt;=1970),"70",AND(D4097&lt;1990,D4097&gt;=1980),"80",AND(D4097&lt;2000,D4097&gt;=1990),"90",AND(D4097&lt;2010,D4097&gt;=2000),"00",AND(D4097&lt;=2019,D4097&gt;=2010),"10"),"1908-1970")</f>
        <v>90</v>
      </c>
      <c r="F4097" s="3">
        <v>0.72777777777777775</v>
      </c>
      <c r="G4097" t="s">
        <v>23594</v>
      </c>
      <c r="H4097" t="s">
        <v>5032</v>
      </c>
      <c r="I4097" t="s">
        <v>8152</v>
      </c>
      <c r="J4097" t="s">
        <v>28931</v>
      </c>
      <c r="K4097" t="s">
        <v>23595</v>
      </c>
      <c r="L4097" s="7" t="s">
        <v>23596</v>
      </c>
      <c r="M4097">
        <v>54</v>
      </c>
      <c r="N4097">
        <v>1</v>
      </c>
      <c r="O4097">
        <v>0</v>
      </c>
      <c r="P4097">
        <v>1</v>
      </c>
      <c r="Q4097">
        <v>1</v>
      </c>
      <c r="R4097">
        <v>0</v>
      </c>
      <c r="S4097">
        <v>1</v>
      </c>
      <c r="T4097">
        <v>0</v>
      </c>
      <c r="U4097" t="s">
        <v>23597</v>
      </c>
      <c r="V4097">
        <f>Tabla1[[#This Row],[Aboard]]-Tabla1[[#This Row],[Fatalities]]</f>
        <v>0</v>
      </c>
      <c r="W4097" s="50">
        <f>IFERROR(Tabla1[[#This Row],[Fatalities]]/Tabla1[[#This Row],[Aboard]],0)</f>
        <v>1</v>
      </c>
      <c r="X4097" s="51" t="str" cm="1">
        <f t="array" ref="X4097">_xlfn.IFS(Tabla1[[#This Row],[Porcentaje de muertes]]&lt;0.35,"LEVE",AND(Tabla1[[#This Row],[Porcentaje de muertes]]&gt;0.35,Tabla1[[#This Row],[Porcentaje de muertes]]&lt;0.65),"MEDIO",Tabla1[[#This Row],[Porcentaje de muertes]]&gt;0.65,"GRAVE")</f>
        <v>GRAVE</v>
      </c>
    </row>
    <row r="4098" spans="2:24" x14ac:dyDescent="0.3">
      <c r="B4098" s="9">
        <v>4098</v>
      </c>
      <c r="C4098" s="49">
        <v>35732</v>
      </c>
      <c r="D4098" s="9">
        <f>YEAR(Tabla1[[#This Row],[Date]])</f>
        <v>1997</v>
      </c>
      <c r="E4098" s="9" t="str" cm="1">
        <f t="array" ref="E4098">IFERROR(_xlfn.IFS(AND(D4098&lt;1980,D4098&gt;=1970),"70",AND(D4098&lt;1990,D4098&gt;=1980),"80",AND(D4098&lt;2000,D4098&gt;=1990),"90",AND(D4098&lt;2010,D4098&gt;=2000),"00",AND(D4098&lt;=2019,D4098&gt;=2010),"10"),"1908-1970")</f>
        <v>90</v>
      </c>
      <c r="F4098" s="3" t="s">
        <v>28931</v>
      </c>
      <c r="G4098" t="s">
        <v>23598</v>
      </c>
      <c r="H4098" t="s">
        <v>11177</v>
      </c>
      <c r="I4098" t="s">
        <v>28931</v>
      </c>
      <c r="J4098" t="s">
        <v>28931</v>
      </c>
      <c r="K4098" t="s">
        <v>15961</v>
      </c>
      <c r="L4098" s="7" t="s">
        <v>23599</v>
      </c>
      <c r="M4098">
        <v>9441037</v>
      </c>
      <c r="N4098">
        <v>26</v>
      </c>
      <c r="O4098">
        <v>20</v>
      </c>
      <c r="P4098">
        <v>6</v>
      </c>
      <c r="Q4098">
        <v>2</v>
      </c>
      <c r="R4098">
        <v>2</v>
      </c>
      <c r="S4098">
        <v>0</v>
      </c>
      <c r="T4098">
        <v>0</v>
      </c>
      <c r="U4098" t="s">
        <v>9516</v>
      </c>
      <c r="V4098">
        <f>Tabla1[[#This Row],[Aboard]]-Tabla1[[#This Row],[Fatalities]]</f>
        <v>24</v>
      </c>
      <c r="W4098" s="50">
        <f>IFERROR(Tabla1[[#This Row],[Fatalities]]/Tabla1[[#This Row],[Aboard]],0)</f>
        <v>7.6923076923076927E-2</v>
      </c>
      <c r="X4098" s="51" t="str" cm="1">
        <f t="array" ref="X4098">_xlfn.IFS(Tabla1[[#This Row],[Porcentaje de muertes]]&lt;0.35,"LEVE",AND(Tabla1[[#This Row],[Porcentaje de muertes]]&gt;0.35,Tabla1[[#This Row],[Porcentaje de muertes]]&lt;0.65),"MEDIO",Tabla1[[#This Row],[Porcentaje de muertes]]&gt;0.65,"GRAVE")</f>
        <v>LEVE</v>
      </c>
    </row>
    <row r="4099" spans="2:24" x14ac:dyDescent="0.3">
      <c r="B4099" s="9">
        <v>4099</v>
      </c>
      <c r="C4099" s="49">
        <v>35653</v>
      </c>
      <c r="D4099" s="9">
        <f>YEAR(Tabla1[[#This Row],[Date]])</f>
        <v>1997</v>
      </c>
      <c r="E4099" s="9" t="str" cm="1">
        <f t="array" ref="E4099">IFERROR(_xlfn.IFS(AND(D4099&lt;1980,D4099&gt;=1970),"70",AND(D4099&lt;1990,D4099&gt;=1980),"80",AND(D4099&lt;2000,D4099&gt;=1990),"90",AND(D4099&lt;2010,D4099&gt;=2000),"00",AND(D4099&lt;=2019,D4099&gt;=2010),"10"),"1908-1970")</f>
        <v>90</v>
      </c>
      <c r="F4099" s="3">
        <v>0.33888888888888885</v>
      </c>
      <c r="G4099" t="s">
        <v>23600</v>
      </c>
      <c r="H4099" t="s">
        <v>23460</v>
      </c>
      <c r="I4099">
        <v>500</v>
      </c>
      <c r="J4099" t="s">
        <v>23461</v>
      </c>
      <c r="K4099" t="s">
        <v>21225</v>
      </c>
      <c r="L4099" s="7" t="s">
        <v>23601</v>
      </c>
      <c r="M4099" t="s">
        <v>23602</v>
      </c>
      <c r="N4099">
        <v>8</v>
      </c>
      <c r="O4099">
        <v>7</v>
      </c>
      <c r="P4099">
        <v>1</v>
      </c>
      <c r="Q4099">
        <v>8</v>
      </c>
      <c r="R4099">
        <v>7</v>
      </c>
      <c r="S4099">
        <v>1</v>
      </c>
      <c r="T4099">
        <v>0</v>
      </c>
      <c r="U4099" t="s">
        <v>23603</v>
      </c>
      <c r="V4099">
        <f>Tabla1[[#This Row],[Aboard]]-Tabla1[[#This Row],[Fatalities]]</f>
        <v>0</v>
      </c>
      <c r="W4099" s="50">
        <f>IFERROR(Tabla1[[#This Row],[Fatalities]]/Tabla1[[#This Row],[Aboard]],0)</f>
        <v>1</v>
      </c>
      <c r="X4099" s="51" t="str" cm="1">
        <f t="array" ref="X4099">_xlfn.IFS(Tabla1[[#This Row],[Porcentaje de muertes]]&lt;0.35,"LEVE",AND(Tabla1[[#This Row],[Porcentaje de muertes]]&gt;0.35,Tabla1[[#This Row],[Porcentaje de muertes]]&lt;0.65),"MEDIO",Tabla1[[#This Row],[Porcentaje de muertes]]&gt;0.65,"GRAVE")</f>
        <v>GRAVE</v>
      </c>
    </row>
    <row r="4100" spans="2:24" x14ac:dyDescent="0.3">
      <c r="B4100" s="9">
        <v>4100</v>
      </c>
      <c r="C4100" s="49">
        <v>35562</v>
      </c>
      <c r="D4100" s="9">
        <f>YEAR(Tabla1[[#This Row],[Date]])</f>
        <v>1997</v>
      </c>
      <c r="E4100" s="9" t="str" cm="1">
        <f t="array" ref="E4100">IFERROR(_xlfn.IFS(AND(D4100&lt;1980,D4100&gt;=1970),"70",AND(D4100&lt;1990,D4100&gt;=1980),"80",AND(D4100&lt;2000,D4100&gt;=1990),"90",AND(D4100&lt;2010,D4100&gt;=2000),"00",AND(D4100&lt;=2019,D4100&gt;=2010),"10"),"1908-1970")</f>
        <v>90</v>
      </c>
      <c r="F4100" s="3">
        <v>0.61527777777777781</v>
      </c>
      <c r="G4100" t="s">
        <v>23604</v>
      </c>
      <c r="H4100" t="s">
        <v>15187</v>
      </c>
      <c r="I4100" t="s">
        <v>28931</v>
      </c>
      <c r="J4100" t="s">
        <v>23605</v>
      </c>
      <c r="K4100" t="s">
        <v>23606</v>
      </c>
      <c r="L4100" s="7" t="s">
        <v>23607</v>
      </c>
      <c r="M4100">
        <v>4516003</v>
      </c>
      <c r="N4100">
        <v>23</v>
      </c>
      <c r="O4100">
        <v>17</v>
      </c>
      <c r="P4100">
        <v>6</v>
      </c>
      <c r="Q4100">
        <v>23</v>
      </c>
      <c r="R4100">
        <v>17</v>
      </c>
      <c r="S4100">
        <v>6</v>
      </c>
      <c r="T4100">
        <v>44</v>
      </c>
      <c r="U4100" t="s">
        <v>23608</v>
      </c>
      <c r="V4100">
        <f>Tabla1[[#This Row],[Aboard]]-Tabla1[[#This Row],[Fatalities]]</f>
        <v>0</v>
      </c>
      <c r="W4100" s="50">
        <f>IFERROR(Tabla1[[#This Row],[Fatalities]]/Tabla1[[#This Row],[Aboard]],0)</f>
        <v>1</v>
      </c>
      <c r="X4100" s="51" t="str" cm="1">
        <f t="array" ref="X4100">_xlfn.IFS(Tabla1[[#This Row],[Porcentaje de muertes]]&lt;0.35,"LEVE",AND(Tabla1[[#This Row],[Porcentaje de muertes]]&gt;0.35,Tabla1[[#This Row],[Porcentaje de muertes]]&lt;0.65),"MEDIO",Tabla1[[#This Row],[Porcentaje de muertes]]&gt;0.65,"GRAVE")</f>
        <v>GRAVE</v>
      </c>
    </row>
    <row r="4101" spans="2:24" x14ac:dyDescent="0.3">
      <c r="B4101" s="9">
        <v>4101</v>
      </c>
      <c r="C4101" s="49">
        <v>35685</v>
      </c>
      <c r="D4101" s="9">
        <f>YEAR(Tabla1[[#This Row],[Date]])</f>
        <v>1997</v>
      </c>
      <c r="E4101" s="9" t="str" cm="1">
        <f t="array" ref="E4101">IFERROR(_xlfn.IFS(AND(D4101&lt;1980,D4101&gt;=1970),"70",AND(D4101&lt;1990,D4101&gt;=1980),"80",AND(D4101&lt;2000,D4101&gt;=1990),"90",AND(D4101&lt;2010,D4101&gt;=2000),"00",AND(D4101&lt;=2019,D4101&gt;=2010),"10"),"1908-1970")</f>
        <v>90</v>
      </c>
      <c r="F4101" s="3">
        <v>0.6430555555555556</v>
      </c>
      <c r="G4101" t="s">
        <v>23609</v>
      </c>
      <c r="H4101" t="s">
        <v>23610</v>
      </c>
      <c r="I4101">
        <v>301</v>
      </c>
      <c r="J4101" t="s">
        <v>23611</v>
      </c>
      <c r="K4101" t="s">
        <v>18953</v>
      </c>
      <c r="L4101" s="7" t="s">
        <v>23612</v>
      </c>
      <c r="M4101">
        <v>110285</v>
      </c>
      <c r="N4101">
        <v>17</v>
      </c>
      <c r="O4101">
        <v>15</v>
      </c>
      <c r="P4101">
        <v>2</v>
      </c>
      <c r="Q4101">
        <v>4</v>
      </c>
      <c r="R4101">
        <v>3</v>
      </c>
      <c r="S4101">
        <v>1</v>
      </c>
      <c r="T4101">
        <v>0</v>
      </c>
      <c r="U4101" t="s">
        <v>23613</v>
      </c>
      <c r="V4101">
        <f>Tabla1[[#This Row],[Aboard]]-Tabla1[[#This Row],[Fatalities]]</f>
        <v>13</v>
      </c>
      <c r="W4101" s="50">
        <f>IFERROR(Tabla1[[#This Row],[Fatalities]]/Tabla1[[#This Row],[Aboard]],0)</f>
        <v>0.23529411764705882</v>
      </c>
      <c r="X4101" s="51" t="str" cm="1">
        <f t="array" ref="X4101">_xlfn.IFS(Tabla1[[#This Row],[Porcentaje de muertes]]&lt;0.35,"LEVE",AND(Tabla1[[#This Row],[Porcentaje de muertes]]&gt;0.35,Tabla1[[#This Row],[Porcentaje de muertes]]&lt;0.65),"MEDIO",Tabla1[[#This Row],[Porcentaje de muertes]]&gt;0.65,"GRAVE")</f>
        <v>LEVE</v>
      </c>
    </row>
    <row r="4102" spans="2:24" x14ac:dyDescent="0.3">
      <c r="B4102" s="9">
        <v>4102</v>
      </c>
      <c r="C4102" s="49">
        <v>35777</v>
      </c>
      <c r="D4102" s="9">
        <f>YEAR(Tabla1[[#This Row],[Date]])</f>
        <v>1997</v>
      </c>
      <c r="E4102" s="9" t="str" cm="1">
        <f t="array" ref="E4102">IFERROR(_xlfn.IFS(AND(D4102&lt;1980,D4102&gt;=1970),"70",AND(D4102&lt;1990,D4102&gt;=1980),"80",AND(D4102&lt;2000,D4102&gt;=1990),"90",AND(D4102&lt;2010,D4102&gt;=2000),"00",AND(D4102&lt;=2019,D4102&gt;=2010),"10"),"1908-1970")</f>
        <v>90</v>
      </c>
      <c r="F4102" s="3">
        <v>0.71180555555555547</v>
      </c>
      <c r="G4102" t="s">
        <v>23614</v>
      </c>
      <c r="H4102" t="s">
        <v>23615</v>
      </c>
      <c r="I4102" t="s">
        <v>28931</v>
      </c>
      <c r="J4102" t="s">
        <v>23616</v>
      </c>
      <c r="K4102" t="s">
        <v>23617</v>
      </c>
      <c r="L4102" s="7" t="s">
        <v>23618</v>
      </c>
      <c r="M4102" t="s">
        <v>23619</v>
      </c>
      <c r="N4102">
        <v>19</v>
      </c>
      <c r="O4102">
        <v>17</v>
      </c>
      <c r="P4102">
        <v>2</v>
      </c>
      <c r="Q4102">
        <v>10</v>
      </c>
      <c r="R4102">
        <v>9</v>
      </c>
      <c r="S4102">
        <v>1</v>
      </c>
      <c r="T4102">
        <v>0</v>
      </c>
      <c r="U4102" t="s">
        <v>23620</v>
      </c>
      <c r="V4102">
        <f>Tabla1[[#This Row],[Aboard]]-Tabla1[[#This Row],[Fatalities]]</f>
        <v>9</v>
      </c>
      <c r="W4102" s="50">
        <f>IFERROR(Tabla1[[#This Row],[Fatalities]]/Tabla1[[#This Row],[Aboard]],0)</f>
        <v>0.52631578947368418</v>
      </c>
      <c r="X4102" s="51" t="str" cm="1">
        <f t="array" ref="X4102">_xlfn.IFS(Tabla1[[#This Row],[Porcentaje de muertes]]&lt;0.35,"LEVE",AND(Tabla1[[#This Row],[Porcentaje de muertes]]&gt;0.35,Tabla1[[#This Row],[Porcentaje de muertes]]&lt;0.65),"MEDIO",Tabla1[[#This Row],[Porcentaje de muertes]]&gt;0.65,"GRAVE")</f>
        <v>MEDIO</v>
      </c>
    </row>
    <row r="4103" spans="2:24" x14ac:dyDescent="0.3">
      <c r="B4103" s="9">
        <v>4103</v>
      </c>
      <c r="C4103" s="49">
        <v>35779</v>
      </c>
      <c r="D4103" s="9">
        <f>YEAR(Tabla1[[#This Row],[Date]])</f>
        <v>1997</v>
      </c>
      <c r="E4103" s="9" t="str" cm="1">
        <f t="array" ref="E4103">IFERROR(_xlfn.IFS(AND(D4103&lt;1980,D4103&gt;=1970),"70",AND(D4103&lt;1990,D4103&gt;=1980),"80",AND(D4103&lt;2000,D4103&gt;=1990),"90",AND(D4103&lt;2010,D4103&gt;=2000),"00",AND(D4103&lt;=2019,D4103&gt;=2010),"10"),"1908-1970")</f>
        <v>90</v>
      </c>
      <c r="F4103" s="3">
        <v>0.77430555555555547</v>
      </c>
      <c r="G4103" t="s">
        <v>11067</v>
      </c>
      <c r="H4103" t="s">
        <v>22263</v>
      </c>
      <c r="I4103">
        <v>3183</v>
      </c>
      <c r="J4103" t="s">
        <v>23621</v>
      </c>
      <c r="K4103" t="s">
        <v>16725</v>
      </c>
      <c r="L4103" s="7" t="s">
        <v>23622</v>
      </c>
      <c r="M4103" t="s">
        <v>23623</v>
      </c>
      <c r="N4103">
        <v>86</v>
      </c>
      <c r="O4103">
        <v>77</v>
      </c>
      <c r="P4103">
        <v>9</v>
      </c>
      <c r="Q4103">
        <v>85</v>
      </c>
      <c r="R4103">
        <v>77</v>
      </c>
      <c r="S4103">
        <v>8</v>
      </c>
      <c r="T4103">
        <v>0</v>
      </c>
      <c r="U4103" t="s">
        <v>23624</v>
      </c>
      <c r="V4103">
        <f>Tabla1[[#This Row],[Aboard]]-Tabla1[[#This Row],[Fatalities]]</f>
        <v>1</v>
      </c>
      <c r="W4103" s="50">
        <f>IFERROR(Tabla1[[#This Row],[Fatalities]]/Tabla1[[#This Row],[Aboard]],0)</f>
        <v>0.98837209302325579</v>
      </c>
      <c r="X4103" s="51" t="str" cm="1">
        <f t="array" ref="X4103">_xlfn.IFS(Tabla1[[#This Row],[Porcentaje de muertes]]&lt;0.35,"LEVE",AND(Tabla1[[#This Row],[Porcentaje de muertes]]&gt;0.35,Tabla1[[#This Row],[Porcentaje de muertes]]&lt;0.65),"MEDIO",Tabla1[[#This Row],[Porcentaje de muertes]]&gt;0.65,"GRAVE")</f>
        <v>GRAVE</v>
      </c>
    </row>
    <row r="4104" spans="2:24" x14ac:dyDescent="0.3">
      <c r="B4104" s="9">
        <v>4104</v>
      </c>
      <c r="C4104" s="49">
        <v>35781</v>
      </c>
      <c r="D4104" s="9">
        <f>YEAR(Tabla1[[#This Row],[Date]])</f>
        <v>1997</v>
      </c>
      <c r="E4104" s="9" t="str" cm="1">
        <f t="array" ref="E4104">IFERROR(_xlfn.IFS(AND(D4104&lt;1980,D4104&gt;=1970),"70",AND(D4104&lt;1990,D4104&gt;=1980),"80",AND(D4104&lt;2000,D4104&gt;=1990),"90",AND(D4104&lt;2010,D4104&gt;=2000),"00",AND(D4104&lt;=2019,D4104&gt;=2010),"10"),"1908-1970")</f>
        <v>90</v>
      </c>
      <c r="F4104" s="3">
        <v>0.80069444444444438</v>
      </c>
      <c r="G4104" t="s">
        <v>23625</v>
      </c>
      <c r="H4104" t="s">
        <v>23626</v>
      </c>
      <c r="I4104">
        <v>241</v>
      </c>
      <c r="J4104" t="s">
        <v>23627</v>
      </c>
      <c r="K4104" t="s">
        <v>19189</v>
      </c>
      <c r="L4104" s="7" t="s">
        <v>23628</v>
      </c>
      <c r="M4104">
        <v>4520422606</v>
      </c>
      <c r="N4104">
        <v>70</v>
      </c>
      <c r="O4104">
        <v>62</v>
      </c>
      <c r="P4104">
        <v>8</v>
      </c>
      <c r="Q4104">
        <v>70</v>
      </c>
      <c r="R4104">
        <v>62</v>
      </c>
      <c r="S4104">
        <v>8</v>
      </c>
      <c r="T4104">
        <v>0</v>
      </c>
      <c r="U4104" t="s">
        <v>23629</v>
      </c>
      <c r="V4104">
        <f>Tabla1[[#This Row],[Aboard]]-Tabla1[[#This Row],[Fatalities]]</f>
        <v>0</v>
      </c>
      <c r="W4104" s="50">
        <f>IFERROR(Tabla1[[#This Row],[Fatalities]]/Tabla1[[#This Row],[Aboard]],0)</f>
        <v>1</v>
      </c>
      <c r="X4104" s="51" t="str" cm="1">
        <f t="array" ref="X4104">_xlfn.IFS(Tabla1[[#This Row],[Porcentaje de muertes]]&lt;0.35,"LEVE",AND(Tabla1[[#This Row],[Porcentaje de muertes]]&gt;0.35,Tabla1[[#This Row],[Porcentaje de muertes]]&lt;0.65),"MEDIO",Tabla1[[#This Row],[Porcentaje de muertes]]&gt;0.65,"GRAVE")</f>
        <v>GRAVE</v>
      </c>
    </row>
    <row r="4105" spans="2:24" x14ac:dyDescent="0.3">
      <c r="B4105" s="9">
        <v>4105</v>
      </c>
      <c r="C4105" s="49">
        <v>35783</v>
      </c>
      <c r="D4105" s="9">
        <f>YEAR(Tabla1[[#This Row],[Date]])</f>
        <v>1997</v>
      </c>
      <c r="E4105" s="9" t="str" cm="1">
        <f t="array" ref="E4105">IFERROR(_xlfn.IFS(AND(D4105&lt;1980,D4105&gt;=1970),"70",AND(D4105&lt;1990,D4105&gt;=1980),"80",AND(D4105&lt;2000,D4105&gt;=1990),"90",AND(D4105&lt;2010,D4105&gt;=2000),"00",AND(D4105&lt;=2019,D4105&gt;=2010),"10"),"1908-1970")</f>
        <v>90</v>
      </c>
      <c r="F4105" s="3">
        <v>0.67569444444444438</v>
      </c>
      <c r="G4105" t="s">
        <v>17437</v>
      </c>
      <c r="H4105" t="s">
        <v>23630</v>
      </c>
      <c r="I4105">
        <v>185</v>
      </c>
      <c r="J4105" t="s">
        <v>23631</v>
      </c>
      <c r="K4105" t="s">
        <v>23632</v>
      </c>
      <c r="L4105" s="7" t="s">
        <v>23633</v>
      </c>
      <c r="M4105" t="s">
        <v>23634</v>
      </c>
      <c r="N4105">
        <v>104</v>
      </c>
      <c r="O4105">
        <v>97</v>
      </c>
      <c r="P4105">
        <v>7</v>
      </c>
      <c r="Q4105">
        <v>104</v>
      </c>
      <c r="R4105">
        <v>97</v>
      </c>
      <c r="S4105">
        <v>7</v>
      </c>
      <c r="T4105">
        <v>0</v>
      </c>
      <c r="U4105" t="s">
        <v>23635</v>
      </c>
      <c r="V4105">
        <f>Tabla1[[#This Row],[Aboard]]-Tabla1[[#This Row],[Fatalities]]</f>
        <v>0</v>
      </c>
      <c r="W4105" s="50">
        <f>IFERROR(Tabla1[[#This Row],[Fatalities]]/Tabla1[[#This Row],[Aboard]],0)</f>
        <v>1</v>
      </c>
      <c r="X4105" s="51" t="str" cm="1">
        <f t="array" ref="X4105">_xlfn.IFS(Tabla1[[#This Row],[Porcentaje de muertes]]&lt;0.35,"LEVE",AND(Tabla1[[#This Row],[Porcentaje de muertes]]&gt;0.35,Tabla1[[#This Row],[Porcentaje de muertes]]&lt;0.65),"MEDIO",Tabla1[[#This Row],[Porcentaje de muertes]]&gt;0.65,"GRAVE")</f>
        <v>GRAVE</v>
      </c>
    </row>
    <row r="4106" spans="2:24" x14ac:dyDescent="0.3">
      <c r="B4106" s="9">
        <v>4106</v>
      </c>
      <c r="C4106" s="49">
        <v>35784</v>
      </c>
      <c r="D4106" s="9">
        <f>YEAR(Tabla1[[#This Row],[Date]])</f>
        <v>1997</v>
      </c>
      <c r="E4106" s="9" t="str" cm="1">
        <f t="array" ref="E4106">IFERROR(_xlfn.IFS(AND(D4106&lt;1980,D4106&gt;=1970),"70",AND(D4106&lt;1990,D4106&gt;=1980),"80",AND(D4106&lt;2000,D4106&gt;=1990),"90",AND(D4106&lt;2010,D4106&gt;=2000),"00",AND(D4106&lt;=2019,D4106&gt;=2010),"10"),"1908-1970")</f>
        <v>90</v>
      </c>
      <c r="F4106" s="3" t="s">
        <v>28931</v>
      </c>
      <c r="G4106" t="s">
        <v>23636</v>
      </c>
      <c r="H4106" t="s">
        <v>23637</v>
      </c>
      <c r="I4106" t="s">
        <v>28931</v>
      </c>
      <c r="J4106" t="s">
        <v>23638</v>
      </c>
      <c r="K4106" t="s">
        <v>18896</v>
      </c>
      <c r="L4106" s="7">
        <v>750</v>
      </c>
      <c r="M4106">
        <v>4729</v>
      </c>
      <c r="N4106">
        <v>5</v>
      </c>
      <c r="O4106">
        <v>0</v>
      </c>
      <c r="P4106">
        <v>5</v>
      </c>
      <c r="Q4106">
        <v>5</v>
      </c>
      <c r="R4106">
        <v>0</v>
      </c>
      <c r="S4106">
        <v>5</v>
      </c>
      <c r="T4106">
        <v>0</v>
      </c>
      <c r="U4106" t="s">
        <v>23639</v>
      </c>
      <c r="V4106">
        <f>Tabla1[[#This Row],[Aboard]]-Tabla1[[#This Row],[Fatalities]]</f>
        <v>0</v>
      </c>
      <c r="W4106" s="50">
        <f>IFERROR(Tabla1[[#This Row],[Fatalities]]/Tabla1[[#This Row],[Aboard]],0)</f>
        <v>1</v>
      </c>
      <c r="X4106" s="51" t="str" cm="1">
        <f t="array" ref="X4106">_xlfn.IFS(Tabla1[[#This Row],[Porcentaje de muertes]]&lt;0.35,"LEVE",AND(Tabla1[[#This Row],[Porcentaje de muertes]]&gt;0.35,Tabla1[[#This Row],[Porcentaje de muertes]]&lt;0.65),"MEDIO",Tabla1[[#This Row],[Porcentaje de muertes]]&gt;0.65,"GRAVE")</f>
        <v>GRAVE</v>
      </c>
    </row>
    <row r="4107" spans="2:24" x14ac:dyDescent="0.3">
      <c r="B4107" s="9">
        <v>4107</v>
      </c>
      <c r="C4107" s="49">
        <v>35791</v>
      </c>
      <c r="D4107" s="9">
        <f>YEAR(Tabla1[[#This Row],[Date]])</f>
        <v>1997</v>
      </c>
      <c r="E4107" s="9" t="str" cm="1">
        <f t="array" ref="E4107">IFERROR(_xlfn.IFS(AND(D4107&lt;1980,D4107&gt;=1970),"70",AND(D4107&lt;1990,D4107&gt;=1980),"80",AND(D4107&lt;2000,D4107&gt;=1990),"90",AND(D4107&lt;2010,D4107&gt;=2000),"00",AND(D4107&lt;=2019,D4107&gt;=2010),"10"),"1908-1970")</f>
        <v>90</v>
      </c>
      <c r="F4107" s="3" t="s">
        <v>28931</v>
      </c>
      <c r="G4107" t="s">
        <v>23640</v>
      </c>
      <c r="H4107" t="s">
        <v>23641</v>
      </c>
      <c r="I4107" t="s">
        <v>28931</v>
      </c>
      <c r="J4107" t="s">
        <v>23642</v>
      </c>
      <c r="K4107" t="s">
        <v>23643</v>
      </c>
      <c r="L4107" s="7" t="s">
        <v>23644</v>
      </c>
      <c r="M4107">
        <v>36572094888</v>
      </c>
      <c r="N4107">
        <v>5</v>
      </c>
      <c r="O4107">
        <v>0</v>
      </c>
      <c r="P4107">
        <v>5</v>
      </c>
      <c r="Q4107">
        <v>5</v>
      </c>
      <c r="R4107">
        <v>0</v>
      </c>
      <c r="S4107">
        <v>5</v>
      </c>
      <c r="T4107">
        <v>0</v>
      </c>
      <c r="U4107" t="s">
        <v>23645</v>
      </c>
      <c r="V4107">
        <f>Tabla1[[#This Row],[Aboard]]-Tabla1[[#This Row],[Fatalities]]</f>
        <v>0</v>
      </c>
      <c r="W4107" s="50">
        <f>IFERROR(Tabla1[[#This Row],[Fatalities]]/Tabla1[[#This Row],[Aboard]],0)</f>
        <v>1</v>
      </c>
      <c r="X4107" s="51" t="str" cm="1">
        <f t="array" ref="X4107">_xlfn.IFS(Tabla1[[#This Row],[Porcentaje de muertes]]&lt;0.35,"LEVE",AND(Tabla1[[#This Row],[Porcentaje de muertes]]&gt;0.35,Tabla1[[#This Row],[Porcentaje de muertes]]&lt;0.65),"MEDIO",Tabla1[[#This Row],[Porcentaje de muertes]]&gt;0.65,"GRAVE")</f>
        <v>GRAVE</v>
      </c>
    </row>
    <row r="4108" spans="2:24" x14ac:dyDescent="0.3">
      <c r="B4108" s="9">
        <v>4108</v>
      </c>
      <c r="C4108" s="49">
        <v>35792</v>
      </c>
      <c r="D4108" s="9">
        <f>YEAR(Tabla1[[#This Row],[Date]])</f>
        <v>1997</v>
      </c>
      <c r="E4108" s="9" t="str" cm="1">
        <f t="array" ref="E4108">IFERROR(_xlfn.IFS(AND(D4108&lt;1980,D4108&gt;=1970),"70",AND(D4108&lt;1990,D4108&gt;=1980),"80",AND(D4108&lt;2000,D4108&gt;=1990),"90",AND(D4108&lt;2010,D4108&gt;=2000),"00",AND(D4108&lt;=2019,D4108&gt;=2010),"10"),"1908-1970")</f>
        <v>90</v>
      </c>
      <c r="F4108" s="3">
        <v>0.96527777777777779</v>
      </c>
      <c r="G4108" t="s">
        <v>11865</v>
      </c>
      <c r="H4108" t="s">
        <v>6369</v>
      </c>
      <c r="I4108">
        <v>826</v>
      </c>
      <c r="J4108" t="s">
        <v>19218</v>
      </c>
      <c r="K4108" t="s">
        <v>20821</v>
      </c>
      <c r="L4108" s="7" t="s">
        <v>23646</v>
      </c>
      <c r="M4108" t="s">
        <v>23647</v>
      </c>
      <c r="N4108">
        <v>393</v>
      </c>
      <c r="O4108">
        <v>374</v>
      </c>
      <c r="P4108">
        <v>19</v>
      </c>
      <c r="Q4108">
        <v>1</v>
      </c>
      <c r="R4108">
        <v>1</v>
      </c>
      <c r="S4108">
        <v>0</v>
      </c>
      <c r="T4108">
        <v>0</v>
      </c>
      <c r="U4108" t="s">
        <v>23648</v>
      </c>
      <c r="V4108">
        <f>Tabla1[[#This Row],[Aboard]]-Tabla1[[#This Row],[Fatalities]]</f>
        <v>392</v>
      </c>
      <c r="W4108" s="50">
        <f>IFERROR(Tabla1[[#This Row],[Fatalities]]/Tabla1[[#This Row],[Aboard]],0)</f>
        <v>2.5445292620865142E-3</v>
      </c>
      <c r="X4108" s="51" t="str" cm="1">
        <f t="array" ref="X4108">_xlfn.IFS(Tabla1[[#This Row],[Porcentaje de muertes]]&lt;0.35,"LEVE",AND(Tabla1[[#This Row],[Porcentaje de muertes]]&gt;0.35,Tabla1[[#This Row],[Porcentaje de muertes]]&lt;0.65),"MEDIO",Tabla1[[#This Row],[Porcentaje de muertes]]&gt;0.65,"GRAVE")</f>
        <v>LEVE</v>
      </c>
    </row>
    <row r="4109" spans="2:24" x14ac:dyDescent="0.3">
      <c r="B4109" s="9">
        <v>4109</v>
      </c>
      <c r="C4109" s="49">
        <v>35795</v>
      </c>
      <c r="D4109" s="9">
        <f>YEAR(Tabla1[[#This Row],[Date]])</f>
        <v>1997</v>
      </c>
      <c r="E4109" s="9" t="str" cm="1">
        <f t="array" ref="E4109">IFERROR(_xlfn.IFS(AND(D4109&lt;1980,D4109&gt;=1970),"70",AND(D4109&lt;1990,D4109&gt;=1980),"80",AND(D4109&lt;2000,D4109&gt;=1990),"90",AND(D4109&lt;2010,D4109&gt;=2000),"00",AND(D4109&lt;=2019,D4109&gt;=2010),"10"),"1908-1970")</f>
        <v>90</v>
      </c>
      <c r="F4109" s="3">
        <v>0.32291666666666669</v>
      </c>
      <c r="G4109" t="s">
        <v>23649</v>
      </c>
      <c r="H4109" t="s">
        <v>23650</v>
      </c>
      <c r="I4109" t="s">
        <v>28931</v>
      </c>
      <c r="J4109" t="s">
        <v>23651</v>
      </c>
      <c r="K4109" t="s">
        <v>18254</v>
      </c>
      <c r="L4109" s="7" t="s">
        <v>23652</v>
      </c>
      <c r="M4109">
        <v>178</v>
      </c>
      <c r="N4109">
        <v>10</v>
      </c>
      <c r="O4109">
        <v>9</v>
      </c>
      <c r="P4109">
        <v>1</v>
      </c>
      <c r="Q4109">
        <v>10</v>
      </c>
      <c r="R4109">
        <v>9</v>
      </c>
      <c r="S4109">
        <v>1</v>
      </c>
      <c r="T4109">
        <v>0</v>
      </c>
      <c r="U4109" t="s">
        <v>23653</v>
      </c>
      <c r="V4109">
        <f>Tabla1[[#This Row],[Aboard]]-Tabla1[[#This Row],[Fatalities]]</f>
        <v>0</v>
      </c>
      <c r="W4109" s="50">
        <f>IFERROR(Tabla1[[#This Row],[Fatalities]]/Tabla1[[#This Row],[Aboard]],0)</f>
        <v>1</v>
      </c>
      <c r="X4109" s="51" t="str" cm="1">
        <f t="array" ref="X4109">_xlfn.IFS(Tabla1[[#This Row],[Porcentaje de muertes]]&lt;0.35,"LEVE",AND(Tabla1[[#This Row],[Porcentaje de muertes]]&gt;0.35,Tabla1[[#This Row],[Porcentaje de muertes]]&lt;0.65),"MEDIO",Tabla1[[#This Row],[Porcentaje de muertes]]&gt;0.65,"GRAVE")</f>
        <v>GRAVE</v>
      </c>
    </row>
    <row r="4110" spans="2:24" x14ac:dyDescent="0.3">
      <c r="B4110" s="9">
        <v>4110</v>
      </c>
      <c r="C4110" s="49">
        <v>35808</v>
      </c>
      <c r="D4110" s="9">
        <f>YEAR(Tabla1[[#This Row],[Date]])</f>
        <v>1998</v>
      </c>
      <c r="E4110" s="9" t="str" cm="1">
        <f t="array" ref="E4110">IFERROR(_xlfn.IFS(AND(D4110&lt;1980,D4110&gt;=1970),"70",AND(D4110&lt;1990,D4110&gt;=1980),"80",AND(D4110&lt;2000,D4110&gt;=1990),"90",AND(D4110&lt;2010,D4110&gt;=2000),"00",AND(D4110&lt;=2019,D4110&gt;=2010),"10"),"1908-1970")</f>
        <v>90</v>
      </c>
      <c r="F4110" s="3">
        <v>0.77083333333333337</v>
      </c>
      <c r="G4110" t="s">
        <v>23654</v>
      </c>
      <c r="H4110" t="s">
        <v>23655</v>
      </c>
      <c r="I4110" t="s">
        <v>28931</v>
      </c>
      <c r="J4110" t="s">
        <v>23656</v>
      </c>
      <c r="K4110" t="s">
        <v>20760</v>
      </c>
      <c r="L4110" s="7" t="s">
        <v>23657</v>
      </c>
      <c r="M4110">
        <v>871919</v>
      </c>
      <c r="N4110">
        <v>2</v>
      </c>
      <c r="O4110">
        <v>0</v>
      </c>
      <c r="P4110">
        <v>2</v>
      </c>
      <c r="Q4110">
        <v>2</v>
      </c>
      <c r="R4110">
        <v>0</v>
      </c>
      <c r="S4110">
        <v>2</v>
      </c>
      <c r="T4110">
        <v>0</v>
      </c>
      <c r="U4110" t="s">
        <v>23658</v>
      </c>
      <c r="V4110">
        <f>Tabla1[[#This Row],[Aboard]]-Tabla1[[#This Row],[Fatalities]]</f>
        <v>0</v>
      </c>
      <c r="W4110" s="50">
        <f>IFERROR(Tabla1[[#This Row],[Fatalities]]/Tabla1[[#This Row],[Aboard]],0)</f>
        <v>1</v>
      </c>
      <c r="X4110" s="51" t="str" cm="1">
        <f t="array" ref="X4110">_xlfn.IFS(Tabla1[[#This Row],[Porcentaje de muertes]]&lt;0.35,"LEVE",AND(Tabla1[[#This Row],[Porcentaje de muertes]]&gt;0.35,Tabla1[[#This Row],[Porcentaje de muertes]]&lt;0.65),"MEDIO",Tabla1[[#This Row],[Porcentaje de muertes]]&gt;0.65,"GRAVE")</f>
        <v>GRAVE</v>
      </c>
    </row>
    <row r="4111" spans="2:24" x14ac:dyDescent="0.3">
      <c r="B4111" s="9">
        <v>4111</v>
      </c>
      <c r="C4111" s="49">
        <v>35808</v>
      </c>
      <c r="D4111" s="9">
        <f>YEAR(Tabla1[[#This Row],[Date]])</f>
        <v>1998</v>
      </c>
      <c r="E4111" s="9" t="str" cm="1">
        <f t="array" ref="E4111">IFERROR(_xlfn.IFS(AND(D4111&lt;1980,D4111&gt;=1970),"70",AND(D4111&lt;1990,D4111&gt;=1980),"80",AND(D4111&lt;2000,D4111&gt;=1990),"90",AND(D4111&lt;2010,D4111&gt;=2000),"00",AND(D4111&lt;=2019,D4111&gt;=2010),"10"),"1908-1970")</f>
        <v>90</v>
      </c>
      <c r="F4111" s="3">
        <v>0.9375</v>
      </c>
      <c r="G4111" t="s">
        <v>23659</v>
      </c>
      <c r="H4111" t="s">
        <v>23660</v>
      </c>
      <c r="I4111" t="s">
        <v>28931</v>
      </c>
      <c r="J4111" t="s">
        <v>23661</v>
      </c>
      <c r="K4111" t="s">
        <v>15139</v>
      </c>
      <c r="L4111" s="7" t="s">
        <v>23662</v>
      </c>
      <c r="M4111">
        <v>5342801</v>
      </c>
      <c r="N4111">
        <v>51</v>
      </c>
      <c r="O4111">
        <v>45</v>
      </c>
      <c r="P4111">
        <v>6</v>
      </c>
      <c r="Q4111">
        <v>51</v>
      </c>
      <c r="R4111">
        <v>45</v>
      </c>
      <c r="S4111">
        <v>6</v>
      </c>
      <c r="T4111">
        <v>0</v>
      </c>
      <c r="U4111" t="s">
        <v>23663</v>
      </c>
      <c r="V4111">
        <f>Tabla1[[#This Row],[Aboard]]-Tabla1[[#This Row],[Fatalities]]</f>
        <v>0</v>
      </c>
      <c r="W4111" s="50">
        <f>IFERROR(Tabla1[[#This Row],[Fatalities]]/Tabla1[[#This Row],[Aboard]],0)</f>
        <v>1</v>
      </c>
      <c r="X4111" s="51" t="str" cm="1">
        <f t="array" ref="X4111">_xlfn.IFS(Tabla1[[#This Row],[Porcentaje de muertes]]&lt;0.35,"LEVE",AND(Tabla1[[#This Row],[Porcentaje de muertes]]&gt;0.35,Tabla1[[#This Row],[Porcentaje de muertes]]&lt;0.65),"MEDIO",Tabla1[[#This Row],[Porcentaje de muertes]]&gt;0.65,"GRAVE")</f>
        <v>GRAVE</v>
      </c>
    </row>
    <row r="4112" spans="2:24" x14ac:dyDescent="0.3">
      <c r="B4112" s="9">
        <v>4112</v>
      </c>
      <c r="C4112" s="49">
        <v>35822</v>
      </c>
      <c r="D4112" s="9">
        <f>YEAR(Tabla1[[#This Row],[Date]])</f>
        <v>1998</v>
      </c>
      <c r="E4112" s="9" t="str" cm="1">
        <f t="array" ref="E4112">IFERROR(_xlfn.IFS(AND(D4112&lt;1980,D4112&gt;=1970),"70",AND(D4112&lt;1990,D4112&gt;=1980),"80",AND(D4112&lt;2000,D4112&gt;=1990),"90",AND(D4112&lt;2010,D4112&gt;=2000),"00",AND(D4112&lt;=2019,D4112&gt;=2010),"10"),"1908-1970")</f>
        <v>90</v>
      </c>
      <c r="F4112" s="3">
        <v>0.48958333333333331</v>
      </c>
      <c r="G4112" t="s">
        <v>23664</v>
      </c>
      <c r="H4112" t="s">
        <v>23232</v>
      </c>
      <c r="I4112">
        <v>403</v>
      </c>
      <c r="J4112" t="s">
        <v>23665</v>
      </c>
      <c r="K4112" t="s">
        <v>15526</v>
      </c>
      <c r="L4112" s="7" t="s">
        <v>23666</v>
      </c>
      <c r="M4112">
        <v>10576</v>
      </c>
      <c r="N4112">
        <v>45</v>
      </c>
      <c r="O4112">
        <v>41</v>
      </c>
      <c r="P4112">
        <v>4</v>
      </c>
      <c r="Q4112">
        <v>16</v>
      </c>
      <c r="R4112">
        <v>15</v>
      </c>
      <c r="S4112">
        <v>1</v>
      </c>
      <c r="T4112">
        <v>0</v>
      </c>
      <c r="U4112" t="s">
        <v>23667</v>
      </c>
      <c r="V4112">
        <f>Tabla1[[#This Row],[Aboard]]-Tabla1[[#This Row],[Fatalities]]</f>
        <v>29</v>
      </c>
      <c r="W4112" s="50">
        <f>IFERROR(Tabla1[[#This Row],[Fatalities]]/Tabla1[[#This Row],[Aboard]],0)</f>
        <v>0.35555555555555557</v>
      </c>
      <c r="X4112" s="51" t="str" cm="1">
        <f t="array" ref="X4112">_xlfn.IFS(Tabla1[[#This Row],[Porcentaje de muertes]]&lt;0.35,"LEVE",AND(Tabla1[[#This Row],[Porcentaje de muertes]]&gt;0.35,Tabla1[[#This Row],[Porcentaje de muertes]]&lt;0.65),"MEDIO",Tabla1[[#This Row],[Porcentaje de muertes]]&gt;0.65,"GRAVE")</f>
        <v>MEDIO</v>
      </c>
    </row>
    <row r="4113" spans="2:24" x14ac:dyDescent="0.3">
      <c r="B4113" s="9">
        <v>4113</v>
      </c>
      <c r="C4113" s="49">
        <v>35828</v>
      </c>
      <c r="D4113" s="9">
        <f>YEAR(Tabla1[[#This Row],[Date]])</f>
        <v>1998</v>
      </c>
      <c r="E4113" s="9" t="str" cm="1">
        <f t="array" ref="E4113">IFERROR(_xlfn.IFS(AND(D4113&lt;1980,D4113&gt;=1970),"70",AND(D4113&lt;1990,D4113&gt;=1980),"80",AND(D4113&lt;2000,D4113&gt;=1990),"90",AND(D4113&lt;2010,D4113&gt;=2000),"00",AND(D4113&lt;=2019,D4113&gt;=2010),"10"),"1908-1970")</f>
        <v>90</v>
      </c>
      <c r="F4113" s="3">
        <v>0.45833333333333331</v>
      </c>
      <c r="G4113" t="s">
        <v>23668</v>
      </c>
      <c r="H4113" t="s">
        <v>23669</v>
      </c>
      <c r="I4113">
        <v>387</v>
      </c>
      <c r="J4113" t="s">
        <v>23670</v>
      </c>
      <c r="K4113" t="s">
        <v>15468</v>
      </c>
      <c r="L4113" s="7" t="s">
        <v>23671</v>
      </c>
      <c r="M4113" t="s">
        <v>23672</v>
      </c>
      <c r="N4113">
        <v>104</v>
      </c>
      <c r="O4113">
        <v>99</v>
      </c>
      <c r="P4113">
        <v>5</v>
      </c>
      <c r="Q4113">
        <v>104</v>
      </c>
      <c r="R4113">
        <v>99</v>
      </c>
      <c r="S4113">
        <v>5</v>
      </c>
      <c r="T4113">
        <v>0</v>
      </c>
      <c r="U4113" t="s">
        <v>23673</v>
      </c>
      <c r="V4113">
        <f>Tabla1[[#This Row],[Aboard]]-Tabla1[[#This Row],[Fatalities]]</f>
        <v>0</v>
      </c>
      <c r="W4113" s="50">
        <f>IFERROR(Tabla1[[#This Row],[Fatalities]]/Tabla1[[#This Row],[Aboard]],0)</f>
        <v>1</v>
      </c>
      <c r="X4113" s="51" t="str" cm="1">
        <f t="array" ref="X4113">_xlfn.IFS(Tabla1[[#This Row],[Porcentaje de muertes]]&lt;0.35,"LEVE",AND(Tabla1[[#This Row],[Porcentaje de muertes]]&gt;0.35,Tabla1[[#This Row],[Porcentaje de muertes]]&lt;0.65),"MEDIO",Tabla1[[#This Row],[Porcentaje de muertes]]&gt;0.65,"GRAVE")</f>
        <v>GRAVE</v>
      </c>
    </row>
    <row r="4114" spans="2:24" x14ac:dyDescent="0.3">
      <c r="B4114" s="9">
        <v>4114</v>
      </c>
      <c r="C4114" s="49">
        <v>35856</v>
      </c>
      <c r="D4114" s="9">
        <f>YEAR(Tabla1[[#This Row],[Date]])</f>
        <v>1998</v>
      </c>
      <c r="E4114" s="9" t="str" cm="1">
        <f t="array" ref="E4114">IFERROR(_xlfn.IFS(AND(D4114&lt;1980,D4114&gt;=1970),"70",AND(D4114&lt;1990,D4114&gt;=1980),"80",AND(D4114&lt;2000,D4114&gt;=1990),"90",AND(D4114&lt;2010,D4114&gt;=2000),"00",AND(D4114&lt;=2019,D4114&gt;=2010),"10"),"1908-1970")</f>
        <v>90</v>
      </c>
      <c r="F4114" s="3">
        <v>0.63541666666666663</v>
      </c>
      <c r="G4114" t="s">
        <v>23674</v>
      </c>
      <c r="H4114" t="s">
        <v>8891</v>
      </c>
      <c r="I4114" t="s">
        <v>8152</v>
      </c>
      <c r="J4114" t="s">
        <v>28931</v>
      </c>
      <c r="K4114" t="s">
        <v>23675</v>
      </c>
      <c r="L4114" s="7" t="s">
        <v>23676</v>
      </c>
      <c r="M4114" t="s">
        <v>23677</v>
      </c>
      <c r="N4114">
        <v>2</v>
      </c>
      <c r="O4114">
        <v>0</v>
      </c>
      <c r="P4114">
        <v>2</v>
      </c>
      <c r="Q4114">
        <v>0</v>
      </c>
      <c r="R4114">
        <v>0</v>
      </c>
      <c r="S4114">
        <v>0</v>
      </c>
      <c r="T4114">
        <v>20</v>
      </c>
      <c r="U4114" t="s">
        <v>23678</v>
      </c>
      <c r="V4114">
        <f>Tabla1[[#This Row],[Aboard]]-Tabla1[[#This Row],[Fatalities]]</f>
        <v>2</v>
      </c>
      <c r="W4114" s="50">
        <f>IFERROR(Tabla1[[#This Row],[Fatalities]]/Tabla1[[#This Row],[Aboard]],0)</f>
        <v>0</v>
      </c>
      <c r="X4114" s="51" t="str" cm="1">
        <f t="array" ref="X4114">_xlfn.IFS(Tabla1[[#This Row],[Porcentaje de muertes]]&lt;0.35,"LEVE",AND(Tabla1[[#This Row],[Porcentaje de muertes]]&gt;0.35,Tabla1[[#This Row],[Porcentaje de muertes]]&lt;0.65),"MEDIO",Tabla1[[#This Row],[Porcentaje de muertes]]&gt;0.65,"GRAVE")</f>
        <v>LEVE</v>
      </c>
    </row>
    <row r="4115" spans="2:24" x14ac:dyDescent="0.3">
      <c r="B4115" s="9">
        <v>4115</v>
      </c>
      <c r="C4115" s="49">
        <v>35887</v>
      </c>
      <c r="D4115" s="9">
        <f>YEAR(Tabla1[[#This Row],[Date]])</f>
        <v>1998</v>
      </c>
      <c r="E4115" s="9" t="str" cm="1">
        <f t="array" ref="E4115">IFERROR(_xlfn.IFS(AND(D4115&lt;1980,D4115&gt;=1970),"70",AND(D4115&lt;1990,D4115&gt;=1980),"80",AND(D4115&lt;2000,D4115&gt;=1990),"90",AND(D4115&lt;2010,D4115&gt;=2000),"00",AND(D4115&lt;=2019,D4115&gt;=2010),"10"),"1908-1970")</f>
        <v>90</v>
      </c>
      <c r="F4115" s="3">
        <v>0.92847222222222225</v>
      </c>
      <c r="G4115" t="s">
        <v>23679</v>
      </c>
      <c r="H4115" t="s">
        <v>23680</v>
      </c>
      <c r="I4115" t="s">
        <v>28931</v>
      </c>
      <c r="J4115" t="s">
        <v>23681</v>
      </c>
      <c r="K4115" t="s">
        <v>20707</v>
      </c>
      <c r="L4115" s="7" t="s">
        <v>23682</v>
      </c>
      <c r="M4115">
        <v>3341605</v>
      </c>
      <c r="N4115">
        <v>7</v>
      </c>
      <c r="O4115">
        <v>0</v>
      </c>
      <c r="P4115">
        <v>7</v>
      </c>
      <c r="Q4115">
        <v>7</v>
      </c>
      <c r="R4115">
        <v>0</v>
      </c>
      <c r="S4115">
        <v>7</v>
      </c>
      <c r="T4115">
        <v>0</v>
      </c>
      <c r="U4115" t="s">
        <v>23683</v>
      </c>
      <c r="V4115">
        <f>Tabla1[[#This Row],[Aboard]]-Tabla1[[#This Row],[Fatalities]]</f>
        <v>0</v>
      </c>
      <c r="W4115" s="50">
        <f>IFERROR(Tabla1[[#This Row],[Fatalities]]/Tabla1[[#This Row],[Aboard]],0)</f>
        <v>1</v>
      </c>
      <c r="X4115" s="51" t="str" cm="1">
        <f t="array" ref="X4115">_xlfn.IFS(Tabla1[[#This Row],[Porcentaje de muertes]]&lt;0.35,"LEVE",AND(Tabla1[[#This Row],[Porcentaje de muertes]]&gt;0.35,Tabla1[[#This Row],[Porcentaje de muertes]]&lt;0.65),"MEDIO",Tabla1[[#This Row],[Porcentaje de muertes]]&gt;0.65,"GRAVE")</f>
        <v>GRAVE</v>
      </c>
    </row>
    <row r="4116" spans="2:24" x14ac:dyDescent="0.3">
      <c r="B4116" s="9">
        <v>4116</v>
      </c>
      <c r="C4116" s="49">
        <v>35917</v>
      </c>
      <c r="D4116" s="9">
        <f>YEAR(Tabla1[[#This Row],[Date]])</f>
        <v>1998</v>
      </c>
      <c r="E4116" s="9" t="str" cm="1">
        <f t="array" ref="E4116">IFERROR(_xlfn.IFS(AND(D4116&lt;1980,D4116&gt;=1970),"70",AND(D4116&lt;1990,D4116&gt;=1980),"80",AND(D4116&lt;2000,D4116&gt;=1990),"90",AND(D4116&lt;2010,D4116&gt;=2000),"00",AND(D4116&lt;=2019,D4116&gt;=2010),"10"),"1908-1970")</f>
        <v>90</v>
      </c>
      <c r="F4116" s="3">
        <v>0.50694444444444442</v>
      </c>
      <c r="G4116" t="s">
        <v>23684</v>
      </c>
      <c r="H4116" t="s">
        <v>17648</v>
      </c>
      <c r="I4116" t="s">
        <v>28931</v>
      </c>
      <c r="J4116" t="s">
        <v>28931</v>
      </c>
      <c r="K4116" t="s">
        <v>23685</v>
      </c>
      <c r="L4116" s="7" t="s">
        <v>23686</v>
      </c>
      <c r="M4116">
        <v>297</v>
      </c>
      <c r="N4116">
        <v>5</v>
      </c>
      <c r="O4116">
        <v>0</v>
      </c>
      <c r="P4116">
        <v>5</v>
      </c>
      <c r="Q4116">
        <v>5</v>
      </c>
      <c r="R4116">
        <v>0</v>
      </c>
      <c r="S4116">
        <v>5</v>
      </c>
      <c r="T4116">
        <v>0</v>
      </c>
      <c r="U4116" t="s">
        <v>23687</v>
      </c>
      <c r="V4116">
        <f>Tabla1[[#This Row],[Aboard]]-Tabla1[[#This Row],[Fatalities]]</f>
        <v>0</v>
      </c>
      <c r="W4116" s="50">
        <f>IFERROR(Tabla1[[#This Row],[Fatalities]]/Tabla1[[#This Row],[Aboard]],0)</f>
        <v>1</v>
      </c>
      <c r="X4116" s="51" t="str" cm="1">
        <f t="array" ref="X4116">_xlfn.IFS(Tabla1[[#This Row],[Porcentaje de muertes]]&lt;0.35,"LEVE",AND(Tabla1[[#This Row],[Porcentaje de muertes]]&gt;0.35,Tabla1[[#This Row],[Porcentaje de muertes]]&lt;0.65),"MEDIO",Tabla1[[#This Row],[Porcentaje de muertes]]&gt;0.65,"GRAVE")</f>
        <v>GRAVE</v>
      </c>
    </row>
    <row r="4117" spans="2:24" x14ac:dyDescent="0.3">
      <c r="B4117" s="9">
        <v>4117</v>
      </c>
      <c r="C4117" s="49">
        <v>36131</v>
      </c>
      <c r="D4117" s="9">
        <f>YEAR(Tabla1[[#This Row],[Date]])</f>
        <v>1998</v>
      </c>
      <c r="E4117" s="9" t="str" cm="1">
        <f t="array" ref="E4117">IFERROR(_xlfn.IFS(AND(D4117&lt;1980,D4117&gt;=1970),"70",AND(D4117&lt;1990,D4117&gt;=1980),"80",AND(D4117&lt;2000,D4117&gt;=1990),"90",AND(D4117&lt;2010,D4117&gt;=2000),"00",AND(D4117&lt;=2019,D4117&gt;=2010),"10"),"1908-1970")</f>
        <v>90</v>
      </c>
      <c r="F4117" s="3">
        <v>0.35416666666666669</v>
      </c>
      <c r="G4117" t="s">
        <v>23688</v>
      </c>
      <c r="H4117" t="s">
        <v>23689</v>
      </c>
      <c r="I4117" t="s">
        <v>28931</v>
      </c>
      <c r="J4117" t="s">
        <v>28931</v>
      </c>
      <c r="K4117" t="s">
        <v>20770</v>
      </c>
      <c r="L4117" s="7" t="s">
        <v>28931</v>
      </c>
      <c r="M4117" t="s">
        <v>23690</v>
      </c>
      <c r="N4117">
        <v>57</v>
      </c>
      <c r="O4117">
        <v>50</v>
      </c>
      <c r="P4117">
        <v>7</v>
      </c>
      <c r="Q4117">
        <v>27</v>
      </c>
      <c r="R4117">
        <v>24</v>
      </c>
      <c r="S4117">
        <v>3</v>
      </c>
      <c r="T4117">
        <v>0</v>
      </c>
      <c r="U4117" t="s">
        <v>23691</v>
      </c>
      <c r="V4117">
        <f>Tabla1[[#This Row],[Aboard]]-Tabla1[[#This Row],[Fatalities]]</f>
        <v>30</v>
      </c>
      <c r="W4117" s="50">
        <f>IFERROR(Tabla1[[#This Row],[Fatalities]]/Tabla1[[#This Row],[Aboard]],0)</f>
        <v>0.47368421052631576</v>
      </c>
      <c r="X4117" s="51" t="str" cm="1">
        <f t="array" ref="X4117">_xlfn.IFS(Tabla1[[#This Row],[Porcentaje de muertes]]&lt;0.35,"LEVE",AND(Tabla1[[#This Row],[Porcentaje de muertes]]&gt;0.35,Tabla1[[#This Row],[Porcentaje de muertes]]&lt;0.65),"MEDIO",Tabla1[[#This Row],[Porcentaje de muertes]]&gt;0.65,"GRAVE")</f>
        <v>MEDIO</v>
      </c>
    </row>
    <row r="4118" spans="2:24" x14ac:dyDescent="0.3">
      <c r="B4118" s="9">
        <v>4118</v>
      </c>
      <c r="C4118" s="49">
        <v>35842</v>
      </c>
      <c r="D4118" s="9">
        <f>YEAR(Tabla1[[#This Row],[Date]])</f>
        <v>1998</v>
      </c>
      <c r="E4118" s="9" t="str" cm="1">
        <f t="array" ref="E4118">IFERROR(_xlfn.IFS(AND(D4118&lt;1980,D4118&gt;=1970),"70",AND(D4118&lt;1990,D4118&gt;=1980),"80",AND(D4118&lt;2000,D4118&gt;=1990),"90",AND(D4118&lt;2010,D4118&gt;=2000),"00",AND(D4118&lt;=2019,D4118&gt;=2010),"10"),"1908-1970")</f>
        <v>90</v>
      </c>
      <c r="F4118" s="3">
        <v>0.83958333333333324</v>
      </c>
      <c r="G4118" t="s">
        <v>9664</v>
      </c>
      <c r="H4118" t="s">
        <v>15040</v>
      </c>
      <c r="I4118">
        <v>676</v>
      </c>
      <c r="J4118" t="s">
        <v>23692</v>
      </c>
      <c r="K4118" t="s">
        <v>23693</v>
      </c>
      <c r="L4118" s="7" t="s">
        <v>23694</v>
      </c>
      <c r="M4118">
        <v>578</v>
      </c>
      <c r="N4118">
        <v>196</v>
      </c>
      <c r="O4118">
        <v>182</v>
      </c>
      <c r="P4118">
        <v>14</v>
      </c>
      <c r="Q4118">
        <v>196</v>
      </c>
      <c r="R4118">
        <v>182</v>
      </c>
      <c r="S4118">
        <v>14</v>
      </c>
      <c r="T4118">
        <v>7</v>
      </c>
      <c r="U4118" t="s">
        <v>23695</v>
      </c>
      <c r="V4118">
        <f>Tabla1[[#This Row],[Aboard]]-Tabla1[[#This Row],[Fatalities]]</f>
        <v>0</v>
      </c>
      <c r="W4118" s="50">
        <f>IFERROR(Tabla1[[#This Row],[Fatalities]]/Tabla1[[#This Row],[Aboard]],0)</f>
        <v>1</v>
      </c>
      <c r="X4118" s="51" t="str" cm="1">
        <f t="array" ref="X4118">_xlfn.IFS(Tabla1[[#This Row],[Porcentaje de muertes]]&lt;0.35,"LEVE",AND(Tabla1[[#This Row],[Porcentaje de muertes]]&gt;0.35,Tabla1[[#This Row],[Porcentaje de muertes]]&lt;0.65),"MEDIO",Tabla1[[#This Row],[Porcentaje de muertes]]&gt;0.65,"GRAVE")</f>
        <v>GRAVE</v>
      </c>
    </row>
    <row r="4119" spans="2:24" x14ac:dyDescent="0.3">
      <c r="B4119" s="9">
        <v>4119</v>
      </c>
      <c r="C4119" s="49">
        <v>36071</v>
      </c>
      <c r="D4119" s="9">
        <f>YEAR(Tabla1[[#This Row],[Date]])</f>
        <v>1998</v>
      </c>
      <c r="E4119" s="9" t="str" cm="1">
        <f t="array" ref="E4119">IFERROR(_xlfn.IFS(AND(D4119&lt;1980,D4119&gt;=1970),"70",AND(D4119&lt;1990,D4119&gt;=1980),"80",AND(D4119&lt;2000,D4119&gt;=1990),"90",AND(D4119&lt;2010,D4119&gt;=2000),"00",AND(D4119&lt;=2019,D4119&gt;=2010),"10"),"1908-1970")</f>
        <v>90</v>
      </c>
      <c r="F4119" s="3">
        <v>0.69097222222222221</v>
      </c>
      <c r="G4119" t="s">
        <v>23696</v>
      </c>
      <c r="H4119" t="s">
        <v>23697</v>
      </c>
      <c r="I4119" t="s">
        <v>28931</v>
      </c>
      <c r="J4119" t="s">
        <v>23698</v>
      </c>
      <c r="K4119" t="s">
        <v>19910</v>
      </c>
      <c r="L4119" s="7" t="s">
        <v>23699</v>
      </c>
      <c r="M4119" t="s">
        <v>23700</v>
      </c>
      <c r="N4119">
        <v>6</v>
      </c>
      <c r="O4119">
        <v>0</v>
      </c>
      <c r="P4119">
        <v>6</v>
      </c>
      <c r="Q4119">
        <v>6</v>
      </c>
      <c r="R4119">
        <v>0</v>
      </c>
      <c r="S4119">
        <v>6</v>
      </c>
      <c r="T4119">
        <v>0</v>
      </c>
      <c r="U4119" t="s">
        <v>23701</v>
      </c>
      <c r="V4119">
        <f>Tabla1[[#This Row],[Aboard]]-Tabla1[[#This Row],[Fatalities]]</f>
        <v>0</v>
      </c>
      <c r="W4119" s="50">
        <f>IFERROR(Tabla1[[#This Row],[Fatalities]]/Tabla1[[#This Row],[Aboard]],0)</f>
        <v>1</v>
      </c>
      <c r="X4119" s="51" t="str" cm="1">
        <f t="array" ref="X4119">_xlfn.IFS(Tabla1[[#This Row],[Porcentaje de muertes]]&lt;0.35,"LEVE",AND(Tabla1[[#This Row],[Porcentaje de muertes]]&gt;0.35,Tabla1[[#This Row],[Porcentaje de muertes]]&lt;0.65),"MEDIO",Tabla1[[#This Row],[Porcentaje de muertes]]&gt;0.65,"GRAVE")</f>
        <v>GRAVE</v>
      </c>
    </row>
    <row r="4120" spans="2:24" x14ac:dyDescent="0.3">
      <c r="B4120" s="9">
        <v>4120</v>
      </c>
      <c r="C4120" s="49">
        <v>35872</v>
      </c>
      <c r="D4120" s="9">
        <f>YEAR(Tabla1[[#This Row],[Date]])</f>
        <v>1998</v>
      </c>
      <c r="E4120" s="9" t="str" cm="1">
        <f t="array" ref="E4120">IFERROR(_xlfn.IFS(AND(D4120&lt;1980,D4120&gt;=1970),"70",AND(D4120&lt;1990,D4120&gt;=1980),"80",AND(D4120&lt;2000,D4120&gt;=1990),"90",AND(D4120&lt;2010,D4120&gt;=2000),"00",AND(D4120&lt;=2019,D4120&gt;=2010),"10"),"1908-1970")</f>
        <v>90</v>
      </c>
      <c r="F4120" s="3">
        <v>0.81319444444444444</v>
      </c>
      <c r="G4120" t="s">
        <v>23702</v>
      </c>
      <c r="H4120" t="s">
        <v>20910</v>
      </c>
      <c r="I4120">
        <v>7623</v>
      </c>
      <c r="J4120" t="s">
        <v>23703</v>
      </c>
      <c r="K4120" t="s">
        <v>23704</v>
      </c>
      <c r="L4120" s="7" t="s">
        <v>23705</v>
      </c>
      <c r="M4120" t="s">
        <v>23706</v>
      </c>
      <c r="N4120">
        <v>13</v>
      </c>
      <c r="O4120">
        <v>8</v>
      </c>
      <c r="P4120">
        <v>5</v>
      </c>
      <c r="Q4120">
        <v>13</v>
      </c>
      <c r="R4120">
        <v>8</v>
      </c>
      <c r="S4120">
        <v>5</v>
      </c>
      <c r="T4120">
        <v>0</v>
      </c>
      <c r="U4120" t="s">
        <v>23707</v>
      </c>
      <c r="V4120">
        <f>Tabla1[[#This Row],[Aboard]]-Tabla1[[#This Row],[Fatalities]]</f>
        <v>0</v>
      </c>
      <c r="W4120" s="50">
        <f>IFERROR(Tabla1[[#This Row],[Fatalities]]/Tabla1[[#This Row],[Aboard]],0)</f>
        <v>1</v>
      </c>
      <c r="X4120" s="51" t="str" cm="1">
        <f t="array" ref="X4120">_xlfn.IFS(Tabla1[[#This Row],[Porcentaje de muertes]]&lt;0.35,"LEVE",AND(Tabla1[[#This Row],[Porcentaje de muertes]]&gt;0.35,Tabla1[[#This Row],[Porcentaje de muertes]]&lt;0.65),"MEDIO",Tabla1[[#This Row],[Porcentaje de muertes]]&gt;0.65,"GRAVE")</f>
        <v>GRAVE</v>
      </c>
    </row>
    <row r="4121" spans="2:24" x14ac:dyDescent="0.3">
      <c r="B4121" s="9">
        <v>4121</v>
      </c>
      <c r="C4121" s="49">
        <v>35873</v>
      </c>
      <c r="D4121" s="9">
        <f>YEAR(Tabla1[[#This Row],[Date]])</f>
        <v>1998</v>
      </c>
      <c r="E4121" s="9" t="str" cm="1">
        <f t="array" ref="E4121">IFERROR(_xlfn.IFS(AND(D4121&lt;1980,D4121&gt;=1970),"70",AND(D4121&lt;1990,D4121&gt;=1980),"80",AND(D4121&lt;2000,D4121&gt;=1990),"90",AND(D4121&lt;2010,D4121&gt;=2000),"00",AND(D4121&lt;=2019,D4121&gt;=2010),"10"),"1908-1970")</f>
        <v>90</v>
      </c>
      <c r="F4121" s="3">
        <v>0.58333333333333337</v>
      </c>
      <c r="G4121" t="s">
        <v>23708</v>
      </c>
      <c r="H4121" t="s">
        <v>11177</v>
      </c>
      <c r="I4121" t="s">
        <v>28931</v>
      </c>
      <c r="J4121" t="s">
        <v>23709</v>
      </c>
      <c r="K4121" t="s">
        <v>23710</v>
      </c>
      <c r="L4121" s="7" t="s">
        <v>23711</v>
      </c>
      <c r="M4121" t="s">
        <v>23712</v>
      </c>
      <c r="N4121">
        <v>45</v>
      </c>
      <c r="O4121">
        <v>32</v>
      </c>
      <c r="P4121">
        <v>13</v>
      </c>
      <c r="Q4121">
        <v>45</v>
      </c>
      <c r="R4121">
        <v>32</v>
      </c>
      <c r="S4121">
        <v>13</v>
      </c>
      <c r="T4121">
        <v>0</v>
      </c>
      <c r="U4121" t="s">
        <v>23713</v>
      </c>
      <c r="V4121">
        <f>Tabla1[[#This Row],[Aboard]]-Tabla1[[#This Row],[Fatalities]]</f>
        <v>0</v>
      </c>
      <c r="W4121" s="50">
        <f>IFERROR(Tabla1[[#This Row],[Fatalities]]/Tabla1[[#This Row],[Aboard]],0)</f>
        <v>1</v>
      </c>
      <c r="X4121" s="51" t="str" cm="1">
        <f t="array" ref="X4121">_xlfn.IFS(Tabla1[[#This Row],[Porcentaje de muertes]]&lt;0.35,"LEVE",AND(Tabla1[[#This Row],[Porcentaje de muertes]]&gt;0.35,Tabla1[[#This Row],[Porcentaje de muertes]]&lt;0.65),"MEDIO",Tabla1[[#This Row],[Porcentaje de muertes]]&gt;0.65,"GRAVE")</f>
        <v>GRAVE</v>
      </c>
    </row>
    <row r="4122" spans="2:24" x14ac:dyDescent="0.3">
      <c r="B4122" s="9">
        <v>4122</v>
      </c>
      <c r="C4122" s="49">
        <v>35876</v>
      </c>
      <c r="D4122" s="9">
        <f>YEAR(Tabla1[[#This Row],[Date]])</f>
        <v>1998</v>
      </c>
      <c r="E4122" s="9" t="str" cm="1">
        <f t="array" ref="E4122">IFERROR(_xlfn.IFS(AND(D4122&lt;1980,D4122&gt;=1970),"70",AND(D4122&lt;1990,D4122&gt;=1980),"80",AND(D4122&lt;2000,D4122&gt;=1990),"90",AND(D4122&lt;2010,D4122&gt;=2000),"00",AND(D4122&lt;=2019,D4122&gt;=2010),"10"),"1908-1970")</f>
        <v>90</v>
      </c>
      <c r="F4122" s="3">
        <v>0.8208333333333333</v>
      </c>
      <c r="G4122" t="s">
        <v>15006</v>
      </c>
      <c r="H4122" t="s">
        <v>8992</v>
      </c>
      <c r="I4122">
        <v>137</v>
      </c>
      <c r="J4122" t="s">
        <v>15891</v>
      </c>
      <c r="K4122" t="s">
        <v>23714</v>
      </c>
      <c r="L4122" s="7" t="s">
        <v>23715</v>
      </c>
      <c r="M4122">
        <v>708</v>
      </c>
      <c r="N4122">
        <v>127</v>
      </c>
      <c r="O4122">
        <v>121</v>
      </c>
      <c r="P4122">
        <v>6</v>
      </c>
      <c r="Q4122">
        <v>0</v>
      </c>
      <c r="R4122">
        <v>0</v>
      </c>
      <c r="S4122">
        <v>0</v>
      </c>
      <c r="T4122">
        <v>3</v>
      </c>
      <c r="U4122" t="s">
        <v>23716</v>
      </c>
      <c r="V4122">
        <f>Tabla1[[#This Row],[Aboard]]-Tabla1[[#This Row],[Fatalities]]</f>
        <v>127</v>
      </c>
      <c r="W4122" s="50">
        <f>IFERROR(Tabla1[[#This Row],[Fatalities]]/Tabla1[[#This Row],[Aboard]],0)</f>
        <v>0</v>
      </c>
      <c r="X4122" s="51" t="str" cm="1">
        <f t="array" ref="X4122">_xlfn.IFS(Tabla1[[#This Row],[Porcentaje de muertes]]&lt;0.35,"LEVE",AND(Tabla1[[#This Row],[Porcentaje de muertes]]&gt;0.35,Tabla1[[#This Row],[Porcentaje de muertes]]&lt;0.65),"MEDIO",Tabla1[[#This Row],[Porcentaje de muertes]]&gt;0.65,"GRAVE")</f>
        <v>LEVE</v>
      </c>
    </row>
    <row r="4123" spans="2:24" x14ac:dyDescent="0.3">
      <c r="B4123" s="9">
        <v>4123</v>
      </c>
      <c r="C4123" s="49">
        <v>35882</v>
      </c>
      <c r="D4123" s="9">
        <f>YEAR(Tabla1[[#This Row],[Date]])</f>
        <v>1998</v>
      </c>
      <c r="E4123" s="9" t="str" cm="1">
        <f t="array" ref="E4123">IFERROR(_xlfn.IFS(AND(D4123&lt;1980,D4123&gt;=1970),"70",AND(D4123&lt;1990,D4123&gt;=1980),"80",AND(D4123&lt;2000,D4123&gt;=1990),"90",AND(D4123&lt;2010,D4123&gt;=2000),"00",AND(D4123&lt;=2019,D4123&gt;=2010),"10"),"1908-1970")</f>
        <v>90</v>
      </c>
      <c r="F4123" s="3">
        <v>0.39930555555555558</v>
      </c>
      <c r="G4123" t="s">
        <v>23717</v>
      </c>
      <c r="H4123" t="s">
        <v>16081</v>
      </c>
      <c r="I4123">
        <v>388</v>
      </c>
      <c r="J4123" t="s">
        <v>23718</v>
      </c>
      <c r="K4123" t="s">
        <v>20770</v>
      </c>
      <c r="L4123" s="7" t="s">
        <v>23719</v>
      </c>
      <c r="M4123">
        <v>1203</v>
      </c>
      <c r="N4123">
        <v>55</v>
      </c>
      <c r="O4123">
        <v>50</v>
      </c>
      <c r="P4123">
        <v>5</v>
      </c>
      <c r="Q4123">
        <v>22</v>
      </c>
      <c r="R4123">
        <v>22</v>
      </c>
      <c r="S4123">
        <v>0</v>
      </c>
      <c r="T4123">
        <v>1</v>
      </c>
      <c r="U4123" t="s">
        <v>23720</v>
      </c>
      <c r="V4123">
        <f>Tabla1[[#This Row],[Aboard]]-Tabla1[[#This Row],[Fatalities]]</f>
        <v>33</v>
      </c>
      <c r="W4123" s="50">
        <f>IFERROR(Tabla1[[#This Row],[Fatalities]]/Tabla1[[#This Row],[Aboard]],0)</f>
        <v>0.4</v>
      </c>
      <c r="X4123" s="51" t="str" cm="1">
        <f t="array" ref="X4123">_xlfn.IFS(Tabla1[[#This Row],[Porcentaje de muertes]]&lt;0.35,"LEVE",AND(Tabla1[[#This Row],[Porcentaje de muertes]]&gt;0.35,Tabla1[[#This Row],[Porcentaje de muertes]]&lt;0.65),"MEDIO",Tabla1[[#This Row],[Porcentaje de muertes]]&gt;0.65,"GRAVE")</f>
        <v>MEDIO</v>
      </c>
    </row>
    <row r="4124" spans="2:24" x14ac:dyDescent="0.3">
      <c r="B4124" s="9">
        <v>4124</v>
      </c>
      <c r="C4124" s="49">
        <v>35885</v>
      </c>
      <c r="D4124" s="9">
        <f>YEAR(Tabla1[[#This Row],[Date]])</f>
        <v>1998</v>
      </c>
      <c r="E4124" s="9" t="str" cm="1">
        <f t="array" ref="E4124">IFERROR(_xlfn.IFS(AND(D4124&lt;1980,D4124&gt;=1970),"70",AND(D4124&lt;1990,D4124&gt;=1980),"80",AND(D4124&lt;2000,D4124&gt;=1990),"90",AND(D4124&lt;2010,D4124&gt;=2000),"00",AND(D4124&lt;=2019,D4124&gt;=2010),"10"),"1908-1970")</f>
        <v>90</v>
      </c>
      <c r="F4124" s="3" t="s">
        <v>28931</v>
      </c>
      <c r="G4124" t="s">
        <v>14837</v>
      </c>
      <c r="H4124" t="s">
        <v>23721</v>
      </c>
      <c r="I4124" t="s">
        <v>28931</v>
      </c>
      <c r="J4124" t="s">
        <v>28931</v>
      </c>
      <c r="K4124" t="s">
        <v>23722</v>
      </c>
      <c r="L4124" s="7" t="s">
        <v>23723</v>
      </c>
      <c r="M4124" t="s">
        <v>23724</v>
      </c>
      <c r="N4124">
        <v>4</v>
      </c>
      <c r="O4124">
        <v>0</v>
      </c>
      <c r="P4124">
        <v>4</v>
      </c>
      <c r="Q4124">
        <v>2</v>
      </c>
      <c r="R4124">
        <v>0</v>
      </c>
      <c r="S4124">
        <v>2</v>
      </c>
      <c r="T4124">
        <v>0</v>
      </c>
      <c r="U4124" t="s">
        <v>23725</v>
      </c>
      <c r="V4124">
        <f>Tabla1[[#This Row],[Aboard]]-Tabla1[[#This Row],[Fatalities]]</f>
        <v>2</v>
      </c>
      <c r="W4124" s="50">
        <f>IFERROR(Tabla1[[#This Row],[Fatalities]]/Tabla1[[#This Row],[Aboard]],0)</f>
        <v>0.5</v>
      </c>
      <c r="X4124" s="51" t="str" cm="1">
        <f t="array" ref="X4124">_xlfn.IFS(Tabla1[[#This Row],[Porcentaje de muertes]]&lt;0.35,"LEVE",AND(Tabla1[[#This Row],[Porcentaje de muertes]]&gt;0.35,Tabla1[[#This Row],[Porcentaje de muertes]]&lt;0.65),"MEDIO",Tabla1[[#This Row],[Porcentaje de muertes]]&gt;0.65,"GRAVE")</f>
        <v>MEDIO</v>
      </c>
    </row>
    <row r="4125" spans="2:24" x14ac:dyDescent="0.3">
      <c r="B4125" s="9">
        <v>4125</v>
      </c>
      <c r="C4125" s="49">
        <v>35905</v>
      </c>
      <c r="D4125" s="9">
        <f>YEAR(Tabla1[[#This Row],[Date]])</f>
        <v>1998</v>
      </c>
      <c r="E4125" s="9" t="str" cm="1">
        <f t="array" ref="E4125">IFERROR(_xlfn.IFS(AND(D4125&lt;1980,D4125&gt;=1970),"70",AND(D4125&lt;1990,D4125&gt;=1980),"80",AND(D4125&lt;2000,D4125&gt;=1990),"90",AND(D4125&lt;2010,D4125&gt;=2000),"00",AND(D4125&lt;=2019,D4125&gt;=2010),"10"),"1908-1970")</f>
        <v>90</v>
      </c>
      <c r="F4125" s="3">
        <v>0.69930555555555562</v>
      </c>
      <c r="G4125" t="s">
        <v>9027</v>
      </c>
      <c r="H4125" t="s">
        <v>6375</v>
      </c>
      <c r="I4125">
        <v>422</v>
      </c>
      <c r="J4125" t="s">
        <v>12991</v>
      </c>
      <c r="K4125" t="s">
        <v>23726</v>
      </c>
      <c r="L4125" s="7" t="s">
        <v>23727</v>
      </c>
      <c r="M4125" t="s">
        <v>23728</v>
      </c>
      <c r="N4125">
        <v>53</v>
      </c>
      <c r="O4125">
        <v>43</v>
      </c>
      <c r="P4125">
        <v>10</v>
      </c>
      <c r="Q4125">
        <v>53</v>
      </c>
      <c r="R4125">
        <v>43</v>
      </c>
      <c r="S4125">
        <v>10</v>
      </c>
      <c r="T4125">
        <v>0</v>
      </c>
      <c r="U4125" t="s">
        <v>23729</v>
      </c>
      <c r="V4125">
        <f>Tabla1[[#This Row],[Aboard]]-Tabla1[[#This Row],[Fatalities]]</f>
        <v>0</v>
      </c>
      <c r="W4125" s="50">
        <f>IFERROR(Tabla1[[#This Row],[Fatalities]]/Tabla1[[#This Row],[Aboard]],0)</f>
        <v>1</v>
      </c>
      <c r="X4125" s="51" t="str" cm="1">
        <f t="array" ref="X4125">_xlfn.IFS(Tabla1[[#This Row],[Porcentaje de muertes]]&lt;0.35,"LEVE",AND(Tabla1[[#This Row],[Porcentaje de muertes]]&gt;0.35,Tabla1[[#This Row],[Porcentaje de muertes]]&lt;0.65),"MEDIO",Tabla1[[#This Row],[Porcentaje de muertes]]&gt;0.65,"GRAVE")</f>
        <v>GRAVE</v>
      </c>
    </row>
    <row r="4126" spans="2:24" x14ac:dyDescent="0.3">
      <c r="B4126" s="9">
        <v>4126</v>
      </c>
      <c r="C4126" s="49">
        <v>35920</v>
      </c>
      <c r="D4126" s="9">
        <f>YEAR(Tabla1[[#This Row],[Date]])</f>
        <v>1998</v>
      </c>
      <c r="E4126" s="9" t="str" cm="1">
        <f t="array" ref="E4126">IFERROR(_xlfn.IFS(AND(D4126&lt;1980,D4126&gt;=1970),"70",AND(D4126&lt;1990,D4126&gt;=1980),"80",AND(D4126&lt;2000,D4126&gt;=1990),"90",AND(D4126&lt;2010,D4126&gt;=2000),"00",AND(D4126&lt;=2019,D4126&gt;=2010),"10"),"1908-1970")</f>
        <v>90</v>
      </c>
      <c r="F4126" s="3">
        <v>0.89583333333333337</v>
      </c>
      <c r="G4126" t="s">
        <v>23730</v>
      </c>
      <c r="H4126" t="s">
        <v>16081</v>
      </c>
      <c r="I4126" t="s">
        <v>28931</v>
      </c>
      <c r="J4126" t="s">
        <v>23731</v>
      </c>
      <c r="K4126" t="s">
        <v>23732</v>
      </c>
      <c r="L4126" s="7" t="s">
        <v>23733</v>
      </c>
      <c r="M4126" t="s">
        <v>23734</v>
      </c>
      <c r="N4126">
        <v>88</v>
      </c>
      <c r="O4126">
        <v>81</v>
      </c>
      <c r="P4126">
        <v>7</v>
      </c>
      <c r="Q4126">
        <v>75</v>
      </c>
      <c r="R4126">
        <v>69</v>
      </c>
      <c r="S4126">
        <v>6</v>
      </c>
      <c r="T4126">
        <v>0</v>
      </c>
      <c r="U4126" t="s">
        <v>23735</v>
      </c>
      <c r="V4126">
        <f>Tabla1[[#This Row],[Aboard]]-Tabla1[[#This Row],[Fatalities]]</f>
        <v>13</v>
      </c>
      <c r="W4126" s="50">
        <f>IFERROR(Tabla1[[#This Row],[Fatalities]]/Tabla1[[#This Row],[Aboard]],0)</f>
        <v>0.85227272727272729</v>
      </c>
      <c r="X4126" s="51" t="str" cm="1">
        <f t="array" ref="X4126">_xlfn.IFS(Tabla1[[#This Row],[Porcentaje de muertes]]&lt;0.35,"LEVE",AND(Tabla1[[#This Row],[Porcentaje de muertes]]&gt;0.35,Tabla1[[#This Row],[Porcentaje de muertes]]&lt;0.65),"MEDIO",Tabla1[[#This Row],[Porcentaje de muertes]]&gt;0.65,"GRAVE")</f>
        <v>GRAVE</v>
      </c>
    </row>
    <row r="4127" spans="2:24" x14ac:dyDescent="0.3">
      <c r="B4127" s="9">
        <v>4127</v>
      </c>
      <c r="C4127" s="49">
        <v>36134</v>
      </c>
      <c r="D4127" s="9">
        <f>YEAR(Tabla1[[#This Row],[Date]])</f>
        <v>1998</v>
      </c>
      <c r="E4127" s="9" t="str" cm="1">
        <f t="array" ref="E4127">IFERROR(_xlfn.IFS(AND(D4127&lt;1980,D4127&gt;=1970),"70",AND(D4127&lt;1990,D4127&gt;=1980),"80",AND(D4127&lt;2000,D4127&gt;=1990),"90",AND(D4127&lt;2010,D4127&gt;=2000),"00",AND(D4127&lt;=2019,D4127&gt;=2010),"10"),"1908-1970")</f>
        <v>90</v>
      </c>
      <c r="F4127" s="3">
        <v>0.8125</v>
      </c>
      <c r="G4127" t="s">
        <v>23736</v>
      </c>
      <c r="H4127" t="s">
        <v>18403</v>
      </c>
      <c r="I4127" t="s">
        <v>28931</v>
      </c>
      <c r="J4127" t="s">
        <v>23737</v>
      </c>
      <c r="K4127" t="s">
        <v>23738</v>
      </c>
      <c r="L4127" s="7" t="s">
        <v>23739</v>
      </c>
      <c r="M4127" t="s">
        <v>23740</v>
      </c>
      <c r="N4127">
        <v>42</v>
      </c>
      <c r="O4127">
        <v>35</v>
      </c>
      <c r="P4127">
        <v>7</v>
      </c>
      <c r="Q4127">
        <v>39</v>
      </c>
      <c r="R4127">
        <v>32</v>
      </c>
      <c r="S4127">
        <v>7</v>
      </c>
      <c r="T4127">
        <v>0</v>
      </c>
      <c r="U4127" t="s">
        <v>23741</v>
      </c>
      <c r="V4127">
        <f>Tabla1[[#This Row],[Aboard]]-Tabla1[[#This Row],[Fatalities]]</f>
        <v>3</v>
      </c>
      <c r="W4127" s="50">
        <f>IFERROR(Tabla1[[#This Row],[Fatalities]]/Tabla1[[#This Row],[Aboard]],0)</f>
        <v>0.9285714285714286</v>
      </c>
      <c r="X4127" s="51" t="str" cm="1">
        <f t="array" ref="X4127">_xlfn.IFS(Tabla1[[#This Row],[Porcentaje de muertes]]&lt;0.35,"LEVE",AND(Tabla1[[#This Row],[Porcentaje de muertes]]&gt;0.35,Tabla1[[#This Row],[Porcentaje de muertes]]&lt;0.65),"MEDIO",Tabla1[[#This Row],[Porcentaje de muertes]]&gt;0.65,"GRAVE")</f>
        <v>GRAVE</v>
      </c>
    </row>
    <row r="4128" spans="2:24" x14ac:dyDescent="0.3">
      <c r="B4128" s="9">
        <v>4128</v>
      </c>
      <c r="C4128" s="49">
        <v>35940</v>
      </c>
      <c r="D4128" s="9">
        <f>YEAR(Tabla1[[#This Row],[Date]])</f>
        <v>1998</v>
      </c>
      <c r="E4128" s="9" t="str" cm="1">
        <f t="array" ref="E4128">IFERROR(_xlfn.IFS(AND(D4128&lt;1980,D4128&gt;=1970),"70",AND(D4128&lt;1990,D4128&gt;=1980),"80",AND(D4128&lt;2000,D4128&gt;=1990),"90",AND(D4128&lt;2010,D4128&gt;=2000),"00",AND(D4128&lt;=2019,D4128&gt;=2010),"10"),"1908-1970")</f>
        <v>90</v>
      </c>
      <c r="F4128" s="3">
        <v>0.43055555555555558</v>
      </c>
      <c r="G4128" t="s">
        <v>23742</v>
      </c>
      <c r="H4128" t="s">
        <v>23743</v>
      </c>
      <c r="I4128" t="s">
        <v>28931</v>
      </c>
      <c r="J4128" t="s">
        <v>23744</v>
      </c>
      <c r="K4128" t="s">
        <v>15961</v>
      </c>
      <c r="L4128" s="7">
        <v>34001</v>
      </c>
      <c r="M4128">
        <v>9431835</v>
      </c>
      <c r="N4128">
        <v>26</v>
      </c>
      <c r="O4128">
        <v>20</v>
      </c>
      <c r="P4128">
        <v>6</v>
      </c>
      <c r="Q4128">
        <v>26</v>
      </c>
      <c r="R4128">
        <v>20</v>
      </c>
      <c r="S4128">
        <v>6</v>
      </c>
      <c r="T4128">
        <v>0</v>
      </c>
      <c r="U4128" t="s">
        <v>23745</v>
      </c>
      <c r="V4128">
        <f>Tabla1[[#This Row],[Aboard]]-Tabla1[[#This Row],[Fatalities]]</f>
        <v>0</v>
      </c>
      <c r="W4128" s="50">
        <f>IFERROR(Tabla1[[#This Row],[Fatalities]]/Tabla1[[#This Row],[Aboard]],0)</f>
        <v>1</v>
      </c>
      <c r="X4128" s="51" t="str" cm="1">
        <f t="array" ref="X4128">_xlfn.IFS(Tabla1[[#This Row],[Porcentaje de muertes]]&lt;0.35,"LEVE",AND(Tabla1[[#This Row],[Porcentaje de muertes]]&gt;0.35,Tabla1[[#This Row],[Porcentaje de muertes]]&lt;0.65),"MEDIO",Tabla1[[#This Row],[Porcentaje de muertes]]&gt;0.65,"GRAVE")</f>
        <v>GRAVE</v>
      </c>
    </row>
    <row r="4129" spans="2:24" x14ac:dyDescent="0.3">
      <c r="B4129" s="9">
        <v>4129</v>
      </c>
      <c r="C4129" s="49">
        <v>35940</v>
      </c>
      <c r="D4129" s="9">
        <f>YEAR(Tabla1[[#This Row],[Date]])</f>
        <v>1998</v>
      </c>
      <c r="E4129" s="9" t="str" cm="1">
        <f t="array" ref="E4129">IFERROR(_xlfn.IFS(AND(D4129&lt;1980,D4129&gt;=1970),"70",AND(D4129&lt;1990,D4129&gt;=1980),"80",AND(D4129&lt;2000,D4129&gt;=1990),"90",AND(D4129&lt;2010,D4129&gt;=2000),"00",AND(D4129&lt;=2019,D4129&gt;=2010),"10"),"1908-1970")</f>
        <v>90</v>
      </c>
      <c r="F4129" s="3">
        <v>2.2222222222222223E-2</v>
      </c>
      <c r="G4129" t="s">
        <v>23746</v>
      </c>
      <c r="H4129" t="s">
        <v>23747</v>
      </c>
      <c r="I4129" t="s">
        <v>28931</v>
      </c>
      <c r="J4129" t="s">
        <v>23748</v>
      </c>
      <c r="K4129" t="s">
        <v>23749</v>
      </c>
      <c r="L4129" s="7" t="s">
        <v>23750</v>
      </c>
      <c r="M4129" t="s">
        <v>28931</v>
      </c>
      <c r="N4129">
        <v>5</v>
      </c>
      <c r="O4129">
        <v>4</v>
      </c>
      <c r="P4129">
        <v>1</v>
      </c>
      <c r="Q4129">
        <v>5</v>
      </c>
      <c r="R4129">
        <v>4</v>
      </c>
      <c r="S4129">
        <v>1</v>
      </c>
      <c r="T4129">
        <v>0</v>
      </c>
      <c r="U4129" t="s">
        <v>23751</v>
      </c>
      <c r="V4129">
        <f>Tabla1[[#This Row],[Aboard]]-Tabla1[[#This Row],[Fatalities]]</f>
        <v>0</v>
      </c>
      <c r="W4129" s="50">
        <f>IFERROR(Tabla1[[#This Row],[Fatalities]]/Tabla1[[#This Row],[Aboard]],0)</f>
        <v>1</v>
      </c>
      <c r="X4129" s="51" t="str" cm="1">
        <f t="array" ref="X4129">_xlfn.IFS(Tabla1[[#This Row],[Porcentaje de muertes]]&lt;0.35,"LEVE",AND(Tabla1[[#This Row],[Porcentaje de muertes]]&gt;0.35,Tabla1[[#This Row],[Porcentaje de muertes]]&lt;0.65),"MEDIO",Tabla1[[#This Row],[Porcentaje de muertes]]&gt;0.65,"GRAVE")</f>
        <v>GRAVE</v>
      </c>
    </row>
    <row r="4130" spans="2:24" x14ac:dyDescent="0.3">
      <c r="B4130" s="9">
        <v>4130</v>
      </c>
      <c r="C4130" s="49">
        <v>35941</v>
      </c>
      <c r="D4130" s="9">
        <f>YEAR(Tabla1[[#This Row],[Date]])</f>
        <v>1998</v>
      </c>
      <c r="E4130" s="9" t="str" cm="1">
        <f t="array" ref="E4130">IFERROR(_xlfn.IFS(AND(D4130&lt;1980,D4130&gt;=1970),"70",AND(D4130&lt;1990,D4130&gt;=1980),"80",AND(D4130&lt;2000,D4130&gt;=1990),"90",AND(D4130&lt;2010,D4130&gt;=2000),"00",AND(D4130&lt;=2019,D4130&gt;=2010),"10"),"1908-1970")</f>
        <v>90</v>
      </c>
      <c r="F4130" s="3">
        <v>0.39583333333333331</v>
      </c>
      <c r="G4130" t="s">
        <v>23752</v>
      </c>
      <c r="H4130" t="s">
        <v>21210</v>
      </c>
      <c r="I4130" t="s">
        <v>28931</v>
      </c>
      <c r="J4130" t="s">
        <v>23753</v>
      </c>
      <c r="K4130" t="s">
        <v>23498</v>
      </c>
      <c r="L4130" s="7" t="s">
        <v>23754</v>
      </c>
      <c r="M4130" t="s">
        <v>28931</v>
      </c>
      <c r="N4130">
        <v>28</v>
      </c>
      <c r="O4130">
        <v>26</v>
      </c>
      <c r="P4130">
        <v>2</v>
      </c>
      <c r="Q4130">
        <v>28</v>
      </c>
      <c r="R4130">
        <v>26</v>
      </c>
      <c r="S4130">
        <v>2</v>
      </c>
      <c r="T4130">
        <v>0</v>
      </c>
      <c r="U4130" t="s">
        <v>23755</v>
      </c>
      <c r="V4130">
        <f>Tabla1[[#This Row],[Aboard]]-Tabla1[[#This Row],[Fatalities]]</f>
        <v>0</v>
      </c>
      <c r="W4130" s="50">
        <f>IFERROR(Tabla1[[#This Row],[Fatalities]]/Tabla1[[#This Row],[Aboard]],0)</f>
        <v>1</v>
      </c>
      <c r="X4130" s="51" t="str" cm="1">
        <f t="array" ref="X4130">_xlfn.IFS(Tabla1[[#This Row],[Porcentaje de muertes]]&lt;0.35,"LEVE",AND(Tabla1[[#This Row],[Porcentaje de muertes]]&gt;0.35,Tabla1[[#This Row],[Porcentaje de muertes]]&lt;0.65),"MEDIO",Tabla1[[#This Row],[Porcentaje de muertes]]&gt;0.65,"GRAVE")</f>
        <v>GRAVE</v>
      </c>
    </row>
    <row r="4131" spans="2:24" x14ac:dyDescent="0.3">
      <c r="B4131" s="9">
        <v>4131</v>
      </c>
      <c r="C4131" s="49">
        <v>35964</v>
      </c>
      <c r="D4131" s="9">
        <f>YEAR(Tabla1[[#This Row],[Date]])</f>
        <v>1998</v>
      </c>
      <c r="E4131" s="9" t="str" cm="1">
        <f t="array" ref="E4131">IFERROR(_xlfn.IFS(AND(D4131&lt;1980,D4131&gt;=1970),"70",AND(D4131&lt;1990,D4131&gt;=1980),"80",AND(D4131&lt;2000,D4131&gt;=1990),"90",AND(D4131&lt;2010,D4131&gt;=2000),"00",AND(D4131&lt;=2019,D4131&gt;=2010),"10"),"1908-1970")</f>
        <v>90</v>
      </c>
      <c r="F4131" s="3">
        <v>0.31111111111111112</v>
      </c>
      <c r="G4131" t="s">
        <v>8096</v>
      </c>
      <c r="H4131" t="s">
        <v>23756</v>
      </c>
      <c r="I4131">
        <v>420</v>
      </c>
      <c r="J4131" t="s">
        <v>23757</v>
      </c>
      <c r="K4131" t="s">
        <v>23758</v>
      </c>
      <c r="L4131" s="7" t="s">
        <v>23759</v>
      </c>
      <c r="M4131" t="s">
        <v>23760</v>
      </c>
      <c r="N4131">
        <v>11</v>
      </c>
      <c r="O4131">
        <v>9</v>
      </c>
      <c r="P4131">
        <v>2</v>
      </c>
      <c r="Q4131">
        <v>11</v>
      </c>
      <c r="R4131">
        <v>9</v>
      </c>
      <c r="S4131">
        <v>2</v>
      </c>
      <c r="T4131">
        <v>0</v>
      </c>
      <c r="U4131" t="s">
        <v>23761</v>
      </c>
      <c r="V4131">
        <f>Tabla1[[#This Row],[Aboard]]-Tabla1[[#This Row],[Fatalities]]</f>
        <v>0</v>
      </c>
      <c r="W4131" s="50">
        <f>IFERROR(Tabla1[[#This Row],[Fatalities]]/Tabla1[[#This Row],[Aboard]],0)</f>
        <v>1</v>
      </c>
      <c r="X4131" s="51" t="str" cm="1">
        <f t="array" ref="X4131">_xlfn.IFS(Tabla1[[#This Row],[Porcentaje de muertes]]&lt;0.35,"LEVE",AND(Tabla1[[#This Row],[Porcentaje de muertes]]&gt;0.35,Tabla1[[#This Row],[Porcentaje de muertes]]&lt;0.65),"MEDIO",Tabla1[[#This Row],[Porcentaje de muertes]]&gt;0.65,"GRAVE")</f>
        <v>GRAVE</v>
      </c>
    </row>
    <row r="4132" spans="2:24" x14ac:dyDescent="0.3">
      <c r="B4132" s="9">
        <v>4132</v>
      </c>
      <c r="C4132" s="49">
        <v>35971</v>
      </c>
      <c r="D4132" s="9">
        <f>YEAR(Tabla1[[#This Row],[Date]])</f>
        <v>1998</v>
      </c>
      <c r="E4132" s="9" t="str" cm="1">
        <f t="array" ref="E4132">IFERROR(_xlfn.IFS(AND(D4132&lt;1980,D4132&gt;=1970),"70",AND(D4132&lt;1990,D4132&gt;=1980),"80",AND(D4132&lt;2000,D4132&gt;=1990),"90",AND(D4132&lt;2010,D4132&gt;=2000),"00",AND(D4132&lt;=2019,D4132&gt;=2010),"10"),"1908-1970")</f>
        <v>90</v>
      </c>
      <c r="F4132" s="3">
        <v>0.3972222222222222</v>
      </c>
      <c r="G4132" t="s">
        <v>23762</v>
      </c>
      <c r="H4132" t="s">
        <v>23763</v>
      </c>
      <c r="I4132" t="s">
        <v>28931</v>
      </c>
      <c r="J4132" t="s">
        <v>5494</v>
      </c>
      <c r="K4132" t="s">
        <v>23764</v>
      </c>
      <c r="L4132" s="7" t="s">
        <v>23765</v>
      </c>
      <c r="M4132">
        <v>2735</v>
      </c>
      <c r="N4132">
        <v>6</v>
      </c>
      <c r="O4132">
        <v>4</v>
      </c>
      <c r="P4132">
        <v>2</v>
      </c>
      <c r="Q4132">
        <v>6</v>
      </c>
      <c r="R4132">
        <v>4</v>
      </c>
      <c r="S4132">
        <v>2</v>
      </c>
      <c r="T4132">
        <v>0</v>
      </c>
      <c r="U4132" t="s">
        <v>23766</v>
      </c>
      <c r="V4132">
        <f>Tabla1[[#This Row],[Aboard]]-Tabla1[[#This Row],[Fatalities]]</f>
        <v>0</v>
      </c>
      <c r="W4132" s="50">
        <f>IFERROR(Tabla1[[#This Row],[Fatalities]]/Tabla1[[#This Row],[Aboard]],0)</f>
        <v>1</v>
      </c>
      <c r="X4132" s="51" t="str" cm="1">
        <f t="array" ref="X4132">_xlfn.IFS(Tabla1[[#This Row],[Porcentaje de muertes]]&lt;0.35,"LEVE",AND(Tabla1[[#This Row],[Porcentaje de muertes]]&gt;0.35,Tabla1[[#This Row],[Porcentaje de muertes]]&lt;0.65),"MEDIO",Tabla1[[#This Row],[Porcentaje de muertes]]&gt;0.65,"GRAVE")</f>
        <v>GRAVE</v>
      </c>
    </row>
    <row r="4133" spans="2:24" x14ac:dyDescent="0.3">
      <c r="B4133" s="9">
        <v>4133</v>
      </c>
      <c r="C4133" s="49">
        <v>35989</v>
      </c>
      <c r="D4133" s="9">
        <f>YEAR(Tabla1[[#This Row],[Date]])</f>
        <v>1998</v>
      </c>
      <c r="E4133" s="9" t="str" cm="1">
        <f t="array" ref="E4133">IFERROR(_xlfn.IFS(AND(D4133&lt;1980,D4133&gt;=1970),"70",AND(D4133&lt;1990,D4133&gt;=1980),"80",AND(D4133&lt;2000,D4133&gt;=1990),"90",AND(D4133&lt;2010,D4133&gt;=2000),"00",AND(D4133&lt;=2019,D4133&gt;=2010),"10"),"1908-1970")</f>
        <v>90</v>
      </c>
      <c r="F4133" s="3">
        <v>0.96875</v>
      </c>
      <c r="G4133" t="s">
        <v>23767</v>
      </c>
      <c r="H4133" t="s">
        <v>23768</v>
      </c>
      <c r="I4133" t="s">
        <v>28931</v>
      </c>
      <c r="J4133" t="s">
        <v>23769</v>
      </c>
      <c r="K4133" t="s">
        <v>23173</v>
      </c>
      <c r="L4133" s="7" t="s">
        <v>23770</v>
      </c>
      <c r="M4133">
        <v>63470096</v>
      </c>
      <c r="N4133">
        <v>8</v>
      </c>
      <c r="O4133">
        <v>0</v>
      </c>
      <c r="P4133">
        <v>8</v>
      </c>
      <c r="Q4133">
        <v>8</v>
      </c>
      <c r="R4133">
        <v>0</v>
      </c>
      <c r="S4133">
        <v>8</v>
      </c>
      <c r="T4133">
        <v>0</v>
      </c>
      <c r="U4133" t="s">
        <v>23771</v>
      </c>
      <c r="V4133">
        <f>Tabla1[[#This Row],[Aboard]]-Tabla1[[#This Row],[Fatalities]]</f>
        <v>0</v>
      </c>
      <c r="W4133" s="50">
        <f>IFERROR(Tabla1[[#This Row],[Fatalities]]/Tabla1[[#This Row],[Aboard]],0)</f>
        <v>1</v>
      </c>
      <c r="X4133" s="51" t="str" cm="1">
        <f t="array" ref="X4133">_xlfn.IFS(Tabla1[[#This Row],[Porcentaje de muertes]]&lt;0.35,"LEVE",AND(Tabla1[[#This Row],[Porcentaje de muertes]]&gt;0.35,Tabla1[[#This Row],[Porcentaje de muertes]]&lt;0.65),"MEDIO",Tabla1[[#This Row],[Porcentaje de muertes]]&gt;0.65,"GRAVE")</f>
        <v>GRAVE</v>
      </c>
    </row>
    <row r="4134" spans="2:24" x14ac:dyDescent="0.3">
      <c r="B4134" s="9">
        <v>4134</v>
      </c>
      <c r="C4134" s="49">
        <v>35992</v>
      </c>
      <c r="D4134" s="9">
        <f>YEAR(Tabla1[[#This Row],[Date]])</f>
        <v>1998</v>
      </c>
      <c r="E4134" s="9" t="str" cm="1">
        <f t="array" ref="E4134">IFERROR(_xlfn.IFS(AND(D4134&lt;1980,D4134&gt;=1970),"70",AND(D4134&lt;1990,D4134&gt;=1980),"80",AND(D4134&lt;2000,D4134&gt;=1990),"90",AND(D4134&lt;2010,D4134&gt;=2000),"00",AND(D4134&lt;=2019,D4134&gt;=2010),"10"),"1908-1970")</f>
        <v>90</v>
      </c>
      <c r="F4134" s="3">
        <v>0.90347222222222223</v>
      </c>
      <c r="G4134" t="s">
        <v>23772</v>
      </c>
      <c r="H4134" t="s">
        <v>23773</v>
      </c>
      <c r="I4134" t="s">
        <v>28931</v>
      </c>
      <c r="J4134" t="s">
        <v>23774</v>
      </c>
      <c r="K4134" t="s">
        <v>23775</v>
      </c>
      <c r="L4134" s="7" t="s">
        <v>23776</v>
      </c>
      <c r="M4134" t="s">
        <v>23777</v>
      </c>
      <c r="N4134">
        <v>3</v>
      </c>
      <c r="O4134">
        <v>1</v>
      </c>
      <c r="P4134">
        <v>2</v>
      </c>
      <c r="Q4134">
        <v>3</v>
      </c>
      <c r="R4134">
        <v>1</v>
      </c>
      <c r="S4134">
        <v>2</v>
      </c>
      <c r="T4134">
        <v>0</v>
      </c>
      <c r="U4134" t="s">
        <v>23778</v>
      </c>
      <c r="V4134">
        <f>Tabla1[[#This Row],[Aboard]]-Tabla1[[#This Row],[Fatalities]]</f>
        <v>0</v>
      </c>
      <c r="W4134" s="50">
        <f>IFERROR(Tabla1[[#This Row],[Fatalities]]/Tabla1[[#This Row],[Aboard]],0)</f>
        <v>1</v>
      </c>
      <c r="X4134" s="51" t="str" cm="1">
        <f t="array" ref="X4134">_xlfn.IFS(Tabla1[[#This Row],[Porcentaje de muertes]]&lt;0.35,"LEVE",AND(Tabla1[[#This Row],[Porcentaje de muertes]]&gt;0.35,Tabla1[[#This Row],[Porcentaje de muertes]]&lt;0.65),"MEDIO",Tabla1[[#This Row],[Porcentaje de muertes]]&gt;0.65,"GRAVE")</f>
        <v>GRAVE</v>
      </c>
    </row>
    <row r="4135" spans="2:24" x14ac:dyDescent="0.3">
      <c r="B4135" s="9">
        <v>4135</v>
      </c>
      <c r="C4135" s="49">
        <v>35993</v>
      </c>
      <c r="D4135" s="9">
        <f>YEAR(Tabla1[[#This Row],[Date]])</f>
        <v>1998</v>
      </c>
      <c r="E4135" s="9" t="str" cm="1">
        <f t="array" ref="E4135">IFERROR(_xlfn.IFS(AND(D4135&lt;1980,D4135&gt;=1970),"70",AND(D4135&lt;1990,D4135&gt;=1980),"80",AND(D4135&lt;2000,D4135&gt;=1990),"90",AND(D4135&lt;2010,D4135&gt;=2000),"00",AND(D4135&lt;=2019,D4135&gt;=2010),"10"),"1908-1970")</f>
        <v>90</v>
      </c>
      <c r="F4135" s="3">
        <v>0.17708333333333334</v>
      </c>
      <c r="G4135" t="s">
        <v>23779</v>
      </c>
      <c r="H4135" t="s">
        <v>23780</v>
      </c>
      <c r="I4135" t="s">
        <v>28931</v>
      </c>
      <c r="J4135" t="s">
        <v>23781</v>
      </c>
      <c r="K4135" t="s">
        <v>23782</v>
      </c>
      <c r="L4135" s="7" t="s">
        <v>23783</v>
      </c>
      <c r="M4135">
        <v>83481440</v>
      </c>
      <c r="N4135">
        <v>10</v>
      </c>
      <c r="O4135">
        <v>1</v>
      </c>
      <c r="P4135">
        <v>9</v>
      </c>
      <c r="Q4135">
        <v>10</v>
      </c>
      <c r="R4135">
        <v>1</v>
      </c>
      <c r="S4135">
        <v>9</v>
      </c>
      <c r="T4135">
        <v>0</v>
      </c>
      <c r="U4135" t="s">
        <v>23784</v>
      </c>
      <c r="V4135">
        <f>Tabla1[[#This Row],[Aboard]]-Tabla1[[#This Row],[Fatalities]]</f>
        <v>0</v>
      </c>
      <c r="W4135" s="50">
        <f>IFERROR(Tabla1[[#This Row],[Fatalities]]/Tabla1[[#This Row],[Aboard]],0)</f>
        <v>1</v>
      </c>
      <c r="X4135" s="51" t="str" cm="1">
        <f t="array" ref="X4135">_xlfn.IFS(Tabla1[[#This Row],[Porcentaje de muertes]]&lt;0.35,"LEVE",AND(Tabla1[[#This Row],[Porcentaje de muertes]]&gt;0.35,Tabla1[[#This Row],[Porcentaje de muertes]]&lt;0.65),"MEDIO",Tabla1[[#This Row],[Porcentaje de muertes]]&gt;0.65,"GRAVE")</f>
        <v>GRAVE</v>
      </c>
    </row>
    <row r="4136" spans="2:24" x14ac:dyDescent="0.3">
      <c r="B4136" s="9">
        <v>4136</v>
      </c>
      <c r="C4136" s="49">
        <v>35999</v>
      </c>
      <c r="D4136" s="9">
        <f>YEAR(Tabla1[[#This Row],[Date]])</f>
        <v>1998</v>
      </c>
      <c r="E4136" s="9" t="str" cm="1">
        <f t="array" ref="E4136">IFERROR(_xlfn.IFS(AND(D4136&lt;1980,D4136&gt;=1970),"70",AND(D4136&lt;1990,D4136&gt;=1980),"80",AND(D4136&lt;2000,D4136&gt;=1990),"90",AND(D4136&lt;2010,D4136&gt;=2000),"00",AND(D4136&lt;=2019,D4136&gt;=2010),"10"),"1908-1970")</f>
        <v>90</v>
      </c>
      <c r="F4136" s="3" t="s">
        <v>28931</v>
      </c>
      <c r="G4136" t="s">
        <v>23785</v>
      </c>
      <c r="H4136" t="s">
        <v>8970</v>
      </c>
      <c r="I4136" t="s">
        <v>28931</v>
      </c>
      <c r="J4136" t="s">
        <v>23786</v>
      </c>
      <c r="K4136" t="s">
        <v>20425</v>
      </c>
      <c r="L4136" s="7" t="s">
        <v>23787</v>
      </c>
      <c r="M4136" t="s">
        <v>23788</v>
      </c>
      <c r="N4136">
        <v>4</v>
      </c>
      <c r="O4136">
        <v>0</v>
      </c>
      <c r="P4136">
        <v>4</v>
      </c>
      <c r="Q4136">
        <v>4</v>
      </c>
      <c r="R4136">
        <v>0</v>
      </c>
      <c r="S4136">
        <v>4</v>
      </c>
      <c r="T4136">
        <v>0</v>
      </c>
      <c r="U4136" t="s">
        <v>23789</v>
      </c>
      <c r="V4136">
        <f>Tabla1[[#This Row],[Aboard]]-Tabla1[[#This Row],[Fatalities]]</f>
        <v>0</v>
      </c>
      <c r="W4136" s="50">
        <f>IFERROR(Tabla1[[#This Row],[Fatalities]]/Tabla1[[#This Row],[Aboard]],0)</f>
        <v>1</v>
      </c>
      <c r="X4136" s="51" t="str" cm="1">
        <f t="array" ref="X4136">_xlfn.IFS(Tabla1[[#This Row],[Porcentaje de muertes]]&lt;0.35,"LEVE",AND(Tabla1[[#This Row],[Porcentaje de muertes]]&gt;0.35,Tabla1[[#This Row],[Porcentaje de muertes]]&lt;0.65),"MEDIO",Tabla1[[#This Row],[Porcentaje de muertes]]&gt;0.65,"GRAVE")</f>
        <v>GRAVE</v>
      </c>
    </row>
    <row r="4137" spans="2:24" x14ac:dyDescent="0.3">
      <c r="B4137" s="9">
        <v>4137</v>
      </c>
      <c r="C4137" s="49">
        <v>36003</v>
      </c>
      <c r="D4137" s="9">
        <f>YEAR(Tabla1[[#This Row],[Date]])</f>
        <v>1998</v>
      </c>
      <c r="E4137" s="9" t="str" cm="1">
        <f t="array" ref="E4137">IFERROR(_xlfn.IFS(AND(D4137&lt;1980,D4137&gt;=1970),"70",AND(D4137&lt;1990,D4137&gt;=1980),"80",AND(D4137&lt;2000,D4137&gt;=1990),"90",AND(D4137&lt;2010,D4137&gt;=2000),"00",AND(D4137&lt;=2019,D4137&gt;=2010),"10"),"1908-1970")</f>
        <v>90</v>
      </c>
      <c r="F4137" s="3" t="s">
        <v>28931</v>
      </c>
      <c r="G4137" t="s">
        <v>23790</v>
      </c>
      <c r="H4137" t="s">
        <v>23791</v>
      </c>
      <c r="I4137" t="s">
        <v>28931</v>
      </c>
      <c r="J4137" t="s">
        <v>23792</v>
      </c>
      <c r="K4137" t="s">
        <v>9179</v>
      </c>
      <c r="L4137" s="7" t="s">
        <v>23792</v>
      </c>
      <c r="M4137">
        <v>1997</v>
      </c>
      <c r="N4137">
        <v>18</v>
      </c>
      <c r="O4137">
        <v>14</v>
      </c>
      <c r="P4137">
        <v>4</v>
      </c>
      <c r="Q4137">
        <v>4</v>
      </c>
      <c r="R4137">
        <v>2</v>
      </c>
      <c r="S4137">
        <v>2</v>
      </c>
      <c r="T4137">
        <v>0</v>
      </c>
      <c r="U4137" t="s">
        <v>23793</v>
      </c>
      <c r="V4137">
        <f>Tabla1[[#This Row],[Aboard]]-Tabla1[[#This Row],[Fatalities]]</f>
        <v>14</v>
      </c>
      <c r="W4137" s="50">
        <f>IFERROR(Tabla1[[#This Row],[Fatalities]]/Tabla1[[#This Row],[Aboard]],0)</f>
        <v>0.22222222222222221</v>
      </c>
      <c r="X4137" s="51" t="str" cm="1">
        <f t="array" ref="X4137">_xlfn.IFS(Tabla1[[#This Row],[Porcentaje de muertes]]&lt;0.35,"LEVE",AND(Tabla1[[#This Row],[Porcentaje de muertes]]&gt;0.35,Tabla1[[#This Row],[Porcentaje de muertes]]&lt;0.65),"MEDIO",Tabla1[[#This Row],[Porcentaje de muertes]]&gt;0.65,"GRAVE")</f>
        <v>LEVE</v>
      </c>
    </row>
    <row r="4138" spans="2:24" x14ac:dyDescent="0.3">
      <c r="B4138" s="9">
        <v>4138</v>
      </c>
      <c r="C4138" s="49">
        <v>36004</v>
      </c>
      <c r="D4138" s="9">
        <f>YEAR(Tabla1[[#This Row],[Date]])</f>
        <v>1998</v>
      </c>
      <c r="E4138" s="9" t="str" cm="1">
        <f t="array" ref="E4138">IFERROR(_xlfn.IFS(AND(D4138&lt;1980,D4138&gt;=1970),"70",AND(D4138&lt;1990,D4138&gt;=1980),"80",AND(D4138&lt;2000,D4138&gt;=1990),"90",AND(D4138&lt;2010,D4138&gt;=2000),"00",AND(D4138&lt;=2019,D4138&gt;=2010),"10"),"1908-1970")</f>
        <v>90</v>
      </c>
      <c r="F4138" s="3" t="s">
        <v>28931</v>
      </c>
      <c r="G4138" t="s">
        <v>5181</v>
      </c>
      <c r="H4138" t="s">
        <v>23794</v>
      </c>
      <c r="I4138">
        <v>704</v>
      </c>
      <c r="J4138" t="s">
        <v>23795</v>
      </c>
      <c r="K4138" t="s">
        <v>19274</v>
      </c>
      <c r="L4138" s="7" t="s">
        <v>23796</v>
      </c>
      <c r="M4138" t="s">
        <v>23797</v>
      </c>
      <c r="N4138">
        <v>2</v>
      </c>
      <c r="O4138">
        <v>0</v>
      </c>
      <c r="P4138">
        <v>2</v>
      </c>
      <c r="Q4138">
        <v>2</v>
      </c>
      <c r="R4138">
        <v>0</v>
      </c>
      <c r="S4138">
        <v>2</v>
      </c>
      <c r="T4138">
        <v>0</v>
      </c>
      <c r="U4138" t="s">
        <v>23798</v>
      </c>
      <c r="V4138">
        <f>Tabla1[[#This Row],[Aboard]]-Tabla1[[#This Row],[Fatalities]]</f>
        <v>0</v>
      </c>
      <c r="W4138" s="50">
        <f>IFERROR(Tabla1[[#This Row],[Fatalities]]/Tabla1[[#This Row],[Aboard]],0)</f>
        <v>1</v>
      </c>
      <c r="X4138" s="51" t="str" cm="1">
        <f t="array" ref="X4138">_xlfn.IFS(Tabla1[[#This Row],[Porcentaje de muertes]]&lt;0.35,"LEVE",AND(Tabla1[[#This Row],[Porcentaje de muertes]]&gt;0.35,Tabla1[[#This Row],[Porcentaje de muertes]]&lt;0.65),"MEDIO",Tabla1[[#This Row],[Porcentaje de muertes]]&gt;0.65,"GRAVE")</f>
        <v>GRAVE</v>
      </c>
    </row>
    <row r="4139" spans="2:24" x14ac:dyDescent="0.3">
      <c r="B4139" s="9">
        <v>4139</v>
      </c>
      <c r="C4139" s="49">
        <v>36005</v>
      </c>
      <c r="D4139" s="9">
        <f>YEAR(Tabla1[[#This Row],[Date]])</f>
        <v>1998</v>
      </c>
      <c r="E4139" s="9" t="str" cm="1">
        <f t="array" ref="E4139">IFERROR(_xlfn.IFS(AND(D4139&lt;1980,D4139&gt;=1970),"70",AND(D4139&lt;1990,D4139&gt;=1980),"80",AND(D4139&lt;2000,D4139&gt;=1990),"90",AND(D4139&lt;2010,D4139&gt;=2000),"00",AND(D4139&lt;=2019,D4139&gt;=2010),"10"),"1908-1970")</f>
        <v>90</v>
      </c>
      <c r="F4139" s="3">
        <v>0.66666666666666663</v>
      </c>
      <c r="G4139" t="s">
        <v>23799</v>
      </c>
      <c r="H4139" t="s">
        <v>23800</v>
      </c>
      <c r="I4139" t="s">
        <v>28931</v>
      </c>
      <c r="J4139" t="s">
        <v>23801</v>
      </c>
      <c r="K4139" t="s">
        <v>22499</v>
      </c>
      <c r="L4139" s="7" t="s">
        <v>23802</v>
      </c>
      <c r="M4139">
        <v>110343</v>
      </c>
      <c r="N4139">
        <v>24</v>
      </c>
      <c r="O4139">
        <v>22</v>
      </c>
      <c r="P4139">
        <v>2</v>
      </c>
      <c r="Q4139">
        <v>5</v>
      </c>
      <c r="R4139">
        <v>4</v>
      </c>
      <c r="S4139">
        <v>1</v>
      </c>
      <c r="T4139">
        <v>0</v>
      </c>
      <c r="U4139" t="s">
        <v>23803</v>
      </c>
      <c r="V4139">
        <f>Tabla1[[#This Row],[Aboard]]-Tabla1[[#This Row],[Fatalities]]</f>
        <v>19</v>
      </c>
      <c r="W4139" s="50">
        <f>IFERROR(Tabla1[[#This Row],[Fatalities]]/Tabla1[[#This Row],[Aboard]],0)</f>
        <v>0.20833333333333334</v>
      </c>
      <c r="X4139" s="51" t="str" cm="1">
        <f t="array" ref="X4139">_xlfn.IFS(Tabla1[[#This Row],[Porcentaje de muertes]]&lt;0.35,"LEVE",AND(Tabla1[[#This Row],[Porcentaje de muertes]]&gt;0.35,Tabla1[[#This Row],[Porcentaje de muertes]]&lt;0.65),"MEDIO",Tabla1[[#This Row],[Porcentaje de muertes]]&gt;0.65,"GRAVE")</f>
        <v>LEVE</v>
      </c>
    </row>
    <row r="4140" spans="2:24" x14ac:dyDescent="0.3">
      <c r="B4140" s="9">
        <v>4140</v>
      </c>
      <c r="C4140" s="49">
        <v>36006</v>
      </c>
      <c r="D4140" s="9">
        <f>YEAR(Tabla1[[#This Row],[Date]])</f>
        <v>1998</v>
      </c>
      <c r="E4140" s="9" t="str" cm="1">
        <f t="array" ref="E4140">IFERROR(_xlfn.IFS(AND(D4140&lt;1980,D4140&gt;=1970),"70",AND(D4140&lt;1990,D4140&gt;=1980),"80",AND(D4140&lt;2000,D4140&gt;=1990),"90",AND(D4140&lt;2010,D4140&gt;=2000),"00",AND(D4140&lt;=2019,D4140&gt;=2010),"10"),"1908-1970")</f>
        <v>90</v>
      </c>
      <c r="F4140" s="3">
        <v>0.66527777777777775</v>
      </c>
      <c r="G4140" t="s">
        <v>23804</v>
      </c>
      <c r="H4140" t="s">
        <v>23805</v>
      </c>
      <c r="I4140">
        <v>706</v>
      </c>
      <c r="J4140" t="s">
        <v>23806</v>
      </c>
      <c r="K4140" t="s">
        <v>23807</v>
      </c>
      <c r="L4140" s="7" t="s">
        <v>23808</v>
      </c>
      <c r="M4140" t="s">
        <v>23809</v>
      </c>
      <c r="N4140">
        <v>15</v>
      </c>
      <c r="O4140">
        <v>12</v>
      </c>
      <c r="P4140">
        <v>3</v>
      </c>
      <c r="Q4140">
        <v>15</v>
      </c>
      <c r="R4140">
        <v>12</v>
      </c>
      <c r="S4140">
        <v>3</v>
      </c>
      <c r="T4140">
        <v>0</v>
      </c>
      <c r="U4140" t="s">
        <v>23810</v>
      </c>
      <c r="V4140">
        <f>Tabla1[[#This Row],[Aboard]]-Tabla1[[#This Row],[Fatalities]]</f>
        <v>0</v>
      </c>
      <c r="W4140" s="50">
        <f>IFERROR(Tabla1[[#This Row],[Fatalities]]/Tabla1[[#This Row],[Aboard]],0)</f>
        <v>1</v>
      </c>
      <c r="X4140" s="51" t="str" cm="1">
        <f t="array" ref="X4140">_xlfn.IFS(Tabla1[[#This Row],[Porcentaje de muertes]]&lt;0.35,"LEVE",AND(Tabla1[[#This Row],[Porcentaje de muertes]]&gt;0.35,Tabla1[[#This Row],[Porcentaje de muertes]]&lt;0.65),"MEDIO",Tabla1[[#This Row],[Porcentaje de muertes]]&gt;0.65,"GRAVE")</f>
        <v>GRAVE</v>
      </c>
    </row>
    <row r="4141" spans="2:24" x14ac:dyDescent="0.3">
      <c r="B4141" s="9">
        <v>4141</v>
      </c>
      <c r="C4141" s="49">
        <v>36006</v>
      </c>
      <c r="D4141" s="9">
        <f>YEAR(Tabla1[[#This Row],[Date]])</f>
        <v>1998</v>
      </c>
      <c r="E4141" s="9" t="str" cm="1">
        <f t="array" ref="E4141">IFERROR(_xlfn.IFS(AND(D4141&lt;1980,D4141&gt;=1970),"70",AND(D4141&lt;1990,D4141&gt;=1980),"80",AND(D4141&lt;2000,D4141&gt;=1990),"90",AND(D4141&lt;2010,D4141&gt;=2000),"00",AND(D4141&lt;=2019,D4141&gt;=2010),"10"),"1908-1970")</f>
        <v>90</v>
      </c>
      <c r="F4141" s="3">
        <v>0.46180555555555558</v>
      </c>
      <c r="G4141" t="s">
        <v>23811</v>
      </c>
      <c r="H4141" t="s">
        <v>23812</v>
      </c>
      <c r="I4141">
        <v>503</v>
      </c>
      <c r="J4141" t="s">
        <v>23813</v>
      </c>
      <c r="K4141" t="s">
        <v>22180</v>
      </c>
      <c r="L4141" s="7" t="s">
        <v>23814</v>
      </c>
      <c r="M4141" t="s">
        <v>23815</v>
      </c>
      <c r="N4141">
        <v>6</v>
      </c>
      <c r="O4141">
        <v>3</v>
      </c>
      <c r="P4141">
        <v>3</v>
      </c>
      <c r="Q4141">
        <v>6</v>
      </c>
      <c r="R4141">
        <v>3</v>
      </c>
      <c r="S4141">
        <v>3</v>
      </c>
      <c r="T4141">
        <v>2</v>
      </c>
      <c r="U4141" t="s">
        <v>23816</v>
      </c>
      <c r="V4141">
        <f>Tabla1[[#This Row],[Aboard]]-Tabla1[[#This Row],[Fatalities]]</f>
        <v>0</v>
      </c>
      <c r="W4141" s="50">
        <f>IFERROR(Tabla1[[#This Row],[Fatalities]]/Tabla1[[#This Row],[Aboard]],0)</f>
        <v>1</v>
      </c>
      <c r="X4141" s="51" t="str" cm="1">
        <f t="array" ref="X4141">_xlfn.IFS(Tabla1[[#This Row],[Porcentaje de muertes]]&lt;0.35,"LEVE",AND(Tabla1[[#This Row],[Porcentaje de muertes]]&gt;0.35,Tabla1[[#This Row],[Porcentaje de muertes]]&lt;0.65),"MEDIO",Tabla1[[#This Row],[Porcentaje de muertes]]&gt;0.65,"GRAVE")</f>
        <v>GRAVE</v>
      </c>
    </row>
    <row r="4142" spans="2:24" x14ac:dyDescent="0.3">
      <c r="B4142" s="9">
        <v>4142</v>
      </c>
      <c r="C4142" s="49">
        <v>35893</v>
      </c>
      <c r="D4142" s="9">
        <f>YEAR(Tabla1[[#This Row],[Date]])</f>
        <v>1998</v>
      </c>
      <c r="E4142" s="9" t="str" cm="1">
        <f t="array" ref="E4142">IFERROR(_xlfn.IFS(AND(D4142&lt;1980,D4142&gt;=1970),"70",AND(D4142&lt;1990,D4142&gt;=1980),"80",AND(D4142&lt;2000,D4142&gt;=1990),"90",AND(D4142&lt;2010,D4142&gt;=2000),"00",AND(D4142&lt;=2019,D4142&gt;=2010),"10"),"1908-1970")</f>
        <v>90</v>
      </c>
      <c r="F4142" s="3">
        <v>0.74861111111111101</v>
      </c>
      <c r="G4142" t="s">
        <v>23817</v>
      </c>
      <c r="H4142" t="s">
        <v>23818</v>
      </c>
      <c r="I4142">
        <v>709</v>
      </c>
      <c r="J4142" t="s">
        <v>23819</v>
      </c>
      <c r="K4142" t="s">
        <v>23820</v>
      </c>
      <c r="L4142" s="7" t="s">
        <v>23821</v>
      </c>
      <c r="M4142">
        <v>39</v>
      </c>
      <c r="N4142">
        <v>5</v>
      </c>
      <c r="O4142">
        <v>4</v>
      </c>
      <c r="P4142">
        <v>1</v>
      </c>
      <c r="Q4142">
        <v>5</v>
      </c>
      <c r="R4142">
        <v>4</v>
      </c>
      <c r="S4142">
        <v>1</v>
      </c>
      <c r="T4142">
        <v>0</v>
      </c>
      <c r="U4142" t="s">
        <v>23822</v>
      </c>
      <c r="V4142">
        <f>Tabla1[[#This Row],[Aboard]]-Tabla1[[#This Row],[Fatalities]]</f>
        <v>0</v>
      </c>
      <c r="W4142" s="50">
        <f>IFERROR(Tabla1[[#This Row],[Fatalities]]/Tabla1[[#This Row],[Aboard]],0)</f>
        <v>1</v>
      </c>
      <c r="X4142" s="51" t="str" cm="1">
        <f t="array" ref="X4142">_xlfn.IFS(Tabla1[[#This Row],[Porcentaje de muertes]]&lt;0.35,"LEVE",AND(Tabla1[[#This Row],[Porcentaje de muertes]]&gt;0.35,Tabla1[[#This Row],[Porcentaje de muertes]]&lt;0.65),"MEDIO",Tabla1[[#This Row],[Porcentaje de muertes]]&gt;0.65,"GRAVE")</f>
        <v>GRAVE</v>
      </c>
    </row>
    <row r="4143" spans="2:24" x14ac:dyDescent="0.3">
      <c r="B4143" s="9">
        <v>4143</v>
      </c>
      <c r="C4143" s="49">
        <v>36107</v>
      </c>
      <c r="D4143" s="9">
        <f>YEAR(Tabla1[[#This Row],[Date]])</f>
        <v>1998</v>
      </c>
      <c r="E4143" s="9" t="str" cm="1">
        <f t="array" ref="E4143">IFERROR(_xlfn.IFS(AND(D4143&lt;1980,D4143&gt;=1970),"70",AND(D4143&lt;1990,D4143&gt;=1980),"80",AND(D4143&lt;2000,D4143&gt;=1990),"90",AND(D4143&lt;2010,D4143&gt;=2000),"00",AND(D4143&lt;=2019,D4143&gt;=2010),"10"),"1908-1970")</f>
        <v>90</v>
      </c>
      <c r="F4143" s="3" t="s">
        <v>28931</v>
      </c>
      <c r="G4143" t="s">
        <v>23823</v>
      </c>
      <c r="H4143" t="s">
        <v>23824</v>
      </c>
      <c r="I4143" t="s">
        <v>28931</v>
      </c>
      <c r="J4143" t="s">
        <v>28931</v>
      </c>
      <c r="K4143" t="s">
        <v>17862</v>
      </c>
      <c r="L4143" s="7" t="s">
        <v>23825</v>
      </c>
      <c r="M4143">
        <v>8345601</v>
      </c>
      <c r="N4143">
        <v>13</v>
      </c>
      <c r="O4143">
        <v>6</v>
      </c>
      <c r="P4143">
        <v>7</v>
      </c>
      <c r="Q4143">
        <v>1</v>
      </c>
      <c r="R4143">
        <v>0</v>
      </c>
      <c r="S4143">
        <v>1</v>
      </c>
      <c r="T4143">
        <v>0</v>
      </c>
      <c r="U4143" t="s">
        <v>23826</v>
      </c>
      <c r="V4143">
        <f>Tabla1[[#This Row],[Aboard]]-Tabla1[[#This Row],[Fatalities]]</f>
        <v>12</v>
      </c>
      <c r="W4143" s="50">
        <f>IFERROR(Tabla1[[#This Row],[Fatalities]]/Tabla1[[#This Row],[Aboard]],0)</f>
        <v>7.6923076923076927E-2</v>
      </c>
      <c r="X4143" s="51" t="str" cm="1">
        <f t="array" ref="X4143">_xlfn.IFS(Tabla1[[#This Row],[Porcentaje de muertes]]&lt;0.35,"LEVE",AND(Tabla1[[#This Row],[Porcentaje de muertes]]&gt;0.35,Tabla1[[#This Row],[Porcentaje de muertes]]&lt;0.65),"MEDIO",Tabla1[[#This Row],[Porcentaje de muertes]]&gt;0.65,"GRAVE")</f>
        <v>LEVE</v>
      </c>
    </row>
    <row r="4144" spans="2:24" x14ac:dyDescent="0.3">
      <c r="B4144" s="9">
        <v>4144</v>
      </c>
      <c r="C4144" s="49">
        <v>36026</v>
      </c>
      <c r="D4144" s="9">
        <f>YEAR(Tabla1[[#This Row],[Date]])</f>
        <v>1998</v>
      </c>
      <c r="E4144" s="9" t="str" cm="1">
        <f t="array" ref="E4144">IFERROR(_xlfn.IFS(AND(D4144&lt;1980,D4144&gt;=1970),"70",AND(D4144&lt;1990,D4144&gt;=1980),"80",AND(D4144&lt;2000,D4144&gt;=1990),"90",AND(D4144&lt;2010,D4144&gt;=2000),"00",AND(D4144&lt;=2019,D4144&gt;=2010),"10"),"1908-1970")</f>
        <v>90</v>
      </c>
      <c r="F4144" s="3">
        <v>0.69444444444444453</v>
      </c>
      <c r="G4144" t="s">
        <v>23827</v>
      </c>
      <c r="H4144" t="s">
        <v>23828</v>
      </c>
      <c r="I4144" t="s">
        <v>28931</v>
      </c>
      <c r="J4144" t="s">
        <v>23829</v>
      </c>
      <c r="K4144" t="s">
        <v>19669</v>
      </c>
      <c r="L4144" s="7" t="s">
        <v>23830</v>
      </c>
      <c r="M4144" t="s">
        <v>23831</v>
      </c>
      <c r="N4144">
        <v>10</v>
      </c>
      <c r="O4144">
        <v>9</v>
      </c>
      <c r="P4144">
        <v>1</v>
      </c>
      <c r="Q4144">
        <v>5</v>
      </c>
      <c r="R4144">
        <v>4</v>
      </c>
      <c r="S4144">
        <v>1</v>
      </c>
      <c r="T4144">
        <v>0</v>
      </c>
      <c r="U4144" t="s">
        <v>23832</v>
      </c>
      <c r="V4144">
        <f>Tabla1[[#This Row],[Aboard]]-Tabla1[[#This Row],[Fatalities]]</f>
        <v>5</v>
      </c>
      <c r="W4144" s="50">
        <f>IFERROR(Tabla1[[#This Row],[Fatalities]]/Tabla1[[#This Row],[Aboard]],0)</f>
        <v>0.5</v>
      </c>
      <c r="X4144" s="51" t="str" cm="1">
        <f t="array" ref="X4144">_xlfn.IFS(Tabla1[[#This Row],[Porcentaje de muertes]]&lt;0.35,"LEVE",AND(Tabla1[[#This Row],[Porcentaje de muertes]]&gt;0.35,Tabla1[[#This Row],[Porcentaje de muertes]]&lt;0.65),"MEDIO",Tabla1[[#This Row],[Porcentaje de muertes]]&gt;0.65,"GRAVE")</f>
        <v>MEDIO</v>
      </c>
    </row>
    <row r="4145" spans="2:24" x14ac:dyDescent="0.3">
      <c r="B4145" s="9">
        <v>4145</v>
      </c>
      <c r="C4145" s="49">
        <v>36028</v>
      </c>
      <c r="D4145" s="9">
        <f>YEAR(Tabla1[[#This Row],[Date]])</f>
        <v>1998</v>
      </c>
      <c r="E4145" s="9" t="str" cm="1">
        <f t="array" ref="E4145">IFERROR(_xlfn.IFS(AND(D4145&lt;1980,D4145&gt;=1970),"70",AND(D4145&lt;1990,D4145&gt;=1980),"80",AND(D4145&lt;2000,D4145&gt;=1990),"90",AND(D4145&lt;2010,D4145&gt;=2000),"00",AND(D4145&lt;=2019,D4145&gt;=2010),"10"),"1908-1970")</f>
        <v>90</v>
      </c>
      <c r="F4145" s="3">
        <v>0.47916666666666669</v>
      </c>
      <c r="G4145" t="s">
        <v>23833</v>
      </c>
      <c r="H4145" t="s">
        <v>23834</v>
      </c>
      <c r="I4145" t="s">
        <v>28931</v>
      </c>
      <c r="J4145" t="s">
        <v>23835</v>
      </c>
      <c r="K4145" t="s">
        <v>16680</v>
      </c>
      <c r="L4145" s="7" t="s">
        <v>23836</v>
      </c>
      <c r="M4145">
        <v>710</v>
      </c>
      <c r="N4145">
        <v>18</v>
      </c>
      <c r="O4145">
        <v>15</v>
      </c>
      <c r="P4145">
        <v>3</v>
      </c>
      <c r="Q4145">
        <v>18</v>
      </c>
      <c r="R4145">
        <v>15</v>
      </c>
      <c r="S4145">
        <v>3</v>
      </c>
      <c r="T4145">
        <v>0</v>
      </c>
      <c r="U4145" t="s">
        <v>23837</v>
      </c>
      <c r="V4145">
        <f>Tabla1[[#This Row],[Aboard]]-Tabla1[[#This Row],[Fatalities]]</f>
        <v>0</v>
      </c>
      <c r="W4145" s="50">
        <f>IFERROR(Tabla1[[#This Row],[Fatalities]]/Tabla1[[#This Row],[Aboard]],0)</f>
        <v>1</v>
      </c>
      <c r="X4145" s="51" t="str" cm="1">
        <f t="array" ref="X4145">_xlfn.IFS(Tabla1[[#This Row],[Porcentaje de muertes]]&lt;0.35,"LEVE",AND(Tabla1[[#This Row],[Porcentaje de muertes]]&gt;0.35,Tabla1[[#This Row],[Porcentaje de muertes]]&lt;0.65),"MEDIO",Tabla1[[#This Row],[Porcentaje de muertes]]&gt;0.65,"GRAVE")</f>
        <v>GRAVE</v>
      </c>
    </row>
    <row r="4146" spans="2:24" x14ac:dyDescent="0.3">
      <c r="B4146" s="9">
        <v>4146</v>
      </c>
      <c r="C4146" s="49">
        <v>36031</v>
      </c>
      <c r="D4146" s="9">
        <f>YEAR(Tabla1[[#This Row],[Date]])</f>
        <v>1998</v>
      </c>
      <c r="E4146" s="9" t="str" cm="1">
        <f t="array" ref="E4146">IFERROR(_xlfn.IFS(AND(D4146&lt;1980,D4146&gt;=1970),"70",AND(D4146&lt;1990,D4146&gt;=1980),"80",AND(D4146&lt;2000,D4146&gt;=1990),"90",AND(D4146&lt;2010,D4146&gt;=2000),"00",AND(D4146&lt;=2019,D4146&gt;=2010),"10"),"1908-1970")</f>
        <v>90</v>
      </c>
      <c r="F4146" s="3">
        <v>0.69861111111111107</v>
      </c>
      <c r="G4146" t="s">
        <v>23838</v>
      </c>
      <c r="H4146" t="s">
        <v>23839</v>
      </c>
      <c r="I4146" t="s">
        <v>28931</v>
      </c>
      <c r="J4146" t="s">
        <v>23840</v>
      </c>
      <c r="K4146" t="s">
        <v>23841</v>
      </c>
      <c r="L4146" s="7" t="s">
        <v>23842</v>
      </c>
      <c r="M4146">
        <v>13143</v>
      </c>
      <c r="N4146">
        <v>2</v>
      </c>
      <c r="O4146">
        <v>0</v>
      </c>
      <c r="P4146">
        <v>2</v>
      </c>
      <c r="Q4146">
        <v>1</v>
      </c>
      <c r="R4146">
        <v>0</v>
      </c>
      <c r="S4146">
        <v>1</v>
      </c>
      <c r="T4146">
        <v>0</v>
      </c>
      <c r="U4146" t="s">
        <v>23843</v>
      </c>
      <c r="V4146">
        <f>Tabla1[[#This Row],[Aboard]]-Tabla1[[#This Row],[Fatalities]]</f>
        <v>1</v>
      </c>
      <c r="W4146" s="50">
        <f>IFERROR(Tabla1[[#This Row],[Fatalities]]/Tabla1[[#This Row],[Aboard]],0)</f>
        <v>0.5</v>
      </c>
      <c r="X4146" s="51" t="str" cm="1">
        <f t="array" ref="X4146">_xlfn.IFS(Tabla1[[#This Row],[Porcentaje de muertes]]&lt;0.35,"LEVE",AND(Tabla1[[#This Row],[Porcentaje de muertes]]&gt;0.35,Tabla1[[#This Row],[Porcentaje de muertes]]&lt;0.65),"MEDIO",Tabla1[[#This Row],[Porcentaje de muertes]]&gt;0.65,"GRAVE")</f>
        <v>MEDIO</v>
      </c>
    </row>
    <row r="4147" spans="2:24" x14ac:dyDescent="0.3">
      <c r="B4147" s="9">
        <v>4147</v>
      </c>
      <c r="C4147" s="49">
        <v>36031</v>
      </c>
      <c r="D4147" s="9">
        <f>YEAR(Tabla1[[#This Row],[Date]])</f>
        <v>1998</v>
      </c>
      <c r="E4147" s="9" t="str" cm="1">
        <f t="array" ref="E4147">IFERROR(_xlfn.IFS(AND(D4147&lt;1980,D4147&gt;=1970),"70",AND(D4147&lt;1990,D4147&gt;=1980),"80",AND(D4147&lt;2000,D4147&gt;=1990),"90",AND(D4147&lt;2010,D4147&gt;=2000),"00",AND(D4147&lt;=2019,D4147&gt;=2010),"10"),"1908-1970")</f>
        <v>90</v>
      </c>
      <c r="F4147" s="3">
        <v>0.3576388888888889</v>
      </c>
      <c r="G4147" t="s">
        <v>23844</v>
      </c>
      <c r="H4147" t="s">
        <v>23232</v>
      </c>
      <c r="I4147">
        <v>635</v>
      </c>
      <c r="J4147" t="s">
        <v>23845</v>
      </c>
      <c r="K4147" t="s">
        <v>15526</v>
      </c>
      <c r="L4147" s="7" t="s">
        <v>23846</v>
      </c>
      <c r="M4147">
        <v>10476</v>
      </c>
      <c r="N4147">
        <v>44</v>
      </c>
      <c r="O4147">
        <v>40</v>
      </c>
      <c r="P4147">
        <v>4</v>
      </c>
      <c r="Q4147">
        <v>44</v>
      </c>
      <c r="R4147">
        <v>40</v>
      </c>
      <c r="S4147">
        <v>4</v>
      </c>
      <c r="T4147">
        <v>0</v>
      </c>
      <c r="U4147" t="s">
        <v>23847</v>
      </c>
      <c r="V4147">
        <f>Tabla1[[#This Row],[Aboard]]-Tabla1[[#This Row],[Fatalities]]</f>
        <v>0</v>
      </c>
      <c r="W4147" s="50">
        <f>IFERROR(Tabla1[[#This Row],[Fatalities]]/Tabla1[[#This Row],[Aboard]],0)</f>
        <v>1</v>
      </c>
      <c r="X4147" s="51" t="str" cm="1">
        <f t="array" ref="X4147">_xlfn.IFS(Tabla1[[#This Row],[Porcentaje de muertes]]&lt;0.35,"LEVE",AND(Tabla1[[#This Row],[Porcentaje de muertes]]&gt;0.35,Tabla1[[#This Row],[Porcentaje de muertes]]&lt;0.65),"MEDIO",Tabla1[[#This Row],[Porcentaje de muertes]]&gt;0.65,"GRAVE")</f>
        <v>GRAVE</v>
      </c>
    </row>
    <row r="4148" spans="2:24" x14ac:dyDescent="0.3">
      <c r="B4148" s="9">
        <v>4148</v>
      </c>
      <c r="C4148" s="49">
        <v>36036</v>
      </c>
      <c r="D4148" s="9">
        <f>YEAR(Tabla1[[#This Row],[Date]])</f>
        <v>1998</v>
      </c>
      <c r="E4148" s="9" t="str" cm="1">
        <f t="array" ref="E4148">IFERROR(_xlfn.IFS(AND(D4148&lt;1980,D4148&gt;=1970),"70",AND(D4148&lt;1990,D4148&gt;=1980),"80",AND(D4148&lt;2000,D4148&gt;=1990),"90",AND(D4148&lt;2010,D4148&gt;=2000),"00",AND(D4148&lt;=2019,D4148&gt;=2010),"10"),"1908-1970")</f>
        <v>90</v>
      </c>
      <c r="F4148" s="3">
        <v>0.54375000000000007</v>
      </c>
      <c r="G4148" t="s">
        <v>12314</v>
      </c>
      <c r="H4148" t="s">
        <v>6524</v>
      </c>
      <c r="I4148">
        <v>389</v>
      </c>
      <c r="J4148" t="s">
        <v>23848</v>
      </c>
      <c r="K4148" t="s">
        <v>22401</v>
      </c>
      <c r="L4148" s="7" t="s">
        <v>23849</v>
      </c>
      <c r="M4148">
        <v>720</v>
      </c>
      <c r="N4148">
        <v>91</v>
      </c>
      <c r="O4148">
        <v>77</v>
      </c>
      <c r="P4148">
        <v>14</v>
      </c>
      <c r="Q4148">
        <v>70</v>
      </c>
      <c r="R4148">
        <v>56</v>
      </c>
      <c r="S4148">
        <v>14</v>
      </c>
      <c r="T4148">
        <v>10</v>
      </c>
      <c r="U4148" t="s">
        <v>23850</v>
      </c>
      <c r="V4148">
        <f>Tabla1[[#This Row],[Aboard]]-Tabla1[[#This Row],[Fatalities]]</f>
        <v>21</v>
      </c>
      <c r="W4148" s="50">
        <f>IFERROR(Tabla1[[#This Row],[Fatalities]]/Tabla1[[#This Row],[Aboard]],0)</f>
        <v>0.76923076923076927</v>
      </c>
      <c r="X4148" s="51" t="str" cm="1">
        <f t="array" ref="X4148">_xlfn.IFS(Tabla1[[#This Row],[Porcentaje de muertes]]&lt;0.35,"LEVE",AND(Tabla1[[#This Row],[Porcentaje de muertes]]&gt;0.35,Tabla1[[#This Row],[Porcentaje de muertes]]&lt;0.65),"MEDIO",Tabla1[[#This Row],[Porcentaje de muertes]]&gt;0.65,"GRAVE")</f>
        <v>GRAVE</v>
      </c>
    </row>
    <row r="4149" spans="2:24" x14ac:dyDescent="0.3">
      <c r="B4149" s="9">
        <v>4149</v>
      </c>
      <c r="C4149" s="49">
        <v>35835</v>
      </c>
      <c r="D4149" s="9">
        <f>YEAR(Tabla1[[#This Row],[Date]])</f>
        <v>1998</v>
      </c>
      <c r="E4149" s="9" t="str" cm="1">
        <f t="array" ref="E4149">IFERROR(_xlfn.IFS(AND(D4149&lt;1980,D4149&gt;=1970),"70",AND(D4149&lt;1990,D4149&gt;=1980),"80",AND(D4149&lt;2000,D4149&gt;=1990),"90",AND(D4149&lt;2010,D4149&gt;=2000),"00",AND(D4149&lt;=2019,D4149&gt;=2010),"10"),"1908-1970")</f>
        <v>90</v>
      </c>
      <c r="F4149" s="3">
        <v>0.89583333333333337</v>
      </c>
      <c r="G4149" t="s">
        <v>23851</v>
      </c>
      <c r="H4149" t="s">
        <v>6471</v>
      </c>
      <c r="I4149">
        <v>111</v>
      </c>
      <c r="J4149" t="s">
        <v>23852</v>
      </c>
      <c r="K4149" t="s">
        <v>22212</v>
      </c>
      <c r="L4149" s="7" t="s">
        <v>23853</v>
      </c>
      <c r="M4149" t="s">
        <v>23854</v>
      </c>
      <c r="N4149">
        <v>229</v>
      </c>
      <c r="O4149">
        <v>215</v>
      </c>
      <c r="P4149">
        <v>14</v>
      </c>
      <c r="Q4149">
        <v>229</v>
      </c>
      <c r="R4149">
        <v>215</v>
      </c>
      <c r="S4149">
        <v>14</v>
      </c>
      <c r="T4149">
        <v>0</v>
      </c>
      <c r="U4149" t="s">
        <v>23855</v>
      </c>
      <c r="V4149">
        <f>Tabla1[[#This Row],[Aboard]]-Tabla1[[#This Row],[Fatalities]]</f>
        <v>0</v>
      </c>
      <c r="W4149" s="50">
        <f>IFERROR(Tabla1[[#This Row],[Fatalities]]/Tabla1[[#This Row],[Aboard]],0)</f>
        <v>1</v>
      </c>
      <c r="X4149" s="51" t="str" cm="1">
        <f t="array" ref="X4149">_xlfn.IFS(Tabla1[[#This Row],[Porcentaje de muertes]]&lt;0.35,"LEVE",AND(Tabla1[[#This Row],[Porcentaje de muertes]]&gt;0.35,Tabla1[[#This Row],[Porcentaje de muertes]]&lt;0.65),"MEDIO",Tabla1[[#This Row],[Porcentaje de muertes]]&gt;0.65,"GRAVE")</f>
        <v>GRAVE</v>
      </c>
    </row>
    <row r="4150" spans="2:24" x14ac:dyDescent="0.3">
      <c r="B4150" s="9">
        <v>4150</v>
      </c>
      <c r="C4150" s="49">
        <v>35835</v>
      </c>
      <c r="D4150" s="9">
        <f>YEAR(Tabla1[[#This Row],[Date]])</f>
        <v>1998</v>
      </c>
      <c r="E4150" s="9" t="str" cm="1">
        <f t="array" ref="E4150">IFERROR(_xlfn.IFS(AND(D4150&lt;1980,D4150&gt;=1970),"70",AND(D4150&lt;1990,D4150&gt;=1980),"80",AND(D4150&lt;2000,D4150&gt;=1990),"90",AND(D4150&lt;2010,D4150&gt;=2000),"00",AND(D4150&lt;=2019,D4150&gt;=2010),"10"),"1908-1970")</f>
        <v>90</v>
      </c>
      <c r="F4150" s="3" t="s">
        <v>28931</v>
      </c>
      <c r="G4150" t="s">
        <v>23856</v>
      </c>
      <c r="H4150" t="s">
        <v>23857</v>
      </c>
      <c r="I4150" t="s">
        <v>28931</v>
      </c>
      <c r="J4150" t="s">
        <v>28931</v>
      </c>
      <c r="K4150" t="s">
        <v>17904</v>
      </c>
      <c r="L4150" s="7" t="s">
        <v>23858</v>
      </c>
      <c r="M4150">
        <v>10408</v>
      </c>
      <c r="N4150">
        <v>24</v>
      </c>
      <c r="O4150">
        <v>20</v>
      </c>
      <c r="P4150">
        <v>4</v>
      </c>
      <c r="Q4150">
        <v>24</v>
      </c>
      <c r="R4150">
        <v>20</v>
      </c>
      <c r="S4150">
        <v>4</v>
      </c>
      <c r="T4150">
        <v>0</v>
      </c>
      <c r="U4150" t="s">
        <v>23859</v>
      </c>
      <c r="V4150">
        <f>Tabla1[[#This Row],[Aboard]]-Tabla1[[#This Row],[Fatalities]]</f>
        <v>0</v>
      </c>
      <c r="W4150" s="50">
        <f>IFERROR(Tabla1[[#This Row],[Fatalities]]/Tabla1[[#This Row],[Aboard]],0)</f>
        <v>1</v>
      </c>
      <c r="X4150" s="51" t="str" cm="1">
        <f t="array" ref="X4150">_xlfn.IFS(Tabla1[[#This Row],[Porcentaje de muertes]]&lt;0.35,"LEVE",AND(Tabla1[[#This Row],[Porcentaje de muertes]]&gt;0.35,Tabla1[[#This Row],[Porcentaje de muertes]]&lt;0.65),"MEDIO",Tabla1[[#This Row],[Porcentaje de muertes]]&gt;0.65,"GRAVE")</f>
        <v>GRAVE</v>
      </c>
    </row>
    <row r="4151" spans="2:24" x14ac:dyDescent="0.3">
      <c r="B4151" s="9">
        <v>4151</v>
      </c>
      <c r="C4151" s="49">
        <v>36047</v>
      </c>
      <c r="D4151" s="9">
        <f>YEAR(Tabla1[[#This Row],[Date]])</f>
        <v>1998</v>
      </c>
      <c r="E4151" s="9" t="str" cm="1">
        <f t="array" ref="E4151">IFERROR(_xlfn.IFS(AND(D4151&lt;1980,D4151&gt;=1970),"70",AND(D4151&lt;1990,D4151&gt;=1980),"80",AND(D4151&lt;2000,D4151&gt;=1990),"90",AND(D4151&lt;2010,D4151&gt;=2000),"00",AND(D4151&lt;=2019,D4151&gt;=2010),"10"),"1908-1970")</f>
        <v>90</v>
      </c>
      <c r="F4151" s="3">
        <v>0.44791666666666669</v>
      </c>
      <c r="G4151" t="s">
        <v>23860</v>
      </c>
      <c r="H4151" t="s">
        <v>23861</v>
      </c>
      <c r="I4151" t="s">
        <v>28931</v>
      </c>
      <c r="J4151" t="s">
        <v>23862</v>
      </c>
      <c r="K4151" t="s">
        <v>23863</v>
      </c>
      <c r="L4151" s="7" t="s">
        <v>23864</v>
      </c>
      <c r="M4151">
        <v>595</v>
      </c>
      <c r="N4151">
        <v>5</v>
      </c>
      <c r="O4151">
        <v>4</v>
      </c>
      <c r="P4151">
        <v>1</v>
      </c>
      <c r="Q4151">
        <v>5</v>
      </c>
      <c r="R4151">
        <v>4</v>
      </c>
      <c r="S4151">
        <v>1</v>
      </c>
      <c r="T4151">
        <v>0</v>
      </c>
      <c r="U4151" t="s">
        <v>23865</v>
      </c>
      <c r="V4151">
        <f>Tabla1[[#This Row],[Aboard]]-Tabla1[[#This Row],[Fatalities]]</f>
        <v>0</v>
      </c>
      <c r="W4151" s="50">
        <f>IFERROR(Tabla1[[#This Row],[Fatalities]]/Tabla1[[#This Row],[Aboard]],0)</f>
        <v>1</v>
      </c>
      <c r="X4151" s="51" t="str" cm="1">
        <f t="array" ref="X4151">_xlfn.IFS(Tabla1[[#This Row],[Porcentaje de muertes]]&lt;0.35,"LEVE",AND(Tabla1[[#This Row],[Porcentaje de muertes]]&gt;0.35,Tabla1[[#This Row],[Porcentaje de muertes]]&lt;0.65),"MEDIO",Tabla1[[#This Row],[Porcentaje de muertes]]&gt;0.65,"GRAVE")</f>
        <v>GRAVE</v>
      </c>
    </row>
    <row r="4152" spans="2:24" x14ac:dyDescent="0.3">
      <c r="B4152" s="9">
        <v>4152</v>
      </c>
      <c r="C4152" s="49">
        <v>36077</v>
      </c>
      <c r="D4152" s="9">
        <f>YEAR(Tabla1[[#This Row],[Date]])</f>
        <v>1998</v>
      </c>
      <c r="E4152" s="9" t="str" cm="1">
        <f t="array" ref="E4152">IFERROR(_xlfn.IFS(AND(D4152&lt;1980,D4152&gt;=1970),"70",AND(D4152&lt;1990,D4152&gt;=1980),"80",AND(D4152&lt;2000,D4152&gt;=1990),"90",AND(D4152&lt;2010,D4152&gt;=2000),"00",AND(D4152&lt;=2019,D4152&gt;=2010),"10"),"1908-1970")</f>
        <v>90</v>
      </c>
      <c r="F4152" s="3" t="s">
        <v>28931</v>
      </c>
      <c r="G4152" t="s">
        <v>15929</v>
      </c>
      <c r="H4152" t="s">
        <v>10785</v>
      </c>
      <c r="I4152" t="s">
        <v>28931</v>
      </c>
      <c r="J4152" t="s">
        <v>28931</v>
      </c>
      <c r="K4152" t="s">
        <v>14712</v>
      </c>
      <c r="L4152" s="7">
        <v>24143</v>
      </c>
      <c r="M4152">
        <v>3781</v>
      </c>
      <c r="N4152">
        <v>5</v>
      </c>
      <c r="O4152">
        <v>0</v>
      </c>
      <c r="P4152">
        <v>5</v>
      </c>
      <c r="Q4152">
        <v>5</v>
      </c>
      <c r="R4152">
        <v>0</v>
      </c>
      <c r="S4152">
        <v>5</v>
      </c>
      <c r="T4152">
        <v>0</v>
      </c>
      <c r="U4152" t="s">
        <v>23866</v>
      </c>
      <c r="V4152">
        <f>Tabla1[[#This Row],[Aboard]]-Tabla1[[#This Row],[Fatalities]]</f>
        <v>0</v>
      </c>
      <c r="W4152" s="50">
        <f>IFERROR(Tabla1[[#This Row],[Fatalities]]/Tabla1[[#This Row],[Aboard]],0)</f>
        <v>1</v>
      </c>
      <c r="X4152" s="51" t="str" cm="1">
        <f t="array" ref="X4152">_xlfn.IFS(Tabla1[[#This Row],[Porcentaje de muertes]]&lt;0.35,"LEVE",AND(Tabla1[[#This Row],[Porcentaje de muertes]]&gt;0.35,Tabla1[[#This Row],[Porcentaje de muertes]]&lt;0.65),"MEDIO",Tabla1[[#This Row],[Porcentaje de muertes]]&gt;0.65,"GRAVE")</f>
        <v>GRAVE</v>
      </c>
    </row>
    <row r="4153" spans="2:24" x14ac:dyDescent="0.3">
      <c r="B4153" s="9">
        <v>4153</v>
      </c>
      <c r="C4153" s="49">
        <v>36063</v>
      </c>
      <c r="D4153" s="9">
        <f>YEAR(Tabla1[[#This Row],[Date]])</f>
        <v>1998</v>
      </c>
      <c r="E4153" s="9" t="str" cm="1">
        <f t="array" ref="E4153">IFERROR(_xlfn.IFS(AND(D4153&lt;1980,D4153&gt;=1970),"70",AND(D4153&lt;1990,D4153&gt;=1980),"80",AND(D4153&lt;2000,D4153&gt;=1990),"90",AND(D4153&lt;2010,D4153&gt;=2000),"00",AND(D4153&lt;=2019,D4153&gt;=2010),"10"),"1908-1970")</f>
        <v>90</v>
      </c>
      <c r="F4153" s="3">
        <v>0.375</v>
      </c>
      <c r="G4153" t="s">
        <v>23867</v>
      </c>
      <c r="H4153" t="s">
        <v>23868</v>
      </c>
      <c r="I4153">
        <v>4101</v>
      </c>
      <c r="J4153" t="s">
        <v>23869</v>
      </c>
      <c r="K4153" t="s">
        <v>23870</v>
      </c>
      <c r="L4153" s="7" t="s">
        <v>23871</v>
      </c>
      <c r="M4153" t="s">
        <v>23872</v>
      </c>
      <c r="N4153">
        <v>38</v>
      </c>
      <c r="O4153">
        <v>34</v>
      </c>
      <c r="P4153">
        <v>4</v>
      </c>
      <c r="Q4153">
        <v>38</v>
      </c>
      <c r="R4153">
        <v>34</v>
      </c>
      <c r="S4153">
        <v>4</v>
      </c>
      <c r="T4153">
        <v>0</v>
      </c>
      <c r="U4153" t="s">
        <v>23873</v>
      </c>
      <c r="V4153">
        <f>Tabla1[[#This Row],[Aboard]]-Tabla1[[#This Row],[Fatalities]]</f>
        <v>0</v>
      </c>
      <c r="W4153" s="50">
        <f>IFERROR(Tabla1[[#This Row],[Fatalities]]/Tabla1[[#This Row],[Aboard]],0)</f>
        <v>1</v>
      </c>
      <c r="X4153" s="51" t="str" cm="1">
        <f t="array" ref="X4153">_xlfn.IFS(Tabla1[[#This Row],[Porcentaje de muertes]]&lt;0.35,"LEVE",AND(Tabla1[[#This Row],[Porcentaje de muertes]]&gt;0.35,Tabla1[[#This Row],[Porcentaje de muertes]]&lt;0.65),"MEDIO",Tabla1[[#This Row],[Porcentaje de muertes]]&gt;0.65,"GRAVE")</f>
        <v>GRAVE</v>
      </c>
    </row>
    <row r="4154" spans="2:24" x14ac:dyDescent="0.3">
      <c r="B4154" s="9">
        <v>4154</v>
      </c>
      <c r="C4154" s="49">
        <v>36066</v>
      </c>
      <c r="D4154" s="9">
        <f>YEAR(Tabla1[[#This Row],[Date]])</f>
        <v>1998</v>
      </c>
      <c r="E4154" s="9" t="str" cm="1">
        <f t="array" ref="E4154">IFERROR(_xlfn.IFS(AND(D4154&lt;1980,D4154&gt;=1970),"70",AND(D4154&lt;1990,D4154&gt;=1980),"80",AND(D4154&lt;2000,D4154&gt;=1990),"90",AND(D4154&lt;2010,D4154&gt;=2000),"00",AND(D4154&lt;=2019,D4154&gt;=2010),"10"),"1908-1970")</f>
        <v>90</v>
      </c>
      <c r="F4154" s="3">
        <v>0.5625</v>
      </c>
      <c r="G4154" t="s">
        <v>23874</v>
      </c>
      <c r="H4154" t="s">
        <v>23875</v>
      </c>
      <c r="I4154" t="s">
        <v>28931</v>
      </c>
      <c r="J4154" t="s">
        <v>23876</v>
      </c>
      <c r="K4154" t="s">
        <v>16680</v>
      </c>
      <c r="L4154" s="7" t="s">
        <v>23877</v>
      </c>
      <c r="M4154">
        <v>550</v>
      </c>
      <c r="N4154">
        <v>22</v>
      </c>
      <c r="O4154">
        <v>20</v>
      </c>
      <c r="P4154">
        <v>2</v>
      </c>
      <c r="Q4154">
        <v>1</v>
      </c>
      <c r="R4154">
        <v>1</v>
      </c>
      <c r="S4154">
        <v>0</v>
      </c>
      <c r="T4154">
        <v>0</v>
      </c>
      <c r="U4154" t="s">
        <v>23878</v>
      </c>
      <c r="V4154">
        <f>Tabla1[[#This Row],[Aboard]]-Tabla1[[#This Row],[Fatalities]]</f>
        <v>21</v>
      </c>
      <c r="W4154" s="50">
        <f>IFERROR(Tabla1[[#This Row],[Fatalities]]/Tabla1[[#This Row],[Aboard]],0)</f>
        <v>4.5454545454545456E-2</v>
      </c>
      <c r="X4154" s="51" t="str" cm="1">
        <f t="array" ref="X4154">_xlfn.IFS(Tabla1[[#This Row],[Porcentaje de muertes]]&lt;0.35,"LEVE",AND(Tabla1[[#This Row],[Porcentaje de muertes]]&gt;0.35,Tabla1[[#This Row],[Porcentaje de muertes]]&lt;0.65),"MEDIO",Tabla1[[#This Row],[Porcentaje de muertes]]&gt;0.65,"GRAVE")</f>
        <v>LEVE</v>
      </c>
    </row>
    <row r="4155" spans="2:24" x14ac:dyDescent="0.3">
      <c r="B4155" s="9">
        <v>4155</v>
      </c>
      <c r="C4155" s="49">
        <v>36067</v>
      </c>
      <c r="D4155" s="9">
        <f>YEAR(Tabla1[[#This Row],[Date]])</f>
        <v>1998</v>
      </c>
      <c r="E4155" s="9" t="str" cm="1">
        <f t="array" ref="E4155">IFERROR(_xlfn.IFS(AND(D4155&lt;1980,D4155&gt;=1970),"70",AND(D4155&lt;1990,D4155&gt;=1980),"80",AND(D4155&lt;2000,D4155&gt;=1990),"90",AND(D4155&lt;2010,D4155&gt;=2000),"00",AND(D4155&lt;=2019,D4155&gt;=2010),"10"),"1908-1970")</f>
        <v>90</v>
      </c>
      <c r="F4155" s="3">
        <v>0.57638888888888895</v>
      </c>
      <c r="G4155" t="s">
        <v>23879</v>
      </c>
      <c r="H4155" t="s">
        <v>23880</v>
      </c>
      <c r="I4155">
        <v>602</v>
      </c>
      <c r="J4155" t="s">
        <v>23881</v>
      </c>
      <c r="K4155" t="s">
        <v>17266</v>
      </c>
      <c r="L4155" s="7" t="s">
        <v>23882</v>
      </c>
      <c r="M4155">
        <v>27307901</v>
      </c>
      <c r="N4155">
        <v>55</v>
      </c>
      <c r="O4155">
        <v>48</v>
      </c>
      <c r="P4155">
        <v>7</v>
      </c>
      <c r="Q4155">
        <v>55</v>
      </c>
      <c r="R4155">
        <v>48</v>
      </c>
      <c r="S4155">
        <v>7</v>
      </c>
      <c r="T4155">
        <v>0</v>
      </c>
      <c r="U4155" t="s">
        <v>23883</v>
      </c>
      <c r="V4155">
        <f>Tabla1[[#This Row],[Aboard]]-Tabla1[[#This Row],[Fatalities]]</f>
        <v>0</v>
      </c>
      <c r="W4155" s="50">
        <f>IFERROR(Tabla1[[#This Row],[Fatalities]]/Tabla1[[#This Row],[Aboard]],0)</f>
        <v>1</v>
      </c>
      <c r="X4155" s="51" t="str" cm="1">
        <f t="array" ref="X4155">_xlfn.IFS(Tabla1[[#This Row],[Porcentaje de muertes]]&lt;0.35,"LEVE",AND(Tabla1[[#This Row],[Porcentaje de muertes]]&gt;0.35,Tabla1[[#This Row],[Porcentaje de muertes]]&lt;0.65),"MEDIO",Tabla1[[#This Row],[Porcentaje de muertes]]&gt;0.65,"GRAVE")</f>
        <v>GRAVE</v>
      </c>
    </row>
    <row r="4156" spans="2:24" x14ac:dyDescent="0.3">
      <c r="B4156" s="9">
        <v>4156</v>
      </c>
      <c r="C4156" s="49">
        <v>35836</v>
      </c>
      <c r="D4156" s="9">
        <f>YEAR(Tabla1[[#This Row],[Date]])</f>
        <v>1998</v>
      </c>
      <c r="E4156" s="9" t="str" cm="1">
        <f t="array" ref="E4156">IFERROR(_xlfn.IFS(AND(D4156&lt;1980,D4156&gt;=1970),"70",AND(D4156&lt;1990,D4156&gt;=1980),"80",AND(D4156&lt;2000,D4156&gt;=1990),"90",AND(D4156&lt;2010,D4156&gt;=2000),"00",AND(D4156&lt;=2019,D4156&gt;=2010),"10"),"1908-1970")</f>
        <v>90</v>
      </c>
      <c r="F4156" s="3">
        <v>0.40625</v>
      </c>
      <c r="G4156" t="s">
        <v>23884</v>
      </c>
      <c r="H4156" t="s">
        <v>22729</v>
      </c>
      <c r="I4156" t="s">
        <v>28931</v>
      </c>
      <c r="J4156" t="s">
        <v>23885</v>
      </c>
      <c r="K4156" t="s">
        <v>9005</v>
      </c>
      <c r="L4156" s="7" t="s">
        <v>23886</v>
      </c>
      <c r="M4156">
        <v>1977</v>
      </c>
      <c r="N4156">
        <v>27</v>
      </c>
      <c r="O4156">
        <v>24</v>
      </c>
      <c r="P4156">
        <v>3</v>
      </c>
      <c r="Q4156">
        <v>1</v>
      </c>
      <c r="R4156">
        <v>0</v>
      </c>
      <c r="S4156">
        <v>1</v>
      </c>
      <c r="T4156">
        <v>0</v>
      </c>
      <c r="U4156" t="s">
        <v>23887</v>
      </c>
      <c r="V4156">
        <f>Tabla1[[#This Row],[Aboard]]-Tabla1[[#This Row],[Fatalities]]</f>
        <v>26</v>
      </c>
      <c r="W4156" s="50">
        <f>IFERROR(Tabla1[[#This Row],[Fatalities]]/Tabla1[[#This Row],[Aboard]],0)</f>
        <v>3.7037037037037035E-2</v>
      </c>
      <c r="X4156" s="51" t="str" cm="1">
        <f t="array" ref="X4156">_xlfn.IFS(Tabla1[[#This Row],[Porcentaje de muertes]]&lt;0.35,"LEVE",AND(Tabla1[[#This Row],[Porcentaje de muertes]]&gt;0.35,Tabla1[[#This Row],[Porcentaje de muertes]]&lt;0.65),"MEDIO",Tabla1[[#This Row],[Porcentaje de muertes]]&gt;0.65,"GRAVE")</f>
        <v>LEVE</v>
      </c>
    </row>
    <row r="4157" spans="2:24" x14ac:dyDescent="0.3">
      <c r="B4157" s="9">
        <v>4157</v>
      </c>
      <c r="C4157" s="49">
        <v>36078</v>
      </c>
      <c r="D4157" s="9">
        <f>YEAR(Tabla1[[#This Row],[Date]])</f>
        <v>1998</v>
      </c>
      <c r="E4157" s="9" t="str" cm="1">
        <f t="array" ref="E4157">IFERROR(_xlfn.IFS(AND(D4157&lt;1980,D4157&gt;=1970),"70",AND(D4157&lt;1990,D4157&gt;=1980),"80",AND(D4157&lt;2000,D4157&gt;=1990),"90",AND(D4157&lt;2010,D4157&gt;=2000),"00",AND(D4157&lt;=2019,D4157&gt;=2010),"10"),"1908-1970")</f>
        <v>90</v>
      </c>
      <c r="F4157" s="3" t="s">
        <v>28931</v>
      </c>
      <c r="G4157" t="s">
        <v>23888</v>
      </c>
      <c r="H4157" t="s">
        <v>23889</v>
      </c>
      <c r="I4157" t="s">
        <v>28931</v>
      </c>
      <c r="J4157" t="s">
        <v>23890</v>
      </c>
      <c r="K4157" t="s">
        <v>23891</v>
      </c>
      <c r="L4157" s="7" t="s">
        <v>23892</v>
      </c>
      <c r="M4157" t="s">
        <v>23893</v>
      </c>
      <c r="N4157">
        <v>41</v>
      </c>
      <c r="O4157">
        <v>38</v>
      </c>
      <c r="P4157">
        <v>3</v>
      </c>
      <c r="Q4157">
        <v>41</v>
      </c>
      <c r="R4157">
        <v>38</v>
      </c>
      <c r="S4157">
        <v>3</v>
      </c>
      <c r="T4157">
        <v>0</v>
      </c>
      <c r="U4157" t="s">
        <v>23894</v>
      </c>
      <c r="V4157">
        <f>Tabla1[[#This Row],[Aboard]]-Tabla1[[#This Row],[Fatalities]]</f>
        <v>0</v>
      </c>
      <c r="W4157" s="50">
        <f>IFERROR(Tabla1[[#This Row],[Fatalities]]/Tabla1[[#This Row],[Aboard]],0)</f>
        <v>1</v>
      </c>
      <c r="X4157" s="51" t="str" cm="1">
        <f t="array" ref="X4157">_xlfn.IFS(Tabla1[[#This Row],[Porcentaje de muertes]]&lt;0.35,"LEVE",AND(Tabla1[[#This Row],[Porcentaje de muertes]]&gt;0.35,Tabla1[[#This Row],[Porcentaje de muertes]]&lt;0.65),"MEDIO",Tabla1[[#This Row],[Porcentaje de muertes]]&gt;0.65,"GRAVE")</f>
        <v>GRAVE</v>
      </c>
    </row>
    <row r="4158" spans="2:24" x14ac:dyDescent="0.3">
      <c r="B4158" s="9">
        <v>4158</v>
      </c>
      <c r="C4158" s="49">
        <v>36089</v>
      </c>
      <c r="D4158" s="9">
        <f>YEAR(Tabla1[[#This Row],[Date]])</f>
        <v>1998</v>
      </c>
      <c r="E4158" s="9" t="str" cm="1">
        <f t="array" ref="E4158">IFERROR(_xlfn.IFS(AND(D4158&lt;1980,D4158&gt;=1970),"70",AND(D4158&lt;1990,D4158&gt;=1980),"80",AND(D4158&lt;2000,D4158&gt;=1990),"90",AND(D4158&lt;2010,D4158&gt;=2000),"00",AND(D4158&lt;=2019,D4158&gt;=2010),"10"),"1908-1970")</f>
        <v>90</v>
      </c>
      <c r="F4158" s="3">
        <v>0.57708333333333328</v>
      </c>
      <c r="G4158" t="s">
        <v>23895</v>
      </c>
      <c r="H4158" t="s">
        <v>23896</v>
      </c>
      <c r="I4158" t="s">
        <v>28931</v>
      </c>
      <c r="J4158" t="s">
        <v>23897</v>
      </c>
      <c r="K4158" t="s">
        <v>15961</v>
      </c>
      <c r="L4158" s="7" t="s">
        <v>23898</v>
      </c>
      <c r="M4158">
        <v>9721053</v>
      </c>
      <c r="N4158">
        <v>37</v>
      </c>
      <c r="O4158">
        <v>33</v>
      </c>
      <c r="P4158">
        <v>4</v>
      </c>
      <c r="Q4158">
        <v>0</v>
      </c>
      <c r="R4158">
        <v>0</v>
      </c>
      <c r="S4158">
        <v>0</v>
      </c>
      <c r="T4158">
        <v>4</v>
      </c>
      <c r="U4158" t="s">
        <v>23899</v>
      </c>
      <c r="V4158">
        <f>Tabla1[[#This Row],[Aboard]]-Tabla1[[#This Row],[Fatalities]]</f>
        <v>37</v>
      </c>
      <c r="W4158" s="50">
        <f>IFERROR(Tabla1[[#This Row],[Fatalities]]/Tabla1[[#This Row],[Aboard]],0)</f>
        <v>0</v>
      </c>
      <c r="X4158" s="51" t="str" cm="1">
        <f t="array" ref="X4158">_xlfn.IFS(Tabla1[[#This Row],[Porcentaje de muertes]]&lt;0.35,"LEVE",AND(Tabla1[[#This Row],[Porcentaje de muertes]]&gt;0.35,Tabla1[[#This Row],[Porcentaje de muertes]]&lt;0.65),"MEDIO",Tabla1[[#This Row],[Porcentaje de muertes]]&gt;0.65,"GRAVE")</f>
        <v>LEVE</v>
      </c>
    </row>
    <row r="4159" spans="2:24" x14ac:dyDescent="0.3">
      <c r="B4159" s="9">
        <v>4159</v>
      </c>
      <c r="C4159" s="49">
        <v>36093</v>
      </c>
      <c r="D4159" s="9">
        <f>YEAR(Tabla1[[#This Row],[Date]])</f>
        <v>1998</v>
      </c>
      <c r="E4159" s="9" t="str" cm="1">
        <f t="array" ref="E4159">IFERROR(_xlfn.IFS(AND(D4159&lt;1980,D4159&gt;=1970),"70",AND(D4159&lt;1990,D4159&gt;=1980),"80",AND(D4159&lt;2000,D4159&gt;=1990),"90",AND(D4159&lt;2010,D4159&gt;=2000),"00",AND(D4159&lt;=2019,D4159&gt;=2010),"10"),"1908-1970")</f>
        <v>90</v>
      </c>
      <c r="F4159" s="3" t="s">
        <v>28931</v>
      </c>
      <c r="G4159" t="s">
        <v>23900</v>
      </c>
      <c r="H4159" t="s">
        <v>23901</v>
      </c>
      <c r="I4159" t="s">
        <v>28931</v>
      </c>
      <c r="J4159" t="s">
        <v>23902</v>
      </c>
      <c r="K4159" t="s">
        <v>23903</v>
      </c>
      <c r="L4159" s="7" t="s">
        <v>23904</v>
      </c>
      <c r="M4159">
        <v>284</v>
      </c>
      <c r="N4159">
        <v>11</v>
      </c>
      <c r="O4159">
        <v>10</v>
      </c>
      <c r="P4159">
        <v>1</v>
      </c>
      <c r="Q4159">
        <v>4</v>
      </c>
      <c r="R4159">
        <v>3</v>
      </c>
      <c r="S4159">
        <v>1</v>
      </c>
      <c r="T4159">
        <v>0</v>
      </c>
      <c r="U4159" t="s">
        <v>23905</v>
      </c>
      <c r="V4159">
        <f>Tabla1[[#This Row],[Aboard]]-Tabla1[[#This Row],[Fatalities]]</f>
        <v>7</v>
      </c>
      <c r="W4159" s="50">
        <f>IFERROR(Tabla1[[#This Row],[Fatalities]]/Tabla1[[#This Row],[Aboard]],0)</f>
        <v>0.36363636363636365</v>
      </c>
      <c r="X4159" s="51" t="str" cm="1">
        <f t="array" ref="X4159">_xlfn.IFS(Tabla1[[#This Row],[Porcentaje de muertes]]&lt;0.35,"LEVE",AND(Tabla1[[#This Row],[Porcentaje de muertes]]&gt;0.35,Tabla1[[#This Row],[Porcentaje de muertes]]&lt;0.65),"MEDIO",Tabla1[[#This Row],[Porcentaje de muertes]]&gt;0.65,"GRAVE")</f>
        <v>MEDIO</v>
      </c>
    </row>
    <row r="4160" spans="2:24" x14ac:dyDescent="0.3">
      <c r="B4160" s="9">
        <v>4160</v>
      </c>
      <c r="C4160" s="49">
        <v>35806</v>
      </c>
      <c r="D4160" s="9">
        <f>YEAR(Tabla1[[#This Row],[Date]])</f>
        <v>1998</v>
      </c>
      <c r="E4160" s="9" t="str" cm="1">
        <f t="array" ref="E4160">IFERROR(_xlfn.IFS(AND(D4160&lt;1980,D4160&gt;=1970),"70",AND(D4160&lt;1990,D4160&gt;=1980),"80",AND(D4160&lt;2000,D4160&gt;=1990),"90",AND(D4160&lt;2010,D4160&gt;=2000),"00",AND(D4160&lt;=2019,D4160&gt;=2010),"10"),"1908-1970")</f>
        <v>90</v>
      </c>
      <c r="F4160" s="3">
        <v>0.55138888888888882</v>
      </c>
      <c r="G4160" t="s">
        <v>23906</v>
      </c>
      <c r="H4160" t="s">
        <v>23907</v>
      </c>
      <c r="I4160" t="s">
        <v>28931</v>
      </c>
      <c r="J4160" t="s">
        <v>23908</v>
      </c>
      <c r="K4160" t="s">
        <v>9005</v>
      </c>
      <c r="L4160" s="7" t="s">
        <v>23909</v>
      </c>
      <c r="M4160">
        <v>20562</v>
      </c>
      <c r="N4160">
        <v>18</v>
      </c>
      <c r="O4160">
        <v>16</v>
      </c>
      <c r="P4160">
        <v>2</v>
      </c>
      <c r="Q4160">
        <v>11</v>
      </c>
      <c r="R4160">
        <v>9</v>
      </c>
      <c r="S4160">
        <v>2</v>
      </c>
      <c r="T4160">
        <v>0</v>
      </c>
      <c r="U4160" t="s">
        <v>23910</v>
      </c>
      <c r="V4160">
        <f>Tabla1[[#This Row],[Aboard]]-Tabla1[[#This Row],[Fatalities]]</f>
        <v>7</v>
      </c>
      <c r="W4160" s="50">
        <f>IFERROR(Tabla1[[#This Row],[Fatalities]]/Tabla1[[#This Row],[Aboard]],0)</f>
        <v>0.61111111111111116</v>
      </c>
      <c r="X4160" s="51" t="str" cm="1">
        <f t="array" ref="X4160">_xlfn.IFS(Tabla1[[#This Row],[Porcentaje de muertes]]&lt;0.35,"LEVE",AND(Tabla1[[#This Row],[Porcentaje de muertes]]&gt;0.35,Tabla1[[#This Row],[Porcentaje de muertes]]&lt;0.65),"MEDIO",Tabla1[[#This Row],[Porcentaje de muertes]]&gt;0.65,"GRAVE")</f>
        <v>MEDIO</v>
      </c>
    </row>
    <row r="4161" spans="2:24" x14ac:dyDescent="0.3">
      <c r="B4161" s="9">
        <v>4161</v>
      </c>
      <c r="C4161" s="49">
        <v>36110</v>
      </c>
      <c r="D4161" s="9">
        <f>YEAR(Tabla1[[#This Row],[Date]])</f>
        <v>1998</v>
      </c>
      <c r="E4161" s="9" t="str" cm="1">
        <f t="array" ref="E4161">IFERROR(_xlfn.IFS(AND(D4161&lt;1980,D4161&gt;=1970),"70",AND(D4161&lt;1990,D4161&gt;=1980),"80",AND(D4161&lt;2000,D4161&gt;=1990),"90",AND(D4161&lt;2010,D4161&gt;=2000),"00",AND(D4161&lt;=2019,D4161&gt;=2010),"10"),"1908-1970")</f>
        <v>90</v>
      </c>
      <c r="F4161" s="3">
        <v>0.47361111111111115</v>
      </c>
      <c r="G4161" t="s">
        <v>22776</v>
      </c>
      <c r="H4161" t="s">
        <v>22313</v>
      </c>
      <c r="I4161" t="s">
        <v>28931</v>
      </c>
      <c r="J4161" t="s">
        <v>23911</v>
      </c>
      <c r="K4161" t="s">
        <v>13992</v>
      </c>
      <c r="L4161" s="7" t="s">
        <v>23912</v>
      </c>
      <c r="M4161">
        <v>8345506</v>
      </c>
      <c r="N4161">
        <v>13</v>
      </c>
      <c r="O4161">
        <v>7</v>
      </c>
      <c r="P4161">
        <v>6</v>
      </c>
      <c r="Q4161">
        <v>13</v>
      </c>
      <c r="R4161">
        <v>7</v>
      </c>
      <c r="S4161">
        <v>6</v>
      </c>
      <c r="T4161">
        <v>0</v>
      </c>
      <c r="U4161" t="s">
        <v>23913</v>
      </c>
      <c r="V4161">
        <f>Tabla1[[#This Row],[Aboard]]-Tabla1[[#This Row],[Fatalities]]</f>
        <v>0</v>
      </c>
      <c r="W4161" s="50">
        <f>IFERROR(Tabla1[[#This Row],[Fatalities]]/Tabla1[[#This Row],[Aboard]],0)</f>
        <v>1</v>
      </c>
      <c r="X4161" s="51" t="str" cm="1">
        <f t="array" ref="X4161">_xlfn.IFS(Tabla1[[#This Row],[Porcentaje de muertes]]&lt;0.35,"LEVE",AND(Tabla1[[#This Row],[Porcentaje de muertes]]&gt;0.35,Tabla1[[#This Row],[Porcentaje de muertes]]&lt;0.65),"MEDIO",Tabla1[[#This Row],[Porcentaje de muertes]]&gt;0.65,"GRAVE")</f>
        <v>GRAVE</v>
      </c>
    </row>
    <row r="4162" spans="2:24" x14ac:dyDescent="0.3">
      <c r="B4162" s="9">
        <v>4162</v>
      </c>
      <c r="C4162" s="49">
        <v>36120</v>
      </c>
      <c r="D4162" s="9">
        <f>YEAR(Tabla1[[#This Row],[Date]])</f>
        <v>1998</v>
      </c>
      <c r="E4162" s="9" t="str" cm="1">
        <f t="array" ref="E4162">IFERROR(_xlfn.IFS(AND(D4162&lt;1980,D4162&gt;=1970),"70",AND(D4162&lt;1990,D4162&gt;=1980),"80",AND(D4162&lt;2000,D4162&gt;=1990),"90",AND(D4162&lt;2010,D4162&gt;=2000),"00",AND(D4162&lt;=2019,D4162&gt;=2010),"10"),"1908-1970")</f>
        <v>90</v>
      </c>
      <c r="F4162" s="3">
        <v>0.73819444444444438</v>
      </c>
      <c r="G4162" t="s">
        <v>23914</v>
      </c>
      <c r="H4162" t="s">
        <v>5032</v>
      </c>
      <c r="I4162" t="s">
        <v>28931</v>
      </c>
      <c r="J4162" t="s">
        <v>23915</v>
      </c>
      <c r="K4162" t="s">
        <v>23916</v>
      </c>
      <c r="L4162" s="7" t="s">
        <v>23917</v>
      </c>
      <c r="M4162">
        <v>21119</v>
      </c>
      <c r="N4162">
        <v>1</v>
      </c>
      <c r="O4162">
        <v>0</v>
      </c>
      <c r="P4162">
        <v>1</v>
      </c>
      <c r="Q4162">
        <v>1</v>
      </c>
      <c r="R4162">
        <v>0</v>
      </c>
      <c r="S4162">
        <v>1</v>
      </c>
      <c r="T4162">
        <v>0</v>
      </c>
      <c r="U4162" t="s">
        <v>23918</v>
      </c>
      <c r="V4162">
        <f>Tabla1[[#This Row],[Aboard]]-Tabla1[[#This Row],[Fatalities]]</f>
        <v>0</v>
      </c>
      <c r="W4162" s="50">
        <f>IFERROR(Tabla1[[#This Row],[Fatalities]]/Tabla1[[#This Row],[Aboard]],0)</f>
        <v>1</v>
      </c>
      <c r="X4162" s="51" t="str" cm="1">
        <f t="array" ref="X4162">_xlfn.IFS(Tabla1[[#This Row],[Porcentaje de muertes]]&lt;0.35,"LEVE",AND(Tabla1[[#This Row],[Porcentaje de muertes]]&gt;0.35,Tabla1[[#This Row],[Porcentaje de muertes]]&lt;0.65),"MEDIO",Tabla1[[#This Row],[Porcentaje de muertes]]&gt;0.65,"GRAVE")</f>
        <v>GRAVE</v>
      </c>
    </row>
    <row r="4163" spans="2:24" x14ac:dyDescent="0.3">
      <c r="B4163" s="9">
        <v>4163</v>
      </c>
      <c r="C4163" s="49">
        <v>35988</v>
      </c>
      <c r="D4163" s="9">
        <f>YEAR(Tabla1[[#This Row],[Date]])</f>
        <v>1998</v>
      </c>
      <c r="E4163" s="9" t="str" cm="1">
        <f t="array" ref="E4163">IFERROR(_xlfn.IFS(AND(D4163&lt;1980,D4163&gt;=1970),"70",AND(D4163&lt;1990,D4163&gt;=1980),"80",AND(D4163&lt;2000,D4163&gt;=1990),"90",AND(D4163&lt;2010,D4163&gt;=2000),"00",AND(D4163&lt;=2019,D4163&gt;=2010),"10"),"1908-1970")</f>
        <v>90</v>
      </c>
      <c r="F4163" s="3">
        <v>0.4604166666666667</v>
      </c>
      <c r="G4163" t="s">
        <v>23919</v>
      </c>
      <c r="H4163" t="s">
        <v>23920</v>
      </c>
      <c r="I4163" t="s">
        <v>28931</v>
      </c>
      <c r="J4163" t="s">
        <v>23921</v>
      </c>
      <c r="K4163" t="s">
        <v>23922</v>
      </c>
      <c r="L4163" s="7" t="s">
        <v>23923</v>
      </c>
      <c r="M4163">
        <v>2028</v>
      </c>
      <c r="N4163">
        <v>10</v>
      </c>
      <c r="O4163">
        <v>8</v>
      </c>
      <c r="P4163">
        <v>2</v>
      </c>
      <c r="Q4163">
        <v>7</v>
      </c>
      <c r="R4163">
        <v>6</v>
      </c>
      <c r="S4163">
        <v>1</v>
      </c>
      <c r="T4163">
        <v>0</v>
      </c>
      <c r="U4163" t="s">
        <v>23924</v>
      </c>
      <c r="V4163">
        <f>Tabla1[[#This Row],[Aboard]]-Tabla1[[#This Row],[Fatalities]]</f>
        <v>3</v>
      </c>
      <c r="W4163" s="50">
        <f>IFERROR(Tabla1[[#This Row],[Fatalities]]/Tabla1[[#This Row],[Aboard]],0)</f>
        <v>0.7</v>
      </c>
      <c r="X4163" s="51" t="str" cm="1">
        <f t="array" ref="X4163">_xlfn.IFS(Tabla1[[#This Row],[Porcentaje de muertes]]&lt;0.35,"LEVE",AND(Tabla1[[#This Row],[Porcentaje de muertes]]&gt;0.35,Tabla1[[#This Row],[Porcentaje de muertes]]&lt;0.65),"MEDIO",Tabla1[[#This Row],[Porcentaje de muertes]]&gt;0.65,"GRAVE")</f>
        <v>GRAVE</v>
      </c>
    </row>
    <row r="4164" spans="2:24" x14ac:dyDescent="0.3">
      <c r="B4164" s="9">
        <v>4164</v>
      </c>
      <c r="C4164" s="49">
        <v>36111</v>
      </c>
      <c r="D4164" s="9">
        <f>YEAR(Tabla1[[#This Row],[Date]])</f>
        <v>1998</v>
      </c>
      <c r="E4164" s="9" t="str" cm="1">
        <f t="array" ref="E4164">IFERROR(_xlfn.IFS(AND(D4164&lt;1980,D4164&gt;=1970),"70",AND(D4164&lt;1990,D4164&gt;=1980),"80",AND(D4164&lt;2000,D4164&gt;=1990),"90",AND(D4164&lt;2010,D4164&gt;=2000),"00",AND(D4164&lt;=2019,D4164&gt;=2010),"10"),"1908-1970")</f>
        <v>90</v>
      </c>
      <c r="F4164" s="3">
        <v>0.79861111111111116</v>
      </c>
      <c r="G4164" t="s">
        <v>23925</v>
      </c>
      <c r="H4164" t="s">
        <v>15100</v>
      </c>
      <c r="I4164">
        <v>261</v>
      </c>
      <c r="J4164" t="s">
        <v>23926</v>
      </c>
      <c r="K4164" t="s">
        <v>23927</v>
      </c>
      <c r="L4164" s="7" t="s">
        <v>23928</v>
      </c>
      <c r="M4164">
        <v>415</v>
      </c>
      <c r="N4164">
        <v>146</v>
      </c>
      <c r="O4164">
        <v>132</v>
      </c>
      <c r="P4164">
        <v>14</v>
      </c>
      <c r="Q4164">
        <v>102</v>
      </c>
      <c r="R4164">
        <v>91</v>
      </c>
      <c r="S4164">
        <v>11</v>
      </c>
      <c r="T4164">
        <v>0</v>
      </c>
      <c r="U4164" t="s">
        <v>23929</v>
      </c>
      <c r="V4164">
        <f>Tabla1[[#This Row],[Aboard]]-Tabla1[[#This Row],[Fatalities]]</f>
        <v>44</v>
      </c>
      <c r="W4164" s="50">
        <f>IFERROR(Tabla1[[#This Row],[Fatalities]]/Tabla1[[#This Row],[Aboard]],0)</f>
        <v>0.69863013698630139</v>
      </c>
      <c r="X4164" s="51" t="str" cm="1">
        <f t="array" ref="X4164">_xlfn.IFS(Tabla1[[#This Row],[Porcentaje de muertes]]&lt;0.35,"LEVE",AND(Tabla1[[#This Row],[Porcentaje de muertes]]&gt;0.35,Tabla1[[#This Row],[Porcentaje de muertes]]&lt;0.65),"MEDIO",Tabla1[[#This Row],[Porcentaje de muertes]]&gt;0.65,"GRAVE")</f>
        <v>GRAVE</v>
      </c>
    </row>
    <row r="4165" spans="2:24" x14ac:dyDescent="0.3">
      <c r="B4165" s="9">
        <v>4165</v>
      </c>
      <c r="C4165" s="49">
        <v>36143</v>
      </c>
      <c r="D4165" s="9">
        <f>YEAR(Tabla1[[#This Row],[Date]])</f>
        <v>1998</v>
      </c>
      <c r="E4165" s="9" t="str" cm="1">
        <f t="array" ref="E4165">IFERROR(_xlfn.IFS(AND(D4165&lt;1980,D4165&gt;=1970),"70",AND(D4165&lt;1990,D4165&gt;=1980),"80",AND(D4165&lt;2000,D4165&gt;=1990),"90",AND(D4165&lt;2010,D4165&gt;=2000),"00",AND(D4165&lt;=2019,D4165&gt;=2010),"10"),"1908-1970")</f>
        <v>90</v>
      </c>
      <c r="F4165" s="3" t="s">
        <v>28931</v>
      </c>
      <c r="G4165" t="s">
        <v>22670</v>
      </c>
      <c r="H4165" t="s">
        <v>23930</v>
      </c>
      <c r="I4165" t="s">
        <v>28931</v>
      </c>
      <c r="J4165" t="s">
        <v>28931</v>
      </c>
      <c r="K4165" t="s">
        <v>15139</v>
      </c>
      <c r="L4165" s="7" t="s">
        <v>23931</v>
      </c>
      <c r="M4165">
        <v>4342510</v>
      </c>
      <c r="N4165">
        <v>11</v>
      </c>
      <c r="O4165">
        <v>6</v>
      </c>
      <c r="P4165">
        <v>5</v>
      </c>
      <c r="Q4165">
        <v>11</v>
      </c>
      <c r="R4165">
        <v>6</v>
      </c>
      <c r="S4165">
        <v>5</v>
      </c>
      <c r="T4165">
        <v>0</v>
      </c>
      <c r="U4165" t="s">
        <v>23932</v>
      </c>
      <c r="V4165">
        <f>Tabla1[[#This Row],[Aboard]]-Tabla1[[#This Row],[Fatalities]]</f>
        <v>0</v>
      </c>
      <c r="W4165" s="50">
        <f>IFERROR(Tabla1[[#This Row],[Fatalities]]/Tabla1[[#This Row],[Aboard]],0)</f>
        <v>1</v>
      </c>
      <c r="X4165" s="51" t="str" cm="1">
        <f t="array" ref="X4165">_xlfn.IFS(Tabla1[[#This Row],[Porcentaje de muertes]]&lt;0.35,"LEVE",AND(Tabla1[[#This Row],[Porcentaje de muertes]]&gt;0.35,Tabla1[[#This Row],[Porcentaje de muertes]]&lt;0.65),"MEDIO",Tabla1[[#This Row],[Porcentaje de muertes]]&gt;0.65,"GRAVE")</f>
        <v>GRAVE</v>
      </c>
    </row>
    <row r="4166" spans="2:24" x14ac:dyDescent="0.3">
      <c r="B4166" s="9">
        <v>4166</v>
      </c>
      <c r="C4166" s="49">
        <v>36146</v>
      </c>
      <c r="D4166" s="9">
        <f>YEAR(Tabla1[[#This Row],[Date]])</f>
        <v>1998</v>
      </c>
      <c r="E4166" s="9" t="str" cm="1">
        <f t="array" ref="E4166">IFERROR(_xlfn.IFS(AND(D4166&lt;1980,D4166&gt;=1970),"70",AND(D4166&lt;1990,D4166&gt;=1980),"80",AND(D4166&lt;2000,D4166&gt;=1990),"90",AND(D4166&lt;2010,D4166&gt;=2000),"00",AND(D4166&lt;=2019,D4166&gt;=2010),"10"),"1908-1970")</f>
        <v>90</v>
      </c>
      <c r="F4166" s="3" t="s">
        <v>28931</v>
      </c>
      <c r="G4166" t="s">
        <v>23823</v>
      </c>
      <c r="H4166" t="s">
        <v>23933</v>
      </c>
      <c r="I4166" t="s">
        <v>28931</v>
      </c>
      <c r="J4166" t="s">
        <v>23934</v>
      </c>
      <c r="K4166" t="s">
        <v>23935</v>
      </c>
      <c r="L4166" s="7" t="s">
        <v>23936</v>
      </c>
      <c r="M4166">
        <v>12357</v>
      </c>
      <c r="N4166">
        <v>10</v>
      </c>
      <c r="O4166">
        <v>2</v>
      </c>
      <c r="P4166">
        <v>8</v>
      </c>
      <c r="Q4166">
        <v>1</v>
      </c>
      <c r="R4166" t="s">
        <v>5038</v>
      </c>
      <c r="S4166" t="s">
        <v>5038</v>
      </c>
      <c r="T4166">
        <v>0</v>
      </c>
      <c r="U4166" t="s">
        <v>23937</v>
      </c>
      <c r="V4166">
        <f>Tabla1[[#This Row],[Aboard]]-Tabla1[[#This Row],[Fatalities]]</f>
        <v>9</v>
      </c>
      <c r="W4166" s="50">
        <f>IFERROR(Tabla1[[#This Row],[Fatalities]]/Tabla1[[#This Row],[Aboard]],0)</f>
        <v>0.1</v>
      </c>
      <c r="X4166" s="51" t="str" cm="1">
        <f t="array" ref="X4166">_xlfn.IFS(Tabla1[[#This Row],[Porcentaje de muertes]]&lt;0.35,"LEVE",AND(Tabla1[[#This Row],[Porcentaje de muertes]]&gt;0.35,Tabla1[[#This Row],[Porcentaje de muertes]]&lt;0.65),"MEDIO",Tabla1[[#This Row],[Porcentaje de muertes]]&gt;0.65,"GRAVE")</f>
        <v>LEVE</v>
      </c>
    </row>
    <row r="4167" spans="2:24" x14ac:dyDescent="0.3">
      <c r="B4167" s="9">
        <v>4167</v>
      </c>
      <c r="C4167" s="49">
        <v>36151</v>
      </c>
      <c r="D4167" s="9">
        <f>YEAR(Tabla1[[#This Row],[Date]])</f>
        <v>1998</v>
      </c>
      <c r="E4167" s="9" t="str" cm="1">
        <f t="array" ref="E4167">IFERROR(_xlfn.IFS(AND(D4167&lt;1980,D4167&gt;=1970),"70",AND(D4167&lt;1990,D4167&gt;=1980),"80",AND(D4167&lt;2000,D4167&gt;=1990),"90",AND(D4167&lt;2010,D4167&gt;=2000),"00",AND(D4167&lt;=2019,D4167&gt;=2010),"10"),"1908-1970")</f>
        <v>90</v>
      </c>
      <c r="F4167" s="3">
        <v>1.0416666666666666E-2</v>
      </c>
      <c r="G4167" t="s">
        <v>23938</v>
      </c>
      <c r="H4167" t="s">
        <v>22658</v>
      </c>
      <c r="I4167" t="s">
        <v>28931</v>
      </c>
      <c r="J4167" t="s">
        <v>23939</v>
      </c>
      <c r="K4167" t="s">
        <v>23940</v>
      </c>
      <c r="L4167" s="7" t="s">
        <v>23941</v>
      </c>
      <c r="M4167">
        <v>3309</v>
      </c>
      <c r="N4167">
        <v>5</v>
      </c>
      <c r="O4167">
        <v>2</v>
      </c>
      <c r="P4167">
        <v>3</v>
      </c>
      <c r="Q4167">
        <v>5</v>
      </c>
      <c r="R4167">
        <v>2</v>
      </c>
      <c r="S4167">
        <v>3</v>
      </c>
      <c r="T4167">
        <v>0</v>
      </c>
      <c r="U4167" t="s">
        <v>23942</v>
      </c>
      <c r="V4167">
        <f>Tabla1[[#This Row],[Aboard]]-Tabla1[[#This Row],[Fatalities]]</f>
        <v>0</v>
      </c>
      <c r="W4167" s="50">
        <f>IFERROR(Tabla1[[#This Row],[Fatalities]]/Tabla1[[#This Row],[Aboard]],0)</f>
        <v>1</v>
      </c>
      <c r="X4167" s="51" t="str" cm="1">
        <f t="array" ref="X4167">_xlfn.IFS(Tabla1[[#This Row],[Porcentaje de muertes]]&lt;0.35,"LEVE",AND(Tabla1[[#This Row],[Porcentaje de muertes]]&gt;0.35,Tabla1[[#This Row],[Porcentaje de muertes]]&lt;0.65),"MEDIO",Tabla1[[#This Row],[Porcentaje de muertes]]&gt;0.65,"GRAVE")</f>
        <v>GRAVE</v>
      </c>
    </row>
    <row r="4168" spans="2:24" x14ac:dyDescent="0.3">
      <c r="B4168" s="9">
        <v>4168</v>
      </c>
      <c r="C4168" s="49">
        <v>36155</v>
      </c>
      <c r="D4168" s="9">
        <f>YEAR(Tabla1[[#This Row],[Date]])</f>
        <v>1998</v>
      </c>
      <c r="E4168" s="9" t="str" cm="1">
        <f t="array" ref="E4168">IFERROR(_xlfn.IFS(AND(D4168&lt;1980,D4168&gt;=1970),"70",AND(D4168&lt;1990,D4168&gt;=1980),"80",AND(D4168&lt;2000,D4168&gt;=1990),"90",AND(D4168&lt;2010,D4168&gt;=2000),"00",AND(D4168&lt;=2019,D4168&gt;=2010),"10"),"1908-1970")</f>
        <v>90</v>
      </c>
      <c r="F4168" s="3">
        <v>0.5</v>
      </c>
      <c r="G4168" t="s">
        <v>23943</v>
      </c>
      <c r="H4168" t="s">
        <v>21544</v>
      </c>
      <c r="I4168">
        <v>806</v>
      </c>
      <c r="J4168" t="s">
        <v>23944</v>
      </c>
      <c r="K4168" t="s">
        <v>23945</v>
      </c>
      <c r="L4168" s="7" t="s">
        <v>23946</v>
      </c>
      <c r="M4168">
        <v>4561</v>
      </c>
      <c r="N4168">
        <v>14</v>
      </c>
      <c r="O4168">
        <v>10</v>
      </c>
      <c r="P4168">
        <v>4</v>
      </c>
      <c r="Q4168">
        <v>14</v>
      </c>
      <c r="R4168">
        <v>10</v>
      </c>
      <c r="S4168">
        <v>4</v>
      </c>
      <c r="T4168">
        <v>0</v>
      </c>
      <c r="U4168" t="s">
        <v>23947</v>
      </c>
      <c r="V4168">
        <f>Tabla1[[#This Row],[Aboard]]-Tabla1[[#This Row],[Fatalities]]</f>
        <v>0</v>
      </c>
      <c r="W4168" s="50">
        <f>IFERROR(Tabla1[[#This Row],[Fatalities]]/Tabla1[[#This Row],[Aboard]],0)</f>
        <v>1</v>
      </c>
      <c r="X4168" s="51" t="str" cm="1">
        <f t="array" ref="X4168">_xlfn.IFS(Tabla1[[#This Row],[Porcentaje de muertes]]&lt;0.35,"LEVE",AND(Tabla1[[#This Row],[Porcentaje de muertes]]&gt;0.35,Tabla1[[#This Row],[Porcentaje de muertes]]&lt;0.65),"MEDIO",Tabla1[[#This Row],[Porcentaje de muertes]]&gt;0.65,"GRAVE")</f>
        <v>GRAVE</v>
      </c>
    </row>
    <row r="4169" spans="2:24" x14ac:dyDescent="0.3">
      <c r="B4169" s="9">
        <v>4169</v>
      </c>
      <c r="C4169" s="49">
        <v>36192</v>
      </c>
      <c r="D4169" s="9">
        <f>YEAR(Tabla1[[#This Row],[Date]])</f>
        <v>1999</v>
      </c>
      <c r="E4169" s="9" t="str" cm="1">
        <f t="array" ref="E4169">IFERROR(_xlfn.IFS(AND(D4169&lt;1980,D4169&gt;=1970),"70",AND(D4169&lt;1990,D4169&gt;=1980),"80",AND(D4169&lt;2000,D4169&gt;=1990),"90",AND(D4169&lt;2010,D4169&gt;=2000),"00",AND(D4169&lt;=2019,D4169&gt;=2010),"10"),"1908-1970")</f>
        <v>90</v>
      </c>
      <c r="F4169" s="3" t="s">
        <v>28931</v>
      </c>
      <c r="G4169" t="s">
        <v>23948</v>
      </c>
      <c r="H4169" t="s">
        <v>23949</v>
      </c>
      <c r="I4169" t="s">
        <v>28931</v>
      </c>
      <c r="J4169" t="s">
        <v>23950</v>
      </c>
      <c r="K4169" t="s">
        <v>17107</v>
      </c>
      <c r="L4169" s="7" t="s">
        <v>23951</v>
      </c>
      <c r="M4169">
        <v>4839</v>
      </c>
      <c r="N4169">
        <v>9</v>
      </c>
      <c r="O4169">
        <v>5</v>
      </c>
      <c r="P4169">
        <v>4</v>
      </c>
      <c r="Q4169">
        <v>9</v>
      </c>
      <c r="R4169">
        <v>5</v>
      </c>
      <c r="S4169">
        <v>4</v>
      </c>
      <c r="T4169">
        <v>0</v>
      </c>
      <c r="U4169" t="s">
        <v>23952</v>
      </c>
      <c r="V4169">
        <f>Tabla1[[#This Row],[Aboard]]-Tabla1[[#This Row],[Fatalities]]</f>
        <v>0</v>
      </c>
      <c r="W4169" s="50">
        <f>IFERROR(Tabla1[[#This Row],[Fatalities]]/Tabla1[[#This Row],[Aboard]],0)</f>
        <v>1</v>
      </c>
      <c r="X4169" s="51" t="str" cm="1">
        <f t="array" ref="X4169">_xlfn.IFS(Tabla1[[#This Row],[Porcentaje de muertes]]&lt;0.35,"LEVE",AND(Tabla1[[#This Row],[Porcentaje de muertes]]&gt;0.35,Tabla1[[#This Row],[Porcentaje de muertes]]&lt;0.65),"MEDIO",Tabla1[[#This Row],[Porcentaje de muertes]]&gt;0.65,"GRAVE")</f>
        <v>GRAVE</v>
      </c>
    </row>
    <row r="4170" spans="2:24" x14ac:dyDescent="0.3">
      <c r="B4170" s="9">
        <v>4170</v>
      </c>
      <c r="C4170" s="49">
        <v>36495</v>
      </c>
      <c r="D4170" s="9">
        <f>YEAR(Tabla1[[#This Row],[Date]])</f>
        <v>1999</v>
      </c>
      <c r="E4170" s="9" t="str" cm="1">
        <f t="array" ref="E4170">IFERROR(_xlfn.IFS(AND(D4170&lt;1980,D4170&gt;=1970),"70",AND(D4170&lt;1990,D4170&gt;=1980),"80",AND(D4170&lt;2000,D4170&gt;=1990),"90",AND(D4170&lt;2010,D4170&gt;=2000),"00",AND(D4170&lt;=2019,D4170&gt;=2010),"10"),"1908-1970")</f>
        <v>90</v>
      </c>
      <c r="F4170" s="3">
        <v>0.70833333333333337</v>
      </c>
      <c r="G4170" t="s">
        <v>23953</v>
      </c>
      <c r="H4170" t="s">
        <v>23954</v>
      </c>
      <c r="I4170" t="s">
        <v>28931</v>
      </c>
      <c r="J4170" t="s">
        <v>23955</v>
      </c>
      <c r="K4170" t="s">
        <v>15526</v>
      </c>
      <c r="L4170" s="7" t="s">
        <v>23956</v>
      </c>
      <c r="M4170">
        <v>10508</v>
      </c>
      <c r="N4170">
        <v>2</v>
      </c>
      <c r="O4170">
        <v>0</v>
      </c>
      <c r="P4170">
        <v>2</v>
      </c>
      <c r="Q4170">
        <v>2</v>
      </c>
      <c r="R4170">
        <v>0</v>
      </c>
      <c r="S4170">
        <v>2</v>
      </c>
      <c r="T4170">
        <v>0</v>
      </c>
      <c r="U4170" t="s">
        <v>23957</v>
      </c>
      <c r="V4170">
        <f>Tabla1[[#This Row],[Aboard]]-Tabla1[[#This Row],[Fatalities]]</f>
        <v>0</v>
      </c>
      <c r="W4170" s="50">
        <f>IFERROR(Tabla1[[#This Row],[Fatalities]]/Tabla1[[#This Row],[Aboard]],0)</f>
        <v>1</v>
      </c>
      <c r="X4170" s="51" t="str" cm="1">
        <f t="array" ref="X4170">_xlfn.IFS(Tabla1[[#This Row],[Porcentaje de muertes]]&lt;0.35,"LEVE",AND(Tabla1[[#This Row],[Porcentaje de muertes]]&gt;0.35,Tabla1[[#This Row],[Porcentaje de muertes]]&lt;0.65),"MEDIO",Tabla1[[#This Row],[Porcentaje de muertes]]&gt;0.65,"GRAVE")</f>
        <v>GRAVE</v>
      </c>
    </row>
    <row r="4171" spans="2:24" x14ac:dyDescent="0.3">
      <c r="B4171" s="9">
        <v>4171</v>
      </c>
      <c r="C4171" s="49">
        <v>36173</v>
      </c>
      <c r="D4171" s="9">
        <f>YEAR(Tabla1[[#This Row],[Date]])</f>
        <v>1999</v>
      </c>
      <c r="E4171" s="9" t="str" cm="1">
        <f t="array" ref="E4171">IFERROR(_xlfn.IFS(AND(D4171&lt;1980,D4171&gt;=1970),"70",AND(D4171&lt;1990,D4171&gt;=1980),"80",AND(D4171&lt;2000,D4171&gt;=1990),"90",AND(D4171&lt;2010,D4171&gt;=2000),"00",AND(D4171&lt;=2019,D4171&gt;=2010),"10"),"1908-1970")</f>
        <v>90</v>
      </c>
      <c r="F4171" s="3" t="s">
        <v>28931</v>
      </c>
      <c r="G4171" t="s">
        <v>23958</v>
      </c>
      <c r="H4171" t="s">
        <v>23959</v>
      </c>
      <c r="I4171" t="s">
        <v>28931</v>
      </c>
      <c r="J4171" t="s">
        <v>23960</v>
      </c>
      <c r="K4171" t="s">
        <v>21029</v>
      </c>
      <c r="L4171" s="7" t="s">
        <v>23961</v>
      </c>
      <c r="M4171" t="s">
        <v>23962</v>
      </c>
      <c r="N4171">
        <v>4</v>
      </c>
      <c r="O4171">
        <v>0</v>
      </c>
      <c r="P4171">
        <v>4</v>
      </c>
      <c r="Q4171">
        <v>4</v>
      </c>
      <c r="R4171">
        <v>0</v>
      </c>
      <c r="S4171">
        <v>4</v>
      </c>
      <c r="T4171">
        <v>0</v>
      </c>
      <c r="U4171" t="s">
        <v>23963</v>
      </c>
      <c r="V4171">
        <f>Tabla1[[#This Row],[Aboard]]-Tabla1[[#This Row],[Fatalities]]</f>
        <v>0</v>
      </c>
      <c r="W4171" s="50">
        <f>IFERROR(Tabla1[[#This Row],[Fatalities]]/Tabla1[[#This Row],[Aboard]],0)</f>
        <v>1</v>
      </c>
      <c r="X4171" s="51" t="str" cm="1">
        <f t="array" ref="X4171">_xlfn.IFS(Tabla1[[#This Row],[Porcentaje de muertes]]&lt;0.35,"LEVE",AND(Tabla1[[#This Row],[Porcentaje de muertes]]&gt;0.35,Tabla1[[#This Row],[Porcentaje de muertes]]&lt;0.65),"MEDIO",Tabla1[[#This Row],[Porcentaje de muertes]]&gt;0.65,"GRAVE")</f>
        <v>GRAVE</v>
      </c>
    </row>
    <row r="4172" spans="2:24" x14ac:dyDescent="0.3">
      <c r="B4172" s="9">
        <v>4172</v>
      </c>
      <c r="C4172" s="49">
        <v>36173</v>
      </c>
      <c r="D4172" s="9">
        <f>YEAR(Tabla1[[#This Row],[Date]])</f>
        <v>1999</v>
      </c>
      <c r="E4172" s="9" t="str" cm="1">
        <f t="array" ref="E4172">IFERROR(_xlfn.IFS(AND(D4172&lt;1980,D4172&gt;=1970),"70",AND(D4172&lt;1990,D4172&gt;=1980),"80",AND(D4172&lt;2000,D4172&gt;=1990),"90",AND(D4172&lt;2010,D4172&gt;=2000),"00",AND(D4172&lt;=2019,D4172&gt;=2010),"10"),"1908-1970")</f>
        <v>90</v>
      </c>
      <c r="F4172" s="3">
        <v>0.27291666666666664</v>
      </c>
      <c r="G4172" t="s">
        <v>23964</v>
      </c>
      <c r="H4172" t="s">
        <v>23965</v>
      </c>
      <c r="I4172" t="s">
        <v>28931</v>
      </c>
      <c r="J4172" t="s">
        <v>23966</v>
      </c>
      <c r="K4172" t="s">
        <v>9005</v>
      </c>
      <c r="L4172" s="7" t="s">
        <v>23967</v>
      </c>
      <c r="M4172">
        <v>32963</v>
      </c>
      <c r="N4172">
        <v>2</v>
      </c>
      <c r="O4172">
        <v>0</v>
      </c>
      <c r="P4172">
        <v>2</v>
      </c>
      <c r="Q4172">
        <v>2</v>
      </c>
      <c r="R4172">
        <v>0</v>
      </c>
      <c r="S4172">
        <v>2</v>
      </c>
      <c r="T4172">
        <v>0</v>
      </c>
      <c r="U4172" t="s">
        <v>23968</v>
      </c>
      <c r="V4172">
        <f>Tabla1[[#This Row],[Aboard]]-Tabla1[[#This Row],[Fatalities]]</f>
        <v>0</v>
      </c>
      <c r="W4172" s="50">
        <f>IFERROR(Tabla1[[#This Row],[Fatalities]]/Tabla1[[#This Row],[Aboard]],0)</f>
        <v>1</v>
      </c>
      <c r="X4172" s="51" t="str" cm="1">
        <f t="array" ref="X4172">_xlfn.IFS(Tabla1[[#This Row],[Porcentaje de muertes]]&lt;0.35,"LEVE",AND(Tabla1[[#This Row],[Porcentaje de muertes]]&gt;0.35,Tabla1[[#This Row],[Porcentaje de muertes]]&lt;0.65),"MEDIO",Tabla1[[#This Row],[Porcentaje de muertes]]&gt;0.65,"GRAVE")</f>
        <v>GRAVE</v>
      </c>
    </row>
    <row r="4173" spans="2:24" x14ac:dyDescent="0.3">
      <c r="B4173" s="9">
        <v>4173</v>
      </c>
      <c r="C4173" s="49">
        <v>36176</v>
      </c>
      <c r="D4173" s="9">
        <f>YEAR(Tabla1[[#This Row],[Date]])</f>
        <v>1999</v>
      </c>
      <c r="E4173" s="9" t="str" cm="1">
        <f t="array" ref="E4173">IFERROR(_xlfn.IFS(AND(D4173&lt;1980,D4173&gt;=1970),"70",AND(D4173&lt;1990,D4173&gt;=1980),"80",AND(D4173&lt;2000,D4173&gt;=1990),"90",AND(D4173&lt;2010,D4173&gt;=2000),"00",AND(D4173&lt;=2019,D4173&gt;=2010),"10"),"1908-1970")</f>
        <v>90</v>
      </c>
      <c r="F4173" s="3">
        <v>0.60416666666666663</v>
      </c>
      <c r="G4173" t="s">
        <v>23969</v>
      </c>
      <c r="H4173" t="s">
        <v>23970</v>
      </c>
      <c r="I4173" t="s">
        <v>28931</v>
      </c>
      <c r="J4173" t="s">
        <v>23971</v>
      </c>
      <c r="K4173" t="s">
        <v>23972</v>
      </c>
      <c r="L4173" s="7" t="s">
        <v>23973</v>
      </c>
      <c r="M4173">
        <v>763</v>
      </c>
      <c r="N4173">
        <v>4</v>
      </c>
      <c r="O4173">
        <v>3</v>
      </c>
      <c r="P4173">
        <v>1</v>
      </c>
      <c r="Q4173">
        <v>3</v>
      </c>
      <c r="R4173">
        <v>2</v>
      </c>
      <c r="S4173">
        <v>1</v>
      </c>
      <c r="T4173">
        <v>0</v>
      </c>
      <c r="U4173" t="s">
        <v>23974</v>
      </c>
      <c r="V4173">
        <f>Tabla1[[#This Row],[Aboard]]-Tabla1[[#This Row],[Fatalities]]</f>
        <v>1</v>
      </c>
      <c r="W4173" s="50">
        <f>IFERROR(Tabla1[[#This Row],[Fatalities]]/Tabla1[[#This Row],[Aboard]],0)</f>
        <v>0.75</v>
      </c>
      <c r="X4173" s="51" t="str" cm="1">
        <f t="array" ref="X4173">_xlfn.IFS(Tabla1[[#This Row],[Porcentaje de muertes]]&lt;0.35,"LEVE",AND(Tabla1[[#This Row],[Porcentaje de muertes]]&gt;0.35,Tabla1[[#This Row],[Porcentaje de muertes]]&lt;0.65),"MEDIO",Tabla1[[#This Row],[Porcentaje de muertes]]&gt;0.65,"GRAVE")</f>
        <v>GRAVE</v>
      </c>
    </row>
    <row r="4174" spans="2:24" x14ac:dyDescent="0.3">
      <c r="B4174" s="9">
        <v>4174</v>
      </c>
      <c r="C4174" s="49">
        <v>36181</v>
      </c>
      <c r="D4174" s="9">
        <f>YEAR(Tabla1[[#This Row],[Date]])</f>
        <v>1999</v>
      </c>
      <c r="E4174" s="9" t="str" cm="1">
        <f t="array" ref="E4174">IFERROR(_xlfn.IFS(AND(D4174&lt;1980,D4174&gt;=1970),"70",AND(D4174&lt;1990,D4174&gt;=1980),"80",AND(D4174&lt;2000,D4174&gt;=1990),"90",AND(D4174&lt;2010,D4174&gt;=2000),"00",AND(D4174&lt;=2019,D4174&gt;=2010),"10"),"1908-1970")</f>
        <v>90</v>
      </c>
      <c r="F4174" s="3">
        <v>0.34027777777777773</v>
      </c>
      <c r="G4174" t="s">
        <v>23975</v>
      </c>
      <c r="H4174" t="s">
        <v>23976</v>
      </c>
      <c r="I4174" t="s">
        <v>28931</v>
      </c>
      <c r="J4174" t="s">
        <v>23977</v>
      </c>
      <c r="K4174" t="s">
        <v>17904</v>
      </c>
      <c r="L4174" s="7" t="s">
        <v>28931</v>
      </c>
      <c r="M4174" t="s">
        <v>28931</v>
      </c>
      <c r="N4174">
        <v>28</v>
      </c>
      <c r="O4174">
        <v>21</v>
      </c>
      <c r="P4174">
        <v>7</v>
      </c>
      <c r="Q4174">
        <v>28</v>
      </c>
      <c r="R4174">
        <v>21</v>
      </c>
      <c r="S4174">
        <v>7</v>
      </c>
      <c r="T4174">
        <v>0</v>
      </c>
      <c r="U4174" t="s">
        <v>23978</v>
      </c>
      <c r="V4174">
        <f>Tabla1[[#This Row],[Aboard]]-Tabla1[[#This Row],[Fatalities]]</f>
        <v>0</v>
      </c>
      <c r="W4174" s="50">
        <f>IFERROR(Tabla1[[#This Row],[Fatalities]]/Tabla1[[#This Row],[Aboard]],0)</f>
        <v>1</v>
      </c>
      <c r="X4174" s="51" t="str" cm="1">
        <f t="array" ref="X4174">_xlfn.IFS(Tabla1[[#This Row],[Porcentaje de muertes]]&lt;0.35,"LEVE",AND(Tabla1[[#This Row],[Porcentaje de muertes]]&gt;0.35,Tabla1[[#This Row],[Porcentaje de muertes]]&lt;0.65),"MEDIO",Tabla1[[#This Row],[Porcentaje de muertes]]&gt;0.65,"GRAVE")</f>
        <v>GRAVE</v>
      </c>
    </row>
    <row r="4175" spans="2:24" x14ac:dyDescent="0.3">
      <c r="B4175" s="9">
        <v>4175</v>
      </c>
      <c r="C4175" s="49">
        <v>36193</v>
      </c>
      <c r="D4175" s="9">
        <f>YEAR(Tabla1[[#This Row],[Date]])</f>
        <v>1999</v>
      </c>
      <c r="E4175" s="9" t="str" cm="1">
        <f t="array" ref="E4175">IFERROR(_xlfn.IFS(AND(D4175&lt;1980,D4175&gt;=1970),"70",AND(D4175&lt;1990,D4175&gt;=1980),"80",AND(D4175&lt;2000,D4175&gt;=1990),"90",AND(D4175&lt;2010,D4175&gt;=2000),"00",AND(D4175&lt;=2019,D4175&gt;=2010),"10"),"1908-1970")</f>
        <v>90</v>
      </c>
      <c r="F4175" s="3">
        <v>0.21388888888888891</v>
      </c>
      <c r="G4175" t="s">
        <v>18373</v>
      </c>
      <c r="H4175" t="s">
        <v>23979</v>
      </c>
      <c r="I4175" t="s">
        <v>28931</v>
      </c>
      <c r="J4175" t="s">
        <v>23438</v>
      </c>
      <c r="K4175" t="s">
        <v>13992</v>
      </c>
      <c r="L4175" s="7" t="s">
        <v>23980</v>
      </c>
      <c r="M4175">
        <v>3340909</v>
      </c>
      <c r="N4175">
        <v>14</v>
      </c>
      <c r="O4175">
        <v>10</v>
      </c>
      <c r="P4175">
        <v>4</v>
      </c>
      <c r="Q4175">
        <v>14</v>
      </c>
      <c r="R4175">
        <v>10</v>
      </c>
      <c r="S4175">
        <v>4</v>
      </c>
      <c r="T4175">
        <v>13</v>
      </c>
      <c r="U4175" t="s">
        <v>23981</v>
      </c>
      <c r="V4175">
        <f>Tabla1[[#This Row],[Aboard]]-Tabla1[[#This Row],[Fatalities]]</f>
        <v>0</v>
      </c>
      <c r="W4175" s="50">
        <f>IFERROR(Tabla1[[#This Row],[Fatalities]]/Tabla1[[#This Row],[Aboard]],0)</f>
        <v>1</v>
      </c>
      <c r="X4175" s="51" t="str" cm="1">
        <f t="array" ref="X4175">_xlfn.IFS(Tabla1[[#This Row],[Porcentaje de muertes]]&lt;0.35,"LEVE",AND(Tabla1[[#This Row],[Porcentaje de muertes]]&gt;0.35,Tabla1[[#This Row],[Porcentaje de muertes]]&lt;0.65),"MEDIO",Tabla1[[#This Row],[Porcentaje de muertes]]&gt;0.65,"GRAVE")</f>
        <v>GRAVE</v>
      </c>
    </row>
    <row r="4176" spans="2:24" x14ac:dyDescent="0.3">
      <c r="B4176" s="9">
        <v>4176</v>
      </c>
      <c r="C4176" s="49">
        <v>36221</v>
      </c>
      <c r="D4176" s="9">
        <f>YEAR(Tabla1[[#This Row],[Date]])</f>
        <v>1999</v>
      </c>
      <c r="E4176" s="9" t="str" cm="1">
        <f t="array" ref="E4176">IFERROR(_xlfn.IFS(AND(D4176&lt;1980,D4176&gt;=1970),"70",AND(D4176&lt;1990,D4176&gt;=1980),"80",AND(D4176&lt;2000,D4176&gt;=1990),"90",AND(D4176&lt;2010,D4176&gt;=2000),"00",AND(D4176&lt;=2019,D4176&gt;=2010),"10"),"1908-1970")</f>
        <v>90</v>
      </c>
      <c r="F4176" s="3">
        <v>0.43055555555555558</v>
      </c>
      <c r="G4176" t="s">
        <v>23982</v>
      </c>
      <c r="H4176" t="s">
        <v>23983</v>
      </c>
      <c r="I4176" t="s">
        <v>28931</v>
      </c>
      <c r="J4176" t="s">
        <v>23984</v>
      </c>
      <c r="K4176" t="s">
        <v>18254</v>
      </c>
      <c r="L4176" s="7" t="s">
        <v>23985</v>
      </c>
      <c r="M4176">
        <v>761</v>
      </c>
      <c r="N4176">
        <v>11</v>
      </c>
      <c r="O4176">
        <v>10</v>
      </c>
      <c r="P4176">
        <v>1</v>
      </c>
      <c r="Q4176">
        <v>11</v>
      </c>
      <c r="R4176">
        <v>10</v>
      </c>
      <c r="S4176">
        <v>1</v>
      </c>
      <c r="T4176">
        <v>0</v>
      </c>
      <c r="U4176" t="s">
        <v>23986</v>
      </c>
      <c r="V4176">
        <f>Tabla1[[#This Row],[Aboard]]-Tabla1[[#This Row],[Fatalities]]</f>
        <v>0</v>
      </c>
      <c r="W4176" s="50">
        <f>IFERROR(Tabla1[[#This Row],[Fatalities]]/Tabla1[[#This Row],[Aboard]],0)</f>
        <v>1</v>
      </c>
      <c r="X4176" s="51" t="str" cm="1">
        <f t="array" ref="X4176">_xlfn.IFS(Tabla1[[#This Row],[Porcentaje de muertes]]&lt;0.35,"LEVE",AND(Tabla1[[#This Row],[Porcentaje de muertes]]&gt;0.35,Tabla1[[#This Row],[Porcentaje de muertes]]&lt;0.65),"MEDIO",Tabla1[[#This Row],[Porcentaje de muertes]]&gt;0.65,"GRAVE")</f>
        <v>GRAVE</v>
      </c>
    </row>
    <row r="4177" spans="2:24" x14ac:dyDescent="0.3">
      <c r="B4177" s="9">
        <v>4177</v>
      </c>
      <c r="C4177" s="49">
        <v>36374</v>
      </c>
      <c r="D4177" s="9">
        <f>YEAR(Tabla1[[#This Row],[Date]])</f>
        <v>1999</v>
      </c>
      <c r="E4177" s="9" t="str" cm="1">
        <f t="array" ref="E4177">IFERROR(_xlfn.IFS(AND(D4177&lt;1980,D4177&gt;=1970),"70",AND(D4177&lt;1990,D4177&gt;=1980),"80",AND(D4177&lt;2000,D4177&gt;=1990),"90",AND(D4177&lt;2010,D4177&gt;=2000),"00",AND(D4177&lt;=2019,D4177&gt;=2010),"10"),"1908-1970")</f>
        <v>90</v>
      </c>
      <c r="F4177" s="3" t="s">
        <v>28931</v>
      </c>
      <c r="G4177" t="s">
        <v>23987</v>
      </c>
      <c r="H4177" t="s">
        <v>23988</v>
      </c>
      <c r="I4177" t="s">
        <v>28931</v>
      </c>
      <c r="J4177" t="s">
        <v>23989</v>
      </c>
      <c r="K4177" t="s">
        <v>16894</v>
      </c>
      <c r="L4177" s="7" t="s">
        <v>23990</v>
      </c>
      <c r="M4177">
        <v>1037</v>
      </c>
      <c r="N4177">
        <v>7</v>
      </c>
      <c r="O4177">
        <v>0</v>
      </c>
      <c r="P4177">
        <v>7</v>
      </c>
      <c r="Q4177">
        <v>7</v>
      </c>
      <c r="R4177">
        <v>0</v>
      </c>
      <c r="S4177">
        <v>7</v>
      </c>
      <c r="T4177">
        <v>0</v>
      </c>
      <c r="U4177" t="s">
        <v>23991</v>
      </c>
      <c r="V4177">
        <f>Tabla1[[#This Row],[Aboard]]-Tabla1[[#This Row],[Fatalities]]</f>
        <v>0</v>
      </c>
      <c r="W4177" s="50">
        <f>IFERROR(Tabla1[[#This Row],[Fatalities]]/Tabla1[[#This Row],[Aboard]],0)</f>
        <v>1</v>
      </c>
      <c r="X4177" s="51" t="str" cm="1">
        <f t="array" ref="X4177">_xlfn.IFS(Tabla1[[#This Row],[Porcentaje de muertes]]&lt;0.35,"LEVE",AND(Tabla1[[#This Row],[Porcentaje de muertes]]&gt;0.35,Tabla1[[#This Row],[Porcentaje de muertes]]&lt;0.65),"MEDIO",Tabla1[[#This Row],[Porcentaje de muertes]]&gt;0.65,"GRAVE")</f>
        <v>GRAVE</v>
      </c>
    </row>
    <row r="4178" spans="2:24" x14ac:dyDescent="0.3">
      <c r="B4178" s="9">
        <v>4178</v>
      </c>
      <c r="C4178" s="49">
        <v>36215</v>
      </c>
      <c r="D4178" s="9">
        <f>YEAR(Tabla1[[#This Row],[Date]])</f>
        <v>1999</v>
      </c>
      <c r="E4178" s="9" t="str" cm="1">
        <f t="array" ref="E4178">IFERROR(_xlfn.IFS(AND(D4178&lt;1980,D4178&gt;=1970),"70",AND(D4178&lt;1990,D4178&gt;=1980),"80",AND(D4178&lt;2000,D4178&gt;=1990),"90",AND(D4178&lt;2010,D4178&gt;=2000),"00",AND(D4178&lt;=2019,D4178&gt;=2010),"10"),"1908-1970")</f>
        <v>90</v>
      </c>
      <c r="F4178" s="3">
        <v>0.69027777777777777</v>
      </c>
      <c r="G4178" t="s">
        <v>23992</v>
      </c>
      <c r="H4178" t="s">
        <v>20507</v>
      </c>
      <c r="I4178">
        <v>4509</v>
      </c>
      <c r="J4178" t="s">
        <v>23993</v>
      </c>
      <c r="K4178" t="s">
        <v>16725</v>
      </c>
      <c r="L4178" s="7" t="s">
        <v>23994</v>
      </c>
      <c r="M4178" t="s">
        <v>23995</v>
      </c>
      <c r="N4178">
        <v>61</v>
      </c>
      <c r="O4178">
        <v>50</v>
      </c>
      <c r="P4178">
        <v>11</v>
      </c>
      <c r="Q4178">
        <v>61</v>
      </c>
      <c r="R4178">
        <v>50</v>
      </c>
      <c r="S4178">
        <v>11</v>
      </c>
      <c r="T4178">
        <v>0</v>
      </c>
      <c r="U4178" t="s">
        <v>23996</v>
      </c>
      <c r="V4178">
        <f>Tabla1[[#This Row],[Aboard]]-Tabla1[[#This Row],[Fatalities]]</f>
        <v>0</v>
      </c>
      <c r="W4178" s="50">
        <f>IFERROR(Tabla1[[#This Row],[Fatalities]]/Tabla1[[#This Row],[Aboard]],0)</f>
        <v>1</v>
      </c>
      <c r="X4178" s="51" t="str" cm="1">
        <f t="array" ref="X4178">_xlfn.IFS(Tabla1[[#This Row],[Porcentaje de muertes]]&lt;0.35,"LEVE",AND(Tabla1[[#This Row],[Porcentaje de muertes]]&gt;0.35,Tabla1[[#This Row],[Porcentaje de muertes]]&lt;0.65),"MEDIO",Tabla1[[#This Row],[Porcentaje de muertes]]&gt;0.65,"GRAVE")</f>
        <v>GRAVE</v>
      </c>
    </row>
    <row r="4179" spans="2:24" x14ac:dyDescent="0.3">
      <c r="B4179" s="9">
        <v>4179</v>
      </c>
      <c r="C4179" s="49">
        <v>36216</v>
      </c>
      <c r="D4179" s="9">
        <f>YEAR(Tabla1[[#This Row],[Date]])</f>
        <v>1999</v>
      </c>
      <c r="E4179" s="9" t="str" cm="1">
        <f t="array" ref="E4179">IFERROR(_xlfn.IFS(AND(D4179&lt;1980,D4179&gt;=1970),"70",AND(D4179&lt;1990,D4179&gt;=1980),"80",AND(D4179&lt;2000,D4179&gt;=1990),"90",AND(D4179&lt;2010,D4179&gt;=2000),"00",AND(D4179&lt;=2019,D4179&gt;=2010),"10"),"1908-1970")</f>
        <v>90</v>
      </c>
      <c r="F4179" s="3">
        <v>0.52083333333333337</v>
      </c>
      <c r="G4179" t="s">
        <v>23997</v>
      </c>
      <c r="H4179" t="s">
        <v>23998</v>
      </c>
      <c r="I4179">
        <v>1553</v>
      </c>
      <c r="J4179" t="s">
        <v>23999</v>
      </c>
      <c r="K4179" t="s">
        <v>24000</v>
      </c>
      <c r="L4179" s="7" t="s">
        <v>24001</v>
      </c>
      <c r="M4179">
        <v>3054</v>
      </c>
      <c r="N4179">
        <v>31</v>
      </c>
      <c r="O4179">
        <v>27</v>
      </c>
      <c r="P4179">
        <v>4</v>
      </c>
      <c r="Q4179">
        <v>4</v>
      </c>
      <c r="R4179">
        <v>3</v>
      </c>
      <c r="S4179">
        <v>1</v>
      </c>
      <c r="T4179">
        <v>0</v>
      </c>
      <c r="U4179" t="s">
        <v>24002</v>
      </c>
      <c r="V4179">
        <f>Tabla1[[#This Row],[Aboard]]-Tabla1[[#This Row],[Fatalities]]</f>
        <v>27</v>
      </c>
      <c r="W4179" s="50">
        <f>IFERROR(Tabla1[[#This Row],[Fatalities]]/Tabla1[[#This Row],[Aboard]],0)</f>
        <v>0.12903225806451613</v>
      </c>
      <c r="X4179" s="51" t="str" cm="1">
        <f t="array" ref="X4179">_xlfn.IFS(Tabla1[[#This Row],[Porcentaje de muertes]]&lt;0.35,"LEVE",AND(Tabla1[[#This Row],[Porcentaje de muertes]]&gt;0.35,Tabla1[[#This Row],[Porcentaje de muertes]]&lt;0.65),"MEDIO",Tabla1[[#This Row],[Porcentaje de muertes]]&gt;0.65,"GRAVE")</f>
        <v>LEVE</v>
      </c>
    </row>
    <row r="4180" spans="2:24" x14ac:dyDescent="0.3">
      <c r="B4180" s="9">
        <v>4180</v>
      </c>
      <c r="C4180" s="49">
        <v>36344</v>
      </c>
      <c r="D4180" s="9">
        <f>YEAR(Tabla1[[#This Row],[Date]])</f>
        <v>1999</v>
      </c>
      <c r="E4180" s="9" t="str" cm="1">
        <f t="array" ref="E4180">IFERROR(_xlfn.IFS(AND(D4180&lt;1980,D4180&gt;=1970),"70",AND(D4180&lt;1990,D4180&gt;=1980),"80",AND(D4180&lt;2000,D4180&gt;=1990),"90",AND(D4180&lt;2010,D4180&gt;=2000),"00",AND(D4180&lt;=2019,D4180&gt;=2010),"10"),"1908-1970")</f>
        <v>90</v>
      </c>
      <c r="F4180" s="3">
        <v>0.34930555555555554</v>
      </c>
      <c r="G4180" t="s">
        <v>10999</v>
      </c>
      <c r="H4180" t="s">
        <v>8036</v>
      </c>
      <c r="I4180" t="s">
        <v>28931</v>
      </c>
      <c r="J4180" t="s">
        <v>24003</v>
      </c>
      <c r="K4180" t="s">
        <v>24004</v>
      </c>
      <c r="L4180" s="7" t="s">
        <v>24005</v>
      </c>
      <c r="M4180">
        <v>108</v>
      </c>
      <c r="N4180">
        <v>19</v>
      </c>
      <c r="O4180">
        <v>15</v>
      </c>
      <c r="P4180">
        <v>4</v>
      </c>
      <c r="Q4180">
        <v>19</v>
      </c>
      <c r="R4180">
        <v>15</v>
      </c>
      <c r="S4180">
        <v>4</v>
      </c>
      <c r="T4180">
        <v>3</v>
      </c>
      <c r="U4180" t="s">
        <v>24006</v>
      </c>
      <c r="V4180">
        <f>Tabla1[[#This Row],[Aboard]]-Tabla1[[#This Row],[Fatalities]]</f>
        <v>0</v>
      </c>
      <c r="W4180" s="50">
        <f>IFERROR(Tabla1[[#This Row],[Fatalities]]/Tabla1[[#This Row],[Aboard]],0)</f>
        <v>1</v>
      </c>
      <c r="X4180" s="51" t="str" cm="1">
        <f t="array" ref="X4180">_xlfn.IFS(Tabla1[[#This Row],[Porcentaje de muertes]]&lt;0.35,"LEVE",AND(Tabla1[[#This Row],[Porcentaje de muertes]]&gt;0.35,Tabla1[[#This Row],[Porcentaje de muertes]]&lt;0.65),"MEDIO",Tabla1[[#This Row],[Porcentaje de muertes]]&gt;0.65,"GRAVE")</f>
        <v>GRAVE</v>
      </c>
    </row>
    <row r="4181" spans="2:24" x14ac:dyDescent="0.3">
      <c r="B4181" s="9">
        <v>4181</v>
      </c>
      <c r="C4181" s="49">
        <v>36237</v>
      </c>
      <c r="D4181" s="9">
        <f>YEAR(Tabla1[[#This Row],[Date]])</f>
        <v>1999</v>
      </c>
      <c r="E4181" s="9" t="str" cm="1">
        <f t="array" ref="E4181">IFERROR(_xlfn.IFS(AND(D4181&lt;1980,D4181&gt;=1970),"70",AND(D4181&lt;1990,D4181&gt;=1980),"80",AND(D4181&lt;2000,D4181&gt;=1990),"90",AND(D4181&lt;2010,D4181&gt;=2000),"00",AND(D4181&lt;=2019,D4181&gt;=2010),"10"),"1908-1970")</f>
        <v>90</v>
      </c>
      <c r="F4181" s="3">
        <v>0.67013888888888884</v>
      </c>
      <c r="G4181" t="s">
        <v>24007</v>
      </c>
      <c r="H4181" t="s">
        <v>24008</v>
      </c>
      <c r="I4181" t="s">
        <v>28931</v>
      </c>
      <c r="J4181" t="s">
        <v>24009</v>
      </c>
      <c r="K4181" t="s">
        <v>24010</v>
      </c>
      <c r="L4181" s="7" t="s">
        <v>24011</v>
      </c>
      <c r="M4181">
        <v>11831</v>
      </c>
      <c r="N4181">
        <v>8</v>
      </c>
      <c r="O4181">
        <v>5</v>
      </c>
      <c r="P4181">
        <v>3</v>
      </c>
      <c r="Q4181">
        <v>8</v>
      </c>
      <c r="R4181">
        <v>5</v>
      </c>
      <c r="S4181">
        <v>3</v>
      </c>
      <c r="T4181">
        <v>8</v>
      </c>
      <c r="U4181" t="s">
        <v>24012</v>
      </c>
      <c r="V4181">
        <f>Tabla1[[#This Row],[Aboard]]-Tabla1[[#This Row],[Fatalities]]</f>
        <v>0</v>
      </c>
      <c r="W4181" s="50">
        <f>IFERROR(Tabla1[[#This Row],[Fatalities]]/Tabla1[[#This Row],[Aboard]],0)</f>
        <v>1</v>
      </c>
      <c r="X4181" s="51" t="str" cm="1">
        <f t="array" ref="X4181">_xlfn.IFS(Tabla1[[#This Row],[Porcentaje de muertes]]&lt;0.35,"LEVE",AND(Tabla1[[#This Row],[Porcentaje de muertes]]&gt;0.35,Tabla1[[#This Row],[Porcentaje de muertes]]&lt;0.65),"MEDIO",Tabla1[[#This Row],[Porcentaje de muertes]]&gt;0.65,"GRAVE")</f>
        <v>GRAVE</v>
      </c>
    </row>
    <row r="4182" spans="2:24" x14ac:dyDescent="0.3">
      <c r="B4182" s="9">
        <v>4182</v>
      </c>
      <c r="C4182" s="49">
        <v>36238</v>
      </c>
      <c r="D4182" s="9">
        <f>YEAR(Tabla1[[#This Row],[Date]])</f>
        <v>1999</v>
      </c>
      <c r="E4182" s="9" t="str" cm="1">
        <f t="array" ref="E4182">IFERROR(_xlfn.IFS(AND(D4182&lt;1980,D4182&gt;=1970),"70",AND(D4182&lt;1990,D4182&gt;=1980),"80",AND(D4182&lt;2000,D4182&gt;=1990),"90",AND(D4182&lt;2010,D4182&gt;=2000),"00",AND(D4182&lt;=2019,D4182&gt;=2010),"10"),"1908-1970")</f>
        <v>90</v>
      </c>
      <c r="F4182" s="3">
        <v>0.40625</v>
      </c>
      <c r="G4182" t="s">
        <v>24013</v>
      </c>
      <c r="H4182" t="s">
        <v>24014</v>
      </c>
      <c r="I4182">
        <v>960</v>
      </c>
      <c r="J4182" t="s">
        <v>24015</v>
      </c>
      <c r="K4182" t="s">
        <v>16680</v>
      </c>
      <c r="L4182" s="7" t="s">
        <v>24016</v>
      </c>
      <c r="M4182">
        <v>724</v>
      </c>
      <c r="N4182">
        <v>2</v>
      </c>
      <c r="O4182">
        <v>0</v>
      </c>
      <c r="P4182">
        <v>2</v>
      </c>
      <c r="Q4182">
        <v>1</v>
      </c>
      <c r="R4182">
        <v>0</v>
      </c>
      <c r="S4182">
        <v>1</v>
      </c>
      <c r="T4182">
        <v>0</v>
      </c>
      <c r="U4182" t="s">
        <v>24017</v>
      </c>
      <c r="V4182">
        <f>Tabla1[[#This Row],[Aboard]]-Tabla1[[#This Row],[Fatalities]]</f>
        <v>1</v>
      </c>
      <c r="W4182" s="50">
        <f>IFERROR(Tabla1[[#This Row],[Fatalities]]/Tabla1[[#This Row],[Aboard]],0)</f>
        <v>0.5</v>
      </c>
      <c r="X4182" s="51" t="str" cm="1">
        <f t="array" ref="X4182">_xlfn.IFS(Tabla1[[#This Row],[Porcentaje de muertes]]&lt;0.35,"LEVE",AND(Tabla1[[#This Row],[Porcentaje de muertes]]&gt;0.35,Tabla1[[#This Row],[Porcentaje de muertes]]&lt;0.65),"MEDIO",Tabla1[[#This Row],[Porcentaje de muertes]]&gt;0.65,"GRAVE")</f>
        <v>MEDIO</v>
      </c>
    </row>
    <row r="4183" spans="2:24" x14ac:dyDescent="0.3">
      <c r="B4183" s="9">
        <v>4183</v>
      </c>
      <c r="C4183" s="49">
        <v>36345</v>
      </c>
      <c r="D4183" s="9">
        <f>YEAR(Tabla1[[#This Row],[Date]])</f>
        <v>1999</v>
      </c>
      <c r="E4183" s="9" t="str" cm="1">
        <f t="array" ref="E4183">IFERROR(_xlfn.IFS(AND(D4183&lt;1980,D4183&gt;=1970),"70",AND(D4183&lt;1990,D4183&gt;=1980),"80",AND(D4183&lt;2000,D4183&gt;=1990),"90",AND(D4183&lt;2010,D4183&gt;=2000),"00",AND(D4183&lt;=2019,D4183&gt;=2010),"10"),"1908-1970")</f>
        <v>90</v>
      </c>
      <c r="F4183" s="3">
        <v>0.47916666666666669</v>
      </c>
      <c r="G4183" t="s">
        <v>24018</v>
      </c>
      <c r="H4183" t="s">
        <v>24019</v>
      </c>
      <c r="I4183" t="s">
        <v>28931</v>
      </c>
      <c r="J4183" t="s">
        <v>6190</v>
      </c>
      <c r="K4183" t="s">
        <v>24020</v>
      </c>
      <c r="L4183" s="7" t="s">
        <v>24021</v>
      </c>
      <c r="M4183" t="s">
        <v>24022</v>
      </c>
      <c r="N4183">
        <v>5</v>
      </c>
      <c r="O4183">
        <v>0</v>
      </c>
      <c r="P4183">
        <v>5</v>
      </c>
      <c r="Q4183">
        <v>5</v>
      </c>
      <c r="R4183">
        <v>0</v>
      </c>
      <c r="S4183">
        <v>5</v>
      </c>
      <c r="T4183">
        <v>0</v>
      </c>
      <c r="U4183" t="s">
        <v>24023</v>
      </c>
      <c r="V4183">
        <f>Tabla1[[#This Row],[Aboard]]-Tabla1[[#This Row],[Fatalities]]</f>
        <v>0</v>
      </c>
      <c r="W4183" s="50">
        <f>IFERROR(Tabla1[[#This Row],[Fatalities]]/Tabla1[[#This Row],[Aboard]],0)</f>
        <v>1</v>
      </c>
      <c r="X4183" s="51" t="str" cm="1">
        <f t="array" ref="X4183">_xlfn.IFS(Tabla1[[#This Row],[Porcentaje de muertes]]&lt;0.35,"LEVE",AND(Tabla1[[#This Row],[Porcentaje de muertes]]&gt;0.35,Tabla1[[#This Row],[Porcentaje de muertes]]&lt;0.65),"MEDIO",Tabla1[[#This Row],[Porcentaje de muertes]]&gt;0.65,"GRAVE")</f>
        <v>GRAVE</v>
      </c>
    </row>
    <row r="4184" spans="2:24" x14ac:dyDescent="0.3">
      <c r="B4184" s="9">
        <v>4184</v>
      </c>
      <c r="C4184" s="49">
        <v>36345</v>
      </c>
      <c r="D4184" s="9">
        <f>YEAR(Tabla1[[#This Row],[Date]])</f>
        <v>1999</v>
      </c>
      <c r="E4184" s="9" t="str" cm="1">
        <f t="array" ref="E4184">IFERROR(_xlfn.IFS(AND(D4184&lt;1980,D4184&gt;=1970),"70",AND(D4184&lt;1990,D4184&gt;=1980),"80",AND(D4184&lt;2000,D4184&gt;=1990),"90",AND(D4184&lt;2010,D4184&gt;=2000),"00",AND(D4184&lt;=2019,D4184&gt;=2010),"10"),"1908-1970")</f>
        <v>90</v>
      </c>
      <c r="F4184" s="3">
        <v>2.2916666666666669E-2</v>
      </c>
      <c r="G4184" t="s">
        <v>24024</v>
      </c>
      <c r="H4184" t="s">
        <v>12613</v>
      </c>
      <c r="I4184">
        <v>5904</v>
      </c>
      <c r="J4184" t="s">
        <v>24025</v>
      </c>
      <c r="K4184" t="s">
        <v>24026</v>
      </c>
      <c r="L4184" s="7" t="s">
        <v>24027</v>
      </c>
      <c r="M4184" t="s">
        <v>24028</v>
      </c>
      <c r="N4184">
        <v>6</v>
      </c>
      <c r="O4184">
        <v>0</v>
      </c>
      <c r="P4184">
        <v>6</v>
      </c>
      <c r="Q4184">
        <v>6</v>
      </c>
      <c r="R4184">
        <v>0</v>
      </c>
      <c r="S4184">
        <v>6</v>
      </c>
      <c r="T4184">
        <v>0</v>
      </c>
      <c r="U4184" t="s">
        <v>24029</v>
      </c>
      <c r="V4184">
        <f>Tabla1[[#This Row],[Aboard]]-Tabla1[[#This Row],[Fatalities]]</f>
        <v>0</v>
      </c>
      <c r="W4184" s="50">
        <f>IFERROR(Tabla1[[#This Row],[Fatalities]]/Tabla1[[#This Row],[Aboard]],0)</f>
        <v>1</v>
      </c>
      <c r="X4184" s="51" t="str" cm="1">
        <f t="array" ref="X4184">_xlfn.IFS(Tabla1[[#This Row],[Porcentaje de muertes]]&lt;0.35,"LEVE",AND(Tabla1[[#This Row],[Porcentaje de muertes]]&gt;0.35,Tabla1[[#This Row],[Porcentaje de muertes]]&lt;0.65),"MEDIO",Tabla1[[#This Row],[Porcentaje de muertes]]&gt;0.65,"GRAVE")</f>
        <v>GRAVE</v>
      </c>
    </row>
    <row r="4185" spans="2:24" x14ac:dyDescent="0.3">
      <c r="B4185" s="9">
        <v>4185</v>
      </c>
      <c r="C4185" s="49">
        <v>36376</v>
      </c>
      <c r="D4185" s="9">
        <f>YEAR(Tabla1[[#This Row],[Date]])</f>
        <v>1999</v>
      </c>
      <c r="E4185" s="9" t="str" cm="1">
        <f t="array" ref="E4185">IFERROR(_xlfn.IFS(AND(D4185&lt;1980,D4185&gt;=1970),"70",AND(D4185&lt;1990,D4185&gt;=1980),"80",AND(D4185&lt;2000,D4185&gt;=1990),"90",AND(D4185&lt;2010,D4185&gt;=2000),"00",AND(D4185&lt;=2019,D4185&gt;=2010),"10"),"1908-1970")</f>
        <v>90</v>
      </c>
      <c r="F4185" s="3">
        <v>0.4826388888888889</v>
      </c>
      <c r="G4185" t="s">
        <v>24030</v>
      </c>
      <c r="H4185" t="s">
        <v>20895</v>
      </c>
      <c r="I4185" t="s">
        <v>28931</v>
      </c>
      <c r="J4185" t="s">
        <v>24031</v>
      </c>
      <c r="K4185" t="s">
        <v>16680</v>
      </c>
      <c r="L4185" s="7" t="s">
        <v>24032</v>
      </c>
      <c r="M4185">
        <v>777</v>
      </c>
      <c r="N4185">
        <v>5</v>
      </c>
      <c r="O4185">
        <v>3</v>
      </c>
      <c r="P4185">
        <v>2</v>
      </c>
      <c r="Q4185">
        <v>5</v>
      </c>
      <c r="R4185">
        <v>3</v>
      </c>
      <c r="S4185">
        <v>2</v>
      </c>
      <c r="T4185">
        <v>0</v>
      </c>
      <c r="U4185" t="s">
        <v>24033</v>
      </c>
      <c r="V4185">
        <f>Tabla1[[#This Row],[Aboard]]-Tabla1[[#This Row],[Fatalities]]</f>
        <v>0</v>
      </c>
      <c r="W4185" s="50">
        <f>IFERROR(Tabla1[[#This Row],[Fatalities]]/Tabla1[[#This Row],[Aboard]],0)</f>
        <v>1</v>
      </c>
      <c r="X4185" s="51" t="str" cm="1">
        <f t="array" ref="X4185">_xlfn.IFS(Tabla1[[#This Row],[Porcentaje de muertes]]&lt;0.35,"LEVE",AND(Tabla1[[#This Row],[Porcentaje de muertes]]&gt;0.35,Tabla1[[#This Row],[Porcentaje de muertes]]&lt;0.65),"MEDIO",Tabla1[[#This Row],[Porcentaje de muertes]]&gt;0.65,"GRAVE")</f>
        <v>GRAVE</v>
      </c>
    </row>
    <row r="4186" spans="2:24" x14ac:dyDescent="0.3">
      <c r="B4186" s="9">
        <v>4186</v>
      </c>
      <c r="C4186" s="49">
        <v>36265</v>
      </c>
      <c r="D4186" s="9">
        <f>YEAR(Tabla1[[#This Row],[Date]])</f>
        <v>1999</v>
      </c>
      <c r="E4186" s="9" t="str" cm="1">
        <f t="array" ref="E4186">IFERROR(_xlfn.IFS(AND(D4186&lt;1980,D4186&gt;=1970),"70",AND(D4186&lt;1990,D4186&gt;=1980),"80",AND(D4186&lt;2000,D4186&gt;=1990),"90",AND(D4186&lt;2010,D4186&gt;=2000),"00",AND(D4186&lt;=2019,D4186&gt;=2010),"10"),"1908-1970")</f>
        <v>90</v>
      </c>
      <c r="F4186" s="3">
        <v>0.67013888888888884</v>
      </c>
      <c r="G4186" t="s">
        <v>24034</v>
      </c>
      <c r="H4186" t="s">
        <v>24035</v>
      </c>
      <c r="I4186">
        <v>6316</v>
      </c>
      <c r="J4186" t="s">
        <v>24036</v>
      </c>
      <c r="K4186" t="s">
        <v>22212</v>
      </c>
      <c r="L4186" s="7" t="s">
        <v>24037</v>
      </c>
      <c r="M4186" t="s">
        <v>24038</v>
      </c>
      <c r="N4186">
        <v>3</v>
      </c>
      <c r="O4186">
        <v>0</v>
      </c>
      <c r="P4186">
        <v>3</v>
      </c>
      <c r="Q4186">
        <v>3</v>
      </c>
      <c r="R4186">
        <v>0</v>
      </c>
      <c r="S4186">
        <v>3</v>
      </c>
      <c r="T4186">
        <v>0</v>
      </c>
      <c r="U4186" t="s">
        <v>24039</v>
      </c>
      <c r="V4186">
        <f>Tabla1[[#This Row],[Aboard]]-Tabla1[[#This Row],[Fatalities]]</f>
        <v>0</v>
      </c>
      <c r="W4186" s="50">
        <f>IFERROR(Tabla1[[#This Row],[Fatalities]]/Tabla1[[#This Row],[Aboard]],0)</f>
        <v>1</v>
      </c>
      <c r="X4186" s="51" t="str" cm="1">
        <f t="array" ref="X4186">_xlfn.IFS(Tabla1[[#This Row],[Porcentaje de muertes]]&lt;0.35,"LEVE",AND(Tabla1[[#This Row],[Porcentaje de muertes]]&gt;0.35,Tabla1[[#This Row],[Porcentaje de muertes]]&lt;0.65),"MEDIO",Tabla1[[#This Row],[Porcentaje de muertes]]&gt;0.65,"GRAVE")</f>
        <v>GRAVE</v>
      </c>
    </row>
    <row r="4187" spans="2:24" x14ac:dyDescent="0.3">
      <c r="B4187" s="9">
        <v>4187</v>
      </c>
      <c r="C4187" s="49">
        <v>36377</v>
      </c>
      <c r="D4187" s="9">
        <f>YEAR(Tabla1[[#This Row],[Date]])</f>
        <v>1999</v>
      </c>
      <c r="E4187" s="9" t="str" cm="1">
        <f t="array" ref="E4187">IFERROR(_xlfn.IFS(AND(D4187&lt;1980,D4187&gt;=1970),"70",AND(D4187&lt;1990,D4187&gt;=1980),"80",AND(D4187&lt;2000,D4187&gt;=1990),"90",AND(D4187&lt;2010,D4187&gt;=2000),"00",AND(D4187&lt;=2019,D4187&gt;=2010),"10"),"1908-1970")</f>
        <v>90</v>
      </c>
      <c r="F4187" s="3">
        <v>0.80625000000000002</v>
      </c>
      <c r="G4187" t="s">
        <v>24040</v>
      </c>
      <c r="H4187" t="s">
        <v>21666</v>
      </c>
      <c r="I4187" t="s">
        <v>28931</v>
      </c>
      <c r="J4187" t="s">
        <v>24041</v>
      </c>
      <c r="K4187" t="s">
        <v>16680</v>
      </c>
      <c r="L4187" s="7" t="s">
        <v>24042</v>
      </c>
      <c r="M4187">
        <v>694</v>
      </c>
      <c r="N4187">
        <v>12</v>
      </c>
      <c r="O4187">
        <v>11</v>
      </c>
      <c r="P4187">
        <v>1</v>
      </c>
      <c r="Q4187">
        <v>7</v>
      </c>
      <c r="R4187">
        <v>6</v>
      </c>
      <c r="S4187">
        <v>1</v>
      </c>
      <c r="T4187">
        <v>0</v>
      </c>
      <c r="U4187" t="s">
        <v>24043</v>
      </c>
      <c r="V4187">
        <f>Tabla1[[#This Row],[Aboard]]-Tabla1[[#This Row],[Fatalities]]</f>
        <v>5</v>
      </c>
      <c r="W4187" s="50">
        <f>IFERROR(Tabla1[[#This Row],[Fatalities]]/Tabla1[[#This Row],[Aboard]],0)</f>
        <v>0.58333333333333337</v>
      </c>
      <c r="X4187" s="51" t="str" cm="1">
        <f t="array" ref="X4187">_xlfn.IFS(Tabla1[[#This Row],[Porcentaje de muertes]]&lt;0.35,"LEVE",AND(Tabla1[[#This Row],[Porcentaje de muertes]]&gt;0.35,Tabla1[[#This Row],[Porcentaje de muertes]]&lt;0.65),"MEDIO",Tabla1[[#This Row],[Porcentaje de muertes]]&gt;0.65,"GRAVE")</f>
        <v>MEDIO</v>
      </c>
    </row>
    <row r="4188" spans="2:24" x14ac:dyDescent="0.3">
      <c r="B4188" s="9">
        <v>4188</v>
      </c>
      <c r="C4188" s="49">
        <v>36304</v>
      </c>
      <c r="D4188" s="9">
        <f>YEAR(Tabla1[[#This Row],[Date]])</f>
        <v>1999</v>
      </c>
      <c r="E4188" s="9" t="str" cm="1">
        <f t="array" ref="E4188">IFERROR(_xlfn.IFS(AND(D4188&lt;1980,D4188&gt;=1970),"70",AND(D4188&lt;1990,D4188&gt;=1980),"80",AND(D4188&lt;2000,D4188&gt;=1990),"90",AND(D4188&lt;2010,D4188&gt;=2000),"00",AND(D4188&lt;=2019,D4188&gt;=2010),"10"),"1908-1970")</f>
        <v>90</v>
      </c>
      <c r="F4188" s="3">
        <v>0.55208333333333337</v>
      </c>
      <c r="G4188" t="s">
        <v>24044</v>
      </c>
      <c r="H4188" t="s">
        <v>24045</v>
      </c>
      <c r="I4188" t="s">
        <v>28931</v>
      </c>
      <c r="J4188" t="s">
        <v>6190</v>
      </c>
      <c r="K4188" t="s">
        <v>24046</v>
      </c>
      <c r="L4188" s="7" t="s">
        <v>24047</v>
      </c>
      <c r="M4188">
        <v>270</v>
      </c>
      <c r="N4188">
        <v>5</v>
      </c>
      <c r="O4188">
        <v>0</v>
      </c>
      <c r="P4188">
        <v>5</v>
      </c>
      <c r="Q4188">
        <v>5</v>
      </c>
      <c r="R4188">
        <v>0</v>
      </c>
      <c r="S4188">
        <v>5</v>
      </c>
      <c r="T4188">
        <v>0</v>
      </c>
      <c r="U4188" t="s">
        <v>24048</v>
      </c>
      <c r="V4188">
        <f>Tabla1[[#This Row],[Aboard]]-Tabla1[[#This Row],[Fatalities]]</f>
        <v>0</v>
      </c>
      <c r="W4188" s="50">
        <f>IFERROR(Tabla1[[#This Row],[Fatalities]]/Tabla1[[#This Row],[Aboard]],0)</f>
        <v>1</v>
      </c>
      <c r="X4188" s="51" t="str" cm="1">
        <f t="array" ref="X4188">_xlfn.IFS(Tabla1[[#This Row],[Porcentaje de muertes]]&lt;0.35,"LEVE",AND(Tabla1[[#This Row],[Porcentaje de muertes]]&gt;0.35,Tabla1[[#This Row],[Porcentaje de muertes]]&lt;0.65),"MEDIO",Tabla1[[#This Row],[Porcentaje de muertes]]&gt;0.65,"GRAVE")</f>
        <v>GRAVE</v>
      </c>
    </row>
    <row r="4189" spans="2:24" x14ac:dyDescent="0.3">
      <c r="B4189" s="9">
        <v>4189</v>
      </c>
      <c r="C4189" s="49">
        <v>36309</v>
      </c>
      <c r="D4189" s="9">
        <f>YEAR(Tabla1[[#This Row],[Date]])</f>
        <v>1999</v>
      </c>
      <c r="E4189" s="9" t="str" cm="1">
        <f t="array" ref="E4189">IFERROR(_xlfn.IFS(AND(D4189&lt;1980,D4189&gt;=1970),"70",AND(D4189&lt;1990,D4189&gt;=1980),"80",AND(D4189&lt;2000,D4189&gt;=1990),"90",AND(D4189&lt;2010,D4189&gt;=2000),"00",AND(D4189&lt;=2019,D4189&gt;=2010),"10"),"1908-1970")</f>
        <v>90</v>
      </c>
      <c r="F4189" s="3">
        <v>0.60416666666666663</v>
      </c>
      <c r="G4189" t="s">
        <v>24049</v>
      </c>
      <c r="H4189" t="s">
        <v>24050</v>
      </c>
      <c r="I4189" t="s">
        <v>28931</v>
      </c>
      <c r="J4189" t="s">
        <v>24051</v>
      </c>
      <c r="K4189" t="s">
        <v>22315</v>
      </c>
      <c r="L4189" s="7" t="s">
        <v>24052</v>
      </c>
      <c r="M4189">
        <v>912620</v>
      </c>
      <c r="N4189">
        <v>2</v>
      </c>
      <c r="O4189">
        <v>0</v>
      </c>
      <c r="P4189">
        <v>2</v>
      </c>
      <c r="Q4189">
        <v>2</v>
      </c>
      <c r="R4189">
        <v>0</v>
      </c>
      <c r="S4189">
        <v>2</v>
      </c>
      <c r="T4189">
        <v>0</v>
      </c>
      <c r="U4189" t="s">
        <v>24053</v>
      </c>
      <c r="V4189">
        <f>Tabla1[[#This Row],[Aboard]]-Tabla1[[#This Row],[Fatalities]]</f>
        <v>0</v>
      </c>
      <c r="W4189" s="50">
        <f>IFERROR(Tabla1[[#This Row],[Fatalities]]/Tabla1[[#This Row],[Aboard]],0)</f>
        <v>1</v>
      </c>
      <c r="X4189" s="51" t="str" cm="1">
        <f t="array" ref="X4189">_xlfn.IFS(Tabla1[[#This Row],[Porcentaje de muertes]]&lt;0.35,"LEVE",AND(Tabla1[[#This Row],[Porcentaje de muertes]]&gt;0.35,Tabla1[[#This Row],[Porcentaje de muertes]]&lt;0.65),"MEDIO",Tabla1[[#This Row],[Porcentaje de muertes]]&gt;0.65,"GRAVE")</f>
        <v>GRAVE</v>
      </c>
    </row>
    <row r="4190" spans="2:24" x14ac:dyDescent="0.3">
      <c r="B4190" s="9">
        <v>4190</v>
      </c>
      <c r="C4190" s="49">
        <v>36166</v>
      </c>
      <c r="D4190" s="9">
        <f>YEAR(Tabla1[[#This Row],[Date]])</f>
        <v>1999</v>
      </c>
      <c r="E4190" s="9" t="str" cm="1">
        <f t="array" ref="E4190">IFERROR(_xlfn.IFS(AND(D4190&lt;1980,D4190&gt;=1970),"70",AND(D4190&lt;1990,D4190&gt;=1980),"80",AND(D4190&lt;2000,D4190&gt;=1990),"90",AND(D4190&lt;2010,D4190&gt;=2000),"00",AND(D4190&lt;=2019,D4190&gt;=2010),"10"),"1908-1970")</f>
        <v>90</v>
      </c>
      <c r="F4190" s="3">
        <v>0.99305555555555547</v>
      </c>
      <c r="G4190" t="s">
        <v>24054</v>
      </c>
      <c r="H4190" t="s">
        <v>6536</v>
      </c>
      <c r="I4190">
        <v>1420</v>
      </c>
      <c r="J4190" t="s">
        <v>24055</v>
      </c>
      <c r="K4190" t="s">
        <v>20382</v>
      </c>
      <c r="L4190" s="7" t="s">
        <v>24056</v>
      </c>
      <c r="M4190" t="s">
        <v>24057</v>
      </c>
      <c r="N4190">
        <v>145</v>
      </c>
      <c r="O4190">
        <v>139</v>
      </c>
      <c r="P4190">
        <v>6</v>
      </c>
      <c r="Q4190">
        <v>11</v>
      </c>
      <c r="R4190">
        <v>10</v>
      </c>
      <c r="S4190">
        <v>1</v>
      </c>
      <c r="T4190">
        <v>0</v>
      </c>
      <c r="U4190" t="s">
        <v>24058</v>
      </c>
      <c r="V4190">
        <f>Tabla1[[#This Row],[Aboard]]-Tabla1[[#This Row],[Fatalities]]</f>
        <v>134</v>
      </c>
      <c r="W4190" s="50">
        <f>IFERROR(Tabla1[[#This Row],[Fatalities]]/Tabla1[[#This Row],[Aboard]],0)</f>
        <v>7.586206896551724E-2</v>
      </c>
      <c r="X4190" s="51" t="str" cm="1">
        <f t="array" ref="X4190">_xlfn.IFS(Tabla1[[#This Row],[Porcentaje de muertes]]&lt;0.35,"LEVE",AND(Tabla1[[#This Row],[Porcentaje de muertes]]&gt;0.35,Tabla1[[#This Row],[Porcentaje de muertes]]&lt;0.65),"MEDIO",Tabla1[[#This Row],[Porcentaje de muertes]]&gt;0.65,"GRAVE")</f>
        <v>LEVE</v>
      </c>
    </row>
    <row r="4191" spans="2:24" x14ac:dyDescent="0.3">
      <c r="B4191" s="9">
        <v>4191</v>
      </c>
      <c r="C4191" s="49">
        <v>36225</v>
      </c>
      <c r="D4191" s="9">
        <f>YEAR(Tabla1[[#This Row],[Date]])</f>
        <v>1999</v>
      </c>
      <c r="E4191" s="9" t="str" cm="1">
        <f t="array" ref="E4191">IFERROR(_xlfn.IFS(AND(D4191&lt;1980,D4191&gt;=1970),"70",AND(D4191&lt;1990,D4191&gt;=1980),"80",AND(D4191&lt;2000,D4191&gt;=1990),"90",AND(D4191&lt;2010,D4191&gt;=2000),"00",AND(D4191&lt;=2019,D4191&gt;=2010),"10"),"1908-1970")</f>
        <v>90</v>
      </c>
      <c r="F4191" s="3" t="s">
        <v>28931</v>
      </c>
      <c r="G4191" t="s">
        <v>19336</v>
      </c>
      <c r="H4191" t="s">
        <v>23689</v>
      </c>
      <c r="I4191" t="s">
        <v>28931</v>
      </c>
      <c r="J4191" t="s">
        <v>24059</v>
      </c>
      <c r="K4191" t="s">
        <v>22059</v>
      </c>
      <c r="L4191" s="7" t="s">
        <v>28931</v>
      </c>
      <c r="M4191" t="s">
        <v>28931</v>
      </c>
      <c r="N4191">
        <v>50</v>
      </c>
      <c r="O4191">
        <v>44</v>
      </c>
      <c r="P4191">
        <v>6</v>
      </c>
      <c r="Q4191">
        <v>50</v>
      </c>
      <c r="R4191">
        <v>44</v>
      </c>
      <c r="S4191">
        <v>6</v>
      </c>
      <c r="T4191">
        <v>0</v>
      </c>
      <c r="U4191" t="s">
        <v>28927</v>
      </c>
      <c r="V4191">
        <f>Tabla1[[#This Row],[Aboard]]-Tabla1[[#This Row],[Fatalities]]</f>
        <v>0</v>
      </c>
      <c r="W4191" s="50">
        <f>IFERROR(Tabla1[[#This Row],[Fatalities]]/Tabla1[[#This Row],[Aboard]],0)</f>
        <v>1</v>
      </c>
      <c r="X4191" s="51" t="str" cm="1">
        <f t="array" ref="X4191">_xlfn.IFS(Tabla1[[#This Row],[Porcentaje de muertes]]&lt;0.35,"LEVE",AND(Tabla1[[#This Row],[Porcentaje de muertes]]&gt;0.35,Tabla1[[#This Row],[Porcentaje de muertes]]&lt;0.65),"MEDIO",Tabla1[[#This Row],[Porcentaje de muertes]]&gt;0.65,"GRAVE")</f>
        <v>GRAVE</v>
      </c>
    </row>
    <row r="4192" spans="2:24" x14ac:dyDescent="0.3">
      <c r="B4192" s="9">
        <v>4192</v>
      </c>
      <c r="C4192" s="49">
        <v>36409</v>
      </c>
      <c r="D4192" s="9">
        <f>YEAR(Tabla1[[#This Row],[Date]])</f>
        <v>1999</v>
      </c>
      <c r="E4192" s="9" t="str" cm="1">
        <f t="array" ref="E4192">IFERROR(_xlfn.IFS(AND(D4192&lt;1980,D4192&gt;=1970),"70",AND(D4192&lt;1990,D4192&gt;=1980),"80",AND(D4192&lt;2000,D4192&gt;=1990),"90",AND(D4192&lt;2010,D4192&gt;=2000),"00",AND(D4192&lt;=2019,D4192&gt;=2010),"10"),"1908-1970")</f>
        <v>90</v>
      </c>
      <c r="F4192" s="3" t="s">
        <v>28931</v>
      </c>
      <c r="G4192" t="s">
        <v>24060</v>
      </c>
      <c r="H4192" t="s">
        <v>24061</v>
      </c>
      <c r="I4192" t="s">
        <v>28931</v>
      </c>
      <c r="J4192" t="s">
        <v>28931</v>
      </c>
      <c r="K4192" t="s">
        <v>17519</v>
      </c>
      <c r="L4192" s="7" t="s">
        <v>24062</v>
      </c>
      <c r="M4192">
        <v>473</v>
      </c>
      <c r="N4192">
        <v>1</v>
      </c>
      <c r="O4192">
        <v>0</v>
      </c>
      <c r="P4192">
        <v>1</v>
      </c>
      <c r="Q4192">
        <v>1</v>
      </c>
      <c r="R4192">
        <v>0</v>
      </c>
      <c r="S4192">
        <v>1</v>
      </c>
      <c r="T4192">
        <v>0</v>
      </c>
      <c r="U4192" t="s">
        <v>28927</v>
      </c>
      <c r="V4192">
        <f>Tabla1[[#This Row],[Aboard]]-Tabla1[[#This Row],[Fatalities]]</f>
        <v>0</v>
      </c>
      <c r="W4192" s="50">
        <f>IFERROR(Tabla1[[#This Row],[Fatalities]]/Tabla1[[#This Row],[Aboard]],0)</f>
        <v>1</v>
      </c>
      <c r="X4192" s="51" t="str" cm="1">
        <f t="array" ref="X4192">_xlfn.IFS(Tabla1[[#This Row],[Porcentaje de muertes]]&lt;0.35,"LEVE",AND(Tabla1[[#This Row],[Porcentaje de muertes]]&gt;0.35,Tabla1[[#This Row],[Porcentaje de muertes]]&lt;0.65),"MEDIO",Tabla1[[#This Row],[Porcentaje de muertes]]&gt;0.65,"GRAVE")</f>
        <v>GRAVE</v>
      </c>
    </row>
    <row r="4193" spans="2:24" x14ac:dyDescent="0.3">
      <c r="B4193" s="9">
        <v>4193</v>
      </c>
      <c r="C4193" s="49">
        <v>36409</v>
      </c>
      <c r="D4193" s="9">
        <f>YEAR(Tabla1[[#This Row],[Date]])</f>
        <v>1999</v>
      </c>
      <c r="E4193" s="9" t="str" cm="1">
        <f t="array" ref="E4193">IFERROR(_xlfn.IFS(AND(D4193&lt;1980,D4193&gt;=1970),"70",AND(D4193&lt;1990,D4193&gt;=1980),"80",AND(D4193&lt;2000,D4193&gt;=1990),"90",AND(D4193&lt;2010,D4193&gt;=2000),"00",AND(D4193&lt;=2019,D4193&gt;=2010),"10"),"1908-1970")</f>
        <v>90</v>
      </c>
      <c r="F4193" s="3">
        <v>0.4513888888888889</v>
      </c>
      <c r="G4193" t="s">
        <v>7386</v>
      </c>
      <c r="H4193" t="s">
        <v>24063</v>
      </c>
      <c r="I4193" t="s">
        <v>28931</v>
      </c>
      <c r="J4193" t="s">
        <v>5494</v>
      </c>
      <c r="K4193" t="s">
        <v>24064</v>
      </c>
      <c r="L4193" s="7" t="s">
        <v>24065</v>
      </c>
      <c r="M4193">
        <v>2810</v>
      </c>
      <c r="N4193">
        <v>7</v>
      </c>
      <c r="O4193">
        <v>6</v>
      </c>
      <c r="P4193">
        <v>1</v>
      </c>
      <c r="Q4193">
        <v>7</v>
      </c>
      <c r="R4193">
        <v>6</v>
      </c>
      <c r="S4193">
        <v>1</v>
      </c>
      <c r="T4193">
        <v>0</v>
      </c>
      <c r="U4193" t="s">
        <v>24066</v>
      </c>
      <c r="V4193">
        <f>Tabla1[[#This Row],[Aboard]]-Tabla1[[#This Row],[Fatalities]]</f>
        <v>0</v>
      </c>
      <c r="W4193" s="50">
        <f>IFERROR(Tabla1[[#This Row],[Fatalities]]/Tabla1[[#This Row],[Aboard]],0)</f>
        <v>1</v>
      </c>
      <c r="X4193" s="51" t="str" cm="1">
        <f t="array" ref="X4193">_xlfn.IFS(Tabla1[[#This Row],[Porcentaje de muertes]]&lt;0.35,"LEVE",AND(Tabla1[[#This Row],[Porcentaje de muertes]]&gt;0.35,Tabla1[[#This Row],[Porcentaje de muertes]]&lt;0.65),"MEDIO",Tabla1[[#This Row],[Porcentaje de muertes]]&gt;0.65,"GRAVE")</f>
        <v>GRAVE</v>
      </c>
    </row>
    <row r="4194" spans="2:24" x14ac:dyDescent="0.3">
      <c r="B4194" s="9">
        <v>4194</v>
      </c>
      <c r="C4194" s="49">
        <v>36328</v>
      </c>
      <c r="D4194" s="9">
        <f>YEAR(Tabla1[[#This Row],[Date]])</f>
        <v>1999</v>
      </c>
      <c r="E4194" s="9" t="str" cm="1">
        <f t="array" ref="E4194">IFERROR(_xlfn.IFS(AND(D4194&lt;1980,D4194&gt;=1970),"70",AND(D4194&lt;1990,D4194&gt;=1980),"80",AND(D4194&lt;2000,D4194&gt;=1990),"90",AND(D4194&lt;2010,D4194&gt;=2000),"00",AND(D4194&lt;=2019,D4194&gt;=2010),"10"),"1908-1970")</f>
        <v>90</v>
      </c>
      <c r="F4194" s="3">
        <v>0.36944444444444446</v>
      </c>
      <c r="G4194" t="s">
        <v>24067</v>
      </c>
      <c r="H4194" t="s">
        <v>23983</v>
      </c>
      <c r="I4194" t="s">
        <v>28931</v>
      </c>
      <c r="J4194" t="s">
        <v>24068</v>
      </c>
      <c r="K4194" t="s">
        <v>20268</v>
      </c>
      <c r="L4194" s="7" t="s">
        <v>24069</v>
      </c>
      <c r="M4194">
        <v>110210</v>
      </c>
      <c r="N4194">
        <v>17</v>
      </c>
      <c r="O4194">
        <v>15</v>
      </c>
      <c r="P4194">
        <v>2</v>
      </c>
      <c r="Q4194">
        <v>17</v>
      </c>
      <c r="R4194">
        <v>15</v>
      </c>
      <c r="S4194">
        <v>2</v>
      </c>
      <c r="T4194">
        <v>0</v>
      </c>
      <c r="U4194" t="s">
        <v>24070</v>
      </c>
      <c r="V4194">
        <f>Tabla1[[#This Row],[Aboard]]-Tabla1[[#This Row],[Fatalities]]</f>
        <v>0</v>
      </c>
      <c r="W4194" s="50">
        <f>IFERROR(Tabla1[[#This Row],[Fatalities]]/Tabla1[[#This Row],[Aboard]],0)</f>
        <v>1</v>
      </c>
      <c r="X4194" s="51" t="str" cm="1">
        <f t="array" ref="X4194">_xlfn.IFS(Tabla1[[#This Row],[Porcentaje de muertes]]&lt;0.35,"LEVE",AND(Tabla1[[#This Row],[Porcentaje de muertes]]&gt;0.35,Tabla1[[#This Row],[Porcentaje de muertes]]&lt;0.65),"MEDIO",Tabla1[[#This Row],[Porcentaje de muertes]]&gt;0.65,"GRAVE")</f>
        <v>GRAVE</v>
      </c>
    </row>
    <row r="4195" spans="2:24" x14ac:dyDescent="0.3">
      <c r="B4195" s="9">
        <v>4195</v>
      </c>
      <c r="C4195" s="49">
        <v>36336</v>
      </c>
      <c r="D4195" s="9">
        <f>YEAR(Tabla1[[#This Row],[Date]])</f>
        <v>1999</v>
      </c>
      <c r="E4195" s="9" t="str" cm="1">
        <f t="array" ref="E4195">IFERROR(_xlfn.IFS(AND(D4195&lt;1980,D4195&gt;=1970),"70",AND(D4195&lt;1990,D4195&gt;=1980),"80",AND(D4195&lt;2000,D4195&gt;=1990),"90",AND(D4195&lt;2010,D4195&gt;=2000),"00",AND(D4195&lt;=2019,D4195&gt;=2010),"10"),"1908-1970")</f>
        <v>90</v>
      </c>
      <c r="F4195" s="3">
        <v>0.55555555555555558</v>
      </c>
      <c r="G4195" t="s">
        <v>24071</v>
      </c>
      <c r="H4195" t="s">
        <v>24072</v>
      </c>
      <c r="I4195" t="s">
        <v>28931</v>
      </c>
      <c r="J4195" t="s">
        <v>5028</v>
      </c>
      <c r="K4195" t="s">
        <v>12223</v>
      </c>
      <c r="L4195" s="7" t="s">
        <v>24073</v>
      </c>
      <c r="M4195">
        <v>73</v>
      </c>
      <c r="N4195">
        <v>2</v>
      </c>
      <c r="O4195">
        <v>0</v>
      </c>
      <c r="P4195">
        <v>2</v>
      </c>
      <c r="Q4195">
        <v>1</v>
      </c>
      <c r="R4195">
        <v>0</v>
      </c>
      <c r="S4195">
        <v>1</v>
      </c>
      <c r="T4195">
        <v>0</v>
      </c>
      <c r="U4195" t="s">
        <v>24074</v>
      </c>
      <c r="V4195">
        <f>Tabla1[[#This Row],[Aboard]]-Tabla1[[#This Row],[Fatalities]]</f>
        <v>1</v>
      </c>
      <c r="W4195" s="50">
        <f>IFERROR(Tabla1[[#This Row],[Fatalities]]/Tabla1[[#This Row],[Aboard]],0)</f>
        <v>0.5</v>
      </c>
      <c r="X4195" s="51" t="str" cm="1">
        <f t="array" ref="X4195">_xlfn.IFS(Tabla1[[#This Row],[Porcentaje de muertes]]&lt;0.35,"LEVE",AND(Tabla1[[#This Row],[Porcentaje de muertes]]&gt;0.35,Tabla1[[#This Row],[Porcentaje de muertes]]&lt;0.65),"MEDIO",Tabla1[[#This Row],[Porcentaje de muertes]]&gt;0.65,"GRAVE")</f>
        <v>MEDIO</v>
      </c>
    </row>
    <row r="4196" spans="2:24" x14ac:dyDescent="0.3">
      <c r="B4196" s="9">
        <v>4196</v>
      </c>
      <c r="C4196" s="49">
        <v>36167</v>
      </c>
      <c r="D4196" s="9">
        <f>YEAR(Tabla1[[#This Row],[Date]])</f>
        <v>1999</v>
      </c>
      <c r="E4196" s="9" t="str" cm="1">
        <f t="array" ref="E4196">IFERROR(_xlfn.IFS(AND(D4196&lt;1980,D4196&gt;=1970),"70",AND(D4196&lt;1990,D4196&gt;=1980),"80",AND(D4196&lt;2000,D4196&gt;=1990),"90",AND(D4196&lt;2010,D4196&gt;=2000),"00",AND(D4196&lt;=2019,D4196&gt;=2010),"10"),"1908-1970")</f>
        <v>90</v>
      </c>
      <c r="F4196" s="3" t="s">
        <v>28931</v>
      </c>
      <c r="G4196" t="s">
        <v>24075</v>
      </c>
      <c r="H4196" t="s">
        <v>23286</v>
      </c>
      <c r="I4196" t="s">
        <v>28931</v>
      </c>
      <c r="J4196" t="s">
        <v>23950</v>
      </c>
      <c r="K4196" t="s">
        <v>23287</v>
      </c>
      <c r="L4196" s="7" t="s">
        <v>24076</v>
      </c>
      <c r="M4196">
        <v>8345502</v>
      </c>
      <c r="N4196">
        <v>5</v>
      </c>
      <c r="O4196">
        <v>0</v>
      </c>
      <c r="P4196">
        <v>5</v>
      </c>
      <c r="Q4196">
        <v>1</v>
      </c>
      <c r="R4196">
        <v>0</v>
      </c>
      <c r="S4196">
        <v>1</v>
      </c>
      <c r="T4196">
        <v>0</v>
      </c>
      <c r="U4196" t="s">
        <v>24077</v>
      </c>
      <c r="V4196">
        <f>Tabla1[[#This Row],[Aboard]]-Tabla1[[#This Row],[Fatalities]]</f>
        <v>4</v>
      </c>
      <c r="W4196" s="50">
        <f>IFERROR(Tabla1[[#This Row],[Fatalities]]/Tabla1[[#This Row],[Aboard]],0)</f>
        <v>0.2</v>
      </c>
      <c r="X4196" s="51" t="str" cm="1">
        <f t="array" ref="X4196">_xlfn.IFS(Tabla1[[#This Row],[Porcentaje de muertes]]&lt;0.35,"LEVE",AND(Tabla1[[#This Row],[Porcentaje de muertes]]&gt;0.35,Tabla1[[#This Row],[Porcentaje de muertes]]&lt;0.65),"MEDIO",Tabla1[[#This Row],[Porcentaje de muertes]]&gt;0.65,"GRAVE")</f>
        <v>LEVE</v>
      </c>
    </row>
    <row r="4197" spans="2:24" x14ac:dyDescent="0.3">
      <c r="B4197" s="9">
        <v>4197</v>
      </c>
      <c r="C4197" s="49">
        <v>36198</v>
      </c>
      <c r="D4197" s="9">
        <f>YEAR(Tabla1[[#This Row],[Date]])</f>
        <v>1999</v>
      </c>
      <c r="E4197" s="9" t="str" cm="1">
        <f t="array" ref="E4197">IFERROR(_xlfn.IFS(AND(D4197&lt;1980,D4197&gt;=1970),"70",AND(D4197&lt;1990,D4197&gt;=1980),"80",AND(D4197&lt;2000,D4197&gt;=1990),"90",AND(D4197&lt;2010,D4197&gt;=2000),"00",AND(D4197&lt;=2019,D4197&gt;=2010),"10"),"1908-1970")</f>
        <v>90</v>
      </c>
      <c r="F4197" s="3">
        <v>0.6020833333333333</v>
      </c>
      <c r="G4197" t="s">
        <v>24078</v>
      </c>
      <c r="H4197" t="s">
        <v>23232</v>
      </c>
      <c r="I4197" t="s">
        <v>28931</v>
      </c>
      <c r="J4197" t="s">
        <v>24079</v>
      </c>
      <c r="K4197" t="s">
        <v>15526</v>
      </c>
      <c r="L4197" s="7" t="s">
        <v>24080</v>
      </c>
      <c r="M4197">
        <v>10594</v>
      </c>
      <c r="N4197">
        <v>8</v>
      </c>
      <c r="O4197">
        <v>4</v>
      </c>
      <c r="P4197">
        <v>4</v>
      </c>
      <c r="Q4197">
        <v>8</v>
      </c>
      <c r="R4197">
        <v>4</v>
      </c>
      <c r="S4197">
        <v>4</v>
      </c>
      <c r="T4197">
        <v>0</v>
      </c>
      <c r="U4197" t="s">
        <v>24081</v>
      </c>
      <c r="V4197">
        <f>Tabla1[[#This Row],[Aboard]]-Tabla1[[#This Row],[Fatalities]]</f>
        <v>0</v>
      </c>
      <c r="W4197" s="50">
        <f>IFERROR(Tabla1[[#This Row],[Fatalities]]/Tabla1[[#This Row],[Aboard]],0)</f>
        <v>1</v>
      </c>
      <c r="X4197" s="51" t="str" cm="1">
        <f t="array" ref="X4197">_xlfn.IFS(Tabla1[[#This Row],[Porcentaje de muertes]]&lt;0.35,"LEVE",AND(Tabla1[[#This Row],[Porcentaje de muertes]]&gt;0.35,Tabla1[[#This Row],[Porcentaje de muertes]]&lt;0.65),"MEDIO",Tabla1[[#This Row],[Porcentaje de muertes]]&gt;0.65,"GRAVE")</f>
        <v>GRAVE</v>
      </c>
    </row>
    <row r="4198" spans="2:24" x14ac:dyDescent="0.3">
      <c r="B4198" s="9">
        <v>4198</v>
      </c>
      <c r="C4198" s="49">
        <v>36257</v>
      </c>
      <c r="D4198" s="9">
        <f>YEAR(Tabla1[[#This Row],[Date]])</f>
        <v>1999</v>
      </c>
      <c r="E4198" s="9" t="str" cm="1">
        <f t="array" ref="E4198">IFERROR(_xlfn.IFS(AND(D4198&lt;1980,D4198&gt;=1970),"70",AND(D4198&lt;1990,D4198&gt;=1980),"80",AND(D4198&lt;2000,D4198&gt;=1990),"90",AND(D4198&lt;2010,D4198&gt;=2000),"00",AND(D4198&lt;=2019,D4198&gt;=2010),"10"),"1908-1970")</f>
        <v>90</v>
      </c>
      <c r="F4198" s="3">
        <v>0.50347222222222221</v>
      </c>
      <c r="G4198" t="s">
        <v>16532</v>
      </c>
      <c r="H4198" t="s">
        <v>24082</v>
      </c>
      <c r="I4198" t="s">
        <v>28931</v>
      </c>
      <c r="J4198" t="s">
        <v>22025</v>
      </c>
      <c r="K4198" t="s">
        <v>11052</v>
      </c>
      <c r="L4198" s="7" t="s">
        <v>24083</v>
      </c>
      <c r="M4198" t="s">
        <v>24084</v>
      </c>
      <c r="N4198">
        <v>18</v>
      </c>
      <c r="O4198">
        <v>12</v>
      </c>
      <c r="P4198">
        <v>6</v>
      </c>
      <c r="Q4198">
        <v>5</v>
      </c>
      <c r="R4198">
        <v>5</v>
      </c>
      <c r="S4198">
        <v>0</v>
      </c>
      <c r="T4198">
        <v>0</v>
      </c>
      <c r="U4198" t="s">
        <v>24085</v>
      </c>
      <c r="V4198">
        <f>Tabla1[[#This Row],[Aboard]]-Tabla1[[#This Row],[Fatalities]]</f>
        <v>13</v>
      </c>
      <c r="W4198" s="50">
        <f>IFERROR(Tabla1[[#This Row],[Fatalities]]/Tabla1[[#This Row],[Aboard]],0)</f>
        <v>0.27777777777777779</v>
      </c>
      <c r="X4198" s="51" t="str" cm="1">
        <f t="array" ref="X4198">_xlfn.IFS(Tabla1[[#This Row],[Porcentaje de muertes]]&lt;0.35,"LEVE",AND(Tabla1[[#This Row],[Porcentaje de muertes]]&gt;0.35,Tabla1[[#This Row],[Porcentaje de muertes]]&lt;0.65),"MEDIO",Tabla1[[#This Row],[Porcentaje de muertes]]&gt;0.65,"GRAVE")</f>
        <v>LEVE</v>
      </c>
    </row>
    <row r="4199" spans="2:24" x14ac:dyDescent="0.3">
      <c r="B4199" s="9">
        <v>4199</v>
      </c>
      <c r="C4199" s="49">
        <v>36348</v>
      </c>
      <c r="D4199" s="9">
        <f>YEAR(Tabla1[[#This Row],[Date]])</f>
        <v>1999</v>
      </c>
      <c r="E4199" s="9" t="str" cm="1">
        <f t="array" ref="E4199">IFERROR(_xlfn.IFS(AND(D4199&lt;1980,D4199&gt;=1970),"70",AND(D4199&lt;1990,D4199&gt;=1980),"80",AND(D4199&lt;2000,D4199&gt;=1990),"90",AND(D4199&lt;2010,D4199&gt;=2000),"00",AND(D4199&lt;=2019,D4199&gt;=2010),"10"),"1908-1970")</f>
        <v>90</v>
      </c>
      <c r="F4199" s="3">
        <v>0.82708333333333339</v>
      </c>
      <c r="G4199" t="s">
        <v>12298</v>
      </c>
      <c r="H4199" t="s">
        <v>24086</v>
      </c>
      <c r="I4199">
        <v>8533</v>
      </c>
      <c r="J4199" t="s">
        <v>24087</v>
      </c>
      <c r="K4199" t="s">
        <v>24088</v>
      </c>
      <c r="L4199" s="7" t="s">
        <v>24089</v>
      </c>
      <c r="M4199" t="s">
        <v>24090</v>
      </c>
      <c r="N4199">
        <v>5</v>
      </c>
      <c r="O4199">
        <v>0</v>
      </c>
      <c r="P4199">
        <v>5</v>
      </c>
      <c r="Q4199">
        <v>5</v>
      </c>
      <c r="R4199">
        <v>0</v>
      </c>
      <c r="S4199">
        <v>5</v>
      </c>
      <c r="T4199">
        <v>0</v>
      </c>
      <c r="U4199" t="s">
        <v>24091</v>
      </c>
      <c r="V4199">
        <f>Tabla1[[#This Row],[Aboard]]-Tabla1[[#This Row],[Fatalities]]</f>
        <v>0</v>
      </c>
      <c r="W4199" s="50">
        <f>IFERROR(Tabla1[[#This Row],[Fatalities]]/Tabla1[[#This Row],[Aboard]],0)</f>
        <v>1</v>
      </c>
      <c r="X4199" s="51" t="str" cm="1">
        <f t="array" ref="X4199">_xlfn.IFS(Tabla1[[#This Row],[Porcentaje de muertes]]&lt;0.35,"LEVE",AND(Tabla1[[#This Row],[Porcentaje de muertes]]&gt;0.35,Tabla1[[#This Row],[Porcentaje de muertes]]&lt;0.65),"MEDIO",Tabla1[[#This Row],[Porcentaje de muertes]]&gt;0.65,"GRAVE")</f>
        <v>GRAVE</v>
      </c>
    </row>
    <row r="4200" spans="2:24" x14ac:dyDescent="0.3">
      <c r="B4200" s="9">
        <v>4200</v>
      </c>
      <c r="C4200" s="49">
        <v>36410</v>
      </c>
      <c r="D4200" s="9">
        <f>YEAR(Tabla1[[#This Row],[Date]])</f>
        <v>1999</v>
      </c>
      <c r="E4200" s="9" t="str" cm="1">
        <f t="array" ref="E4200">IFERROR(_xlfn.IFS(AND(D4200&lt;1980,D4200&gt;=1970),"70",AND(D4200&lt;1990,D4200&gt;=1980),"80",AND(D4200&lt;2000,D4200&gt;=1990),"90",AND(D4200&lt;2010,D4200&gt;=2000),"00",AND(D4200&lt;=2019,D4200&gt;=2010),"10"),"1908-1970")</f>
        <v>90</v>
      </c>
      <c r="F4200" s="3">
        <v>0.1875</v>
      </c>
      <c r="G4200" t="s">
        <v>24092</v>
      </c>
      <c r="H4200" t="s">
        <v>24093</v>
      </c>
      <c r="I4200" t="s">
        <v>28931</v>
      </c>
      <c r="J4200" t="s">
        <v>24094</v>
      </c>
      <c r="K4200" t="s">
        <v>24095</v>
      </c>
      <c r="L4200" s="7" t="s">
        <v>24096</v>
      </c>
      <c r="M4200">
        <v>25064</v>
      </c>
      <c r="N4200">
        <v>4</v>
      </c>
      <c r="O4200">
        <v>2</v>
      </c>
      <c r="P4200">
        <v>2</v>
      </c>
      <c r="Q4200">
        <v>4</v>
      </c>
      <c r="R4200">
        <v>2</v>
      </c>
      <c r="S4200">
        <v>2</v>
      </c>
      <c r="T4200">
        <v>0</v>
      </c>
      <c r="U4200" t="s">
        <v>24097</v>
      </c>
      <c r="V4200">
        <f>Tabla1[[#This Row],[Aboard]]-Tabla1[[#This Row],[Fatalities]]</f>
        <v>0</v>
      </c>
      <c r="W4200" s="50">
        <f>IFERROR(Tabla1[[#This Row],[Fatalities]]/Tabla1[[#This Row],[Aboard]],0)</f>
        <v>1</v>
      </c>
      <c r="X4200" s="51" t="str" cm="1">
        <f t="array" ref="X4200">_xlfn.IFS(Tabla1[[#This Row],[Porcentaje de muertes]]&lt;0.35,"LEVE",AND(Tabla1[[#This Row],[Porcentaje de muertes]]&gt;0.35,Tabla1[[#This Row],[Porcentaje de muertes]]&lt;0.65),"MEDIO",Tabla1[[#This Row],[Porcentaje de muertes]]&gt;0.65,"GRAVE")</f>
        <v>GRAVE</v>
      </c>
    </row>
    <row r="4201" spans="2:24" x14ac:dyDescent="0.3">
      <c r="B4201" s="9">
        <v>4201</v>
      </c>
      <c r="C4201" s="49">
        <v>36357</v>
      </c>
      <c r="D4201" s="9">
        <f>YEAR(Tabla1[[#This Row],[Date]])</f>
        <v>1999</v>
      </c>
      <c r="E4201" s="9" t="str" cm="1">
        <f t="array" ref="E4201">IFERROR(_xlfn.IFS(AND(D4201&lt;1980,D4201&gt;=1970),"70",AND(D4201&lt;1990,D4201&gt;=1980),"80",AND(D4201&lt;2000,D4201&gt;=1990),"90",AND(D4201&lt;2010,D4201&gt;=2000),"00",AND(D4201&lt;=2019,D4201&gt;=2010),"10"),"1908-1970")</f>
        <v>90</v>
      </c>
      <c r="F4201" s="3">
        <v>0.90347222222222223</v>
      </c>
      <c r="G4201" t="s">
        <v>24098</v>
      </c>
      <c r="H4201" t="s">
        <v>5032</v>
      </c>
      <c r="I4201" t="s">
        <v>8152</v>
      </c>
      <c r="J4201" t="s">
        <v>24099</v>
      </c>
      <c r="K4201" t="s">
        <v>24100</v>
      </c>
      <c r="L4201" s="7" t="s">
        <v>24101</v>
      </c>
      <c r="M4201">
        <v>3213100</v>
      </c>
      <c r="N4201">
        <v>3</v>
      </c>
      <c r="O4201">
        <v>2</v>
      </c>
      <c r="P4201">
        <v>1</v>
      </c>
      <c r="Q4201">
        <v>3</v>
      </c>
      <c r="R4201">
        <v>2</v>
      </c>
      <c r="S4201">
        <v>1</v>
      </c>
      <c r="T4201">
        <v>0</v>
      </c>
      <c r="U4201" t="s">
        <v>24102</v>
      </c>
      <c r="V4201">
        <f>Tabla1[[#This Row],[Aboard]]-Tabla1[[#This Row],[Fatalities]]</f>
        <v>0</v>
      </c>
      <c r="W4201" s="50">
        <f>IFERROR(Tabla1[[#This Row],[Fatalities]]/Tabla1[[#This Row],[Aboard]],0)</f>
        <v>1</v>
      </c>
      <c r="X4201" s="51" t="str" cm="1">
        <f t="array" ref="X4201">_xlfn.IFS(Tabla1[[#This Row],[Porcentaje de muertes]]&lt;0.35,"LEVE",AND(Tabla1[[#This Row],[Porcentaje de muertes]]&gt;0.35,Tabla1[[#This Row],[Porcentaje de muertes]]&lt;0.65),"MEDIO",Tabla1[[#This Row],[Porcentaje de muertes]]&gt;0.65,"GRAVE")</f>
        <v>GRAVE</v>
      </c>
    </row>
    <row r="4202" spans="2:24" x14ac:dyDescent="0.3">
      <c r="B4202" s="9">
        <v>4202</v>
      </c>
      <c r="C4202" s="49">
        <v>36364</v>
      </c>
      <c r="D4202" s="9">
        <f>YEAR(Tabla1[[#This Row],[Date]])</f>
        <v>1999</v>
      </c>
      <c r="E4202" s="9" t="str" cm="1">
        <f t="array" ref="E4202">IFERROR(_xlfn.IFS(AND(D4202&lt;1980,D4202&gt;=1970),"70",AND(D4202&lt;1990,D4202&gt;=1980),"80",AND(D4202&lt;2000,D4202&gt;=1990),"90",AND(D4202&lt;2010,D4202&gt;=2000),"00",AND(D4202&lt;=2019,D4202&gt;=2010),"10"),"1908-1970")</f>
        <v>90</v>
      </c>
      <c r="F4202" s="3">
        <v>0.47569444444444442</v>
      </c>
      <c r="G4202" t="s">
        <v>7285</v>
      </c>
      <c r="H4202" t="s">
        <v>12415</v>
      </c>
      <c r="I4202">
        <v>61</v>
      </c>
      <c r="J4202" t="s">
        <v>24103</v>
      </c>
      <c r="K4202" t="s">
        <v>17041</v>
      </c>
      <c r="L4202" s="7" t="s">
        <v>24104</v>
      </c>
      <c r="M4202" t="s">
        <v>24105</v>
      </c>
      <c r="N4202">
        <v>517</v>
      </c>
      <c r="O4202">
        <v>503</v>
      </c>
      <c r="P4202">
        <v>14</v>
      </c>
      <c r="Q4202">
        <v>1</v>
      </c>
      <c r="R4202">
        <v>0</v>
      </c>
      <c r="S4202">
        <v>1</v>
      </c>
      <c r="T4202">
        <v>0</v>
      </c>
      <c r="U4202" t="s">
        <v>24106</v>
      </c>
      <c r="V4202">
        <f>Tabla1[[#This Row],[Aboard]]-Tabla1[[#This Row],[Fatalities]]</f>
        <v>516</v>
      </c>
      <c r="W4202" s="50">
        <f>IFERROR(Tabla1[[#This Row],[Fatalities]]/Tabla1[[#This Row],[Aboard]],0)</f>
        <v>1.9342359767891683E-3</v>
      </c>
      <c r="X4202" s="51" t="str" cm="1">
        <f t="array" ref="X4202">_xlfn.IFS(Tabla1[[#This Row],[Porcentaje de muertes]]&lt;0.35,"LEVE",AND(Tabla1[[#This Row],[Porcentaje de muertes]]&gt;0.35,Tabla1[[#This Row],[Porcentaje de muertes]]&lt;0.65),"MEDIO",Tabla1[[#This Row],[Porcentaje de muertes]]&gt;0.65,"GRAVE")</f>
        <v>LEVE</v>
      </c>
    </row>
    <row r="4203" spans="2:24" x14ac:dyDescent="0.3">
      <c r="B4203" s="9">
        <v>4203</v>
      </c>
      <c r="C4203" s="49">
        <v>36364</v>
      </c>
      <c r="D4203" s="9">
        <f>YEAR(Tabla1[[#This Row],[Date]])</f>
        <v>1999</v>
      </c>
      <c r="E4203" s="9" t="str" cm="1">
        <f t="array" ref="E4203">IFERROR(_xlfn.IFS(AND(D4203&lt;1980,D4203&gt;=1970),"70",AND(D4203&lt;1990,D4203&gt;=1980),"80",AND(D4203&lt;2000,D4203&gt;=1990),"90",AND(D4203&lt;2010,D4203&gt;=2000),"00",AND(D4203&lt;=2019,D4203&gt;=2010),"10"),"1908-1970")</f>
        <v>90</v>
      </c>
      <c r="F4203" s="3">
        <v>0.14583333333333334</v>
      </c>
      <c r="G4203" t="s">
        <v>24107</v>
      </c>
      <c r="H4203" t="s">
        <v>5017</v>
      </c>
      <c r="I4203" t="s">
        <v>28931</v>
      </c>
      <c r="J4203" t="s">
        <v>28931</v>
      </c>
      <c r="K4203" t="s">
        <v>20610</v>
      </c>
      <c r="L4203" s="7" t="s">
        <v>24108</v>
      </c>
      <c r="M4203">
        <v>95</v>
      </c>
      <c r="N4203">
        <v>7</v>
      </c>
      <c r="O4203">
        <v>0</v>
      </c>
      <c r="P4203">
        <v>7</v>
      </c>
      <c r="Q4203">
        <v>7</v>
      </c>
      <c r="R4203">
        <v>0</v>
      </c>
      <c r="S4203">
        <v>7</v>
      </c>
      <c r="T4203">
        <v>0</v>
      </c>
      <c r="U4203" t="s">
        <v>24109</v>
      </c>
      <c r="V4203">
        <f>Tabla1[[#This Row],[Aboard]]-Tabla1[[#This Row],[Fatalities]]</f>
        <v>0</v>
      </c>
      <c r="W4203" s="50">
        <f>IFERROR(Tabla1[[#This Row],[Fatalities]]/Tabla1[[#This Row],[Aboard]],0)</f>
        <v>1</v>
      </c>
      <c r="X4203" s="51" t="str" cm="1">
        <f t="array" ref="X4203">_xlfn.IFS(Tabla1[[#This Row],[Porcentaje de muertes]]&lt;0.35,"LEVE",AND(Tabla1[[#This Row],[Porcentaje de muertes]]&gt;0.35,Tabla1[[#This Row],[Porcentaje de muertes]]&lt;0.65),"MEDIO",Tabla1[[#This Row],[Porcentaje de muertes]]&gt;0.65,"GRAVE")</f>
        <v>GRAVE</v>
      </c>
    </row>
    <row r="4204" spans="2:24" x14ac:dyDescent="0.3">
      <c r="B4204" s="9">
        <v>4204</v>
      </c>
      <c r="C4204" s="49">
        <v>36365</v>
      </c>
      <c r="D4204" s="9">
        <f>YEAR(Tabla1[[#This Row],[Date]])</f>
        <v>1999</v>
      </c>
      <c r="E4204" s="9" t="str" cm="1">
        <f t="array" ref="E4204">IFERROR(_xlfn.IFS(AND(D4204&lt;1980,D4204&gt;=1970),"70",AND(D4204&lt;1990,D4204&gt;=1980),"80",AND(D4204&lt;2000,D4204&gt;=1990),"90",AND(D4204&lt;2010,D4204&gt;=2000),"00",AND(D4204&lt;=2019,D4204&gt;=2010),"10"),"1908-1970")</f>
        <v>90</v>
      </c>
      <c r="F4204" s="3">
        <v>0.23263888888888887</v>
      </c>
      <c r="G4204" t="s">
        <v>24110</v>
      </c>
      <c r="H4204" t="s">
        <v>24111</v>
      </c>
      <c r="I4204">
        <v>121</v>
      </c>
      <c r="J4204" t="s">
        <v>24112</v>
      </c>
      <c r="K4204" t="s">
        <v>18953</v>
      </c>
      <c r="L4204" s="7" t="s">
        <v>24113</v>
      </c>
      <c r="M4204">
        <v>110416</v>
      </c>
      <c r="N4204">
        <v>17</v>
      </c>
      <c r="O4204">
        <v>15</v>
      </c>
      <c r="P4204">
        <v>2</v>
      </c>
      <c r="Q4204">
        <v>17</v>
      </c>
      <c r="R4204">
        <v>15</v>
      </c>
      <c r="S4204">
        <v>2</v>
      </c>
      <c r="T4204">
        <v>0</v>
      </c>
      <c r="U4204" t="s">
        <v>24114</v>
      </c>
      <c r="V4204">
        <f>Tabla1[[#This Row],[Aboard]]-Tabla1[[#This Row],[Fatalities]]</f>
        <v>0</v>
      </c>
      <c r="W4204" s="50">
        <f>IFERROR(Tabla1[[#This Row],[Fatalities]]/Tabla1[[#This Row],[Aboard]],0)</f>
        <v>1</v>
      </c>
      <c r="X4204" s="51" t="str" cm="1">
        <f t="array" ref="X4204">_xlfn.IFS(Tabla1[[#This Row],[Porcentaje de muertes]]&lt;0.35,"LEVE",AND(Tabla1[[#This Row],[Porcentaje de muertes]]&gt;0.35,Tabla1[[#This Row],[Porcentaje de muertes]]&lt;0.65),"MEDIO",Tabla1[[#This Row],[Porcentaje de muertes]]&gt;0.65,"GRAVE")</f>
        <v>GRAVE</v>
      </c>
    </row>
    <row r="4205" spans="2:24" x14ac:dyDescent="0.3">
      <c r="B4205" s="9">
        <v>4205</v>
      </c>
      <c r="C4205" s="49">
        <v>36349</v>
      </c>
      <c r="D4205" s="9">
        <f>YEAR(Tabla1[[#This Row],[Date]])</f>
        <v>1999</v>
      </c>
      <c r="E4205" s="9" t="str" cm="1">
        <f t="array" ref="E4205">IFERROR(_xlfn.IFS(AND(D4205&lt;1980,D4205&gt;=1970),"70",AND(D4205&lt;1990,D4205&gt;=1980),"80",AND(D4205&lt;2000,D4205&gt;=1990),"90",AND(D4205&lt;2010,D4205&gt;=2000),"00",AND(D4205&lt;=2019,D4205&gt;=2010),"10"),"1908-1970")</f>
        <v>90</v>
      </c>
      <c r="F4205" s="3">
        <v>0.5</v>
      </c>
      <c r="G4205" t="s">
        <v>24115</v>
      </c>
      <c r="H4205" t="s">
        <v>24116</v>
      </c>
      <c r="I4205">
        <v>5002</v>
      </c>
      <c r="J4205" t="s">
        <v>24117</v>
      </c>
      <c r="K4205" t="s">
        <v>22180</v>
      </c>
      <c r="L4205" s="7" t="s">
        <v>24118</v>
      </c>
      <c r="M4205">
        <v>8091</v>
      </c>
      <c r="N4205">
        <v>18</v>
      </c>
      <c r="O4205">
        <v>16</v>
      </c>
      <c r="P4205">
        <v>2</v>
      </c>
      <c r="Q4205">
        <v>18</v>
      </c>
      <c r="R4205">
        <v>16</v>
      </c>
      <c r="S4205">
        <v>2</v>
      </c>
      <c r="T4205">
        <v>0</v>
      </c>
      <c r="U4205" t="s">
        <v>24119</v>
      </c>
      <c r="V4205">
        <f>Tabla1[[#This Row],[Aboard]]-Tabla1[[#This Row],[Fatalities]]</f>
        <v>0</v>
      </c>
      <c r="W4205" s="50">
        <f>IFERROR(Tabla1[[#This Row],[Fatalities]]/Tabla1[[#This Row],[Aboard]],0)</f>
        <v>1</v>
      </c>
      <c r="X4205" s="51" t="str" cm="1">
        <f t="array" ref="X4205">_xlfn.IFS(Tabla1[[#This Row],[Porcentaje de muertes]]&lt;0.35,"LEVE",AND(Tabla1[[#This Row],[Porcentaje de muertes]]&gt;0.35,Tabla1[[#This Row],[Porcentaje de muertes]]&lt;0.65),"MEDIO",Tabla1[[#This Row],[Porcentaje de muertes]]&gt;0.65,"GRAVE")</f>
        <v>GRAVE</v>
      </c>
    </row>
    <row r="4206" spans="2:24" x14ac:dyDescent="0.3">
      <c r="B4206" s="9">
        <v>4206</v>
      </c>
      <c r="C4206" s="49">
        <v>36394</v>
      </c>
      <c r="D4206" s="9">
        <f>YEAR(Tabla1[[#This Row],[Date]])</f>
        <v>1999</v>
      </c>
      <c r="E4206" s="9" t="str" cm="1">
        <f t="array" ref="E4206">IFERROR(_xlfn.IFS(AND(D4206&lt;1980,D4206&gt;=1970),"70",AND(D4206&lt;1990,D4206&gt;=1980),"80",AND(D4206&lt;2000,D4206&gt;=1990),"90",AND(D4206&lt;2010,D4206&gt;=2000),"00",AND(D4206&lt;=2019,D4206&gt;=2010),"10"),"1908-1970")</f>
        <v>90</v>
      </c>
      <c r="F4206" s="3">
        <v>0.78125</v>
      </c>
      <c r="G4206" t="s">
        <v>15055</v>
      </c>
      <c r="H4206" t="s">
        <v>15040</v>
      </c>
      <c r="I4206">
        <v>642</v>
      </c>
      <c r="J4206" t="s">
        <v>10378</v>
      </c>
      <c r="K4206" t="s">
        <v>22212</v>
      </c>
      <c r="L4206" s="7" t="s">
        <v>24120</v>
      </c>
      <c r="M4206" t="s">
        <v>24121</v>
      </c>
      <c r="N4206">
        <v>315</v>
      </c>
      <c r="O4206">
        <v>300</v>
      </c>
      <c r="P4206">
        <v>15</v>
      </c>
      <c r="Q4206">
        <v>3</v>
      </c>
      <c r="R4206">
        <v>3</v>
      </c>
      <c r="S4206">
        <v>0</v>
      </c>
      <c r="T4206">
        <v>0</v>
      </c>
      <c r="U4206" t="s">
        <v>24122</v>
      </c>
      <c r="V4206">
        <f>Tabla1[[#This Row],[Aboard]]-Tabla1[[#This Row],[Fatalities]]</f>
        <v>312</v>
      </c>
      <c r="W4206" s="50">
        <f>IFERROR(Tabla1[[#This Row],[Fatalities]]/Tabla1[[#This Row],[Aboard]],0)</f>
        <v>9.5238095238095247E-3</v>
      </c>
      <c r="X4206" s="51" t="str" cm="1">
        <f t="array" ref="X4206">_xlfn.IFS(Tabla1[[#This Row],[Porcentaje de muertes]]&lt;0.35,"LEVE",AND(Tabla1[[#This Row],[Porcentaje de muertes]]&gt;0.35,Tabla1[[#This Row],[Porcentaje de muertes]]&lt;0.65),"MEDIO",Tabla1[[#This Row],[Porcentaje de muertes]]&gt;0.65,"GRAVE")</f>
        <v>LEVE</v>
      </c>
    </row>
    <row r="4207" spans="2:24" x14ac:dyDescent="0.3">
      <c r="B4207" s="9">
        <v>4207</v>
      </c>
      <c r="C4207" s="49">
        <v>36396</v>
      </c>
      <c r="D4207" s="9">
        <f>YEAR(Tabla1[[#This Row],[Date]])</f>
        <v>1999</v>
      </c>
      <c r="E4207" s="9" t="str" cm="1">
        <f t="array" ref="E4207">IFERROR(_xlfn.IFS(AND(D4207&lt;1980,D4207&gt;=1970),"70",AND(D4207&lt;1990,D4207&gt;=1980),"80",AND(D4207&lt;2000,D4207&gt;=1990),"90",AND(D4207&lt;2010,D4207&gt;=2000),"00",AND(D4207&lt;=2019,D4207&gt;=2010),"10"),"1908-1970")</f>
        <v>90</v>
      </c>
      <c r="F4207" s="3">
        <v>0.52500000000000002</v>
      </c>
      <c r="G4207" t="s">
        <v>24123</v>
      </c>
      <c r="H4207" t="s">
        <v>24124</v>
      </c>
      <c r="I4207">
        <v>873</v>
      </c>
      <c r="J4207" t="s">
        <v>24125</v>
      </c>
      <c r="K4207" t="s">
        <v>24126</v>
      </c>
      <c r="L4207" s="7" t="s">
        <v>24127</v>
      </c>
      <c r="M4207" t="s">
        <v>24128</v>
      </c>
      <c r="N4207">
        <v>96</v>
      </c>
      <c r="O4207">
        <v>90</v>
      </c>
      <c r="P4207">
        <v>6</v>
      </c>
      <c r="Q4207">
        <v>1</v>
      </c>
      <c r="R4207">
        <v>1</v>
      </c>
      <c r="S4207">
        <v>0</v>
      </c>
      <c r="T4207">
        <v>0</v>
      </c>
      <c r="U4207" t="s">
        <v>24129</v>
      </c>
      <c r="V4207">
        <f>Tabla1[[#This Row],[Aboard]]-Tabla1[[#This Row],[Fatalities]]</f>
        <v>95</v>
      </c>
      <c r="W4207" s="50">
        <f>IFERROR(Tabla1[[#This Row],[Fatalities]]/Tabla1[[#This Row],[Aboard]],0)</f>
        <v>1.0416666666666666E-2</v>
      </c>
      <c r="X4207" s="51" t="str" cm="1">
        <f t="array" ref="X4207">_xlfn.IFS(Tabla1[[#This Row],[Porcentaje de muertes]]&lt;0.35,"LEVE",AND(Tabla1[[#This Row],[Porcentaje de muertes]]&gt;0.35,Tabla1[[#This Row],[Porcentaje de muertes]]&lt;0.65),"MEDIO",Tabla1[[#This Row],[Porcentaje de muertes]]&gt;0.65,"GRAVE")</f>
        <v>LEVE</v>
      </c>
    </row>
    <row r="4208" spans="2:24" x14ac:dyDescent="0.3">
      <c r="B4208" s="9">
        <v>4208</v>
      </c>
      <c r="C4208" s="49">
        <v>36398</v>
      </c>
      <c r="D4208" s="9">
        <f>YEAR(Tabla1[[#This Row],[Date]])</f>
        <v>1999</v>
      </c>
      <c r="E4208" s="9" t="str" cm="1">
        <f t="array" ref="E4208">IFERROR(_xlfn.IFS(AND(D4208&lt;1980,D4208&gt;=1970),"70",AND(D4208&lt;1990,D4208&gt;=1980),"80",AND(D4208&lt;2000,D4208&gt;=1990),"90",AND(D4208&lt;2010,D4208&gt;=2000),"00",AND(D4208&lt;=2019,D4208&gt;=2010),"10"),"1908-1970")</f>
        <v>90</v>
      </c>
      <c r="F4208" s="3">
        <v>0.45416666666666666</v>
      </c>
      <c r="G4208" t="s">
        <v>24130</v>
      </c>
      <c r="H4208" t="s">
        <v>24131</v>
      </c>
      <c r="I4208" t="s">
        <v>28931</v>
      </c>
      <c r="J4208" t="s">
        <v>24132</v>
      </c>
      <c r="K4208" t="s">
        <v>15961</v>
      </c>
      <c r="L4208" s="7" t="s">
        <v>24133</v>
      </c>
      <c r="M4208">
        <v>9331730</v>
      </c>
      <c r="N4208">
        <v>33</v>
      </c>
      <c r="O4208">
        <v>29</v>
      </c>
      <c r="P4208">
        <v>4</v>
      </c>
      <c r="Q4208">
        <v>2</v>
      </c>
      <c r="R4208">
        <v>2</v>
      </c>
      <c r="S4208">
        <v>0</v>
      </c>
      <c r="T4208">
        <v>0</v>
      </c>
      <c r="U4208" t="s">
        <v>24134</v>
      </c>
      <c r="V4208">
        <f>Tabla1[[#This Row],[Aboard]]-Tabla1[[#This Row],[Fatalities]]</f>
        <v>31</v>
      </c>
      <c r="W4208" s="50">
        <f>IFERROR(Tabla1[[#This Row],[Fatalities]]/Tabla1[[#This Row],[Aboard]],0)</f>
        <v>6.0606060606060608E-2</v>
      </c>
      <c r="X4208" s="51" t="str" cm="1">
        <f t="array" ref="X4208">_xlfn.IFS(Tabla1[[#This Row],[Porcentaje de muertes]]&lt;0.35,"LEVE",AND(Tabla1[[#This Row],[Porcentaje de muertes]]&gt;0.35,Tabla1[[#This Row],[Porcentaje de muertes]]&lt;0.65),"MEDIO",Tabla1[[#This Row],[Porcentaje de muertes]]&gt;0.65,"GRAVE")</f>
        <v>LEVE</v>
      </c>
    </row>
    <row r="4209" spans="2:24" x14ac:dyDescent="0.3">
      <c r="B4209" s="9">
        <v>4209</v>
      </c>
      <c r="C4209" s="49">
        <v>36403</v>
      </c>
      <c r="D4209" s="9">
        <f>YEAR(Tabla1[[#This Row],[Date]])</f>
        <v>1999</v>
      </c>
      <c r="E4209" s="9" t="str" cm="1">
        <f t="array" ref="E4209">IFERROR(_xlfn.IFS(AND(D4209&lt;1980,D4209&gt;=1970),"70",AND(D4209&lt;1990,D4209&gt;=1980),"80",AND(D4209&lt;2000,D4209&gt;=1990),"90",AND(D4209&lt;2010,D4209&gt;=2000),"00",AND(D4209&lt;=2019,D4209&gt;=2010),"10"),"1908-1970")</f>
        <v>90</v>
      </c>
      <c r="F4209" s="3">
        <v>0.87152777777777779</v>
      </c>
      <c r="G4209" t="s">
        <v>5925</v>
      </c>
      <c r="H4209" t="s">
        <v>24135</v>
      </c>
      <c r="I4209">
        <v>3142</v>
      </c>
      <c r="J4209" t="s">
        <v>24136</v>
      </c>
      <c r="K4209" t="s">
        <v>24137</v>
      </c>
      <c r="L4209" s="7" t="s">
        <v>24138</v>
      </c>
      <c r="M4209" t="s">
        <v>24139</v>
      </c>
      <c r="N4209">
        <v>103</v>
      </c>
      <c r="O4209">
        <v>98</v>
      </c>
      <c r="P4209">
        <v>5</v>
      </c>
      <c r="Q4209">
        <v>63</v>
      </c>
      <c r="R4209">
        <v>60</v>
      </c>
      <c r="S4209">
        <v>3</v>
      </c>
      <c r="T4209">
        <v>2</v>
      </c>
      <c r="U4209" t="s">
        <v>24140</v>
      </c>
      <c r="V4209">
        <f>Tabla1[[#This Row],[Aboard]]-Tabla1[[#This Row],[Fatalities]]</f>
        <v>40</v>
      </c>
      <c r="W4209" s="50">
        <f>IFERROR(Tabla1[[#This Row],[Fatalities]]/Tabla1[[#This Row],[Aboard]],0)</f>
        <v>0.61165048543689315</v>
      </c>
      <c r="X4209" s="51" t="str" cm="1">
        <f t="array" ref="X4209">_xlfn.IFS(Tabla1[[#This Row],[Porcentaje de muertes]]&lt;0.35,"LEVE",AND(Tabla1[[#This Row],[Porcentaje de muertes]]&gt;0.35,Tabla1[[#This Row],[Porcentaje de muertes]]&lt;0.65),"MEDIO",Tabla1[[#This Row],[Porcentaje de muertes]]&gt;0.65,"GRAVE")</f>
        <v>MEDIO</v>
      </c>
    </row>
    <row r="4210" spans="2:24" x14ac:dyDescent="0.3">
      <c r="B4210" s="9">
        <v>4210</v>
      </c>
      <c r="C4210" s="49">
        <v>36289</v>
      </c>
      <c r="D4210" s="9">
        <f>YEAR(Tabla1[[#This Row],[Date]])</f>
        <v>1999</v>
      </c>
      <c r="E4210" s="9" t="str" cm="1">
        <f t="array" ref="E4210">IFERROR(_xlfn.IFS(AND(D4210&lt;1980,D4210&gt;=1970),"70",AND(D4210&lt;1990,D4210&gt;=1980),"80",AND(D4210&lt;2000,D4210&gt;=1990),"90",AND(D4210&lt;2010,D4210&gt;=2000),"00",AND(D4210&lt;=2019,D4210&gt;=2010),"10"),"1908-1970")</f>
        <v>90</v>
      </c>
      <c r="F4210" s="3">
        <v>0.4375</v>
      </c>
      <c r="G4210" t="s">
        <v>12298</v>
      </c>
      <c r="H4210" t="s">
        <v>24141</v>
      </c>
      <c r="I4210">
        <v>128</v>
      </c>
      <c r="J4210" t="s">
        <v>24142</v>
      </c>
      <c r="K4210" t="s">
        <v>24143</v>
      </c>
      <c r="L4210" s="7" t="s">
        <v>24144</v>
      </c>
      <c r="M4210">
        <v>1806</v>
      </c>
      <c r="N4210">
        <v>15</v>
      </c>
      <c r="O4210">
        <v>10</v>
      </c>
      <c r="P4210">
        <v>5</v>
      </c>
      <c r="Q4210">
        <v>15</v>
      </c>
      <c r="R4210">
        <v>10</v>
      </c>
      <c r="S4210">
        <v>5</v>
      </c>
      <c r="T4210">
        <v>0</v>
      </c>
      <c r="U4210" t="s">
        <v>24145</v>
      </c>
      <c r="V4210">
        <f>Tabla1[[#This Row],[Aboard]]-Tabla1[[#This Row],[Fatalities]]</f>
        <v>0</v>
      </c>
      <c r="W4210" s="50">
        <f>IFERROR(Tabla1[[#This Row],[Fatalities]]/Tabla1[[#This Row],[Aboard]],0)</f>
        <v>1</v>
      </c>
      <c r="X4210" s="51" t="str" cm="1">
        <f t="array" ref="X4210">_xlfn.IFS(Tabla1[[#This Row],[Porcentaje de muertes]]&lt;0.35,"LEVE",AND(Tabla1[[#This Row],[Porcentaje de muertes]]&gt;0.35,Tabla1[[#This Row],[Porcentaje de muertes]]&lt;0.65),"MEDIO",Tabla1[[#This Row],[Porcentaje de muertes]]&gt;0.65,"GRAVE")</f>
        <v>GRAVE</v>
      </c>
    </row>
    <row r="4211" spans="2:24" x14ac:dyDescent="0.3">
      <c r="B4211" s="9">
        <v>4211</v>
      </c>
      <c r="C4211" s="49">
        <v>36417</v>
      </c>
      <c r="D4211" s="9">
        <f>YEAR(Tabla1[[#This Row],[Date]])</f>
        <v>1999</v>
      </c>
      <c r="E4211" s="9" t="str" cm="1">
        <f t="array" ref="E4211">IFERROR(_xlfn.IFS(AND(D4211&lt;1980,D4211&gt;=1970),"70",AND(D4211&lt;1990,D4211&gt;=1980),"80",AND(D4211&lt;2000,D4211&gt;=1990),"90",AND(D4211&lt;2010,D4211&gt;=2000),"00",AND(D4211&lt;=2019,D4211&gt;=2010),"10"),"1908-1970")</f>
        <v>90</v>
      </c>
      <c r="F4211" s="3">
        <v>0.99097222222222225</v>
      </c>
      <c r="G4211" t="s">
        <v>24146</v>
      </c>
      <c r="H4211" t="s">
        <v>14742</v>
      </c>
      <c r="I4211" t="s">
        <v>24147</v>
      </c>
      <c r="J4211" t="s">
        <v>24148</v>
      </c>
      <c r="K4211" t="s">
        <v>24149</v>
      </c>
      <c r="L4211" s="7" t="s">
        <v>24150</v>
      </c>
      <c r="M4211" t="s">
        <v>24151</v>
      </c>
      <c r="N4211">
        <v>245</v>
      </c>
      <c r="O4211">
        <v>236</v>
      </c>
      <c r="P4211">
        <v>9</v>
      </c>
      <c r="Q4211">
        <v>1</v>
      </c>
      <c r="R4211">
        <v>1</v>
      </c>
      <c r="S4211">
        <v>0</v>
      </c>
      <c r="T4211">
        <v>0</v>
      </c>
      <c r="U4211" t="s">
        <v>24152</v>
      </c>
      <c r="V4211">
        <f>Tabla1[[#This Row],[Aboard]]-Tabla1[[#This Row],[Fatalities]]</f>
        <v>244</v>
      </c>
      <c r="W4211" s="50">
        <f>IFERROR(Tabla1[[#This Row],[Fatalities]]/Tabla1[[#This Row],[Aboard]],0)</f>
        <v>4.0816326530612249E-3</v>
      </c>
      <c r="X4211" s="51" t="str" cm="1">
        <f t="array" ref="X4211">_xlfn.IFS(Tabla1[[#This Row],[Porcentaje de muertes]]&lt;0.35,"LEVE",AND(Tabla1[[#This Row],[Porcentaje de muertes]]&gt;0.35,Tabla1[[#This Row],[Porcentaje de muertes]]&lt;0.65),"MEDIO",Tabla1[[#This Row],[Porcentaje de muertes]]&gt;0.65,"GRAVE")</f>
        <v>LEVE</v>
      </c>
    </row>
    <row r="4212" spans="2:24" x14ac:dyDescent="0.3">
      <c r="B4212" s="9">
        <v>4212</v>
      </c>
      <c r="C4212" s="49">
        <v>36417</v>
      </c>
      <c r="D4212" s="9">
        <f>YEAR(Tabla1[[#This Row],[Date]])</f>
        <v>1999</v>
      </c>
      <c r="E4212" s="9" t="str" cm="1">
        <f t="array" ref="E4212">IFERROR(_xlfn.IFS(AND(D4212&lt;1980,D4212&gt;=1970),"70",AND(D4212&lt;1990,D4212&gt;=1980),"80",AND(D4212&lt;2000,D4212&gt;=1990),"90",AND(D4212&lt;2010,D4212&gt;=2000),"00",AND(D4212&lt;=2019,D4212&gt;=2010),"10"),"1908-1970")</f>
        <v>90</v>
      </c>
      <c r="F4212" s="3" t="s">
        <v>28931</v>
      </c>
      <c r="G4212" t="s">
        <v>5303</v>
      </c>
      <c r="H4212" t="s">
        <v>24153</v>
      </c>
      <c r="I4212">
        <v>3838</v>
      </c>
      <c r="J4212" t="s">
        <v>24154</v>
      </c>
      <c r="K4212" t="s">
        <v>24155</v>
      </c>
      <c r="L4212" s="7" t="s">
        <v>24156</v>
      </c>
      <c r="M4212">
        <v>26</v>
      </c>
      <c r="N4212">
        <v>13</v>
      </c>
      <c r="O4212">
        <v>10</v>
      </c>
      <c r="P4212">
        <v>3</v>
      </c>
      <c r="Q4212">
        <v>7</v>
      </c>
      <c r="R4212">
        <v>7</v>
      </c>
      <c r="S4212">
        <v>0</v>
      </c>
      <c r="T4212">
        <v>0</v>
      </c>
      <c r="U4212" t="s">
        <v>24157</v>
      </c>
      <c r="V4212">
        <f>Tabla1[[#This Row],[Aboard]]-Tabla1[[#This Row],[Fatalities]]</f>
        <v>6</v>
      </c>
      <c r="W4212" s="50">
        <f>IFERROR(Tabla1[[#This Row],[Fatalities]]/Tabla1[[#This Row],[Aboard]],0)</f>
        <v>0.53846153846153844</v>
      </c>
      <c r="X4212" s="51" t="str" cm="1">
        <f t="array" ref="X4212">_xlfn.IFS(Tabla1[[#This Row],[Porcentaje de muertes]]&lt;0.35,"LEVE",AND(Tabla1[[#This Row],[Porcentaje de muertes]]&gt;0.35,Tabla1[[#This Row],[Porcentaje de muertes]]&lt;0.65),"MEDIO",Tabla1[[#This Row],[Porcentaje de muertes]]&gt;0.65,"GRAVE")</f>
        <v>MEDIO</v>
      </c>
    </row>
    <row r="4213" spans="2:24" x14ac:dyDescent="0.3">
      <c r="B4213" s="9">
        <v>4213</v>
      </c>
      <c r="C4213" s="49">
        <v>36417</v>
      </c>
      <c r="D4213" s="9">
        <f>YEAR(Tabla1[[#This Row],[Date]])</f>
        <v>1999</v>
      </c>
      <c r="E4213" s="9" t="str" cm="1">
        <f t="array" ref="E4213">IFERROR(_xlfn.IFS(AND(D4213&lt;1980,D4213&gt;=1970),"70",AND(D4213&lt;1990,D4213&gt;=1980),"80",AND(D4213&lt;2000,D4213&gt;=1990),"90",AND(D4213&lt;2010,D4213&gt;=2000),"00",AND(D4213&lt;=2019,D4213&gt;=2010),"10"),"1908-1970")</f>
        <v>90</v>
      </c>
      <c r="F4213" s="3">
        <v>0.88888888888888884</v>
      </c>
      <c r="G4213" t="s">
        <v>24158</v>
      </c>
      <c r="H4213" t="s">
        <v>24159</v>
      </c>
      <c r="I4213" t="s">
        <v>28931</v>
      </c>
      <c r="J4213" t="s">
        <v>24160</v>
      </c>
      <c r="K4213" t="s">
        <v>22499</v>
      </c>
      <c r="L4213" s="7" t="s">
        <v>24161</v>
      </c>
      <c r="M4213">
        <v>110002</v>
      </c>
      <c r="N4213">
        <v>2</v>
      </c>
      <c r="O4213">
        <v>0</v>
      </c>
      <c r="P4213">
        <v>2</v>
      </c>
      <c r="Q4213">
        <v>2</v>
      </c>
      <c r="R4213">
        <v>0</v>
      </c>
      <c r="S4213">
        <v>2</v>
      </c>
      <c r="T4213">
        <v>0</v>
      </c>
      <c r="U4213" t="s">
        <v>24162</v>
      </c>
      <c r="V4213">
        <f>Tabla1[[#This Row],[Aboard]]-Tabla1[[#This Row],[Fatalities]]</f>
        <v>0</v>
      </c>
      <c r="W4213" s="50">
        <f>IFERROR(Tabla1[[#This Row],[Fatalities]]/Tabla1[[#This Row],[Aboard]],0)</f>
        <v>1</v>
      </c>
      <c r="X4213" s="51" t="str" cm="1">
        <f t="array" ref="X4213">_xlfn.IFS(Tabla1[[#This Row],[Porcentaje de muertes]]&lt;0.35,"LEVE",AND(Tabla1[[#This Row],[Porcentaje de muertes]]&gt;0.35,Tabla1[[#This Row],[Porcentaje de muertes]]&lt;0.65),"MEDIO",Tabla1[[#This Row],[Porcentaje de muertes]]&gt;0.65,"GRAVE")</f>
        <v>GRAVE</v>
      </c>
    </row>
    <row r="4214" spans="2:24" x14ac:dyDescent="0.3">
      <c r="B4214" s="9">
        <v>4214</v>
      </c>
      <c r="C4214" s="49">
        <v>36420</v>
      </c>
      <c r="D4214" s="9">
        <f>YEAR(Tabla1[[#This Row],[Date]])</f>
        <v>1999</v>
      </c>
      <c r="E4214" s="9" t="str" cm="1">
        <f t="array" ref="E4214">IFERROR(_xlfn.IFS(AND(D4214&lt;1980,D4214&gt;=1970),"70",AND(D4214&lt;1990,D4214&gt;=1980),"80",AND(D4214&lt;2000,D4214&gt;=1990),"90",AND(D4214&lt;2010,D4214&gt;=2000),"00",AND(D4214&lt;=2019,D4214&gt;=2010),"10"),"1908-1970")</f>
        <v>90</v>
      </c>
      <c r="F4214" s="3" t="s">
        <v>28931</v>
      </c>
      <c r="G4214" t="s">
        <v>24163</v>
      </c>
      <c r="H4214" t="s">
        <v>8970</v>
      </c>
      <c r="I4214" t="s">
        <v>28931</v>
      </c>
      <c r="J4214" t="s">
        <v>5028</v>
      </c>
      <c r="K4214" t="s">
        <v>12471</v>
      </c>
      <c r="L4214" s="7">
        <v>3610</v>
      </c>
      <c r="M4214">
        <v>3217</v>
      </c>
      <c r="N4214">
        <v>5</v>
      </c>
      <c r="O4214">
        <v>0</v>
      </c>
      <c r="P4214">
        <v>5</v>
      </c>
      <c r="Q4214">
        <v>5</v>
      </c>
      <c r="R4214">
        <v>0</v>
      </c>
      <c r="S4214">
        <v>5</v>
      </c>
      <c r="T4214">
        <v>0</v>
      </c>
      <c r="U4214" t="s">
        <v>24164</v>
      </c>
      <c r="V4214">
        <f>Tabla1[[#This Row],[Aboard]]-Tabla1[[#This Row],[Fatalities]]</f>
        <v>0</v>
      </c>
      <c r="W4214" s="50">
        <f>IFERROR(Tabla1[[#This Row],[Fatalities]]/Tabla1[[#This Row],[Aboard]],0)</f>
        <v>1</v>
      </c>
      <c r="X4214" s="51" t="str" cm="1">
        <f t="array" ref="X4214">_xlfn.IFS(Tabla1[[#This Row],[Porcentaje de muertes]]&lt;0.35,"LEVE",AND(Tabla1[[#This Row],[Porcentaje de muertes]]&gt;0.35,Tabla1[[#This Row],[Porcentaje de muertes]]&lt;0.65),"MEDIO",Tabla1[[#This Row],[Porcentaje de muertes]]&gt;0.65,"GRAVE")</f>
        <v>GRAVE</v>
      </c>
    </row>
    <row r="4215" spans="2:24" x14ac:dyDescent="0.3">
      <c r="B4215" s="9">
        <v>4215</v>
      </c>
      <c r="C4215" s="49">
        <v>36201</v>
      </c>
      <c r="D4215" s="9">
        <f>YEAR(Tabla1[[#This Row],[Date]])</f>
        <v>1999</v>
      </c>
      <c r="E4215" s="9" t="str" cm="1">
        <f t="array" ref="E4215">IFERROR(_xlfn.IFS(AND(D4215&lt;1980,D4215&gt;=1970),"70",AND(D4215&lt;1990,D4215&gt;=1980),"80",AND(D4215&lt;2000,D4215&gt;=1990),"90",AND(D4215&lt;2010,D4215&gt;=2000),"00",AND(D4215&lt;=2019,D4215&gt;=2010),"10"),"1908-1970")</f>
        <v>90</v>
      </c>
      <c r="F4215" s="3">
        <v>0.80208333333333337</v>
      </c>
      <c r="G4215" t="s">
        <v>11933</v>
      </c>
      <c r="H4215" t="s">
        <v>24165</v>
      </c>
      <c r="I4215" t="s">
        <v>28931</v>
      </c>
      <c r="J4215" t="s">
        <v>28931</v>
      </c>
      <c r="K4215" t="s">
        <v>24166</v>
      </c>
      <c r="L4215" s="7" t="s">
        <v>24167</v>
      </c>
      <c r="M4215">
        <v>28108</v>
      </c>
      <c r="N4215">
        <v>20</v>
      </c>
      <c r="O4215">
        <v>18</v>
      </c>
      <c r="P4215">
        <v>2</v>
      </c>
      <c r="Q4215">
        <v>12</v>
      </c>
      <c r="R4215">
        <v>10</v>
      </c>
      <c r="S4215">
        <v>2</v>
      </c>
      <c r="T4215">
        <v>0</v>
      </c>
      <c r="U4215" t="s">
        <v>24168</v>
      </c>
      <c r="V4215">
        <f>Tabla1[[#This Row],[Aboard]]-Tabla1[[#This Row],[Fatalities]]</f>
        <v>8</v>
      </c>
      <c r="W4215" s="50">
        <f>IFERROR(Tabla1[[#This Row],[Fatalities]]/Tabla1[[#This Row],[Aboard]],0)</f>
        <v>0.6</v>
      </c>
      <c r="X4215" s="51" t="str" cm="1">
        <f t="array" ref="X4215">_xlfn.IFS(Tabla1[[#This Row],[Porcentaje de muertes]]&lt;0.35,"LEVE",AND(Tabla1[[#This Row],[Porcentaje de muertes]]&gt;0.35,Tabla1[[#This Row],[Porcentaje de muertes]]&lt;0.65),"MEDIO",Tabla1[[#This Row],[Porcentaje de muertes]]&gt;0.65,"GRAVE")</f>
        <v>MEDIO</v>
      </c>
    </row>
    <row r="4216" spans="2:24" x14ac:dyDescent="0.3">
      <c r="B4216" s="9">
        <v>4216</v>
      </c>
      <c r="C4216" s="49">
        <v>36457</v>
      </c>
      <c r="D4216" s="9">
        <f>YEAR(Tabla1[[#This Row],[Date]])</f>
        <v>1999</v>
      </c>
      <c r="E4216" s="9" t="str" cm="1">
        <f t="array" ref="E4216">IFERROR(_xlfn.IFS(AND(D4216&lt;1980,D4216&gt;=1970),"70",AND(D4216&lt;1990,D4216&gt;=1980),"80",AND(D4216&lt;2000,D4216&gt;=1990),"90",AND(D4216&lt;2010,D4216&gt;=2000),"00",AND(D4216&lt;=2019,D4216&gt;=2010),"10"),"1908-1970")</f>
        <v>90</v>
      </c>
      <c r="F4216" s="3" t="s">
        <v>28931</v>
      </c>
      <c r="G4216" t="s">
        <v>24169</v>
      </c>
      <c r="H4216" t="s">
        <v>24170</v>
      </c>
      <c r="I4216" t="s">
        <v>28931</v>
      </c>
      <c r="J4216" t="s">
        <v>24171</v>
      </c>
      <c r="K4216" t="s">
        <v>19227</v>
      </c>
      <c r="L4216" s="7" t="s">
        <v>24172</v>
      </c>
      <c r="M4216">
        <v>62</v>
      </c>
      <c r="N4216">
        <v>6</v>
      </c>
      <c r="O4216">
        <v>3</v>
      </c>
      <c r="P4216">
        <v>3</v>
      </c>
      <c r="Q4216">
        <v>6</v>
      </c>
      <c r="R4216">
        <v>3</v>
      </c>
      <c r="S4216">
        <v>3</v>
      </c>
      <c r="T4216">
        <v>0</v>
      </c>
      <c r="U4216" t="s">
        <v>24173</v>
      </c>
      <c r="V4216">
        <f>Tabla1[[#This Row],[Aboard]]-Tabla1[[#This Row],[Fatalities]]</f>
        <v>0</v>
      </c>
      <c r="W4216" s="50">
        <f>IFERROR(Tabla1[[#This Row],[Fatalities]]/Tabla1[[#This Row],[Aboard]],0)</f>
        <v>1</v>
      </c>
      <c r="X4216" s="51" t="str" cm="1">
        <f t="array" ref="X4216">_xlfn.IFS(Tabla1[[#This Row],[Porcentaje de muertes]]&lt;0.35,"LEVE",AND(Tabla1[[#This Row],[Porcentaje de muertes]]&gt;0.35,Tabla1[[#This Row],[Porcentaje de muertes]]&lt;0.65),"MEDIO",Tabla1[[#This Row],[Porcentaje de muertes]]&gt;0.65,"GRAVE")</f>
        <v>GRAVE</v>
      </c>
    </row>
    <row r="4217" spans="2:24" x14ac:dyDescent="0.3">
      <c r="B4217" s="9">
        <v>4217</v>
      </c>
      <c r="C4217" s="49">
        <v>36458</v>
      </c>
      <c r="D4217" s="9">
        <f>YEAR(Tabla1[[#This Row],[Date]])</f>
        <v>1999</v>
      </c>
      <c r="E4217" s="9" t="str" cm="1">
        <f t="array" ref="E4217">IFERROR(_xlfn.IFS(AND(D4217&lt;1980,D4217&gt;=1970),"70",AND(D4217&lt;1990,D4217&gt;=1980),"80",AND(D4217&lt;2000,D4217&gt;=1990),"90",AND(D4217&lt;2010,D4217&gt;=2000),"00",AND(D4217&lt;=2019,D4217&gt;=2010),"10"),"1908-1970")</f>
        <v>90</v>
      </c>
      <c r="F4217" s="3">
        <v>0.47222222222222227</v>
      </c>
      <c r="G4217" t="s">
        <v>24174</v>
      </c>
      <c r="H4217" t="s">
        <v>18588</v>
      </c>
      <c r="I4217" t="s">
        <v>28931</v>
      </c>
      <c r="J4217" t="s">
        <v>24175</v>
      </c>
      <c r="K4217" t="s">
        <v>24176</v>
      </c>
      <c r="L4217" s="7" t="s">
        <v>24177</v>
      </c>
      <c r="M4217">
        <v>60</v>
      </c>
      <c r="N4217">
        <v>6</v>
      </c>
      <c r="O4217">
        <v>4</v>
      </c>
      <c r="P4217">
        <v>2</v>
      </c>
      <c r="Q4217">
        <v>6</v>
      </c>
      <c r="R4217">
        <v>4</v>
      </c>
      <c r="S4217">
        <v>2</v>
      </c>
      <c r="T4217">
        <v>0</v>
      </c>
      <c r="U4217" t="s">
        <v>24178</v>
      </c>
      <c r="V4217">
        <f>Tabla1[[#This Row],[Aboard]]-Tabla1[[#This Row],[Fatalities]]</f>
        <v>0</v>
      </c>
      <c r="W4217" s="50">
        <f>IFERROR(Tabla1[[#This Row],[Fatalities]]/Tabla1[[#This Row],[Aboard]],0)</f>
        <v>1</v>
      </c>
      <c r="X4217" s="51" t="str" cm="1">
        <f t="array" ref="X4217">_xlfn.IFS(Tabla1[[#This Row],[Porcentaje de muertes]]&lt;0.35,"LEVE",AND(Tabla1[[#This Row],[Porcentaje de muertes]]&gt;0.35,Tabla1[[#This Row],[Porcentaje de muertes]]&lt;0.65),"MEDIO",Tabla1[[#This Row],[Porcentaje de muertes]]&gt;0.65,"GRAVE")</f>
        <v>GRAVE</v>
      </c>
    </row>
    <row r="4218" spans="2:24" x14ac:dyDescent="0.3">
      <c r="B4218" s="9">
        <v>4218</v>
      </c>
      <c r="C4218" s="49">
        <v>36464</v>
      </c>
      <c r="D4218" s="9">
        <f>YEAR(Tabla1[[#This Row],[Date]])</f>
        <v>1999</v>
      </c>
      <c r="E4218" s="9" t="str" cm="1">
        <f t="array" ref="E4218">IFERROR(_xlfn.IFS(AND(D4218&lt;1980,D4218&gt;=1970),"70",AND(D4218&lt;1990,D4218&gt;=1980),"80",AND(D4218&lt;2000,D4218&gt;=1990),"90",AND(D4218&lt;2010,D4218&gt;=2000),"00",AND(D4218&lt;=2019,D4218&gt;=2010),"10"),"1908-1970")</f>
        <v>90</v>
      </c>
      <c r="F4218" s="3">
        <v>7.7777777777777779E-2</v>
      </c>
      <c r="G4218" t="s">
        <v>24179</v>
      </c>
      <c r="H4218" t="s">
        <v>17763</v>
      </c>
      <c r="I4218">
        <v>990</v>
      </c>
      <c r="J4218" t="s">
        <v>24180</v>
      </c>
      <c r="K4218" t="s">
        <v>24181</v>
      </c>
      <c r="L4218" s="7" t="s">
        <v>24182</v>
      </c>
      <c r="M4218" t="s">
        <v>24183</v>
      </c>
      <c r="N4218">
        <v>217</v>
      </c>
      <c r="O4218">
        <v>202</v>
      </c>
      <c r="P4218">
        <v>15</v>
      </c>
      <c r="Q4218">
        <v>217</v>
      </c>
      <c r="R4218">
        <v>202</v>
      </c>
      <c r="S4218">
        <v>15</v>
      </c>
      <c r="T4218">
        <v>0</v>
      </c>
      <c r="U4218" t="s">
        <v>24184</v>
      </c>
      <c r="V4218">
        <f>Tabla1[[#This Row],[Aboard]]-Tabla1[[#This Row],[Fatalities]]</f>
        <v>0</v>
      </c>
      <c r="W4218" s="50">
        <f>IFERROR(Tabla1[[#This Row],[Fatalities]]/Tabla1[[#This Row],[Aboard]],0)</f>
        <v>1</v>
      </c>
      <c r="X4218" s="51" t="str" cm="1">
        <f t="array" ref="X4218">_xlfn.IFS(Tabla1[[#This Row],[Porcentaje de muertes]]&lt;0.35,"LEVE",AND(Tabla1[[#This Row],[Porcentaje de muertes]]&gt;0.35,Tabla1[[#This Row],[Porcentaje de muertes]]&lt;0.65),"MEDIO",Tabla1[[#This Row],[Porcentaje de muertes]]&gt;0.65,"GRAVE")</f>
        <v>GRAVE</v>
      </c>
    </row>
    <row r="4219" spans="2:24" x14ac:dyDescent="0.3">
      <c r="B4219" s="9">
        <v>4219</v>
      </c>
      <c r="C4219" s="49">
        <v>36414</v>
      </c>
      <c r="D4219" s="9">
        <f>YEAR(Tabla1[[#This Row],[Date]])</f>
        <v>1999</v>
      </c>
      <c r="E4219" s="9" t="str" cm="1">
        <f t="array" ref="E4219">IFERROR(_xlfn.IFS(AND(D4219&lt;1980,D4219&gt;=1970),"70",AND(D4219&lt;1990,D4219&gt;=1980),"80",AND(D4219&lt;2000,D4219&gt;=1990),"90",AND(D4219&lt;2010,D4219&gt;=2000),"00",AND(D4219&lt;=2019,D4219&gt;=2010),"10"),"1908-1970")</f>
        <v>90</v>
      </c>
      <c r="F4219" s="3">
        <v>0.79375000000000007</v>
      </c>
      <c r="G4219" t="s">
        <v>22524</v>
      </c>
      <c r="H4219" t="s">
        <v>22536</v>
      </c>
      <c r="I4219">
        <v>725</v>
      </c>
      <c r="J4219" t="s">
        <v>24185</v>
      </c>
      <c r="K4219" t="s">
        <v>16014</v>
      </c>
      <c r="L4219" s="7" t="s">
        <v>24186</v>
      </c>
      <c r="M4219" t="s">
        <v>24187</v>
      </c>
      <c r="N4219">
        <v>18</v>
      </c>
      <c r="O4219">
        <v>13</v>
      </c>
      <c r="P4219">
        <v>5</v>
      </c>
      <c r="Q4219">
        <v>18</v>
      </c>
      <c r="R4219">
        <v>13</v>
      </c>
      <c r="S4219">
        <v>5</v>
      </c>
      <c r="T4219">
        <v>0</v>
      </c>
      <c r="U4219" t="s">
        <v>24188</v>
      </c>
      <c r="V4219">
        <f>Tabla1[[#This Row],[Aboard]]-Tabla1[[#This Row],[Fatalities]]</f>
        <v>0</v>
      </c>
      <c r="W4219" s="50">
        <f>IFERROR(Tabla1[[#This Row],[Fatalities]]/Tabla1[[#This Row],[Aboard]],0)</f>
        <v>1</v>
      </c>
      <c r="X4219" s="51" t="str" cm="1">
        <f t="array" ref="X4219">_xlfn.IFS(Tabla1[[#This Row],[Porcentaje de muertes]]&lt;0.35,"LEVE",AND(Tabla1[[#This Row],[Porcentaje de muertes]]&gt;0.35,Tabla1[[#This Row],[Porcentaje de muertes]]&lt;0.65),"MEDIO",Tabla1[[#This Row],[Porcentaje de muertes]]&gt;0.65,"GRAVE")</f>
        <v>GRAVE</v>
      </c>
    </row>
    <row r="4220" spans="2:24" x14ac:dyDescent="0.3">
      <c r="B4220" s="9">
        <v>4220</v>
      </c>
      <c r="C4220" s="49">
        <v>36505</v>
      </c>
      <c r="D4220" s="9">
        <f>YEAR(Tabla1[[#This Row],[Date]])</f>
        <v>1999</v>
      </c>
      <c r="E4220" s="9" t="str" cm="1">
        <f t="array" ref="E4220">IFERROR(_xlfn.IFS(AND(D4220&lt;1980,D4220&gt;=1970),"70",AND(D4220&lt;1990,D4220&gt;=1980),"80",AND(D4220&lt;2000,D4220&gt;=1990),"90",AND(D4220&lt;2010,D4220&gt;=2000),"00",AND(D4220&lt;=2019,D4220&gt;=2010),"10"),"1908-1970")</f>
        <v>90</v>
      </c>
      <c r="F4220" s="3">
        <v>0.46736111111111112</v>
      </c>
      <c r="G4220" t="s">
        <v>24189</v>
      </c>
      <c r="H4220" t="s">
        <v>24190</v>
      </c>
      <c r="I4220">
        <v>3275</v>
      </c>
      <c r="J4220" t="s">
        <v>24191</v>
      </c>
      <c r="K4220" t="s">
        <v>24192</v>
      </c>
      <c r="L4220" s="7" t="s">
        <v>24193</v>
      </c>
      <c r="M4220">
        <v>12</v>
      </c>
      <c r="N4220">
        <v>24</v>
      </c>
      <c r="O4220">
        <v>21</v>
      </c>
      <c r="P4220">
        <v>3</v>
      </c>
      <c r="Q4220">
        <v>24</v>
      </c>
      <c r="R4220">
        <v>21</v>
      </c>
      <c r="S4220">
        <v>3</v>
      </c>
      <c r="T4220">
        <v>0</v>
      </c>
      <c r="U4220" t="s">
        <v>24194</v>
      </c>
      <c r="V4220">
        <f>Tabla1[[#This Row],[Aboard]]-Tabla1[[#This Row],[Fatalities]]</f>
        <v>0</v>
      </c>
      <c r="W4220" s="50">
        <f>IFERROR(Tabla1[[#This Row],[Fatalities]]/Tabla1[[#This Row],[Aboard]],0)</f>
        <v>1</v>
      </c>
      <c r="X4220" s="51" t="str" cm="1">
        <f t="array" ref="X4220">_xlfn.IFS(Tabla1[[#This Row],[Porcentaje de muertes]]&lt;0.35,"LEVE",AND(Tabla1[[#This Row],[Porcentaje de muertes]]&gt;0.35,Tabla1[[#This Row],[Porcentaje de muertes]]&lt;0.65),"MEDIO",Tabla1[[#This Row],[Porcentaje de muertes]]&gt;0.65,"GRAVE")</f>
        <v>GRAVE</v>
      </c>
    </row>
    <row r="4221" spans="2:24" x14ac:dyDescent="0.3">
      <c r="B4221" s="9">
        <v>4221</v>
      </c>
      <c r="C4221" s="49">
        <v>36292</v>
      </c>
      <c r="D4221" s="9">
        <f>YEAR(Tabla1[[#This Row],[Date]])</f>
        <v>1999</v>
      </c>
      <c r="E4221" s="9" t="str" cm="1">
        <f t="array" ref="E4221">IFERROR(_xlfn.IFS(AND(D4221&lt;1980,D4221&gt;=1970),"70",AND(D4221&lt;1990,D4221&gt;=1980),"80",AND(D4221&lt;2000,D4221&gt;=1990),"90",AND(D4221&lt;2010,D4221&gt;=2000),"00",AND(D4221&lt;=2019,D4221&gt;=2010),"10"),"1908-1970")</f>
        <v>90</v>
      </c>
      <c r="F4221" s="3">
        <v>0.21666666666666667</v>
      </c>
      <c r="G4221" t="s">
        <v>10681</v>
      </c>
      <c r="H4221" t="s">
        <v>24195</v>
      </c>
      <c r="I4221" t="s">
        <v>28931</v>
      </c>
      <c r="J4221" t="s">
        <v>24196</v>
      </c>
      <c r="K4221" t="s">
        <v>24197</v>
      </c>
      <c r="L4221" s="7" t="s">
        <v>24198</v>
      </c>
      <c r="M4221">
        <v>1083800305</v>
      </c>
      <c r="N4221">
        <v>7</v>
      </c>
      <c r="O4221">
        <v>0</v>
      </c>
      <c r="P4221">
        <v>7</v>
      </c>
      <c r="Q4221">
        <v>5</v>
      </c>
      <c r="R4221">
        <v>0</v>
      </c>
      <c r="S4221">
        <v>5</v>
      </c>
      <c r="T4221">
        <v>0</v>
      </c>
      <c r="U4221" t="s">
        <v>24199</v>
      </c>
      <c r="V4221">
        <f>Tabla1[[#This Row],[Aboard]]-Tabla1[[#This Row],[Fatalities]]</f>
        <v>2</v>
      </c>
      <c r="W4221" s="50">
        <f>IFERROR(Tabla1[[#This Row],[Fatalities]]/Tabla1[[#This Row],[Aboard]],0)</f>
        <v>0.7142857142857143</v>
      </c>
      <c r="X4221" s="51" t="str" cm="1">
        <f t="array" ref="X4221">_xlfn.IFS(Tabla1[[#This Row],[Porcentaje de muertes]]&lt;0.35,"LEVE",AND(Tabla1[[#This Row],[Porcentaje de muertes]]&gt;0.35,Tabla1[[#This Row],[Porcentaje de muertes]]&lt;0.65),"MEDIO",Tabla1[[#This Row],[Porcentaje de muertes]]&gt;0.65,"GRAVE")</f>
        <v>GRAVE</v>
      </c>
    </row>
    <row r="4222" spans="2:24" x14ac:dyDescent="0.3">
      <c r="B4222" s="9">
        <v>4222</v>
      </c>
      <c r="C4222" s="49">
        <v>36353</v>
      </c>
      <c r="D4222" s="9">
        <f>YEAR(Tabla1[[#This Row],[Date]])</f>
        <v>1999</v>
      </c>
      <c r="E4222" s="9" t="str" cm="1">
        <f t="array" ref="E4222">IFERROR(_xlfn.IFS(AND(D4222&lt;1980,D4222&gt;=1970),"70",AND(D4222&lt;1990,D4222&gt;=1980),"80",AND(D4222&lt;2000,D4222&gt;=1990),"90",AND(D4222&lt;2010,D4222&gt;=2000),"00",AND(D4222&lt;=2019,D4222&gt;=2010),"10"),"1908-1970")</f>
        <v>90</v>
      </c>
      <c r="F4222" s="3">
        <v>0.3923611111111111</v>
      </c>
      <c r="G4222" t="s">
        <v>24200</v>
      </c>
      <c r="H4222" t="s">
        <v>24201</v>
      </c>
      <c r="I4222" t="s">
        <v>28931</v>
      </c>
      <c r="J4222" t="s">
        <v>24202</v>
      </c>
      <c r="K4222" t="s">
        <v>20760</v>
      </c>
      <c r="L4222" s="7" t="s">
        <v>24203</v>
      </c>
      <c r="M4222">
        <v>851429</v>
      </c>
      <c r="N4222">
        <v>17</v>
      </c>
      <c r="O4222">
        <v>15</v>
      </c>
      <c r="P4222">
        <v>2</v>
      </c>
      <c r="Q4222">
        <v>17</v>
      </c>
      <c r="R4222">
        <v>15</v>
      </c>
      <c r="S4222">
        <v>2</v>
      </c>
      <c r="T4222">
        <v>0</v>
      </c>
      <c r="U4222" t="s">
        <v>24204</v>
      </c>
      <c r="V4222">
        <f>Tabla1[[#This Row],[Aboard]]-Tabla1[[#This Row],[Fatalities]]</f>
        <v>0</v>
      </c>
      <c r="W4222" s="50">
        <f>IFERROR(Tabla1[[#This Row],[Fatalities]]/Tabla1[[#This Row],[Aboard]],0)</f>
        <v>1</v>
      </c>
      <c r="X4222" s="51" t="str" cm="1">
        <f t="array" ref="X4222">_xlfn.IFS(Tabla1[[#This Row],[Porcentaje de muertes]]&lt;0.35,"LEVE",AND(Tabla1[[#This Row],[Porcentaje de muertes]]&gt;0.35,Tabla1[[#This Row],[Porcentaje de muertes]]&lt;0.65),"MEDIO",Tabla1[[#This Row],[Porcentaje de muertes]]&gt;0.65,"GRAVE")</f>
        <v>GRAVE</v>
      </c>
    </row>
    <row r="4223" spans="2:24" x14ac:dyDescent="0.3">
      <c r="B4223" s="9">
        <v>4223</v>
      </c>
      <c r="C4223" s="49">
        <v>36445</v>
      </c>
      <c r="D4223" s="9">
        <f>YEAR(Tabla1[[#This Row],[Date]])</f>
        <v>1999</v>
      </c>
      <c r="E4223" s="9" t="str" cm="1">
        <f t="array" ref="E4223">IFERROR(_xlfn.IFS(AND(D4223&lt;1980,D4223&gt;=1970),"70",AND(D4223&lt;1990,D4223&gt;=1980),"80",AND(D4223&lt;2000,D4223&gt;=1990),"90",AND(D4223&lt;2010,D4223&gt;=2000),"00",AND(D4223&lt;=2019,D4223&gt;=2010),"10"),"1908-1970")</f>
        <v>90</v>
      </c>
      <c r="F4223" s="3">
        <v>0.11805555555555557</v>
      </c>
      <c r="G4223" t="s">
        <v>12717</v>
      </c>
      <c r="H4223" t="s">
        <v>7987</v>
      </c>
      <c r="I4223" t="s">
        <v>28931</v>
      </c>
      <c r="J4223" t="s">
        <v>24205</v>
      </c>
      <c r="K4223" t="s">
        <v>17162</v>
      </c>
      <c r="L4223" s="7" t="s">
        <v>24206</v>
      </c>
      <c r="M4223">
        <v>3924</v>
      </c>
      <c r="N4223">
        <v>94</v>
      </c>
      <c r="O4223">
        <v>86</v>
      </c>
      <c r="P4223">
        <v>8</v>
      </c>
      <c r="Q4223">
        <v>3</v>
      </c>
      <c r="R4223">
        <v>3</v>
      </c>
      <c r="S4223">
        <v>0</v>
      </c>
      <c r="T4223">
        <v>0</v>
      </c>
      <c r="U4223" t="s">
        <v>24207</v>
      </c>
      <c r="V4223">
        <f>Tabla1[[#This Row],[Aboard]]-Tabla1[[#This Row],[Fatalities]]</f>
        <v>91</v>
      </c>
      <c r="W4223" s="50">
        <f>IFERROR(Tabla1[[#This Row],[Fatalities]]/Tabla1[[#This Row],[Aboard]],0)</f>
        <v>3.1914893617021274E-2</v>
      </c>
      <c r="X4223" s="51" t="str" cm="1">
        <f t="array" ref="X4223">_xlfn.IFS(Tabla1[[#This Row],[Porcentaje de muertes]]&lt;0.35,"LEVE",AND(Tabla1[[#This Row],[Porcentaje de muertes]]&gt;0.35,Tabla1[[#This Row],[Porcentaje de muertes]]&lt;0.65),"MEDIO",Tabla1[[#This Row],[Porcentaje de muertes]]&gt;0.65,"GRAVE")</f>
        <v>LEVE</v>
      </c>
    </row>
    <row r="4224" spans="2:24" x14ac:dyDescent="0.3">
      <c r="B4224" s="9">
        <v>4224</v>
      </c>
      <c r="C4224" s="49">
        <v>36476</v>
      </c>
      <c r="D4224" s="9">
        <f>YEAR(Tabla1[[#This Row],[Date]])</f>
        <v>1999</v>
      </c>
      <c r="E4224" s="9" t="str" cm="1">
        <f t="array" ref="E4224">IFERROR(_xlfn.IFS(AND(D4224&lt;1980,D4224&gt;=1970),"70",AND(D4224&lt;1990,D4224&gt;=1980),"80",AND(D4224&lt;2000,D4224&gt;=1990),"90",AND(D4224&lt;2010,D4224&gt;=2000),"00",AND(D4224&lt;=2019,D4224&gt;=2010),"10"),"1908-1970")</f>
        <v>90</v>
      </c>
      <c r="F4224" s="3">
        <v>0.3888888888888889</v>
      </c>
      <c r="G4224" t="s">
        <v>24208</v>
      </c>
      <c r="H4224" t="s">
        <v>18049</v>
      </c>
      <c r="I4224">
        <v>530</v>
      </c>
      <c r="J4224" t="s">
        <v>24209</v>
      </c>
      <c r="K4224" t="s">
        <v>24210</v>
      </c>
      <c r="L4224" s="7" t="s">
        <v>24211</v>
      </c>
      <c r="M4224">
        <v>2030</v>
      </c>
      <c r="N4224">
        <v>35</v>
      </c>
      <c r="O4224">
        <v>31</v>
      </c>
      <c r="P4224">
        <v>4</v>
      </c>
      <c r="Q4224">
        <v>35</v>
      </c>
      <c r="R4224">
        <v>31</v>
      </c>
      <c r="S4224">
        <v>4</v>
      </c>
      <c r="T4224">
        <v>0</v>
      </c>
      <c r="U4224" t="s">
        <v>24212</v>
      </c>
      <c r="V4224">
        <f>Tabla1[[#This Row],[Aboard]]-Tabla1[[#This Row],[Fatalities]]</f>
        <v>0</v>
      </c>
      <c r="W4224" s="50">
        <f>IFERROR(Tabla1[[#This Row],[Fatalities]]/Tabla1[[#This Row],[Aboard]],0)</f>
        <v>1</v>
      </c>
      <c r="X4224" s="51" t="str" cm="1">
        <f t="array" ref="X4224">_xlfn.IFS(Tabla1[[#This Row],[Porcentaje de muertes]]&lt;0.35,"LEVE",AND(Tabla1[[#This Row],[Porcentaje de muertes]]&gt;0.35,Tabla1[[#This Row],[Porcentaje de muertes]]&lt;0.65),"MEDIO",Tabla1[[#This Row],[Porcentaje de muertes]]&gt;0.65,"GRAVE")</f>
        <v>GRAVE</v>
      </c>
    </row>
    <row r="4225" spans="2:24" x14ac:dyDescent="0.3">
      <c r="B4225" s="9">
        <v>4225</v>
      </c>
      <c r="C4225" s="49">
        <v>36515</v>
      </c>
      <c r="D4225" s="9">
        <f>YEAR(Tabla1[[#This Row],[Date]])</f>
        <v>1999</v>
      </c>
      <c r="E4225" s="9" t="str" cm="1">
        <f t="array" ref="E4225">IFERROR(_xlfn.IFS(AND(D4225&lt;1980,D4225&gt;=1970),"70",AND(D4225&lt;1990,D4225&gt;=1980),"80",AND(D4225&lt;2000,D4225&gt;=1990),"90",AND(D4225&lt;2010,D4225&gt;=2000),"00",AND(D4225&lt;=2019,D4225&gt;=2010),"10"),"1908-1970")</f>
        <v>90</v>
      </c>
      <c r="F4225" s="3">
        <v>0.40277777777777773</v>
      </c>
      <c r="G4225" t="s">
        <v>11790</v>
      </c>
      <c r="H4225" t="s">
        <v>18617</v>
      </c>
      <c r="I4225">
        <v>261</v>
      </c>
      <c r="J4225" t="s">
        <v>24213</v>
      </c>
      <c r="K4225" t="s">
        <v>18549</v>
      </c>
      <c r="L4225" s="7" t="s">
        <v>24214</v>
      </c>
      <c r="M4225" t="s">
        <v>24215</v>
      </c>
      <c r="N4225">
        <v>314</v>
      </c>
      <c r="O4225">
        <v>296</v>
      </c>
      <c r="P4225">
        <v>18</v>
      </c>
      <c r="Q4225">
        <v>16</v>
      </c>
      <c r="R4225">
        <v>8</v>
      </c>
      <c r="S4225">
        <v>8</v>
      </c>
      <c r="T4225">
        <v>2</v>
      </c>
      <c r="U4225" t="s">
        <v>24216</v>
      </c>
      <c r="V4225">
        <f>Tabla1[[#This Row],[Aboard]]-Tabla1[[#This Row],[Fatalities]]</f>
        <v>298</v>
      </c>
      <c r="W4225" s="50">
        <f>IFERROR(Tabla1[[#This Row],[Fatalities]]/Tabla1[[#This Row],[Aboard]],0)</f>
        <v>5.0955414012738856E-2</v>
      </c>
      <c r="X4225" s="51" t="str" cm="1">
        <f t="array" ref="X4225">_xlfn.IFS(Tabla1[[#This Row],[Porcentaje de muertes]]&lt;0.35,"LEVE",AND(Tabla1[[#This Row],[Porcentaje de muertes]]&gt;0.35,Tabla1[[#This Row],[Porcentaje de muertes]]&lt;0.65),"MEDIO",Tabla1[[#This Row],[Porcentaje de muertes]]&gt;0.65,"GRAVE")</f>
        <v>LEVE</v>
      </c>
    </row>
    <row r="4226" spans="2:24" x14ac:dyDescent="0.3">
      <c r="B4226" s="9">
        <v>4226</v>
      </c>
      <c r="C4226" s="49">
        <v>36516</v>
      </c>
      <c r="D4226" s="9">
        <f>YEAR(Tabla1[[#This Row],[Date]])</f>
        <v>1999</v>
      </c>
      <c r="E4226" s="9" t="str" cm="1">
        <f t="array" ref="E4226">IFERROR(_xlfn.IFS(AND(D4226&lt;1980,D4226&gt;=1970),"70",AND(D4226&lt;1990,D4226&gt;=1980),"80",AND(D4226&lt;2000,D4226&gt;=1990),"90",AND(D4226&lt;2010,D4226&gt;=2000),"00",AND(D4226&lt;=2019,D4226&gt;=2010),"10"),"1908-1970")</f>
        <v>90</v>
      </c>
      <c r="F4226" s="3">
        <v>0.77638888888888891</v>
      </c>
      <c r="G4226" t="s">
        <v>24217</v>
      </c>
      <c r="H4226" t="s">
        <v>24035</v>
      </c>
      <c r="I4226">
        <v>8509</v>
      </c>
      <c r="J4226" t="s">
        <v>24218</v>
      </c>
      <c r="K4226" t="s">
        <v>24219</v>
      </c>
      <c r="L4226" s="7" t="s">
        <v>24220</v>
      </c>
      <c r="M4226" t="s">
        <v>24221</v>
      </c>
      <c r="N4226">
        <v>4</v>
      </c>
      <c r="O4226">
        <v>0</v>
      </c>
      <c r="P4226">
        <v>4</v>
      </c>
      <c r="Q4226">
        <v>4</v>
      </c>
      <c r="R4226">
        <v>0</v>
      </c>
      <c r="S4226">
        <v>4</v>
      </c>
      <c r="T4226">
        <v>0</v>
      </c>
      <c r="U4226" t="s">
        <v>24222</v>
      </c>
      <c r="V4226">
        <f>Tabla1[[#This Row],[Aboard]]-Tabla1[[#This Row],[Fatalities]]</f>
        <v>0</v>
      </c>
      <c r="W4226" s="50">
        <f>IFERROR(Tabla1[[#This Row],[Fatalities]]/Tabla1[[#This Row],[Aboard]],0)</f>
        <v>1</v>
      </c>
      <c r="X4226" s="51" t="str" cm="1">
        <f t="array" ref="X4226">_xlfn.IFS(Tabla1[[#This Row],[Porcentaje de muertes]]&lt;0.35,"LEVE",AND(Tabla1[[#This Row],[Porcentaje de muertes]]&gt;0.35,Tabla1[[#This Row],[Porcentaje de muertes]]&lt;0.65),"MEDIO",Tabla1[[#This Row],[Porcentaje de muertes]]&gt;0.65,"GRAVE")</f>
        <v>GRAVE</v>
      </c>
    </row>
    <row r="4227" spans="2:24" x14ac:dyDescent="0.3">
      <c r="B4227" s="9">
        <v>4227</v>
      </c>
      <c r="C4227" s="49">
        <v>36518</v>
      </c>
      <c r="D4227" s="9">
        <f>YEAR(Tabla1[[#This Row],[Date]])</f>
        <v>1999</v>
      </c>
      <c r="E4227" s="9" t="str" cm="1">
        <f t="array" ref="E4227">IFERROR(_xlfn.IFS(AND(D4227&lt;1980,D4227&gt;=1970),"70",AND(D4227&lt;1990,D4227&gt;=1980),"80",AND(D4227&lt;2000,D4227&gt;=1990),"90",AND(D4227&lt;2010,D4227&gt;=2000),"00",AND(D4227&lt;=2019,D4227&gt;=2010),"10"),"1908-1970")</f>
        <v>90</v>
      </c>
      <c r="F4227" s="3" t="s">
        <v>28931</v>
      </c>
      <c r="G4227" t="s">
        <v>24223</v>
      </c>
      <c r="H4227" t="s">
        <v>11150</v>
      </c>
      <c r="I4227">
        <v>814</v>
      </c>
      <c r="J4227" t="s">
        <v>24087</v>
      </c>
      <c r="K4227" t="s">
        <v>24224</v>
      </c>
      <c r="L4227" s="7" t="s">
        <v>24225</v>
      </c>
      <c r="M4227">
        <v>36</v>
      </c>
      <c r="N4227">
        <v>189</v>
      </c>
      <c r="O4227">
        <v>174</v>
      </c>
      <c r="P4227">
        <v>15</v>
      </c>
      <c r="Q4227">
        <v>1</v>
      </c>
      <c r="R4227">
        <v>0</v>
      </c>
      <c r="S4227">
        <v>1</v>
      </c>
      <c r="T4227">
        <v>0</v>
      </c>
      <c r="U4227" t="s">
        <v>24226</v>
      </c>
      <c r="V4227">
        <f>Tabla1[[#This Row],[Aboard]]-Tabla1[[#This Row],[Fatalities]]</f>
        <v>188</v>
      </c>
      <c r="W4227" s="50">
        <f>IFERROR(Tabla1[[#This Row],[Fatalities]]/Tabla1[[#This Row],[Aboard]],0)</f>
        <v>5.2910052910052907E-3</v>
      </c>
      <c r="X4227" s="51" t="str" cm="1">
        <f t="array" ref="X4227">_xlfn.IFS(Tabla1[[#This Row],[Porcentaje de muertes]]&lt;0.35,"LEVE",AND(Tabla1[[#This Row],[Porcentaje de muertes]]&gt;0.35,Tabla1[[#This Row],[Porcentaje de muertes]]&lt;0.65),"MEDIO",Tabla1[[#This Row],[Porcentaje de muertes]]&gt;0.65,"GRAVE")</f>
        <v>LEVE</v>
      </c>
    </row>
    <row r="4228" spans="2:24" x14ac:dyDescent="0.3">
      <c r="B4228" s="9">
        <v>4228</v>
      </c>
      <c r="C4228" s="49">
        <v>36519</v>
      </c>
      <c r="D4228" s="9">
        <f>YEAR(Tabla1[[#This Row],[Date]])</f>
        <v>1999</v>
      </c>
      <c r="E4228" s="9" t="str" cm="1">
        <f t="array" ref="E4228">IFERROR(_xlfn.IFS(AND(D4228&lt;1980,D4228&gt;=1970),"70",AND(D4228&lt;1990,D4228&gt;=1980),"80",AND(D4228&lt;2000,D4228&gt;=1990),"90",AND(D4228&lt;2010,D4228&gt;=2000),"00",AND(D4228&lt;=2019,D4228&gt;=2010),"10"),"1908-1970")</f>
        <v>90</v>
      </c>
      <c r="F4228" s="3">
        <v>0.84375</v>
      </c>
      <c r="G4228" t="s">
        <v>24227</v>
      </c>
      <c r="H4228" t="s">
        <v>6524</v>
      </c>
      <c r="I4228">
        <v>310</v>
      </c>
      <c r="J4228" t="s">
        <v>24228</v>
      </c>
      <c r="K4228" t="s">
        <v>21968</v>
      </c>
      <c r="L4228" s="7" t="s">
        <v>24229</v>
      </c>
      <c r="M4228">
        <v>4520424914068</v>
      </c>
      <c r="N4228">
        <v>22</v>
      </c>
      <c r="O4228">
        <v>12</v>
      </c>
      <c r="P4228">
        <v>10</v>
      </c>
      <c r="Q4228">
        <v>22</v>
      </c>
      <c r="R4228">
        <v>12</v>
      </c>
      <c r="S4228">
        <v>10</v>
      </c>
      <c r="T4228">
        <v>0</v>
      </c>
      <c r="U4228" t="s">
        <v>24230</v>
      </c>
      <c r="V4228">
        <f>Tabla1[[#This Row],[Aboard]]-Tabla1[[#This Row],[Fatalities]]</f>
        <v>0</v>
      </c>
      <c r="W4228" s="50">
        <f>IFERROR(Tabla1[[#This Row],[Fatalities]]/Tabla1[[#This Row],[Aboard]],0)</f>
        <v>1</v>
      </c>
      <c r="X4228" s="51" t="str" cm="1">
        <f t="array" ref="X4228">_xlfn.IFS(Tabla1[[#This Row],[Porcentaje de muertes]]&lt;0.35,"LEVE",AND(Tabla1[[#This Row],[Porcentaje de muertes]]&gt;0.35,Tabla1[[#This Row],[Porcentaje de muertes]]&lt;0.65),"MEDIO",Tabla1[[#This Row],[Porcentaje de muertes]]&gt;0.65,"GRAVE")</f>
        <v>GRAVE</v>
      </c>
    </row>
    <row r="4229" spans="2:24" x14ac:dyDescent="0.3">
      <c r="B4229" s="9">
        <v>4229</v>
      </c>
      <c r="C4229" s="49">
        <v>36519</v>
      </c>
      <c r="D4229" s="9">
        <f>YEAR(Tabla1[[#This Row],[Date]])</f>
        <v>1999</v>
      </c>
      <c r="E4229" s="9" t="str" cm="1">
        <f t="array" ref="E4229">IFERROR(_xlfn.IFS(AND(D4229&lt;1980,D4229&gt;=1970),"70",AND(D4229&lt;1990,D4229&gt;=1980),"80",AND(D4229&lt;2000,D4229&gt;=1990),"90",AND(D4229&lt;2010,D4229&gt;=2000),"00",AND(D4229&lt;=2019,D4229&gt;=2010),"10"),"1908-1970")</f>
        <v>90</v>
      </c>
      <c r="F4229" s="3">
        <v>0.62638888888888888</v>
      </c>
      <c r="G4229" t="s">
        <v>24231</v>
      </c>
      <c r="H4229" t="s">
        <v>24232</v>
      </c>
      <c r="I4229" t="s">
        <v>28931</v>
      </c>
      <c r="J4229" t="s">
        <v>24233</v>
      </c>
      <c r="K4229" t="s">
        <v>16459</v>
      </c>
      <c r="L4229" s="7" t="s">
        <v>24234</v>
      </c>
      <c r="M4229">
        <v>796</v>
      </c>
      <c r="N4229">
        <v>10</v>
      </c>
      <c r="O4229">
        <v>7</v>
      </c>
      <c r="P4229">
        <v>3</v>
      </c>
      <c r="Q4229">
        <v>10</v>
      </c>
      <c r="R4229">
        <v>7</v>
      </c>
      <c r="S4229">
        <v>3</v>
      </c>
      <c r="T4229">
        <v>0</v>
      </c>
      <c r="U4229" t="s">
        <v>24235</v>
      </c>
      <c r="V4229">
        <f>Tabla1[[#This Row],[Aboard]]-Tabla1[[#This Row],[Fatalities]]</f>
        <v>0</v>
      </c>
      <c r="W4229" s="50">
        <f>IFERROR(Tabla1[[#This Row],[Fatalities]]/Tabla1[[#This Row],[Aboard]],0)</f>
        <v>1</v>
      </c>
      <c r="X4229" s="51" t="str" cm="1">
        <f t="array" ref="X4229">_xlfn.IFS(Tabla1[[#This Row],[Porcentaje de muertes]]&lt;0.35,"LEVE",AND(Tabla1[[#This Row],[Porcentaje de muertes]]&gt;0.35,Tabla1[[#This Row],[Porcentaje de muertes]]&lt;0.65),"MEDIO",Tabla1[[#This Row],[Porcentaje de muertes]]&gt;0.65,"GRAVE")</f>
        <v>GRAVE</v>
      </c>
    </row>
    <row r="4230" spans="2:24" x14ac:dyDescent="0.3">
      <c r="B4230" s="9">
        <v>4230</v>
      </c>
      <c r="C4230" s="49">
        <v>36523</v>
      </c>
      <c r="D4230" s="9">
        <f>YEAR(Tabla1[[#This Row],[Date]])</f>
        <v>1999</v>
      </c>
      <c r="E4230" s="9" t="str" cm="1">
        <f t="array" ref="E4230">IFERROR(_xlfn.IFS(AND(D4230&lt;1980,D4230&gt;=1970),"70",AND(D4230&lt;1990,D4230&gt;=1980),"80",AND(D4230&lt;2000,D4230&gt;=1990),"90",AND(D4230&lt;2010,D4230&gt;=2000),"00",AND(D4230&lt;=2019,D4230&gt;=2010),"10"),"1908-1970")</f>
        <v>90</v>
      </c>
      <c r="F4230" s="3" t="s">
        <v>28931</v>
      </c>
      <c r="G4230" t="s">
        <v>24236</v>
      </c>
      <c r="H4230" t="s">
        <v>24237</v>
      </c>
      <c r="I4230" t="s">
        <v>28931</v>
      </c>
      <c r="J4230" t="s">
        <v>24238</v>
      </c>
      <c r="K4230" t="s">
        <v>24239</v>
      </c>
      <c r="L4230" s="7" t="s">
        <v>24240</v>
      </c>
      <c r="M4230" t="s">
        <v>28931</v>
      </c>
      <c r="N4230">
        <v>6</v>
      </c>
      <c r="O4230">
        <v>4</v>
      </c>
      <c r="P4230">
        <v>2</v>
      </c>
      <c r="Q4230">
        <v>6</v>
      </c>
      <c r="R4230">
        <v>4</v>
      </c>
      <c r="S4230">
        <v>2</v>
      </c>
      <c r="T4230">
        <v>0</v>
      </c>
      <c r="U4230" t="s">
        <v>24241</v>
      </c>
      <c r="V4230">
        <f>Tabla1[[#This Row],[Aboard]]-Tabla1[[#This Row],[Fatalities]]</f>
        <v>0</v>
      </c>
      <c r="W4230" s="50">
        <f>IFERROR(Tabla1[[#This Row],[Fatalities]]/Tabla1[[#This Row],[Aboard]],0)</f>
        <v>1</v>
      </c>
      <c r="X4230" s="51" t="str" cm="1">
        <f t="array" ref="X4230">_xlfn.IFS(Tabla1[[#This Row],[Porcentaje de muertes]]&lt;0.35,"LEVE",AND(Tabla1[[#This Row],[Porcentaje de muertes]]&gt;0.35,Tabla1[[#This Row],[Porcentaje de muertes]]&lt;0.65),"MEDIO",Tabla1[[#This Row],[Porcentaje de muertes]]&gt;0.65,"GRAVE")</f>
        <v>GRAVE</v>
      </c>
    </row>
    <row r="4231" spans="2:24" x14ac:dyDescent="0.3">
      <c r="B4231" s="9">
        <v>4231</v>
      </c>
      <c r="C4231" s="49">
        <v>36647</v>
      </c>
      <c r="D4231" s="9">
        <f>YEAR(Tabla1[[#This Row],[Date]])</f>
        <v>2000</v>
      </c>
      <c r="E4231" s="9" t="str" cm="1">
        <f t="array" ref="E4231">IFERROR(_xlfn.IFS(AND(D4231&lt;1980,D4231&gt;=1970),"70",AND(D4231&lt;1990,D4231&gt;=1980),"80",AND(D4231&lt;2000,D4231&gt;=1990),"90",AND(D4231&lt;2010,D4231&gt;=2000),"00",AND(D4231&lt;=2019,D4231&gt;=2010),"10"),"1908-1970")</f>
        <v>00</v>
      </c>
      <c r="F4231" s="3" t="s">
        <v>28931</v>
      </c>
      <c r="G4231" t="s">
        <v>24242</v>
      </c>
      <c r="H4231" t="s">
        <v>23407</v>
      </c>
      <c r="I4231" t="s">
        <v>28931</v>
      </c>
      <c r="J4231" t="s">
        <v>22627</v>
      </c>
      <c r="K4231" t="s">
        <v>23409</v>
      </c>
      <c r="L4231" s="7" t="s">
        <v>24243</v>
      </c>
      <c r="M4231" t="s">
        <v>24244</v>
      </c>
      <c r="N4231">
        <v>16</v>
      </c>
      <c r="O4231">
        <v>13</v>
      </c>
      <c r="P4231">
        <v>3</v>
      </c>
      <c r="Q4231">
        <v>1</v>
      </c>
      <c r="R4231">
        <v>1</v>
      </c>
      <c r="S4231">
        <v>0</v>
      </c>
      <c r="T4231">
        <v>1</v>
      </c>
      <c r="U4231" t="s">
        <v>24245</v>
      </c>
      <c r="V4231">
        <f>Tabla1[[#This Row],[Aboard]]-Tabla1[[#This Row],[Fatalities]]</f>
        <v>15</v>
      </c>
      <c r="W4231" s="50">
        <f>IFERROR(Tabla1[[#This Row],[Fatalities]]/Tabla1[[#This Row],[Aboard]],0)</f>
        <v>6.25E-2</v>
      </c>
      <c r="X4231" s="51" t="str" cm="1">
        <f t="array" ref="X4231">_xlfn.IFS(Tabla1[[#This Row],[Porcentaje de muertes]]&lt;0.35,"LEVE",AND(Tabla1[[#This Row],[Porcentaje de muertes]]&gt;0.35,Tabla1[[#This Row],[Porcentaje de muertes]]&lt;0.65),"MEDIO",Tabla1[[#This Row],[Porcentaje de muertes]]&gt;0.65,"GRAVE")</f>
        <v>LEVE</v>
      </c>
    </row>
    <row r="4232" spans="2:24" x14ac:dyDescent="0.3">
      <c r="B4232" s="9">
        <v>4232</v>
      </c>
      <c r="C4232" s="49">
        <v>36800</v>
      </c>
      <c r="D4232" s="9">
        <f>YEAR(Tabla1[[#This Row],[Date]])</f>
        <v>2000</v>
      </c>
      <c r="E4232" s="9" t="str" cm="1">
        <f t="array" ref="E4232">IFERROR(_xlfn.IFS(AND(D4232&lt;1980,D4232&gt;=1970),"70",AND(D4232&lt;1990,D4232&gt;=1980),"80",AND(D4232&lt;2000,D4232&gt;=1990),"90",AND(D4232&lt;2010,D4232&gt;=2000),"00",AND(D4232&lt;=2019,D4232&gt;=2010),"10"),"1908-1970")</f>
        <v>00</v>
      </c>
      <c r="F4232" s="3">
        <v>0.74583333333333324</v>
      </c>
      <c r="G4232" t="s">
        <v>24246</v>
      </c>
      <c r="H4232" t="s">
        <v>24247</v>
      </c>
      <c r="I4232">
        <v>498</v>
      </c>
      <c r="J4232" t="s">
        <v>24248</v>
      </c>
      <c r="K4232" t="s">
        <v>22468</v>
      </c>
      <c r="L4232" s="7" t="s">
        <v>24249</v>
      </c>
      <c r="M4232">
        <v>213</v>
      </c>
      <c r="N4232">
        <v>10</v>
      </c>
      <c r="O4232">
        <v>7</v>
      </c>
      <c r="P4232">
        <v>3</v>
      </c>
      <c r="Q4232">
        <v>10</v>
      </c>
      <c r="R4232">
        <v>7</v>
      </c>
      <c r="S4232">
        <v>3</v>
      </c>
      <c r="T4232">
        <v>0</v>
      </c>
      <c r="U4232" t="s">
        <v>24250</v>
      </c>
      <c r="V4232">
        <f>Tabla1[[#This Row],[Aboard]]-Tabla1[[#This Row],[Fatalities]]</f>
        <v>0</v>
      </c>
      <c r="W4232" s="50">
        <f>IFERROR(Tabla1[[#This Row],[Fatalities]]/Tabla1[[#This Row],[Aboard]],0)</f>
        <v>1</v>
      </c>
      <c r="X4232" s="51" t="str" cm="1">
        <f t="array" ref="X4232">_xlfn.IFS(Tabla1[[#This Row],[Porcentaje de muertes]]&lt;0.35,"LEVE",AND(Tabla1[[#This Row],[Porcentaje de muertes]]&gt;0.35,Tabla1[[#This Row],[Porcentaje de muertes]]&lt;0.65),"MEDIO",Tabla1[[#This Row],[Porcentaje de muertes]]&gt;0.65,"GRAVE")</f>
        <v>GRAVE</v>
      </c>
    </row>
    <row r="4233" spans="2:24" x14ac:dyDescent="0.3">
      <c r="B4233" s="9">
        <v>4233</v>
      </c>
      <c r="C4233" s="49">
        <v>36538</v>
      </c>
      <c r="D4233" s="9">
        <f>YEAR(Tabla1[[#This Row],[Date]])</f>
        <v>2000</v>
      </c>
      <c r="E4233" s="9" t="str" cm="1">
        <f t="array" ref="E4233">IFERROR(_xlfn.IFS(AND(D4233&lt;1980,D4233&gt;=1970),"70",AND(D4233&lt;1990,D4233&gt;=1980),"80",AND(D4233&lt;2000,D4233&gt;=1990),"90",AND(D4233&lt;2010,D4233&gt;=2000),"00",AND(D4233&lt;=2019,D4233&gt;=2010),"10"),"1908-1970")</f>
        <v>00</v>
      </c>
      <c r="F4233" s="3">
        <v>0.52638888888888891</v>
      </c>
      <c r="G4233" t="s">
        <v>24251</v>
      </c>
      <c r="H4233" t="s">
        <v>24252</v>
      </c>
      <c r="I4233" t="s">
        <v>28931</v>
      </c>
      <c r="J4233" t="s">
        <v>24253</v>
      </c>
      <c r="K4233" t="s">
        <v>20466</v>
      </c>
      <c r="L4233" s="7" t="s">
        <v>24254</v>
      </c>
      <c r="M4233" t="s">
        <v>24255</v>
      </c>
      <c r="N4233">
        <v>41</v>
      </c>
      <c r="O4233">
        <v>38</v>
      </c>
      <c r="P4233">
        <v>3</v>
      </c>
      <c r="Q4233">
        <v>22</v>
      </c>
      <c r="R4233">
        <v>21</v>
      </c>
      <c r="S4233">
        <v>1</v>
      </c>
      <c r="T4233">
        <v>0</v>
      </c>
      <c r="U4233" t="s">
        <v>24256</v>
      </c>
      <c r="V4233">
        <f>Tabla1[[#This Row],[Aboard]]-Tabla1[[#This Row],[Fatalities]]</f>
        <v>19</v>
      </c>
      <c r="W4233" s="50">
        <f>IFERROR(Tabla1[[#This Row],[Fatalities]]/Tabla1[[#This Row],[Aboard]],0)</f>
        <v>0.53658536585365857</v>
      </c>
      <c r="X4233" s="51" t="str" cm="1">
        <f t="array" ref="X4233">_xlfn.IFS(Tabla1[[#This Row],[Porcentaje de muertes]]&lt;0.35,"LEVE",AND(Tabla1[[#This Row],[Porcentaje de muertes]]&gt;0.35,Tabla1[[#This Row],[Porcentaje de muertes]]&lt;0.65),"MEDIO",Tabla1[[#This Row],[Porcentaje de muertes]]&gt;0.65,"GRAVE")</f>
        <v>MEDIO</v>
      </c>
    </row>
    <row r="4234" spans="2:24" x14ac:dyDescent="0.3">
      <c r="B4234" s="9">
        <v>4234</v>
      </c>
      <c r="C4234" s="49">
        <v>36540</v>
      </c>
      <c r="D4234" s="9">
        <f>YEAR(Tabla1[[#This Row],[Date]])</f>
        <v>2000</v>
      </c>
      <c r="E4234" s="9" t="str" cm="1">
        <f t="array" ref="E4234">IFERROR(_xlfn.IFS(AND(D4234&lt;1980,D4234&gt;=1970),"70",AND(D4234&lt;1990,D4234&gt;=1980),"80",AND(D4234&lt;2000,D4234&gt;=1990),"90",AND(D4234&lt;2010,D4234&gt;=2000),"00",AND(D4234&lt;=2019,D4234&gt;=2010),"10"),"1908-1970")</f>
        <v>00</v>
      </c>
      <c r="F4234" s="3">
        <v>0.54861111111111105</v>
      </c>
      <c r="G4234" t="s">
        <v>8874</v>
      </c>
      <c r="H4234" t="s">
        <v>8239</v>
      </c>
      <c r="I4234" t="s">
        <v>28931</v>
      </c>
      <c r="J4234" t="s">
        <v>24257</v>
      </c>
      <c r="K4234" t="s">
        <v>22315</v>
      </c>
      <c r="L4234" s="7" t="s">
        <v>24258</v>
      </c>
      <c r="M4234">
        <v>861620</v>
      </c>
      <c r="N4234">
        <v>20</v>
      </c>
      <c r="O4234">
        <v>17</v>
      </c>
      <c r="P4234">
        <v>3</v>
      </c>
      <c r="Q4234">
        <v>5</v>
      </c>
      <c r="R4234">
        <v>4</v>
      </c>
      <c r="S4234">
        <v>1</v>
      </c>
      <c r="T4234">
        <v>0</v>
      </c>
      <c r="U4234" t="s">
        <v>24259</v>
      </c>
      <c r="V4234">
        <f>Tabla1[[#This Row],[Aboard]]-Tabla1[[#This Row],[Fatalities]]</f>
        <v>15</v>
      </c>
      <c r="W4234" s="50">
        <f>IFERROR(Tabla1[[#This Row],[Fatalities]]/Tabla1[[#This Row],[Aboard]],0)</f>
        <v>0.25</v>
      </c>
      <c r="X4234" s="51" t="str" cm="1">
        <f t="array" ref="X4234">_xlfn.IFS(Tabla1[[#This Row],[Porcentaje de muertes]]&lt;0.35,"LEVE",AND(Tabla1[[#This Row],[Porcentaje de muertes]]&gt;0.35,Tabla1[[#This Row],[Porcentaje de muertes]]&lt;0.65),"MEDIO",Tabla1[[#This Row],[Porcentaje de muertes]]&gt;0.65,"GRAVE")</f>
        <v>LEVE</v>
      </c>
    </row>
    <row r="4235" spans="2:24" x14ac:dyDescent="0.3">
      <c r="B4235" s="9">
        <v>4235</v>
      </c>
      <c r="C4235" s="49">
        <v>36555</v>
      </c>
      <c r="D4235" s="9">
        <f>YEAR(Tabla1[[#This Row],[Date]])</f>
        <v>2000</v>
      </c>
      <c r="E4235" s="9" t="str" cm="1">
        <f t="array" ref="E4235">IFERROR(_xlfn.IFS(AND(D4235&lt;1980,D4235&gt;=1970),"70",AND(D4235&lt;1990,D4235&gt;=1980),"80",AND(D4235&lt;2000,D4235&gt;=1990),"90",AND(D4235&lt;2010,D4235&gt;=2000),"00",AND(D4235&lt;=2019,D4235&gt;=2010),"10"),"1908-1970")</f>
        <v>00</v>
      </c>
      <c r="F4235" s="3">
        <v>0.88055555555555554</v>
      </c>
      <c r="G4235" t="s">
        <v>24260</v>
      </c>
      <c r="H4235" t="s">
        <v>24261</v>
      </c>
      <c r="I4235">
        <v>431</v>
      </c>
      <c r="J4235" t="s">
        <v>24262</v>
      </c>
      <c r="K4235" t="s">
        <v>24263</v>
      </c>
      <c r="L4235" s="7" t="s">
        <v>24264</v>
      </c>
      <c r="M4235">
        <v>426</v>
      </c>
      <c r="N4235">
        <v>179</v>
      </c>
      <c r="O4235">
        <v>169</v>
      </c>
      <c r="P4235">
        <v>10</v>
      </c>
      <c r="Q4235">
        <v>169</v>
      </c>
      <c r="R4235">
        <v>159</v>
      </c>
      <c r="S4235">
        <v>10</v>
      </c>
      <c r="T4235">
        <v>0</v>
      </c>
      <c r="U4235" t="s">
        <v>24265</v>
      </c>
      <c r="V4235">
        <f>Tabla1[[#This Row],[Aboard]]-Tabla1[[#This Row],[Fatalities]]</f>
        <v>10</v>
      </c>
      <c r="W4235" s="50">
        <f>IFERROR(Tabla1[[#This Row],[Fatalities]]/Tabla1[[#This Row],[Aboard]],0)</f>
        <v>0.94413407821229045</v>
      </c>
      <c r="X4235" s="51" t="str" cm="1">
        <f t="array" ref="X4235">_xlfn.IFS(Tabla1[[#This Row],[Porcentaje de muertes]]&lt;0.35,"LEVE",AND(Tabla1[[#This Row],[Porcentaje de muertes]]&gt;0.35,Tabla1[[#This Row],[Porcentaje de muertes]]&lt;0.65),"MEDIO",Tabla1[[#This Row],[Porcentaje de muertes]]&gt;0.65,"GRAVE")</f>
        <v>GRAVE</v>
      </c>
    </row>
    <row r="4236" spans="2:24" x14ac:dyDescent="0.3">
      <c r="B4236" s="9">
        <v>4236</v>
      </c>
      <c r="C4236" s="49">
        <v>36556</v>
      </c>
      <c r="D4236" s="9">
        <f>YEAR(Tabla1[[#This Row],[Date]])</f>
        <v>2000</v>
      </c>
      <c r="E4236" s="9" t="str" cm="1">
        <f t="array" ref="E4236">IFERROR(_xlfn.IFS(AND(D4236&lt;1980,D4236&gt;=1970),"70",AND(D4236&lt;1990,D4236&gt;=1980),"80",AND(D4236&lt;2000,D4236&gt;=1990),"90",AND(D4236&lt;2010,D4236&gt;=2000),"00",AND(D4236&lt;=2019,D4236&gt;=2010),"10"),"1908-1970")</f>
        <v>00</v>
      </c>
      <c r="F4236" s="3">
        <v>0.68125000000000002</v>
      </c>
      <c r="G4236" t="s">
        <v>24266</v>
      </c>
      <c r="H4236" t="s">
        <v>9289</v>
      </c>
      <c r="I4236">
        <v>261</v>
      </c>
      <c r="J4236" t="s">
        <v>24267</v>
      </c>
      <c r="K4236" t="s">
        <v>24268</v>
      </c>
      <c r="L4236" s="7" t="s">
        <v>24269</v>
      </c>
      <c r="M4236" t="s">
        <v>24270</v>
      </c>
      <c r="N4236">
        <v>88</v>
      </c>
      <c r="O4236">
        <v>83</v>
      </c>
      <c r="P4236">
        <v>5</v>
      </c>
      <c r="Q4236">
        <v>88</v>
      </c>
      <c r="R4236">
        <v>83</v>
      </c>
      <c r="S4236">
        <v>5</v>
      </c>
      <c r="T4236">
        <v>0</v>
      </c>
      <c r="U4236" t="s">
        <v>24271</v>
      </c>
      <c r="V4236">
        <f>Tabla1[[#This Row],[Aboard]]-Tabla1[[#This Row],[Fatalities]]</f>
        <v>0</v>
      </c>
      <c r="W4236" s="50">
        <f>IFERROR(Tabla1[[#This Row],[Fatalities]]/Tabla1[[#This Row],[Aboard]],0)</f>
        <v>1</v>
      </c>
      <c r="X4236" s="51" t="str" cm="1">
        <f t="array" ref="X4236">_xlfn.IFS(Tabla1[[#This Row],[Porcentaje de muertes]]&lt;0.35,"LEVE",AND(Tabla1[[#This Row],[Porcentaje de muertes]]&gt;0.35,Tabla1[[#This Row],[Porcentaje de muertes]]&lt;0.65),"MEDIO",Tabla1[[#This Row],[Porcentaje de muertes]]&gt;0.65,"GRAVE")</f>
        <v>GRAVE</v>
      </c>
    </row>
    <row r="4237" spans="2:24" x14ac:dyDescent="0.3">
      <c r="B4237" s="9">
        <v>4237</v>
      </c>
      <c r="C4237" s="49">
        <v>36558</v>
      </c>
      <c r="D4237" s="9">
        <f>YEAR(Tabla1[[#This Row],[Date]])</f>
        <v>2000</v>
      </c>
      <c r="E4237" s="9" t="str" cm="1">
        <f t="array" ref="E4237">IFERROR(_xlfn.IFS(AND(D4237&lt;1980,D4237&gt;=1970),"70",AND(D4237&lt;1990,D4237&gt;=1980),"80",AND(D4237&lt;2000,D4237&gt;=1990),"90",AND(D4237&lt;2010,D4237&gt;=2000),"00",AND(D4237&lt;=2019,D4237&gt;=2010),"10"),"1908-1970")</f>
        <v>00</v>
      </c>
      <c r="F4237" s="3" t="s">
        <v>28931</v>
      </c>
      <c r="G4237" t="s">
        <v>10175</v>
      </c>
      <c r="H4237" t="s">
        <v>24272</v>
      </c>
      <c r="I4237" t="s">
        <v>28931</v>
      </c>
      <c r="J4237" t="s">
        <v>6190</v>
      </c>
      <c r="K4237" t="s">
        <v>17490</v>
      </c>
      <c r="L4237" s="7" t="s">
        <v>28931</v>
      </c>
      <c r="M4237" t="s">
        <v>28931</v>
      </c>
      <c r="N4237">
        <v>8</v>
      </c>
      <c r="O4237" t="s">
        <v>5038</v>
      </c>
      <c r="P4237" t="s">
        <v>5038</v>
      </c>
      <c r="Q4237">
        <v>8</v>
      </c>
      <c r="R4237" t="s">
        <v>5038</v>
      </c>
      <c r="S4237" t="s">
        <v>5038</v>
      </c>
      <c r="T4237">
        <v>0</v>
      </c>
      <c r="U4237" t="s">
        <v>23284</v>
      </c>
      <c r="V4237">
        <f>Tabla1[[#This Row],[Aboard]]-Tabla1[[#This Row],[Fatalities]]</f>
        <v>0</v>
      </c>
      <c r="W4237" s="50">
        <f>IFERROR(Tabla1[[#This Row],[Fatalities]]/Tabla1[[#This Row],[Aboard]],0)</f>
        <v>1</v>
      </c>
      <c r="X4237" s="51" t="str" cm="1">
        <f t="array" ref="X4237">_xlfn.IFS(Tabla1[[#This Row],[Porcentaje de muertes]]&lt;0.35,"LEVE",AND(Tabla1[[#This Row],[Porcentaje de muertes]]&gt;0.35,Tabla1[[#This Row],[Porcentaje de muertes]]&lt;0.65),"MEDIO",Tabla1[[#This Row],[Porcentaje de muertes]]&gt;0.65,"GRAVE")</f>
        <v>GRAVE</v>
      </c>
    </row>
    <row r="4238" spans="2:24" x14ac:dyDescent="0.3">
      <c r="B4238" s="9">
        <v>4238</v>
      </c>
      <c r="C4238" s="49">
        <v>36572</v>
      </c>
      <c r="D4238" s="9">
        <f>YEAR(Tabla1[[#This Row],[Date]])</f>
        <v>2000</v>
      </c>
      <c r="E4238" s="9" t="str" cm="1">
        <f t="array" ref="E4238">IFERROR(_xlfn.IFS(AND(D4238&lt;1980,D4238&gt;=1970),"70",AND(D4238&lt;1990,D4238&gt;=1980),"80",AND(D4238&lt;2000,D4238&gt;=1990),"90",AND(D4238&lt;2010,D4238&gt;=2000),"00",AND(D4238&lt;=2019,D4238&gt;=2010),"10"),"1908-1970")</f>
        <v>00</v>
      </c>
      <c r="F4238" s="3">
        <v>0.82638888888888884</v>
      </c>
      <c r="G4238" t="s">
        <v>16587</v>
      </c>
      <c r="H4238" t="s">
        <v>23367</v>
      </c>
      <c r="I4238">
        <v>17</v>
      </c>
      <c r="J4238" t="s">
        <v>24273</v>
      </c>
      <c r="K4238" t="s">
        <v>24274</v>
      </c>
      <c r="L4238" s="7" t="s">
        <v>24275</v>
      </c>
      <c r="M4238" t="s">
        <v>24276</v>
      </c>
      <c r="N4238">
        <v>3</v>
      </c>
      <c r="O4238">
        <v>0</v>
      </c>
      <c r="P4238">
        <v>3</v>
      </c>
      <c r="Q4238">
        <v>3</v>
      </c>
      <c r="R4238">
        <v>0</v>
      </c>
      <c r="S4238">
        <v>3</v>
      </c>
      <c r="T4238">
        <v>0</v>
      </c>
      <c r="U4238" t="s">
        <v>24277</v>
      </c>
      <c r="V4238">
        <f>Tabla1[[#This Row],[Aboard]]-Tabla1[[#This Row],[Fatalities]]</f>
        <v>0</v>
      </c>
      <c r="W4238" s="50">
        <f>IFERROR(Tabla1[[#This Row],[Fatalities]]/Tabla1[[#This Row],[Aboard]],0)</f>
        <v>1</v>
      </c>
      <c r="X4238" s="51" t="str" cm="1">
        <f t="array" ref="X4238">_xlfn.IFS(Tabla1[[#This Row],[Porcentaje de muertes]]&lt;0.35,"LEVE",AND(Tabla1[[#This Row],[Porcentaje de muertes]]&gt;0.35,Tabla1[[#This Row],[Porcentaje de muertes]]&lt;0.65),"MEDIO",Tabla1[[#This Row],[Porcentaje de muertes]]&gt;0.65,"GRAVE")</f>
        <v>GRAVE</v>
      </c>
    </row>
    <row r="4239" spans="2:24" x14ac:dyDescent="0.3">
      <c r="B4239" s="9">
        <v>4239</v>
      </c>
      <c r="C4239" s="49">
        <v>36649</v>
      </c>
      <c r="D4239" s="9">
        <f>YEAR(Tabla1[[#This Row],[Date]])</f>
        <v>2000</v>
      </c>
      <c r="E4239" s="9" t="str" cm="1">
        <f t="array" ref="E4239">IFERROR(_xlfn.IFS(AND(D4239&lt;1980,D4239&gt;=1970),"70",AND(D4239&lt;1990,D4239&gt;=1980),"80",AND(D4239&lt;2000,D4239&gt;=1990),"90",AND(D4239&lt;2010,D4239&gt;=2000),"00",AND(D4239&lt;=2019,D4239&gt;=2010),"10"),"1908-1970")</f>
        <v>00</v>
      </c>
      <c r="F4239" s="3">
        <v>0.75763888888888886</v>
      </c>
      <c r="G4239" t="s">
        <v>24278</v>
      </c>
      <c r="H4239" t="s">
        <v>24279</v>
      </c>
      <c r="I4239">
        <v>1455</v>
      </c>
      <c r="J4239" t="s">
        <v>24280</v>
      </c>
      <c r="K4239" t="s">
        <v>24281</v>
      </c>
      <c r="L4239" s="7" t="s">
        <v>24282</v>
      </c>
      <c r="M4239" t="s">
        <v>24283</v>
      </c>
      <c r="N4239">
        <v>142</v>
      </c>
      <c r="O4239">
        <v>137</v>
      </c>
      <c r="P4239">
        <v>5</v>
      </c>
      <c r="Q4239">
        <v>0</v>
      </c>
      <c r="R4239">
        <v>0</v>
      </c>
      <c r="S4239">
        <v>0</v>
      </c>
      <c r="T4239">
        <v>0</v>
      </c>
      <c r="U4239" t="s">
        <v>24284</v>
      </c>
      <c r="V4239">
        <f>Tabla1[[#This Row],[Aboard]]-Tabla1[[#This Row],[Fatalities]]</f>
        <v>142</v>
      </c>
      <c r="W4239" s="50">
        <f>IFERROR(Tabla1[[#This Row],[Fatalities]]/Tabla1[[#This Row],[Aboard]],0)</f>
        <v>0</v>
      </c>
      <c r="X4239" s="51" t="str" cm="1">
        <f t="array" ref="X4239">_xlfn.IFS(Tabla1[[#This Row],[Porcentaje de muertes]]&lt;0.35,"LEVE",AND(Tabla1[[#This Row],[Porcentaje de muertes]]&gt;0.35,Tabla1[[#This Row],[Porcentaje de muertes]]&lt;0.65),"MEDIO",Tabla1[[#This Row],[Porcentaje de muertes]]&gt;0.65,"GRAVE")</f>
        <v>LEVE</v>
      </c>
    </row>
    <row r="4240" spans="2:24" x14ac:dyDescent="0.3">
      <c r="B4240" s="9">
        <v>4240</v>
      </c>
      <c r="C4240" s="49">
        <v>36772</v>
      </c>
      <c r="D4240" s="9">
        <f>YEAR(Tabla1[[#This Row],[Date]])</f>
        <v>2000</v>
      </c>
      <c r="E4240" s="9" t="str" cm="1">
        <f t="array" ref="E4240">IFERROR(_xlfn.IFS(AND(D4240&lt;1980,D4240&gt;=1970),"70",AND(D4240&lt;1990,D4240&gt;=1980),"80",AND(D4240&lt;2000,D4240&gt;=1990),"90",AND(D4240&lt;2010,D4240&gt;=2000),"00",AND(D4240&lt;=2019,D4240&gt;=2010),"10"),"1908-1970")</f>
        <v>00</v>
      </c>
      <c r="F4240" s="3">
        <v>0.3611111111111111</v>
      </c>
      <c r="G4240" t="s">
        <v>10681</v>
      </c>
      <c r="H4240" t="s">
        <v>24285</v>
      </c>
      <c r="I4240" t="s">
        <v>28931</v>
      </c>
      <c r="J4240" t="s">
        <v>24286</v>
      </c>
      <c r="K4240" t="s">
        <v>15961</v>
      </c>
      <c r="L4240" s="7" t="s">
        <v>24287</v>
      </c>
      <c r="M4240">
        <v>9620847</v>
      </c>
      <c r="N4240">
        <v>9</v>
      </c>
      <c r="O4240">
        <v>4</v>
      </c>
      <c r="P4240">
        <v>5</v>
      </c>
      <c r="Q4240">
        <v>9</v>
      </c>
      <c r="R4240">
        <v>4</v>
      </c>
      <c r="S4240">
        <v>5</v>
      </c>
      <c r="T4240">
        <v>0</v>
      </c>
      <c r="U4240" t="s">
        <v>24288</v>
      </c>
      <c r="V4240">
        <f>Tabla1[[#This Row],[Aboard]]-Tabla1[[#This Row],[Fatalities]]</f>
        <v>0</v>
      </c>
      <c r="W4240" s="50">
        <f>IFERROR(Tabla1[[#This Row],[Fatalities]]/Tabla1[[#This Row],[Aboard]],0)</f>
        <v>1</v>
      </c>
      <c r="X4240" s="51" t="str" cm="1">
        <f t="array" ref="X4240">_xlfn.IFS(Tabla1[[#This Row],[Porcentaje de muertes]]&lt;0.35,"LEVE",AND(Tabla1[[#This Row],[Porcentaje de muertes]]&gt;0.35,Tabla1[[#This Row],[Porcentaje de muertes]]&lt;0.65),"MEDIO",Tabla1[[#This Row],[Porcentaje de muertes]]&gt;0.65,"GRAVE")</f>
        <v>GRAVE</v>
      </c>
    </row>
    <row r="4241" spans="2:24" x14ac:dyDescent="0.3">
      <c r="B4241" s="9">
        <v>4241</v>
      </c>
      <c r="C4241" s="49">
        <v>36602</v>
      </c>
      <c r="D4241" s="9">
        <f>YEAR(Tabla1[[#This Row],[Date]])</f>
        <v>2000</v>
      </c>
      <c r="E4241" s="9" t="str" cm="1">
        <f t="array" ref="E4241">IFERROR(_xlfn.IFS(AND(D4241&lt;1980,D4241&gt;=1970),"70",AND(D4241&lt;1990,D4241&gt;=1980),"80",AND(D4241&lt;2000,D4241&gt;=1990),"90",AND(D4241&lt;2010,D4241&gt;=2000),"00",AND(D4241&lt;=2019,D4241&gt;=2010),"10"),"1908-1970")</f>
        <v>00</v>
      </c>
      <c r="F4241" s="3">
        <v>0.39583333333333331</v>
      </c>
      <c r="G4241" t="s">
        <v>24289</v>
      </c>
      <c r="H4241" t="s">
        <v>21293</v>
      </c>
      <c r="I4241" t="s">
        <v>28931</v>
      </c>
      <c r="J4241" t="s">
        <v>24290</v>
      </c>
      <c r="K4241" t="s">
        <v>16680</v>
      </c>
      <c r="L4241" s="7" t="s">
        <v>24291</v>
      </c>
      <c r="M4241">
        <v>624</v>
      </c>
      <c r="N4241">
        <v>10</v>
      </c>
      <c r="O4241">
        <v>8</v>
      </c>
      <c r="P4241">
        <v>2</v>
      </c>
      <c r="Q4241">
        <v>10</v>
      </c>
      <c r="R4241">
        <v>8</v>
      </c>
      <c r="S4241">
        <v>2</v>
      </c>
      <c r="T4241">
        <v>0</v>
      </c>
      <c r="U4241" t="s">
        <v>24292</v>
      </c>
      <c r="V4241">
        <f>Tabla1[[#This Row],[Aboard]]-Tabla1[[#This Row],[Fatalities]]</f>
        <v>0</v>
      </c>
      <c r="W4241" s="50">
        <f>IFERROR(Tabla1[[#This Row],[Fatalities]]/Tabla1[[#This Row],[Aboard]],0)</f>
        <v>1</v>
      </c>
      <c r="X4241" s="51" t="str" cm="1">
        <f t="array" ref="X4241">_xlfn.IFS(Tabla1[[#This Row],[Porcentaje de muertes]]&lt;0.35,"LEVE",AND(Tabla1[[#This Row],[Porcentaje de muertes]]&gt;0.35,Tabla1[[#This Row],[Porcentaje de muertes]]&lt;0.65),"MEDIO",Tabla1[[#This Row],[Porcentaje de muertes]]&gt;0.65,"GRAVE")</f>
        <v>GRAVE</v>
      </c>
    </row>
    <row r="4242" spans="2:24" x14ac:dyDescent="0.3">
      <c r="B4242" s="9">
        <v>4242</v>
      </c>
      <c r="C4242" s="49">
        <v>36602</v>
      </c>
      <c r="D4242" s="9">
        <f>YEAR(Tabla1[[#This Row],[Date]])</f>
        <v>2000</v>
      </c>
      <c r="E4242" s="9" t="str" cm="1">
        <f t="array" ref="E4242">IFERROR(_xlfn.IFS(AND(D4242&lt;1980,D4242&gt;=1970),"70",AND(D4242&lt;1990,D4242&gt;=1980),"80",AND(D4242&lt;2000,D4242&gt;=1990),"90",AND(D4242&lt;2010,D4242&gt;=2000),"00",AND(D4242&lt;=2019,D4242&gt;=2010),"10"),"1908-1970")</f>
        <v>00</v>
      </c>
      <c r="F4242" s="3">
        <v>0.52152777777777781</v>
      </c>
      <c r="G4242" t="s">
        <v>24293</v>
      </c>
      <c r="H4242" t="s">
        <v>24294</v>
      </c>
      <c r="I4242" t="s">
        <v>28931</v>
      </c>
      <c r="J4242" t="s">
        <v>24295</v>
      </c>
      <c r="K4242" t="s">
        <v>18867</v>
      </c>
      <c r="L4242" s="7" t="s">
        <v>24296</v>
      </c>
      <c r="M4242">
        <v>12344</v>
      </c>
      <c r="N4242">
        <v>2</v>
      </c>
      <c r="O4242">
        <v>0</v>
      </c>
      <c r="P4242">
        <v>2</v>
      </c>
      <c r="Q4242">
        <v>2</v>
      </c>
      <c r="R4242">
        <v>0</v>
      </c>
      <c r="S4242">
        <v>2</v>
      </c>
      <c r="T4242">
        <v>0</v>
      </c>
      <c r="U4242" t="s">
        <v>24297</v>
      </c>
      <c r="V4242">
        <f>Tabla1[[#This Row],[Aboard]]-Tabla1[[#This Row],[Fatalities]]</f>
        <v>0</v>
      </c>
      <c r="W4242" s="50">
        <f>IFERROR(Tabla1[[#This Row],[Fatalities]]/Tabla1[[#This Row],[Aboard]],0)</f>
        <v>1</v>
      </c>
      <c r="X4242" s="51" t="str" cm="1">
        <f t="array" ref="X4242">_xlfn.IFS(Tabla1[[#This Row],[Porcentaje de muertes]]&lt;0.35,"LEVE",AND(Tabla1[[#This Row],[Porcentaje de muertes]]&gt;0.35,Tabla1[[#This Row],[Porcentaje de muertes]]&lt;0.65),"MEDIO",Tabla1[[#This Row],[Porcentaje de muertes]]&gt;0.65,"GRAVE")</f>
        <v>GRAVE</v>
      </c>
    </row>
    <row r="4243" spans="2:24" x14ac:dyDescent="0.3">
      <c r="B4243" s="9">
        <v>4243</v>
      </c>
      <c r="C4243" s="49">
        <v>36607</v>
      </c>
      <c r="D4243" s="9">
        <f>YEAR(Tabla1[[#This Row],[Date]])</f>
        <v>2000</v>
      </c>
      <c r="E4243" s="9" t="str" cm="1">
        <f t="array" ref="E4243">IFERROR(_xlfn.IFS(AND(D4243&lt;1980,D4243&gt;=1970),"70",AND(D4243&lt;1990,D4243&gt;=1980),"80",AND(D4243&lt;2000,D4243&gt;=1990),"90",AND(D4243&lt;2010,D4243&gt;=2000),"00",AND(D4243&lt;=2019,D4243&gt;=2010),"10"),"1908-1970")</f>
        <v>00</v>
      </c>
      <c r="F4243" s="3">
        <v>0.73958333333333337</v>
      </c>
      <c r="G4243" t="s">
        <v>24298</v>
      </c>
      <c r="H4243" t="s">
        <v>24299</v>
      </c>
      <c r="I4243" t="s">
        <v>28931</v>
      </c>
      <c r="J4243" t="s">
        <v>24300</v>
      </c>
      <c r="K4243" t="s">
        <v>24301</v>
      </c>
      <c r="L4243" s="7" t="s">
        <v>24302</v>
      </c>
      <c r="M4243">
        <v>314</v>
      </c>
      <c r="N4243">
        <v>7</v>
      </c>
      <c r="O4243">
        <v>0</v>
      </c>
      <c r="P4243">
        <v>7</v>
      </c>
      <c r="Q4243">
        <v>7</v>
      </c>
      <c r="R4243">
        <v>0</v>
      </c>
      <c r="S4243">
        <v>7</v>
      </c>
      <c r="T4243">
        <v>0</v>
      </c>
      <c r="U4243" t="s">
        <v>24303</v>
      </c>
      <c r="V4243">
        <f>Tabla1[[#This Row],[Aboard]]-Tabla1[[#This Row],[Fatalities]]</f>
        <v>0</v>
      </c>
      <c r="W4243" s="50">
        <f>IFERROR(Tabla1[[#This Row],[Fatalities]]/Tabla1[[#This Row],[Aboard]],0)</f>
        <v>1</v>
      </c>
      <c r="X4243" s="51" t="str" cm="1">
        <f t="array" ref="X4243">_xlfn.IFS(Tabla1[[#This Row],[Porcentaje de muertes]]&lt;0.35,"LEVE",AND(Tabla1[[#This Row],[Porcentaje de muertes]]&gt;0.35,Tabla1[[#This Row],[Porcentaje de muertes]]&lt;0.65),"MEDIO",Tabla1[[#This Row],[Porcentaje de muertes]]&gt;0.65,"GRAVE")</f>
        <v>GRAVE</v>
      </c>
    </row>
    <row r="4244" spans="2:24" x14ac:dyDescent="0.3">
      <c r="B4244" s="9">
        <v>4244</v>
      </c>
      <c r="C4244" s="49">
        <v>36609</v>
      </c>
      <c r="D4244" s="9">
        <f>YEAR(Tabla1[[#This Row],[Date]])</f>
        <v>2000</v>
      </c>
      <c r="E4244" s="9" t="str" cm="1">
        <f t="array" ref="E4244">IFERROR(_xlfn.IFS(AND(D4244&lt;1980,D4244&gt;=1970),"70",AND(D4244&lt;1990,D4244&gt;=1980),"80",AND(D4244&lt;2000,D4244&gt;=1990),"90",AND(D4244&lt;2010,D4244&gt;=2000),"00",AND(D4244&lt;=2019,D4244&gt;=2010),"10"),"1908-1970")</f>
        <v>00</v>
      </c>
      <c r="F4244" s="3">
        <v>0.75277777777777777</v>
      </c>
      <c r="G4244" t="s">
        <v>24304</v>
      </c>
      <c r="H4244" t="s">
        <v>24305</v>
      </c>
      <c r="I4244" t="s">
        <v>28931</v>
      </c>
      <c r="J4244" t="s">
        <v>24306</v>
      </c>
      <c r="K4244" t="s">
        <v>24307</v>
      </c>
      <c r="L4244" s="7" t="s">
        <v>24308</v>
      </c>
      <c r="M4244">
        <v>8346004</v>
      </c>
      <c r="N4244">
        <v>8</v>
      </c>
      <c r="O4244">
        <v>0</v>
      </c>
      <c r="P4244">
        <v>8</v>
      </c>
      <c r="Q4244">
        <v>6</v>
      </c>
      <c r="R4244">
        <v>0</v>
      </c>
      <c r="S4244">
        <v>6</v>
      </c>
      <c r="T4244">
        <v>2</v>
      </c>
      <c r="U4244" t="s">
        <v>24309</v>
      </c>
      <c r="V4244">
        <f>Tabla1[[#This Row],[Aboard]]-Tabla1[[#This Row],[Fatalities]]</f>
        <v>2</v>
      </c>
      <c r="W4244" s="50">
        <f>IFERROR(Tabla1[[#This Row],[Fatalities]]/Tabla1[[#This Row],[Aboard]],0)</f>
        <v>0.75</v>
      </c>
      <c r="X4244" s="51" t="str" cm="1">
        <f t="array" ref="X4244">_xlfn.IFS(Tabla1[[#This Row],[Porcentaje de muertes]]&lt;0.35,"LEVE",AND(Tabla1[[#This Row],[Porcentaje de muertes]]&gt;0.35,Tabla1[[#This Row],[Porcentaje de muertes]]&lt;0.65),"MEDIO",Tabla1[[#This Row],[Porcentaje de muertes]]&gt;0.65,"GRAVE")</f>
        <v>GRAVE</v>
      </c>
    </row>
    <row r="4245" spans="2:24" x14ac:dyDescent="0.3">
      <c r="B4245" s="9">
        <v>4245</v>
      </c>
      <c r="C4245" s="49">
        <v>36610</v>
      </c>
      <c r="D4245" s="9">
        <f>YEAR(Tabla1[[#This Row],[Date]])</f>
        <v>2000</v>
      </c>
      <c r="E4245" s="9" t="str" cm="1">
        <f t="array" ref="E4245">IFERROR(_xlfn.IFS(AND(D4245&lt;1980,D4245&gt;=1970),"70",AND(D4245&lt;1990,D4245&gt;=1980),"80",AND(D4245&lt;2000,D4245&gt;=1990),"90",AND(D4245&lt;2010,D4245&gt;=2000),"00",AND(D4245&lt;=2019,D4245&gt;=2010),"10"),"1908-1970")</f>
        <v>00</v>
      </c>
      <c r="F4245" s="3" t="s">
        <v>28931</v>
      </c>
      <c r="G4245" t="s">
        <v>24310</v>
      </c>
      <c r="H4245" t="s">
        <v>24311</v>
      </c>
      <c r="I4245" t="s">
        <v>28931</v>
      </c>
      <c r="J4245" t="s">
        <v>23950</v>
      </c>
      <c r="K4245" t="s">
        <v>20770</v>
      </c>
      <c r="L4245" s="7" t="s">
        <v>24312</v>
      </c>
      <c r="M4245" t="s">
        <v>24313</v>
      </c>
      <c r="N4245">
        <v>33</v>
      </c>
      <c r="O4245">
        <v>29</v>
      </c>
      <c r="P4245">
        <v>4</v>
      </c>
      <c r="Q4245">
        <v>3</v>
      </c>
      <c r="R4245">
        <v>3</v>
      </c>
      <c r="S4245">
        <v>0</v>
      </c>
      <c r="T4245">
        <v>0</v>
      </c>
      <c r="U4245" t="s">
        <v>24314</v>
      </c>
      <c r="V4245">
        <f>Tabla1[[#This Row],[Aboard]]-Tabla1[[#This Row],[Fatalities]]</f>
        <v>30</v>
      </c>
      <c r="W4245" s="50">
        <f>IFERROR(Tabla1[[#This Row],[Fatalities]]/Tabla1[[#This Row],[Aboard]],0)</f>
        <v>9.0909090909090912E-2</v>
      </c>
      <c r="X4245" s="51" t="str" cm="1">
        <f t="array" ref="X4245">_xlfn.IFS(Tabla1[[#This Row],[Porcentaje de muertes]]&lt;0.35,"LEVE",AND(Tabla1[[#This Row],[Porcentaje de muertes]]&gt;0.35,Tabla1[[#This Row],[Porcentaje de muertes]]&lt;0.65),"MEDIO",Tabla1[[#This Row],[Porcentaje de muertes]]&gt;0.65,"GRAVE")</f>
        <v>LEVE</v>
      </c>
    </row>
    <row r="4246" spans="2:24" x14ac:dyDescent="0.3">
      <c r="B4246" s="9">
        <v>4246</v>
      </c>
      <c r="C4246" s="49">
        <v>36615</v>
      </c>
      <c r="D4246" s="9">
        <f>YEAR(Tabla1[[#This Row],[Date]])</f>
        <v>2000</v>
      </c>
      <c r="E4246" s="9" t="str" cm="1">
        <f t="array" ref="E4246">IFERROR(_xlfn.IFS(AND(D4246&lt;1980,D4246&gt;=1970),"70",AND(D4246&lt;1990,D4246&gt;=1980),"80",AND(D4246&lt;2000,D4246&gt;=1990),"90",AND(D4246&lt;2010,D4246&gt;=2000),"00",AND(D4246&lt;=2019,D4246&gt;=2010),"10"),"1908-1970")</f>
        <v>00</v>
      </c>
      <c r="F4246" s="3" t="s">
        <v>28931</v>
      </c>
      <c r="G4246" t="s">
        <v>24315</v>
      </c>
      <c r="H4246" t="s">
        <v>24316</v>
      </c>
      <c r="I4246" t="s">
        <v>28931</v>
      </c>
      <c r="J4246" t="s">
        <v>24317</v>
      </c>
      <c r="K4246" t="s">
        <v>16446</v>
      </c>
      <c r="L4246" s="7" t="s">
        <v>24318</v>
      </c>
      <c r="M4246">
        <v>13410</v>
      </c>
      <c r="N4246">
        <v>40</v>
      </c>
      <c r="O4246">
        <v>36</v>
      </c>
      <c r="P4246">
        <v>4</v>
      </c>
      <c r="Q4246">
        <v>40</v>
      </c>
      <c r="R4246">
        <v>36</v>
      </c>
      <c r="S4246">
        <v>4</v>
      </c>
      <c r="T4246">
        <v>0</v>
      </c>
      <c r="U4246" t="s">
        <v>24319</v>
      </c>
      <c r="V4246">
        <f>Tabla1[[#This Row],[Aboard]]-Tabla1[[#This Row],[Fatalities]]</f>
        <v>0</v>
      </c>
      <c r="W4246" s="50">
        <f>IFERROR(Tabla1[[#This Row],[Fatalities]]/Tabla1[[#This Row],[Aboard]],0)</f>
        <v>1</v>
      </c>
      <c r="X4246" s="51" t="str" cm="1">
        <f t="array" ref="X4246">_xlfn.IFS(Tabla1[[#This Row],[Porcentaje de muertes]]&lt;0.35,"LEVE",AND(Tabla1[[#This Row],[Porcentaje de muertes]]&gt;0.35,Tabla1[[#This Row],[Porcentaje de muertes]]&lt;0.65),"MEDIO",Tabla1[[#This Row],[Porcentaje de muertes]]&gt;0.65,"GRAVE")</f>
        <v>GRAVE</v>
      </c>
    </row>
    <row r="4247" spans="2:24" x14ac:dyDescent="0.3">
      <c r="B4247" s="9">
        <v>4247</v>
      </c>
      <c r="C4247" s="49">
        <v>36650</v>
      </c>
      <c r="D4247" s="9">
        <f>YEAR(Tabla1[[#This Row],[Date]])</f>
        <v>2000</v>
      </c>
      <c r="E4247" s="9" t="str" cm="1">
        <f t="array" ref="E4247">IFERROR(_xlfn.IFS(AND(D4247&lt;1980,D4247&gt;=1970),"70",AND(D4247&lt;1990,D4247&gt;=1980),"80",AND(D4247&lt;2000,D4247&gt;=1990),"90",AND(D4247&lt;2010,D4247&gt;=2000),"00",AND(D4247&lt;=2019,D4247&gt;=2010),"10"),"1908-1970")</f>
        <v>00</v>
      </c>
      <c r="F4247" s="3">
        <v>0.39583333333333331</v>
      </c>
      <c r="G4247" t="s">
        <v>24320</v>
      </c>
      <c r="H4247" t="s">
        <v>24321</v>
      </c>
      <c r="I4247" t="s">
        <v>28931</v>
      </c>
      <c r="J4247" t="s">
        <v>24322</v>
      </c>
      <c r="K4247" t="s">
        <v>23386</v>
      </c>
      <c r="L4247" s="7" t="s">
        <v>24323</v>
      </c>
      <c r="M4247" t="s">
        <v>24324</v>
      </c>
      <c r="N4247">
        <v>3</v>
      </c>
      <c r="O4247">
        <v>0</v>
      </c>
      <c r="P4247">
        <v>3</v>
      </c>
      <c r="Q4247">
        <v>3</v>
      </c>
      <c r="R4247">
        <v>0</v>
      </c>
      <c r="S4247">
        <v>3</v>
      </c>
      <c r="T4247">
        <v>0</v>
      </c>
      <c r="U4247" t="s">
        <v>24325</v>
      </c>
      <c r="V4247">
        <f>Tabla1[[#This Row],[Aboard]]-Tabla1[[#This Row],[Fatalities]]</f>
        <v>0</v>
      </c>
      <c r="W4247" s="50">
        <f>IFERROR(Tabla1[[#This Row],[Fatalities]]/Tabla1[[#This Row],[Aboard]],0)</f>
        <v>1</v>
      </c>
      <c r="X4247" s="51" t="str" cm="1">
        <f t="array" ref="X4247">_xlfn.IFS(Tabla1[[#This Row],[Porcentaje de muertes]]&lt;0.35,"LEVE",AND(Tabla1[[#This Row],[Porcentaje de muertes]]&gt;0.35,Tabla1[[#This Row],[Porcentaje de muertes]]&lt;0.65),"MEDIO",Tabla1[[#This Row],[Porcentaje de muertes]]&gt;0.65,"GRAVE")</f>
        <v>GRAVE</v>
      </c>
    </row>
    <row r="4248" spans="2:24" x14ac:dyDescent="0.3">
      <c r="B4248" s="9">
        <v>4248</v>
      </c>
      <c r="C4248" s="49">
        <v>36635</v>
      </c>
      <c r="D4248" s="9">
        <f>YEAR(Tabla1[[#This Row],[Date]])</f>
        <v>2000</v>
      </c>
      <c r="E4248" s="9" t="str" cm="1">
        <f t="array" ref="E4248">IFERROR(_xlfn.IFS(AND(D4248&lt;1980,D4248&gt;=1970),"70",AND(D4248&lt;1990,D4248&gt;=1980),"80",AND(D4248&lt;2000,D4248&gt;=1990),"90",AND(D4248&lt;2010,D4248&gt;=2000),"00",AND(D4248&lt;=2019,D4248&gt;=2010),"10"),"1908-1970")</f>
        <v>00</v>
      </c>
      <c r="F4248" s="3" t="s">
        <v>28931</v>
      </c>
      <c r="G4248" t="s">
        <v>24326</v>
      </c>
      <c r="H4248" t="s">
        <v>24327</v>
      </c>
      <c r="I4248" t="s">
        <v>28931</v>
      </c>
      <c r="J4248" t="s">
        <v>24328</v>
      </c>
      <c r="K4248" t="s">
        <v>22080</v>
      </c>
      <c r="L4248" s="7" t="s">
        <v>24329</v>
      </c>
      <c r="M4248">
        <v>9340706</v>
      </c>
      <c r="N4248">
        <v>24</v>
      </c>
      <c r="O4248">
        <v>20</v>
      </c>
      <c r="P4248">
        <v>4</v>
      </c>
      <c r="Q4248">
        <v>24</v>
      </c>
      <c r="R4248">
        <v>20</v>
      </c>
      <c r="S4248">
        <v>4</v>
      </c>
      <c r="T4248">
        <v>0</v>
      </c>
      <c r="U4248" t="s">
        <v>24330</v>
      </c>
      <c r="V4248">
        <f>Tabla1[[#This Row],[Aboard]]-Tabla1[[#This Row],[Fatalities]]</f>
        <v>0</v>
      </c>
      <c r="W4248" s="50">
        <f>IFERROR(Tabla1[[#This Row],[Fatalities]]/Tabla1[[#This Row],[Aboard]],0)</f>
        <v>1</v>
      </c>
      <c r="X4248" s="51" t="str" cm="1">
        <f t="array" ref="X4248">_xlfn.IFS(Tabla1[[#This Row],[Porcentaje de muertes]]&lt;0.35,"LEVE",AND(Tabla1[[#This Row],[Porcentaje de muertes]]&gt;0.35,Tabla1[[#This Row],[Porcentaje de muertes]]&lt;0.65),"MEDIO",Tabla1[[#This Row],[Porcentaje de muertes]]&gt;0.65,"GRAVE")</f>
        <v>GRAVE</v>
      </c>
    </row>
    <row r="4249" spans="2:24" x14ac:dyDescent="0.3">
      <c r="B4249" s="9">
        <v>4249</v>
      </c>
      <c r="C4249" s="49">
        <v>36635</v>
      </c>
      <c r="D4249" s="9">
        <f>YEAR(Tabla1[[#This Row],[Date]])</f>
        <v>2000</v>
      </c>
      <c r="E4249" s="9" t="str" cm="1">
        <f t="array" ref="E4249">IFERROR(_xlfn.IFS(AND(D4249&lt;1980,D4249&gt;=1970),"70",AND(D4249&lt;1990,D4249&gt;=1980),"80",AND(D4249&lt;2000,D4249&gt;=1990),"90",AND(D4249&lt;2010,D4249&gt;=2000),"00",AND(D4249&lt;=2019,D4249&gt;=2010),"10"),"1908-1970")</f>
        <v>00</v>
      </c>
      <c r="F4249" s="3">
        <v>0.29305555555555557</v>
      </c>
      <c r="G4249" t="s">
        <v>24331</v>
      </c>
      <c r="H4249" t="s">
        <v>24332</v>
      </c>
      <c r="I4249">
        <v>541</v>
      </c>
      <c r="J4249" t="s">
        <v>24333</v>
      </c>
      <c r="K4249" t="s">
        <v>24334</v>
      </c>
      <c r="L4249" s="7" t="s">
        <v>24335</v>
      </c>
      <c r="M4249" t="s">
        <v>24336</v>
      </c>
      <c r="N4249">
        <v>131</v>
      </c>
      <c r="O4249">
        <v>124</v>
      </c>
      <c r="P4249">
        <v>7</v>
      </c>
      <c r="Q4249">
        <v>131</v>
      </c>
      <c r="R4249">
        <v>124</v>
      </c>
      <c r="S4249">
        <v>7</v>
      </c>
      <c r="T4249">
        <v>0</v>
      </c>
      <c r="U4249" t="s">
        <v>24337</v>
      </c>
      <c r="V4249">
        <f>Tabla1[[#This Row],[Aboard]]-Tabla1[[#This Row],[Fatalities]]</f>
        <v>0</v>
      </c>
      <c r="W4249" s="50">
        <f>IFERROR(Tabla1[[#This Row],[Fatalities]]/Tabla1[[#This Row],[Aboard]],0)</f>
        <v>1</v>
      </c>
      <c r="X4249" s="51" t="str" cm="1">
        <f t="array" ref="X4249">_xlfn.IFS(Tabla1[[#This Row],[Porcentaje de muertes]]&lt;0.35,"LEVE",AND(Tabla1[[#This Row],[Porcentaje de muertes]]&gt;0.35,Tabla1[[#This Row],[Porcentaje de muertes]]&lt;0.65),"MEDIO",Tabla1[[#This Row],[Porcentaje de muertes]]&gt;0.65,"GRAVE")</f>
        <v>GRAVE</v>
      </c>
    </row>
    <row r="4250" spans="2:24" x14ac:dyDescent="0.3">
      <c r="B4250" s="9">
        <v>4250</v>
      </c>
      <c r="C4250" s="49">
        <v>36645</v>
      </c>
      <c r="D4250" s="9">
        <f>YEAR(Tabla1[[#This Row],[Date]])</f>
        <v>2000</v>
      </c>
      <c r="E4250" s="9" t="str" cm="1">
        <f t="array" ref="E4250">IFERROR(_xlfn.IFS(AND(D4250&lt;1980,D4250&gt;=1970),"70",AND(D4250&lt;1990,D4250&gt;=1980),"80",AND(D4250&lt;2000,D4250&gt;=1990),"90",AND(D4250&lt;2010,D4250&gt;=2000),"00",AND(D4250&lt;=2019,D4250&gt;=2010),"10"),"1908-1970")</f>
        <v>00</v>
      </c>
      <c r="F4250" s="3" t="s">
        <v>28931</v>
      </c>
      <c r="G4250" t="s">
        <v>24338</v>
      </c>
      <c r="H4250" t="s">
        <v>24339</v>
      </c>
      <c r="I4250" t="s">
        <v>28931</v>
      </c>
      <c r="J4250" t="s">
        <v>28931</v>
      </c>
      <c r="K4250" t="s">
        <v>19663</v>
      </c>
      <c r="L4250" s="7" t="s">
        <v>24340</v>
      </c>
      <c r="M4250">
        <v>703</v>
      </c>
      <c r="N4250">
        <v>4</v>
      </c>
      <c r="O4250">
        <v>1</v>
      </c>
      <c r="P4250">
        <v>3</v>
      </c>
      <c r="Q4250">
        <v>4</v>
      </c>
      <c r="R4250">
        <v>1</v>
      </c>
      <c r="S4250">
        <v>3</v>
      </c>
      <c r="T4250">
        <v>0</v>
      </c>
      <c r="U4250" t="s">
        <v>24341</v>
      </c>
      <c r="V4250">
        <f>Tabla1[[#This Row],[Aboard]]-Tabla1[[#This Row],[Fatalities]]</f>
        <v>0</v>
      </c>
      <c r="W4250" s="50">
        <f>IFERROR(Tabla1[[#This Row],[Fatalities]]/Tabla1[[#This Row],[Aboard]],0)</f>
        <v>1</v>
      </c>
      <c r="X4250" s="51" t="str" cm="1">
        <f t="array" ref="X4250">_xlfn.IFS(Tabla1[[#This Row],[Porcentaje de muertes]]&lt;0.35,"LEVE",AND(Tabla1[[#This Row],[Porcentaje de muertes]]&gt;0.35,Tabla1[[#This Row],[Porcentaje de muertes]]&lt;0.65),"MEDIO",Tabla1[[#This Row],[Porcentaje de muertes]]&gt;0.65,"GRAVE")</f>
        <v>GRAVE</v>
      </c>
    </row>
    <row r="4251" spans="2:24" x14ac:dyDescent="0.3">
      <c r="B4251" s="9">
        <v>4251</v>
      </c>
      <c r="C4251" s="49">
        <v>36561</v>
      </c>
      <c r="D4251" s="9">
        <f>YEAR(Tabla1[[#This Row],[Date]])</f>
        <v>2000</v>
      </c>
      <c r="E4251" s="9" t="str" cm="1">
        <f t="array" ref="E4251">IFERROR(_xlfn.IFS(AND(D4251&lt;1980,D4251&gt;=1970),"70",AND(D4251&lt;1990,D4251&gt;=1980),"80",AND(D4251&lt;2000,D4251&gt;=1990),"90",AND(D4251&lt;2010,D4251&gt;=2000),"00",AND(D4251&lt;=2019,D4251&gt;=2010),"10"),"1908-1970")</f>
        <v>00</v>
      </c>
      <c r="F4251" s="3">
        <v>0.61041666666666672</v>
      </c>
      <c r="G4251" t="s">
        <v>24342</v>
      </c>
      <c r="H4251" t="s">
        <v>24343</v>
      </c>
      <c r="I4251" t="s">
        <v>24344</v>
      </c>
      <c r="J4251" t="s">
        <v>28931</v>
      </c>
      <c r="K4251" t="s">
        <v>23386</v>
      </c>
      <c r="L4251" s="7" t="s">
        <v>24345</v>
      </c>
      <c r="M4251" t="s">
        <v>24346</v>
      </c>
      <c r="N4251">
        <v>5</v>
      </c>
      <c r="O4251">
        <v>3</v>
      </c>
      <c r="P4251">
        <v>2</v>
      </c>
      <c r="Q4251">
        <v>2</v>
      </c>
      <c r="R4251">
        <v>0</v>
      </c>
      <c r="S4251">
        <v>2</v>
      </c>
      <c r="T4251">
        <v>0</v>
      </c>
      <c r="U4251" t="s">
        <v>24347</v>
      </c>
      <c r="V4251">
        <f>Tabla1[[#This Row],[Aboard]]-Tabla1[[#This Row],[Fatalities]]</f>
        <v>3</v>
      </c>
      <c r="W4251" s="50">
        <f>IFERROR(Tabla1[[#This Row],[Fatalities]]/Tabla1[[#This Row],[Aboard]],0)</f>
        <v>0.4</v>
      </c>
      <c r="X4251" s="51" t="str" cm="1">
        <f t="array" ref="X4251">_xlfn.IFS(Tabla1[[#This Row],[Porcentaje de muertes]]&lt;0.35,"LEVE",AND(Tabla1[[#This Row],[Porcentaje de muertes]]&gt;0.35,Tabla1[[#This Row],[Porcentaje de muertes]]&lt;0.65),"MEDIO",Tabla1[[#This Row],[Porcentaje de muertes]]&gt;0.65,"GRAVE")</f>
        <v>MEDIO</v>
      </c>
    </row>
    <row r="4252" spans="2:24" x14ac:dyDescent="0.3">
      <c r="B4252" s="9">
        <v>4252</v>
      </c>
      <c r="C4252" s="49">
        <v>36590</v>
      </c>
      <c r="D4252" s="9">
        <f>YEAR(Tabla1[[#This Row],[Date]])</f>
        <v>2000</v>
      </c>
      <c r="E4252" s="9" t="str" cm="1">
        <f t="array" ref="E4252">IFERROR(_xlfn.IFS(AND(D4252&lt;1980,D4252&gt;=1970),"70",AND(D4252&lt;1990,D4252&gt;=1980),"80",AND(D4252&lt;2000,D4252&gt;=1990),"90",AND(D4252&lt;2010,D4252&gt;=2000),"00",AND(D4252&lt;=2019,D4252&gt;=2010),"10"),"1908-1970")</f>
        <v>00</v>
      </c>
      <c r="F4252" s="3" t="s">
        <v>28931</v>
      </c>
      <c r="G4252" t="s">
        <v>24348</v>
      </c>
      <c r="H4252" t="s">
        <v>24349</v>
      </c>
      <c r="I4252" t="s">
        <v>28931</v>
      </c>
      <c r="J4252" t="s">
        <v>28931</v>
      </c>
      <c r="K4252" t="s">
        <v>24350</v>
      </c>
      <c r="L4252" s="7" t="s">
        <v>24351</v>
      </c>
      <c r="M4252">
        <v>694</v>
      </c>
      <c r="N4252">
        <v>1</v>
      </c>
      <c r="O4252">
        <v>0</v>
      </c>
      <c r="P4252">
        <v>1</v>
      </c>
      <c r="Q4252">
        <v>1</v>
      </c>
      <c r="R4252">
        <v>0</v>
      </c>
      <c r="S4252">
        <v>1</v>
      </c>
      <c r="T4252">
        <v>0</v>
      </c>
      <c r="U4252" t="s">
        <v>24352</v>
      </c>
      <c r="V4252">
        <f>Tabla1[[#This Row],[Aboard]]-Tabla1[[#This Row],[Fatalities]]</f>
        <v>0</v>
      </c>
      <c r="W4252" s="50">
        <f>IFERROR(Tabla1[[#This Row],[Fatalities]]/Tabla1[[#This Row],[Aboard]],0)</f>
        <v>1</v>
      </c>
      <c r="X4252" s="51" t="str" cm="1">
        <f t="array" ref="X4252">_xlfn.IFS(Tabla1[[#This Row],[Porcentaje de muertes]]&lt;0.35,"LEVE",AND(Tabla1[[#This Row],[Porcentaje de muertes]]&gt;0.35,Tabla1[[#This Row],[Porcentaje de muertes]]&lt;0.65),"MEDIO",Tabla1[[#This Row],[Porcentaje de muertes]]&gt;0.65,"GRAVE")</f>
        <v>GRAVE</v>
      </c>
    </row>
    <row r="4253" spans="2:24" x14ac:dyDescent="0.3">
      <c r="B4253" s="9">
        <v>4253</v>
      </c>
      <c r="C4253" s="49">
        <v>36804</v>
      </c>
      <c r="D4253" s="9">
        <f>YEAR(Tabla1[[#This Row],[Date]])</f>
        <v>2000</v>
      </c>
      <c r="E4253" s="9" t="str" cm="1">
        <f t="array" ref="E4253">IFERROR(_xlfn.IFS(AND(D4253&lt;1980,D4253&gt;=1970),"70",AND(D4253&lt;1990,D4253&gt;=1980),"80",AND(D4253&lt;2000,D4253&gt;=1990),"90",AND(D4253&lt;2010,D4253&gt;=2000),"00",AND(D4253&lt;=2019,D4253&gt;=2010),"10"),"1908-1970")</f>
        <v>00</v>
      </c>
      <c r="F4253" s="3">
        <v>0.85416666666666663</v>
      </c>
      <c r="G4253" t="s">
        <v>24353</v>
      </c>
      <c r="H4253" t="s">
        <v>24354</v>
      </c>
      <c r="I4253" t="s">
        <v>28931</v>
      </c>
      <c r="J4253" t="s">
        <v>24355</v>
      </c>
      <c r="K4253" t="s">
        <v>24356</v>
      </c>
      <c r="L4253" s="7" t="s">
        <v>24357</v>
      </c>
      <c r="M4253" t="s">
        <v>24358</v>
      </c>
      <c r="N4253">
        <v>6</v>
      </c>
      <c r="O4253">
        <v>4</v>
      </c>
      <c r="P4253">
        <v>2</v>
      </c>
      <c r="Q4253">
        <v>6</v>
      </c>
      <c r="R4253">
        <v>4</v>
      </c>
      <c r="S4253">
        <v>2</v>
      </c>
      <c r="T4253">
        <v>0</v>
      </c>
      <c r="U4253" t="s">
        <v>24359</v>
      </c>
      <c r="V4253">
        <f>Tabla1[[#This Row],[Aboard]]-Tabla1[[#This Row],[Fatalities]]</f>
        <v>0</v>
      </c>
      <c r="W4253" s="50">
        <f>IFERROR(Tabla1[[#This Row],[Fatalities]]/Tabla1[[#This Row],[Aboard]],0)</f>
        <v>1</v>
      </c>
      <c r="X4253" s="51" t="str" cm="1">
        <f t="array" ref="X4253">_xlfn.IFS(Tabla1[[#This Row],[Porcentaje de muertes]]&lt;0.35,"LEVE",AND(Tabla1[[#This Row],[Porcentaje de muertes]]&gt;0.35,Tabla1[[#This Row],[Porcentaje de muertes]]&lt;0.65),"MEDIO",Tabla1[[#This Row],[Porcentaje de muertes]]&gt;0.65,"GRAVE")</f>
        <v>GRAVE</v>
      </c>
    </row>
    <row r="4254" spans="2:24" x14ac:dyDescent="0.3">
      <c r="B4254" s="9">
        <v>4254</v>
      </c>
      <c r="C4254" s="49">
        <v>36663</v>
      </c>
      <c r="D4254" s="9">
        <f>YEAR(Tabla1[[#This Row],[Date]])</f>
        <v>2000</v>
      </c>
      <c r="E4254" s="9" t="str" cm="1">
        <f t="array" ref="E4254">IFERROR(_xlfn.IFS(AND(D4254&lt;1980,D4254&gt;=1970),"70",AND(D4254&lt;1990,D4254&gt;=1980),"80",AND(D4254&lt;2000,D4254&gt;=1990),"90",AND(D4254&lt;2010,D4254&gt;=2000),"00",AND(D4254&lt;=2019,D4254&gt;=2010),"10"),"1908-1970")</f>
        <v>00</v>
      </c>
      <c r="F4254" s="3">
        <v>0.40763888888888888</v>
      </c>
      <c r="G4254" t="s">
        <v>24360</v>
      </c>
      <c r="H4254" t="s">
        <v>24361</v>
      </c>
      <c r="I4254" t="s">
        <v>28931</v>
      </c>
      <c r="J4254" t="s">
        <v>24362</v>
      </c>
      <c r="K4254" t="s">
        <v>21341</v>
      </c>
      <c r="L4254" s="7" t="s">
        <v>24363</v>
      </c>
      <c r="M4254" t="s">
        <v>24364</v>
      </c>
      <c r="N4254">
        <v>10</v>
      </c>
      <c r="O4254">
        <v>8</v>
      </c>
      <c r="P4254">
        <v>2</v>
      </c>
      <c r="Q4254">
        <v>3</v>
      </c>
      <c r="R4254">
        <v>2</v>
      </c>
      <c r="S4254">
        <v>1</v>
      </c>
      <c r="T4254">
        <v>0</v>
      </c>
      <c r="U4254" t="s">
        <v>24365</v>
      </c>
      <c r="V4254">
        <f>Tabla1[[#This Row],[Aboard]]-Tabla1[[#This Row],[Fatalities]]</f>
        <v>7</v>
      </c>
      <c r="W4254" s="50">
        <f>IFERROR(Tabla1[[#This Row],[Fatalities]]/Tabla1[[#This Row],[Aboard]],0)</f>
        <v>0.3</v>
      </c>
      <c r="X4254" s="51" t="str" cm="1">
        <f t="array" ref="X4254">_xlfn.IFS(Tabla1[[#This Row],[Porcentaje de muertes]]&lt;0.35,"LEVE",AND(Tabla1[[#This Row],[Porcentaje de muertes]]&gt;0.35,Tabla1[[#This Row],[Porcentaje de muertes]]&lt;0.65),"MEDIO",Tabla1[[#This Row],[Porcentaje de muertes]]&gt;0.65,"GRAVE")</f>
        <v>LEVE</v>
      </c>
    </row>
    <row r="4255" spans="2:24" x14ac:dyDescent="0.3">
      <c r="B4255" s="9">
        <v>4255</v>
      </c>
      <c r="C4255" s="49">
        <v>36667</v>
      </c>
      <c r="D4255" s="9">
        <f>YEAR(Tabla1[[#This Row],[Date]])</f>
        <v>2000</v>
      </c>
      <c r="E4255" s="9" t="str" cm="1">
        <f t="array" ref="E4255">IFERROR(_xlfn.IFS(AND(D4255&lt;1980,D4255&gt;=1970),"70",AND(D4255&lt;1990,D4255&gt;=1980),"80",AND(D4255&lt;2000,D4255&gt;=1990),"90",AND(D4255&lt;2010,D4255&gt;=2000),"00",AND(D4255&lt;=2019,D4255&gt;=2010),"10"),"1908-1970")</f>
        <v>00</v>
      </c>
      <c r="F4255" s="3">
        <v>0.4777777777777778</v>
      </c>
      <c r="G4255" t="s">
        <v>24366</v>
      </c>
      <c r="H4255" t="s">
        <v>24367</v>
      </c>
      <c r="I4255" t="s">
        <v>16529</v>
      </c>
      <c r="J4255" t="s">
        <v>24368</v>
      </c>
      <c r="K4255" t="s">
        <v>24369</v>
      </c>
      <c r="L4255" s="7" t="s">
        <v>24370</v>
      </c>
      <c r="M4255">
        <v>834</v>
      </c>
      <c r="N4255">
        <v>19</v>
      </c>
      <c r="O4255">
        <v>17</v>
      </c>
      <c r="P4255">
        <v>2</v>
      </c>
      <c r="Q4255">
        <v>19</v>
      </c>
      <c r="R4255">
        <v>17</v>
      </c>
      <c r="S4255">
        <v>2</v>
      </c>
      <c r="T4255">
        <v>0</v>
      </c>
      <c r="U4255" t="s">
        <v>24371</v>
      </c>
      <c r="V4255">
        <f>Tabla1[[#This Row],[Aboard]]-Tabla1[[#This Row],[Fatalities]]</f>
        <v>0</v>
      </c>
      <c r="W4255" s="50">
        <f>IFERROR(Tabla1[[#This Row],[Fatalities]]/Tabla1[[#This Row],[Aboard]],0)</f>
        <v>1</v>
      </c>
      <c r="X4255" s="51" t="str" cm="1">
        <f t="array" ref="X4255">_xlfn.IFS(Tabla1[[#This Row],[Porcentaje de muertes]]&lt;0.35,"LEVE",AND(Tabla1[[#This Row],[Porcentaje de muertes]]&gt;0.35,Tabla1[[#This Row],[Porcentaje de muertes]]&lt;0.65),"MEDIO",Tabla1[[#This Row],[Porcentaje de muertes]]&gt;0.65,"GRAVE")</f>
        <v>GRAVE</v>
      </c>
    </row>
    <row r="4256" spans="2:24" x14ac:dyDescent="0.3">
      <c r="B4256" s="9">
        <v>4256</v>
      </c>
      <c r="C4256" s="49">
        <v>36671</v>
      </c>
      <c r="D4256" s="9">
        <f>YEAR(Tabla1[[#This Row],[Date]])</f>
        <v>2000</v>
      </c>
      <c r="E4256" s="9" t="str" cm="1">
        <f t="array" ref="E4256">IFERROR(_xlfn.IFS(AND(D4256&lt;1980,D4256&gt;=1970),"70",AND(D4256&lt;1990,D4256&gt;=1980),"80",AND(D4256&lt;2000,D4256&gt;=1990),"90",AND(D4256&lt;2010,D4256&gt;=2000),"00",AND(D4256&lt;=2019,D4256&gt;=2010),"10"),"1908-1970")</f>
        <v>00</v>
      </c>
      <c r="F4256" s="3" t="s">
        <v>28931</v>
      </c>
      <c r="G4256" t="s">
        <v>14493</v>
      </c>
      <c r="H4256" t="s">
        <v>8992</v>
      </c>
      <c r="I4256">
        <v>812</v>
      </c>
      <c r="J4256" t="s">
        <v>19716</v>
      </c>
      <c r="K4256" t="s">
        <v>24372</v>
      </c>
      <c r="L4256" s="7" t="s">
        <v>24373</v>
      </c>
      <c r="M4256" t="s">
        <v>28931</v>
      </c>
      <c r="N4256">
        <v>298</v>
      </c>
      <c r="O4256">
        <v>284</v>
      </c>
      <c r="P4256">
        <v>14</v>
      </c>
      <c r="Q4256">
        <v>1</v>
      </c>
      <c r="R4256">
        <v>1</v>
      </c>
      <c r="S4256">
        <v>0</v>
      </c>
      <c r="T4256">
        <v>0</v>
      </c>
      <c r="U4256" t="s">
        <v>24374</v>
      </c>
      <c r="V4256">
        <f>Tabla1[[#This Row],[Aboard]]-Tabla1[[#This Row],[Fatalities]]</f>
        <v>297</v>
      </c>
      <c r="W4256" s="50">
        <f>IFERROR(Tabla1[[#This Row],[Fatalities]]/Tabla1[[#This Row],[Aboard]],0)</f>
        <v>3.3557046979865771E-3</v>
      </c>
      <c r="X4256" s="51" t="str" cm="1">
        <f t="array" ref="X4256">_xlfn.IFS(Tabla1[[#This Row],[Porcentaje de muertes]]&lt;0.35,"LEVE",AND(Tabla1[[#This Row],[Porcentaje de muertes]]&gt;0.35,Tabla1[[#This Row],[Porcentaje de muertes]]&lt;0.65),"MEDIO",Tabla1[[#This Row],[Porcentaje de muertes]]&gt;0.65,"GRAVE")</f>
        <v>LEVE</v>
      </c>
    </row>
    <row r="4257" spans="2:24" x14ac:dyDescent="0.3">
      <c r="B4257" s="9">
        <v>4257</v>
      </c>
      <c r="C4257" s="49">
        <v>36677</v>
      </c>
      <c r="D4257" s="9">
        <f>YEAR(Tabla1[[#This Row],[Date]])</f>
        <v>2000</v>
      </c>
      <c r="E4257" s="9" t="str" cm="1">
        <f t="array" ref="E4257">IFERROR(_xlfn.IFS(AND(D4257&lt;1980,D4257&gt;=1970),"70",AND(D4257&lt;1990,D4257&gt;=1980),"80",AND(D4257&lt;2000,D4257&gt;=1990),"90",AND(D4257&lt;2010,D4257&gt;=2000),"00",AND(D4257&lt;=2019,D4257&gt;=2010),"10"),"1908-1970")</f>
        <v>00</v>
      </c>
      <c r="F4257" s="3">
        <v>0.79513888888888884</v>
      </c>
      <c r="G4257" t="s">
        <v>24375</v>
      </c>
      <c r="H4257" t="s">
        <v>24376</v>
      </c>
      <c r="I4257">
        <v>904</v>
      </c>
      <c r="J4257" t="s">
        <v>24377</v>
      </c>
      <c r="K4257" t="s">
        <v>18062</v>
      </c>
      <c r="L4257" s="7" t="s">
        <v>24378</v>
      </c>
      <c r="M4257" t="s">
        <v>24379</v>
      </c>
      <c r="N4257">
        <v>8</v>
      </c>
      <c r="O4257">
        <v>1</v>
      </c>
      <c r="P4257">
        <v>7</v>
      </c>
      <c r="Q4257">
        <v>8</v>
      </c>
      <c r="R4257">
        <v>1</v>
      </c>
      <c r="S4257">
        <v>7</v>
      </c>
      <c r="T4257">
        <v>0</v>
      </c>
      <c r="U4257" t="s">
        <v>24380</v>
      </c>
      <c r="V4257">
        <f>Tabla1[[#This Row],[Aboard]]-Tabla1[[#This Row],[Fatalities]]</f>
        <v>0</v>
      </c>
      <c r="W4257" s="50">
        <f>IFERROR(Tabla1[[#This Row],[Fatalities]]/Tabla1[[#This Row],[Aboard]],0)</f>
        <v>1</v>
      </c>
      <c r="X4257" s="51" t="str" cm="1">
        <f t="array" ref="X4257">_xlfn.IFS(Tabla1[[#This Row],[Porcentaje de muertes]]&lt;0.35,"LEVE",AND(Tabla1[[#This Row],[Porcentaje de muertes]]&gt;0.35,Tabla1[[#This Row],[Porcentaje de muertes]]&lt;0.65),"MEDIO",Tabla1[[#This Row],[Porcentaje de muertes]]&gt;0.65,"GRAVE")</f>
        <v>GRAVE</v>
      </c>
    </row>
    <row r="4258" spans="2:24" x14ac:dyDescent="0.3">
      <c r="B4258" s="9">
        <v>4258</v>
      </c>
      <c r="C4258" s="49">
        <v>36652</v>
      </c>
      <c r="D4258" s="9">
        <f>YEAR(Tabla1[[#This Row],[Date]])</f>
        <v>2000</v>
      </c>
      <c r="E4258" s="9" t="str" cm="1">
        <f t="array" ref="E4258">IFERROR(_xlfn.IFS(AND(D4258&lt;1980,D4258&gt;=1970),"70",AND(D4258&lt;1990,D4258&gt;=1980),"80",AND(D4258&lt;2000,D4258&gt;=1990),"90",AND(D4258&lt;2010,D4258&gt;=2000),"00",AND(D4258&lt;=2019,D4258&gt;=2010),"10"),"1908-1970")</f>
        <v>00</v>
      </c>
      <c r="F4258" s="3">
        <v>0.4826388888888889</v>
      </c>
      <c r="G4258" t="s">
        <v>24381</v>
      </c>
      <c r="H4258" t="s">
        <v>24382</v>
      </c>
      <c r="I4258">
        <v>200</v>
      </c>
      <c r="J4258" t="s">
        <v>24383</v>
      </c>
      <c r="K4258" t="s">
        <v>15526</v>
      </c>
      <c r="L4258" s="7" t="s">
        <v>24384</v>
      </c>
      <c r="M4258">
        <v>10535</v>
      </c>
      <c r="N4258">
        <v>52</v>
      </c>
      <c r="O4258">
        <v>48</v>
      </c>
      <c r="P4258">
        <v>4</v>
      </c>
      <c r="Q4258">
        <v>7</v>
      </c>
      <c r="R4258">
        <v>7</v>
      </c>
      <c r="S4258">
        <v>0</v>
      </c>
      <c r="T4258">
        <v>0</v>
      </c>
      <c r="U4258" t="s">
        <v>24385</v>
      </c>
      <c r="V4258">
        <f>Tabla1[[#This Row],[Aboard]]-Tabla1[[#This Row],[Fatalities]]</f>
        <v>45</v>
      </c>
      <c r="W4258" s="50">
        <f>IFERROR(Tabla1[[#This Row],[Fatalities]]/Tabla1[[#This Row],[Aboard]],0)</f>
        <v>0.13461538461538461</v>
      </c>
      <c r="X4258" s="51" t="str" cm="1">
        <f t="array" ref="X4258">_xlfn.IFS(Tabla1[[#This Row],[Porcentaje de muertes]]&lt;0.35,"LEVE",AND(Tabla1[[#This Row],[Porcentaje de muertes]]&gt;0.35,Tabla1[[#This Row],[Porcentaje de muertes]]&lt;0.65),"MEDIO",Tabla1[[#This Row],[Porcentaje de muertes]]&gt;0.65,"GRAVE")</f>
        <v>LEVE</v>
      </c>
    </row>
    <row r="4259" spans="2:24" x14ac:dyDescent="0.3">
      <c r="B4259" s="9">
        <v>4259</v>
      </c>
      <c r="C4259" s="49">
        <v>36699</v>
      </c>
      <c r="D4259" s="9">
        <f>YEAR(Tabla1[[#This Row],[Date]])</f>
        <v>2000</v>
      </c>
      <c r="E4259" s="9" t="str" cm="1">
        <f t="array" ref="E4259">IFERROR(_xlfn.IFS(AND(D4259&lt;1980,D4259&gt;=1970),"70",AND(D4259&lt;1990,D4259&gt;=1980),"80",AND(D4259&lt;2000,D4259&gt;=1990),"90",AND(D4259&lt;2010,D4259&gt;=2000),"00",AND(D4259&lt;=2019,D4259&gt;=2010),"10"),"1908-1970")</f>
        <v>00</v>
      </c>
      <c r="F4259" s="3">
        <v>5.2777777777777778E-2</v>
      </c>
      <c r="G4259" t="s">
        <v>24386</v>
      </c>
      <c r="H4259" t="s">
        <v>22052</v>
      </c>
      <c r="I4259">
        <v>343</v>
      </c>
      <c r="J4259" t="s">
        <v>24387</v>
      </c>
      <c r="K4259" t="s">
        <v>23738</v>
      </c>
      <c r="L4259" s="7" t="s">
        <v>24388</v>
      </c>
      <c r="M4259">
        <v>6708</v>
      </c>
      <c r="N4259">
        <v>44</v>
      </c>
      <c r="O4259">
        <v>40</v>
      </c>
      <c r="P4259">
        <v>4</v>
      </c>
      <c r="Q4259">
        <v>44</v>
      </c>
      <c r="R4259">
        <v>40</v>
      </c>
      <c r="S4259">
        <v>4</v>
      </c>
      <c r="T4259">
        <v>7</v>
      </c>
      <c r="U4259" t="s">
        <v>24389</v>
      </c>
      <c r="V4259">
        <f>Tabla1[[#This Row],[Aboard]]-Tabla1[[#This Row],[Fatalities]]</f>
        <v>0</v>
      </c>
      <c r="W4259" s="50">
        <f>IFERROR(Tabla1[[#This Row],[Fatalities]]/Tabla1[[#This Row],[Aboard]],0)</f>
        <v>1</v>
      </c>
      <c r="X4259" s="51" t="str" cm="1">
        <f t="array" ref="X4259">_xlfn.IFS(Tabla1[[#This Row],[Porcentaje de muertes]]&lt;0.35,"LEVE",AND(Tabla1[[#This Row],[Porcentaje de muertes]]&gt;0.35,Tabla1[[#This Row],[Porcentaje de muertes]]&lt;0.65),"MEDIO",Tabla1[[#This Row],[Porcentaje de muertes]]&gt;0.65,"GRAVE")</f>
        <v>GRAVE</v>
      </c>
    </row>
    <row r="4260" spans="2:24" x14ac:dyDescent="0.3">
      <c r="B4260" s="9">
        <v>4260</v>
      </c>
      <c r="C4260" s="49">
        <v>36700</v>
      </c>
      <c r="D4260" s="9">
        <f>YEAR(Tabla1[[#This Row],[Date]])</f>
        <v>2000</v>
      </c>
      <c r="E4260" s="9" t="str" cm="1">
        <f t="array" ref="E4260">IFERROR(_xlfn.IFS(AND(D4260&lt;1980,D4260&gt;=1970),"70",AND(D4260&lt;1990,D4260&gt;=1980),"80",AND(D4260&lt;2000,D4260&gt;=1990),"90",AND(D4260&lt;2010,D4260&gt;=2000),"00",AND(D4260&lt;=2019,D4260&gt;=2010),"10"),"1908-1970")</f>
        <v>00</v>
      </c>
      <c r="F4260" s="3">
        <v>0.48680555555555555</v>
      </c>
      <c r="G4260" t="s">
        <v>24390</v>
      </c>
      <c r="H4260" t="s">
        <v>24391</v>
      </c>
      <c r="I4260" t="s">
        <v>28931</v>
      </c>
      <c r="J4260" t="s">
        <v>24392</v>
      </c>
      <c r="K4260" t="s">
        <v>24393</v>
      </c>
      <c r="L4260" s="7" t="s">
        <v>24394</v>
      </c>
      <c r="M4260" t="s">
        <v>24395</v>
      </c>
      <c r="N4260">
        <v>3</v>
      </c>
      <c r="O4260">
        <v>1</v>
      </c>
      <c r="P4260">
        <v>2</v>
      </c>
      <c r="Q4260">
        <v>3</v>
      </c>
      <c r="R4260">
        <v>1</v>
      </c>
      <c r="S4260">
        <v>2</v>
      </c>
      <c r="T4260">
        <v>0</v>
      </c>
      <c r="U4260" t="s">
        <v>24396</v>
      </c>
      <c r="V4260">
        <f>Tabla1[[#This Row],[Aboard]]-Tabla1[[#This Row],[Fatalities]]</f>
        <v>0</v>
      </c>
      <c r="W4260" s="50">
        <f>IFERROR(Tabla1[[#This Row],[Fatalities]]/Tabla1[[#This Row],[Aboard]],0)</f>
        <v>1</v>
      </c>
      <c r="X4260" s="51" t="str" cm="1">
        <f t="array" ref="X4260">_xlfn.IFS(Tabla1[[#This Row],[Porcentaje de muertes]]&lt;0.35,"LEVE",AND(Tabla1[[#This Row],[Porcentaje de muertes]]&gt;0.35,Tabla1[[#This Row],[Porcentaje de muertes]]&lt;0.65),"MEDIO",Tabla1[[#This Row],[Porcentaje de muertes]]&gt;0.65,"GRAVE")</f>
        <v>GRAVE</v>
      </c>
    </row>
    <row r="4261" spans="2:24" x14ac:dyDescent="0.3">
      <c r="B4261" s="9">
        <v>4261</v>
      </c>
      <c r="C4261" s="49">
        <v>36704</v>
      </c>
      <c r="D4261" s="9">
        <f>YEAR(Tabla1[[#This Row],[Date]])</f>
        <v>2000</v>
      </c>
      <c r="E4261" s="9" t="str" cm="1">
        <f t="array" ref="E4261">IFERROR(_xlfn.IFS(AND(D4261&lt;1980,D4261&gt;=1970),"70",AND(D4261&lt;1990,D4261&gt;=1980),"80",AND(D4261&lt;2000,D4261&gt;=1990),"90",AND(D4261&lt;2010,D4261&gt;=2000),"00",AND(D4261&lt;=2019,D4261&gt;=2010),"10"),"1908-1970")</f>
        <v>00</v>
      </c>
      <c r="F4261" s="3" t="s">
        <v>28931</v>
      </c>
      <c r="G4261" t="s">
        <v>24397</v>
      </c>
      <c r="H4261" t="s">
        <v>24398</v>
      </c>
      <c r="I4261" t="s">
        <v>28931</v>
      </c>
      <c r="J4261" t="s">
        <v>6190</v>
      </c>
      <c r="K4261" t="s">
        <v>24399</v>
      </c>
      <c r="L4261" s="7" t="s">
        <v>24400</v>
      </c>
      <c r="M4261">
        <v>8027</v>
      </c>
      <c r="N4261">
        <v>5</v>
      </c>
      <c r="O4261">
        <v>0</v>
      </c>
      <c r="P4261">
        <v>5</v>
      </c>
      <c r="Q4261">
        <v>5</v>
      </c>
      <c r="R4261">
        <v>0</v>
      </c>
      <c r="S4261">
        <v>5</v>
      </c>
      <c r="T4261">
        <v>0</v>
      </c>
      <c r="U4261" t="s">
        <v>24401</v>
      </c>
      <c r="V4261">
        <f>Tabla1[[#This Row],[Aboard]]-Tabla1[[#This Row],[Fatalities]]</f>
        <v>0</v>
      </c>
      <c r="W4261" s="50">
        <f>IFERROR(Tabla1[[#This Row],[Fatalities]]/Tabla1[[#This Row],[Aboard]],0)</f>
        <v>1</v>
      </c>
      <c r="X4261" s="51" t="str" cm="1">
        <f t="array" ref="X4261">_xlfn.IFS(Tabla1[[#This Row],[Porcentaje de muertes]]&lt;0.35,"LEVE",AND(Tabla1[[#This Row],[Porcentaje de muertes]]&gt;0.35,Tabla1[[#This Row],[Porcentaje de muertes]]&lt;0.65),"MEDIO",Tabla1[[#This Row],[Porcentaje de muertes]]&gt;0.65,"GRAVE")</f>
        <v>GRAVE</v>
      </c>
    </row>
    <row r="4262" spans="2:24" x14ac:dyDescent="0.3">
      <c r="B4262" s="9">
        <v>4262</v>
      </c>
      <c r="C4262" s="49">
        <v>36563</v>
      </c>
      <c r="D4262" s="9">
        <f>YEAR(Tabla1[[#This Row],[Date]])</f>
        <v>2000</v>
      </c>
      <c r="E4262" s="9" t="str" cm="1">
        <f t="array" ref="E4262">IFERROR(_xlfn.IFS(AND(D4262&lt;1980,D4262&gt;=1970),"70",AND(D4262&lt;1990,D4262&gt;=1980),"80",AND(D4262&lt;2000,D4262&gt;=1990),"90",AND(D4262&lt;2010,D4262&gt;=2000),"00",AND(D4262&lt;=2019,D4262&gt;=2010),"10"),"1908-1970")</f>
        <v>00</v>
      </c>
      <c r="F4262" s="3">
        <v>0.4513888888888889</v>
      </c>
      <c r="G4262" t="s">
        <v>24402</v>
      </c>
      <c r="H4262" t="s">
        <v>11996</v>
      </c>
      <c r="I4262" t="s">
        <v>28931</v>
      </c>
      <c r="J4262" t="s">
        <v>24403</v>
      </c>
      <c r="K4262" t="s">
        <v>24404</v>
      </c>
      <c r="L4262" s="7" t="s">
        <v>24405</v>
      </c>
      <c r="M4262">
        <v>86</v>
      </c>
      <c r="N4262">
        <v>15</v>
      </c>
      <c r="O4262">
        <v>11</v>
      </c>
      <c r="P4262">
        <v>4</v>
      </c>
      <c r="Q4262">
        <v>14</v>
      </c>
      <c r="R4262">
        <v>10</v>
      </c>
      <c r="S4262">
        <v>4</v>
      </c>
      <c r="T4262">
        <v>0</v>
      </c>
      <c r="U4262" t="s">
        <v>24406</v>
      </c>
      <c r="V4262">
        <f>Tabla1[[#This Row],[Aboard]]-Tabla1[[#This Row],[Fatalities]]</f>
        <v>1</v>
      </c>
      <c r="W4262" s="50">
        <f>IFERROR(Tabla1[[#This Row],[Fatalities]]/Tabla1[[#This Row],[Aboard]],0)</f>
        <v>0.93333333333333335</v>
      </c>
      <c r="X4262" s="51" t="str" cm="1">
        <f t="array" ref="X4262">_xlfn.IFS(Tabla1[[#This Row],[Porcentaje de muertes]]&lt;0.35,"LEVE",AND(Tabla1[[#This Row],[Porcentaje de muertes]]&gt;0.35,Tabla1[[#This Row],[Porcentaje de muertes]]&lt;0.65),"MEDIO",Tabla1[[#This Row],[Porcentaje de muertes]]&gt;0.65,"GRAVE")</f>
        <v>GRAVE</v>
      </c>
    </row>
    <row r="4263" spans="2:24" x14ac:dyDescent="0.3">
      <c r="B4263" s="9">
        <v>4263</v>
      </c>
      <c r="C4263" s="49">
        <v>36745</v>
      </c>
      <c r="D4263" s="9">
        <f>YEAR(Tabla1[[#This Row],[Date]])</f>
        <v>2000</v>
      </c>
      <c r="E4263" s="9" t="str" cm="1">
        <f t="array" ref="E4263">IFERROR(_xlfn.IFS(AND(D4263&lt;1980,D4263&gt;=1970),"70",AND(D4263&lt;1990,D4263&gt;=1980),"80",AND(D4263&lt;2000,D4263&gt;=1990),"90",AND(D4263&lt;2010,D4263&gt;=2000),"00",AND(D4263&lt;=2019,D4263&gt;=2010),"10"),"1908-1970")</f>
        <v>00</v>
      </c>
      <c r="F4263" s="3">
        <v>0.82638888888888884</v>
      </c>
      <c r="G4263" t="s">
        <v>24407</v>
      </c>
      <c r="H4263" t="s">
        <v>20666</v>
      </c>
      <c r="I4263">
        <v>7831</v>
      </c>
      <c r="J4263" t="s">
        <v>24408</v>
      </c>
      <c r="K4263" t="s">
        <v>28947</v>
      </c>
      <c r="L4263" s="7" t="s">
        <v>24409</v>
      </c>
      <c r="M4263">
        <v>912</v>
      </c>
      <c r="N4263">
        <v>19</v>
      </c>
      <c r="O4263">
        <v>17</v>
      </c>
      <c r="P4263">
        <v>2</v>
      </c>
      <c r="Q4263">
        <v>19</v>
      </c>
      <c r="R4263">
        <v>17</v>
      </c>
      <c r="S4263">
        <v>2</v>
      </c>
      <c r="T4263">
        <v>0</v>
      </c>
      <c r="U4263" t="s">
        <v>24410</v>
      </c>
      <c r="V4263">
        <f>Tabla1[[#This Row],[Aboard]]-Tabla1[[#This Row],[Fatalities]]</f>
        <v>0</v>
      </c>
      <c r="W4263" s="50">
        <f>IFERROR(Tabla1[[#This Row],[Fatalities]]/Tabla1[[#This Row],[Aboard]],0)</f>
        <v>1</v>
      </c>
      <c r="X4263" s="51" t="str" cm="1">
        <f t="array" ref="X4263">_xlfn.IFS(Tabla1[[#This Row],[Porcentaje de muertes]]&lt;0.35,"LEVE",AND(Tabla1[[#This Row],[Porcentaje de muertes]]&gt;0.35,Tabla1[[#This Row],[Porcentaje de muertes]]&lt;0.65),"MEDIO",Tabla1[[#This Row],[Porcentaje de muertes]]&gt;0.65,"GRAVE")</f>
        <v>GRAVE</v>
      </c>
    </row>
    <row r="4264" spans="2:24" x14ac:dyDescent="0.3">
      <c r="B4264" s="9">
        <v>4264</v>
      </c>
      <c r="C4264" s="49">
        <v>36776</v>
      </c>
      <c r="D4264" s="9">
        <f>YEAR(Tabla1[[#This Row],[Date]])</f>
        <v>2000</v>
      </c>
      <c r="E4264" s="9" t="str" cm="1">
        <f t="array" ref="E4264">IFERROR(_xlfn.IFS(AND(D4264&lt;1980,D4264&gt;=1970),"70",AND(D4264&lt;1990,D4264&gt;=1980),"80",AND(D4264&lt;2000,D4264&gt;=1990),"90",AND(D4264&lt;2010,D4264&gt;=2000),"00",AND(D4264&lt;=2019,D4264&gt;=2010),"10"),"1908-1970")</f>
        <v>00</v>
      </c>
      <c r="F4264" s="3">
        <v>0.35902777777777778</v>
      </c>
      <c r="G4264" t="s">
        <v>16532</v>
      </c>
      <c r="H4264" t="s">
        <v>21737</v>
      </c>
      <c r="I4264" t="s">
        <v>28931</v>
      </c>
      <c r="J4264" t="s">
        <v>22025</v>
      </c>
      <c r="K4264" t="s">
        <v>24411</v>
      </c>
      <c r="L4264" s="7" t="s">
        <v>24412</v>
      </c>
      <c r="M4264">
        <v>383</v>
      </c>
      <c r="N4264">
        <v>19</v>
      </c>
      <c r="O4264">
        <v>15</v>
      </c>
      <c r="P4264">
        <v>4</v>
      </c>
      <c r="Q4264">
        <v>13</v>
      </c>
      <c r="R4264">
        <v>9</v>
      </c>
      <c r="S4264">
        <v>4</v>
      </c>
      <c r="T4264">
        <v>0</v>
      </c>
      <c r="U4264" t="s">
        <v>24413</v>
      </c>
      <c r="V4264">
        <f>Tabla1[[#This Row],[Aboard]]-Tabla1[[#This Row],[Fatalities]]</f>
        <v>6</v>
      </c>
      <c r="W4264" s="50">
        <f>IFERROR(Tabla1[[#This Row],[Fatalities]]/Tabla1[[#This Row],[Aboard]],0)</f>
        <v>0.68421052631578949</v>
      </c>
      <c r="X4264" s="51" t="str" cm="1">
        <f t="array" ref="X4264">_xlfn.IFS(Tabla1[[#This Row],[Porcentaje de muertes]]&lt;0.35,"LEVE",AND(Tabla1[[#This Row],[Porcentaje de muertes]]&gt;0.35,Tabla1[[#This Row],[Porcentaje de muertes]]&lt;0.65),"MEDIO",Tabla1[[#This Row],[Porcentaje de muertes]]&gt;0.65,"GRAVE")</f>
        <v>GRAVE</v>
      </c>
    </row>
    <row r="4265" spans="2:24" x14ac:dyDescent="0.3">
      <c r="B4265" s="9">
        <v>4265</v>
      </c>
      <c r="C4265" s="49">
        <v>36720</v>
      </c>
      <c r="D4265" s="9">
        <f>YEAR(Tabla1[[#This Row],[Date]])</f>
        <v>2000</v>
      </c>
      <c r="E4265" s="9" t="str" cm="1">
        <f t="array" ref="E4265">IFERROR(_xlfn.IFS(AND(D4265&lt;1980,D4265&gt;=1970),"70",AND(D4265&lt;1990,D4265&gt;=1980),"80",AND(D4265&lt;2000,D4265&gt;=1990),"90",AND(D4265&lt;2010,D4265&gt;=2000),"00",AND(D4265&lt;=2019,D4265&gt;=2010),"10"),"1908-1970")</f>
        <v>00</v>
      </c>
      <c r="F4265" s="3">
        <v>2.361111111111111E-2</v>
      </c>
      <c r="G4265" t="s">
        <v>16319</v>
      </c>
      <c r="H4265" t="s">
        <v>24414</v>
      </c>
      <c r="I4265" t="s">
        <v>28931</v>
      </c>
      <c r="J4265" t="s">
        <v>24415</v>
      </c>
      <c r="K4265" t="s">
        <v>15361</v>
      </c>
      <c r="L4265" s="7" t="s">
        <v>24416</v>
      </c>
      <c r="M4265">
        <v>163</v>
      </c>
      <c r="N4265">
        <v>3</v>
      </c>
      <c r="O4265">
        <v>2</v>
      </c>
      <c r="P4265">
        <v>1</v>
      </c>
      <c r="Q4265">
        <v>1</v>
      </c>
      <c r="R4265">
        <v>0</v>
      </c>
      <c r="S4265">
        <v>1</v>
      </c>
      <c r="T4265">
        <v>0</v>
      </c>
      <c r="U4265" t="s">
        <v>24417</v>
      </c>
      <c r="V4265">
        <f>Tabla1[[#This Row],[Aboard]]-Tabla1[[#This Row],[Fatalities]]</f>
        <v>2</v>
      </c>
      <c r="W4265" s="50">
        <f>IFERROR(Tabla1[[#This Row],[Fatalities]]/Tabla1[[#This Row],[Aboard]],0)</f>
        <v>0.33333333333333331</v>
      </c>
      <c r="X4265" s="51" t="str" cm="1">
        <f t="array" ref="X4265">_xlfn.IFS(Tabla1[[#This Row],[Porcentaje de muertes]]&lt;0.35,"LEVE",AND(Tabla1[[#This Row],[Porcentaje de muertes]]&gt;0.35,Tabla1[[#This Row],[Porcentaje de muertes]]&lt;0.65),"MEDIO",Tabla1[[#This Row],[Porcentaje de muertes]]&gt;0.65,"GRAVE")</f>
        <v>LEVE</v>
      </c>
    </row>
    <row r="4266" spans="2:24" x14ac:dyDescent="0.3">
      <c r="B4266" s="9">
        <v>4266</v>
      </c>
      <c r="C4266" s="49">
        <v>36724</v>
      </c>
      <c r="D4266" s="9">
        <f>YEAR(Tabla1[[#This Row],[Date]])</f>
        <v>2000</v>
      </c>
      <c r="E4266" s="9" t="str" cm="1">
        <f t="array" ref="E4266">IFERROR(_xlfn.IFS(AND(D4266&lt;1980,D4266&gt;=1970),"70",AND(D4266&lt;1990,D4266&gt;=1980),"80",AND(D4266&lt;2000,D4266&gt;=1990),"90",AND(D4266&lt;2010,D4266&gt;=2000),"00",AND(D4266&lt;=2019,D4266&gt;=2010),"10"),"1908-1970")</f>
        <v>00</v>
      </c>
      <c r="F4266" s="3">
        <v>0.31527777777777777</v>
      </c>
      <c r="G4266" t="s">
        <v>24418</v>
      </c>
      <c r="H4266" t="s">
        <v>24419</v>
      </c>
      <c r="I4266">
        <v>7412</v>
      </c>
      <c r="J4266" t="s">
        <v>24420</v>
      </c>
      <c r="K4266" t="s">
        <v>24421</v>
      </c>
      <c r="L4266" s="7" t="s">
        <v>24422</v>
      </c>
      <c r="M4266" t="s">
        <v>24423</v>
      </c>
      <c r="N4266">
        <v>58</v>
      </c>
      <c r="O4266">
        <v>52</v>
      </c>
      <c r="P4266">
        <v>6</v>
      </c>
      <c r="Q4266">
        <v>55</v>
      </c>
      <c r="R4266">
        <v>49</v>
      </c>
      <c r="S4266">
        <v>6</v>
      </c>
      <c r="T4266">
        <v>5</v>
      </c>
      <c r="U4266" t="s">
        <v>24424</v>
      </c>
      <c r="V4266">
        <f>Tabla1[[#This Row],[Aboard]]-Tabla1[[#This Row],[Fatalities]]</f>
        <v>3</v>
      </c>
      <c r="W4266" s="50">
        <f>IFERROR(Tabla1[[#This Row],[Fatalities]]/Tabla1[[#This Row],[Aboard]],0)</f>
        <v>0.94827586206896552</v>
      </c>
      <c r="X4266" s="51" t="str" cm="1">
        <f t="array" ref="X4266">_xlfn.IFS(Tabla1[[#This Row],[Porcentaje de muertes]]&lt;0.35,"LEVE",AND(Tabla1[[#This Row],[Porcentaje de muertes]]&gt;0.35,Tabla1[[#This Row],[Porcentaje de muertes]]&lt;0.65),"MEDIO",Tabla1[[#This Row],[Porcentaje de muertes]]&gt;0.65,"GRAVE")</f>
        <v>GRAVE</v>
      </c>
    </row>
    <row r="4267" spans="2:24" x14ac:dyDescent="0.3">
      <c r="B4267" s="9">
        <v>4267</v>
      </c>
      <c r="C4267" s="49">
        <v>36726</v>
      </c>
      <c r="D4267" s="9">
        <f>YEAR(Tabla1[[#This Row],[Date]])</f>
        <v>2000</v>
      </c>
      <c r="E4267" s="9" t="str" cm="1">
        <f t="array" ref="E4267">IFERROR(_xlfn.IFS(AND(D4267&lt;1980,D4267&gt;=1970),"70",AND(D4267&lt;1990,D4267&gt;=1980),"80",AND(D4267&lt;2000,D4267&gt;=1990),"90",AND(D4267&lt;2010,D4267&gt;=2000),"00",AND(D4267&lt;=2019,D4267&gt;=2010),"10"),"1908-1970")</f>
        <v>00</v>
      </c>
      <c r="F4267" s="3">
        <v>2.0833333333333332E-2</v>
      </c>
      <c r="G4267" t="s">
        <v>24425</v>
      </c>
      <c r="H4267" t="s">
        <v>24426</v>
      </c>
      <c r="I4267">
        <v>9807</v>
      </c>
      <c r="J4267" t="s">
        <v>24427</v>
      </c>
      <c r="K4267" t="s">
        <v>19868</v>
      </c>
      <c r="L4267" s="7" t="s">
        <v>24428</v>
      </c>
      <c r="M4267">
        <v>154</v>
      </c>
      <c r="N4267">
        <v>2</v>
      </c>
      <c r="O4267">
        <v>0</v>
      </c>
      <c r="P4267">
        <v>2</v>
      </c>
      <c r="Q4267">
        <v>2</v>
      </c>
      <c r="R4267">
        <v>0</v>
      </c>
      <c r="S4267">
        <v>2</v>
      </c>
      <c r="T4267">
        <v>0</v>
      </c>
      <c r="U4267" t="s">
        <v>24429</v>
      </c>
      <c r="V4267">
        <f>Tabla1[[#This Row],[Aboard]]-Tabla1[[#This Row],[Fatalities]]</f>
        <v>0</v>
      </c>
      <c r="W4267" s="50">
        <f>IFERROR(Tabla1[[#This Row],[Fatalities]]/Tabla1[[#This Row],[Aboard]],0)</f>
        <v>1</v>
      </c>
      <c r="X4267" s="51" t="str" cm="1">
        <f t="array" ref="X4267">_xlfn.IFS(Tabla1[[#This Row],[Porcentaje de muertes]]&lt;0.35,"LEVE",AND(Tabla1[[#This Row],[Porcentaje de muertes]]&gt;0.35,Tabla1[[#This Row],[Porcentaje de muertes]]&lt;0.65),"MEDIO",Tabla1[[#This Row],[Porcentaje de muertes]]&gt;0.65,"GRAVE")</f>
        <v>GRAVE</v>
      </c>
    </row>
    <row r="4268" spans="2:24" x14ac:dyDescent="0.3">
      <c r="B4268" s="9">
        <v>4268</v>
      </c>
      <c r="C4268" s="49">
        <v>36727</v>
      </c>
      <c r="D4268" s="9">
        <f>YEAR(Tabla1[[#This Row],[Date]])</f>
        <v>2000</v>
      </c>
      <c r="E4268" s="9" t="str" cm="1">
        <f t="array" ref="E4268">IFERROR(_xlfn.IFS(AND(D4268&lt;1980,D4268&gt;=1970),"70",AND(D4268&lt;1990,D4268&gt;=1980),"80",AND(D4268&lt;2000,D4268&gt;=1990),"90",AND(D4268&lt;2010,D4268&gt;=2000),"00",AND(D4268&lt;=2019,D4268&gt;=2010),"10"),"1908-1970")</f>
        <v>00</v>
      </c>
      <c r="F4268" s="3">
        <v>0.54999999999999993</v>
      </c>
      <c r="G4268" t="s">
        <v>24430</v>
      </c>
      <c r="H4268" t="s">
        <v>24431</v>
      </c>
      <c r="I4268" t="s">
        <v>28931</v>
      </c>
      <c r="J4268" t="s">
        <v>24432</v>
      </c>
      <c r="K4268" t="s">
        <v>8723</v>
      </c>
      <c r="L4268" s="7" t="s">
        <v>24433</v>
      </c>
      <c r="M4268">
        <v>12475</v>
      </c>
      <c r="N4268">
        <v>2</v>
      </c>
      <c r="O4268">
        <v>0</v>
      </c>
      <c r="P4268">
        <v>2</v>
      </c>
      <c r="Q4268">
        <v>2</v>
      </c>
      <c r="R4268">
        <v>0</v>
      </c>
      <c r="S4268">
        <v>2</v>
      </c>
      <c r="T4268">
        <v>0</v>
      </c>
      <c r="U4268" t="s">
        <v>24434</v>
      </c>
      <c r="V4268">
        <f>Tabla1[[#This Row],[Aboard]]-Tabla1[[#This Row],[Fatalities]]</f>
        <v>0</v>
      </c>
      <c r="W4268" s="50">
        <f>IFERROR(Tabla1[[#This Row],[Fatalities]]/Tabla1[[#This Row],[Aboard]],0)</f>
        <v>1</v>
      </c>
      <c r="X4268" s="51" t="str" cm="1">
        <f t="array" ref="X4268">_xlfn.IFS(Tabla1[[#This Row],[Porcentaje de muertes]]&lt;0.35,"LEVE",AND(Tabla1[[#This Row],[Porcentaje de muertes]]&gt;0.35,Tabla1[[#This Row],[Porcentaje de muertes]]&lt;0.65),"MEDIO",Tabla1[[#This Row],[Porcentaje de muertes]]&gt;0.65,"GRAVE")</f>
        <v>GRAVE</v>
      </c>
    </row>
    <row r="4269" spans="2:24" x14ac:dyDescent="0.3">
      <c r="B4269" s="9">
        <v>4269</v>
      </c>
      <c r="C4269" s="49">
        <v>36728</v>
      </c>
      <c r="D4269" s="9">
        <f>YEAR(Tabla1[[#This Row],[Date]])</f>
        <v>2000</v>
      </c>
      <c r="E4269" s="9" t="str" cm="1">
        <f t="array" ref="E4269">IFERROR(_xlfn.IFS(AND(D4269&lt;1980,D4269&gt;=1970),"70",AND(D4269&lt;1990,D4269&gt;=1980),"80",AND(D4269&lt;2000,D4269&gt;=1990),"90",AND(D4269&lt;2010,D4269&gt;=2000),"00",AND(D4269&lt;=2019,D4269&gt;=2010),"10"),"1908-1970")</f>
        <v>00</v>
      </c>
      <c r="F4269" s="3">
        <v>0.43055555555555558</v>
      </c>
      <c r="G4269" t="s">
        <v>20602</v>
      </c>
      <c r="H4269" t="s">
        <v>24435</v>
      </c>
      <c r="I4269" t="s">
        <v>28931</v>
      </c>
      <c r="J4269" t="s">
        <v>24436</v>
      </c>
      <c r="K4269" t="s">
        <v>24437</v>
      </c>
      <c r="L4269" s="7" t="s">
        <v>24438</v>
      </c>
      <c r="M4269">
        <v>5168</v>
      </c>
      <c r="N4269">
        <v>7</v>
      </c>
      <c r="O4269">
        <v>6</v>
      </c>
      <c r="P4269">
        <v>1</v>
      </c>
      <c r="Q4269">
        <v>7</v>
      </c>
      <c r="R4269">
        <v>6</v>
      </c>
      <c r="S4269">
        <v>1</v>
      </c>
      <c r="T4269">
        <v>0</v>
      </c>
      <c r="U4269" t="s">
        <v>24439</v>
      </c>
      <c r="V4269">
        <f>Tabla1[[#This Row],[Aboard]]-Tabla1[[#This Row],[Fatalities]]</f>
        <v>0</v>
      </c>
      <c r="W4269" s="50">
        <f>IFERROR(Tabla1[[#This Row],[Fatalities]]/Tabla1[[#This Row],[Aboard]],0)</f>
        <v>1</v>
      </c>
      <c r="X4269" s="51" t="str" cm="1">
        <f t="array" ref="X4269">_xlfn.IFS(Tabla1[[#This Row],[Porcentaje de muertes]]&lt;0.35,"LEVE",AND(Tabla1[[#This Row],[Porcentaje de muertes]]&gt;0.35,Tabla1[[#This Row],[Porcentaje de muertes]]&lt;0.65),"MEDIO",Tabla1[[#This Row],[Porcentaje de muertes]]&gt;0.65,"GRAVE")</f>
        <v>GRAVE</v>
      </c>
    </row>
    <row r="4270" spans="2:24" x14ac:dyDescent="0.3">
      <c r="B4270" s="9">
        <v>4270</v>
      </c>
      <c r="C4270" s="49">
        <v>36732</v>
      </c>
      <c r="D4270" s="9">
        <f>YEAR(Tabla1[[#This Row],[Date]])</f>
        <v>2000</v>
      </c>
      <c r="E4270" s="9" t="str" cm="1">
        <f t="array" ref="E4270">IFERROR(_xlfn.IFS(AND(D4270&lt;1980,D4270&gt;=1970),"70",AND(D4270&lt;1990,D4270&gt;=1980),"80",AND(D4270&lt;2000,D4270&gt;=1990),"90",AND(D4270&lt;2010,D4270&gt;=2000),"00",AND(D4270&lt;=2019,D4270&gt;=2010),"10"),"1908-1970")</f>
        <v>00</v>
      </c>
      <c r="F4270" s="3">
        <v>0.6972222222222223</v>
      </c>
      <c r="G4270" t="s">
        <v>24440</v>
      </c>
      <c r="H4270" t="s">
        <v>6375</v>
      </c>
      <c r="I4270">
        <v>4590</v>
      </c>
      <c r="J4270" t="s">
        <v>13556</v>
      </c>
      <c r="K4270" t="s">
        <v>24441</v>
      </c>
      <c r="L4270" s="7" t="s">
        <v>24442</v>
      </c>
      <c r="M4270">
        <v>203</v>
      </c>
      <c r="N4270">
        <v>109</v>
      </c>
      <c r="O4270">
        <v>100</v>
      </c>
      <c r="P4270">
        <v>9</v>
      </c>
      <c r="Q4270">
        <v>109</v>
      </c>
      <c r="R4270">
        <v>100</v>
      </c>
      <c r="S4270">
        <v>9</v>
      </c>
      <c r="T4270">
        <v>4</v>
      </c>
      <c r="U4270" t="s">
        <v>24443</v>
      </c>
      <c r="V4270">
        <f>Tabla1[[#This Row],[Aboard]]-Tabla1[[#This Row],[Fatalities]]</f>
        <v>0</v>
      </c>
      <c r="W4270" s="50">
        <f>IFERROR(Tabla1[[#This Row],[Fatalities]]/Tabla1[[#This Row],[Aboard]],0)</f>
        <v>1</v>
      </c>
      <c r="X4270" s="51" t="str" cm="1">
        <f t="array" ref="X4270">_xlfn.IFS(Tabla1[[#This Row],[Porcentaje de muertes]]&lt;0.35,"LEVE",AND(Tabla1[[#This Row],[Porcentaje de muertes]]&gt;0.35,Tabla1[[#This Row],[Porcentaje de muertes]]&lt;0.65),"MEDIO",Tabla1[[#This Row],[Porcentaje de muertes]]&gt;0.65,"GRAVE")</f>
        <v>GRAVE</v>
      </c>
    </row>
    <row r="4271" spans="2:24" x14ac:dyDescent="0.3">
      <c r="B4271" s="9">
        <v>4271</v>
      </c>
      <c r="C4271" s="49">
        <v>36733</v>
      </c>
      <c r="D4271" s="9">
        <f>YEAR(Tabla1[[#This Row],[Date]])</f>
        <v>2000</v>
      </c>
      <c r="E4271" s="9" t="str" cm="1">
        <f t="array" ref="E4271">IFERROR(_xlfn.IFS(AND(D4271&lt;1980,D4271&gt;=1970),"70",AND(D4271&lt;1990,D4271&gt;=1980),"80",AND(D4271&lt;2000,D4271&gt;=1990),"90",AND(D4271&lt;2010,D4271&gt;=2000),"00",AND(D4271&lt;=2019,D4271&gt;=2010),"10"),"1908-1970")</f>
        <v>00</v>
      </c>
      <c r="F4271" s="3">
        <v>0.25</v>
      </c>
      <c r="G4271" t="s">
        <v>24444</v>
      </c>
      <c r="H4271" t="s">
        <v>19521</v>
      </c>
      <c r="I4271" t="s">
        <v>28931</v>
      </c>
      <c r="J4271" t="s">
        <v>28931</v>
      </c>
      <c r="K4271" t="s">
        <v>18896</v>
      </c>
      <c r="L4271" s="7">
        <v>348</v>
      </c>
      <c r="M4271">
        <v>4073</v>
      </c>
      <c r="N4271">
        <v>13</v>
      </c>
      <c r="O4271" t="s">
        <v>5038</v>
      </c>
      <c r="P4271" t="s">
        <v>5038</v>
      </c>
      <c r="Q4271">
        <v>13</v>
      </c>
      <c r="R4271" t="s">
        <v>5038</v>
      </c>
      <c r="S4271" t="s">
        <v>5038</v>
      </c>
      <c r="T4271">
        <v>0</v>
      </c>
      <c r="U4271" t="s">
        <v>24445</v>
      </c>
      <c r="V4271">
        <f>Tabla1[[#This Row],[Aboard]]-Tabla1[[#This Row],[Fatalities]]</f>
        <v>0</v>
      </c>
      <c r="W4271" s="50">
        <f>IFERROR(Tabla1[[#This Row],[Fatalities]]/Tabla1[[#This Row],[Aboard]],0)</f>
        <v>1</v>
      </c>
      <c r="X4271" s="51" t="str" cm="1">
        <f t="array" ref="X4271">_xlfn.IFS(Tabla1[[#This Row],[Porcentaje de muertes]]&lt;0.35,"LEVE",AND(Tabla1[[#This Row],[Porcentaje de muertes]]&gt;0.35,Tabla1[[#This Row],[Porcentaje de muertes]]&lt;0.65),"MEDIO",Tabla1[[#This Row],[Porcentaje de muertes]]&gt;0.65,"GRAVE")</f>
        <v>GRAVE</v>
      </c>
    </row>
    <row r="4272" spans="2:24" x14ac:dyDescent="0.3">
      <c r="B4272" s="9">
        <v>4272</v>
      </c>
      <c r="C4272" s="49">
        <v>36734</v>
      </c>
      <c r="D4272" s="9">
        <f>YEAR(Tabla1[[#This Row],[Date]])</f>
        <v>2000</v>
      </c>
      <c r="E4272" s="9" t="str" cm="1">
        <f t="array" ref="E4272">IFERROR(_xlfn.IFS(AND(D4272&lt;1980,D4272&gt;=1970),"70",AND(D4272&lt;1990,D4272&gt;=1980),"80",AND(D4272&lt;2000,D4272&gt;=1990),"90",AND(D4272&lt;2010,D4272&gt;=2000),"00",AND(D4272&lt;=2019,D4272&gt;=2010),"10"),"1908-1970")</f>
        <v>00</v>
      </c>
      <c r="F4272" s="3">
        <v>0.4381944444444445</v>
      </c>
      <c r="G4272" t="s">
        <v>24446</v>
      </c>
      <c r="H4272" t="s">
        <v>13123</v>
      </c>
      <c r="I4272" t="s">
        <v>28931</v>
      </c>
      <c r="J4272" t="s">
        <v>24447</v>
      </c>
      <c r="K4272" t="s">
        <v>16680</v>
      </c>
      <c r="L4272" s="7" t="s">
        <v>24448</v>
      </c>
      <c r="M4272">
        <v>654</v>
      </c>
      <c r="N4272">
        <v>25</v>
      </c>
      <c r="O4272">
        <v>22</v>
      </c>
      <c r="P4272">
        <v>3</v>
      </c>
      <c r="Q4272">
        <v>25</v>
      </c>
      <c r="R4272">
        <v>22</v>
      </c>
      <c r="S4272">
        <v>3</v>
      </c>
      <c r="T4272">
        <v>0</v>
      </c>
      <c r="U4272" t="s">
        <v>24449</v>
      </c>
      <c r="V4272">
        <f>Tabla1[[#This Row],[Aboard]]-Tabla1[[#This Row],[Fatalities]]</f>
        <v>0</v>
      </c>
      <c r="W4272" s="50">
        <f>IFERROR(Tabla1[[#This Row],[Fatalities]]/Tabla1[[#This Row],[Aboard]],0)</f>
        <v>1</v>
      </c>
      <c r="X4272" s="51" t="str" cm="1">
        <f t="array" ref="X4272">_xlfn.IFS(Tabla1[[#This Row],[Porcentaje de muertes]]&lt;0.35,"LEVE",AND(Tabla1[[#This Row],[Porcentaje de muertes]]&gt;0.35,Tabla1[[#This Row],[Porcentaje de muertes]]&lt;0.65),"MEDIO",Tabla1[[#This Row],[Porcentaje de muertes]]&gt;0.65,"GRAVE")</f>
        <v>GRAVE</v>
      </c>
    </row>
    <row r="4273" spans="2:24" x14ac:dyDescent="0.3">
      <c r="B4273" s="9">
        <v>4273</v>
      </c>
      <c r="C4273" s="49">
        <v>36564</v>
      </c>
      <c r="D4273" s="9">
        <f>YEAR(Tabla1[[#This Row],[Date]])</f>
        <v>2000</v>
      </c>
      <c r="E4273" s="9" t="str" cm="1">
        <f t="array" ref="E4273">IFERROR(_xlfn.IFS(AND(D4273&lt;1980,D4273&gt;=1970),"70",AND(D4273&lt;1990,D4273&gt;=1980),"80",AND(D4273&lt;2000,D4273&gt;=1990),"90",AND(D4273&lt;2010,D4273&gt;=2000),"00",AND(D4273&lt;=2019,D4273&gt;=2010),"10"),"1908-1970")</f>
        <v>00</v>
      </c>
      <c r="F4273" s="3">
        <v>0.36458333333333331</v>
      </c>
      <c r="G4273" t="s">
        <v>24450</v>
      </c>
      <c r="H4273" t="s">
        <v>24451</v>
      </c>
      <c r="I4273" t="s">
        <v>28931</v>
      </c>
      <c r="J4273" t="s">
        <v>24452</v>
      </c>
      <c r="K4273" t="s">
        <v>18655</v>
      </c>
      <c r="L4273" s="7" t="s">
        <v>24453</v>
      </c>
      <c r="M4273" t="s">
        <v>28931</v>
      </c>
      <c r="N4273">
        <v>6</v>
      </c>
      <c r="O4273">
        <v>5</v>
      </c>
      <c r="P4273">
        <v>1</v>
      </c>
      <c r="Q4273">
        <v>6</v>
      </c>
      <c r="R4273">
        <v>5</v>
      </c>
      <c r="S4273">
        <v>1</v>
      </c>
      <c r="T4273">
        <v>0</v>
      </c>
      <c r="U4273" t="s">
        <v>24454</v>
      </c>
      <c r="V4273">
        <f>Tabla1[[#This Row],[Aboard]]-Tabla1[[#This Row],[Fatalities]]</f>
        <v>0</v>
      </c>
      <c r="W4273" s="50">
        <f>IFERROR(Tabla1[[#This Row],[Fatalities]]/Tabla1[[#This Row],[Aboard]],0)</f>
        <v>1</v>
      </c>
      <c r="X4273" s="51" t="str" cm="1">
        <f t="array" ref="X4273">_xlfn.IFS(Tabla1[[#This Row],[Porcentaje de muertes]]&lt;0.35,"LEVE",AND(Tabla1[[#This Row],[Porcentaje de muertes]]&gt;0.35,Tabla1[[#This Row],[Porcentaje de muertes]]&lt;0.65),"MEDIO",Tabla1[[#This Row],[Porcentaje de muertes]]&gt;0.65,"GRAVE")</f>
        <v>GRAVE</v>
      </c>
    </row>
    <row r="4274" spans="2:24" x14ac:dyDescent="0.3">
      <c r="B4274" s="9">
        <v>4274</v>
      </c>
      <c r="C4274" s="49">
        <v>36685</v>
      </c>
      <c r="D4274" s="9">
        <f>YEAR(Tabla1[[#This Row],[Date]])</f>
        <v>2000</v>
      </c>
      <c r="E4274" s="9" t="str" cm="1">
        <f t="array" ref="E4274">IFERROR(_xlfn.IFS(AND(D4274&lt;1980,D4274&gt;=1970),"70",AND(D4274&lt;1990,D4274&gt;=1980),"80",AND(D4274&lt;2000,D4274&gt;=1990),"90",AND(D4274&lt;2010,D4274&gt;=2000),"00",AND(D4274&lt;=2019,D4274&gt;=2010),"10"),"1908-1970")</f>
        <v>00</v>
      </c>
      <c r="F4274" s="3">
        <v>0.66319444444444442</v>
      </c>
      <c r="G4274" t="s">
        <v>24455</v>
      </c>
      <c r="H4274" t="s">
        <v>24456</v>
      </c>
      <c r="I4274" t="s">
        <v>8152</v>
      </c>
      <c r="J4274" t="s">
        <v>15196</v>
      </c>
      <c r="K4274" t="s">
        <v>24457</v>
      </c>
      <c r="L4274" s="7">
        <v>230</v>
      </c>
      <c r="M4274" t="s">
        <v>24458</v>
      </c>
      <c r="N4274">
        <v>14</v>
      </c>
      <c r="O4274">
        <v>10</v>
      </c>
      <c r="P4274">
        <v>4</v>
      </c>
      <c r="Q4274">
        <v>14</v>
      </c>
      <c r="R4274">
        <v>10</v>
      </c>
      <c r="S4274">
        <v>4</v>
      </c>
      <c r="T4274">
        <v>0</v>
      </c>
      <c r="U4274" t="s">
        <v>24459</v>
      </c>
      <c r="V4274">
        <f>Tabla1[[#This Row],[Aboard]]-Tabla1[[#This Row],[Fatalities]]</f>
        <v>0</v>
      </c>
      <c r="W4274" s="50">
        <f>IFERROR(Tabla1[[#This Row],[Fatalities]]/Tabla1[[#This Row],[Aboard]],0)</f>
        <v>1</v>
      </c>
      <c r="X4274" s="51" t="str" cm="1">
        <f t="array" ref="X4274">_xlfn.IFS(Tabla1[[#This Row],[Porcentaje de muertes]]&lt;0.35,"LEVE",AND(Tabla1[[#This Row],[Porcentaje de muertes]]&gt;0.35,Tabla1[[#This Row],[Porcentaje de muertes]]&lt;0.65),"MEDIO",Tabla1[[#This Row],[Porcentaje de muertes]]&gt;0.65,"GRAVE")</f>
        <v>GRAVE</v>
      </c>
    </row>
    <row r="4275" spans="2:24" x14ac:dyDescent="0.3">
      <c r="B4275" s="9">
        <v>4275</v>
      </c>
      <c r="C4275" s="49">
        <v>36777</v>
      </c>
      <c r="D4275" s="9">
        <f>YEAR(Tabla1[[#This Row],[Date]])</f>
        <v>2000</v>
      </c>
      <c r="E4275" s="9" t="str" cm="1">
        <f t="array" ref="E4275">IFERROR(_xlfn.IFS(AND(D4275&lt;1980,D4275&gt;=1970),"70",AND(D4275&lt;1990,D4275&gt;=1980),"80",AND(D4275&lt;2000,D4275&gt;=1990),"90",AND(D4275&lt;2010,D4275&gt;=2000),"00",AND(D4275&lt;=2019,D4275&gt;=2010),"10"),"1908-1970")</f>
        <v>00</v>
      </c>
      <c r="F4275" s="3">
        <v>0.33333333333333331</v>
      </c>
      <c r="G4275" t="s">
        <v>24460</v>
      </c>
      <c r="H4275" t="s">
        <v>24461</v>
      </c>
      <c r="I4275" t="s">
        <v>28931</v>
      </c>
      <c r="J4275" t="s">
        <v>24462</v>
      </c>
      <c r="K4275" t="s">
        <v>24463</v>
      </c>
      <c r="L4275" s="7" t="s">
        <v>24464</v>
      </c>
      <c r="M4275" t="s">
        <v>24465</v>
      </c>
      <c r="N4275">
        <v>11</v>
      </c>
      <c r="O4275">
        <v>8</v>
      </c>
      <c r="P4275">
        <v>3</v>
      </c>
      <c r="Q4275">
        <v>11</v>
      </c>
      <c r="R4275">
        <v>8</v>
      </c>
      <c r="S4275">
        <v>3</v>
      </c>
      <c r="T4275">
        <v>0</v>
      </c>
      <c r="U4275" t="s">
        <v>24466</v>
      </c>
      <c r="V4275">
        <f>Tabla1[[#This Row],[Aboard]]-Tabla1[[#This Row],[Fatalities]]</f>
        <v>0</v>
      </c>
      <c r="W4275" s="50">
        <f>IFERROR(Tabla1[[#This Row],[Fatalities]]/Tabla1[[#This Row],[Aboard]],0)</f>
        <v>1</v>
      </c>
      <c r="X4275" s="51" t="str" cm="1">
        <f t="array" ref="X4275">_xlfn.IFS(Tabla1[[#This Row],[Porcentaje de muertes]]&lt;0.35,"LEVE",AND(Tabla1[[#This Row],[Porcentaje de muertes]]&gt;0.35,Tabla1[[#This Row],[Porcentaje de muertes]]&lt;0.65),"MEDIO",Tabla1[[#This Row],[Porcentaje de muertes]]&gt;0.65,"GRAVE")</f>
        <v>GRAVE</v>
      </c>
    </row>
    <row r="4276" spans="2:24" x14ac:dyDescent="0.3">
      <c r="B4276" s="9">
        <v>4276</v>
      </c>
      <c r="C4276" s="49">
        <v>36868</v>
      </c>
      <c r="D4276" s="9">
        <f>YEAR(Tabla1[[#This Row],[Date]])</f>
        <v>2000</v>
      </c>
      <c r="E4276" s="9" t="str" cm="1">
        <f t="array" ref="E4276">IFERROR(_xlfn.IFS(AND(D4276&lt;1980,D4276&gt;=1970),"70",AND(D4276&lt;1990,D4276&gt;=1980),"80",AND(D4276&lt;2000,D4276&gt;=1990),"90",AND(D4276&lt;2010,D4276&gt;=2000),"00",AND(D4276&lt;=2019,D4276&gt;=2010),"10"),"1908-1970")</f>
        <v>00</v>
      </c>
      <c r="F4276" s="3" t="s">
        <v>28931</v>
      </c>
      <c r="G4276" t="s">
        <v>24467</v>
      </c>
      <c r="H4276" t="s">
        <v>24468</v>
      </c>
      <c r="I4276" t="s">
        <v>28931</v>
      </c>
      <c r="J4276" t="s">
        <v>19675</v>
      </c>
      <c r="K4276" t="s">
        <v>22224</v>
      </c>
      <c r="L4276" s="7" t="s">
        <v>24469</v>
      </c>
      <c r="M4276">
        <v>6004</v>
      </c>
      <c r="N4276">
        <v>27</v>
      </c>
      <c r="O4276">
        <v>21</v>
      </c>
      <c r="P4276">
        <v>6</v>
      </c>
      <c r="Q4276">
        <v>27</v>
      </c>
      <c r="R4276">
        <v>21</v>
      </c>
      <c r="S4276">
        <v>6</v>
      </c>
      <c r="T4276">
        <v>0</v>
      </c>
      <c r="U4276" t="s">
        <v>24470</v>
      </c>
      <c r="V4276">
        <f>Tabla1[[#This Row],[Aboard]]-Tabla1[[#This Row],[Fatalities]]</f>
        <v>0</v>
      </c>
      <c r="W4276" s="50">
        <f>IFERROR(Tabla1[[#This Row],[Fatalities]]/Tabla1[[#This Row],[Aboard]],0)</f>
        <v>1</v>
      </c>
      <c r="X4276" s="51" t="str" cm="1">
        <f t="array" ref="X4276">_xlfn.IFS(Tabla1[[#This Row],[Porcentaje de muertes]]&lt;0.35,"LEVE",AND(Tabla1[[#This Row],[Porcentaje de muertes]]&gt;0.35,Tabla1[[#This Row],[Porcentaje de muertes]]&lt;0.65),"MEDIO",Tabla1[[#This Row],[Porcentaje de muertes]]&gt;0.65,"GRAVE")</f>
        <v>GRAVE</v>
      </c>
    </row>
    <row r="4277" spans="2:24" x14ac:dyDescent="0.3">
      <c r="B4277" s="9">
        <v>4277</v>
      </c>
      <c r="C4277" s="49">
        <v>36761</v>
      </c>
      <c r="D4277" s="9">
        <f>YEAR(Tabla1[[#This Row],[Date]])</f>
        <v>2000</v>
      </c>
      <c r="E4277" s="9" t="str" cm="1">
        <f t="array" ref="E4277">IFERROR(_xlfn.IFS(AND(D4277&lt;1980,D4277&gt;=1970),"70",AND(D4277&lt;1990,D4277&gt;=1980),"80",AND(D4277&lt;2000,D4277&gt;=1990),"90",AND(D4277&lt;2010,D4277&gt;=2000),"00",AND(D4277&lt;=2019,D4277&gt;=2010),"10"),"1908-1970")</f>
        <v>00</v>
      </c>
      <c r="F4277" s="3">
        <v>0.8125</v>
      </c>
      <c r="G4277" t="s">
        <v>24471</v>
      </c>
      <c r="H4277" t="s">
        <v>19450</v>
      </c>
      <c r="I4277">
        <v>72</v>
      </c>
      <c r="J4277" t="s">
        <v>24472</v>
      </c>
      <c r="K4277" t="s">
        <v>24473</v>
      </c>
      <c r="L4277" s="7" t="s">
        <v>24474</v>
      </c>
      <c r="M4277">
        <v>481</v>
      </c>
      <c r="N4277">
        <v>143</v>
      </c>
      <c r="O4277">
        <v>135</v>
      </c>
      <c r="P4277">
        <v>8</v>
      </c>
      <c r="Q4277">
        <v>143</v>
      </c>
      <c r="R4277">
        <v>135</v>
      </c>
      <c r="S4277">
        <v>8</v>
      </c>
      <c r="T4277">
        <v>0</v>
      </c>
      <c r="U4277" t="s">
        <v>24475</v>
      </c>
      <c r="V4277">
        <f>Tabla1[[#This Row],[Aboard]]-Tabla1[[#This Row],[Fatalities]]</f>
        <v>0</v>
      </c>
      <c r="W4277" s="50">
        <f>IFERROR(Tabla1[[#This Row],[Fatalities]]/Tabla1[[#This Row],[Aboard]],0)</f>
        <v>1</v>
      </c>
      <c r="X4277" s="51" t="str" cm="1">
        <f t="array" ref="X4277">_xlfn.IFS(Tabla1[[#This Row],[Porcentaje de muertes]]&lt;0.35,"LEVE",AND(Tabla1[[#This Row],[Porcentaje de muertes]]&gt;0.35,Tabla1[[#This Row],[Porcentaje de muertes]]&lt;0.65),"MEDIO",Tabla1[[#This Row],[Porcentaje de muertes]]&gt;0.65,"GRAVE")</f>
        <v>GRAVE</v>
      </c>
    </row>
    <row r="4278" spans="2:24" x14ac:dyDescent="0.3">
      <c r="B4278" s="9">
        <v>4278</v>
      </c>
      <c r="C4278" s="49">
        <v>36565</v>
      </c>
      <c r="D4278" s="9">
        <f>YEAR(Tabla1[[#This Row],[Date]])</f>
        <v>2000</v>
      </c>
      <c r="E4278" s="9" t="str" cm="1">
        <f t="array" ref="E4278">IFERROR(_xlfn.IFS(AND(D4278&lt;1980,D4278&gt;=1970),"70",AND(D4278&lt;1990,D4278&gt;=1980),"80",AND(D4278&lt;2000,D4278&gt;=1990),"90",AND(D4278&lt;2010,D4278&gt;=2000),"00",AND(D4278&lt;=2019,D4278&gt;=2010),"10"),"1908-1970")</f>
        <v>00</v>
      </c>
      <c r="F4278" s="3" t="s">
        <v>28931</v>
      </c>
      <c r="G4278" t="s">
        <v>24476</v>
      </c>
      <c r="H4278" t="s">
        <v>24477</v>
      </c>
      <c r="I4278" t="s">
        <v>28931</v>
      </c>
      <c r="J4278" t="s">
        <v>28931</v>
      </c>
      <c r="K4278" t="s">
        <v>7826</v>
      </c>
      <c r="L4278" s="7" t="s">
        <v>24478</v>
      </c>
      <c r="M4278">
        <v>32984</v>
      </c>
      <c r="N4278">
        <v>7</v>
      </c>
      <c r="O4278">
        <v>0</v>
      </c>
      <c r="P4278">
        <v>7</v>
      </c>
      <c r="Q4278">
        <v>7</v>
      </c>
      <c r="R4278">
        <v>0</v>
      </c>
      <c r="S4278">
        <v>7</v>
      </c>
      <c r="T4278">
        <v>0</v>
      </c>
      <c r="U4278" t="s">
        <v>24479</v>
      </c>
      <c r="V4278">
        <f>Tabla1[[#This Row],[Aboard]]-Tabla1[[#This Row],[Fatalities]]</f>
        <v>0</v>
      </c>
      <c r="W4278" s="50">
        <f>IFERROR(Tabla1[[#This Row],[Fatalities]]/Tabla1[[#This Row],[Aboard]],0)</f>
        <v>1</v>
      </c>
      <c r="X4278" s="51" t="str" cm="1">
        <f t="array" ref="X4278">_xlfn.IFS(Tabla1[[#This Row],[Porcentaje de muertes]]&lt;0.35,"LEVE",AND(Tabla1[[#This Row],[Porcentaje de muertes]]&gt;0.35,Tabla1[[#This Row],[Porcentaje de muertes]]&lt;0.65),"MEDIO",Tabla1[[#This Row],[Porcentaje de muertes]]&gt;0.65,"GRAVE")</f>
        <v>GRAVE</v>
      </c>
    </row>
    <row r="4279" spans="2:24" x14ac:dyDescent="0.3">
      <c r="B4279" s="9">
        <v>4279</v>
      </c>
      <c r="C4279" s="49">
        <v>36625</v>
      </c>
      <c r="D4279" s="9">
        <f>YEAR(Tabla1[[#This Row],[Date]])</f>
        <v>2000</v>
      </c>
      <c r="E4279" s="9" t="str" cm="1">
        <f t="array" ref="E4279">IFERROR(_xlfn.IFS(AND(D4279&lt;1980,D4279&gt;=1970),"70",AND(D4279&lt;1990,D4279&gt;=1980),"80",AND(D4279&lt;2000,D4279&gt;=1990),"90",AND(D4279&lt;2010,D4279&gt;=2000),"00",AND(D4279&lt;=2019,D4279&gt;=2010),"10"),"1908-1970")</f>
        <v>00</v>
      </c>
      <c r="F4279" s="3">
        <v>0.63194444444444442</v>
      </c>
      <c r="G4279" t="s">
        <v>24480</v>
      </c>
      <c r="H4279" t="s">
        <v>24481</v>
      </c>
      <c r="I4279" t="s">
        <v>28931</v>
      </c>
      <c r="J4279" t="s">
        <v>24482</v>
      </c>
      <c r="K4279" t="s">
        <v>24483</v>
      </c>
      <c r="L4279" s="7" t="s">
        <v>24484</v>
      </c>
      <c r="M4279" t="s">
        <v>24485</v>
      </c>
      <c r="N4279">
        <v>8</v>
      </c>
      <c r="O4279">
        <v>7</v>
      </c>
      <c r="P4279">
        <v>1</v>
      </c>
      <c r="Q4279">
        <v>8</v>
      </c>
      <c r="R4279">
        <v>7</v>
      </c>
      <c r="S4279">
        <v>1</v>
      </c>
      <c r="T4279">
        <v>0</v>
      </c>
      <c r="U4279" t="s">
        <v>24486</v>
      </c>
      <c r="V4279">
        <f>Tabla1[[#This Row],[Aboard]]-Tabla1[[#This Row],[Fatalities]]</f>
        <v>0</v>
      </c>
      <c r="W4279" s="50">
        <f>IFERROR(Tabla1[[#This Row],[Fatalities]]/Tabla1[[#This Row],[Aboard]],0)</f>
        <v>1</v>
      </c>
      <c r="X4279" s="51" t="str" cm="1">
        <f t="array" ref="X4279">_xlfn.IFS(Tabla1[[#This Row],[Porcentaje de muertes]]&lt;0.35,"LEVE",AND(Tabla1[[#This Row],[Porcentaje de muertes]]&gt;0.35,Tabla1[[#This Row],[Porcentaje de muertes]]&lt;0.65),"MEDIO",Tabla1[[#This Row],[Porcentaje de muertes]]&gt;0.65,"GRAVE")</f>
        <v>GRAVE</v>
      </c>
    </row>
    <row r="4280" spans="2:24" x14ac:dyDescent="0.3">
      <c r="B4280" s="9">
        <v>4280</v>
      </c>
      <c r="C4280" s="49">
        <v>36785</v>
      </c>
      <c r="D4280" s="9">
        <f>YEAR(Tabla1[[#This Row],[Date]])</f>
        <v>2000</v>
      </c>
      <c r="E4280" s="9" t="str" cm="1">
        <f t="array" ref="E4280">IFERROR(_xlfn.IFS(AND(D4280&lt;1980,D4280&gt;=1970),"70",AND(D4280&lt;1990,D4280&gt;=1980),"80",AND(D4280&lt;2000,D4280&gt;=1990),"90",AND(D4280&lt;2010,D4280&gt;=2000),"00",AND(D4280&lt;=2019,D4280&gt;=2010),"10"),"1908-1970")</f>
        <v>00</v>
      </c>
      <c r="F4280" s="3">
        <v>0.3923611111111111</v>
      </c>
      <c r="G4280" t="s">
        <v>24487</v>
      </c>
      <c r="H4280" t="s">
        <v>21918</v>
      </c>
      <c r="I4280" t="s">
        <v>28931</v>
      </c>
      <c r="J4280" t="s">
        <v>24488</v>
      </c>
      <c r="K4280" t="s">
        <v>23112</v>
      </c>
      <c r="L4280" s="7" t="s">
        <v>28931</v>
      </c>
      <c r="M4280" t="s">
        <v>28931</v>
      </c>
      <c r="N4280">
        <v>14</v>
      </c>
      <c r="O4280">
        <v>12</v>
      </c>
      <c r="P4280">
        <v>2</v>
      </c>
      <c r="Q4280">
        <v>14</v>
      </c>
      <c r="R4280">
        <v>12</v>
      </c>
      <c r="S4280">
        <v>2</v>
      </c>
      <c r="T4280">
        <v>0</v>
      </c>
      <c r="U4280" t="s">
        <v>24489</v>
      </c>
      <c r="V4280">
        <f>Tabla1[[#This Row],[Aboard]]-Tabla1[[#This Row],[Fatalities]]</f>
        <v>0</v>
      </c>
      <c r="W4280" s="50">
        <f>IFERROR(Tabla1[[#This Row],[Fatalities]]/Tabla1[[#This Row],[Aboard]],0)</f>
        <v>1</v>
      </c>
      <c r="X4280" s="51" t="str" cm="1">
        <f t="array" ref="X4280">_xlfn.IFS(Tabla1[[#This Row],[Porcentaje de muertes]]&lt;0.35,"LEVE",AND(Tabla1[[#This Row],[Porcentaje de muertes]]&gt;0.35,Tabla1[[#This Row],[Porcentaje de muertes]]&lt;0.65),"MEDIO",Tabla1[[#This Row],[Porcentaje de muertes]]&gt;0.65,"GRAVE")</f>
        <v>GRAVE</v>
      </c>
    </row>
    <row r="4281" spans="2:24" x14ac:dyDescent="0.3">
      <c r="B4281" s="9">
        <v>4281</v>
      </c>
      <c r="C4281" s="49">
        <v>36687</v>
      </c>
      <c r="D4281" s="9">
        <f>YEAR(Tabla1[[#This Row],[Date]])</f>
        <v>2000</v>
      </c>
      <c r="E4281" s="9" t="str" cm="1">
        <f t="array" ref="E4281">IFERROR(_xlfn.IFS(AND(D4281&lt;1980,D4281&gt;=1970),"70",AND(D4281&lt;1990,D4281&gt;=1980),"80",AND(D4281&lt;2000,D4281&gt;=1990),"90",AND(D4281&lt;2010,D4281&gt;=2000),"00",AND(D4281&lt;=2019,D4281&gt;=2010),"10"),"1908-1970")</f>
        <v>00</v>
      </c>
      <c r="F4281" s="3">
        <v>0.70486111111111116</v>
      </c>
      <c r="G4281" t="s">
        <v>24490</v>
      </c>
      <c r="H4281" t="s">
        <v>16827</v>
      </c>
      <c r="I4281">
        <v>250</v>
      </c>
      <c r="J4281" t="s">
        <v>24491</v>
      </c>
      <c r="K4281" t="s">
        <v>16014</v>
      </c>
      <c r="L4281" s="7" t="s">
        <v>24492</v>
      </c>
      <c r="M4281" t="s">
        <v>24493</v>
      </c>
      <c r="N4281">
        <v>88</v>
      </c>
      <c r="O4281">
        <v>83</v>
      </c>
      <c r="P4281">
        <v>5</v>
      </c>
      <c r="Q4281">
        <v>0</v>
      </c>
      <c r="R4281">
        <v>0</v>
      </c>
      <c r="S4281">
        <v>0</v>
      </c>
      <c r="T4281">
        <v>4</v>
      </c>
      <c r="U4281" t="s">
        <v>24494</v>
      </c>
      <c r="V4281">
        <f>Tabla1[[#This Row],[Aboard]]-Tabla1[[#This Row],[Fatalities]]</f>
        <v>88</v>
      </c>
      <c r="W4281" s="50">
        <f>IFERROR(Tabla1[[#This Row],[Fatalities]]/Tabla1[[#This Row],[Aboard]],0)</f>
        <v>0</v>
      </c>
      <c r="X4281" s="51" t="str" cm="1">
        <f t="array" ref="X4281">_xlfn.IFS(Tabla1[[#This Row],[Porcentaje de muertes]]&lt;0.35,"LEVE",AND(Tabla1[[#This Row],[Porcentaje de muertes]]&gt;0.35,Tabla1[[#This Row],[Porcentaje de muertes]]&lt;0.65),"MEDIO",Tabla1[[#This Row],[Porcentaje de muertes]]&gt;0.65,"GRAVE")</f>
        <v>LEVE</v>
      </c>
    </row>
    <row r="4282" spans="2:24" x14ac:dyDescent="0.3">
      <c r="B4282" s="9">
        <v>4282</v>
      </c>
      <c r="C4282" s="49">
        <v>36748</v>
      </c>
      <c r="D4282" s="9">
        <f>YEAR(Tabla1[[#This Row],[Date]])</f>
        <v>2000</v>
      </c>
      <c r="E4282" s="9" t="str" cm="1">
        <f t="array" ref="E4282">IFERROR(_xlfn.IFS(AND(D4282&lt;1980,D4282&gt;=1970),"70",AND(D4282&lt;1990,D4282&gt;=1980),"80",AND(D4282&lt;2000,D4282&gt;=1990),"90",AND(D4282&lt;2010,D4282&gt;=2000),"00",AND(D4282&lt;=2019,D4282&gt;=2010),"10"),"1908-1970")</f>
        <v>00</v>
      </c>
      <c r="F4282" s="3">
        <v>0.63888888888888895</v>
      </c>
      <c r="G4282" t="s">
        <v>24495</v>
      </c>
      <c r="H4282" t="s">
        <v>24496</v>
      </c>
      <c r="I4282" t="s">
        <v>28931</v>
      </c>
      <c r="J4282" t="s">
        <v>24497</v>
      </c>
      <c r="K4282" t="s">
        <v>24498</v>
      </c>
      <c r="L4282" s="7" t="s">
        <v>24499</v>
      </c>
      <c r="M4282" t="s">
        <v>24500</v>
      </c>
      <c r="N4282">
        <v>3</v>
      </c>
      <c r="O4282">
        <v>1</v>
      </c>
      <c r="P4282">
        <v>2</v>
      </c>
      <c r="Q4282">
        <v>3</v>
      </c>
      <c r="R4282">
        <v>1</v>
      </c>
      <c r="S4282">
        <v>2</v>
      </c>
      <c r="T4282">
        <v>0</v>
      </c>
      <c r="U4282" t="s">
        <v>24501</v>
      </c>
      <c r="V4282">
        <f>Tabla1[[#This Row],[Aboard]]-Tabla1[[#This Row],[Fatalities]]</f>
        <v>0</v>
      </c>
      <c r="W4282" s="50">
        <f>IFERROR(Tabla1[[#This Row],[Fatalities]]/Tabla1[[#This Row],[Aboard]],0)</f>
        <v>1</v>
      </c>
      <c r="X4282" s="51" t="str" cm="1">
        <f t="array" ref="X4282">_xlfn.IFS(Tabla1[[#This Row],[Porcentaje de muertes]]&lt;0.35,"LEVE",AND(Tabla1[[#This Row],[Porcentaje de muertes]]&gt;0.35,Tabla1[[#This Row],[Porcentaje de muertes]]&lt;0.65),"MEDIO",Tabla1[[#This Row],[Porcentaje de muertes]]&gt;0.65,"GRAVE")</f>
        <v>GRAVE</v>
      </c>
    </row>
    <row r="4283" spans="2:24" x14ac:dyDescent="0.3">
      <c r="B4283" s="9">
        <v>4283</v>
      </c>
      <c r="C4283" s="49">
        <v>36809</v>
      </c>
      <c r="D4283" s="9">
        <f>YEAR(Tabla1[[#This Row],[Date]])</f>
        <v>2000</v>
      </c>
      <c r="E4283" s="9" t="str" cm="1">
        <f t="array" ref="E4283">IFERROR(_xlfn.IFS(AND(D4283&lt;1980,D4283&gt;=1970),"70",AND(D4283&lt;1990,D4283&gt;=1980),"80",AND(D4283&lt;2000,D4283&gt;=1990),"90",AND(D4283&lt;2010,D4283&gt;=2000),"00",AND(D4283&lt;=2019,D4283&gt;=2010),"10"),"1908-1970")</f>
        <v>00</v>
      </c>
      <c r="F4283" s="3">
        <v>0.61944444444444446</v>
      </c>
      <c r="G4283" t="s">
        <v>14289</v>
      </c>
      <c r="H4283" t="s">
        <v>24502</v>
      </c>
      <c r="I4283" t="s">
        <v>28931</v>
      </c>
      <c r="J4283" t="s">
        <v>5028</v>
      </c>
      <c r="K4283" t="s">
        <v>24503</v>
      </c>
      <c r="L4283" s="7" t="s">
        <v>24504</v>
      </c>
      <c r="M4283">
        <v>5991</v>
      </c>
      <c r="N4283">
        <v>3</v>
      </c>
      <c r="O4283">
        <v>0</v>
      </c>
      <c r="P4283">
        <v>3</v>
      </c>
      <c r="Q4283">
        <v>2</v>
      </c>
      <c r="R4283">
        <v>0</v>
      </c>
      <c r="S4283">
        <v>2</v>
      </c>
      <c r="T4283">
        <v>0</v>
      </c>
      <c r="U4283" t="s">
        <v>24505</v>
      </c>
      <c r="V4283">
        <f>Tabla1[[#This Row],[Aboard]]-Tabla1[[#This Row],[Fatalities]]</f>
        <v>1</v>
      </c>
      <c r="W4283" s="50">
        <f>IFERROR(Tabla1[[#This Row],[Fatalities]]/Tabla1[[#This Row],[Aboard]],0)</f>
        <v>0.66666666666666663</v>
      </c>
      <c r="X4283" s="51" t="str" cm="1">
        <f t="array" ref="X4283">_xlfn.IFS(Tabla1[[#This Row],[Porcentaje de muertes]]&lt;0.35,"LEVE",AND(Tabla1[[#This Row],[Porcentaje de muertes]]&gt;0.35,Tabla1[[#This Row],[Porcentaje de muertes]]&lt;0.65),"MEDIO",Tabla1[[#This Row],[Porcentaje de muertes]]&gt;0.65,"GRAVE")</f>
        <v>GRAVE</v>
      </c>
    </row>
    <row r="4284" spans="2:24" x14ac:dyDescent="0.3">
      <c r="B4284" s="9">
        <v>4284</v>
      </c>
      <c r="C4284" s="49">
        <v>36815</v>
      </c>
      <c r="D4284" s="9">
        <f>YEAR(Tabla1[[#This Row],[Date]])</f>
        <v>2000</v>
      </c>
      <c r="E4284" s="9" t="str" cm="1">
        <f t="array" ref="E4284">IFERROR(_xlfn.IFS(AND(D4284&lt;1980,D4284&gt;=1970),"70",AND(D4284&lt;1990,D4284&gt;=1980),"80",AND(D4284&lt;2000,D4284&gt;=1990),"90",AND(D4284&lt;2010,D4284&gt;=2000),"00",AND(D4284&lt;=2019,D4284&gt;=2010),"10"),"1908-1970")</f>
        <v>00</v>
      </c>
      <c r="F4284" s="3">
        <v>0.73125000000000007</v>
      </c>
      <c r="G4284" t="s">
        <v>24506</v>
      </c>
      <c r="H4284" t="s">
        <v>5032</v>
      </c>
      <c r="I4284" t="s">
        <v>28931</v>
      </c>
      <c r="J4284" t="s">
        <v>24507</v>
      </c>
      <c r="K4284" t="s">
        <v>24508</v>
      </c>
      <c r="L4284" s="7" t="s">
        <v>24509</v>
      </c>
      <c r="M4284" t="s">
        <v>24510</v>
      </c>
      <c r="N4284">
        <v>3</v>
      </c>
      <c r="O4284">
        <v>2</v>
      </c>
      <c r="P4284">
        <v>1</v>
      </c>
      <c r="Q4284">
        <v>3</v>
      </c>
      <c r="R4284">
        <v>2</v>
      </c>
      <c r="S4284">
        <v>1</v>
      </c>
      <c r="T4284">
        <v>0</v>
      </c>
      <c r="U4284" t="s">
        <v>24511</v>
      </c>
      <c r="V4284">
        <f>Tabla1[[#This Row],[Aboard]]-Tabla1[[#This Row],[Fatalities]]</f>
        <v>0</v>
      </c>
      <c r="W4284" s="50">
        <f>IFERROR(Tabla1[[#This Row],[Fatalities]]/Tabla1[[#This Row],[Aboard]],0)</f>
        <v>1</v>
      </c>
      <c r="X4284" s="51" t="str" cm="1">
        <f t="array" ref="X4284">_xlfn.IFS(Tabla1[[#This Row],[Porcentaje de muertes]]&lt;0.35,"LEVE",AND(Tabla1[[#This Row],[Porcentaje de muertes]]&gt;0.35,Tabla1[[#This Row],[Porcentaje de muertes]]&lt;0.65),"MEDIO",Tabla1[[#This Row],[Porcentaje de muertes]]&gt;0.65,"GRAVE")</f>
        <v>GRAVE</v>
      </c>
    </row>
    <row r="4285" spans="2:24" x14ac:dyDescent="0.3">
      <c r="B4285" s="9">
        <v>4285</v>
      </c>
      <c r="C4285" s="49">
        <v>36818</v>
      </c>
      <c r="D4285" s="9">
        <f>YEAR(Tabla1[[#This Row],[Date]])</f>
        <v>2000</v>
      </c>
      <c r="E4285" s="9" t="str" cm="1">
        <f t="array" ref="E4285">IFERROR(_xlfn.IFS(AND(D4285&lt;1980,D4285&gt;=1970),"70",AND(D4285&lt;1990,D4285&gt;=1980),"80",AND(D4285&lt;2000,D4285&gt;=1990),"90",AND(D4285&lt;2010,D4285&gt;=2000),"00",AND(D4285&lt;=2019,D4285&gt;=2010),"10"),"1908-1970")</f>
        <v>00</v>
      </c>
      <c r="F4285" s="3">
        <v>0.5083333333333333</v>
      </c>
      <c r="G4285" t="s">
        <v>24512</v>
      </c>
      <c r="H4285" t="s">
        <v>22386</v>
      </c>
      <c r="I4285">
        <v>703</v>
      </c>
      <c r="J4285" t="s">
        <v>17292</v>
      </c>
      <c r="K4285" t="s">
        <v>23193</v>
      </c>
      <c r="L4285" s="7" t="s">
        <v>24513</v>
      </c>
      <c r="M4285">
        <v>86</v>
      </c>
      <c r="N4285">
        <v>17</v>
      </c>
      <c r="O4285">
        <v>15</v>
      </c>
      <c r="P4285">
        <v>2</v>
      </c>
      <c r="Q4285">
        <v>8</v>
      </c>
      <c r="R4285">
        <v>8</v>
      </c>
      <c r="S4285">
        <v>0</v>
      </c>
      <c r="T4285">
        <v>0</v>
      </c>
      <c r="U4285" t="s">
        <v>24514</v>
      </c>
      <c r="V4285">
        <f>Tabla1[[#This Row],[Aboard]]-Tabla1[[#This Row],[Fatalities]]</f>
        <v>9</v>
      </c>
      <c r="W4285" s="50">
        <f>IFERROR(Tabla1[[#This Row],[Fatalities]]/Tabla1[[#This Row],[Aboard]],0)</f>
        <v>0.47058823529411764</v>
      </c>
      <c r="X4285" s="51" t="str" cm="1">
        <f t="array" ref="X4285">_xlfn.IFS(Tabla1[[#This Row],[Porcentaje de muertes]]&lt;0.35,"LEVE",AND(Tabla1[[#This Row],[Porcentaje de muertes]]&gt;0.35,Tabla1[[#This Row],[Porcentaje de muertes]]&lt;0.65),"MEDIO",Tabla1[[#This Row],[Porcentaje de muertes]]&gt;0.65,"GRAVE")</f>
        <v>MEDIO</v>
      </c>
    </row>
    <row r="4286" spans="2:24" x14ac:dyDescent="0.3">
      <c r="B4286" s="9">
        <v>4286</v>
      </c>
      <c r="C4286" s="49">
        <v>36824</v>
      </c>
      <c r="D4286" s="9">
        <f>YEAR(Tabla1[[#This Row],[Date]])</f>
        <v>2000</v>
      </c>
      <c r="E4286" s="9" t="str" cm="1">
        <f t="array" ref="E4286">IFERROR(_xlfn.IFS(AND(D4286&lt;1980,D4286&gt;=1970),"70",AND(D4286&lt;1990,D4286&gt;=1980),"80",AND(D4286&lt;2000,D4286&gt;=1990),"90",AND(D4286&lt;2010,D4286&gt;=2000),"00",AND(D4286&lt;=2019,D4286&gt;=2010),"10"),"1908-1970")</f>
        <v>00</v>
      </c>
      <c r="F4286" s="3">
        <v>0.76041666666666663</v>
      </c>
      <c r="G4286" t="s">
        <v>24515</v>
      </c>
      <c r="H4286" t="s">
        <v>15187</v>
      </c>
      <c r="I4286" t="s">
        <v>28931</v>
      </c>
      <c r="J4286" t="s">
        <v>24516</v>
      </c>
      <c r="K4286" t="s">
        <v>13704</v>
      </c>
      <c r="L4286" s="7" t="s">
        <v>24517</v>
      </c>
      <c r="M4286">
        <v>187010602</v>
      </c>
      <c r="N4286">
        <v>86</v>
      </c>
      <c r="O4286">
        <v>75</v>
      </c>
      <c r="P4286">
        <v>11</v>
      </c>
      <c r="Q4286">
        <v>86</v>
      </c>
      <c r="R4286">
        <v>75</v>
      </c>
      <c r="S4286">
        <v>11</v>
      </c>
      <c r="T4286">
        <v>0</v>
      </c>
      <c r="U4286" t="s">
        <v>24518</v>
      </c>
      <c r="V4286">
        <f>Tabla1[[#This Row],[Aboard]]-Tabla1[[#This Row],[Fatalities]]</f>
        <v>0</v>
      </c>
      <c r="W4286" s="50">
        <f>IFERROR(Tabla1[[#This Row],[Fatalities]]/Tabla1[[#This Row],[Aboard]],0)</f>
        <v>1</v>
      </c>
      <c r="X4286" s="51" t="str" cm="1">
        <f t="array" ref="X4286">_xlfn.IFS(Tabla1[[#This Row],[Porcentaje de muertes]]&lt;0.35,"LEVE",AND(Tabla1[[#This Row],[Porcentaje de muertes]]&gt;0.35,Tabla1[[#This Row],[Porcentaje de muertes]]&lt;0.65),"MEDIO",Tabla1[[#This Row],[Porcentaje de muertes]]&gt;0.65,"GRAVE")</f>
        <v>GRAVE</v>
      </c>
    </row>
    <row r="4287" spans="2:24" x14ac:dyDescent="0.3">
      <c r="B4287" s="9">
        <v>4287</v>
      </c>
      <c r="C4287" s="49">
        <v>36830</v>
      </c>
      <c r="D4287" s="9">
        <f>YEAR(Tabla1[[#This Row],[Date]])</f>
        <v>2000</v>
      </c>
      <c r="E4287" s="9" t="str" cm="1">
        <f t="array" ref="E4287">IFERROR(_xlfn.IFS(AND(D4287&lt;1980,D4287&gt;=1970),"70",AND(D4287&lt;1990,D4287&gt;=1980),"80",AND(D4287&lt;2000,D4287&gt;=1990),"90",AND(D4287&lt;2010,D4287&gt;=2000),"00",AND(D4287&lt;=2019,D4287&gt;=2010),"10"),"1908-1970")</f>
        <v>00</v>
      </c>
      <c r="F4287" s="3">
        <v>0.4770833333333333</v>
      </c>
      <c r="G4287" t="s">
        <v>24519</v>
      </c>
      <c r="H4287" t="s">
        <v>24520</v>
      </c>
      <c r="I4287" t="s">
        <v>28931</v>
      </c>
      <c r="J4287" t="s">
        <v>24521</v>
      </c>
      <c r="K4287" t="s">
        <v>17904</v>
      </c>
      <c r="L4287" s="7" t="s">
        <v>24522</v>
      </c>
      <c r="M4287">
        <v>27312009</v>
      </c>
      <c r="N4287">
        <v>44</v>
      </c>
      <c r="O4287">
        <v>39</v>
      </c>
      <c r="P4287">
        <v>5</v>
      </c>
      <c r="Q4287">
        <v>44</v>
      </c>
      <c r="R4287">
        <v>39</v>
      </c>
      <c r="S4287">
        <v>5</v>
      </c>
      <c r="T4287">
        <v>0</v>
      </c>
      <c r="U4287" t="s">
        <v>24523</v>
      </c>
      <c r="V4287">
        <f>Tabla1[[#This Row],[Aboard]]-Tabla1[[#This Row],[Fatalities]]</f>
        <v>0</v>
      </c>
      <c r="W4287" s="50">
        <f>IFERROR(Tabla1[[#This Row],[Fatalities]]/Tabla1[[#This Row],[Aboard]],0)</f>
        <v>1</v>
      </c>
      <c r="X4287" s="51" t="str" cm="1">
        <f t="array" ref="X4287">_xlfn.IFS(Tabla1[[#This Row],[Porcentaje de muertes]]&lt;0.35,"LEVE",AND(Tabla1[[#This Row],[Porcentaje de muertes]]&gt;0.35,Tabla1[[#This Row],[Porcentaje de muertes]]&lt;0.65),"MEDIO",Tabla1[[#This Row],[Porcentaje de muertes]]&gt;0.65,"GRAVE")</f>
        <v>GRAVE</v>
      </c>
    </row>
    <row r="4288" spans="2:24" x14ac:dyDescent="0.3">
      <c r="B4288" s="9">
        <v>4288</v>
      </c>
      <c r="C4288" s="49">
        <v>36830</v>
      </c>
      <c r="D4288" s="9">
        <f>YEAR(Tabla1[[#This Row],[Date]])</f>
        <v>2000</v>
      </c>
      <c r="E4288" s="9" t="str" cm="1">
        <f t="array" ref="E4288">IFERROR(_xlfn.IFS(AND(D4288&lt;1980,D4288&gt;=1970),"70",AND(D4288&lt;1990,D4288&gt;=1980),"80",AND(D4288&lt;2000,D4288&gt;=1990),"90",AND(D4288&lt;2010,D4288&gt;=2000),"00",AND(D4288&lt;=2019,D4288&gt;=2010),"10"),"1908-1970")</f>
        <v>00</v>
      </c>
      <c r="F4288" s="3">
        <v>0.97013888888888899</v>
      </c>
      <c r="G4288" t="s">
        <v>9664</v>
      </c>
      <c r="H4288" t="s">
        <v>24524</v>
      </c>
      <c r="I4288">
        <v>6</v>
      </c>
      <c r="J4288" t="s">
        <v>19795</v>
      </c>
      <c r="K4288" t="s">
        <v>24525</v>
      </c>
      <c r="L4288" s="7" t="s">
        <v>24526</v>
      </c>
      <c r="M4288" t="s">
        <v>24527</v>
      </c>
      <c r="N4288">
        <v>179</v>
      </c>
      <c r="O4288">
        <v>159</v>
      </c>
      <c r="P4288">
        <v>20</v>
      </c>
      <c r="Q4288">
        <v>83</v>
      </c>
      <c r="R4288">
        <v>79</v>
      </c>
      <c r="S4288">
        <v>4</v>
      </c>
      <c r="T4288">
        <v>0</v>
      </c>
      <c r="U4288" t="s">
        <v>24528</v>
      </c>
      <c r="V4288">
        <f>Tabla1[[#This Row],[Aboard]]-Tabla1[[#This Row],[Fatalities]]</f>
        <v>96</v>
      </c>
      <c r="W4288" s="50">
        <f>IFERROR(Tabla1[[#This Row],[Fatalities]]/Tabla1[[#This Row],[Aboard]],0)</f>
        <v>0.46368715083798884</v>
      </c>
      <c r="X4288" s="51" t="str" cm="1">
        <f t="array" ref="X4288">_xlfn.IFS(Tabla1[[#This Row],[Porcentaje de muertes]]&lt;0.35,"LEVE",AND(Tabla1[[#This Row],[Porcentaje de muertes]]&gt;0.35,Tabla1[[#This Row],[Porcentaje de muertes]]&lt;0.65),"MEDIO",Tabla1[[#This Row],[Porcentaje de muertes]]&gt;0.65,"GRAVE")</f>
        <v>MEDIO</v>
      </c>
    </row>
    <row r="4289" spans="2:24" x14ac:dyDescent="0.3">
      <c r="B4289" s="9">
        <v>4289</v>
      </c>
      <c r="C4289" s="49">
        <v>36718</v>
      </c>
      <c r="D4289" s="9">
        <f>YEAR(Tabla1[[#This Row],[Date]])</f>
        <v>2000</v>
      </c>
      <c r="E4289" s="9" t="str" cm="1">
        <f t="array" ref="E4289">IFERROR(_xlfn.IFS(AND(D4289&lt;1980,D4289&gt;=1970),"70",AND(D4289&lt;1990,D4289&gt;=1980),"80",AND(D4289&lt;2000,D4289&gt;=1990),"90",AND(D4289&lt;2010,D4289&gt;=2000),"00",AND(D4289&lt;=2019,D4289&gt;=2010),"10"),"1908-1970")</f>
        <v>00</v>
      </c>
      <c r="F4289" s="3" t="s">
        <v>28931</v>
      </c>
      <c r="G4289" t="s">
        <v>24529</v>
      </c>
      <c r="H4289" t="s">
        <v>23282</v>
      </c>
      <c r="I4289" t="s">
        <v>28931</v>
      </c>
      <c r="J4289" t="s">
        <v>28931</v>
      </c>
      <c r="K4289" t="s">
        <v>23940</v>
      </c>
      <c r="L4289" s="7" t="s">
        <v>24530</v>
      </c>
      <c r="M4289">
        <v>3406</v>
      </c>
      <c r="N4289">
        <v>11</v>
      </c>
      <c r="O4289">
        <v>5</v>
      </c>
      <c r="P4289">
        <v>6</v>
      </c>
      <c r="Q4289">
        <v>2</v>
      </c>
      <c r="R4289">
        <v>1</v>
      </c>
      <c r="S4289">
        <v>1</v>
      </c>
      <c r="T4289">
        <v>0</v>
      </c>
      <c r="U4289" t="s">
        <v>24531</v>
      </c>
      <c r="V4289">
        <f>Tabla1[[#This Row],[Aboard]]-Tabla1[[#This Row],[Fatalities]]</f>
        <v>9</v>
      </c>
      <c r="W4289" s="50">
        <f>IFERROR(Tabla1[[#This Row],[Fatalities]]/Tabla1[[#This Row],[Aboard]],0)</f>
        <v>0.18181818181818182</v>
      </c>
      <c r="X4289" s="51" t="str" cm="1">
        <f t="array" ref="X4289">_xlfn.IFS(Tabla1[[#This Row],[Porcentaje de muertes]]&lt;0.35,"LEVE",AND(Tabla1[[#This Row],[Porcentaje de muertes]]&gt;0.35,Tabla1[[#This Row],[Porcentaje de muertes]]&lt;0.65),"MEDIO",Tabla1[[#This Row],[Porcentaje de muertes]]&gt;0.65,"GRAVE")</f>
        <v>LEVE</v>
      </c>
    </row>
    <row r="4290" spans="2:24" x14ac:dyDescent="0.3">
      <c r="B4290" s="9">
        <v>4290</v>
      </c>
      <c r="C4290" s="49">
        <v>36780</v>
      </c>
      <c r="D4290" s="9">
        <f>YEAR(Tabla1[[#This Row],[Date]])</f>
        <v>2000</v>
      </c>
      <c r="E4290" s="9" t="str" cm="1">
        <f t="array" ref="E4290">IFERROR(_xlfn.IFS(AND(D4290&lt;1980,D4290&gt;=1970),"70",AND(D4290&lt;1990,D4290&gt;=1980),"80",AND(D4290&lt;2000,D4290&gt;=1990),"90",AND(D4290&lt;2010,D4290&gt;=2000),"00",AND(D4290&lt;=2019,D4290&gt;=2010),"10"),"1908-1970")</f>
        <v>00</v>
      </c>
      <c r="F4290" s="3">
        <v>5.7638888888888885E-2</v>
      </c>
      <c r="G4290" t="s">
        <v>6210</v>
      </c>
      <c r="H4290" t="s">
        <v>24532</v>
      </c>
      <c r="I4290" t="s">
        <v>28931</v>
      </c>
      <c r="J4290" t="s">
        <v>24533</v>
      </c>
      <c r="K4290" t="s">
        <v>19547</v>
      </c>
      <c r="L4290" s="7" t="s">
        <v>24534</v>
      </c>
      <c r="M4290" t="s">
        <v>24535</v>
      </c>
      <c r="N4290">
        <v>1</v>
      </c>
      <c r="O4290">
        <v>0</v>
      </c>
      <c r="P4290">
        <v>1</v>
      </c>
      <c r="Q4290">
        <v>1</v>
      </c>
      <c r="R4290">
        <v>0</v>
      </c>
      <c r="S4290">
        <v>1</v>
      </c>
      <c r="T4290">
        <v>0</v>
      </c>
      <c r="U4290" t="s">
        <v>24536</v>
      </c>
      <c r="V4290">
        <f>Tabla1[[#This Row],[Aboard]]-Tabla1[[#This Row],[Fatalities]]</f>
        <v>0</v>
      </c>
      <c r="W4290" s="50">
        <f>IFERROR(Tabla1[[#This Row],[Fatalities]]/Tabla1[[#This Row],[Aboard]],0)</f>
        <v>1</v>
      </c>
      <c r="X4290" s="51" t="str" cm="1">
        <f t="array" ref="X4290">_xlfn.IFS(Tabla1[[#This Row],[Porcentaje de muertes]]&lt;0.35,"LEVE",AND(Tabla1[[#This Row],[Porcentaje de muertes]]&gt;0.35,Tabla1[[#This Row],[Porcentaje de muertes]]&lt;0.65),"MEDIO",Tabla1[[#This Row],[Porcentaje de muertes]]&gt;0.65,"GRAVE")</f>
        <v>GRAVE</v>
      </c>
    </row>
    <row r="4291" spans="2:24" x14ac:dyDescent="0.3">
      <c r="B4291" s="9">
        <v>4291</v>
      </c>
      <c r="C4291" s="49">
        <v>36845</v>
      </c>
      <c r="D4291" s="9">
        <f>YEAR(Tabla1[[#This Row],[Date]])</f>
        <v>2000</v>
      </c>
      <c r="E4291" s="9" t="str" cm="1">
        <f t="array" ref="E4291">IFERROR(_xlfn.IFS(AND(D4291&lt;1980,D4291&gt;=1970),"70",AND(D4291&lt;1990,D4291&gt;=1980),"80",AND(D4291&lt;2000,D4291&gt;=1990),"90",AND(D4291&lt;2010,D4291&gt;=2000),"00",AND(D4291&lt;=2019,D4291&gt;=2010),"10"),"1908-1970")</f>
        <v>00</v>
      </c>
      <c r="F4291" s="3">
        <v>0.54513888888888895</v>
      </c>
      <c r="G4291" t="s">
        <v>24537</v>
      </c>
      <c r="H4291" t="s">
        <v>24538</v>
      </c>
      <c r="I4291" t="s">
        <v>28931</v>
      </c>
      <c r="J4291" t="s">
        <v>24539</v>
      </c>
      <c r="K4291" t="s">
        <v>17904</v>
      </c>
      <c r="L4291" s="7" t="s">
        <v>24540</v>
      </c>
      <c r="M4291" t="s">
        <v>24541</v>
      </c>
      <c r="N4291">
        <v>57</v>
      </c>
      <c r="O4291">
        <v>52</v>
      </c>
      <c r="P4291">
        <v>5</v>
      </c>
      <c r="Q4291">
        <v>57</v>
      </c>
      <c r="R4291">
        <v>52</v>
      </c>
      <c r="S4291">
        <v>5</v>
      </c>
      <c r="T4291">
        <v>0</v>
      </c>
      <c r="U4291" t="s">
        <v>24542</v>
      </c>
      <c r="V4291">
        <f>Tabla1[[#This Row],[Aboard]]-Tabla1[[#This Row],[Fatalities]]</f>
        <v>0</v>
      </c>
      <c r="W4291" s="50">
        <f>IFERROR(Tabla1[[#This Row],[Fatalities]]/Tabla1[[#This Row],[Aboard]],0)</f>
        <v>1</v>
      </c>
      <c r="X4291" s="51" t="str" cm="1">
        <f t="array" ref="X4291">_xlfn.IFS(Tabla1[[#This Row],[Porcentaje de muertes]]&lt;0.35,"LEVE",AND(Tabla1[[#This Row],[Porcentaje de muertes]]&gt;0.35,Tabla1[[#This Row],[Porcentaje de muertes]]&lt;0.65),"MEDIO",Tabla1[[#This Row],[Porcentaje de muertes]]&gt;0.65,"GRAVE")</f>
        <v>GRAVE</v>
      </c>
    </row>
    <row r="4292" spans="2:24" x14ac:dyDescent="0.3">
      <c r="B4292" s="9">
        <v>4292</v>
      </c>
      <c r="C4292" s="49">
        <v>36850</v>
      </c>
      <c r="D4292" s="9">
        <f>YEAR(Tabla1[[#This Row],[Date]])</f>
        <v>2000</v>
      </c>
      <c r="E4292" s="9" t="str" cm="1">
        <f t="array" ref="E4292">IFERROR(_xlfn.IFS(AND(D4292&lt;1980,D4292&gt;=1970),"70",AND(D4292&lt;1990,D4292&gt;=1980),"80",AND(D4292&lt;2000,D4292&gt;=1990),"90",AND(D4292&lt;2010,D4292&gt;=2000),"00",AND(D4292&lt;=2019,D4292&gt;=2010),"10"),"1908-1970")</f>
        <v>00</v>
      </c>
      <c r="F4292" s="3">
        <v>0.51527777777777783</v>
      </c>
      <c r="G4292" t="s">
        <v>7709</v>
      </c>
      <c r="H4292" t="s">
        <v>6536</v>
      </c>
      <c r="I4292" t="s">
        <v>28931</v>
      </c>
      <c r="J4292" t="s">
        <v>24543</v>
      </c>
      <c r="K4292" t="s">
        <v>24544</v>
      </c>
      <c r="L4292" s="7" t="s">
        <v>24545</v>
      </c>
      <c r="M4292">
        <v>463</v>
      </c>
      <c r="N4292">
        <v>114</v>
      </c>
      <c r="O4292">
        <v>105</v>
      </c>
      <c r="P4292">
        <v>9</v>
      </c>
      <c r="Q4292">
        <v>1</v>
      </c>
      <c r="R4292">
        <v>0</v>
      </c>
      <c r="S4292">
        <v>1</v>
      </c>
      <c r="T4292">
        <v>0</v>
      </c>
      <c r="U4292" t="s">
        <v>24546</v>
      </c>
      <c r="V4292">
        <f>Tabla1[[#This Row],[Aboard]]-Tabla1[[#This Row],[Fatalities]]</f>
        <v>113</v>
      </c>
      <c r="W4292" s="50">
        <f>IFERROR(Tabla1[[#This Row],[Fatalities]]/Tabla1[[#This Row],[Aboard]],0)</f>
        <v>8.771929824561403E-3</v>
      </c>
      <c r="X4292" s="51" t="str" cm="1">
        <f t="array" ref="X4292">_xlfn.IFS(Tabla1[[#This Row],[Porcentaje de muertes]]&lt;0.35,"LEVE",AND(Tabla1[[#This Row],[Porcentaje de muertes]]&gt;0.35,Tabla1[[#This Row],[Porcentaje de muertes]]&lt;0.65),"MEDIO",Tabla1[[#This Row],[Porcentaje de muertes]]&gt;0.65,"GRAVE")</f>
        <v>LEVE</v>
      </c>
    </row>
    <row r="4293" spans="2:24" x14ac:dyDescent="0.3">
      <c r="B4293" s="9">
        <v>4293</v>
      </c>
      <c r="C4293" s="49">
        <v>36842</v>
      </c>
      <c r="D4293" s="9">
        <f>YEAR(Tabla1[[#This Row],[Date]])</f>
        <v>2000</v>
      </c>
      <c r="E4293" s="9" t="str" cm="1">
        <f t="array" ref="E4293">IFERROR(_xlfn.IFS(AND(D4293&lt;1980,D4293&gt;=1970),"70",AND(D4293&lt;1990,D4293&gt;=1980),"80",AND(D4293&lt;2000,D4293&gt;=1990),"90",AND(D4293&lt;2010,D4293&gt;=2000),"00",AND(D4293&lt;=2019,D4293&gt;=2010),"10"),"1908-1970")</f>
        <v>00</v>
      </c>
      <c r="F4293" s="3">
        <v>0.61458333333333337</v>
      </c>
      <c r="G4293" t="s">
        <v>24547</v>
      </c>
      <c r="H4293" t="s">
        <v>24548</v>
      </c>
      <c r="I4293" t="s">
        <v>28931</v>
      </c>
      <c r="J4293" t="s">
        <v>24549</v>
      </c>
      <c r="K4293" t="s">
        <v>24550</v>
      </c>
      <c r="L4293" s="7" t="s">
        <v>24551</v>
      </c>
      <c r="M4293" t="s">
        <v>28931</v>
      </c>
      <c r="N4293">
        <v>6</v>
      </c>
      <c r="O4293">
        <v>5</v>
      </c>
      <c r="P4293">
        <v>1</v>
      </c>
      <c r="Q4293">
        <v>6</v>
      </c>
      <c r="R4293">
        <v>5</v>
      </c>
      <c r="S4293">
        <v>1</v>
      </c>
      <c r="T4293">
        <v>0</v>
      </c>
      <c r="U4293" t="s">
        <v>24552</v>
      </c>
      <c r="V4293">
        <f>Tabla1[[#This Row],[Aboard]]-Tabla1[[#This Row],[Fatalities]]</f>
        <v>0</v>
      </c>
      <c r="W4293" s="50">
        <f>IFERROR(Tabla1[[#This Row],[Fatalities]]/Tabla1[[#This Row],[Aboard]],0)</f>
        <v>1</v>
      </c>
      <c r="X4293" s="51" t="str" cm="1">
        <f t="array" ref="X4293">_xlfn.IFS(Tabla1[[#This Row],[Porcentaje de muertes]]&lt;0.35,"LEVE",AND(Tabla1[[#This Row],[Porcentaje de muertes]]&gt;0.35,Tabla1[[#This Row],[Porcentaje de muertes]]&lt;0.65),"MEDIO",Tabla1[[#This Row],[Porcentaje de muertes]]&gt;0.65,"GRAVE")</f>
        <v>GRAVE</v>
      </c>
    </row>
    <row r="4294" spans="2:24" x14ac:dyDescent="0.3">
      <c r="B4294" s="9">
        <v>4294</v>
      </c>
      <c r="C4294" s="49">
        <v>36982</v>
      </c>
      <c r="D4294" s="9">
        <f>YEAR(Tabla1[[#This Row],[Date]])</f>
        <v>2001</v>
      </c>
      <c r="E4294" s="9" t="str" cm="1">
        <f t="array" ref="E4294">IFERROR(_xlfn.IFS(AND(D4294&lt;1980,D4294&gt;=1970),"70",AND(D4294&lt;1990,D4294&gt;=1980),"80",AND(D4294&lt;2000,D4294&gt;=1990),"90",AND(D4294&lt;2010,D4294&gt;=2000),"00",AND(D4294&lt;=2019,D4294&gt;=2010),"10"),"1908-1970")</f>
        <v>00</v>
      </c>
      <c r="F4294" s="3" t="s">
        <v>28931</v>
      </c>
      <c r="G4294" t="s">
        <v>24553</v>
      </c>
      <c r="H4294" t="s">
        <v>24554</v>
      </c>
      <c r="I4294" t="s">
        <v>28931</v>
      </c>
      <c r="J4294" t="s">
        <v>6190</v>
      </c>
      <c r="K4294" t="s">
        <v>24555</v>
      </c>
      <c r="L4294" s="7" t="s">
        <v>24556</v>
      </c>
      <c r="M4294" t="s">
        <v>28931</v>
      </c>
      <c r="N4294">
        <v>16</v>
      </c>
      <c r="O4294">
        <v>0</v>
      </c>
      <c r="P4294">
        <v>16</v>
      </c>
      <c r="Q4294">
        <v>16</v>
      </c>
      <c r="R4294">
        <v>0</v>
      </c>
      <c r="S4294">
        <v>16</v>
      </c>
      <c r="T4294">
        <v>6</v>
      </c>
      <c r="U4294" t="s">
        <v>24557</v>
      </c>
      <c r="V4294">
        <f>Tabla1[[#This Row],[Aboard]]-Tabla1[[#This Row],[Fatalities]]</f>
        <v>0</v>
      </c>
      <c r="W4294" s="50">
        <f>IFERROR(Tabla1[[#This Row],[Fatalities]]/Tabla1[[#This Row],[Aboard]],0)</f>
        <v>1</v>
      </c>
      <c r="X4294" s="51" t="str" cm="1">
        <f t="array" ref="X4294">_xlfn.IFS(Tabla1[[#This Row],[Porcentaje de muertes]]&lt;0.35,"LEVE",AND(Tabla1[[#This Row],[Porcentaje de muertes]]&gt;0.35,Tabla1[[#This Row],[Porcentaje de muertes]]&lt;0.65),"MEDIO",Tabla1[[#This Row],[Porcentaje de muertes]]&gt;0.65,"GRAVE")</f>
        <v>GRAVE</v>
      </c>
    </row>
    <row r="4295" spans="2:24" x14ac:dyDescent="0.3">
      <c r="B4295" s="9">
        <v>4295</v>
      </c>
      <c r="C4295" s="49">
        <v>37104</v>
      </c>
      <c r="D4295" s="9">
        <f>YEAR(Tabla1[[#This Row],[Date]])</f>
        <v>2001</v>
      </c>
      <c r="E4295" s="9" t="str" cm="1">
        <f t="array" ref="E4295">IFERROR(_xlfn.IFS(AND(D4295&lt;1980,D4295&gt;=1970),"70",AND(D4295&lt;1990,D4295&gt;=1980),"80",AND(D4295&lt;2000,D4295&gt;=1990),"90",AND(D4295&lt;2010,D4295&gt;=2000),"00",AND(D4295&lt;=2019,D4295&gt;=2010),"10"),"1908-1970")</f>
        <v>00</v>
      </c>
      <c r="F4295" s="3" t="s">
        <v>28931</v>
      </c>
      <c r="G4295" t="s">
        <v>24558</v>
      </c>
      <c r="H4295" t="s">
        <v>24559</v>
      </c>
      <c r="I4295" t="s">
        <v>28931</v>
      </c>
      <c r="J4295" t="s">
        <v>24560</v>
      </c>
      <c r="K4295" t="s">
        <v>24561</v>
      </c>
      <c r="L4295" s="7" t="s">
        <v>24562</v>
      </c>
      <c r="M4295" t="s">
        <v>24563</v>
      </c>
      <c r="N4295">
        <v>9</v>
      </c>
      <c r="O4295">
        <v>0</v>
      </c>
      <c r="P4295">
        <v>9</v>
      </c>
      <c r="Q4295">
        <v>9</v>
      </c>
      <c r="R4295">
        <v>0</v>
      </c>
      <c r="S4295">
        <v>9</v>
      </c>
      <c r="T4295">
        <v>0</v>
      </c>
      <c r="U4295" t="s">
        <v>24564</v>
      </c>
      <c r="V4295">
        <f>Tabla1[[#This Row],[Aboard]]-Tabla1[[#This Row],[Fatalities]]</f>
        <v>0</v>
      </c>
      <c r="W4295" s="50">
        <f>IFERROR(Tabla1[[#This Row],[Fatalities]]/Tabla1[[#This Row],[Aboard]],0)</f>
        <v>1</v>
      </c>
      <c r="X4295" s="51" t="str" cm="1">
        <f t="array" ref="X4295">_xlfn.IFS(Tabla1[[#This Row],[Porcentaje de muertes]]&lt;0.35,"LEVE",AND(Tabla1[[#This Row],[Porcentaje de muertes]]&gt;0.35,Tabla1[[#This Row],[Porcentaje de muertes]]&lt;0.65),"MEDIO",Tabla1[[#This Row],[Porcentaje de muertes]]&gt;0.65,"GRAVE")</f>
        <v>GRAVE</v>
      </c>
    </row>
    <row r="4296" spans="2:24" x14ac:dyDescent="0.3">
      <c r="B4296" s="9">
        <v>4296</v>
      </c>
      <c r="C4296" s="49">
        <v>36914</v>
      </c>
      <c r="D4296" s="9">
        <f>YEAR(Tabla1[[#This Row],[Date]])</f>
        <v>2001</v>
      </c>
      <c r="E4296" s="9" t="str" cm="1">
        <f t="array" ref="E4296">IFERROR(_xlfn.IFS(AND(D4296&lt;1980,D4296&gt;=1970),"70",AND(D4296&lt;1990,D4296&gt;=1980),"80",AND(D4296&lt;2000,D4296&gt;=1990),"90",AND(D4296&lt;2010,D4296&gt;=2000),"00",AND(D4296&lt;=2019,D4296&gt;=2010),"10"),"1908-1970")</f>
        <v>00</v>
      </c>
      <c r="F4296" s="3">
        <v>0.89930555555555547</v>
      </c>
      <c r="G4296" t="s">
        <v>24565</v>
      </c>
      <c r="H4296" t="s">
        <v>24566</v>
      </c>
      <c r="I4296" t="s">
        <v>28931</v>
      </c>
      <c r="J4296" t="s">
        <v>28931</v>
      </c>
      <c r="K4296" t="s">
        <v>24567</v>
      </c>
      <c r="L4296" s="7" t="s">
        <v>24568</v>
      </c>
      <c r="M4296">
        <v>13863</v>
      </c>
      <c r="N4296">
        <v>2</v>
      </c>
      <c r="O4296">
        <v>0</v>
      </c>
      <c r="P4296">
        <v>2</v>
      </c>
      <c r="Q4296">
        <v>2</v>
      </c>
      <c r="R4296">
        <v>0</v>
      </c>
      <c r="S4296">
        <v>2</v>
      </c>
      <c r="T4296">
        <v>0</v>
      </c>
      <c r="U4296" t="s">
        <v>24569</v>
      </c>
      <c r="V4296">
        <f>Tabla1[[#This Row],[Aboard]]-Tabla1[[#This Row],[Fatalities]]</f>
        <v>0</v>
      </c>
      <c r="W4296" s="50">
        <f>IFERROR(Tabla1[[#This Row],[Fatalities]]/Tabla1[[#This Row],[Aboard]],0)</f>
        <v>1</v>
      </c>
      <c r="X4296" s="51" t="str" cm="1">
        <f t="array" ref="X4296">_xlfn.IFS(Tabla1[[#This Row],[Porcentaje de muertes]]&lt;0.35,"LEVE",AND(Tabla1[[#This Row],[Porcentaje de muertes]]&gt;0.35,Tabla1[[#This Row],[Porcentaje de muertes]]&lt;0.65),"MEDIO",Tabla1[[#This Row],[Porcentaje de muertes]]&gt;0.65,"GRAVE")</f>
        <v>GRAVE</v>
      </c>
    </row>
    <row r="4297" spans="2:24" x14ac:dyDescent="0.3">
      <c r="B4297" s="9">
        <v>4297</v>
      </c>
      <c r="C4297" s="49">
        <v>36916</v>
      </c>
      <c r="D4297" s="9">
        <f>YEAR(Tabla1[[#This Row],[Date]])</f>
        <v>2001</v>
      </c>
      <c r="E4297" s="9" t="str" cm="1">
        <f t="array" ref="E4297">IFERROR(_xlfn.IFS(AND(D4297&lt;1980,D4297&gt;=1970),"70",AND(D4297&lt;1990,D4297&gt;=1980),"80",AND(D4297&lt;2000,D4297&gt;=1990),"90",AND(D4297&lt;2010,D4297&gt;=2000),"00",AND(D4297&lt;=2019,D4297&gt;=2010),"10"),"1908-1970")</f>
        <v>00</v>
      </c>
      <c r="F4297" s="3">
        <v>0.76041666666666663</v>
      </c>
      <c r="G4297" t="s">
        <v>24570</v>
      </c>
      <c r="H4297" t="s">
        <v>24571</v>
      </c>
      <c r="I4297">
        <v>224</v>
      </c>
      <c r="J4297" t="s">
        <v>24572</v>
      </c>
      <c r="K4297" t="s">
        <v>24573</v>
      </c>
      <c r="L4297" s="7" t="s">
        <v>24574</v>
      </c>
      <c r="M4297">
        <v>19055</v>
      </c>
      <c r="N4297">
        <v>24</v>
      </c>
      <c r="O4297">
        <v>20</v>
      </c>
      <c r="P4297">
        <v>4</v>
      </c>
      <c r="Q4297">
        <v>24</v>
      </c>
      <c r="R4297">
        <v>20</v>
      </c>
      <c r="S4297">
        <v>4</v>
      </c>
      <c r="T4297">
        <v>0</v>
      </c>
      <c r="U4297" t="s">
        <v>24575</v>
      </c>
      <c r="V4297">
        <f>Tabla1[[#This Row],[Aboard]]-Tabla1[[#This Row],[Fatalities]]</f>
        <v>0</v>
      </c>
      <c r="W4297" s="50">
        <f>IFERROR(Tabla1[[#This Row],[Fatalities]]/Tabla1[[#This Row],[Aboard]],0)</f>
        <v>1</v>
      </c>
      <c r="X4297" s="51" t="str" cm="1">
        <f t="array" ref="X4297">_xlfn.IFS(Tabla1[[#This Row],[Porcentaje de muertes]]&lt;0.35,"LEVE",AND(Tabla1[[#This Row],[Porcentaje de muertes]]&gt;0.35,Tabla1[[#This Row],[Porcentaje de muertes]]&lt;0.65),"MEDIO",Tabla1[[#This Row],[Porcentaje de muertes]]&gt;0.65,"GRAVE")</f>
        <v>GRAVE</v>
      </c>
    </row>
    <row r="4298" spans="2:24" x14ac:dyDescent="0.3">
      <c r="B4298" s="9">
        <v>4298</v>
      </c>
      <c r="C4298" s="49">
        <v>36918</v>
      </c>
      <c r="D4298" s="9">
        <f>YEAR(Tabla1[[#This Row],[Date]])</f>
        <v>2001</v>
      </c>
      <c r="E4298" s="9" t="str" cm="1">
        <f t="array" ref="E4298">IFERROR(_xlfn.IFS(AND(D4298&lt;1980,D4298&gt;=1970),"70",AND(D4298&lt;1990,D4298&gt;=1980),"80",AND(D4298&lt;2000,D4298&gt;=1990),"90",AND(D4298&lt;2010,D4298&gt;=2000),"00",AND(D4298&lt;=2019,D4298&gt;=2010),"10"),"1908-1970")</f>
        <v>00</v>
      </c>
      <c r="F4298" s="3">
        <v>0.73402777777777783</v>
      </c>
      <c r="G4298" t="s">
        <v>24576</v>
      </c>
      <c r="H4298" t="s">
        <v>24577</v>
      </c>
      <c r="I4298" t="s">
        <v>28931</v>
      </c>
      <c r="J4298" t="s">
        <v>24578</v>
      </c>
      <c r="K4298" t="s">
        <v>24579</v>
      </c>
      <c r="L4298" s="7" t="s">
        <v>24580</v>
      </c>
      <c r="M4298" t="s">
        <v>24581</v>
      </c>
      <c r="N4298">
        <v>10</v>
      </c>
      <c r="O4298">
        <v>8</v>
      </c>
      <c r="P4298">
        <v>2</v>
      </c>
      <c r="Q4298">
        <v>10</v>
      </c>
      <c r="R4298">
        <v>8</v>
      </c>
      <c r="S4298">
        <v>2</v>
      </c>
      <c r="T4298">
        <v>0</v>
      </c>
      <c r="U4298" t="s">
        <v>24582</v>
      </c>
      <c r="V4298">
        <f>Tabla1[[#This Row],[Aboard]]-Tabla1[[#This Row],[Fatalities]]</f>
        <v>0</v>
      </c>
      <c r="W4298" s="50">
        <f>IFERROR(Tabla1[[#This Row],[Fatalities]]/Tabla1[[#This Row],[Aboard]],0)</f>
        <v>1</v>
      </c>
      <c r="X4298" s="51" t="str" cm="1">
        <f t="array" ref="X4298">_xlfn.IFS(Tabla1[[#This Row],[Porcentaje de muertes]]&lt;0.35,"LEVE",AND(Tabla1[[#This Row],[Porcentaje de muertes]]&gt;0.35,Tabla1[[#This Row],[Porcentaje de muertes]]&lt;0.65),"MEDIO",Tabla1[[#This Row],[Porcentaje de muertes]]&gt;0.65,"GRAVE")</f>
        <v>GRAVE</v>
      </c>
    </row>
    <row r="4299" spans="2:24" x14ac:dyDescent="0.3">
      <c r="B4299" s="9">
        <v>4299</v>
      </c>
      <c r="C4299" s="49">
        <v>36922</v>
      </c>
      <c r="D4299" s="9">
        <f>YEAR(Tabla1[[#This Row],[Date]])</f>
        <v>2001</v>
      </c>
      <c r="E4299" s="9" t="str" cm="1">
        <f t="array" ref="E4299">IFERROR(_xlfn.IFS(AND(D4299&lt;1980,D4299&gt;=1970),"70",AND(D4299&lt;1990,D4299&gt;=1980),"80",AND(D4299&lt;2000,D4299&gt;=1990),"90",AND(D4299&lt;2010,D4299&gt;=2000),"00",AND(D4299&lt;=2019,D4299&gt;=2010),"10"),"1908-1970")</f>
        <v>00</v>
      </c>
      <c r="F4299" s="3">
        <v>0.70138888888888884</v>
      </c>
      <c r="G4299" t="s">
        <v>16888</v>
      </c>
      <c r="H4299" t="s">
        <v>24583</v>
      </c>
      <c r="I4299" t="s">
        <v>28931</v>
      </c>
      <c r="J4299" t="s">
        <v>24584</v>
      </c>
      <c r="K4299" t="s">
        <v>24585</v>
      </c>
      <c r="L4299" s="7" t="s">
        <v>24586</v>
      </c>
      <c r="M4299">
        <v>201</v>
      </c>
      <c r="N4299">
        <v>6</v>
      </c>
      <c r="O4299">
        <v>3</v>
      </c>
      <c r="P4299">
        <v>3</v>
      </c>
      <c r="Q4299">
        <v>3</v>
      </c>
      <c r="R4299">
        <v>2</v>
      </c>
      <c r="S4299">
        <v>1</v>
      </c>
      <c r="T4299">
        <v>0</v>
      </c>
      <c r="U4299" t="s">
        <v>24587</v>
      </c>
      <c r="V4299">
        <f>Tabla1[[#This Row],[Aboard]]-Tabla1[[#This Row],[Fatalities]]</f>
        <v>3</v>
      </c>
      <c r="W4299" s="50">
        <f>IFERROR(Tabla1[[#This Row],[Fatalities]]/Tabla1[[#This Row],[Aboard]],0)</f>
        <v>0.5</v>
      </c>
      <c r="X4299" s="51" t="str" cm="1">
        <f t="array" ref="X4299">_xlfn.IFS(Tabla1[[#This Row],[Porcentaje de muertes]]&lt;0.35,"LEVE",AND(Tabla1[[#This Row],[Porcentaje de muertes]]&gt;0.35,Tabla1[[#This Row],[Porcentaje de muertes]]&lt;0.65),"MEDIO",Tabla1[[#This Row],[Porcentaje de muertes]]&gt;0.65,"GRAVE")</f>
        <v>MEDIO</v>
      </c>
    </row>
    <row r="4300" spans="2:24" x14ac:dyDescent="0.3">
      <c r="B4300" s="9">
        <v>4300</v>
      </c>
      <c r="C4300" s="49">
        <v>37105</v>
      </c>
      <c r="D4300" s="9">
        <f>YEAR(Tabla1[[#This Row],[Date]])</f>
        <v>2001</v>
      </c>
      <c r="E4300" s="9" t="str" cm="1">
        <f t="array" ref="E4300">IFERROR(_xlfn.IFS(AND(D4300&lt;1980,D4300&gt;=1970),"70",AND(D4300&lt;1990,D4300&gt;=1980),"80",AND(D4300&lt;2000,D4300&gt;=1990),"90",AND(D4300&lt;2010,D4300&gt;=2000),"00",AND(D4300&lt;=2019,D4300&gt;=2010),"10"),"1908-1970")</f>
        <v>00</v>
      </c>
      <c r="F4300" s="3">
        <v>0.65277777777777779</v>
      </c>
      <c r="G4300" t="s">
        <v>6907</v>
      </c>
      <c r="H4300" t="s">
        <v>24588</v>
      </c>
      <c r="I4300" t="s">
        <v>28931</v>
      </c>
      <c r="J4300" t="s">
        <v>24589</v>
      </c>
      <c r="K4300" t="s">
        <v>23386</v>
      </c>
      <c r="L4300" s="7" t="s">
        <v>24590</v>
      </c>
      <c r="M4300" t="s">
        <v>24591</v>
      </c>
      <c r="N4300">
        <v>3</v>
      </c>
      <c r="O4300">
        <v>1</v>
      </c>
      <c r="P4300">
        <v>2</v>
      </c>
      <c r="Q4300">
        <v>3</v>
      </c>
      <c r="R4300">
        <v>1</v>
      </c>
      <c r="S4300">
        <v>2</v>
      </c>
      <c r="T4300">
        <v>0</v>
      </c>
      <c r="U4300" t="s">
        <v>24592</v>
      </c>
      <c r="V4300">
        <f>Tabla1[[#This Row],[Aboard]]-Tabla1[[#This Row],[Fatalities]]</f>
        <v>0</v>
      </c>
      <c r="W4300" s="50">
        <f>IFERROR(Tabla1[[#This Row],[Fatalities]]/Tabla1[[#This Row],[Aboard]],0)</f>
        <v>1</v>
      </c>
      <c r="X4300" s="51" t="str" cm="1">
        <f t="array" ref="X4300">_xlfn.IFS(Tabla1[[#This Row],[Porcentaje de muertes]]&lt;0.35,"LEVE",AND(Tabla1[[#This Row],[Porcentaje de muertes]]&gt;0.35,Tabla1[[#This Row],[Porcentaje de muertes]]&lt;0.65),"MEDIO",Tabla1[[#This Row],[Porcentaje de muertes]]&gt;0.65,"GRAVE")</f>
        <v>GRAVE</v>
      </c>
    </row>
    <row r="4301" spans="2:24" x14ac:dyDescent="0.3">
      <c r="B4301" s="9">
        <v>4301</v>
      </c>
      <c r="C4301" s="49">
        <v>37105</v>
      </c>
      <c r="D4301" s="9">
        <f>YEAR(Tabla1[[#This Row],[Date]])</f>
        <v>2001</v>
      </c>
      <c r="E4301" s="9" t="str" cm="1">
        <f t="array" ref="E4301">IFERROR(_xlfn.IFS(AND(D4301&lt;1980,D4301&gt;=1970),"70",AND(D4301&lt;1990,D4301&gt;=1980),"80",AND(D4301&lt;2000,D4301&gt;=1990),"90",AND(D4301&lt;2010,D4301&gt;=2000),"00",AND(D4301&lt;=2019,D4301&gt;=2010),"10"),"1908-1970")</f>
        <v>00</v>
      </c>
      <c r="F4301" s="3">
        <v>0.80555555555555547</v>
      </c>
      <c r="G4301" t="s">
        <v>24593</v>
      </c>
      <c r="H4301" t="s">
        <v>24594</v>
      </c>
      <c r="I4301" t="s">
        <v>28931</v>
      </c>
      <c r="J4301" t="s">
        <v>24595</v>
      </c>
      <c r="K4301" t="s">
        <v>24596</v>
      </c>
      <c r="L4301" s="7" t="s">
        <v>24597</v>
      </c>
      <c r="M4301" t="s">
        <v>24598</v>
      </c>
      <c r="N4301">
        <v>6</v>
      </c>
      <c r="O4301">
        <v>4</v>
      </c>
      <c r="P4301">
        <v>2</v>
      </c>
      <c r="Q4301">
        <v>2</v>
      </c>
      <c r="R4301">
        <v>0</v>
      </c>
      <c r="S4301">
        <v>2</v>
      </c>
      <c r="T4301">
        <v>0</v>
      </c>
      <c r="U4301" t="s">
        <v>24599</v>
      </c>
      <c r="V4301">
        <f>Tabla1[[#This Row],[Aboard]]-Tabla1[[#This Row],[Fatalities]]</f>
        <v>4</v>
      </c>
      <c r="W4301" s="50">
        <f>IFERROR(Tabla1[[#This Row],[Fatalities]]/Tabla1[[#This Row],[Aboard]],0)</f>
        <v>0.33333333333333331</v>
      </c>
      <c r="X4301" s="51" t="str" cm="1">
        <f t="array" ref="X4301">_xlfn.IFS(Tabla1[[#This Row],[Porcentaje de muertes]]&lt;0.35,"LEVE",AND(Tabla1[[#This Row],[Porcentaje de muertes]]&gt;0.35,Tabla1[[#This Row],[Porcentaje de muertes]]&lt;0.65),"MEDIO",Tabla1[[#This Row],[Porcentaje de muertes]]&gt;0.65,"GRAVE")</f>
        <v>LEVE</v>
      </c>
    </row>
    <row r="4302" spans="2:24" x14ac:dyDescent="0.3">
      <c r="B4302" s="9">
        <v>4302</v>
      </c>
      <c r="C4302" s="49">
        <v>37166</v>
      </c>
      <c r="D4302" s="9">
        <f>YEAR(Tabla1[[#This Row],[Date]])</f>
        <v>2001</v>
      </c>
      <c r="E4302" s="9" t="str" cm="1">
        <f t="array" ref="E4302">IFERROR(_xlfn.IFS(AND(D4302&lt;1980,D4302&gt;=1970),"70",AND(D4302&lt;1990,D4302&gt;=1980),"80",AND(D4302&lt;2000,D4302&gt;=1990),"90",AND(D4302&lt;2010,D4302&gt;=2000),"00",AND(D4302&lt;=2019,D4302&gt;=2010),"10"),"1908-1970")</f>
        <v>00</v>
      </c>
      <c r="F4302" s="3" t="s">
        <v>28931</v>
      </c>
      <c r="G4302" t="s">
        <v>24600</v>
      </c>
      <c r="H4302" t="s">
        <v>24601</v>
      </c>
      <c r="I4302" t="s">
        <v>28931</v>
      </c>
      <c r="J4302" t="s">
        <v>24602</v>
      </c>
      <c r="K4302" t="s">
        <v>21621</v>
      </c>
      <c r="L4302" s="7" t="s">
        <v>24603</v>
      </c>
      <c r="M4302" t="s">
        <v>24604</v>
      </c>
      <c r="N4302">
        <v>10</v>
      </c>
      <c r="O4302">
        <v>9</v>
      </c>
      <c r="P4302">
        <v>1</v>
      </c>
      <c r="Q4302">
        <v>10</v>
      </c>
      <c r="R4302">
        <v>9</v>
      </c>
      <c r="S4302">
        <v>1</v>
      </c>
      <c r="T4302">
        <v>0</v>
      </c>
      <c r="U4302" t="s">
        <v>24605</v>
      </c>
      <c r="V4302">
        <f>Tabla1[[#This Row],[Aboard]]-Tabla1[[#This Row],[Fatalities]]</f>
        <v>0</v>
      </c>
      <c r="W4302" s="50">
        <f>IFERROR(Tabla1[[#This Row],[Fatalities]]/Tabla1[[#This Row],[Aboard]],0)</f>
        <v>1</v>
      </c>
      <c r="X4302" s="51" t="str" cm="1">
        <f t="array" ref="X4302">_xlfn.IFS(Tabla1[[#This Row],[Porcentaje de muertes]]&lt;0.35,"LEVE",AND(Tabla1[[#This Row],[Porcentaje de muertes]]&gt;0.35,Tabla1[[#This Row],[Porcentaje de muertes]]&lt;0.65),"MEDIO",Tabla1[[#This Row],[Porcentaje de muertes]]&gt;0.65,"GRAVE")</f>
        <v>GRAVE</v>
      </c>
    </row>
    <row r="4303" spans="2:24" x14ac:dyDescent="0.3">
      <c r="B4303" s="9">
        <v>4303</v>
      </c>
      <c r="C4303" s="49">
        <v>36949</v>
      </c>
      <c r="D4303" s="9">
        <f>YEAR(Tabla1[[#This Row],[Date]])</f>
        <v>2001</v>
      </c>
      <c r="E4303" s="9" t="str" cm="1">
        <f t="array" ref="E4303">IFERROR(_xlfn.IFS(AND(D4303&lt;1980,D4303&gt;=1970),"70",AND(D4303&lt;1990,D4303&gt;=1980),"80",AND(D4303&lt;2000,D4303&gt;=1990),"90",AND(D4303&lt;2010,D4303&gt;=2000),"00",AND(D4303&lt;=2019,D4303&gt;=2010),"10"),"1908-1970")</f>
        <v>00</v>
      </c>
      <c r="F4303" s="3">
        <v>0.72916666666666663</v>
      </c>
      <c r="G4303" t="s">
        <v>24606</v>
      </c>
      <c r="H4303" t="s">
        <v>20117</v>
      </c>
      <c r="I4303">
        <v>670</v>
      </c>
      <c r="J4303" t="s">
        <v>24607</v>
      </c>
      <c r="K4303" t="s">
        <v>24608</v>
      </c>
      <c r="L4303" s="7" t="s">
        <v>24609</v>
      </c>
      <c r="M4303" t="s">
        <v>24610</v>
      </c>
      <c r="N4303">
        <v>2</v>
      </c>
      <c r="O4303">
        <v>0</v>
      </c>
      <c r="P4303">
        <v>2</v>
      </c>
      <c r="Q4303">
        <v>2</v>
      </c>
      <c r="R4303">
        <v>0</v>
      </c>
      <c r="S4303">
        <v>2</v>
      </c>
      <c r="T4303">
        <v>0</v>
      </c>
      <c r="U4303" t="s">
        <v>24611</v>
      </c>
      <c r="V4303">
        <f>Tabla1[[#This Row],[Aboard]]-Tabla1[[#This Row],[Fatalities]]</f>
        <v>0</v>
      </c>
      <c r="W4303" s="50">
        <f>IFERROR(Tabla1[[#This Row],[Fatalities]]/Tabla1[[#This Row],[Aboard]],0)</f>
        <v>1</v>
      </c>
      <c r="X4303" s="51" t="str" cm="1">
        <f t="array" ref="X4303">_xlfn.IFS(Tabla1[[#This Row],[Porcentaje de muertes]]&lt;0.35,"LEVE",AND(Tabla1[[#This Row],[Porcentaje de muertes]]&gt;0.35,Tabla1[[#This Row],[Porcentaje de muertes]]&lt;0.65),"MEDIO",Tabla1[[#This Row],[Porcentaje de muertes]]&gt;0.65,"GRAVE")</f>
        <v>GRAVE</v>
      </c>
    </row>
    <row r="4304" spans="2:24" x14ac:dyDescent="0.3">
      <c r="B4304" s="9">
        <v>4304</v>
      </c>
      <c r="C4304" s="49">
        <v>36953</v>
      </c>
      <c r="D4304" s="9">
        <f>YEAR(Tabla1[[#This Row],[Date]])</f>
        <v>2001</v>
      </c>
      <c r="E4304" s="9" t="str" cm="1">
        <f t="array" ref="E4304">IFERROR(_xlfn.IFS(AND(D4304&lt;1980,D4304&gt;=1970),"70",AND(D4304&lt;1990,D4304&gt;=1980),"80",AND(D4304&lt;2000,D4304&gt;=1990),"90",AND(D4304&lt;2010,D4304&gt;=2000),"00",AND(D4304&lt;=2019,D4304&gt;=2010),"10"),"1908-1970")</f>
        <v>00</v>
      </c>
      <c r="F4304" s="3">
        <v>0.41319444444444442</v>
      </c>
      <c r="G4304" t="s">
        <v>24612</v>
      </c>
      <c r="H4304" t="s">
        <v>24613</v>
      </c>
      <c r="I4304" t="s">
        <v>28931</v>
      </c>
      <c r="J4304" t="s">
        <v>24614</v>
      </c>
      <c r="K4304" t="s">
        <v>24615</v>
      </c>
      <c r="L4304" s="7" t="s">
        <v>24616</v>
      </c>
      <c r="M4304" t="s">
        <v>24617</v>
      </c>
      <c r="N4304">
        <v>21</v>
      </c>
      <c r="O4304">
        <v>18</v>
      </c>
      <c r="P4304">
        <v>3</v>
      </c>
      <c r="Q4304">
        <v>21</v>
      </c>
      <c r="R4304">
        <v>18</v>
      </c>
      <c r="S4304">
        <v>3</v>
      </c>
      <c r="T4304">
        <v>0</v>
      </c>
      <c r="U4304" t="s">
        <v>24618</v>
      </c>
      <c r="V4304">
        <f>Tabla1[[#This Row],[Aboard]]-Tabla1[[#This Row],[Fatalities]]</f>
        <v>0</v>
      </c>
      <c r="W4304" s="50">
        <f>IFERROR(Tabla1[[#This Row],[Fatalities]]/Tabla1[[#This Row],[Aboard]],0)</f>
        <v>1</v>
      </c>
      <c r="X4304" s="51" t="str" cm="1">
        <f t="array" ref="X4304">_xlfn.IFS(Tabla1[[#This Row],[Porcentaje de muertes]]&lt;0.35,"LEVE",AND(Tabla1[[#This Row],[Porcentaje de muertes]]&gt;0.35,Tabla1[[#This Row],[Porcentaje de muertes]]&lt;0.65),"MEDIO",Tabla1[[#This Row],[Porcentaje de muertes]]&gt;0.65,"GRAVE")</f>
        <v>GRAVE</v>
      </c>
    </row>
    <row r="4305" spans="2:24" x14ac:dyDescent="0.3">
      <c r="B4305" s="9">
        <v>4305</v>
      </c>
      <c r="C4305" s="49">
        <v>36953</v>
      </c>
      <c r="D4305" s="9">
        <f>YEAR(Tabla1[[#This Row],[Date]])</f>
        <v>2001</v>
      </c>
      <c r="E4305" s="9" t="str" cm="1">
        <f t="array" ref="E4305">IFERROR(_xlfn.IFS(AND(D4305&lt;1980,D4305&gt;=1970),"70",AND(D4305&lt;1990,D4305&gt;=1980),"80",AND(D4305&lt;2000,D4305&gt;=1990),"90",AND(D4305&lt;2010,D4305&gt;=2000),"00",AND(D4305&lt;=2019,D4305&gt;=2010),"10"),"1908-1970")</f>
        <v>00</v>
      </c>
      <c r="F4305" s="3">
        <v>0.6166666666666667</v>
      </c>
      <c r="G4305" t="s">
        <v>6146</v>
      </c>
      <c r="H4305" t="s">
        <v>15100</v>
      </c>
      <c r="I4305">
        <v>114</v>
      </c>
      <c r="J4305" t="s">
        <v>24619</v>
      </c>
      <c r="K4305" t="s">
        <v>24620</v>
      </c>
      <c r="L4305" s="7" t="s">
        <v>24621</v>
      </c>
      <c r="M4305" t="s">
        <v>24622</v>
      </c>
      <c r="N4305">
        <v>5</v>
      </c>
      <c r="O4305">
        <v>0</v>
      </c>
      <c r="P4305">
        <v>5</v>
      </c>
      <c r="Q4305">
        <v>1</v>
      </c>
      <c r="R4305">
        <v>0</v>
      </c>
      <c r="S4305">
        <v>1</v>
      </c>
      <c r="T4305">
        <v>0</v>
      </c>
      <c r="U4305" t="s">
        <v>24623</v>
      </c>
      <c r="V4305">
        <f>Tabla1[[#This Row],[Aboard]]-Tabla1[[#This Row],[Fatalities]]</f>
        <v>4</v>
      </c>
      <c r="W4305" s="50">
        <f>IFERROR(Tabla1[[#This Row],[Fatalities]]/Tabla1[[#This Row],[Aboard]],0)</f>
        <v>0.2</v>
      </c>
      <c r="X4305" s="51" t="str" cm="1">
        <f t="array" ref="X4305">_xlfn.IFS(Tabla1[[#This Row],[Porcentaje de muertes]]&lt;0.35,"LEVE",AND(Tabla1[[#This Row],[Porcentaje de muertes]]&gt;0.35,Tabla1[[#This Row],[Porcentaje de muertes]]&lt;0.65),"MEDIO",Tabla1[[#This Row],[Porcentaje de muertes]]&gt;0.65,"GRAVE")</f>
        <v>LEVE</v>
      </c>
    </row>
    <row r="4306" spans="2:24" x14ac:dyDescent="0.3">
      <c r="B4306" s="9">
        <v>4306</v>
      </c>
      <c r="C4306" s="49">
        <v>36965</v>
      </c>
      <c r="D4306" s="9">
        <f>YEAR(Tabla1[[#This Row],[Date]])</f>
        <v>2001</v>
      </c>
      <c r="E4306" s="9" t="str" cm="1">
        <f t="array" ref="E4306">IFERROR(_xlfn.IFS(AND(D4306&lt;1980,D4306&gt;=1970),"70",AND(D4306&lt;1990,D4306&gt;=1980),"80",AND(D4306&lt;2000,D4306&gt;=1990),"90",AND(D4306&lt;2010,D4306&gt;=2000),"00",AND(D4306&lt;=2019,D4306&gt;=2010),"10"),"1908-1970")</f>
        <v>00</v>
      </c>
      <c r="F4306" s="3" t="s">
        <v>28931</v>
      </c>
      <c r="G4306" t="s">
        <v>24624</v>
      </c>
      <c r="H4306" t="s">
        <v>24625</v>
      </c>
      <c r="I4306" t="s">
        <v>28931</v>
      </c>
      <c r="J4306" t="s">
        <v>24626</v>
      </c>
      <c r="K4306" t="s">
        <v>24627</v>
      </c>
      <c r="L4306" s="7" t="s">
        <v>24628</v>
      </c>
      <c r="M4306" t="s">
        <v>24629</v>
      </c>
      <c r="N4306">
        <v>174</v>
      </c>
      <c r="O4306">
        <v>162</v>
      </c>
      <c r="P4306">
        <v>12</v>
      </c>
      <c r="Q4306">
        <v>3</v>
      </c>
      <c r="R4306">
        <v>2</v>
      </c>
      <c r="S4306">
        <v>1</v>
      </c>
      <c r="T4306">
        <v>0</v>
      </c>
      <c r="U4306" t="s">
        <v>24630</v>
      </c>
      <c r="V4306">
        <f>Tabla1[[#This Row],[Aboard]]-Tabla1[[#This Row],[Fatalities]]</f>
        <v>171</v>
      </c>
      <c r="W4306" s="50">
        <f>IFERROR(Tabla1[[#This Row],[Fatalities]]/Tabla1[[#This Row],[Aboard]],0)</f>
        <v>1.7241379310344827E-2</v>
      </c>
      <c r="X4306" s="51" t="str" cm="1">
        <f t="array" ref="X4306">_xlfn.IFS(Tabla1[[#This Row],[Porcentaje de muertes]]&lt;0.35,"LEVE",AND(Tabla1[[#This Row],[Porcentaje de muertes]]&gt;0.35,Tabla1[[#This Row],[Porcentaje de muertes]]&lt;0.65),"MEDIO",Tabla1[[#This Row],[Porcentaje de muertes]]&gt;0.65,"GRAVE")</f>
        <v>LEVE</v>
      </c>
    </row>
    <row r="4307" spans="2:24" x14ac:dyDescent="0.3">
      <c r="B4307" s="9">
        <v>4307</v>
      </c>
      <c r="C4307" s="49">
        <v>36974</v>
      </c>
      <c r="D4307" s="9">
        <f>YEAR(Tabla1[[#This Row],[Date]])</f>
        <v>2001</v>
      </c>
      <c r="E4307" s="9" t="str" cm="1">
        <f t="array" ref="E4307">IFERROR(_xlfn.IFS(AND(D4307&lt;1980,D4307&gt;=1970),"70",AND(D4307&lt;1990,D4307&gt;=1980),"80",AND(D4307&lt;2000,D4307&gt;=1990),"90",AND(D4307&lt;2010,D4307&gt;=2000),"00",AND(D4307&lt;=2019,D4307&gt;=2010),"10"),"1908-1970")</f>
        <v>00</v>
      </c>
      <c r="F4307" s="3">
        <v>0.6875</v>
      </c>
      <c r="G4307" t="s">
        <v>24631</v>
      </c>
      <c r="H4307" t="s">
        <v>24632</v>
      </c>
      <c r="I4307">
        <v>1501</v>
      </c>
      <c r="J4307" t="s">
        <v>24633</v>
      </c>
      <c r="K4307" t="s">
        <v>16459</v>
      </c>
      <c r="L4307" s="7" t="s">
        <v>24634</v>
      </c>
      <c r="M4307">
        <v>254</v>
      </c>
      <c r="N4307">
        <v>19</v>
      </c>
      <c r="O4307">
        <v>17</v>
      </c>
      <c r="P4307">
        <v>2</v>
      </c>
      <c r="Q4307">
        <v>19</v>
      </c>
      <c r="R4307">
        <v>17</v>
      </c>
      <c r="S4307">
        <v>2</v>
      </c>
      <c r="T4307">
        <v>1</v>
      </c>
      <c r="U4307" t="s">
        <v>24635</v>
      </c>
      <c r="V4307">
        <f>Tabla1[[#This Row],[Aboard]]-Tabla1[[#This Row],[Fatalities]]</f>
        <v>0</v>
      </c>
      <c r="W4307" s="50">
        <f>IFERROR(Tabla1[[#This Row],[Fatalities]]/Tabla1[[#This Row],[Aboard]],0)</f>
        <v>1</v>
      </c>
      <c r="X4307" s="51" t="str" cm="1">
        <f t="array" ref="X4307">_xlfn.IFS(Tabla1[[#This Row],[Porcentaje de muertes]]&lt;0.35,"LEVE",AND(Tabla1[[#This Row],[Porcentaje de muertes]]&gt;0.35,Tabla1[[#This Row],[Porcentaje de muertes]]&lt;0.65),"MEDIO",Tabla1[[#This Row],[Porcentaje de muertes]]&gt;0.65,"GRAVE")</f>
        <v>GRAVE</v>
      </c>
    </row>
    <row r="4308" spans="2:24" x14ac:dyDescent="0.3">
      <c r="B4308" s="9">
        <v>4308</v>
      </c>
      <c r="C4308" s="49">
        <v>36976</v>
      </c>
      <c r="D4308" s="9">
        <f>YEAR(Tabla1[[#This Row],[Date]])</f>
        <v>2001</v>
      </c>
      <c r="E4308" s="9" t="str" cm="1">
        <f t="array" ref="E4308">IFERROR(_xlfn.IFS(AND(D4308&lt;1980,D4308&gt;=1970),"70",AND(D4308&lt;1990,D4308&gt;=1980),"80",AND(D4308&lt;2000,D4308&gt;=1990),"90",AND(D4308&lt;2010,D4308&gt;=2000),"00",AND(D4308&lt;=2019,D4308&gt;=2010),"10"),"1908-1970")</f>
        <v>00</v>
      </c>
      <c r="F4308" s="3">
        <v>0.76736111111111116</v>
      </c>
      <c r="G4308" t="s">
        <v>24636</v>
      </c>
      <c r="H4308" t="s">
        <v>16296</v>
      </c>
      <c r="I4308" t="s">
        <v>28931</v>
      </c>
      <c r="J4308" t="s">
        <v>6190</v>
      </c>
      <c r="K4308" t="s">
        <v>22532</v>
      </c>
      <c r="L4308" s="7" t="s">
        <v>24637</v>
      </c>
      <c r="M4308">
        <v>10609</v>
      </c>
      <c r="N4308">
        <v>3</v>
      </c>
      <c r="O4308">
        <v>0</v>
      </c>
      <c r="P4308">
        <v>3</v>
      </c>
      <c r="Q4308">
        <v>3</v>
      </c>
      <c r="R4308">
        <v>0</v>
      </c>
      <c r="S4308">
        <v>3</v>
      </c>
      <c r="T4308">
        <v>0</v>
      </c>
      <c r="U4308" t="s">
        <v>24638</v>
      </c>
      <c r="V4308">
        <f>Tabla1[[#This Row],[Aboard]]-Tabla1[[#This Row],[Fatalities]]</f>
        <v>0</v>
      </c>
      <c r="W4308" s="50">
        <f>IFERROR(Tabla1[[#This Row],[Fatalities]]/Tabla1[[#This Row],[Aboard]],0)</f>
        <v>1</v>
      </c>
      <c r="X4308" s="51" t="str" cm="1">
        <f t="array" ref="X4308">_xlfn.IFS(Tabla1[[#This Row],[Porcentaje de muertes]]&lt;0.35,"LEVE",AND(Tabla1[[#This Row],[Porcentaje de muertes]]&gt;0.35,Tabla1[[#This Row],[Porcentaje de muertes]]&lt;0.65),"MEDIO",Tabla1[[#This Row],[Porcentaje de muertes]]&gt;0.65,"GRAVE")</f>
        <v>GRAVE</v>
      </c>
    </row>
    <row r="4309" spans="2:24" x14ac:dyDescent="0.3">
      <c r="B4309" s="9">
        <v>4309</v>
      </c>
      <c r="C4309" s="49">
        <v>36979</v>
      </c>
      <c r="D4309" s="9">
        <f>YEAR(Tabla1[[#This Row],[Date]])</f>
        <v>2001</v>
      </c>
      <c r="E4309" s="9" t="str" cm="1">
        <f t="array" ref="E4309">IFERROR(_xlfn.IFS(AND(D4309&lt;1980,D4309&gt;=1970),"70",AND(D4309&lt;1990,D4309&gt;=1980),"80",AND(D4309&lt;2000,D4309&gt;=1990),"90",AND(D4309&lt;2010,D4309&gt;=2000),"00",AND(D4309&lt;=2019,D4309&gt;=2010),"10"),"1908-1970")</f>
        <v>00</v>
      </c>
      <c r="F4309" s="3">
        <v>0.79236111111111107</v>
      </c>
      <c r="G4309" t="s">
        <v>24639</v>
      </c>
      <c r="H4309" t="s">
        <v>24640</v>
      </c>
      <c r="I4309" t="s">
        <v>8152</v>
      </c>
      <c r="J4309" t="s">
        <v>24641</v>
      </c>
      <c r="K4309" t="s">
        <v>24642</v>
      </c>
      <c r="L4309" s="7" t="s">
        <v>24643</v>
      </c>
      <c r="M4309">
        <v>303</v>
      </c>
      <c r="N4309">
        <v>18</v>
      </c>
      <c r="O4309">
        <v>15</v>
      </c>
      <c r="P4309">
        <v>3</v>
      </c>
      <c r="Q4309">
        <v>18</v>
      </c>
      <c r="R4309">
        <v>15</v>
      </c>
      <c r="S4309">
        <v>3</v>
      </c>
      <c r="T4309">
        <v>0</v>
      </c>
      <c r="U4309" t="s">
        <v>24644</v>
      </c>
      <c r="V4309">
        <f>Tabla1[[#This Row],[Aboard]]-Tabla1[[#This Row],[Fatalities]]</f>
        <v>0</v>
      </c>
      <c r="W4309" s="50">
        <f>IFERROR(Tabla1[[#This Row],[Fatalities]]/Tabla1[[#This Row],[Aboard]],0)</f>
        <v>1</v>
      </c>
      <c r="X4309" s="51" t="str" cm="1">
        <f t="array" ref="X4309">_xlfn.IFS(Tabla1[[#This Row],[Porcentaje de muertes]]&lt;0.35,"LEVE",AND(Tabla1[[#This Row],[Porcentaje de muertes]]&gt;0.35,Tabla1[[#This Row],[Porcentaje de muertes]]&lt;0.65),"MEDIO",Tabla1[[#This Row],[Porcentaje de muertes]]&gt;0.65,"GRAVE")</f>
        <v>GRAVE</v>
      </c>
    </row>
    <row r="4310" spans="2:24" x14ac:dyDescent="0.3">
      <c r="B4310" s="9">
        <v>4310</v>
      </c>
      <c r="C4310" s="49">
        <v>36985</v>
      </c>
      <c r="D4310" s="9">
        <f>YEAR(Tabla1[[#This Row],[Date]])</f>
        <v>2001</v>
      </c>
      <c r="E4310" s="9" t="str" cm="1">
        <f t="array" ref="E4310">IFERROR(_xlfn.IFS(AND(D4310&lt;1980,D4310&gt;=1970),"70",AND(D4310&lt;1990,D4310&gt;=1980),"80",AND(D4310&lt;2000,D4310&gt;=1990),"90",AND(D4310&lt;2010,D4310&gt;=2000),"00",AND(D4310&lt;=2019,D4310&gt;=2010),"10"),"1908-1970")</f>
        <v>00</v>
      </c>
      <c r="F4310" s="3" t="s">
        <v>28931</v>
      </c>
      <c r="G4310" t="s">
        <v>24645</v>
      </c>
      <c r="H4310" t="s">
        <v>23689</v>
      </c>
      <c r="I4310" t="s">
        <v>28931</v>
      </c>
      <c r="J4310" t="s">
        <v>24646</v>
      </c>
      <c r="K4310" t="s">
        <v>14340</v>
      </c>
      <c r="L4310" s="7" t="s">
        <v>28931</v>
      </c>
      <c r="M4310" t="s">
        <v>28931</v>
      </c>
      <c r="N4310">
        <v>30</v>
      </c>
      <c r="O4310" t="s">
        <v>5038</v>
      </c>
      <c r="P4310" t="s">
        <v>5038</v>
      </c>
      <c r="Q4310">
        <v>14</v>
      </c>
      <c r="R4310" t="s">
        <v>5038</v>
      </c>
      <c r="S4310" t="s">
        <v>5038</v>
      </c>
      <c r="T4310">
        <v>0</v>
      </c>
      <c r="U4310" t="s">
        <v>24647</v>
      </c>
      <c r="V4310">
        <f>Tabla1[[#This Row],[Aboard]]-Tabla1[[#This Row],[Fatalities]]</f>
        <v>16</v>
      </c>
      <c r="W4310" s="50">
        <f>IFERROR(Tabla1[[#This Row],[Fatalities]]/Tabla1[[#This Row],[Aboard]],0)</f>
        <v>0.46666666666666667</v>
      </c>
      <c r="X4310" s="51" t="str" cm="1">
        <f t="array" ref="X4310">_xlfn.IFS(Tabla1[[#This Row],[Porcentaje de muertes]]&lt;0.35,"LEVE",AND(Tabla1[[#This Row],[Porcentaje de muertes]]&gt;0.35,Tabla1[[#This Row],[Porcentaje de muertes]]&lt;0.65),"MEDIO",Tabla1[[#This Row],[Porcentaje de muertes]]&gt;0.65,"GRAVE")</f>
        <v>MEDIO</v>
      </c>
    </row>
    <row r="4311" spans="2:24" x14ac:dyDescent="0.3">
      <c r="B4311" s="9">
        <v>4311</v>
      </c>
      <c r="C4311" s="49">
        <v>37076</v>
      </c>
      <c r="D4311" s="9">
        <f>YEAR(Tabla1[[#This Row],[Date]])</f>
        <v>2001</v>
      </c>
      <c r="E4311" s="9" t="str" cm="1">
        <f t="array" ref="E4311">IFERROR(_xlfn.IFS(AND(D4311&lt;1980,D4311&gt;=1970),"70",AND(D4311&lt;1990,D4311&gt;=1980),"80",AND(D4311&lt;2000,D4311&gt;=1990),"90",AND(D4311&lt;2010,D4311&gt;=2000),"00",AND(D4311&lt;=2019,D4311&gt;=2010),"10"),"1908-1970")</f>
        <v>00</v>
      </c>
      <c r="F4311" s="3">
        <v>0.64583333333333337</v>
      </c>
      <c r="G4311" t="s">
        <v>24648</v>
      </c>
      <c r="H4311" t="s">
        <v>24649</v>
      </c>
      <c r="I4311" t="s">
        <v>28931</v>
      </c>
      <c r="J4311" t="s">
        <v>24650</v>
      </c>
      <c r="K4311" t="s">
        <v>24651</v>
      </c>
      <c r="L4311" s="7" t="s">
        <v>24652</v>
      </c>
      <c r="M4311">
        <v>96168</v>
      </c>
      <c r="N4311">
        <v>16</v>
      </c>
      <c r="O4311">
        <v>13</v>
      </c>
      <c r="P4311">
        <v>3</v>
      </c>
      <c r="Q4311">
        <v>16</v>
      </c>
      <c r="R4311">
        <v>13</v>
      </c>
      <c r="S4311">
        <v>3</v>
      </c>
      <c r="T4311">
        <v>0</v>
      </c>
      <c r="U4311" t="s">
        <v>24653</v>
      </c>
      <c r="V4311">
        <f>Tabla1[[#This Row],[Aboard]]-Tabla1[[#This Row],[Fatalities]]</f>
        <v>0</v>
      </c>
      <c r="W4311" s="50">
        <f>IFERROR(Tabla1[[#This Row],[Fatalities]]/Tabla1[[#This Row],[Aboard]],0)</f>
        <v>1</v>
      </c>
      <c r="X4311" s="51" t="str" cm="1">
        <f t="array" ref="X4311">_xlfn.IFS(Tabla1[[#This Row],[Porcentaje de muertes]]&lt;0.35,"LEVE",AND(Tabla1[[#This Row],[Porcentaje de muertes]]&gt;0.35,Tabla1[[#This Row],[Porcentaje de muertes]]&lt;0.65),"MEDIO",Tabla1[[#This Row],[Porcentaje de muertes]]&gt;0.65,"GRAVE")</f>
        <v>GRAVE</v>
      </c>
    </row>
    <row r="4312" spans="2:24" x14ac:dyDescent="0.3">
      <c r="B4312" s="9">
        <v>4312</v>
      </c>
      <c r="C4312" s="49">
        <v>37009</v>
      </c>
      <c r="D4312" s="9">
        <f>YEAR(Tabla1[[#This Row],[Date]])</f>
        <v>2001</v>
      </c>
      <c r="E4312" s="9" t="str" cm="1">
        <f t="array" ref="E4312">IFERROR(_xlfn.IFS(AND(D4312&lt;1980,D4312&gt;=1970),"70",AND(D4312&lt;1990,D4312&gt;=1980),"80",AND(D4312&lt;2000,D4312&gt;=1990),"90",AND(D4312&lt;2010,D4312&gt;=2000),"00",AND(D4312&lt;=2019,D4312&gt;=2010),"10"),"1908-1970")</f>
        <v>00</v>
      </c>
      <c r="F4312" s="3">
        <v>0.21875</v>
      </c>
      <c r="G4312" t="s">
        <v>24654</v>
      </c>
      <c r="H4312" t="s">
        <v>24655</v>
      </c>
      <c r="I4312" t="s">
        <v>28931</v>
      </c>
      <c r="J4312" t="s">
        <v>24656</v>
      </c>
      <c r="K4312" t="s">
        <v>25298</v>
      </c>
      <c r="L4312" s="7" t="s">
        <v>24657</v>
      </c>
      <c r="M4312" t="s">
        <v>24658</v>
      </c>
      <c r="N4312">
        <v>10</v>
      </c>
      <c r="O4312">
        <v>8</v>
      </c>
      <c r="P4312">
        <v>2</v>
      </c>
      <c r="Q4312">
        <v>10</v>
      </c>
      <c r="R4312">
        <v>8</v>
      </c>
      <c r="S4312">
        <v>2</v>
      </c>
      <c r="T4312">
        <v>0</v>
      </c>
      <c r="U4312" t="s">
        <v>24659</v>
      </c>
      <c r="V4312">
        <f>Tabla1[[#This Row],[Aboard]]-Tabla1[[#This Row],[Fatalities]]</f>
        <v>0</v>
      </c>
      <c r="W4312" s="50">
        <f>IFERROR(Tabla1[[#This Row],[Fatalities]]/Tabla1[[#This Row],[Aboard]],0)</f>
        <v>1</v>
      </c>
      <c r="X4312" s="51" t="str" cm="1">
        <f t="array" ref="X4312">_xlfn.IFS(Tabla1[[#This Row],[Porcentaje de muertes]]&lt;0.35,"LEVE",AND(Tabla1[[#This Row],[Porcentaje de muertes]]&gt;0.35,Tabla1[[#This Row],[Porcentaje de muertes]]&lt;0.65),"MEDIO",Tabla1[[#This Row],[Porcentaje de muertes]]&gt;0.65,"GRAVE")</f>
        <v>GRAVE</v>
      </c>
    </row>
    <row r="4313" spans="2:24" x14ac:dyDescent="0.3">
      <c r="B4313" s="9">
        <v>4313</v>
      </c>
      <c r="C4313" s="49">
        <v>37027</v>
      </c>
      <c r="D4313" s="9">
        <f>YEAR(Tabla1[[#This Row],[Date]])</f>
        <v>2001</v>
      </c>
      <c r="E4313" s="9" t="str" cm="1">
        <f t="array" ref="E4313">IFERROR(_xlfn.IFS(AND(D4313&lt;1980,D4313&gt;=1970),"70",AND(D4313&lt;1990,D4313&gt;=1980),"80",AND(D4313&lt;2000,D4313&gt;=1990),"90",AND(D4313&lt;2010,D4313&gt;=2000),"00",AND(D4313&lt;=2019,D4313&gt;=2010),"10"),"1908-1970")</f>
        <v>00</v>
      </c>
      <c r="F4313" s="3">
        <v>0.55208333333333337</v>
      </c>
      <c r="G4313" t="s">
        <v>24660</v>
      </c>
      <c r="H4313" t="s">
        <v>18969</v>
      </c>
      <c r="I4313" t="s">
        <v>28931</v>
      </c>
      <c r="J4313" t="s">
        <v>24661</v>
      </c>
      <c r="K4313" t="s">
        <v>24662</v>
      </c>
      <c r="L4313" s="7" t="s">
        <v>28931</v>
      </c>
      <c r="M4313" t="s">
        <v>24663</v>
      </c>
      <c r="N4313">
        <v>34</v>
      </c>
      <c r="O4313">
        <v>28</v>
      </c>
      <c r="P4313">
        <v>6</v>
      </c>
      <c r="Q4313">
        <v>34</v>
      </c>
      <c r="R4313">
        <v>28</v>
      </c>
      <c r="S4313">
        <v>6</v>
      </c>
      <c r="T4313">
        <v>0</v>
      </c>
      <c r="U4313" t="s">
        <v>24664</v>
      </c>
      <c r="V4313">
        <f>Tabla1[[#This Row],[Aboard]]-Tabla1[[#This Row],[Fatalities]]</f>
        <v>0</v>
      </c>
      <c r="W4313" s="50">
        <f>IFERROR(Tabla1[[#This Row],[Fatalities]]/Tabla1[[#This Row],[Aboard]],0)</f>
        <v>1</v>
      </c>
      <c r="X4313" s="51" t="str" cm="1">
        <f t="array" ref="X4313">_xlfn.IFS(Tabla1[[#This Row],[Porcentaje de muertes]]&lt;0.35,"LEVE",AND(Tabla1[[#This Row],[Porcentaje de muertes]]&gt;0.35,Tabla1[[#This Row],[Porcentaje de muertes]]&lt;0.65),"MEDIO",Tabla1[[#This Row],[Porcentaje de muertes]]&gt;0.65,"GRAVE")</f>
        <v>GRAVE</v>
      </c>
    </row>
    <row r="4314" spans="2:24" x14ac:dyDescent="0.3">
      <c r="B4314" s="9">
        <v>4314</v>
      </c>
      <c r="C4314" s="49">
        <v>37028</v>
      </c>
      <c r="D4314" s="9">
        <f>YEAR(Tabla1[[#This Row],[Date]])</f>
        <v>2001</v>
      </c>
      <c r="E4314" s="9" t="str" cm="1">
        <f t="array" ref="E4314">IFERROR(_xlfn.IFS(AND(D4314&lt;1980,D4314&gt;=1970),"70",AND(D4314&lt;1990,D4314&gt;=1980),"80",AND(D4314&lt;2000,D4314&gt;=1990),"90",AND(D4314&lt;2010,D4314&gt;=2000),"00",AND(D4314&lt;=2019,D4314&gt;=2010),"10"),"1908-1970")</f>
        <v>00</v>
      </c>
      <c r="F4314" s="3">
        <v>0.32291666666666669</v>
      </c>
      <c r="G4314" t="s">
        <v>24665</v>
      </c>
      <c r="H4314" t="s">
        <v>24666</v>
      </c>
      <c r="I4314" t="s">
        <v>28931</v>
      </c>
      <c r="J4314" t="s">
        <v>24667</v>
      </c>
      <c r="K4314" t="s">
        <v>15961</v>
      </c>
      <c r="L4314" s="7" t="s">
        <v>24668</v>
      </c>
      <c r="M4314">
        <v>9740856</v>
      </c>
      <c r="N4314">
        <v>30</v>
      </c>
      <c r="O4314">
        <v>25</v>
      </c>
      <c r="P4314">
        <v>5</v>
      </c>
      <c r="Q4314">
        <v>30</v>
      </c>
      <c r="R4314">
        <v>25</v>
      </c>
      <c r="S4314">
        <v>5</v>
      </c>
      <c r="T4314">
        <v>0</v>
      </c>
      <c r="U4314" t="s">
        <v>24669</v>
      </c>
      <c r="V4314">
        <f>Tabla1[[#This Row],[Aboard]]-Tabla1[[#This Row],[Fatalities]]</f>
        <v>0</v>
      </c>
      <c r="W4314" s="50">
        <f>IFERROR(Tabla1[[#This Row],[Fatalities]]/Tabla1[[#This Row],[Aboard]],0)</f>
        <v>1</v>
      </c>
      <c r="X4314" s="51" t="str" cm="1">
        <f t="array" ref="X4314">_xlfn.IFS(Tabla1[[#This Row],[Porcentaje de muertes]]&lt;0.35,"LEVE",AND(Tabla1[[#This Row],[Porcentaje de muertes]]&gt;0.35,Tabla1[[#This Row],[Porcentaje de muertes]]&lt;0.65),"MEDIO",Tabla1[[#This Row],[Porcentaje de muertes]]&gt;0.65,"GRAVE")</f>
        <v>GRAVE</v>
      </c>
    </row>
    <row r="4315" spans="2:24" x14ac:dyDescent="0.3">
      <c r="B4315" s="9">
        <v>4315</v>
      </c>
      <c r="C4315" s="49">
        <v>37028</v>
      </c>
      <c r="D4315" s="9">
        <f>YEAR(Tabla1[[#This Row],[Date]])</f>
        <v>2001</v>
      </c>
      <c r="E4315" s="9" t="str" cm="1">
        <f t="array" ref="E4315">IFERROR(_xlfn.IFS(AND(D4315&lt;1980,D4315&gt;=1970),"70",AND(D4315&lt;1990,D4315&gt;=1980),"80",AND(D4315&lt;2000,D4315&gt;=1990),"90",AND(D4315&lt;2010,D4315&gt;=2000),"00",AND(D4315&lt;=2019,D4315&gt;=2010),"10"),"1908-1970")</f>
        <v>00</v>
      </c>
      <c r="F4315" s="3">
        <v>0.51458333333333328</v>
      </c>
      <c r="G4315" t="s">
        <v>24670</v>
      </c>
      <c r="H4315" t="s">
        <v>8880</v>
      </c>
      <c r="I4315" t="s">
        <v>28931</v>
      </c>
      <c r="J4315" t="s">
        <v>24671</v>
      </c>
      <c r="K4315" t="s">
        <v>15897</v>
      </c>
      <c r="L4315" s="7" t="s">
        <v>24672</v>
      </c>
      <c r="M4315">
        <v>10412</v>
      </c>
      <c r="N4315">
        <v>5</v>
      </c>
      <c r="O4315">
        <v>0</v>
      </c>
      <c r="P4315">
        <v>5</v>
      </c>
      <c r="Q4315">
        <v>5</v>
      </c>
      <c r="R4315">
        <v>0</v>
      </c>
      <c r="S4315">
        <v>5</v>
      </c>
      <c r="T4315">
        <v>0</v>
      </c>
      <c r="U4315" t="s">
        <v>24673</v>
      </c>
      <c r="V4315">
        <f>Tabla1[[#This Row],[Aboard]]-Tabla1[[#This Row],[Fatalities]]</f>
        <v>0</v>
      </c>
      <c r="W4315" s="50">
        <f>IFERROR(Tabla1[[#This Row],[Fatalities]]/Tabla1[[#This Row],[Aboard]],0)</f>
        <v>1</v>
      </c>
      <c r="X4315" s="51" t="str" cm="1">
        <f t="array" ref="X4315">_xlfn.IFS(Tabla1[[#This Row],[Porcentaje de muertes]]&lt;0.35,"LEVE",AND(Tabla1[[#This Row],[Porcentaje de muertes]]&gt;0.35,Tabla1[[#This Row],[Porcentaje de muertes]]&lt;0.65),"MEDIO",Tabla1[[#This Row],[Porcentaje de muertes]]&gt;0.65,"GRAVE")</f>
        <v>GRAVE</v>
      </c>
    </row>
    <row r="4316" spans="2:24" x14ac:dyDescent="0.3">
      <c r="B4316" s="9">
        <v>4316</v>
      </c>
      <c r="C4316" s="49">
        <v>37033</v>
      </c>
      <c r="D4316" s="9">
        <f>YEAR(Tabla1[[#This Row],[Date]])</f>
        <v>2001</v>
      </c>
      <c r="E4316" s="9" t="str" cm="1">
        <f t="array" ref="E4316">IFERROR(_xlfn.IFS(AND(D4316&lt;1980,D4316&gt;=1970),"70",AND(D4316&lt;1990,D4316&gt;=1980),"80",AND(D4316&lt;2000,D4316&gt;=1990),"90",AND(D4316&lt;2010,D4316&gt;=2000),"00",AND(D4316&lt;=2019,D4316&gt;=2010),"10"),"1908-1970")</f>
        <v>00</v>
      </c>
      <c r="F4316" s="3">
        <v>0.69097222222222221</v>
      </c>
      <c r="G4316" t="s">
        <v>24674</v>
      </c>
      <c r="H4316" t="s">
        <v>15187</v>
      </c>
      <c r="I4316" t="s">
        <v>28931</v>
      </c>
      <c r="J4316" t="s">
        <v>24675</v>
      </c>
      <c r="K4316" t="s">
        <v>24676</v>
      </c>
      <c r="L4316" s="7" t="s">
        <v>24677</v>
      </c>
      <c r="M4316">
        <v>347002</v>
      </c>
      <c r="N4316">
        <v>7</v>
      </c>
      <c r="O4316">
        <v>0</v>
      </c>
      <c r="P4316">
        <v>7</v>
      </c>
      <c r="Q4316">
        <v>7</v>
      </c>
      <c r="R4316">
        <v>0</v>
      </c>
      <c r="S4316">
        <v>7</v>
      </c>
      <c r="T4316">
        <v>0</v>
      </c>
      <c r="U4316" t="s">
        <v>7476</v>
      </c>
      <c r="V4316">
        <f>Tabla1[[#This Row],[Aboard]]-Tabla1[[#This Row],[Fatalities]]</f>
        <v>0</v>
      </c>
      <c r="W4316" s="50">
        <f>IFERROR(Tabla1[[#This Row],[Fatalities]]/Tabla1[[#This Row],[Aboard]],0)</f>
        <v>1</v>
      </c>
      <c r="X4316" s="51" t="str" cm="1">
        <f t="array" ref="X4316">_xlfn.IFS(Tabla1[[#This Row],[Porcentaje de muertes]]&lt;0.35,"LEVE",AND(Tabla1[[#This Row],[Porcentaje de muertes]]&gt;0.35,Tabla1[[#This Row],[Porcentaje de muertes]]&lt;0.65),"MEDIO",Tabla1[[#This Row],[Porcentaje de muertes]]&gt;0.65,"GRAVE")</f>
        <v>GRAVE</v>
      </c>
    </row>
    <row r="4317" spans="2:24" x14ac:dyDescent="0.3">
      <c r="B4317" s="9">
        <v>4317</v>
      </c>
      <c r="C4317" s="49">
        <v>37057</v>
      </c>
      <c r="D4317" s="9">
        <f>YEAR(Tabla1[[#This Row],[Date]])</f>
        <v>2001</v>
      </c>
      <c r="E4317" s="9" t="str" cm="1">
        <f t="array" ref="E4317">IFERROR(_xlfn.IFS(AND(D4317&lt;1980,D4317&gt;=1970),"70",AND(D4317&lt;1990,D4317&gt;=1980),"80",AND(D4317&lt;2000,D4317&gt;=1990),"90",AND(D4317&lt;2010,D4317&gt;=2000),"00",AND(D4317&lt;=2019,D4317&gt;=2010),"10"),"1908-1970")</f>
        <v>00</v>
      </c>
      <c r="F4317" s="3">
        <v>0.60416666666666663</v>
      </c>
      <c r="G4317" t="s">
        <v>24678</v>
      </c>
      <c r="H4317" t="s">
        <v>24679</v>
      </c>
      <c r="I4317" t="s">
        <v>28931</v>
      </c>
      <c r="J4317" t="s">
        <v>24680</v>
      </c>
      <c r="K4317" t="s">
        <v>24681</v>
      </c>
      <c r="L4317" s="7" t="s">
        <v>24682</v>
      </c>
      <c r="M4317">
        <v>233</v>
      </c>
      <c r="N4317">
        <v>19</v>
      </c>
      <c r="O4317">
        <v>16</v>
      </c>
      <c r="P4317">
        <v>3</v>
      </c>
      <c r="Q4317">
        <v>1</v>
      </c>
      <c r="R4317">
        <v>1</v>
      </c>
      <c r="S4317">
        <v>0</v>
      </c>
      <c r="T4317">
        <v>0</v>
      </c>
      <c r="U4317" t="s">
        <v>24683</v>
      </c>
      <c r="V4317">
        <f>Tabla1[[#This Row],[Aboard]]-Tabla1[[#This Row],[Fatalities]]</f>
        <v>18</v>
      </c>
      <c r="W4317" s="50">
        <f>IFERROR(Tabla1[[#This Row],[Fatalities]]/Tabla1[[#This Row],[Aboard]],0)</f>
        <v>5.2631578947368418E-2</v>
      </c>
      <c r="X4317" s="51" t="str" cm="1">
        <f t="array" ref="X4317">_xlfn.IFS(Tabla1[[#This Row],[Porcentaje de muertes]]&lt;0.35,"LEVE",AND(Tabla1[[#This Row],[Porcentaje de muertes]]&gt;0.35,Tabla1[[#This Row],[Porcentaje de muertes]]&lt;0.65),"MEDIO",Tabla1[[#This Row],[Porcentaje de muertes]]&gt;0.65,"GRAVE")</f>
        <v>LEVE</v>
      </c>
    </row>
    <row r="4318" spans="2:24" x14ac:dyDescent="0.3">
      <c r="B4318" s="9">
        <v>4318</v>
      </c>
      <c r="C4318" s="49">
        <v>36988</v>
      </c>
      <c r="D4318" s="9">
        <f>YEAR(Tabla1[[#This Row],[Date]])</f>
        <v>2001</v>
      </c>
      <c r="E4318" s="9" t="str" cm="1">
        <f t="array" ref="E4318">IFERROR(_xlfn.IFS(AND(D4318&lt;1980,D4318&gt;=1970),"70",AND(D4318&lt;1990,D4318&gt;=1980),"80",AND(D4318&lt;2000,D4318&gt;=1990),"90",AND(D4318&lt;2010,D4318&gt;=2000),"00",AND(D4318&lt;=2019,D4318&gt;=2010),"10"),"1908-1970")</f>
        <v>00</v>
      </c>
      <c r="F4318" s="3">
        <v>8.8888888888888892E-2</v>
      </c>
      <c r="G4318" t="s">
        <v>13909</v>
      </c>
      <c r="H4318" t="s">
        <v>24684</v>
      </c>
      <c r="I4318">
        <v>352</v>
      </c>
      <c r="J4318" t="s">
        <v>24685</v>
      </c>
      <c r="K4318" t="s">
        <v>22401</v>
      </c>
      <c r="L4318" s="7" t="s">
        <v>24686</v>
      </c>
      <c r="M4318" t="s">
        <v>24687</v>
      </c>
      <c r="N4318">
        <v>145</v>
      </c>
      <c r="O4318">
        <v>136</v>
      </c>
      <c r="P4318">
        <v>9</v>
      </c>
      <c r="Q4318">
        <v>145</v>
      </c>
      <c r="R4318">
        <v>136</v>
      </c>
      <c r="S4318">
        <v>9</v>
      </c>
      <c r="T4318">
        <v>0</v>
      </c>
      <c r="U4318" t="s">
        <v>24688</v>
      </c>
      <c r="V4318">
        <f>Tabla1[[#This Row],[Aboard]]-Tabla1[[#This Row],[Fatalities]]</f>
        <v>0</v>
      </c>
      <c r="W4318" s="50">
        <f>IFERROR(Tabla1[[#This Row],[Fatalities]]/Tabla1[[#This Row],[Aboard]],0)</f>
        <v>1</v>
      </c>
      <c r="X4318" s="51" t="str" cm="1">
        <f t="array" ref="X4318">_xlfn.IFS(Tabla1[[#This Row],[Porcentaje de muertes]]&lt;0.35,"LEVE",AND(Tabla1[[#This Row],[Porcentaje de muertes]]&gt;0.35,Tabla1[[#This Row],[Porcentaje de muertes]]&lt;0.65),"MEDIO",Tabla1[[#This Row],[Porcentaje de muertes]]&gt;0.65,"GRAVE")</f>
        <v>GRAVE</v>
      </c>
    </row>
    <row r="4319" spans="2:24" x14ac:dyDescent="0.3">
      <c r="B4319" s="9">
        <v>4319</v>
      </c>
      <c r="C4319" s="49">
        <v>37018</v>
      </c>
      <c r="D4319" s="9">
        <f>YEAR(Tabla1[[#This Row],[Date]])</f>
        <v>2001</v>
      </c>
      <c r="E4319" s="9" t="str" cm="1">
        <f t="array" ref="E4319">IFERROR(_xlfn.IFS(AND(D4319&lt;1980,D4319&gt;=1970),"70",AND(D4319&lt;1990,D4319&gt;=1980),"80",AND(D4319&lt;2000,D4319&gt;=1990),"90",AND(D4319&lt;2010,D4319&gt;=2000),"00",AND(D4319&lt;=2019,D4319&gt;=2010),"10"),"1908-1970")</f>
        <v>00</v>
      </c>
      <c r="F4319" s="3">
        <v>0.4861111111111111</v>
      </c>
      <c r="G4319" t="s">
        <v>24689</v>
      </c>
      <c r="H4319" t="s">
        <v>24690</v>
      </c>
      <c r="I4319" t="s">
        <v>28931</v>
      </c>
      <c r="J4319" t="s">
        <v>24691</v>
      </c>
      <c r="K4319" t="s">
        <v>24692</v>
      </c>
      <c r="L4319" s="7" t="s">
        <v>24693</v>
      </c>
      <c r="M4319">
        <v>760341</v>
      </c>
      <c r="N4319">
        <v>12</v>
      </c>
      <c r="O4319">
        <v>9</v>
      </c>
      <c r="P4319">
        <v>3</v>
      </c>
      <c r="Q4319">
        <v>8</v>
      </c>
      <c r="R4319">
        <v>7</v>
      </c>
      <c r="S4319">
        <v>1</v>
      </c>
      <c r="T4319">
        <v>0</v>
      </c>
      <c r="U4319" t="s">
        <v>24694</v>
      </c>
      <c r="V4319">
        <f>Tabla1[[#This Row],[Aboard]]-Tabla1[[#This Row],[Fatalities]]</f>
        <v>4</v>
      </c>
      <c r="W4319" s="50">
        <f>IFERROR(Tabla1[[#This Row],[Fatalities]]/Tabla1[[#This Row],[Aboard]],0)</f>
        <v>0.66666666666666663</v>
      </c>
      <c r="X4319" s="51" t="str" cm="1">
        <f t="array" ref="X4319">_xlfn.IFS(Tabla1[[#This Row],[Porcentaje de muertes]]&lt;0.35,"LEVE",AND(Tabla1[[#This Row],[Porcentaje de muertes]]&gt;0.35,Tabla1[[#This Row],[Porcentaje de muertes]]&lt;0.65),"MEDIO",Tabla1[[#This Row],[Porcentaje de muertes]]&gt;0.65,"GRAVE")</f>
        <v>GRAVE</v>
      </c>
    </row>
    <row r="4320" spans="2:24" x14ac:dyDescent="0.3">
      <c r="B4320" s="9">
        <v>4320</v>
      </c>
      <c r="C4320" s="49">
        <v>37232</v>
      </c>
      <c r="D4320" s="9">
        <f>YEAR(Tabla1[[#This Row],[Date]])</f>
        <v>2001</v>
      </c>
      <c r="E4320" s="9" t="str" cm="1">
        <f t="array" ref="E4320">IFERROR(_xlfn.IFS(AND(D4320&lt;1980,D4320&gt;=1970),"70",AND(D4320&lt;1990,D4320&gt;=1980),"80",AND(D4320&lt;2000,D4320&gt;=1990),"90",AND(D4320&lt;2010,D4320&gt;=2000),"00",AND(D4320&lt;=2019,D4320&gt;=2010),"10"),"1908-1970")</f>
        <v>00</v>
      </c>
      <c r="F4320" s="3">
        <v>0.50347222222222221</v>
      </c>
      <c r="G4320" t="s">
        <v>24695</v>
      </c>
      <c r="H4320" t="s">
        <v>24696</v>
      </c>
      <c r="I4320" t="s">
        <v>28931</v>
      </c>
      <c r="J4320" t="s">
        <v>24697</v>
      </c>
      <c r="K4320" t="s">
        <v>24698</v>
      </c>
      <c r="L4320" s="7" t="s">
        <v>24699</v>
      </c>
      <c r="M4320" t="s">
        <v>24700</v>
      </c>
      <c r="N4320">
        <v>13</v>
      </c>
      <c r="O4320">
        <v>10</v>
      </c>
      <c r="P4320">
        <v>3</v>
      </c>
      <c r="Q4320">
        <v>13</v>
      </c>
      <c r="R4320">
        <v>10</v>
      </c>
      <c r="S4320">
        <v>3</v>
      </c>
      <c r="T4320">
        <v>0</v>
      </c>
      <c r="U4320" t="s">
        <v>24701</v>
      </c>
      <c r="V4320">
        <f>Tabla1[[#This Row],[Aboard]]-Tabla1[[#This Row],[Fatalities]]</f>
        <v>0</v>
      </c>
      <c r="W4320" s="50">
        <f>IFERROR(Tabla1[[#This Row],[Fatalities]]/Tabla1[[#This Row],[Aboard]],0)</f>
        <v>1</v>
      </c>
      <c r="X4320" s="51" t="str" cm="1">
        <f t="array" ref="X4320">_xlfn.IFS(Tabla1[[#This Row],[Porcentaje de muertes]]&lt;0.35,"LEVE",AND(Tabla1[[#This Row],[Porcentaje de muertes]]&gt;0.35,Tabla1[[#This Row],[Porcentaje de muertes]]&lt;0.65),"MEDIO",Tabla1[[#This Row],[Porcentaje de muertes]]&gt;0.65,"GRAVE")</f>
        <v>GRAVE</v>
      </c>
    </row>
    <row r="4321" spans="2:24" x14ac:dyDescent="0.3">
      <c r="B4321" s="9">
        <v>4321</v>
      </c>
      <c r="C4321" s="49">
        <v>37086</v>
      </c>
      <c r="D4321" s="9">
        <f>YEAR(Tabla1[[#This Row],[Date]])</f>
        <v>2001</v>
      </c>
      <c r="E4321" s="9" t="str" cm="1">
        <f t="array" ref="E4321">IFERROR(_xlfn.IFS(AND(D4321&lt;1980,D4321&gt;=1970),"70",AND(D4321&lt;1990,D4321&gt;=1980),"80",AND(D4321&lt;2000,D4321&gt;=1990),"90",AND(D4321&lt;2010,D4321&gt;=2000),"00",AND(D4321&lt;=2019,D4321&gt;=2010),"10"),"1908-1970")</f>
        <v>00</v>
      </c>
      <c r="F4321" s="3">
        <v>0.37013888888888885</v>
      </c>
      <c r="G4321" t="s">
        <v>6590</v>
      </c>
      <c r="H4321" t="s">
        <v>24702</v>
      </c>
      <c r="I4321" t="s">
        <v>28931</v>
      </c>
      <c r="J4321" t="s">
        <v>24703</v>
      </c>
      <c r="K4321" t="s">
        <v>24704</v>
      </c>
      <c r="L4321" s="7" t="s">
        <v>24705</v>
      </c>
      <c r="M4321">
        <v>43451530</v>
      </c>
      <c r="N4321">
        <v>10</v>
      </c>
      <c r="O4321">
        <v>0</v>
      </c>
      <c r="P4321">
        <v>10</v>
      </c>
      <c r="Q4321">
        <v>10</v>
      </c>
      <c r="R4321">
        <v>0</v>
      </c>
      <c r="S4321">
        <v>10</v>
      </c>
      <c r="T4321">
        <v>0</v>
      </c>
      <c r="U4321" t="s">
        <v>24706</v>
      </c>
      <c r="V4321">
        <f>Tabla1[[#This Row],[Aboard]]-Tabla1[[#This Row],[Fatalities]]</f>
        <v>0</v>
      </c>
      <c r="W4321" s="50">
        <f>IFERROR(Tabla1[[#This Row],[Fatalities]]/Tabla1[[#This Row],[Aboard]],0)</f>
        <v>1</v>
      </c>
      <c r="X4321" s="51" t="str" cm="1">
        <f t="array" ref="X4321">_xlfn.IFS(Tabla1[[#This Row],[Porcentaje de muertes]]&lt;0.35,"LEVE",AND(Tabla1[[#This Row],[Porcentaje de muertes]]&gt;0.35,Tabla1[[#This Row],[Porcentaje de muertes]]&lt;0.65),"MEDIO",Tabla1[[#This Row],[Porcentaje de muertes]]&gt;0.65,"GRAVE")</f>
        <v>GRAVE</v>
      </c>
    </row>
    <row r="4322" spans="2:24" x14ac:dyDescent="0.3">
      <c r="B4322" s="9">
        <v>4322</v>
      </c>
      <c r="C4322" s="49">
        <v>37019</v>
      </c>
      <c r="D4322" s="9">
        <f>YEAR(Tabla1[[#This Row],[Date]])</f>
        <v>2001</v>
      </c>
      <c r="E4322" s="9" t="str" cm="1">
        <f t="array" ref="E4322">IFERROR(_xlfn.IFS(AND(D4322&lt;1980,D4322&gt;=1970),"70",AND(D4322&lt;1990,D4322&gt;=1980),"80",AND(D4322&lt;2000,D4322&gt;=1990),"90",AND(D4322&lt;2010,D4322&gt;=2000),"00",AND(D4322&lt;=2019,D4322&gt;=2010),"10"),"1908-1970")</f>
        <v>00</v>
      </c>
      <c r="F4322" s="3">
        <v>0.19652777777777777</v>
      </c>
      <c r="G4322" t="s">
        <v>24707</v>
      </c>
      <c r="H4322" t="s">
        <v>24708</v>
      </c>
      <c r="I4322" t="s">
        <v>28931</v>
      </c>
      <c r="J4322" t="s">
        <v>24709</v>
      </c>
      <c r="K4322" t="s">
        <v>24710</v>
      </c>
      <c r="L4322" s="7" t="s">
        <v>24711</v>
      </c>
      <c r="M4322">
        <v>63</v>
      </c>
      <c r="N4322">
        <v>3</v>
      </c>
      <c r="O4322">
        <v>1</v>
      </c>
      <c r="P4322">
        <v>2</v>
      </c>
      <c r="Q4322">
        <v>3</v>
      </c>
      <c r="R4322">
        <v>1</v>
      </c>
      <c r="S4322">
        <v>2</v>
      </c>
      <c r="T4322">
        <v>0</v>
      </c>
      <c r="U4322" t="s">
        <v>24712</v>
      </c>
      <c r="V4322">
        <f>Tabla1[[#This Row],[Aboard]]-Tabla1[[#This Row],[Fatalities]]</f>
        <v>0</v>
      </c>
      <c r="W4322" s="50">
        <f>IFERROR(Tabla1[[#This Row],[Fatalities]]/Tabla1[[#This Row],[Aboard]],0)</f>
        <v>1</v>
      </c>
      <c r="X4322" s="51" t="str" cm="1">
        <f t="array" ref="X4322">_xlfn.IFS(Tabla1[[#This Row],[Porcentaje de muertes]]&lt;0.35,"LEVE",AND(Tabla1[[#This Row],[Porcentaje de muertes]]&gt;0.35,Tabla1[[#This Row],[Porcentaje de muertes]]&lt;0.65),"MEDIO",Tabla1[[#This Row],[Porcentaje de muertes]]&gt;0.65,"GRAVE")</f>
        <v>GRAVE</v>
      </c>
    </row>
    <row r="4323" spans="2:24" x14ac:dyDescent="0.3">
      <c r="B4323" s="9">
        <v>4323</v>
      </c>
      <c r="C4323" s="49">
        <v>37172</v>
      </c>
      <c r="D4323" s="9">
        <f>YEAR(Tabla1[[#This Row],[Date]])</f>
        <v>2001</v>
      </c>
      <c r="E4323" s="9" t="str" cm="1">
        <f t="array" ref="E4323">IFERROR(_xlfn.IFS(AND(D4323&lt;1980,D4323&gt;=1970),"70",AND(D4323&lt;1990,D4323&gt;=1980),"80",AND(D4323&lt;2000,D4323&gt;=1990),"90",AND(D4323&lt;2010,D4323&gt;=2000),"00",AND(D4323&lt;=2019,D4323&gt;=2010),"10"),"1908-1970")</f>
        <v>00</v>
      </c>
      <c r="F4323" s="3">
        <v>0.60763888888888895</v>
      </c>
      <c r="G4323" t="s">
        <v>24713</v>
      </c>
      <c r="H4323" t="s">
        <v>24714</v>
      </c>
      <c r="I4323" t="s">
        <v>28931</v>
      </c>
      <c r="J4323" t="s">
        <v>24715</v>
      </c>
      <c r="K4323" t="s">
        <v>28945</v>
      </c>
      <c r="L4323" s="7" t="s">
        <v>24716</v>
      </c>
      <c r="M4323">
        <v>2477</v>
      </c>
      <c r="N4323">
        <v>7</v>
      </c>
      <c r="O4323">
        <v>6</v>
      </c>
      <c r="P4323">
        <v>1</v>
      </c>
      <c r="Q4323">
        <v>6</v>
      </c>
      <c r="R4323">
        <v>5</v>
      </c>
      <c r="S4323">
        <v>1</v>
      </c>
      <c r="T4323">
        <v>0</v>
      </c>
      <c r="U4323" t="s">
        <v>24717</v>
      </c>
      <c r="V4323">
        <f>Tabla1[[#This Row],[Aboard]]-Tabla1[[#This Row],[Fatalities]]</f>
        <v>1</v>
      </c>
      <c r="W4323" s="50">
        <f>IFERROR(Tabla1[[#This Row],[Fatalities]]/Tabla1[[#This Row],[Aboard]],0)</f>
        <v>0.8571428571428571</v>
      </c>
      <c r="X4323" s="51" t="str" cm="1">
        <f t="array" ref="X4323">_xlfn.IFS(Tabla1[[#This Row],[Porcentaje de muertes]]&lt;0.35,"LEVE",AND(Tabla1[[#This Row],[Porcentaje de muertes]]&gt;0.35,Tabla1[[#This Row],[Porcentaje de muertes]]&lt;0.65),"MEDIO",Tabla1[[#This Row],[Porcentaje de muertes]]&gt;0.65,"GRAVE")</f>
        <v>GRAVE</v>
      </c>
    </row>
    <row r="4324" spans="2:24" x14ac:dyDescent="0.3">
      <c r="B4324" s="9">
        <v>4324</v>
      </c>
      <c r="C4324" s="49">
        <v>37126</v>
      </c>
      <c r="D4324" s="9">
        <f>YEAR(Tabla1[[#This Row],[Date]])</f>
        <v>2001</v>
      </c>
      <c r="E4324" s="9" t="str" cm="1">
        <f t="array" ref="E4324">IFERROR(_xlfn.IFS(AND(D4324&lt;1980,D4324&gt;=1970),"70",AND(D4324&lt;1990,D4324&gt;=1980),"80",AND(D4324&lt;2000,D4324&gt;=1990),"90",AND(D4324&lt;2010,D4324&gt;=2000),"00",AND(D4324&lt;=2019,D4324&gt;=2010),"10"),"1908-1970")</f>
        <v>00</v>
      </c>
      <c r="F4324" s="3" t="s">
        <v>28931</v>
      </c>
      <c r="G4324" t="s">
        <v>24718</v>
      </c>
      <c r="H4324" t="s">
        <v>24719</v>
      </c>
      <c r="I4324" t="s">
        <v>28931</v>
      </c>
      <c r="J4324" t="s">
        <v>24720</v>
      </c>
      <c r="K4324" t="s">
        <v>24239</v>
      </c>
      <c r="L4324" s="7" t="s">
        <v>24721</v>
      </c>
      <c r="M4324" t="s">
        <v>24722</v>
      </c>
      <c r="N4324">
        <v>11</v>
      </c>
      <c r="O4324">
        <v>9</v>
      </c>
      <c r="P4324">
        <v>2</v>
      </c>
      <c r="Q4324">
        <v>4</v>
      </c>
      <c r="R4324">
        <v>2</v>
      </c>
      <c r="S4324">
        <v>2</v>
      </c>
      <c r="T4324">
        <v>0</v>
      </c>
      <c r="U4324" t="s">
        <v>24723</v>
      </c>
      <c r="V4324">
        <f>Tabla1[[#This Row],[Aboard]]-Tabla1[[#This Row],[Fatalities]]</f>
        <v>7</v>
      </c>
      <c r="W4324" s="50">
        <f>IFERROR(Tabla1[[#This Row],[Fatalities]]/Tabla1[[#This Row],[Aboard]],0)</f>
        <v>0.36363636363636365</v>
      </c>
      <c r="X4324" s="51" t="str" cm="1">
        <f t="array" ref="X4324">_xlfn.IFS(Tabla1[[#This Row],[Porcentaje de muertes]]&lt;0.35,"LEVE",AND(Tabla1[[#This Row],[Porcentaje de muertes]]&gt;0.35,Tabla1[[#This Row],[Porcentaje de muertes]]&lt;0.65),"MEDIO",Tabla1[[#This Row],[Porcentaje de muertes]]&gt;0.65,"GRAVE")</f>
        <v>MEDIO</v>
      </c>
    </row>
    <row r="4325" spans="2:24" x14ac:dyDescent="0.3">
      <c r="B4325" s="9">
        <v>4325</v>
      </c>
      <c r="C4325" s="49">
        <v>37127</v>
      </c>
      <c r="D4325" s="9">
        <f>YEAR(Tabla1[[#This Row],[Date]])</f>
        <v>2001</v>
      </c>
      <c r="E4325" s="9" t="str" cm="1">
        <f t="array" ref="E4325">IFERROR(_xlfn.IFS(AND(D4325&lt;1980,D4325&gt;=1970),"70",AND(D4325&lt;1990,D4325&gt;=1980),"80",AND(D4325&lt;2000,D4325&gt;=1990),"90",AND(D4325&lt;2010,D4325&gt;=2000),"00",AND(D4325&lt;=2019,D4325&gt;=2010),"10"),"1908-1970")</f>
        <v>00</v>
      </c>
      <c r="F4325" s="3">
        <v>0.23750000000000002</v>
      </c>
      <c r="G4325" t="s">
        <v>24724</v>
      </c>
      <c r="H4325" t="s">
        <v>24725</v>
      </c>
      <c r="I4325" t="s">
        <v>28931</v>
      </c>
      <c r="J4325" t="s">
        <v>24726</v>
      </c>
      <c r="K4325" t="s">
        <v>19326</v>
      </c>
      <c r="L4325" s="7" t="s">
        <v>24727</v>
      </c>
      <c r="M4325" t="s">
        <v>24728</v>
      </c>
      <c r="N4325">
        <v>2</v>
      </c>
      <c r="O4325">
        <v>0</v>
      </c>
      <c r="P4325">
        <v>2</v>
      </c>
      <c r="Q4325">
        <v>2</v>
      </c>
      <c r="R4325">
        <v>0</v>
      </c>
      <c r="S4325">
        <v>2</v>
      </c>
      <c r="T4325">
        <v>0</v>
      </c>
      <c r="U4325" t="s">
        <v>24729</v>
      </c>
      <c r="V4325">
        <f>Tabla1[[#This Row],[Aboard]]-Tabla1[[#This Row],[Fatalities]]</f>
        <v>0</v>
      </c>
      <c r="W4325" s="50">
        <f>IFERROR(Tabla1[[#This Row],[Fatalities]]/Tabla1[[#This Row],[Aboard]],0)</f>
        <v>1</v>
      </c>
      <c r="X4325" s="51" t="str" cm="1">
        <f t="array" ref="X4325">_xlfn.IFS(Tabla1[[#This Row],[Porcentaje de muertes]]&lt;0.35,"LEVE",AND(Tabla1[[#This Row],[Porcentaje de muertes]]&gt;0.35,Tabla1[[#This Row],[Porcentaje de muertes]]&lt;0.65),"MEDIO",Tabla1[[#This Row],[Porcentaje de muertes]]&gt;0.65,"GRAVE")</f>
        <v>GRAVE</v>
      </c>
    </row>
    <row r="4326" spans="2:24" x14ac:dyDescent="0.3">
      <c r="B4326" s="9">
        <v>4326</v>
      </c>
      <c r="C4326" s="49">
        <v>37127</v>
      </c>
      <c r="D4326" s="9">
        <f>YEAR(Tabla1[[#This Row],[Date]])</f>
        <v>2001</v>
      </c>
      <c r="E4326" s="9" t="str" cm="1">
        <f t="array" ref="E4326">IFERROR(_xlfn.IFS(AND(D4326&lt;1980,D4326&gt;=1970),"70",AND(D4326&lt;1990,D4326&gt;=1980),"80",AND(D4326&lt;2000,D4326&gt;=1990),"90",AND(D4326&lt;2010,D4326&gt;=2000),"00",AND(D4326&lt;=2019,D4326&gt;=2010),"10"),"1908-1970")</f>
        <v>00</v>
      </c>
      <c r="F4326" s="3">
        <v>0.78194444444444444</v>
      </c>
      <c r="G4326" t="s">
        <v>24730</v>
      </c>
      <c r="H4326" t="s">
        <v>24731</v>
      </c>
      <c r="I4326">
        <v>236</v>
      </c>
      <c r="J4326" t="s">
        <v>24732</v>
      </c>
      <c r="K4326" t="s">
        <v>24733</v>
      </c>
      <c r="L4326" s="7" t="s">
        <v>24734</v>
      </c>
      <c r="M4326">
        <v>271</v>
      </c>
      <c r="N4326">
        <v>304</v>
      </c>
      <c r="O4326">
        <v>291</v>
      </c>
      <c r="P4326">
        <v>13</v>
      </c>
      <c r="Q4326">
        <v>0</v>
      </c>
      <c r="R4326">
        <v>0</v>
      </c>
      <c r="S4326">
        <v>0</v>
      </c>
      <c r="T4326">
        <v>0</v>
      </c>
      <c r="U4326" t="s">
        <v>24735</v>
      </c>
      <c r="V4326">
        <f>Tabla1[[#This Row],[Aboard]]-Tabla1[[#This Row],[Fatalities]]</f>
        <v>304</v>
      </c>
      <c r="W4326" s="50">
        <f>IFERROR(Tabla1[[#This Row],[Fatalities]]/Tabla1[[#This Row],[Aboard]],0)</f>
        <v>0</v>
      </c>
      <c r="X4326" s="51" t="str" cm="1">
        <f t="array" ref="X4326">_xlfn.IFS(Tabla1[[#This Row],[Porcentaje de muertes]]&lt;0.35,"LEVE",AND(Tabla1[[#This Row],[Porcentaje de muertes]]&gt;0.35,Tabla1[[#This Row],[Porcentaje de muertes]]&lt;0.65),"MEDIO",Tabla1[[#This Row],[Porcentaje de muertes]]&gt;0.65,"GRAVE")</f>
        <v>LEVE</v>
      </c>
    </row>
    <row r="4327" spans="2:24" x14ac:dyDescent="0.3">
      <c r="B4327" s="9">
        <v>4327</v>
      </c>
      <c r="C4327" s="49">
        <v>37132</v>
      </c>
      <c r="D4327" s="9">
        <f>YEAR(Tabla1[[#This Row],[Date]])</f>
        <v>2001</v>
      </c>
      <c r="E4327" s="9" t="str" cm="1">
        <f t="array" ref="E4327">IFERROR(_xlfn.IFS(AND(D4327&lt;1980,D4327&gt;=1970),"70",AND(D4327&lt;1990,D4327&gt;=1980),"80",AND(D4327&lt;2000,D4327&gt;=1990),"90",AND(D4327&lt;2010,D4327&gt;=2000),"00",AND(D4327&lt;=2019,D4327&gt;=2010),"10"),"1908-1970")</f>
        <v>00</v>
      </c>
      <c r="F4327" s="3">
        <v>0.42708333333333331</v>
      </c>
      <c r="G4327" t="s">
        <v>19251</v>
      </c>
      <c r="H4327" t="s">
        <v>24736</v>
      </c>
      <c r="I4327">
        <v>8261</v>
      </c>
      <c r="J4327" t="s">
        <v>24737</v>
      </c>
      <c r="K4327" t="s">
        <v>28949</v>
      </c>
      <c r="L4327" s="7" t="s">
        <v>24738</v>
      </c>
      <c r="M4327" t="s">
        <v>24739</v>
      </c>
      <c r="N4327">
        <v>47</v>
      </c>
      <c r="O4327">
        <v>44</v>
      </c>
      <c r="P4327">
        <v>3</v>
      </c>
      <c r="Q4327">
        <v>4</v>
      </c>
      <c r="R4327">
        <v>3</v>
      </c>
      <c r="S4327">
        <v>1</v>
      </c>
      <c r="T4327">
        <v>0</v>
      </c>
      <c r="U4327" t="s">
        <v>24740</v>
      </c>
      <c r="V4327">
        <f>Tabla1[[#This Row],[Aboard]]-Tabla1[[#This Row],[Fatalities]]</f>
        <v>43</v>
      </c>
      <c r="W4327" s="50">
        <f>IFERROR(Tabla1[[#This Row],[Fatalities]]/Tabla1[[#This Row],[Aboard]],0)</f>
        <v>8.5106382978723402E-2</v>
      </c>
      <c r="X4327" s="51" t="str" cm="1">
        <f t="array" ref="X4327">_xlfn.IFS(Tabla1[[#This Row],[Porcentaje de muertes]]&lt;0.35,"LEVE",AND(Tabla1[[#This Row],[Porcentaje de muertes]]&gt;0.35,Tabla1[[#This Row],[Porcentaje de muertes]]&lt;0.65),"MEDIO",Tabla1[[#This Row],[Porcentaje de muertes]]&gt;0.65,"GRAVE")</f>
        <v>LEVE</v>
      </c>
    </row>
    <row r="4328" spans="2:24" x14ac:dyDescent="0.3">
      <c r="B4328" s="9">
        <v>4328</v>
      </c>
      <c r="C4328" s="49">
        <v>37204</v>
      </c>
      <c r="D4328" s="9">
        <f>YEAR(Tabla1[[#This Row],[Date]])</f>
        <v>2001</v>
      </c>
      <c r="E4328" s="9" t="str" cm="1">
        <f t="array" ref="E4328">IFERROR(_xlfn.IFS(AND(D4328&lt;1980,D4328&gt;=1970),"70",AND(D4328&lt;1990,D4328&gt;=1980),"80",AND(D4328&lt;2000,D4328&gt;=1990),"90",AND(D4328&lt;2010,D4328&gt;=2000),"00",AND(D4328&lt;=2019,D4328&gt;=2010),"10"),"1908-1970")</f>
        <v>00</v>
      </c>
      <c r="F4328" s="3">
        <v>0.40625</v>
      </c>
      <c r="G4328" t="s">
        <v>24741</v>
      </c>
      <c r="H4328" t="s">
        <v>6536</v>
      </c>
      <c r="I4328">
        <v>77</v>
      </c>
      <c r="J4328" t="s">
        <v>24742</v>
      </c>
      <c r="K4328" t="s">
        <v>23043</v>
      </c>
      <c r="L4328" s="7" t="s">
        <v>24743</v>
      </c>
      <c r="M4328" t="s">
        <v>24744</v>
      </c>
      <c r="N4328">
        <v>64</v>
      </c>
      <c r="O4328">
        <v>58</v>
      </c>
      <c r="P4328">
        <v>6</v>
      </c>
      <c r="Q4328">
        <v>64</v>
      </c>
      <c r="R4328">
        <v>58</v>
      </c>
      <c r="S4328">
        <v>6</v>
      </c>
      <c r="T4328">
        <v>125</v>
      </c>
      <c r="U4328" t="s">
        <v>24745</v>
      </c>
      <c r="V4328">
        <f>Tabla1[[#This Row],[Aboard]]-Tabla1[[#This Row],[Fatalities]]</f>
        <v>0</v>
      </c>
      <c r="W4328" s="50">
        <f>IFERROR(Tabla1[[#This Row],[Fatalities]]/Tabla1[[#This Row],[Aboard]],0)</f>
        <v>1</v>
      </c>
      <c r="X4328" s="51" t="str" cm="1">
        <f t="array" ref="X4328">_xlfn.IFS(Tabla1[[#This Row],[Porcentaje de muertes]]&lt;0.35,"LEVE",AND(Tabla1[[#This Row],[Porcentaje de muertes]]&gt;0.35,Tabla1[[#This Row],[Porcentaje de muertes]]&lt;0.65),"MEDIO",Tabla1[[#This Row],[Porcentaje de muertes]]&gt;0.65,"GRAVE")</f>
        <v>GRAVE</v>
      </c>
    </row>
    <row r="4329" spans="2:24" x14ac:dyDescent="0.3">
      <c r="B4329" s="9">
        <v>4329</v>
      </c>
      <c r="C4329" s="49">
        <v>37204</v>
      </c>
      <c r="D4329" s="9">
        <f>YEAR(Tabla1[[#This Row],[Date]])</f>
        <v>2001</v>
      </c>
      <c r="E4329" s="9" t="str" cm="1">
        <f t="array" ref="E4329">IFERROR(_xlfn.IFS(AND(D4329&lt;1980,D4329&gt;=1970),"70",AND(D4329&lt;1990,D4329&gt;=1980),"80",AND(D4329&lt;2000,D4329&gt;=1990),"90",AND(D4329&lt;2010,D4329&gt;=2000),"00",AND(D4329&lt;=2019,D4329&gt;=2010),"10"),"1908-1970")</f>
        <v>00</v>
      </c>
      <c r="F4329" s="3">
        <v>0.3659722222222222</v>
      </c>
      <c r="G4329" t="s">
        <v>8557</v>
      </c>
      <c r="H4329" t="s">
        <v>6536</v>
      </c>
      <c r="I4329">
        <v>11</v>
      </c>
      <c r="J4329" t="s">
        <v>24746</v>
      </c>
      <c r="K4329" t="s">
        <v>24747</v>
      </c>
      <c r="L4329" s="7" t="s">
        <v>24748</v>
      </c>
      <c r="M4329" t="s">
        <v>24749</v>
      </c>
      <c r="N4329">
        <v>92</v>
      </c>
      <c r="O4329">
        <v>81</v>
      </c>
      <c r="P4329">
        <v>11</v>
      </c>
      <c r="Q4329">
        <v>92</v>
      </c>
      <c r="R4329">
        <v>81</v>
      </c>
      <c r="S4329">
        <v>11</v>
      </c>
      <c r="T4329">
        <v>2750</v>
      </c>
      <c r="U4329" t="s">
        <v>24750</v>
      </c>
      <c r="V4329">
        <f>Tabla1[[#This Row],[Aboard]]-Tabla1[[#This Row],[Fatalities]]</f>
        <v>0</v>
      </c>
      <c r="W4329" s="50">
        <f>IFERROR(Tabla1[[#This Row],[Fatalities]]/Tabla1[[#This Row],[Aboard]],0)</f>
        <v>1</v>
      </c>
      <c r="X4329" s="51" t="str" cm="1">
        <f t="array" ref="X4329">_xlfn.IFS(Tabla1[[#This Row],[Porcentaje de muertes]]&lt;0.35,"LEVE",AND(Tabla1[[#This Row],[Porcentaje de muertes]]&gt;0.35,Tabla1[[#This Row],[Porcentaje de muertes]]&lt;0.65),"MEDIO",Tabla1[[#This Row],[Porcentaje de muertes]]&gt;0.65,"GRAVE")</f>
        <v>GRAVE</v>
      </c>
    </row>
    <row r="4330" spans="2:24" x14ac:dyDescent="0.3">
      <c r="B4330" s="9">
        <v>4330</v>
      </c>
      <c r="C4330" s="49">
        <v>37204</v>
      </c>
      <c r="D4330" s="9">
        <f>YEAR(Tabla1[[#This Row],[Date]])</f>
        <v>2001</v>
      </c>
      <c r="E4330" s="9" t="str" cm="1">
        <f t="array" ref="E4330">IFERROR(_xlfn.IFS(AND(D4330&lt;1980,D4330&gt;=1970),"70",AND(D4330&lt;1990,D4330&gt;=1980),"80",AND(D4330&lt;2000,D4330&gt;=1990),"90",AND(D4330&lt;2010,D4330&gt;=2000),"00",AND(D4330&lt;=2019,D4330&gt;=2010),"10"),"1908-1970")</f>
        <v>00</v>
      </c>
      <c r="F4330" s="3">
        <v>0.37708333333333338</v>
      </c>
      <c r="G4330" t="s">
        <v>8557</v>
      </c>
      <c r="H4330" t="s">
        <v>6369</v>
      </c>
      <c r="I4330">
        <v>175</v>
      </c>
      <c r="J4330" t="s">
        <v>24746</v>
      </c>
      <c r="K4330" t="s">
        <v>24751</v>
      </c>
      <c r="L4330" s="7" t="s">
        <v>24752</v>
      </c>
      <c r="M4330" t="s">
        <v>24753</v>
      </c>
      <c r="N4330">
        <v>65</v>
      </c>
      <c r="O4330">
        <v>56</v>
      </c>
      <c r="P4330">
        <v>9</v>
      </c>
      <c r="Q4330">
        <v>65</v>
      </c>
      <c r="R4330">
        <v>56</v>
      </c>
      <c r="S4330">
        <v>9</v>
      </c>
      <c r="T4330">
        <v>2750</v>
      </c>
      <c r="U4330" t="s">
        <v>24754</v>
      </c>
      <c r="V4330">
        <f>Tabla1[[#This Row],[Aboard]]-Tabla1[[#This Row],[Fatalities]]</f>
        <v>0</v>
      </c>
      <c r="W4330" s="50">
        <f>IFERROR(Tabla1[[#This Row],[Fatalities]]/Tabla1[[#This Row],[Aboard]],0)</f>
        <v>1</v>
      </c>
      <c r="X4330" s="51" t="str" cm="1">
        <f t="array" ref="X4330">_xlfn.IFS(Tabla1[[#This Row],[Porcentaje de muertes]]&lt;0.35,"LEVE",AND(Tabla1[[#This Row],[Porcentaje de muertes]]&gt;0.35,Tabla1[[#This Row],[Porcentaje de muertes]]&lt;0.65),"MEDIO",Tabla1[[#This Row],[Porcentaje de muertes]]&gt;0.65,"GRAVE")</f>
        <v>GRAVE</v>
      </c>
    </row>
    <row r="4331" spans="2:24" x14ac:dyDescent="0.3">
      <c r="B4331" s="9">
        <v>4331</v>
      </c>
      <c r="C4331" s="49">
        <v>37204</v>
      </c>
      <c r="D4331" s="9">
        <f>YEAR(Tabla1[[#This Row],[Date]])</f>
        <v>2001</v>
      </c>
      <c r="E4331" s="9" t="str" cm="1">
        <f t="array" ref="E4331">IFERROR(_xlfn.IFS(AND(D4331&lt;1980,D4331&gt;=1970),"70",AND(D4331&lt;1990,D4331&gt;=1980),"80",AND(D4331&lt;2000,D4331&gt;=1990),"90",AND(D4331&lt;2010,D4331&gt;=2000),"00",AND(D4331&lt;=2019,D4331&gt;=2010),"10"),"1908-1970")</f>
        <v>00</v>
      </c>
      <c r="F4331" s="3">
        <v>0.41875000000000001</v>
      </c>
      <c r="G4331" t="s">
        <v>24755</v>
      </c>
      <c r="H4331" t="s">
        <v>6369</v>
      </c>
      <c r="I4331">
        <v>93</v>
      </c>
      <c r="J4331" t="s">
        <v>24756</v>
      </c>
      <c r="K4331" t="s">
        <v>24757</v>
      </c>
      <c r="L4331" s="7" t="s">
        <v>24758</v>
      </c>
      <c r="M4331" t="s">
        <v>24759</v>
      </c>
      <c r="N4331">
        <v>44</v>
      </c>
      <c r="O4331">
        <v>37</v>
      </c>
      <c r="P4331">
        <v>7</v>
      </c>
      <c r="Q4331">
        <v>44</v>
      </c>
      <c r="R4331">
        <v>37</v>
      </c>
      <c r="S4331">
        <v>7</v>
      </c>
      <c r="T4331">
        <v>0</v>
      </c>
      <c r="U4331" t="s">
        <v>24760</v>
      </c>
      <c r="V4331">
        <f>Tabla1[[#This Row],[Aboard]]-Tabla1[[#This Row],[Fatalities]]</f>
        <v>0</v>
      </c>
      <c r="W4331" s="50">
        <f>IFERROR(Tabla1[[#This Row],[Fatalities]]/Tabla1[[#This Row],[Aboard]],0)</f>
        <v>1</v>
      </c>
      <c r="X4331" s="51" t="str" cm="1">
        <f t="array" ref="X4331">_xlfn.IFS(Tabla1[[#This Row],[Porcentaje de muertes]]&lt;0.35,"LEVE",AND(Tabla1[[#This Row],[Porcentaje de muertes]]&gt;0.35,Tabla1[[#This Row],[Porcentaje de muertes]]&lt;0.65),"MEDIO",Tabla1[[#This Row],[Porcentaje de muertes]]&gt;0.65,"GRAVE")</f>
        <v>GRAVE</v>
      </c>
    </row>
    <row r="4332" spans="2:24" x14ac:dyDescent="0.3">
      <c r="B4332" s="9">
        <v>4332</v>
      </c>
      <c r="C4332" s="49">
        <v>37234</v>
      </c>
      <c r="D4332" s="9">
        <f>YEAR(Tabla1[[#This Row],[Date]])</f>
        <v>2001</v>
      </c>
      <c r="E4332" s="9" t="str" cm="1">
        <f t="array" ref="E4332">IFERROR(_xlfn.IFS(AND(D4332&lt;1980,D4332&gt;=1970),"70",AND(D4332&lt;1990,D4332&gt;=1980),"80",AND(D4332&lt;2000,D4332&gt;=1990),"90",AND(D4332&lt;2010,D4332&gt;=2000),"00",AND(D4332&lt;=2019,D4332&gt;=2010),"10"),"1908-1970")</f>
        <v>00</v>
      </c>
      <c r="F4332" s="3">
        <v>0.68402777777777779</v>
      </c>
      <c r="G4332" t="s">
        <v>24761</v>
      </c>
      <c r="H4332" t="s">
        <v>24762</v>
      </c>
      <c r="I4332" t="s">
        <v>8152</v>
      </c>
      <c r="J4332" t="s">
        <v>20873</v>
      </c>
      <c r="K4332" t="s">
        <v>24763</v>
      </c>
      <c r="L4332" s="7" t="s">
        <v>24764</v>
      </c>
      <c r="M4332">
        <v>892401</v>
      </c>
      <c r="N4332">
        <v>19</v>
      </c>
      <c r="O4332">
        <v>17</v>
      </c>
      <c r="P4332">
        <v>2</v>
      </c>
      <c r="Q4332">
        <v>19</v>
      </c>
      <c r="R4332">
        <v>17</v>
      </c>
      <c r="S4332">
        <v>2</v>
      </c>
      <c r="T4332">
        <v>0</v>
      </c>
      <c r="U4332" t="s">
        <v>24765</v>
      </c>
      <c r="V4332">
        <f>Tabla1[[#This Row],[Aboard]]-Tabla1[[#This Row],[Fatalities]]</f>
        <v>0</v>
      </c>
      <c r="W4332" s="50">
        <f>IFERROR(Tabla1[[#This Row],[Fatalities]]/Tabla1[[#This Row],[Aboard]],0)</f>
        <v>1</v>
      </c>
      <c r="X4332" s="51" t="str" cm="1">
        <f t="array" ref="X4332">_xlfn.IFS(Tabla1[[#This Row],[Porcentaje de muertes]]&lt;0.35,"LEVE",AND(Tabla1[[#This Row],[Porcentaje de muertes]]&gt;0.35,Tabla1[[#This Row],[Porcentaje de muertes]]&lt;0.65),"MEDIO",Tabla1[[#This Row],[Porcentaje de muertes]]&gt;0.65,"GRAVE")</f>
        <v>GRAVE</v>
      </c>
    </row>
    <row r="4333" spans="2:24" x14ac:dyDescent="0.3">
      <c r="B4333" s="9">
        <v>4333</v>
      </c>
      <c r="C4333" s="49">
        <v>37149</v>
      </c>
      <c r="D4333" s="9">
        <f>YEAR(Tabla1[[#This Row],[Date]])</f>
        <v>2001</v>
      </c>
      <c r="E4333" s="9" t="str" cm="1">
        <f t="array" ref="E4333">IFERROR(_xlfn.IFS(AND(D4333&lt;1980,D4333&gt;=1970),"70",AND(D4333&lt;1990,D4333&gt;=1980),"80",AND(D4333&lt;2000,D4333&gt;=1990),"90",AND(D4333&lt;2010,D4333&gt;=2000),"00",AND(D4333&lt;=2019,D4333&gt;=2010),"10"),"1908-1970")</f>
        <v>00</v>
      </c>
      <c r="F4333" s="3" t="s">
        <v>28931</v>
      </c>
      <c r="G4333" t="s">
        <v>24766</v>
      </c>
      <c r="H4333" t="s">
        <v>11392</v>
      </c>
      <c r="I4333">
        <v>9755</v>
      </c>
      <c r="J4333" t="s">
        <v>24767</v>
      </c>
      <c r="K4333" t="s">
        <v>22186</v>
      </c>
      <c r="L4333" s="7" t="s">
        <v>24768</v>
      </c>
      <c r="M4333">
        <v>11443</v>
      </c>
      <c r="N4333">
        <v>82</v>
      </c>
      <c r="O4333">
        <v>77</v>
      </c>
      <c r="P4333">
        <v>5</v>
      </c>
      <c r="Q4333">
        <v>1</v>
      </c>
      <c r="R4333">
        <v>1</v>
      </c>
      <c r="S4333">
        <v>0</v>
      </c>
      <c r="T4333">
        <v>0</v>
      </c>
      <c r="U4333" t="s">
        <v>24769</v>
      </c>
      <c r="V4333">
        <f>Tabla1[[#This Row],[Aboard]]-Tabla1[[#This Row],[Fatalities]]</f>
        <v>81</v>
      </c>
      <c r="W4333" s="50">
        <f>IFERROR(Tabla1[[#This Row],[Fatalities]]/Tabla1[[#This Row],[Aboard]],0)</f>
        <v>1.2195121951219513E-2</v>
      </c>
      <c r="X4333" s="51" t="str" cm="1">
        <f t="array" ref="X4333">_xlfn.IFS(Tabla1[[#This Row],[Porcentaje de muertes]]&lt;0.35,"LEVE",AND(Tabla1[[#This Row],[Porcentaje de muertes]]&gt;0.35,Tabla1[[#This Row],[Porcentaje de muertes]]&lt;0.65),"MEDIO",Tabla1[[#This Row],[Porcentaje de muertes]]&gt;0.65,"GRAVE")</f>
        <v>LEVE</v>
      </c>
    </row>
    <row r="4334" spans="2:24" x14ac:dyDescent="0.3">
      <c r="B4334" s="9">
        <v>4334</v>
      </c>
      <c r="C4334" s="49">
        <v>37152</v>
      </c>
      <c r="D4334" s="9">
        <f>YEAR(Tabla1[[#This Row],[Date]])</f>
        <v>2001</v>
      </c>
      <c r="E4334" s="9" t="str" cm="1">
        <f t="array" ref="E4334">IFERROR(_xlfn.IFS(AND(D4334&lt;1980,D4334&gt;=1970),"70",AND(D4334&lt;1990,D4334&gt;=1980),"80",AND(D4334&lt;2000,D4334&gt;=1990),"90",AND(D4334&lt;2010,D4334&gt;=2000),"00",AND(D4334&lt;=2019,D4334&gt;=2010),"10"),"1908-1970")</f>
        <v>00</v>
      </c>
      <c r="F4334" s="3">
        <v>0.3125</v>
      </c>
      <c r="G4334" t="s">
        <v>11790</v>
      </c>
      <c r="H4334" t="s">
        <v>24770</v>
      </c>
      <c r="I4334">
        <v>870</v>
      </c>
      <c r="J4334" t="s">
        <v>24771</v>
      </c>
      <c r="K4334" t="s">
        <v>24772</v>
      </c>
      <c r="L4334" s="7" t="s">
        <v>24773</v>
      </c>
      <c r="M4334">
        <v>861705</v>
      </c>
      <c r="N4334">
        <v>13</v>
      </c>
      <c r="O4334">
        <v>11</v>
      </c>
      <c r="P4334">
        <v>2</v>
      </c>
      <c r="Q4334">
        <v>9</v>
      </c>
      <c r="R4334">
        <v>8</v>
      </c>
      <c r="S4334">
        <v>1</v>
      </c>
      <c r="T4334">
        <v>0</v>
      </c>
      <c r="U4334" t="s">
        <v>24774</v>
      </c>
      <c r="V4334">
        <f>Tabla1[[#This Row],[Aboard]]-Tabla1[[#This Row],[Fatalities]]</f>
        <v>4</v>
      </c>
      <c r="W4334" s="50">
        <f>IFERROR(Tabla1[[#This Row],[Fatalities]]/Tabla1[[#This Row],[Aboard]],0)</f>
        <v>0.69230769230769229</v>
      </c>
      <c r="X4334" s="51" t="str" cm="1">
        <f t="array" ref="X4334">_xlfn.IFS(Tabla1[[#This Row],[Porcentaje de muertes]]&lt;0.35,"LEVE",AND(Tabla1[[#This Row],[Porcentaje de muertes]]&gt;0.35,Tabla1[[#This Row],[Porcentaje de muertes]]&lt;0.65),"MEDIO",Tabla1[[#This Row],[Porcentaje de muertes]]&gt;0.65,"GRAVE")</f>
        <v>GRAVE</v>
      </c>
    </row>
    <row r="4335" spans="2:24" x14ac:dyDescent="0.3">
      <c r="B4335" s="9">
        <v>4335</v>
      </c>
      <c r="C4335" s="49">
        <v>36991</v>
      </c>
      <c r="D4335" s="9">
        <f>YEAR(Tabla1[[#This Row],[Date]])</f>
        <v>2001</v>
      </c>
      <c r="E4335" s="9" t="str" cm="1">
        <f t="array" ref="E4335">IFERROR(_xlfn.IFS(AND(D4335&lt;1980,D4335&gt;=1970),"70",AND(D4335&lt;1990,D4335&gt;=1980),"80",AND(D4335&lt;2000,D4335&gt;=1990),"90",AND(D4335&lt;2010,D4335&gt;=2000),"00",AND(D4335&lt;=2019,D4335&gt;=2010),"10"),"1908-1970")</f>
        <v>00</v>
      </c>
      <c r="F4335" s="3">
        <v>0.57222222222222219</v>
      </c>
      <c r="G4335" t="s">
        <v>24775</v>
      </c>
      <c r="H4335" t="s">
        <v>24776</v>
      </c>
      <c r="I4335">
        <v>1812</v>
      </c>
      <c r="J4335" t="s">
        <v>24777</v>
      </c>
      <c r="K4335" t="s">
        <v>24778</v>
      </c>
      <c r="L4335" s="7" t="s">
        <v>24779</v>
      </c>
      <c r="M4335" t="s">
        <v>24780</v>
      </c>
      <c r="N4335">
        <v>78</v>
      </c>
      <c r="O4335">
        <v>66</v>
      </c>
      <c r="P4335">
        <v>12</v>
      </c>
      <c r="Q4335">
        <v>78</v>
      </c>
      <c r="R4335">
        <v>66</v>
      </c>
      <c r="S4335">
        <v>12</v>
      </c>
      <c r="T4335">
        <v>0</v>
      </c>
      <c r="U4335" t="s">
        <v>24781</v>
      </c>
      <c r="V4335">
        <f>Tabla1[[#This Row],[Aboard]]-Tabla1[[#This Row],[Fatalities]]</f>
        <v>0</v>
      </c>
      <c r="W4335" s="50">
        <f>IFERROR(Tabla1[[#This Row],[Fatalities]]/Tabla1[[#This Row],[Aboard]],0)</f>
        <v>1</v>
      </c>
      <c r="X4335" s="51" t="str" cm="1">
        <f t="array" ref="X4335">_xlfn.IFS(Tabla1[[#This Row],[Porcentaje de muertes]]&lt;0.35,"LEVE",AND(Tabla1[[#This Row],[Porcentaje de muertes]]&gt;0.35,Tabla1[[#This Row],[Porcentaje de muertes]]&lt;0.65),"MEDIO",Tabla1[[#This Row],[Porcentaje de muertes]]&gt;0.65,"GRAVE")</f>
        <v>GRAVE</v>
      </c>
    </row>
    <row r="4336" spans="2:24" x14ac:dyDescent="0.3">
      <c r="B4336" s="9">
        <v>4336</v>
      </c>
      <c r="C4336" s="49">
        <v>37113</v>
      </c>
      <c r="D4336" s="9">
        <f>YEAR(Tabla1[[#This Row],[Date]])</f>
        <v>2001</v>
      </c>
      <c r="E4336" s="9" t="str" cm="1">
        <f t="array" ref="E4336">IFERROR(_xlfn.IFS(AND(D4336&lt;1980,D4336&gt;=1970),"70",AND(D4336&lt;1990,D4336&gt;=1980),"80",AND(D4336&lt;2000,D4336&gt;=1990),"90",AND(D4336&lt;2010,D4336&gt;=2000),"00",AND(D4336&lt;=2019,D4336&gt;=2010),"10"),"1908-1970")</f>
        <v>00</v>
      </c>
      <c r="F4336" s="3">
        <v>0.74305555555555547</v>
      </c>
      <c r="G4336" t="s">
        <v>24782</v>
      </c>
      <c r="H4336" t="s">
        <v>24783</v>
      </c>
      <c r="I4336" t="s">
        <v>28931</v>
      </c>
      <c r="J4336" t="s">
        <v>24784</v>
      </c>
      <c r="K4336" t="s">
        <v>24785</v>
      </c>
      <c r="L4336" s="7" t="s">
        <v>24786</v>
      </c>
      <c r="M4336">
        <v>810</v>
      </c>
      <c r="N4336">
        <v>7</v>
      </c>
      <c r="O4336">
        <v>6</v>
      </c>
      <c r="P4336">
        <v>1</v>
      </c>
      <c r="Q4336">
        <v>3</v>
      </c>
      <c r="R4336">
        <v>2</v>
      </c>
      <c r="S4336">
        <v>1</v>
      </c>
      <c r="T4336">
        <v>0</v>
      </c>
      <c r="U4336" t="s">
        <v>24787</v>
      </c>
      <c r="V4336">
        <f>Tabla1[[#This Row],[Aboard]]-Tabla1[[#This Row],[Fatalities]]</f>
        <v>4</v>
      </c>
      <c r="W4336" s="50">
        <f>IFERROR(Tabla1[[#This Row],[Fatalities]]/Tabla1[[#This Row],[Aboard]],0)</f>
        <v>0.42857142857142855</v>
      </c>
      <c r="X4336" s="51" t="str" cm="1">
        <f t="array" ref="X4336">_xlfn.IFS(Tabla1[[#This Row],[Porcentaje de muertes]]&lt;0.35,"LEVE",AND(Tabla1[[#This Row],[Porcentaje de muertes]]&gt;0.35,Tabla1[[#This Row],[Porcentaje de muertes]]&lt;0.65),"MEDIO",Tabla1[[#This Row],[Porcentaje de muertes]]&gt;0.65,"GRAVE")</f>
        <v>MEDIO</v>
      </c>
    </row>
    <row r="4337" spans="2:24" x14ac:dyDescent="0.3">
      <c r="B4337" s="9">
        <v>4337</v>
      </c>
      <c r="C4337" s="49">
        <v>37113</v>
      </c>
      <c r="D4337" s="9">
        <f>YEAR(Tabla1[[#This Row],[Date]])</f>
        <v>2001</v>
      </c>
      <c r="E4337" s="9" t="str" cm="1">
        <f t="array" ref="E4337">IFERROR(_xlfn.IFS(AND(D4337&lt;1980,D4337&gt;=1970),"70",AND(D4337&lt;1990,D4337&gt;=1980),"80",AND(D4337&lt;2000,D4337&gt;=1990),"90",AND(D4337&lt;2010,D4337&gt;=2000),"00",AND(D4337&lt;=2019,D4337&gt;=2010),"10"),"1908-1970")</f>
        <v>00</v>
      </c>
      <c r="F4337" s="3">
        <v>0.34027777777777773</v>
      </c>
      <c r="G4337" t="s">
        <v>9659</v>
      </c>
      <c r="H4337" t="s">
        <v>24788</v>
      </c>
      <c r="I4337" t="s">
        <v>24789</v>
      </c>
      <c r="J4337" t="s">
        <v>24790</v>
      </c>
      <c r="K4337" t="s">
        <v>24791</v>
      </c>
      <c r="L4337" s="7" t="s">
        <v>24792</v>
      </c>
      <c r="M4337" t="s">
        <v>24793</v>
      </c>
      <c r="N4337">
        <v>114</v>
      </c>
      <c r="O4337">
        <v>106</v>
      </c>
      <c r="P4337">
        <v>8</v>
      </c>
      <c r="Q4337">
        <v>114</v>
      </c>
      <c r="R4337">
        <v>106</v>
      </c>
      <c r="S4337">
        <v>8</v>
      </c>
      <c r="T4337">
        <v>4</v>
      </c>
      <c r="U4337" t="s">
        <v>24794</v>
      </c>
      <c r="V4337">
        <f>Tabla1[[#This Row],[Aboard]]-Tabla1[[#This Row],[Fatalities]]</f>
        <v>0</v>
      </c>
      <c r="W4337" s="50">
        <f>IFERROR(Tabla1[[#This Row],[Fatalities]]/Tabla1[[#This Row],[Aboard]],0)</f>
        <v>1</v>
      </c>
      <c r="X4337" s="51" t="str" cm="1">
        <f t="array" ref="X4337">_xlfn.IFS(Tabla1[[#This Row],[Porcentaje de muertes]]&lt;0.35,"LEVE",AND(Tabla1[[#This Row],[Porcentaje de muertes]]&gt;0.35,Tabla1[[#This Row],[Porcentaje de muertes]]&lt;0.65),"MEDIO",Tabla1[[#This Row],[Porcentaje de muertes]]&gt;0.65,"GRAVE")</f>
        <v>GRAVE</v>
      </c>
    </row>
    <row r="4338" spans="2:24" x14ac:dyDescent="0.3">
      <c r="B4338" s="9">
        <v>4338</v>
      </c>
      <c r="C4338" s="49">
        <v>37174</v>
      </c>
      <c r="D4338" s="9">
        <f>YEAR(Tabla1[[#This Row],[Date]])</f>
        <v>2001</v>
      </c>
      <c r="E4338" s="9" t="str" cm="1">
        <f t="array" ref="E4338">IFERROR(_xlfn.IFS(AND(D4338&lt;1980,D4338&gt;=1970),"70",AND(D4338&lt;1990,D4338&gt;=1980),"80",AND(D4338&lt;2000,D4338&gt;=1990),"90",AND(D4338&lt;2010,D4338&gt;=2000),"00",AND(D4338&lt;=2019,D4338&gt;=2010),"10"),"1908-1970")</f>
        <v>00</v>
      </c>
      <c r="F4338" s="3">
        <v>0.4458333333333333</v>
      </c>
      <c r="G4338" t="s">
        <v>24795</v>
      </c>
      <c r="H4338" t="s">
        <v>24796</v>
      </c>
      <c r="I4338">
        <v>101</v>
      </c>
      <c r="J4338" t="s">
        <v>24797</v>
      </c>
      <c r="K4338" t="s">
        <v>24798</v>
      </c>
      <c r="L4338" s="7" t="s">
        <v>24799</v>
      </c>
      <c r="M4338" t="s">
        <v>24800</v>
      </c>
      <c r="N4338">
        <v>10</v>
      </c>
      <c r="O4338">
        <v>8</v>
      </c>
      <c r="P4338">
        <v>2</v>
      </c>
      <c r="Q4338">
        <v>10</v>
      </c>
      <c r="R4338">
        <v>8</v>
      </c>
      <c r="S4338">
        <v>2</v>
      </c>
      <c r="T4338">
        <v>0</v>
      </c>
      <c r="U4338" t="s">
        <v>24801</v>
      </c>
      <c r="V4338">
        <f>Tabla1[[#This Row],[Aboard]]-Tabla1[[#This Row],[Fatalities]]</f>
        <v>0</v>
      </c>
      <c r="W4338" s="50">
        <f>IFERROR(Tabla1[[#This Row],[Fatalities]]/Tabla1[[#This Row],[Aboard]],0)</f>
        <v>1</v>
      </c>
      <c r="X4338" s="51" t="str" cm="1">
        <f t="array" ref="X4338">_xlfn.IFS(Tabla1[[#This Row],[Porcentaje de muertes]]&lt;0.35,"LEVE",AND(Tabla1[[#This Row],[Porcentaje de muertes]]&gt;0.35,Tabla1[[#This Row],[Porcentaje de muertes]]&lt;0.65),"MEDIO",Tabla1[[#This Row],[Porcentaje de muertes]]&gt;0.65,"GRAVE")</f>
        <v>GRAVE</v>
      </c>
    </row>
    <row r="4339" spans="2:24" x14ac:dyDescent="0.3">
      <c r="B4339" s="9">
        <v>4339</v>
      </c>
      <c r="C4339" s="49">
        <v>37174</v>
      </c>
      <c r="D4339" s="9">
        <f>YEAR(Tabla1[[#This Row],[Date]])</f>
        <v>2001</v>
      </c>
      <c r="E4339" s="9" t="str" cm="1">
        <f t="array" ref="E4339">IFERROR(_xlfn.IFS(AND(D4339&lt;1980,D4339&gt;=1970),"70",AND(D4339&lt;1990,D4339&gt;=1980),"80",AND(D4339&lt;2000,D4339&gt;=1990),"90",AND(D4339&lt;2010,D4339&gt;=2000),"00",AND(D4339&lt;=2019,D4339&gt;=2010),"10"),"1908-1970")</f>
        <v>00</v>
      </c>
      <c r="F4339" s="3">
        <v>0.39305555555555555</v>
      </c>
      <c r="G4339" t="s">
        <v>24802</v>
      </c>
      <c r="H4339" t="s">
        <v>24803</v>
      </c>
      <c r="I4339">
        <v>350</v>
      </c>
      <c r="J4339" t="s">
        <v>24804</v>
      </c>
      <c r="K4339" t="s">
        <v>24805</v>
      </c>
      <c r="L4339" s="7" t="s">
        <v>24806</v>
      </c>
      <c r="M4339">
        <v>20800088</v>
      </c>
      <c r="N4339">
        <v>10</v>
      </c>
      <c r="O4339">
        <v>9</v>
      </c>
      <c r="P4339">
        <v>1</v>
      </c>
      <c r="Q4339">
        <v>10</v>
      </c>
      <c r="R4339">
        <v>9</v>
      </c>
      <c r="S4339">
        <v>1</v>
      </c>
      <c r="T4339">
        <v>0</v>
      </c>
      <c r="U4339" t="s">
        <v>24807</v>
      </c>
      <c r="V4339">
        <f>Tabla1[[#This Row],[Aboard]]-Tabla1[[#This Row],[Fatalities]]</f>
        <v>0</v>
      </c>
      <c r="W4339" s="50">
        <f>IFERROR(Tabla1[[#This Row],[Fatalities]]/Tabla1[[#This Row],[Aboard]],0)</f>
        <v>1</v>
      </c>
      <c r="X4339" s="51" t="str" cm="1">
        <f t="array" ref="X4339">_xlfn.IFS(Tabla1[[#This Row],[Porcentaje de muertes]]&lt;0.35,"LEVE",AND(Tabla1[[#This Row],[Porcentaje de muertes]]&gt;0.35,Tabla1[[#This Row],[Porcentaje de muertes]]&lt;0.65),"MEDIO",Tabla1[[#This Row],[Porcentaje de muertes]]&gt;0.65,"GRAVE")</f>
        <v>GRAVE</v>
      </c>
    </row>
    <row r="4340" spans="2:24" x14ac:dyDescent="0.3">
      <c r="B4340" s="9">
        <v>4340</v>
      </c>
      <c r="C4340" s="49">
        <v>37205</v>
      </c>
      <c r="D4340" s="9">
        <f>YEAR(Tabla1[[#This Row],[Date]])</f>
        <v>2001</v>
      </c>
      <c r="E4340" s="9" t="str" cm="1">
        <f t="array" ref="E4340">IFERROR(_xlfn.IFS(AND(D4340&lt;1980,D4340&gt;=1970),"70",AND(D4340&lt;1990,D4340&gt;=1980),"80",AND(D4340&lt;2000,D4340&gt;=1990),"90",AND(D4340&lt;2010,D4340&gt;=2000),"00",AND(D4340&lt;=2019,D4340&gt;=2010),"10"),"1908-1970")</f>
        <v>00</v>
      </c>
      <c r="F4340" s="3">
        <v>0.98263888888888884</v>
      </c>
      <c r="G4340" t="s">
        <v>24808</v>
      </c>
      <c r="H4340" t="s">
        <v>24809</v>
      </c>
      <c r="I4340" t="s">
        <v>28931</v>
      </c>
      <c r="J4340" t="s">
        <v>24810</v>
      </c>
      <c r="K4340" t="s">
        <v>24811</v>
      </c>
      <c r="L4340" s="7" t="s">
        <v>24812</v>
      </c>
      <c r="M4340" t="s">
        <v>24813</v>
      </c>
      <c r="N4340">
        <v>3</v>
      </c>
      <c r="O4340">
        <v>1</v>
      </c>
      <c r="P4340">
        <v>2</v>
      </c>
      <c r="Q4340">
        <v>2</v>
      </c>
      <c r="R4340">
        <v>0</v>
      </c>
      <c r="S4340">
        <v>2</v>
      </c>
      <c r="T4340">
        <v>0</v>
      </c>
      <c r="U4340" t="s">
        <v>24814</v>
      </c>
      <c r="V4340">
        <f>Tabla1[[#This Row],[Aboard]]-Tabla1[[#This Row],[Fatalities]]</f>
        <v>1</v>
      </c>
      <c r="W4340" s="50">
        <f>IFERROR(Tabla1[[#This Row],[Fatalities]]/Tabla1[[#This Row],[Aboard]],0)</f>
        <v>0.66666666666666663</v>
      </c>
      <c r="X4340" s="51" t="str" cm="1">
        <f t="array" ref="X4340">_xlfn.IFS(Tabla1[[#This Row],[Porcentaje de muertes]]&lt;0.35,"LEVE",AND(Tabla1[[#This Row],[Porcentaje de muertes]]&gt;0.35,Tabla1[[#This Row],[Porcentaje de muertes]]&lt;0.65),"MEDIO",Tabla1[[#This Row],[Porcentaje de muertes]]&gt;0.65,"GRAVE")</f>
        <v>GRAVE</v>
      </c>
    </row>
    <row r="4341" spans="2:24" x14ac:dyDescent="0.3">
      <c r="B4341" s="9">
        <v>4341</v>
      </c>
      <c r="C4341" s="49">
        <v>37182</v>
      </c>
      <c r="D4341" s="9">
        <f>YEAR(Tabla1[[#This Row],[Date]])</f>
        <v>2001</v>
      </c>
      <c r="E4341" s="9" t="str" cm="1">
        <f t="array" ref="E4341">IFERROR(_xlfn.IFS(AND(D4341&lt;1980,D4341&gt;=1970),"70",AND(D4341&lt;1990,D4341&gt;=1980),"80",AND(D4341&lt;2000,D4341&gt;=1990),"90",AND(D4341&lt;2010,D4341&gt;=2000),"00",AND(D4341&lt;=2019,D4341&gt;=2010),"10"),"1908-1970")</f>
        <v>00</v>
      </c>
      <c r="F4341" s="3">
        <v>0.65486111111111112</v>
      </c>
      <c r="G4341" t="s">
        <v>16022</v>
      </c>
      <c r="H4341" t="s">
        <v>24815</v>
      </c>
      <c r="I4341" t="s">
        <v>28931</v>
      </c>
      <c r="J4341" t="s">
        <v>24816</v>
      </c>
      <c r="K4341" t="s">
        <v>24817</v>
      </c>
      <c r="L4341" s="7" t="s">
        <v>24818</v>
      </c>
      <c r="M4341">
        <v>45108</v>
      </c>
      <c r="N4341">
        <v>5</v>
      </c>
      <c r="O4341">
        <v>4</v>
      </c>
      <c r="P4341">
        <v>1</v>
      </c>
      <c r="Q4341">
        <v>3</v>
      </c>
      <c r="R4341">
        <v>2</v>
      </c>
      <c r="S4341">
        <v>1</v>
      </c>
      <c r="T4341">
        <v>0</v>
      </c>
      <c r="U4341" t="s">
        <v>24819</v>
      </c>
      <c r="V4341">
        <f>Tabla1[[#This Row],[Aboard]]-Tabla1[[#This Row],[Fatalities]]</f>
        <v>2</v>
      </c>
      <c r="W4341" s="50">
        <f>IFERROR(Tabla1[[#This Row],[Fatalities]]/Tabla1[[#This Row],[Aboard]],0)</f>
        <v>0.6</v>
      </c>
      <c r="X4341" s="51" t="str" cm="1">
        <f t="array" ref="X4341">_xlfn.IFS(Tabla1[[#This Row],[Porcentaje de muertes]]&lt;0.35,"LEVE",AND(Tabla1[[#This Row],[Porcentaje de muertes]]&gt;0.35,Tabla1[[#This Row],[Porcentaje de muertes]]&lt;0.65),"MEDIO",Tabla1[[#This Row],[Porcentaje de muertes]]&gt;0.65,"GRAVE")</f>
        <v>MEDIO</v>
      </c>
    </row>
    <row r="4342" spans="2:24" x14ac:dyDescent="0.3">
      <c r="B4342" s="9">
        <v>4342</v>
      </c>
      <c r="C4342" s="49">
        <v>37236</v>
      </c>
      <c r="D4342" s="9">
        <f>YEAR(Tabla1[[#This Row],[Date]])</f>
        <v>2001</v>
      </c>
      <c r="E4342" s="9" t="str" cm="1">
        <f t="array" ref="E4342">IFERROR(_xlfn.IFS(AND(D4342&lt;1980,D4342&gt;=1970),"70",AND(D4342&lt;1990,D4342&gt;=1980),"80",AND(D4342&lt;2000,D4342&gt;=1990),"90",AND(D4342&lt;2010,D4342&gt;=2000),"00",AND(D4342&lt;=2019,D4342&gt;=2010),"10"),"1908-1970")</f>
        <v>00</v>
      </c>
      <c r="F4342" s="3">
        <v>0.38611111111111113</v>
      </c>
      <c r="G4342" t="s">
        <v>24820</v>
      </c>
      <c r="H4342" t="s">
        <v>6536</v>
      </c>
      <c r="I4342">
        <v>587</v>
      </c>
      <c r="J4342" t="s">
        <v>24821</v>
      </c>
      <c r="K4342" t="s">
        <v>24822</v>
      </c>
      <c r="L4342" s="7" t="s">
        <v>24823</v>
      </c>
      <c r="M4342">
        <v>420</v>
      </c>
      <c r="N4342">
        <v>260</v>
      </c>
      <c r="O4342">
        <v>251</v>
      </c>
      <c r="P4342">
        <v>9</v>
      </c>
      <c r="Q4342">
        <v>260</v>
      </c>
      <c r="R4342">
        <v>251</v>
      </c>
      <c r="S4342">
        <v>9</v>
      </c>
      <c r="T4342">
        <v>5</v>
      </c>
      <c r="U4342" t="s">
        <v>24824</v>
      </c>
      <c r="V4342">
        <f>Tabla1[[#This Row],[Aboard]]-Tabla1[[#This Row],[Fatalities]]</f>
        <v>0</v>
      </c>
      <c r="W4342" s="50">
        <f>IFERROR(Tabla1[[#This Row],[Fatalities]]/Tabla1[[#This Row],[Aboard]],0)</f>
        <v>1</v>
      </c>
      <c r="X4342" s="51" t="str" cm="1">
        <f t="array" ref="X4342">_xlfn.IFS(Tabla1[[#This Row],[Porcentaje de muertes]]&lt;0.35,"LEVE",AND(Tabla1[[#This Row],[Porcentaje de muertes]]&gt;0.35,Tabla1[[#This Row],[Porcentaje de muertes]]&lt;0.65),"MEDIO",Tabla1[[#This Row],[Porcentaje de muertes]]&gt;0.65,"GRAVE")</f>
        <v>GRAVE</v>
      </c>
    </row>
    <row r="4343" spans="2:24" x14ac:dyDescent="0.3">
      <c r="B4343" s="9">
        <v>4343</v>
      </c>
      <c r="C4343" s="49">
        <v>37214</v>
      </c>
      <c r="D4343" s="9">
        <f>YEAR(Tabla1[[#This Row],[Date]])</f>
        <v>2001</v>
      </c>
      <c r="E4343" s="9" t="str" cm="1">
        <f t="array" ref="E4343">IFERROR(_xlfn.IFS(AND(D4343&lt;1980,D4343&gt;=1970),"70",AND(D4343&lt;1990,D4343&gt;=1980),"80",AND(D4343&lt;2000,D4343&gt;=1990),"90",AND(D4343&lt;2010,D4343&gt;=2000),"00",AND(D4343&lt;=2019,D4343&gt;=2010),"10"),"1908-1970")</f>
        <v>00</v>
      </c>
      <c r="F4343" s="3">
        <v>0.7631944444444444</v>
      </c>
      <c r="G4343" t="s">
        <v>24825</v>
      </c>
      <c r="H4343" t="s">
        <v>24826</v>
      </c>
      <c r="I4343" t="s">
        <v>24827</v>
      </c>
      <c r="J4343" t="s">
        <v>24828</v>
      </c>
      <c r="K4343" t="s">
        <v>24829</v>
      </c>
      <c r="L4343" s="7" t="s">
        <v>24830</v>
      </c>
      <c r="M4343">
        <v>182005301</v>
      </c>
      <c r="N4343">
        <v>27</v>
      </c>
      <c r="O4343">
        <v>18</v>
      </c>
      <c r="P4343">
        <v>9</v>
      </c>
      <c r="Q4343">
        <v>27</v>
      </c>
      <c r="R4343">
        <v>18</v>
      </c>
      <c r="S4343">
        <v>9</v>
      </c>
      <c r="T4343">
        <v>0</v>
      </c>
      <c r="U4343" t="s">
        <v>24831</v>
      </c>
      <c r="V4343">
        <f>Tabla1[[#This Row],[Aboard]]-Tabla1[[#This Row],[Fatalities]]</f>
        <v>0</v>
      </c>
      <c r="W4343" s="50">
        <f>IFERROR(Tabla1[[#This Row],[Fatalities]]/Tabla1[[#This Row],[Aboard]],0)</f>
        <v>1</v>
      </c>
      <c r="X4343" s="51" t="str" cm="1">
        <f t="array" ref="X4343">_xlfn.IFS(Tabla1[[#This Row],[Porcentaje de muertes]]&lt;0.35,"LEVE",AND(Tabla1[[#This Row],[Porcentaje de muertes]]&gt;0.35,Tabla1[[#This Row],[Porcentaje de muertes]]&lt;0.65),"MEDIO",Tabla1[[#This Row],[Porcentaje de muertes]]&gt;0.65,"GRAVE")</f>
        <v>GRAVE</v>
      </c>
    </row>
    <row r="4344" spans="2:24" x14ac:dyDescent="0.3">
      <c r="B4344" s="9">
        <v>4344</v>
      </c>
      <c r="C4344" s="49">
        <v>37217</v>
      </c>
      <c r="D4344" s="9">
        <f>YEAR(Tabla1[[#This Row],[Date]])</f>
        <v>2001</v>
      </c>
      <c r="E4344" s="9" t="str" cm="1">
        <f t="array" ref="E4344">IFERROR(_xlfn.IFS(AND(D4344&lt;1980,D4344&gt;=1970),"70",AND(D4344&lt;1990,D4344&gt;=1980),"80",AND(D4344&lt;2000,D4344&gt;=1990),"90",AND(D4344&lt;2010,D4344&gt;=2000),"00",AND(D4344&lt;=2019,D4344&gt;=2010),"10"),"1908-1970")</f>
        <v>00</v>
      </c>
      <c r="F4344" s="3">
        <v>0.54513888888888895</v>
      </c>
      <c r="G4344" t="s">
        <v>6547</v>
      </c>
      <c r="H4344" t="s">
        <v>24391</v>
      </c>
      <c r="I4344" t="s">
        <v>28931</v>
      </c>
      <c r="J4344" t="s">
        <v>24832</v>
      </c>
      <c r="K4344" t="s">
        <v>24833</v>
      </c>
      <c r="L4344" s="7" t="s">
        <v>24834</v>
      </c>
      <c r="M4344" t="s">
        <v>24835</v>
      </c>
      <c r="N4344">
        <v>2</v>
      </c>
      <c r="O4344">
        <v>0</v>
      </c>
      <c r="P4344">
        <v>2</v>
      </c>
      <c r="Q4344">
        <v>2</v>
      </c>
      <c r="R4344">
        <v>0</v>
      </c>
      <c r="S4344">
        <v>2</v>
      </c>
      <c r="T4344">
        <v>0</v>
      </c>
      <c r="U4344" t="s">
        <v>24836</v>
      </c>
      <c r="V4344">
        <f>Tabla1[[#This Row],[Aboard]]-Tabla1[[#This Row],[Fatalities]]</f>
        <v>0</v>
      </c>
      <c r="W4344" s="50">
        <f>IFERROR(Tabla1[[#This Row],[Fatalities]]/Tabla1[[#This Row],[Aboard]],0)</f>
        <v>1</v>
      </c>
      <c r="X4344" s="51" t="str" cm="1">
        <f t="array" ref="X4344">_xlfn.IFS(Tabla1[[#This Row],[Porcentaje de muertes]]&lt;0.35,"LEVE",AND(Tabla1[[#This Row],[Porcentaje de muertes]]&gt;0.35,Tabla1[[#This Row],[Porcentaje de muertes]]&lt;0.65),"MEDIO",Tabla1[[#This Row],[Porcentaje de muertes]]&gt;0.65,"GRAVE")</f>
        <v>GRAVE</v>
      </c>
    </row>
    <row r="4345" spans="2:24" x14ac:dyDescent="0.3">
      <c r="B4345" s="9">
        <v>4345</v>
      </c>
      <c r="C4345" s="49">
        <v>37218</v>
      </c>
      <c r="D4345" s="9">
        <f>YEAR(Tabla1[[#This Row],[Date]])</f>
        <v>2001</v>
      </c>
      <c r="E4345" s="9" t="str" cm="1">
        <f t="array" ref="E4345">IFERROR(_xlfn.IFS(AND(D4345&lt;1980,D4345&gt;=1970),"70",AND(D4345&lt;1990,D4345&gt;=1980),"80",AND(D4345&lt;2000,D4345&gt;=1990),"90",AND(D4345&lt;2010,D4345&gt;=2000),"00",AND(D4345&lt;=2019,D4345&gt;=2010),"10"),"1908-1970")</f>
        <v>00</v>
      </c>
      <c r="F4345" s="3">
        <v>0.77430555555555547</v>
      </c>
      <c r="G4345" t="s">
        <v>24837</v>
      </c>
      <c r="H4345" t="s">
        <v>24838</v>
      </c>
      <c r="I4345" t="s">
        <v>28931</v>
      </c>
      <c r="J4345" t="s">
        <v>24839</v>
      </c>
      <c r="K4345" t="s">
        <v>22071</v>
      </c>
      <c r="L4345" s="7" t="s">
        <v>24840</v>
      </c>
      <c r="M4345" t="s">
        <v>24841</v>
      </c>
      <c r="N4345">
        <v>17</v>
      </c>
      <c r="O4345">
        <v>14</v>
      </c>
      <c r="P4345">
        <v>3</v>
      </c>
      <c r="Q4345">
        <v>2</v>
      </c>
      <c r="R4345">
        <v>2</v>
      </c>
      <c r="S4345">
        <v>0</v>
      </c>
      <c r="T4345">
        <v>0</v>
      </c>
      <c r="U4345" t="s">
        <v>24842</v>
      </c>
      <c r="V4345">
        <f>Tabla1[[#This Row],[Aboard]]-Tabla1[[#This Row],[Fatalities]]</f>
        <v>15</v>
      </c>
      <c r="W4345" s="50">
        <f>IFERROR(Tabla1[[#This Row],[Fatalities]]/Tabla1[[#This Row],[Aboard]],0)</f>
        <v>0.11764705882352941</v>
      </c>
      <c r="X4345" s="51" t="str" cm="1">
        <f t="array" ref="X4345">_xlfn.IFS(Tabla1[[#This Row],[Porcentaje de muertes]]&lt;0.35,"LEVE",AND(Tabla1[[#This Row],[Porcentaje de muertes]]&gt;0.35,Tabla1[[#This Row],[Porcentaje de muertes]]&lt;0.65),"MEDIO",Tabla1[[#This Row],[Porcentaje de muertes]]&gt;0.65,"GRAVE")</f>
        <v>LEVE</v>
      </c>
    </row>
    <row r="4346" spans="2:24" x14ac:dyDescent="0.3">
      <c r="B4346" s="9">
        <v>4346</v>
      </c>
      <c r="C4346" s="49">
        <v>37219</v>
      </c>
      <c r="D4346" s="9">
        <f>YEAR(Tabla1[[#This Row],[Date]])</f>
        <v>2001</v>
      </c>
      <c r="E4346" s="9" t="str" cm="1">
        <f t="array" ref="E4346">IFERROR(_xlfn.IFS(AND(D4346&lt;1980,D4346&gt;=1970),"70",AND(D4346&lt;1990,D4346&gt;=1980),"80",AND(D4346&lt;2000,D4346&gt;=1990),"90",AND(D4346&lt;2010,D4346&gt;=2000),"00",AND(D4346&lt;=2019,D4346&gt;=2010),"10"),"1908-1970")</f>
        <v>00</v>
      </c>
      <c r="F4346" s="3">
        <v>0.92152777777777783</v>
      </c>
      <c r="G4346" t="s">
        <v>24843</v>
      </c>
      <c r="H4346" t="s">
        <v>24247</v>
      </c>
      <c r="I4346">
        <v>3597</v>
      </c>
      <c r="J4346" t="s">
        <v>24844</v>
      </c>
      <c r="K4346" t="s">
        <v>24845</v>
      </c>
      <c r="L4346" s="7" t="s">
        <v>24846</v>
      </c>
      <c r="M4346" t="s">
        <v>24847</v>
      </c>
      <c r="N4346">
        <v>33</v>
      </c>
      <c r="O4346">
        <v>28</v>
      </c>
      <c r="P4346">
        <v>5</v>
      </c>
      <c r="Q4346">
        <v>24</v>
      </c>
      <c r="R4346">
        <v>21</v>
      </c>
      <c r="S4346">
        <v>3</v>
      </c>
      <c r="T4346">
        <v>0</v>
      </c>
      <c r="U4346" t="s">
        <v>24848</v>
      </c>
      <c r="V4346">
        <f>Tabla1[[#This Row],[Aboard]]-Tabla1[[#This Row],[Fatalities]]</f>
        <v>9</v>
      </c>
      <c r="W4346" s="50">
        <f>IFERROR(Tabla1[[#This Row],[Fatalities]]/Tabla1[[#This Row],[Aboard]],0)</f>
        <v>0.72727272727272729</v>
      </c>
      <c r="X4346" s="51" t="str" cm="1">
        <f t="array" ref="X4346">_xlfn.IFS(Tabla1[[#This Row],[Porcentaje de muertes]]&lt;0.35,"LEVE",AND(Tabla1[[#This Row],[Porcentaje de muertes]]&gt;0.35,Tabla1[[#This Row],[Porcentaje de muertes]]&lt;0.65),"MEDIO",Tabla1[[#This Row],[Porcentaje de muertes]]&gt;0.65,"GRAVE")</f>
        <v>GRAVE</v>
      </c>
    </row>
    <row r="4347" spans="2:24" x14ac:dyDescent="0.3">
      <c r="B4347" s="9">
        <v>4347</v>
      </c>
      <c r="C4347" s="49">
        <v>37222</v>
      </c>
      <c r="D4347" s="9">
        <f>YEAR(Tabla1[[#This Row],[Date]])</f>
        <v>2001</v>
      </c>
      <c r="E4347" s="9" t="str" cm="1">
        <f t="array" ref="E4347">IFERROR(_xlfn.IFS(AND(D4347&lt;1980,D4347&gt;=1970),"70",AND(D4347&lt;1990,D4347&gt;=1980),"80",AND(D4347&lt;2000,D4347&gt;=1990),"90",AND(D4347&lt;2010,D4347&gt;=2000),"00",AND(D4347&lt;=2019,D4347&gt;=2010),"10"),"1908-1970")</f>
        <v>00</v>
      </c>
      <c r="F4347" s="3">
        <v>8.0555555555555561E-2</v>
      </c>
      <c r="G4347" t="s">
        <v>24849</v>
      </c>
      <c r="H4347" t="s">
        <v>24850</v>
      </c>
      <c r="I4347" t="s">
        <v>28931</v>
      </c>
      <c r="J4347" t="s">
        <v>24851</v>
      </c>
      <c r="K4347" t="s">
        <v>24852</v>
      </c>
      <c r="L4347" s="7" t="s">
        <v>24853</v>
      </c>
      <c r="M4347" t="s">
        <v>24854</v>
      </c>
      <c r="N4347">
        <v>13</v>
      </c>
      <c r="O4347">
        <v>0</v>
      </c>
      <c r="P4347">
        <v>13</v>
      </c>
      <c r="Q4347">
        <v>1</v>
      </c>
      <c r="R4347">
        <v>0</v>
      </c>
      <c r="S4347">
        <v>1</v>
      </c>
      <c r="T4347">
        <v>0</v>
      </c>
      <c r="U4347" t="s">
        <v>24855</v>
      </c>
      <c r="V4347">
        <f>Tabla1[[#This Row],[Aboard]]-Tabla1[[#This Row],[Fatalities]]</f>
        <v>12</v>
      </c>
      <c r="W4347" s="50">
        <f>IFERROR(Tabla1[[#This Row],[Fatalities]]/Tabla1[[#This Row],[Aboard]],0)</f>
        <v>7.6923076923076927E-2</v>
      </c>
      <c r="X4347" s="51" t="str" cm="1">
        <f t="array" ref="X4347">_xlfn.IFS(Tabla1[[#This Row],[Porcentaje de muertes]]&lt;0.35,"LEVE",AND(Tabla1[[#This Row],[Porcentaje de muertes]]&gt;0.35,Tabla1[[#This Row],[Porcentaje de muertes]]&lt;0.65),"MEDIO",Tabla1[[#This Row],[Porcentaje de muertes]]&gt;0.65,"GRAVE")</f>
        <v>LEVE</v>
      </c>
    </row>
    <row r="4348" spans="2:24" x14ac:dyDescent="0.3">
      <c r="B4348" s="9">
        <v>4348</v>
      </c>
      <c r="C4348" s="49">
        <v>36903</v>
      </c>
      <c r="D4348" s="9">
        <f>YEAR(Tabla1[[#This Row],[Date]])</f>
        <v>2001</v>
      </c>
      <c r="E4348" s="9" t="str" cm="1">
        <f t="array" ref="E4348">IFERROR(_xlfn.IFS(AND(D4348&lt;1980,D4348&gt;=1970),"70",AND(D4348&lt;1990,D4348&gt;=1980),"80",AND(D4348&lt;2000,D4348&gt;=1990),"90",AND(D4348&lt;2010,D4348&gt;=2000),"00",AND(D4348&lt;=2019,D4348&gt;=2010),"10"),"1908-1970")</f>
        <v>00</v>
      </c>
      <c r="F4348" s="3">
        <v>7.1527777777777787E-2</v>
      </c>
      <c r="G4348" t="s">
        <v>24856</v>
      </c>
      <c r="H4348" t="s">
        <v>24857</v>
      </c>
      <c r="I4348" t="s">
        <v>8152</v>
      </c>
      <c r="J4348" t="s">
        <v>24858</v>
      </c>
      <c r="K4348" t="s">
        <v>24859</v>
      </c>
      <c r="L4348" s="7" t="s">
        <v>24860</v>
      </c>
      <c r="M4348">
        <v>1023411375</v>
      </c>
      <c r="N4348">
        <v>18</v>
      </c>
      <c r="O4348">
        <v>9</v>
      </c>
      <c r="P4348">
        <v>9</v>
      </c>
      <c r="Q4348">
        <v>18</v>
      </c>
      <c r="R4348">
        <v>9</v>
      </c>
      <c r="S4348">
        <v>9</v>
      </c>
      <c r="T4348">
        <v>0</v>
      </c>
      <c r="U4348" t="s">
        <v>24861</v>
      </c>
      <c r="V4348">
        <f>Tabla1[[#This Row],[Aboard]]-Tabla1[[#This Row],[Fatalities]]</f>
        <v>0</v>
      </c>
      <c r="W4348" s="50">
        <f>IFERROR(Tabla1[[#This Row],[Fatalities]]/Tabla1[[#This Row],[Aboard]],0)</f>
        <v>1</v>
      </c>
      <c r="X4348" s="51" t="str" cm="1">
        <f t="array" ref="X4348">_xlfn.IFS(Tabla1[[#This Row],[Porcentaje de muertes]]&lt;0.35,"LEVE",AND(Tabla1[[#This Row],[Porcentaje de muertes]]&gt;0.35,Tabla1[[#This Row],[Porcentaje de muertes]]&lt;0.65),"MEDIO",Tabla1[[#This Row],[Porcentaje de muertes]]&gt;0.65,"GRAVE")</f>
        <v>GRAVE</v>
      </c>
    </row>
    <row r="4349" spans="2:24" x14ac:dyDescent="0.3">
      <c r="B4349" s="9">
        <v>4349</v>
      </c>
      <c r="C4349" s="49">
        <v>37239</v>
      </c>
      <c r="D4349" s="9">
        <f>YEAR(Tabla1[[#This Row],[Date]])</f>
        <v>2001</v>
      </c>
      <c r="E4349" s="9" t="str" cm="1">
        <f t="array" ref="E4349">IFERROR(_xlfn.IFS(AND(D4349&lt;1980,D4349&gt;=1970),"70",AND(D4349&lt;1990,D4349&gt;=1980),"80",AND(D4349&lt;2000,D4349&gt;=1990),"90",AND(D4349&lt;2010,D4349&gt;=2000),"00",AND(D4349&lt;=2019,D4349&gt;=2010),"10"),"1908-1970")</f>
        <v>00</v>
      </c>
      <c r="F4349" s="3" t="s">
        <v>28931</v>
      </c>
      <c r="G4349" t="s">
        <v>24862</v>
      </c>
      <c r="H4349" t="s">
        <v>24863</v>
      </c>
      <c r="I4349" t="s">
        <v>28931</v>
      </c>
      <c r="J4349" t="s">
        <v>24864</v>
      </c>
      <c r="K4349" t="s">
        <v>24865</v>
      </c>
      <c r="L4349" s="7" t="s">
        <v>24866</v>
      </c>
      <c r="M4349">
        <v>730208</v>
      </c>
      <c r="N4349">
        <v>6</v>
      </c>
      <c r="O4349">
        <v>4</v>
      </c>
      <c r="P4349">
        <v>2</v>
      </c>
      <c r="Q4349">
        <v>6</v>
      </c>
      <c r="R4349">
        <v>4</v>
      </c>
      <c r="S4349">
        <v>2</v>
      </c>
      <c r="T4349">
        <v>0</v>
      </c>
      <c r="U4349" t="s">
        <v>24867</v>
      </c>
      <c r="V4349">
        <f>Tabla1[[#This Row],[Aboard]]-Tabla1[[#This Row],[Fatalities]]</f>
        <v>0</v>
      </c>
      <c r="W4349" s="50">
        <f>IFERROR(Tabla1[[#This Row],[Fatalities]]/Tabla1[[#This Row],[Aboard]],0)</f>
        <v>1</v>
      </c>
      <c r="X4349" s="51" t="str" cm="1">
        <f t="array" ref="X4349">_xlfn.IFS(Tabla1[[#This Row],[Porcentaje de muertes]]&lt;0.35,"LEVE",AND(Tabla1[[#This Row],[Porcentaje de muertes]]&gt;0.35,Tabla1[[#This Row],[Porcentaje de muertes]]&lt;0.65),"MEDIO",Tabla1[[#This Row],[Porcentaje de muertes]]&gt;0.65,"GRAVE")</f>
        <v>GRAVE</v>
      </c>
    </row>
    <row r="4350" spans="2:24" x14ac:dyDescent="0.3">
      <c r="B4350" s="9">
        <v>4350</v>
      </c>
      <c r="C4350" s="49">
        <v>37241</v>
      </c>
      <c r="D4350" s="9">
        <f>YEAR(Tabla1[[#This Row],[Date]])</f>
        <v>2001</v>
      </c>
      <c r="E4350" s="9" t="str" cm="1">
        <f t="array" ref="E4350">IFERROR(_xlfn.IFS(AND(D4350&lt;1980,D4350&gt;=1970),"70",AND(D4350&lt;1990,D4350&gt;=1980),"80",AND(D4350&lt;2000,D4350&gt;=1990),"90",AND(D4350&lt;2010,D4350&gt;=2000),"00",AND(D4350&lt;=2019,D4350&gt;=2010),"10"),"1908-1970")</f>
        <v>00</v>
      </c>
      <c r="F4350" s="3">
        <v>0.43124999999999997</v>
      </c>
      <c r="G4350" t="s">
        <v>9064</v>
      </c>
      <c r="H4350" t="s">
        <v>24868</v>
      </c>
      <c r="I4350" t="s">
        <v>28931</v>
      </c>
      <c r="J4350" t="s">
        <v>19776</v>
      </c>
      <c r="K4350" t="s">
        <v>22315</v>
      </c>
      <c r="L4350" s="7" t="s">
        <v>24869</v>
      </c>
      <c r="M4350">
        <v>861618</v>
      </c>
      <c r="N4350">
        <v>16</v>
      </c>
      <c r="O4350">
        <v>14</v>
      </c>
      <c r="P4350">
        <v>2</v>
      </c>
      <c r="Q4350">
        <v>16</v>
      </c>
      <c r="R4350">
        <v>14</v>
      </c>
      <c r="S4350">
        <v>2</v>
      </c>
      <c r="T4350">
        <v>0</v>
      </c>
      <c r="U4350" t="s">
        <v>24870</v>
      </c>
      <c r="V4350">
        <f>Tabla1[[#This Row],[Aboard]]-Tabla1[[#This Row],[Fatalities]]</f>
        <v>0</v>
      </c>
      <c r="W4350" s="50">
        <f>IFERROR(Tabla1[[#This Row],[Fatalities]]/Tabla1[[#This Row],[Aboard]],0)</f>
        <v>1</v>
      </c>
      <c r="X4350" s="51" t="str" cm="1">
        <f t="array" ref="X4350">_xlfn.IFS(Tabla1[[#This Row],[Porcentaje de muertes]]&lt;0.35,"LEVE",AND(Tabla1[[#This Row],[Porcentaje de muertes]]&gt;0.35,Tabla1[[#This Row],[Porcentaje de muertes]]&lt;0.65),"MEDIO",Tabla1[[#This Row],[Porcentaje de muertes]]&gt;0.65,"GRAVE")</f>
        <v>GRAVE</v>
      </c>
    </row>
    <row r="4351" spans="2:24" x14ac:dyDescent="0.3">
      <c r="B4351" s="9">
        <v>4351</v>
      </c>
      <c r="C4351" s="49">
        <v>37251</v>
      </c>
      <c r="D4351" s="9">
        <f>YEAR(Tabla1[[#This Row],[Date]])</f>
        <v>2001</v>
      </c>
      <c r="E4351" s="9" t="str" cm="1">
        <f t="array" ref="E4351">IFERROR(_xlfn.IFS(AND(D4351&lt;1980,D4351&gt;=1970),"70",AND(D4351&lt;1990,D4351&gt;=1980),"80",AND(D4351&lt;2000,D4351&gt;=1990),"90",AND(D4351&lt;2010,D4351&gt;=2000),"00",AND(D4351&lt;=2019,D4351&gt;=2010),"10"),"1908-1970")</f>
        <v>00</v>
      </c>
      <c r="F4351" s="3">
        <v>0.43055555555555558</v>
      </c>
      <c r="G4351" t="s">
        <v>24871</v>
      </c>
      <c r="H4351" t="s">
        <v>24872</v>
      </c>
      <c r="I4351" t="s">
        <v>28931</v>
      </c>
      <c r="J4351" t="s">
        <v>24873</v>
      </c>
      <c r="K4351" t="s">
        <v>24874</v>
      </c>
      <c r="L4351" s="7" t="s">
        <v>24875</v>
      </c>
      <c r="M4351">
        <v>2167</v>
      </c>
      <c r="N4351">
        <v>9</v>
      </c>
      <c r="O4351">
        <v>8</v>
      </c>
      <c r="P4351">
        <v>1</v>
      </c>
      <c r="Q4351">
        <v>8</v>
      </c>
      <c r="R4351">
        <v>7</v>
      </c>
      <c r="S4351">
        <v>1</v>
      </c>
      <c r="T4351">
        <v>0</v>
      </c>
      <c r="U4351" t="s">
        <v>24876</v>
      </c>
      <c r="V4351">
        <f>Tabla1[[#This Row],[Aboard]]-Tabla1[[#This Row],[Fatalities]]</f>
        <v>1</v>
      </c>
      <c r="W4351" s="50">
        <f>IFERROR(Tabla1[[#This Row],[Fatalities]]/Tabla1[[#This Row],[Aboard]],0)</f>
        <v>0.88888888888888884</v>
      </c>
      <c r="X4351" s="51" t="str" cm="1">
        <f t="array" ref="X4351">_xlfn.IFS(Tabla1[[#This Row],[Porcentaje de muertes]]&lt;0.35,"LEVE",AND(Tabla1[[#This Row],[Porcentaje de muertes]]&gt;0.35,Tabla1[[#This Row],[Porcentaje de muertes]]&lt;0.65),"MEDIO",Tabla1[[#This Row],[Porcentaje de muertes]]&gt;0.65,"GRAVE")</f>
        <v>GRAVE</v>
      </c>
    </row>
    <row r="4352" spans="2:24" x14ac:dyDescent="0.3">
      <c r="B4352" s="9">
        <v>4352</v>
      </c>
      <c r="C4352" s="49">
        <v>37347</v>
      </c>
      <c r="D4352" s="9">
        <f>YEAR(Tabla1[[#This Row],[Date]])</f>
        <v>2002</v>
      </c>
      <c r="E4352" s="9" t="str" cm="1">
        <f t="array" ref="E4352">IFERROR(_xlfn.IFS(AND(D4352&lt;1980,D4352&gt;=1970),"70",AND(D4352&lt;1990,D4352&gt;=1980),"80",AND(D4352&lt;2000,D4352&gt;=1990),"90",AND(D4352&lt;2010,D4352&gt;=2000),"00",AND(D4352&lt;=2019,D4352&gt;=2010),"10"),"1908-1970")</f>
        <v>00</v>
      </c>
      <c r="F4352" s="3">
        <v>0.50486111111111109</v>
      </c>
      <c r="G4352" t="s">
        <v>24877</v>
      </c>
      <c r="H4352" t="s">
        <v>24878</v>
      </c>
      <c r="I4352" t="s">
        <v>28931</v>
      </c>
      <c r="J4352" t="s">
        <v>24879</v>
      </c>
      <c r="K4352" t="s">
        <v>24880</v>
      </c>
      <c r="L4352" s="7" t="s">
        <v>24881</v>
      </c>
      <c r="M4352">
        <v>5414</v>
      </c>
      <c r="N4352">
        <v>5</v>
      </c>
      <c r="O4352">
        <v>3</v>
      </c>
      <c r="P4352">
        <v>2</v>
      </c>
      <c r="Q4352">
        <v>5</v>
      </c>
      <c r="R4352">
        <v>3</v>
      </c>
      <c r="S4352">
        <v>2</v>
      </c>
      <c r="T4352">
        <v>0</v>
      </c>
      <c r="U4352" t="s">
        <v>24882</v>
      </c>
      <c r="V4352">
        <f>Tabla1[[#This Row],[Aboard]]-Tabla1[[#This Row],[Fatalities]]</f>
        <v>0</v>
      </c>
      <c r="W4352" s="50">
        <f>IFERROR(Tabla1[[#This Row],[Fatalities]]/Tabla1[[#This Row],[Aboard]],0)</f>
        <v>1</v>
      </c>
      <c r="X4352" s="51" t="str" cm="1">
        <f t="array" ref="X4352">_xlfn.IFS(Tabla1[[#This Row],[Porcentaje de muertes]]&lt;0.35,"LEVE",AND(Tabla1[[#This Row],[Porcentaje de muertes]]&gt;0.35,Tabla1[[#This Row],[Porcentaje de muertes]]&lt;0.65),"MEDIO",Tabla1[[#This Row],[Porcentaje de muertes]]&gt;0.65,"GRAVE")</f>
        <v>GRAVE</v>
      </c>
    </row>
    <row r="4353" spans="2:24" x14ac:dyDescent="0.3">
      <c r="B4353" s="9">
        <v>4353</v>
      </c>
      <c r="C4353" s="49">
        <v>37500</v>
      </c>
      <c r="D4353" s="9">
        <f>YEAR(Tabla1[[#This Row],[Date]])</f>
        <v>2002</v>
      </c>
      <c r="E4353" s="9" t="str" cm="1">
        <f t="array" ref="E4353">IFERROR(_xlfn.IFS(AND(D4353&lt;1980,D4353&gt;=1970),"70",AND(D4353&lt;1990,D4353&gt;=1980),"80",AND(D4353&lt;2000,D4353&gt;=1990),"90",AND(D4353&lt;2010,D4353&gt;=2000),"00",AND(D4353&lt;=2019,D4353&gt;=2010),"10"),"1908-1970")</f>
        <v>00</v>
      </c>
      <c r="F4353" s="3" t="s">
        <v>28931</v>
      </c>
      <c r="G4353" t="s">
        <v>24883</v>
      </c>
      <c r="H4353" t="s">
        <v>7987</v>
      </c>
      <c r="I4353" t="s">
        <v>28931</v>
      </c>
      <c r="J4353" t="s">
        <v>24884</v>
      </c>
      <c r="K4353" t="s">
        <v>24885</v>
      </c>
      <c r="L4353" s="7">
        <v>160021</v>
      </c>
      <c r="M4353">
        <v>4702</v>
      </c>
      <c r="N4353">
        <v>7</v>
      </c>
      <c r="O4353">
        <v>0</v>
      </c>
      <c r="P4353">
        <v>7</v>
      </c>
      <c r="Q4353">
        <v>7</v>
      </c>
      <c r="R4353">
        <v>0</v>
      </c>
      <c r="S4353">
        <v>7</v>
      </c>
      <c r="T4353">
        <v>0</v>
      </c>
      <c r="U4353" t="s">
        <v>24886</v>
      </c>
      <c r="V4353">
        <f>Tabla1[[#This Row],[Aboard]]-Tabla1[[#This Row],[Fatalities]]</f>
        <v>0</v>
      </c>
      <c r="W4353" s="50">
        <f>IFERROR(Tabla1[[#This Row],[Fatalities]]/Tabla1[[#This Row],[Aboard]],0)</f>
        <v>1</v>
      </c>
      <c r="X4353" s="51" t="str" cm="1">
        <f t="array" ref="X4353">_xlfn.IFS(Tabla1[[#This Row],[Porcentaje de muertes]]&lt;0.35,"LEVE",AND(Tabla1[[#This Row],[Porcentaje de muertes]]&gt;0.35,Tabla1[[#This Row],[Porcentaje de muertes]]&lt;0.65),"MEDIO",Tabla1[[#This Row],[Porcentaje de muertes]]&gt;0.65,"GRAVE")</f>
        <v>GRAVE</v>
      </c>
    </row>
    <row r="4354" spans="2:24" x14ac:dyDescent="0.3">
      <c r="B4354" s="9">
        <v>4354</v>
      </c>
      <c r="C4354" s="49">
        <v>37270</v>
      </c>
      <c r="D4354" s="9">
        <f>YEAR(Tabla1[[#This Row],[Date]])</f>
        <v>2002</v>
      </c>
      <c r="E4354" s="9" t="str" cm="1">
        <f t="array" ref="E4354">IFERROR(_xlfn.IFS(AND(D4354&lt;1980,D4354&gt;=1970),"70",AND(D4354&lt;1990,D4354&gt;=1980),"80",AND(D4354&lt;2000,D4354&gt;=1990),"90",AND(D4354&lt;2010,D4354&gt;=2000),"00",AND(D4354&lt;=2019,D4354&gt;=2010),"10"),"1908-1970")</f>
        <v>00</v>
      </c>
      <c r="F4354" s="3">
        <v>0.31111111111111112</v>
      </c>
      <c r="G4354" t="s">
        <v>24887</v>
      </c>
      <c r="H4354" t="s">
        <v>24888</v>
      </c>
      <c r="I4354">
        <v>1278</v>
      </c>
      <c r="J4354" t="s">
        <v>19801</v>
      </c>
      <c r="K4354" t="s">
        <v>24889</v>
      </c>
      <c r="L4354" s="7" t="s">
        <v>24890</v>
      </c>
      <c r="M4354" t="s">
        <v>24891</v>
      </c>
      <c r="N4354">
        <v>3</v>
      </c>
      <c r="O4354">
        <v>0</v>
      </c>
      <c r="P4354">
        <v>3</v>
      </c>
      <c r="Q4354">
        <v>3</v>
      </c>
      <c r="R4354">
        <v>0</v>
      </c>
      <c r="S4354">
        <v>3</v>
      </c>
      <c r="T4354">
        <v>0</v>
      </c>
      <c r="U4354" t="s">
        <v>24892</v>
      </c>
      <c r="V4354">
        <f>Tabla1[[#This Row],[Aboard]]-Tabla1[[#This Row],[Fatalities]]</f>
        <v>0</v>
      </c>
      <c r="W4354" s="50">
        <f>IFERROR(Tabla1[[#This Row],[Fatalities]]/Tabla1[[#This Row],[Aboard]],0)</f>
        <v>1</v>
      </c>
      <c r="X4354" s="51" t="str" cm="1">
        <f t="array" ref="X4354">_xlfn.IFS(Tabla1[[#This Row],[Porcentaje de muertes]]&lt;0.35,"LEVE",AND(Tabla1[[#This Row],[Porcentaje de muertes]]&gt;0.35,Tabla1[[#This Row],[Porcentaje de muertes]]&lt;0.65),"MEDIO",Tabla1[[#This Row],[Porcentaje de muertes]]&gt;0.65,"GRAVE")</f>
        <v>GRAVE</v>
      </c>
    </row>
    <row r="4355" spans="2:24" x14ac:dyDescent="0.3">
      <c r="B4355" s="9">
        <v>4355</v>
      </c>
      <c r="C4355" s="49">
        <v>37271</v>
      </c>
      <c r="D4355" s="9">
        <f>YEAR(Tabla1[[#This Row],[Date]])</f>
        <v>2002</v>
      </c>
      <c r="E4355" s="9" t="str" cm="1">
        <f t="array" ref="E4355">IFERROR(_xlfn.IFS(AND(D4355&lt;1980,D4355&gt;=1970),"70",AND(D4355&lt;1990,D4355&gt;=1980),"80",AND(D4355&lt;2000,D4355&gt;=1990),"90",AND(D4355&lt;2010,D4355&gt;=2000),"00",AND(D4355&lt;=2019,D4355&gt;=2010),"10"),"1908-1970")</f>
        <v>00</v>
      </c>
      <c r="F4355" s="3">
        <v>0.36458333333333331</v>
      </c>
      <c r="G4355" t="s">
        <v>24893</v>
      </c>
      <c r="H4355" t="s">
        <v>24894</v>
      </c>
      <c r="I4355" t="s">
        <v>28931</v>
      </c>
      <c r="J4355" t="s">
        <v>24895</v>
      </c>
      <c r="K4355" t="s">
        <v>20975</v>
      </c>
      <c r="L4355" s="7" t="s">
        <v>24896</v>
      </c>
      <c r="M4355">
        <v>752</v>
      </c>
      <c r="N4355">
        <v>17</v>
      </c>
      <c r="O4355">
        <v>15</v>
      </c>
      <c r="P4355">
        <v>2</v>
      </c>
      <c r="Q4355">
        <v>5</v>
      </c>
      <c r="R4355">
        <v>5</v>
      </c>
      <c r="S4355">
        <v>0</v>
      </c>
      <c r="T4355">
        <v>0</v>
      </c>
      <c r="U4355" t="s">
        <v>24897</v>
      </c>
      <c r="V4355">
        <f>Tabla1[[#This Row],[Aboard]]-Tabla1[[#This Row],[Fatalities]]</f>
        <v>12</v>
      </c>
      <c r="W4355" s="50">
        <f>IFERROR(Tabla1[[#This Row],[Fatalities]]/Tabla1[[#This Row],[Aboard]],0)</f>
        <v>0.29411764705882354</v>
      </c>
      <c r="X4355" s="51" t="str" cm="1">
        <f t="array" ref="X4355">_xlfn.IFS(Tabla1[[#This Row],[Porcentaje de muertes]]&lt;0.35,"LEVE",AND(Tabla1[[#This Row],[Porcentaje de muertes]]&gt;0.35,Tabla1[[#This Row],[Porcentaje de muertes]]&lt;0.65),"MEDIO",Tabla1[[#This Row],[Porcentaje de muertes]]&gt;0.65,"GRAVE")</f>
        <v>LEVE</v>
      </c>
    </row>
    <row r="4356" spans="2:24" x14ac:dyDescent="0.3">
      <c r="B4356" s="9">
        <v>4356</v>
      </c>
      <c r="C4356" s="49">
        <v>37272</v>
      </c>
      <c r="D4356" s="9">
        <f>YEAR(Tabla1[[#This Row],[Date]])</f>
        <v>2002</v>
      </c>
      <c r="E4356" s="9" t="str" cm="1">
        <f t="array" ref="E4356">IFERROR(_xlfn.IFS(AND(D4356&lt;1980,D4356&gt;=1970),"70",AND(D4356&lt;1990,D4356&gt;=1980),"80",AND(D4356&lt;2000,D4356&gt;=1990),"90",AND(D4356&lt;2010,D4356&gt;=2000),"00",AND(D4356&lt;=2019,D4356&gt;=2010),"10"),"1908-1970")</f>
        <v>00</v>
      </c>
      <c r="F4356" s="3">
        <v>0.68680555555555556</v>
      </c>
      <c r="G4356" t="s">
        <v>24898</v>
      </c>
      <c r="H4356" t="s">
        <v>10225</v>
      </c>
      <c r="I4356">
        <v>421</v>
      </c>
      <c r="J4356" t="s">
        <v>24899</v>
      </c>
      <c r="K4356" t="s">
        <v>24900</v>
      </c>
      <c r="L4356" s="7" t="s">
        <v>24901</v>
      </c>
      <c r="M4356" t="s">
        <v>24902</v>
      </c>
      <c r="N4356">
        <v>62</v>
      </c>
      <c r="O4356">
        <v>54</v>
      </c>
      <c r="P4356">
        <v>8</v>
      </c>
      <c r="Q4356">
        <v>1</v>
      </c>
      <c r="R4356">
        <v>0</v>
      </c>
      <c r="S4356">
        <v>1</v>
      </c>
      <c r="T4356">
        <v>0</v>
      </c>
      <c r="U4356" t="s">
        <v>24903</v>
      </c>
      <c r="V4356">
        <f>Tabla1[[#This Row],[Aboard]]-Tabla1[[#This Row],[Fatalities]]</f>
        <v>61</v>
      </c>
      <c r="W4356" s="50">
        <f>IFERROR(Tabla1[[#This Row],[Fatalities]]/Tabla1[[#This Row],[Aboard]],0)</f>
        <v>1.6129032258064516E-2</v>
      </c>
      <c r="X4356" s="51" t="str" cm="1">
        <f t="array" ref="X4356">_xlfn.IFS(Tabla1[[#This Row],[Porcentaje de muertes]]&lt;0.35,"LEVE",AND(Tabla1[[#This Row],[Porcentaje de muertes]]&gt;0.35,Tabla1[[#This Row],[Porcentaje de muertes]]&lt;0.65),"MEDIO",Tabla1[[#This Row],[Porcentaje de muertes]]&gt;0.65,"GRAVE")</f>
        <v>LEVE</v>
      </c>
    </row>
    <row r="4357" spans="2:24" x14ac:dyDescent="0.3">
      <c r="B4357" s="9">
        <v>4357</v>
      </c>
      <c r="C4357" s="49">
        <v>37273</v>
      </c>
      <c r="D4357" s="9">
        <f>YEAR(Tabla1[[#This Row],[Date]])</f>
        <v>2002</v>
      </c>
      <c r="E4357" s="9" t="str" cm="1">
        <f t="array" ref="E4357">IFERROR(_xlfn.IFS(AND(D4357&lt;1980,D4357&gt;=1970),"70",AND(D4357&lt;1990,D4357&gt;=1980),"80",AND(D4357&lt;2000,D4357&gt;=1990),"90",AND(D4357&lt;2010,D4357&gt;=2000),"00",AND(D4357&lt;=2019,D4357&gt;=2010),"10"),"1908-1970")</f>
        <v>00</v>
      </c>
      <c r="F4357" s="3">
        <v>0.45833333333333331</v>
      </c>
      <c r="G4357" t="s">
        <v>24904</v>
      </c>
      <c r="H4357" t="s">
        <v>24905</v>
      </c>
      <c r="I4357" t="s">
        <v>28931</v>
      </c>
      <c r="J4357" t="s">
        <v>24906</v>
      </c>
      <c r="K4357" t="s">
        <v>24907</v>
      </c>
      <c r="L4357" s="7" t="s">
        <v>24908</v>
      </c>
      <c r="M4357">
        <v>511</v>
      </c>
      <c r="N4357">
        <v>26</v>
      </c>
      <c r="O4357">
        <v>21</v>
      </c>
      <c r="P4357">
        <v>5</v>
      </c>
      <c r="Q4357">
        <v>26</v>
      </c>
      <c r="R4357">
        <v>21</v>
      </c>
      <c r="S4357">
        <v>5</v>
      </c>
      <c r="T4357">
        <v>0</v>
      </c>
      <c r="U4357" t="s">
        <v>24909</v>
      </c>
      <c r="V4357">
        <f>Tabla1[[#This Row],[Aboard]]-Tabla1[[#This Row],[Fatalities]]</f>
        <v>0</v>
      </c>
      <c r="W4357" s="50">
        <f>IFERROR(Tabla1[[#This Row],[Fatalities]]/Tabla1[[#This Row],[Aboard]],0)</f>
        <v>1</v>
      </c>
      <c r="X4357" s="51" t="str" cm="1">
        <f t="array" ref="X4357">_xlfn.IFS(Tabla1[[#This Row],[Porcentaje de muertes]]&lt;0.35,"LEVE",AND(Tabla1[[#This Row],[Porcentaje de muertes]]&gt;0.35,Tabla1[[#This Row],[Porcentaje de muertes]]&lt;0.65),"MEDIO",Tabla1[[#This Row],[Porcentaje de muertes]]&gt;0.65,"GRAVE")</f>
        <v>GRAVE</v>
      </c>
    </row>
    <row r="4358" spans="2:24" x14ac:dyDescent="0.3">
      <c r="B4358" s="9">
        <v>4358</v>
      </c>
      <c r="C4358" s="49">
        <v>37283</v>
      </c>
      <c r="D4358" s="9">
        <f>YEAR(Tabla1[[#This Row],[Date]])</f>
        <v>2002</v>
      </c>
      <c r="E4358" s="9" t="str" cm="1">
        <f t="array" ref="E4358">IFERROR(_xlfn.IFS(AND(D4358&lt;1980,D4358&gt;=1970),"70",AND(D4358&lt;1990,D4358&gt;=1980),"80",AND(D4358&lt;2000,D4358&gt;=1990),"90",AND(D4358&lt;2010,D4358&gt;=2000),"00",AND(D4358&lt;=2019,D4358&gt;=2010),"10"),"1908-1970")</f>
        <v>00</v>
      </c>
      <c r="F4358" s="3" t="s">
        <v>28931</v>
      </c>
      <c r="G4358" t="s">
        <v>24910</v>
      </c>
      <c r="H4358" t="s">
        <v>24911</v>
      </c>
      <c r="I4358" t="s">
        <v>8152</v>
      </c>
      <c r="J4358" t="s">
        <v>28931</v>
      </c>
      <c r="K4358" t="s">
        <v>13992</v>
      </c>
      <c r="L4358" s="7" t="s">
        <v>24912</v>
      </c>
      <c r="M4358" t="s">
        <v>24913</v>
      </c>
      <c r="N4358">
        <v>40</v>
      </c>
      <c r="O4358">
        <v>34</v>
      </c>
      <c r="P4358">
        <v>6</v>
      </c>
      <c r="Q4358">
        <v>5</v>
      </c>
      <c r="R4358">
        <v>3</v>
      </c>
      <c r="S4358">
        <v>2</v>
      </c>
      <c r="T4358">
        <v>0</v>
      </c>
      <c r="U4358" t="s">
        <v>24914</v>
      </c>
      <c r="V4358">
        <f>Tabla1[[#This Row],[Aboard]]-Tabla1[[#This Row],[Fatalities]]</f>
        <v>35</v>
      </c>
      <c r="W4358" s="50">
        <f>IFERROR(Tabla1[[#This Row],[Fatalities]]/Tabla1[[#This Row],[Aboard]],0)</f>
        <v>0.125</v>
      </c>
      <c r="X4358" s="51" t="str" cm="1">
        <f t="array" ref="X4358">_xlfn.IFS(Tabla1[[#This Row],[Porcentaje de muertes]]&lt;0.35,"LEVE",AND(Tabla1[[#This Row],[Porcentaje de muertes]]&gt;0.35,Tabla1[[#This Row],[Porcentaje de muertes]]&lt;0.65),"MEDIO",Tabla1[[#This Row],[Porcentaje de muertes]]&gt;0.65,"GRAVE")</f>
        <v>LEVE</v>
      </c>
    </row>
    <row r="4359" spans="2:24" x14ac:dyDescent="0.3">
      <c r="B4359" s="9">
        <v>4359</v>
      </c>
      <c r="C4359" s="49">
        <v>37284</v>
      </c>
      <c r="D4359" s="9">
        <f>YEAR(Tabla1[[#This Row],[Date]])</f>
        <v>2002</v>
      </c>
      <c r="E4359" s="9" t="str" cm="1">
        <f t="array" ref="E4359">IFERROR(_xlfn.IFS(AND(D4359&lt;1980,D4359&gt;=1970),"70",AND(D4359&lt;1990,D4359&gt;=1980),"80",AND(D4359&lt;2000,D4359&gt;=1990),"90",AND(D4359&lt;2010,D4359&gt;=2000),"00",AND(D4359&lt;=2019,D4359&gt;=2010),"10"),"1908-1970")</f>
        <v>00</v>
      </c>
      <c r="F4359" s="3">
        <v>0.45833333333333331</v>
      </c>
      <c r="G4359" t="s">
        <v>24915</v>
      </c>
      <c r="H4359" t="s">
        <v>17526</v>
      </c>
      <c r="I4359">
        <v>120</v>
      </c>
      <c r="J4359" t="s">
        <v>24916</v>
      </c>
      <c r="K4359" t="s">
        <v>24917</v>
      </c>
      <c r="L4359" s="7" t="s">
        <v>24918</v>
      </c>
      <c r="M4359" t="s">
        <v>24919</v>
      </c>
      <c r="N4359">
        <v>92</v>
      </c>
      <c r="O4359">
        <v>83</v>
      </c>
      <c r="P4359">
        <v>9</v>
      </c>
      <c r="Q4359">
        <v>92</v>
      </c>
      <c r="R4359">
        <v>83</v>
      </c>
      <c r="S4359">
        <v>9</v>
      </c>
      <c r="T4359">
        <v>0</v>
      </c>
      <c r="U4359" t="s">
        <v>24920</v>
      </c>
      <c r="V4359">
        <f>Tabla1[[#This Row],[Aboard]]-Tabla1[[#This Row],[Fatalities]]</f>
        <v>0</v>
      </c>
      <c r="W4359" s="50">
        <f>IFERROR(Tabla1[[#This Row],[Fatalities]]/Tabla1[[#This Row],[Aboard]],0)</f>
        <v>1</v>
      </c>
      <c r="X4359" s="51" t="str" cm="1">
        <f t="array" ref="X4359">_xlfn.IFS(Tabla1[[#This Row],[Porcentaje de muertes]]&lt;0.35,"LEVE",AND(Tabla1[[#This Row],[Porcentaje de muertes]]&gt;0.35,Tabla1[[#This Row],[Porcentaje de muertes]]&lt;0.65),"MEDIO",Tabla1[[#This Row],[Porcentaje de muertes]]&gt;0.65,"GRAVE")</f>
        <v>GRAVE</v>
      </c>
    </row>
    <row r="4360" spans="2:24" x14ac:dyDescent="0.3">
      <c r="B4360" s="9">
        <v>4360</v>
      </c>
      <c r="C4360" s="49">
        <v>37592</v>
      </c>
      <c r="D4360" s="9">
        <f>YEAR(Tabla1[[#This Row],[Date]])</f>
        <v>2002</v>
      </c>
      <c r="E4360" s="9" t="str" cm="1">
        <f t="array" ref="E4360">IFERROR(_xlfn.IFS(AND(D4360&lt;1980,D4360&gt;=1970),"70",AND(D4360&lt;1990,D4360&gt;=1980),"80",AND(D4360&lt;2000,D4360&gt;=1990),"90",AND(D4360&lt;2010,D4360&gt;=2000),"00",AND(D4360&lt;=2019,D4360&gt;=2010),"10"),"1908-1970")</f>
        <v>00</v>
      </c>
      <c r="F4360" s="3">
        <v>0.3263888888888889</v>
      </c>
      <c r="G4360" t="s">
        <v>24921</v>
      </c>
      <c r="H4360" t="s">
        <v>24922</v>
      </c>
      <c r="I4360">
        <v>956</v>
      </c>
      <c r="J4360" t="s">
        <v>24923</v>
      </c>
      <c r="K4360" t="s">
        <v>16725</v>
      </c>
      <c r="L4360" s="7" t="s">
        <v>24924</v>
      </c>
      <c r="M4360" t="s">
        <v>24925</v>
      </c>
      <c r="N4360">
        <v>117</v>
      </c>
      <c r="O4360">
        <v>108</v>
      </c>
      <c r="P4360">
        <v>9</v>
      </c>
      <c r="Q4360">
        <v>117</v>
      </c>
      <c r="R4360">
        <v>108</v>
      </c>
      <c r="S4360">
        <v>9</v>
      </c>
      <c r="T4360">
        <v>0</v>
      </c>
      <c r="U4360" t="s">
        <v>24926</v>
      </c>
      <c r="V4360">
        <f>Tabla1[[#This Row],[Aboard]]-Tabla1[[#This Row],[Fatalities]]</f>
        <v>0</v>
      </c>
      <c r="W4360" s="50">
        <f>IFERROR(Tabla1[[#This Row],[Fatalities]]/Tabla1[[#This Row],[Aboard]],0)</f>
        <v>1</v>
      </c>
      <c r="X4360" s="51" t="str" cm="1">
        <f t="array" ref="X4360">_xlfn.IFS(Tabla1[[#This Row],[Porcentaje de muertes]]&lt;0.35,"LEVE",AND(Tabla1[[#This Row],[Porcentaje de muertes]]&gt;0.35,Tabla1[[#This Row],[Porcentaje de muertes]]&lt;0.65),"MEDIO",Tabla1[[#This Row],[Porcentaje de muertes]]&gt;0.65,"GRAVE")</f>
        <v>GRAVE</v>
      </c>
    </row>
    <row r="4361" spans="2:24" x14ac:dyDescent="0.3">
      <c r="B4361" s="9">
        <v>4361</v>
      </c>
      <c r="C4361" s="49">
        <v>37302</v>
      </c>
      <c r="D4361" s="9">
        <f>YEAR(Tabla1[[#This Row],[Date]])</f>
        <v>2002</v>
      </c>
      <c r="E4361" s="9" t="str" cm="1">
        <f t="array" ref="E4361">IFERROR(_xlfn.IFS(AND(D4361&lt;1980,D4361&gt;=1970),"70",AND(D4361&lt;1990,D4361&gt;=1980),"80",AND(D4361&lt;2000,D4361&gt;=1990),"90",AND(D4361&lt;2010,D4361&gt;=2000),"00",AND(D4361&lt;=2019,D4361&gt;=2010),"10"),"1908-1970")</f>
        <v>00</v>
      </c>
      <c r="F4361" s="3">
        <v>0.25555555555555559</v>
      </c>
      <c r="G4361" t="s">
        <v>14860</v>
      </c>
      <c r="H4361" t="s">
        <v>24927</v>
      </c>
      <c r="I4361" t="s">
        <v>28931</v>
      </c>
      <c r="J4361" t="s">
        <v>28931</v>
      </c>
      <c r="K4361" t="s">
        <v>20707</v>
      </c>
      <c r="L4361" s="7" t="s">
        <v>24928</v>
      </c>
      <c r="M4361">
        <v>4342610</v>
      </c>
      <c r="N4361">
        <v>10</v>
      </c>
      <c r="O4361">
        <v>3</v>
      </c>
      <c r="P4361">
        <v>7</v>
      </c>
      <c r="Q4361">
        <v>1</v>
      </c>
      <c r="R4361">
        <v>0</v>
      </c>
      <c r="S4361">
        <v>1</v>
      </c>
      <c r="T4361">
        <v>0</v>
      </c>
      <c r="U4361" t="s">
        <v>16010</v>
      </c>
      <c r="V4361">
        <f>Tabla1[[#This Row],[Aboard]]-Tabla1[[#This Row],[Fatalities]]</f>
        <v>9</v>
      </c>
      <c r="W4361" s="50">
        <f>IFERROR(Tabla1[[#This Row],[Fatalities]]/Tabla1[[#This Row],[Aboard]],0)</f>
        <v>0.1</v>
      </c>
      <c r="X4361" s="51" t="str" cm="1">
        <f t="array" ref="X4361">_xlfn.IFS(Tabla1[[#This Row],[Porcentaje de muertes]]&lt;0.35,"LEVE",AND(Tabla1[[#This Row],[Porcentaje de muertes]]&gt;0.35,Tabla1[[#This Row],[Porcentaje de muertes]]&lt;0.65),"MEDIO",Tabla1[[#This Row],[Porcentaje de muertes]]&gt;0.65,"GRAVE")</f>
        <v>LEVE</v>
      </c>
    </row>
    <row r="4362" spans="2:24" x14ac:dyDescent="0.3">
      <c r="B4362" s="9">
        <v>4362</v>
      </c>
      <c r="C4362" s="49">
        <v>37308</v>
      </c>
      <c r="D4362" s="9">
        <f>YEAR(Tabla1[[#This Row],[Date]])</f>
        <v>2002</v>
      </c>
      <c r="E4362" s="9" t="str" cm="1">
        <f t="array" ref="E4362">IFERROR(_xlfn.IFS(AND(D4362&lt;1980,D4362&gt;=1970),"70",AND(D4362&lt;1990,D4362&gt;=1980),"80",AND(D4362&lt;2000,D4362&gt;=1990),"90",AND(D4362&lt;2010,D4362&gt;=2000),"00",AND(D4362&lt;=2019,D4362&gt;=2010),"10"),"1908-1970")</f>
        <v>00</v>
      </c>
      <c r="F4362" s="3">
        <v>0.86388888888888893</v>
      </c>
      <c r="G4362" t="s">
        <v>24929</v>
      </c>
      <c r="H4362" t="s">
        <v>16444</v>
      </c>
      <c r="I4362" t="s">
        <v>28931</v>
      </c>
      <c r="J4362" t="s">
        <v>24930</v>
      </c>
      <c r="K4362" t="s">
        <v>17904</v>
      </c>
      <c r="L4362" s="7" t="s">
        <v>24931</v>
      </c>
      <c r="M4362" t="s">
        <v>24932</v>
      </c>
      <c r="N4362">
        <v>20</v>
      </c>
      <c r="O4362">
        <v>12</v>
      </c>
      <c r="P4362">
        <v>8</v>
      </c>
      <c r="Q4362">
        <v>17</v>
      </c>
      <c r="R4362">
        <v>12</v>
      </c>
      <c r="S4362">
        <v>5</v>
      </c>
      <c r="T4362">
        <v>0</v>
      </c>
      <c r="U4362" t="s">
        <v>24933</v>
      </c>
      <c r="V4362">
        <f>Tabla1[[#This Row],[Aboard]]-Tabla1[[#This Row],[Fatalities]]</f>
        <v>3</v>
      </c>
      <c r="W4362" s="50">
        <f>IFERROR(Tabla1[[#This Row],[Fatalities]]/Tabla1[[#This Row],[Aboard]],0)</f>
        <v>0.85</v>
      </c>
      <c r="X4362" s="51" t="str" cm="1">
        <f t="array" ref="X4362">_xlfn.IFS(Tabla1[[#This Row],[Porcentaje de muertes]]&lt;0.35,"LEVE",AND(Tabla1[[#This Row],[Porcentaje de muertes]]&gt;0.35,Tabla1[[#This Row],[Porcentaje de muertes]]&lt;0.65),"MEDIO",Tabla1[[#This Row],[Porcentaje de muertes]]&gt;0.65,"GRAVE")</f>
        <v>GRAVE</v>
      </c>
    </row>
    <row r="4363" spans="2:24" x14ac:dyDescent="0.3">
      <c r="B4363" s="9">
        <v>4363</v>
      </c>
      <c r="C4363" s="49">
        <v>37309</v>
      </c>
      <c r="D4363" s="9">
        <f>YEAR(Tabla1[[#This Row],[Date]])</f>
        <v>2002</v>
      </c>
      <c r="E4363" s="9" t="str" cm="1">
        <f t="array" ref="E4363">IFERROR(_xlfn.IFS(AND(D4363&lt;1980,D4363&gt;=1970),"70",AND(D4363&lt;1990,D4363&gt;=1980),"80",AND(D4363&lt;2000,D4363&gt;=1990),"90",AND(D4363&lt;2010,D4363&gt;=2000),"00",AND(D4363&lt;=2019,D4363&gt;=2010),"10"),"1908-1970")</f>
        <v>00</v>
      </c>
      <c r="F4363" s="3">
        <v>0.10416666666666667</v>
      </c>
      <c r="G4363" t="s">
        <v>24934</v>
      </c>
      <c r="H4363" t="s">
        <v>5017</v>
      </c>
      <c r="I4363" t="s">
        <v>28931</v>
      </c>
      <c r="J4363" t="s">
        <v>24935</v>
      </c>
      <c r="K4363" t="s">
        <v>24936</v>
      </c>
      <c r="L4363" s="7" t="s">
        <v>24937</v>
      </c>
      <c r="M4363" t="s">
        <v>24938</v>
      </c>
      <c r="N4363">
        <v>10</v>
      </c>
      <c r="O4363">
        <v>4</v>
      </c>
      <c r="P4363">
        <v>6</v>
      </c>
      <c r="Q4363">
        <v>10</v>
      </c>
      <c r="R4363">
        <v>4</v>
      </c>
      <c r="S4363">
        <v>6</v>
      </c>
      <c r="T4363">
        <v>0</v>
      </c>
      <c r="U4363" t="s">
        <v>24939</v>
      </c>
      <c r="V4363">
        <f>Tabla1[[#This Row],[Aboard]]-Tabla1[[#This Row],[Fatalities]]</f>
        <v>0</v>
      </c>
      <c r="W4363" s="50">
        <f>IFERROR(Tabla1[[#This Row],[Fatalities]]/Tabla1[[#This Row],[Aboard]],0)</f>
        <v>1</v>
      </c>
      <c r="X4363" s="51" t="str" cm="1">
        <f t="array" ref="X4363">_xlfn.IFS(Tabla1[[#This Row],[Porcentaje de muertes]]&lt;0.35,"LEVE",AND(Tabla1[[#This Row],[Porcentaje de muertes]]&gt;0.35,Tabla1[[#This Row],[Porcentaje de muertes]]&lt;0.65),"MEDIO",Tabla1[[#This Row],[Porcentaje de muertes]]&gt;0.65,"GRAVE")</f>
        <v>GRAVE</v>
      </c>
    </row>
    <row r="4364" spans="2:24" x14ac:dyDescent="0.3">
      <c r="B4364" s="9">
        <v>4364</v>
      </c>
      <c r="C4364" s="49">
        <v>37502</v>
      </c>
      <c r="D4364" s="9">
        <f>YEAR(Tabla1[[#This Row],[Date]])</f>
        <v>2002</v>
      </c>
      <c r="E4364" s="9" t="str" cm="1">
        <f t="array" ref="E4364">IFERROR(_xlfn.IFS(AND(D4364&lt;1980,D4364&gt;=1970),"70",AND(D4364&lt;1990,D4364&gt;=1980),"80",AND(D4364&lt;2000,D4364&gt;=1990),"90",AND(D4364&lt;2010,D4364&gt;=2000),"00",AND(D4364&lt;=2019,D4364&gt;=2010),"10"),"1908-1970")</f>
        <v>00</v>
      </c>
      <c r="F4364" s="3">
        <v>0.56944444444444442</v>
      </c>
      <c r="G4364" t="s">
        <v>24940</v>
      </c>
      <c r="H4364" t="s">
        <v>24941</v>
      </c>
      <c r="I4364">
        <v>2801</v>
      </c>
      <c r="J4364" t="s">
        <v>24942</v>
      </c>
      <c r="K4364" t="s">
        <v>24943</v>
      </c>
      <c r="L4364" s="7" t="s">
        <v>24944</v>
      </c>
      <c r="M4364" t="s">
        <v>24945</v>
      </c>
      <c r="N4364">
        <v>3</v>
      </c>
      <c r="O4364">
        <v>1</v>
      </c>
      <c r="P4364">
        <v>2</v>
      </c>
      <c r="Q4364">
        <v>3</v>
      </c>
      <c r="R4364">
        <v>1</v>
      </c>
      <c r="S4364">
        <v>2</v>
      </c>
      <c r="T4364">
        <v>0</v>
      </c>
      <c r="U4364" t="s">
        <v>24946</v>
      </c>
      <c r="V4364">
        <f>Tabla1[[#This Row],[Aboard]]-Tabla1[[#This Row],[Fatalities]]</f>
        <v>0</v>
      </c>
      <c r="W4364" s="50">
        <f>IFERROR(Tabla1[[#This Row],[Fatalities]]/Tabla1[[#This Row],[Aboard]],0)</f>
        <v>1</v>
      </c>
      <c r="X4364" s="51" t="str" cm="1">
        <f t="array" ref="X4364">_xlfn.IFS(Tabla1[[#This Row],[Porcentaje de muertes]]&lt;0.35,"LEVE",AND(Tabla1[[#This Row],[Porcentaje de muertes]]&gt;0.35,Tabla1[[#This Row],[Porcentaje de muertes]]&lt;0.65),"MEDIO",Tabla1[[#This Row],[Porcentaje de muertes]]&gt;0.65,"GRAVE")</f>
        <v>GRAVE</v>
      </c>
    </row>
    <row r="4365" spans="2:24" x14ac:dyDescent="0.3">
      <c r="B4365" s="9">
        <v>4365</v>
      </c>
      <c r="C4365" s="49">
        <v>37329</v>
      </c>
      <c r="D4365" s="9">
        <f>YEAR(Tabla1[[#This Row],[Date]])</f>
        <v>2002</v>
      </c>
      <c r="E4365" s="9" t="str" cm="1">
        <f t="array" ref="E4365">IFERROR(_xlfn.IFS(AND(D4365&lt;1980,D4365&gt;=1970),"70",AND(D4365&lt;1990,D4365&gt;=1980),"80",AND(D4365&lt;2000,D4365&gt;=1990),"90",AND(D4365&lt;2010,D4365&gt;=2000),"00",AND(D4365&lt;=2019,D4365&gt;=2010),"10"),"1908-1970")</f>
        <v>00</v>
      </c>
      <c r="F4365" s="3">
        <v>0.6875</v>
      </c>
      <c r="G4365" t="s">
        <v>24947</v>
      </c>
      <c r="H4365" t="s">
        <v>24948</v>
      </c>
      <c r="I4365" t="s">
        <v>28931</v>
      </c>
      <c r="J4365" t="s">
        <v>24949</v>
      </c>
      <c r="K4365" t="s">
        <v>14581</v>
      </c>
      <c r="L4365" s="7" t="s">
        <v>24950</v>
      </c>
      <c r="M4365" t="s">
        <v>28931</v>
      </c>
      <c r="N4365">
        <v>17</v>
      </c>
      <c r="O4365">
        <v>15</v>
      </c>
      <c r="P4365">
        <v>2</v>
      </c>
      <c r="Q4365">
        <v>17</v>
      </c>
      <c r="R4365">
        <v>15</v>
      </c>
      <c r="S4365">
        <v>2</v>
      </c>
      <c r="T4365">
        <v>0</v>
      </c>
      <c r="U4365" t="s">
        <v>24951</v>
      </c>
      <c r="V4365">
        <f>Tabla1[[#This Row],[Aboard]]-Tabla1[[#This Row],[Fatalities]]</f>
        <v>0</v>
      </c>
      <c r="W4365" s="50">
        <f>IFERROR(Tabla1[[#This Row],[Fatalities]]/Tabla1[[#This Row],[Aboard]],0)</f>
        <v>1</v>
      </c>
      <c r="X4365" s="51" t="str" cm="1">
        <f t="array" ref="X4365">_xlfn.IFS(Tabla1[[#This Row],[Porcentaje de muertes]]&lt;0.35,"LEVE",AND(Tabla1[[#This Row],[Porcentaje de muertes]]&gt;0.35,Tabla1[[#This Row],[Porcentaje de muertes]]&lt;0.65),"MEDIO",Tabla1[[#This Row],[Porcentaje de muertes]]&gt;0.65,"GRAVE")</f>
        <v>GRAVE</v>
      </c>
    </row>
    <row r="4366" spans="2:24" x14ac:dyDescent="0.3">
      <c r="B4366" s="9">
        <v>4366</v>
      </c>
      <c r="C4366" s="49">
        <v>37332</v>
      </c>
      <c r="D4366" s="9">
        <f>YEAR(Tabla1[[#This Row],[Date]])</f>
        <v>2002</v>
      </c>
      <c r="E4366" s="9" t="str" cm="1">
        <f t="array" ref="E4366">IFERROR(_xlfn.IFS(AND(D4366&lt;1980,D4366&gt;=1970),"70",AND(D4366&lt;1990,D4366&gt;=1980),"80",AND(D4366&lt;2000,D4366&gt;=1990),"90",AND(D4366&lt;2010,D4366&gt;=2000),"00",AND(D4366&lt;=2019,D4366&gt;=2010),"10"),"1908-1970")</f>
        <v>00</v>
      </c>
      <c r="F4366" s="3">
        <v>0.3347222222222222</v>
      </c>
      <c r="G4366" t="s">
        <v>24952</v>
      </c>
      <c r="H4366" t="s">
        <v>24953</v>
      </c>
      <c r="I4366" t="s">
        <v>28931</v>
      </c>
      <c r="J4366" t="s">
        <v>24954</v>
      </c>
      <c r="K4366" t="s">
        <v>22315</v>
      </c>
      <c r="L4366" s="7" t="s">
        <v>24955</v>
      </c>
      <c r="M4366">
        <v>912537</v>
      </c>
      <c r="N4366">
        <v>4</v>
      </c>
      <c r="O4366">
        <v>0</v>
      </c>
      <c r="P4366">
        <v>4</v>
      </c>
      <c r="Q4366">
        <v>4</v>
      </c>
      <c r="R4366">
        <v>0</v>
      </c>
      <c r="S4366">
        <v>4</v>
      </c>
      <c r="T4366">
        <v>0</v>
      </c>
      <c r="U4366" t="s">
        <v>24956</v>
      </c>
      <c r="V4366">
        <f>Tabla1[[#This Row],[Aboard]]-Tabla1[[#This Row],[Fatalities]]</f>
        <v>0</v>
      </c>
      <c r="W4366" s="50">
        <f>IFERROR(Tabla1[[#This Row],[Fatalities]]/Tabla1[[#This Row],[Aboard]],0)</f>
        <v>1</v>
      </c>
      <c r="X4366" s="51" t="str" cm="1">
        <f t="array" ref="X4366">_xlfn.IFS(Tabla1[[#This Row],[Porcentaje de muertes]]&lt;0.35,"LEVE",AND(Tabla1[[#This Row],[Porcentaje de muertes]]&gt;0.35,Tabla1[[#This Row],[Porcentaje de muertes]]&lt;0.65),"MEDIO",Tabla1[[#This Row],[Porcentaje de muertes]]&gt;0.65,"GRAVE")</f>
        <v>GRAVE</v>
      </c>
    </row>
    <row r="4367" spans="2:24" x14ac:dyDescent="0.3">
      <c r="B4367" s="9">
        <v>4367</v>
      </c>
      <c r="C4367" s="49">
        <v>37594</v>
      </c>
      <c r="D4367" s="9">
        <f>YEAR(Tabla1[[#This Row],[Date]])</f>
        <v>2002</v>
      </c>
      <c r="E4367" s="9" t="str" cm="1">
        <f t="array" ref="E4367">IFERROR(_xlfn.IFS(AND(D4367&lt;1980,D4367&gt;=1970),"70",AND(D4367&lt;1990,D4367&gt;=1980),"80",AND(D4367&lt;2000,D4367&gt;=1990),"90",AND(D4367&lt;2010,D4367&gt;=2000),"00",AND(D4367&lt;=2019,D4367&gt;=2010),"10"),"1908-1970")</f>
        <v>00</v>
      </c>
      <c r="F4367" s="3">
        <v>0.17152777777777775</v>
      </c>
      <c r="G4367" t="s">
        <v>24957</v>
      </c>
      <c r="H4367" t="s">
        <v>24958</v>
      </c>
      <c r="I4367">
        <v>306</v>
      </c>
      <c r="J4367" t="s">
        <v>24959</v>
      </c>
      <c r="K4367" t="s">
        <v>19274</v>
      </c>
      <c r="L4367" s="7" t="s">
        <v>24960</v>
      </c>
      <c r="M4367" t="s">
        <v>24961</v>
      </c>
      <c r="N4367">
        <v>2</v>
      </c>
      <c r="O4367">
        <v>0</v>
      </c>
      <c r="P4367">
        <v>2</v>
      </c>
      <c r="Q4367">
        <v>2</v>
      </c>
      <c r="R4367">
        <v>0</v>
      </c>
      <c r="S4367">
        <v>2</v>
      </c>
      <c r="T4367">
        <v>0</v>
      </c>
      <c r="U4367" t="s">
        <v>24962</v>
      </c>
      <c r="V4367">
        <f>Tabla1[[#This Row],[Aboard]]-Tabla1[[#This Row],[Fatalities]]</f>
        <v>0</v>
      </c>
      <c r="W4367" s="50">
        <f>IFERROR(Tabla1[[#This Row],[Fatalities]]/Tabla1[[#This Row],[Aboard]],0)</f>
        <v>1</v>
      </c>
      <c r="X4367" s="51" t="str" cm="1">
        <f t="array" ref="X4367">_xlfn.IFS(Tabla1[[#This Row],[Porcentaje de muertes]]&lt;0.35,"LEVE",AND(Tabla1[[#This Row],[Porcentaje de muertes]]&gt;0.35,Tabla1[[#This Row],[Porcentaje de muertes]]&lt;0.65),"MEDIO",Tabla1[[#This Row],[Porcentaje de muertes]]&gt;0.65,"GRAVE")</f>
        <v>GRAVE</v>
      </c>
    </row>
    <row r="4368" spans="2:24" x14ac:dyDescent="0.3">
      <c r="B4368" s="9">
        <v>4368</v>
      </c>
      <c r="C4368" s="49">
        <v>37361</v>
      </c>
      <c r="D4368" s="9">
        <f>YEAR(Tabla1[[#This Row],[Date]])</f>
        <v>2002</v>
      </c>
      <c r="E4368" s="9" t="str" cm="1">
        <f t="array" ref="E4368">IFERROR(_xlfn.IFS(AND(D4368&lt;1980,D4368&gt;=1970),"70",AND(D4368&lt;1990,D4368&gt;=1980),"80",AND(D4368&lt;2000,D4368&gt;=1990),"90",AND(D4368&lt;2010,D4368&gt;=2000),"00",AND(D4368&lt;=2019,D4368&gt;=2010),"10"),"1908-1970")</f>
        <v>00</v>
      </c>
      <c r="F4368" s="3">
        <v>0.47430555555555554</v>
      </c>
      <c r="G4368" t="s">
        <v>10118</v>
      </c>
      <c r="H4368" t="s">
        <v>24963</v>
      </c>
      <c r="I4368">
        <v>129</v>
      </c>
      <c r="J4368" t="s">
        <v>24964</v>
      </c>
      <c r="K4368" t="s">
        <v>24965</v>
      </c>
      <c r="L4368" s="7" t="s">
        <v>24966</v>
      </c>
      <c r="M4368" t="s">
        <v>24967</v>
      </c>
      <c r="N4368">
        <v>166</v>
      </c>
      <c r="O4368">
        <v>155</v>
      </c>
      <c r="P4368">
        <v>11</v>
      </c>
      <c r="Q4368">
        <v>128</v>
      </c>
      <c r="R4368">
        <v>120</v>
      </c>
      <c r="S4368">
        <v>8</v>
      </c>
      <c r="T4368">
        <v>0</v>
      </c>
      <c r="U4368" t="s">
        <v>24968</v>
      </c>
      <c r="V4368">
        <f>Tabla1[[#This Row],[Aboard]]-Tabla1[[#This Row],[Fatalities]]</f>
        <v>38</v>
      </c>
      <c r="W4368" s="50">
        <f>IFERROR(Tabla1[[#This Row],[Fatalities]]/Tabla1[[#This Row],[Aboard]],0)</f>
        <v>0.77108433734939763</v>
      </c>
      <c r="X4368" s="51" t="str" cm="1">
        <f t="array" ref="X4368">_xlfn.IFS(Tabla1[[#This Row],[Porcentaje de muertes]]&lt;0.35,"LEVE",AND(Tabla1[[#This Row],[Porcentaje de muertes]]&gt;0.35,Tabla1[[#This Row],[Porcentaje de muertes]]&lt;0.65),"MEDIO",Tabla1[[#This Row],[Porcentaje de muertes]]&gt;0.65,"GRAVE")</f>
        <v>GRAVE</v>
      </c>
    </row>
    <row r="4369" spans="2:24" x14ac:dyDescent="0.3">
      <c r="B4369" s="9">
        <v>4369</v>
      </c>
      <c r="C4369" s="49">
        <v>37365</v>
      </c>
      <c r="D4369" s="9">
        <f>YEAR(Tabla1[[#This Row],[Date]])</f>
        <v>2002</v>
      </c>
      <c r="E4369" s="9" t="str" cm="1">
        <f t="array" ref="E4369">IFERROR(_xlfn.IFS(AND(D4369&lt;1980,D4369&gt;=1970),"70",AND(D4369&lt;1990,D4369&gt;=1980),"80",AND(D4369&lt;2000,D4369&gt;=1990),"90",AND(D4369&lt;2010,D4369&gt;=2000),"00",AND(D4369&lt;=2019,D4369&gt;=2010),"10"),"1908-1970")</f>
        <v>00</v>
      </c>
      <c r="F4369" s="3">
        <v>0.38541666666666669</v>
      </c>
      <c r="G4369" t="s">
        <v>24969</v>
      </c>
      <c r="H4369" t="s">
        <v>24970</v>
      </c>
      <c r="I4369" t="s">
        <v>28931</v>
      </c>
      <c r="J4369" t="s">
        <v>24971</v>
      </c>
      <c r="K4369" t="s">
        <v>24972</v>
      </c>
      <c r="L4369" s="7" t="s">
        <v>24973</v>
      </c>
      <c r="M4369">
        <v>2508</v>
      </c>
      <c r="N4369">
        <v>8</v>
      </c>
      <c r="O4369">
        <v>5</v>
      </c>
      <c r="P4369">
        <v>3</v>
      </c>
      <c r="Q4369">
        <v>3</v>
      </c>
      <c r="R4369">
        <v>3</v>
      </c>
      <c r="S4369">
        <v>0</v>
      </c>
      <c r="T4369">
        <v>0</v>
      </c>
      <c r="U4369" t="s">
        <v>24974</v>
      </c>
      <c r="V4369">
        <f>Tabla1[[#This Row],[Aboard]]-Tabla1[[#This Row],[Fatalities]]</f>
        <v>5</v>
      </c>
      <c r="W4369" s="50">
        <f>IFERROR(Tabla1[[#This Row],[Fatalities]]/Tabla1[[#This Row],[Aboard]],0)</f>
        <v>0.375</v>
      </c>
      <c r="X4369" s="51" t="str" cm="1">
        <f t="array" ref="X4369">_xlfn.IFS(Tabla1[[#This Row],[Porcentaje de muertes]]&lt;0.35,"LEVE",AND(Tabla1[[#This Row],[Porcentaje de muertes]]&gt;0.35,Tabla1[[#This Row],[Porcentaje de muertes]]&lt;0.65),"MEDIO",Tabla1[[#This Row],[Porcentaje de muertes]]&gt;0.65,"GRAVE")</f>
        <v>MEDIO</v>
      </c>
    </row>
    <row r="4370" spans="2:24" x14ac:dyDescent="0.3">
      <c r="B4370" s="9">
        <v>4370</v>
      </c>
      <c r="C4370" s="49">
        <v>37374</v>
      </c>
      <c r="D4370" s="9">
        <f>YEAR(Tabla1[[#This Row],[Date]])</f>
        <v>2002</v>
      </c>
      <c r="E4370" s="9" t="str" cm="1">
        <f t="array" ref="E4370">IFERROR(_xlfn.IFS(AND(D4370&lt;1980,D4370&gt;=1970),"70",AND(D4370&lt;1990,D4370&gt;=1980),"80",AND(D4370&lt;2000,D4370&gt;=1990),"90",AND(D4370&lt;2010,D4370&gt;=2000),"00",AND(D4370&lt;=2019,D4370&gt;=2010),"10"),"1908-1970")</f>
        <v>00</v>
      </c>
      <c r="F4370" s="3">
        <v>0.26041666666666669</v>
      </c>
      <c r="G4370" t="s">
        <v>24975</v>
      </c>
      <c r="H4370" t="s">
        <v>5032</v>
      </c>
      <c r="I4370" t="s">
        <v>28931</v>
      </c>
      <c r="J4370" t="s">
        <v>28931</v>
      </c>
      <c r="K4370" t="s">
        <v>24976</v>
      </c>
      <c r="L4370" s="7" t="s">
        <v>28931</v>
      </c>
      <c r="M4370" t="s">
        <v>28931</v>
      </c>
      <c r="N4370">
        <v>20</v>
      </c>
      <c r="O4370">
        <v>17</v>
      </c>
      <c r="P4370">
        <v>3</v>
      </c>
      <c r="Q4370">
        <v>8</v>
      </c>
      <c r="R4370">
        <v>6</v>
      </c>
      <c r="S4370">
        <v>2</v>
      </c>
      <c r="T4370">
        <v>0</v>
      </c>
      <c r="U4370" t="s">
        <v>24977</v>
      </c>
      <c r="V4370">
        <f>Tabla1[[#This Row],[Aboard]]-Tabla1[[#This Row],[Fatalities]]</f>
        <v>12</v>
      </c>
      <c r="W4370" s="50">
        <f>IFERROR(Tabla1[[#This Row],[Fatalities]]/Tabla1[[#This Row],[Aboard]],0)</f>
        <v>0.4</v>
      </c>
      <c r="X4370" s="51" t="str" cm="1">
        <f t="array" ref="X4370">_xlfn.IFS(Tabla1[[#This Row],[Porcentaje de muertes]]&lt;0.35,"LEVE",AND(Tabla1[[#This Row],[Porcentaje de muertes]]&gt;0.35,Tabla1[[#This Row],[Porcentaje de muertes]]&lt;0.65),"MEDIO",Tabla1[[#This Row],[Porcentaje de muertes]]&gt;0.65,"GRAVE")</f>
        <v>MEDIO</v>
      </c>
    </row>
    <row r="4371" spans="2:24" x14ac:dyDescent="0.3">
      <c r="B4371" s="9">
        <v>4371</v>
      </c>
      <c r="C4371" s="49">
        <v>37351</v>
      </c>
      <c r="D4371" s="9">
        <f>YEAR(Tabla1[[#This Row],[Date]])</f>
        <v>2002</v>
      </c>
      <c r="E4371" s="9" t="str" cm="1">
        <f t="array" ref="E4371">IFERROR(_xlfn.IFS(AND(D4371&lt;1980,D4371&gt;=1970),"70",AND(D4371&lt;1990,D4371&gt;=1980),"80",AND(D4371&lt;2000,D4371&gt;=1990),"90",AND(D4371&lt;2010,D4371&gt;=2000),"00",AND(D4371&lt;=2019,D4371&gt;=2010),"10"),"1908-1970")</f>
        <v>00</v>
      </c>
      <c r="F4371" s="3">
        <v>0.5625</v>
      </c>
      <c r="G4371" t="s">
        <v>11803</v>
      </c>
      <c r="H4371" t="s">
        <v>24978</v>
      </c>
      <c r="I4371">
        <v>4226</v>
      </c>
      <c r="J4371" t="s">
        <v>24979</v>
      </c>
      <c r="K4371" t="s">
        <v>24980</v>
      </c>
      <c r="L4371" s="7" t="s">
        <v>24981</v>
      </c>
      <c r="M4371">
        <v>266</v>
      </c>
      <c r="N4371">
        <v>77</v>
      </c>
      <c r="O4371">
        <v>69</v>
      </c>
      <c r="P4371">
        <v>8</v>
      </c>
      <c r="Q4371">
        <v>74</v>
      </c>
      <c r="R4371">
        <v>67</v>
      </c>
      <c r="S4371">
        <v>7</v>
      </c>
      <c r="T4371">
        <v>78</v>
      </c>
      <c r="U4371" t="s">
        <v>24982</v>
      </c>
      <c r="V4371">
        <f>Tabla1[[#This Row],[Aboard]]-Tabla1[[#This Row],[Fatalities]]</f>
        <v>3</v>
      </c>
      <c r="W4371" s="50">
        <f>IFERROR(Tabla1[[#This Row],[Fatalities]]/Tabla1[[#This Row],[Aboard]],0)</f>
        <v>0.96103896103896103</v>
      </c>
      <c r="X4371" s="51" t="str" cm="1">
        <f t="array" ref="X4371">_xlfn.IFS(Tabla1[[#This Row],[Porcentaje de muertes]]&lt;0.35,"LEVE",AND(Tabla1[[#This Row],[Porcentaje de muertes]]&gt;0.35,Tabla1[[#This Row],[Porcentaje de muertes]]&lt;0.65),"MEDIO",Tabla1[[#This Row],[Porcentaje de muertes]]&gt;0.65,"GRAVE")</f>
        <v>GRAVE</v>
      </c>
    </row>
    <row r="4372" spans="2:24" x14ac:dyDescent="0.3">
      <c r="B4372" s="9">
        <v>4372</v>
      </c>
      <c r="C4372" s="49">
        <v>37442</v>
      </c>
      <c r="D4372" s="9">
        <f>YEAR(Tabla1[[#This Row],[Date]])</f>
        <v>2002</v>
      </c>
      <c r="E4372" s="9" t="str" cm="1">
        <f t="array" ref="E4372">IFERROR(_xlfn.IFS(AND(D4372&lt;1980,D4372&gt;=1970),"70",AND(D4372&lt;1990,D4372&gt;=1980),"80",AND(D4372&lt;2000,D4372&gt;=1990),"90",AND(D4372&lt;2010,D4372&gt;=2000),"00",AND(D4372&lt;=2019,D4372&gt;=2010),"10"),"1908-1970")</f>
        <v>00</v>
      </c>
      <c r="F4372" s="3">
        <v>0.63680555555555551</v>
      </c>
      <c r="G4372" t="s">
        <v>24983</v>
      </c>
      <c r="H4372" t="s">
        <v>17763</v>
      </c>
      <c r="I4372">
        <v>843</v>
      </c>
      <c r="J4372" t="s">
        <v>24984</v>
      </c>
      <c r="K4372" t="s">
        <v>24985</v>
      </c>
      <c r="L4372" s="7" t="s">
        <v>24986</v>
      </c>
      <c r="M4372" t="s">
        <v>24987</v>
      </c>
      <c r="N4372">
        <v>62</v>
      </c>
      <c r="O4372">
        <v>56</v>
      </c>
      <c r="P4372">
        <v>6</v>
      </c>
      <c r="Q4372">
        <v>14</v>
      </c>
      <c r="R4372">
        <v>11</v>
      </c>
      <c r="S4372">
        <v>3</v>
      </c>
      <c r="T4372">
        <v>0</v>
      </c>
      <c r="U4372" t="s">
        <v>24988</v>
      </c>
      <c r="V4372">
        <f>Tabla1[[#This Row],[Aboard]]-Tabla1[[#This Row],[Fatalities]]</f>
        <v>48</v>
      </c>
      <c r="W4372" s="50">
        <f>IFERROR(Tabla1[[#This Row],[Fatalities]]/Tabla1[[#This Row],[Aboard]],0)</f>
        <v>0.22580645161290322</v>
      </c>
      <c r="X4372" s="51" t="str" cm="1">
        <f t="array" ref="X4372">_xlfn.IFS(Tabla1[[#This Row],[Porcentaje de muertes]]&lt;0.35,"LEVE",AND(Tabla1[[#This Row],[Porcentaje de muertes]]&gt;0.35,Tabla1[[#This Row],[Porcentaje de muertes]]&lt;0.65),"MEDIO",Tabla1[[#This Row],[Porcentaje de muertes]]&gt;0.65,"GRAVE")</f>
        <v>LEVE</v>
      </c>
    </row>
    <row r="4373" spans="2:24" x14ac:dyDescent="0.3">
      <c r="B4373" s="9">
        <v>4373</v>
      </c>
      <c r="C4373" s="49">
        <v>37442</v>
      </c>
      <c r="D4373" s="9">
        <f>YEAR(Tabla1[[#This Row],[Date]])</f>
        <v>2002</v>
      </c>
      <c r="E4373" s="9" t="str" cm="1">
        <f t="array" ref="E4373">IFERROR(_xlfn.IFS(AND(D4373&lt;1980,D4373&gt;=1970),"70",AND(D4373&lt;1990,D4373&gt;=1980),"80",AND(D4373&lt;2000,D4373&gt;=1990),"90",AND(D4373&lt;2010,D4373&gt;=2000),"00",AND(D4373&lt;=2019,D4373&gt;=2010),"10"),"1908-1970")</f>
        <v>00</v>
      </c>
      <c r="F4373" s="3">
        <v>0.89722222222222225</v>
      </c>
      <c r="G4373" t="s">
        <v>24989</v>
      </c>
      <c r="H4373" t="s">
        <v>22352</v>
      </c>
      <c r="I4373">
        <v>6136</v>
      </c>
      <c r="J4373" t="s">
        <v>24990</v>
      </c>
      <c r="K4373" t="s">
        <v>20382</v>
      </c>
      <c r="L4373" s="7" t="s">
        <v>24991</v>
      </c>
      <c r="M4373" t="s">
        <v>24992</v>
      </c>
      <c r="N4373">
        <v>112</v>
      </c>
      <c r="O4373">
        <v>103</v>
      </c>
      <c r="P4373">
        <v>9</v>
      </c>
      <c r="Q4373">
        <v>112</v>
      </c>
      <c r="R4373">
        <v>103</v>
      </c>
      <c r="S4373">
        <v>9</v>
      </c>
      <c r="T4373">
        <v>0</v>
      </c>
      <c r="U4373" t="s">
        <v>24993</v>
      </c>
      <c r="V4373">
        <f>Tabla1[[#This Row],[Aboard]]-Tabla1[[#This Row],[Fatalities]]</f>
        <v>0</v>
      </c>
      <c r="W4373" s="50">
        <f>IFERROR(Tabla1[[#This Row],[Fatalities]]/Tabla1[[#This Row],[Aboard]],0)</f>
        <v>1</v>
      </c>
      <c r="X4373" s="51" t="str" cm="1">
        <f t="array" ref="X4373">_xlfn.IFS(Tabla1[[#This Row],[Porcentaje de muertes]]&lt;0.35,"LEVE",AND(Tabla1[[#This Row],[Porcentaje de muertes]]&gt;0.35,Tabla1[[#This Row],[Porcentaje de muertes]]&lt;0.65),"MEDIO",Tabla1[[#This Row],[Porcentaje de muertes]]&gt;0.65,"GRAVE")</f>
        <v>GRAVE</v>
      </c>
    </row>
    <row r="4374" spans="2:24" x14ac:dyDescent="0.3">
      <c r="B4374" s="9">
        <v>4374</v>
      </c>
      <c r="C4374" s="49">
        <v>37397</v>
      </c>
      <c r="D4374" s="9">
        <f>YEAR(Tabla1[[#This Row],[Date]])</f>
        <v>2002</v>
      </c>
      <c r="E4374" s="9" t="str" cm="1">
        <f t="array" ref="E4374">IFERROR(_xlfn.IFS(AND(D4374&lt;1980,D4374&gt;=1970),"70",AND(D4374&lt;1990,D4374&gt;=1980),"80",AND(D4374&lt;2000,D4374&gt;=1990),"90",AND(D4374&lt;2010,D4374&gt;=2000),"00",AND(D4374&lt;=2019,D4374&gt;=2010),"10"),"1908-1970")</f>
        <v>00</v>
      </c>
      <c r="F4374" s="3">
        <v>0.8125</v>
      </c>
      <c r="G4374" t="s">
        <v>11467</v>
      </c>
      <c r="H4374" t="s">
        <v>24994</v>
      </c>
      <c r="I4374" t="s">
        <v>28931</v>
      </c>
      <c r="J4374" t="s">
        <v>24995</v>
      </c>
      <c r="K4374" t="s">
        <v>24763</v>
      </c>
      <c r="L4374" s="7" t="s">
        <v>24996</v>
      </c>
      <c r="M4374">
        <v>851402</v>
      </c>
      <c r="N4374">
        <v>5</v>
      </c>
      <c r="O4374">
        <v>0</v>
      </c>
      <c r="P4374">
        <v>5</v>
      </c>
      <c r="Q4374">
        <v>5</v>
      </c>
      <c r="R4374">
        <v>0</v>
      </c>
      <c r="S4374">
        <v>5</v>
      </c>
      <c r="T4374">
        <v>0</v>
      </c>
      <c r="U4374" t="s">
        <v>24997</v>
      </c>
      <c r="V4374">
        <f>Tabla1[[#This Row],[Aboard]]-Tabla1[[#This Row],[Fatalities]]</f>
        <v>0</v>
      </c>
      <c r="W4374" s="50">
        <f>IFERROR(Tabla1[[#This Row],[Fatalities]]/Tabla1[[#This Row],[Aboard]],0)</f>
        <v>1</v>
      </c>
      <c r="X4374" s="51" t="str" cm="1">
        <f t="array" ref="X4374">_xlfn.IFS(Tabla1[[#This Row],[Porcentaje de muertes]]&lt;0.35,"LEVE",AND(Tabla1[[#This Row],[Porcentaje de muertes]]&gt;0.35,Tabla1[[#This Row],[Porcentaje de muertes]]&lt;0.65),"MEDIO",Tabla1[[#This Row],[Porcentaje de muertes]]&gt;0.65,"GRAVE")</f>
        <v>GRAVE</v>
      </c>
    </row>
    <row r="4375" spans="2:24" x14ac:dyDescent="0.3">
      <c r="B4375" s="9">
        <v>4375</v>
      </c>
      <c r="C4375" s="49">
        <v>37401</v>
      </c>
      <c r="D4375" s="9">
        <f>YEAR(Tabla1[[#This Row],[Date]])</f>
        <v>2002</v>
      </c>
      <c r="E4375" s="9" t="str" cm="1">
        <f t="array" ref="E4375">IFERROR(_xlfn.IFS(AND(D4375&lt;1980,D4375&gt;=1970),"70",AND(D4375&lt;1990,D4375&gt;=1980),"80",AND(D4375&lt;2000,D4375&gt;=1990),"90",AND(D4375&lt;2010,D4375&gt;=2000),"00",AND(D4375&lt;=2019,D4375&gt;=2010),"10"),"1908-1970")</f>
        <v>00</v>
      </c>
      <c r="F4375" s="3">
        <v>0.64513888888888882</v>
      </c>
      <c r="G4375" t="s">
        <v>24998</v>
      </c>
      <c r="H4375" t="s">
        <v>15040</v>
      </c>
      <c r="I4375">
        <v>611</v>
      </c>
      <c r="J4375" t="s">
        <v>16307</v>
      </c>
      <c r="K4375" t="s">
        <v>24999</v>
      </c>
      <c r="L4375" s="7" t="s">
        <v>25000</v>
      </c>
      <c r="M4375" t="s">
        <v>25001</v>
      </c>
      <c r="N4375">
        <v>225</v>
      </c>
      <c r="O4375">
        <v>206</v>
      </c>
      <c r="P4375">
        <v>19</v>
      </c>
      <c r="Q4375">
        <v>225</v>
      </c>
      <c r="R4375">
        <v>206</v>
      </c>
      <c r="S4375">
        <v>19</v>
      </c>
      <c r="T4375">
        <v>0</v>
      </c>
      <c r="U4375" t="s">
        <v>25002</v>
      </c>
      <c r="V4375">
        <f>Tabla1[[#This Row],[Aboard]]-Tabla1[[#This Row],[Fatalities]]</f>
        <v>0</v>
      </c>
      <c r="W4375" s="50">
        <f>IFERROR(Tabla1[[#This Row],[Fatalities]]/Tabla1[[#This Row],[Aboard]],0)</f>
        <v>1</v>
      </c>
      <c r="X4375" s="51" t="str" cm="1">
        <f t="array" ref="X4375">_xlfn.IFS(Tabla1[[#This Row],[Porcentaje de muertes]]&lt;0.35,"LEVE",AND(Tabla1[[#This Row],[Porcentaje de muertes]]&gt;0.35,Tabla1[[#This Row],[Porcentaje de muertes]]&lt;0.65),"MEDIO",Tabla1[[#This Row],[Porcentaje de muertes]]&gt;0.65,"GRAVE")</f>
        <v>GRAVE</v>
      </c>
    </row>
    <row r="4376" spans="2:24" x14ac:dyDescent="0.3">
      <c r="B4376" s="9">
        <v>4376</v>
      </c>
      <c r="C4376" s="49">
        <v>37401</v>
      </c>
      <c r="D4376" s="9">
        <f>YEAR(Tabla1[[#This Row],[Date]])</f>
        <v>2002</v>
      </c>
      <c r="E4376" s="9" t="str" cm="1">
        <f t="array" ref="E4376">IFERROR(_xlfn.IFS(AND(D4376&lt;1980,D4376&gt;=1970),"70",AND(D4376&lt;1990,D4376&gt;=1980),"80",AND(D4376&lt;2000,D4376&gt;=1990),"90",AND(D4376&lt;2010,D4376&gt;=2000),"00",AND(D4376&lt;=2019,D4376&gt;=2010),"10"),"1908-1970")</f>
        <v>00</v>
      </c>
      <c r="F4376" s="3">
        <v>0.29166666666666669</v>
      </c>
      <c r="G4376" t="s">
        <v>16754</v>
      </c>
      <c r="H4376" t="s">
        <v>22692</v>
      </c>
      <c r="I4376" t="s">
        <v>28931</v>
      </c>
      <c r="J4376" t="s">
        <v>25003</v>
      </c>
      <c r="K4376" t="s">
        <v>16680</v>
      </c>
      <c r="L4376" s="7" t="s">
        <v>25004</v>
      </c>
      <c r="M4376">
        <v>458</v>
      </c>
      <c r="N4376">
        <v>6</v>
      </c>
      <c r="O4376">
        <v>2</v>
      </c>
      <c r="P4376">
        <v>4</v>
      </c>
      <c r="Q4376">
        <v>6</v>
      </c>
      <c r="R4376">
        <v>2</v>
      </c>
      <c r="S4376">
        <v>4</v>
      </c>
      <c r="T4376">
        <v>0</v>
      </c>
      <c r="U4376" t="s">
        <v>25005</v>
      </c>
      <c r="V4376">
        <f>Tabla1[[#This Row],[Aboard]]-Tabla1[[#This Row],[Fatalities]]</f>
        <v>0</v>
      </c>
      <c r="W4376" s="50">
        <f>IFERROR(Tabla1[[#This Row],[Fatalities]]/Tabla1[[#This Row],[Aboard]],0)</f>
        <v>1</v>
      </c>
      <c r="X4376" s="51" t="str" cm="1">
        <f t="array" ref="X4376">_xlfn.IFS(Tabla1[[#This Row],[Porcentaje de muertes]]&lt;0.35,"LEVE",AND(Tabla1[[#This Row],[Porcentaje de muertes]]&gt;0.35,Tabla1[[#This Row],[Porcentaje de muertes]]&lt;0.65),"MEDIO",Tabla1[[#This Row],[Porcentaje de muertes]]&gt;0.65,"GRAVE")</f>
        <v>GRAVE</v>
      </c>
    </row>
    <row r="4377" spans="2:24" x14ac:dyDescent="0.3">
      <c r="B4377" s="9">
        <v>4377</v>
      </c>
      <c r="C4377" s="49">
        <v>37262</v>
      </c>
      <c r="D4377" s="9">
        <f>YEAR(Tabla1[[#This Row],[Date]])</f>
        <v>2002</v>
      </c>
      <c r="E4377" s="9" t="str" cm="1">
        <f t="array" ref="E4377">IFERROR(_xlfn.IFS(AND(D4377&lt;1980,D4377&gt;=1970),"70",AND(D4377&lt;1990,D4377&gt;=1980),"80",AND(D4377&lt;2000,D4377&gt;=1990),"90",AND(D4377&lt;2010,D4377&gt;=2000),"00",AND(D4377&lt;=2019,D4377&gt;=2010),"10"),"1908-1970")</f>
        <v>00</v>
      </c>
      <c r="F4377" s="3">
        <v>0.28125</v>
      </c>
      <c r="G4377" t="s">
        <v>25006</v>
      </c>
      <c r="H4377" t="s">
        <v>25007</v>
      </c>
      <c r="I4377" t="s">
        <v>28931</v>
      </c>
      <c r="J4377" t="s">
        <v>25008</v>
      </c>
      <c r="K4377" t="s">
        <v>25009</v>
      </c>
      <c r="L4377" s="7" t="s">
        <v>25010</v>
      </c>
      <c r="M4377">
        <v>1782</v>
      </c>
      <c r="N4377">
        <v>3</v>
      </c>
      <c r="O4377">
        <v>1</v>
      </c>
      <c r="P4377">
        <v>2</v>
      </c>
      <c r="Q4377">
        <v>3</v>
      </c>
      <c r="R4377">
        <v>1</v>
      </c>
      <c r="S4377">
        <v>2</v>
      </c>
      <c r="T4377">
        <v>0</v>
      </c>
      <c r="U4377" t="s">
        <v>25011</v>
      </c>
      <c r="V4377">
        <f>Tabla1[[#This Row],[Aboard]]-Tabla1[[#This Row],[Fatalities]]</f>
        <v>0</v>
      </c>
      <c r="W4377" s="50">
        <f>IFERROR(Tabla1[[#This Row],[Fatalities]]/Tabla1[[#This Row],[Aboard]],0)</f>
        <v>1</v>
      </c>
      <c r="X4377" s="51" t="str" cm="1">
        <f t="array" ref="X4377">_xlfn.IFS(Tabla1[[#This Row],[Porcentaje de muertes]]&lt;0.35,"LEVE",AND(Tabla1[[#This Row],[Porcentaje de muertes]]&gt;0.35,Tabla1[[#This Row],[Porcentaje de muertes]]&lt;0.65),"MEDIO",Tabla1[[#This Row],[Porcentaje de muertes]]&gt;0.65,"GRAVE")</f>
        <v>GRAVE</v>
      </c>
    </row>
    <row r="4378" spans="2:24" x14ac:dyDescent="0.3">
      <c r="B4378" s="9">
        <v>4378</v>
      </c>
      <c r="C4378" s="49">
        <v>37293</v>
      </c>
      <c r="D4378" s="9">
        <f>YEAR(Tabla1[[#This Row],[Date]])</f>
        <v>2002</v>
      </c>
      <c r="E4378" s="9" t="str" cm="1">
        <f t="array" ref="E4378">IFERROR(_xlfn.IFS(AND(D4378&lt;1980,D4378&gt;=1970),"70",AND(D4378&lt;1990,D4378&gt;=1980),"80",AND(D4378&lt;2000,D4378&gt;=1990),"90",AND(D4378&lt;2010,D4378&gt;=2000),"00",AND(D4378&lt;=2019,D4378&gt;=2010),"10"),"1908-1970")</f>
        <v>00</v>
      </c>
      <c r="F4378" s="3" t="s">
        <v>28931</v>
      </c>
      <c r="G4378" t="s">
        <v>25012</v>
      </c>
      <c r="H4378" t="s">
        <v>25013</v>
      </c>
      <c r="I4378" t="s">
        <v>28931</v>
      </c>
      <c r="J4378" t="s">
        <v>25014</v>
      </c>
      <c r="K4378" t="s">
        <v>25015</v>
      </c>
      <c r="L4378" s="7" t="s">
        <v>28931</v>
      </c>
      <c r="M4378" t="s">
        <v>28931</v>
      </c>
      <c r="N4378">
        <v>25</v>
      </c>
      <c r="O4378">
        <v>23</v>
      </c>
      <c r="P4378">
        <v>2</v>
      </c>
      <c r="Q4378">
        <v>20</v>
      </c>
      <c r="R4378">
        <v>18</v>
      </c>
      <c r="S4378">
        <v>2</v>
      </c>
      <c r="T4378">
        <v>0</v>
      </c>
      <c r="U4378" t="s">
        <v>25016</v>
      </c>
      <c r="V4378">
        <f>Tabla1[[#This Row],[Aboard]]-Tabla1[[#This Row],[Fatalities]]</f>
        <v>5</v>
      </c>
      <c r="W4378" s="50">
        <f>IFERROR(Tabla1[[#This Row],[Fatalities]]/Tabla1[[#This Row],[Aboard]],0)</f>
        <v>0.8</v>
      </c>
      <c r="X4378" s="51" t="str" cm="1">
        <f t="array" ref="X4378">_xlfn.IFS(Tabla1[[#This Row],[Porcentaje de muertes]]&lt;0.35,"LEVE",AND(Tabla1[[#This Row],[Porcentaje de muertes]]&gt;0.35,Tabla1[[#This Row],[Porcentaje de muertes]]&lt;0.65),"MEDIO",Tabla1[[#This Row],[Porcentaje de muertes]]&gt;0.65,"GRAVE")</f>
        <v>GRAVE</v>
      </c>
    </row>
    <row r="4379" spans="2:24" x14ac:dyDescent="0.3">
      <c r="B4379" s="9">
        <v>4379</v>
      </c>
      <c r="C4379" s="49">
        <v>37596</v>
      </c>
      <c r="D4379" s="9">
        <f>YEAR(Tabla1[[#This Row],[Date]])</f>
        <v>2002</v>
      </c>
      <c r="E4379" s="9" t="str" cm="1">
        <f t="array" ref="E4379">IFERROR(_xlfn.IFS(AND(D4379&lt;1980,D4379&gt;=1970),"70",AND(D4379&lt;1990,D4379&gt;=1980),"80",AND(D4379&lt;2000,D4379&gt;=1990),"90",AND(D4379&lt;2010,D4379&gt;=2000),"00",AND(D4379&lt;=2019,D4379&gt;=2010),"10"),"1908-1970")</f>
        <v>00</v>
      </c>
      <c r="F4379" s="3">
        <v>0.89166666666666661</v>
      </c>
      <c r="G4379" t="s">
        <v>25017</v>
      </c>
      <c r="H4379" t="s">
        <v>7987</v>
      </c>
      <c r="I4379" t="s">
        <v>28931</v>
      </c>
      <c r="J4379" t="s">
        <v>28931</v>
      </c>
      <c r="K4379" t="s">
        <v>25018</v>
      </c>
      <c r="L4379" s="7" t="s">
        <v>25019</v>
      </c>
      <c r="M4379">
        <v>5041</v>
      </c>
      <c r="N4379">
        <v>10</v>
      </c>
      <c r="O4379">
        <v>2</v>
      </c>
      <c r="P4379">
        <v>8</v>
      </c>
      <c r="Q4379">
        <v>3</v>
      </c>
      <c r="R4379">
        <v>0</v>
      </c>
      <c r="S4379">
        <v>3</v>
      </c>
      <c r="T4379">
        <v>0</v>
      </c>
      <c r="U4379" t="s">
        <v>25020</v>
      </c>
      <c r="V4379">
        <f>Tabla1[[#This Row],[Aboard]]-Tabla1[[#This Row],[Fatalities]]</f>
        <v>7</v>
      </c>
      <c r="W4379" s="50">
        <f>IFERROR(Tabla1[[#This Row],[Fatalities]]/Tabla1[[#This Row],[Aboard]],0)</f>
        <v>0.3</v>
      </c>
      <c r="X4379" s="51" t="str" cm="1">
        <f t="array" ref="X4379">_xlfn.IFS(Tabla1[[#This Row],[Porcentaje de muertes]]&lt;0.35,"LEVE",AND(Tabla1[[#This Row],[Porcentaje de muertes]]&gt;0.35,Tabla1[[#This Row],[Porcentaje de muertes]]&lt;0.65),"MEDIO",Tabla1[[#This Row],[Porcentaje de muertes]]&gt;0.65,"GRAVE")</f>
        <v>LEVE</v>
      </c>
    </row>
    <row r="4380" spans="2:24" x14ac:dyDescent="0.3">
      <c r="B4380" s="9">
        <v>4380</v>
      </c>
      <c r="C4380" s="49">
        <v>37263</v>
      </c>
      <c r="D4380" s="9">
        <f>YEAR(Tabla1[[#This Row],[Date]])</f>
        <v>2002</v>
      </c>
      <c r="E4380" s="9" t="str" cm="1">
        <f t="array" ref="E4380">IFERROR(_xlfn.IFS(AND(D4380&lt;1980,D4380&gt;=1970),"70",AND(D4380&lt;1990,D4380&gt;=1980),"80",AND(D4380&lt;2000,D4380&gt;=1990),"90",AND(D4380&lt;2010,D4380&gt;=2000),"00",AND(D4380&lt;=2019,D4380&gt;=2010),"10"),"1908-1970")</f>
        <v>00</v>
      </c>
      <c r="F4380" s="3">
        <v>0.98333333333333339</v>
      </c>
      <c r="G4380" t="s">
        <v>25021</v>
      </c>
      <c r="H4380" t="s">
        <v>25022</v>
      </c>
      <c r="I4380" t="s">
        <v>25023</v>
      </c>
      <c r="J4380" t="s">
        <v>25024</v>
      </c>
      <c r="K4380" t="s">
        <v>25025</v>
      </c>
      <c r="L4380" s="7" t="s">
        <v>25026</v>
      </c>
      <c r="M4380" t="s">
        <v>25027</v>
      </c>
      <c r="N4380">
        <v>71</v>
      </c>
      <c r="O4380">
        <v>57</v>
      </c>
      <c r="P4380">
        <v>14</v>
      </c>
      <c r="Q4380">
        <v>71</v>
      </c>
      <c r="R4380">
        <v>57</v>
      </c>
      <c r="S4380">
        <v>14</v>
      </c>
      <c r="T4380">
        <v>0</v>
      </c>
      <c r="U4380" t="s">
        <v>25028</v>
      </c>
      <c r="V4380">
        <f>Tabla1[[#This Row],[Aboard]]-Tabla1[[#This Row],[Fatalities]]</f>
        <v>0</v>
      </c>
      <c r="W4380" s="50">
        <f>IFERROR(Tabla1[[#This Row],[Fatalities]]/Tabla1[[#This Row],[Aboard]],0)</f>
        <v>1</v>
      </c>
      <c r="X4380" s="51" t="str" cm="1">
        <f t="array" ref="X4380">_xlfn.IFS(Tabla1[[#This Row],[Porcentaje de muertes]]&lt;0.35,"LEVE",AND(Tabla1[[#This Row],[Porcentaje de muertes]]&gt;0.35,Tabla1[[#This Row],[Porcentaje de muertes]]&lt;0.65),"MEDIO",Tabla1[[#This Row],[Porcentaje de muertes]]&gt;0.65,"GRAVE")</f>
        <v>GRAVE</v>
      </c>
    </row>
    <row r="4381" spans="2:24" x14ac:dyDescent="0.3">
      <c r="B4381" s="9">
        <v>4381</v>
      </c>
      <c r="C4381" s="49">
        <v>37353</v>
      </c>
      <c r="D4381" s="9">
        <f>YEAR(Tabla1[[#This Row],[Date]])</f>
        <v>2002</v>
      </c>
      <c r="E4381" s="9" t="str" cm="1">
        <f t="array" ref="E4381">IFERROR(_xlfn.IFS(AND(D4381&lt;1980,D4381&gt;=1970),"70",AND(D4381&lt;1990,D4381&gt;=1980),"80",AND(D4381&lt;2000,D4381&gt;=1990),"90",AND(D4381&lt;2010,D4381&gt;=2000),"00",AND(D4381&lt;=2019,D4381&gt;=2010),"10"),"1908-1970")</f>
        <v>00</v>
      </c>
      <c r="F4381" s="3">
        <v>0.46875</v>
      </c>
      <c r="G4381" t="s">
        <v>20068</v>
      </c>
      <c r="H4381" t="s">
        <v>25029</v>
      </c>
      <c r="I4381" t="s">
        <v>28931</v>
      </c>
      <c r="J4381" t="s">
        <v>25030</v>
      </c>
      <c r="K4381" t="s">
        <v>13458</v>
      </c>
      <c r="L4381" s="7" t="s">
        <v>25031</v>
      </c>
      <c r="M4381">
        <v>19335</v>
      </c>
      <c r="N4381">
        <v>27</v>
      </c>
      <c r="O4381">
        <v>19</v>
      </c>
      <c r="P4381">
        <v>8</v>
      </c>
      <c r="Q4381">
        <v>27</v>
      </c>
      <c r="R4381">
        <v>19</v>
      </c>
      <c r="S4381">
        <v>8</v>
      </c>
      <c r="T4381">
        <v>0</v>
      </c>
      <c r="U4381" t="s">
        <v>25032</v>
      </c>
      <c r="V4381">
        <f>Tabla1[[#This Row],[Aboard]]-Tabla1[[#This Row],[Fatalities]]</f>
        <v>0</v>
      </c>
      <c r="W4381" s="50">
        <f>IFERROR(Tabla1[[#This Row],[Fatalities]]/Tabla1[[#This Row],[Aboard]],0)</f>
        <v>1</v>
      </c>
      <c r="X4381" s="51" t="str" cm="1">
        <f t="array" ref="X4381">_xlfn.IFS(Tabla1[[#This Row],[Porcentaje de muertes]]&lt;0.35,"LEVE",AND(Tabla1[[#This Row],[Porcentaje de muertes]]&gt;0.35,Tabla1[[#This Row],[Porcentaje de muertes]]&lt;0.65),"MEDIO",Tabla1[[#This Row],[Porcentaje de muertes]]&gt;0.65,"GRAVE")</f>
        <v>GRAVE</v>
      </c>
    </row>
    <row r="4382" spans="2:24" x14ac:dyDescent="0.3">
      <c r="B4382" s="9">
        <v>4382</v>
      </c>
      <c r="C4382" s="49">
        <v>37453</v>
      </c>
      <c r="D4382" s="9">
        <f>YEAR(Tabla1[[#This Row],[Date]])</f>
        <v>2002</v>
      </c>
      <c r="E4382" s="9" t="str" cm="1">
        <f t="array" ref="E4382">IFERROR(_xlfn.IFS(AND(D4382&lt;1980,D4382&gt;=1970),"70",AND(D4382&lt;1990,D4382&gt;=1980),"80",AND(D4382&lt;2000,D4382&gt;=1990),"90",AND(D4382&lt;2010,D4382&gt;=2000),"00",AND(D4382&lt;=2019,D4382&gt;=2010),"10"),"1908-1970")</f>
        <v>00</v>
      </c>
      <c r="F4382" s="3" t="s">
        <v>28931</v>
      </c>
      <c r="G4382" t="s">
        <v>25033</v>
      </c>
      <c r="H4382" t="s">
        <v>22981</v>
      </c>
      <c r="I4382" t="s">
        <v>28931</v>
      </c>
      <c r="J4382" t="s">
        <v>25034</v>
      </c>
      <c r="K4382" t="s">
        <v>15949</v>
      </c>
      <c r="L4382" s="7" t="s">
        <v>25035</v>
      </c>
      <c r="M4382">
        <v>860</v>
      </c>
      <c r="N4382">
        <v>10</v>
      </c>
      <c r="O4382">
        <v>8</v>
      </c>
      <c r="P4382">
        <v>2</v>
      </c>
      <c r="Q4382">
        <v>10</v>
      </c>
      <c r="R4382">
        <v>8</v>
      </c>
      <c r="S4382">
        <v>2</v>
      </c>
      <c r="T4382">
        <v>0</v>
      </c>
      <c r="U4382" t="s">
        <v>25036</v>
      </c>
      <c r="V4382">
        <f>Tabla1[[#This Row],[Aboard]]-Tabla1[[#This Row],[Fatalities]]</f>
        <v>0</v>
      </c>
      <c r="W4382" s="50">
        <f>IFERROR(Tabla1[[#This Row],[Fatalities]]/Tabla1[[#This Row],[Aboard]],0)</f>
        <v>1</v>
      </c>
      <c r="X4382" s="51" t="str" cm="1">
        <f t="array" ref="X4382">_xlfn.IFS(Tabla1[[#This Row],[Porcentaje de muertes]]&lt;0.35,"LEVE",AND(Tabla1[[#This Row],[Porcentaje de muertes]]&gt;0.35,Tabla1[[#This Row],[Porcentaje de muertes]]&lt;0.65),"MEDIO",Tabla1[[#This Row],[Porcentaje de muertes]]&gt;0.65,"GRAVE")</f>
        <v>GRAVE</v>
      </c>
    </row>
    <row r="4383" spans="2:24" x14ac:dyDescent="0.3">
      <c r="B4383" s="9">
        <v>4383</v>
      </c>
      <c r="C4383" s="49">
        <v>37453</v>
      </c>
      <c r="D4383" s="9">
        <f>YEAR(Tabla1[[#This Row],[Date]])</f>
        <v>2002</v>
      </c>
      <c r="E4383" s="9" t="str" cm="1">
        <f t="array" ref="E4383">IFERROR(_xlfn.IFS(AND(D4383&lt;1980,D4383&gt;=1970),"70",AND(D4383&lt;1990,D4383&gt;=1980),"80",AND(D4383&lt;2000,D4383&gt;=1990),"90",AND(D4383&lt;2010,D4383&gt;=2000),"00",AND(D4383&lt;=2019,D4383&gt;=2010),"10"),"1908-1970")</f>
        <v>00</v>
      </c>
      <c r="F4383" s="3">
        <v>0.82291666666666663</v>
      </c>
      <c r="G4383" t="s">
        <v>25037</v>
      </c>
      <c r="H4383" t="s">
        <v>19043</v>
      </c>
      <c r="I4383" t="s">
        <v>8152</v>
      </c>
      <c r="J4383" t="s">
        <v>25038</v>
      </c>
      <c r="K4383" t="s">
        <v>25039</v>
      </c>
      <c r="L4383" s="7" t="s">
        <v>25040</v>
      </c>
      <c r="M4383">
        <v>760100</v>
      </c>
      <c r="N4383">
        <v>11</v>
      </c>
      <c r="O4383">
        <v>9</v>
      </c>
      <c r="P4383">
        <v>2</v>
      </c>
      <c r="Q4383">
        <v>11</v>
      </c>
      <c r="R4383">
        <v>9</v>
      </c>
      <c r="S4383">
        <v>2</v>
      </c>
      <c r="T4383">
        <v>0</v>
      </c>
      <c r="U4383" t="s">
        <v>25041</v>
      </c>
      <c r="V4383">
        <f>Tabla1[[#This Row],[Aboard]]-Tabla1[[#This Row],[Fatalities]]</f>
        <v>0</v>
      </c>
      <c r="W4383" s="50">
        <f>IFERROR(Tabla1[[#This Row],[Fatalities]]/Tabla1[[#This Row],[Aboard]],0)</f>
        <v>1</v>
      </c>
      <c r="X4383" s="51" t="str" cm="1">
        <f t="array" ref="X4383">_xlfn.IFS(Tabla1[[#This Row],[Porcentaje de muertes]]&lt;0.35,"LEVE",AND(Tabla1[[#This Row],[Porcentaje de muertes]]&gt;0.35,Tabla1[[#This Row],[Porcentaje de muertes]]&lt;0.65),"MEDIO",Tabla1[[#This Row],[Porcentaje de muertes]]&gt;0.65,"GRAVE")</f>
        <v>GRAVE</v>
      </c>
    </row>
    <row r="4384" spans="2:24" x14ac:dyDescent="0.3">
      <c r="B4384" s="9">
        <v>4384</v>
      </c>
      <c r="C4384" s="49">
        <v>37454</v>
      </c>
      <c r="D4384" s="9">
        <f>YEAR(Tabla1[[#This Row],[Date]])</f>
        <v>2002</v>
      </c>
      <c r="E4384" s="9" t="str" cm="1">
        <f t="array" ref="E4384">IFERROR(_xlfn.IFS(AND(D4384&lt;1980,D4384&gt;=1970),"70",AND(D4384&lt;1990,D4384&gt;=1980),"80",AND(D4384&lt;2000,D4384&gt;=1990),"90",AND(D4384&lt;2010,D4384&gt;=2000),"00",AND(D4384&lt;=2019,D4384&gt;=2010),"10"),"1908-1970")</f>
        <v>00</v>
      </c>
      <c r="F4384" s="3">
        <v>0.59861111111111109</v>
      </c>
      <c r="G4384" t="s">
        <v>25042</v>
      </c>
      <c r="H4384" t="s">
        <v>24232</v>
      </c>
      <c r="I4384" t="s">
        <v>28931</v>
      </c>
      <c r="J4384" t="s">
        <v>25043</v>
      </c>
      <c r="K4384" t="s">
        <v>16680</v>
      </c>
      <c r="L4384" s="7" t="s">
        <v>25044</v>
      </c>
      <c r="M4384">
        <v>828</v>
      </c>
      <c r="N4384">
        <v>4</v>
      </c>
      <c r="O4384">
        <v>2</v>
      </c>
      <c r="P4384">
        <v>2</v>
      </c>
      <c r="Q4384">
        <v>4</v>
      </c>
      <c r="R4384">
        <v>2</v>
      </c>
      <c r="S4384">
        <v>2</v>
      </c>
      <c r="T4384">
        <v>0</v>
      </c>
      <c r="U4384" t="s">
        <v>25045</v>
      </c>
      <c r="V4384">
        <f>Tabla1[[#This Row],[Aboard]]-Tabla1[[#This Row],[Fatalities]]</f>
        <v>0</v>
      </c>
      <c r="W4384" s="50">
        <f>IFERROR(Tabla1[[#This Row],[Fatalities]]/Tabla1[[#This Row],[Aboard]],0)</f>
        <v>1</v>
      </c>
      <c r="X4384" s="51" t="str" cm="1">
        <f t="array" ref="X4384">_xlfn.IFS(Tabla1[[#This Row],[Porcentaje de muertes]]&lt;0.35,"LEVE",AND(Tabla1[[#This Row],[Porcentaje de muertes]]&gt;0.35,Tabla1[[#This Row],[Porcentaje de muertes]]&lt;0.65),"MEDIO",Tabla1[[#This Row],[Porcentaje de muertes]]&gt;0.65,"GRAVE")</f>
        <v>GRAVE</v>
      </c>
    </row>
    <row r="4385" spans="2:24" x14ac:dyDescent="0.3">
      <c r="B4385" s="9">
        <v>4385</v>
      </c>
      <c r="C4385" s="49">
        <v>37464</v>
      </c>
      <c r="D4385" s="9">
        <f>YEAR(Tabla1[[#This Row],[Date]])</f>
        <v>2002</v>
      </c>
      <c r="E4385" s="9" t="str" cm="1">
        <f t="array" ref="E4385">IFERROR(_xlfn.IFS(AND(D4385&lt;1980,D4385&gt;=1970),"70",AND(D4385&lt;1990,D4385&gt;=1980),"80",AND(D4385&lt;2000,D4385&gt;=1990),"90",AND(D4385&lt;2010,D4385&gt;=2000),"00",AND(D4385&lt;=2019,D4385&gt;=2010),"10"),"1908-1970")</f>
        <v>00</v>
      </c>
      <c r="F4385" s="3">
        <v>0.53125</v>
      </c>
      <c r="G4385" t="s">
        <v>25046</v>
      </c>
      <c r="H4385" t="s">
        <v>25047</v>
      </c>
      <c r="I4385" t="s">
        <v>28931</v>
      </c>
      <c r="J4385" t="s">
        <v>28931</v>
      </c>
      <c r="K4385" t="s">
        <v>25048</v>
      </c>
      <c r="L4385" s="7">
        <v>42</v>
      </c>
      <c r="M4385" t="s">
        <v>28931</v>
      </c>
      <c r="N4385">
        <v>2</v>
      </c>
      <c r="O4385">
        <v>0</v>
      </c>
      <c r="P4385">
        <v>2</v>
      </c>
      <c r="Q4385">
        <v>0</v>
      </c>
      <c r="R4385">
        <v>0</v>
      </c>
      <c r="S4385">
        <v>0</v>
      </c>
      <c r="T4385">
        <v>85</v>
      </c>
      <c r="U4385" t="s">
        <v>25049</v>
      </c>
      <c r="V4385">
        <f>Tabla1[[#This Row],[Aboard]]-Tabla1[[#This Row],[Fatalities]]</f>
        <v>2</v>
      </c>
      <c r="W4385" s="50">
        <f>IFERROR(Tabla1[[#This Row],[Fatalities]]/Tabla1[[#This Row],[Aboard]],0)</f>
        <v>0</v>
      </c>
      <c r="X4385" s="51" t="str" cm="1">
        <f t="array" ref="X4385">_xlfn.IFS(Tabla1[[#This Row],[Porcentaje de muertes]]&lt;0.35,"LEVE",AND(Tabla1[[#This Row],[Porcentaje de muertes]]&gt;0.35,Tabla1[[#This Row],[Porcentaje de muertes]]&lt;0.65),"MEDIO",Tabla1[[#This Row],[Porcentaje de muertes]]&gt;0.65,"GRAVE")</f>
        <v>LEVE</v>
      </c>
    </row>
    <row r="4386" spans="2:24" x14ac:dyDescent="0.3">
      <c r="B4386" s="9">
        <v>4386</v>
      </c>
      <c r="C4386" s="49">
        <v>37465</v>
      </c>
      <c r="D4386" s="9">
        <f>YEAR(Tabla1[[#This Row],[Date]])</f>
        <v>2002</v>
      </c>
      <c r="E4386" s="9" t="str" cm="1">
        <f t="array" ref="E4386">IFERROR(_xlfn.IFS(AND(D4386&lt;1980,D4386&gt;=1970),"70",AND(D4386&lt;1990,D4386&gt;=1980),"80",AND(D4386&lt;2000,D4386&gt;=1990),"90",AND(D4386&lt;2010,D4386&gt;=2000),"00",AND(D4386&lt;=2019,D4386&gt;=2010),"10"),"1908-1970")</f>
        <v>00</v>
      </c>
      <c r="F4386" s="3">
        <v>0.64236111111111105</v>
      </c>
      <c r="G4386" t="s">
        <v>10681</v>
      </c>
      <c r="H4386" t="s">
        <v>25050</v>
      </c>
      <c r="I4386" t="s">
        <v>28931</v>
      </c>
      <c r="J4386" t="s">
        <v>25051</v>
      </c>
      <c r="K4386" t="s">
        <v>25052</v>
      </c>
      <c r="L4386" s="7" t="s">
        <v>25053</v>
      </c>
      <c r="M4386">
        <v>51483203027</v>
      </c>
      <c r="N4386">
        <v>16</v>
      </c>
      <c r="O4386">
        <v>0</v>
      </c>
      <c r="P4386">
        <v>16</v>
      </c>
      <c r="Q4386">
        <v>14</v>
      </c>
      <c r="R4386">
        <v>0</v>
      </c>
      <c r="S4386">
        <v>14</v>
      </c>
      <c r="T4386">
        <v>0</v>
      </c>
      <c r="U4386" t="s">
        <v>25054</v>
      </c>
      <c r="V4386">
        <f>Tabla1[[#This Row],[Aboard]]-Tabla1[[#This Row],[Fatalities]]</f>
        <v>2</v>
      </c>
      <c r="W4386" s="50">
        <f>IFERROR(Tabla1[[#This Row],[Fatalities]]/Tabla1[[#This Row],[Aboard]],0)</f>
        <v>0.875</v>
      </c>
      <c r="X4386" s="51" t="str" cm="1">
        <f t="array" ref="X4386">_xlfn.IFS(Tabla1[[#This Row],[Porcentaje de muertes]]&lt;0.35,"LEVE",AND(Tabla1[[#This Row],[Porcentaje de muertes]]&gt;0.35,Tabla1[[#This Row],[Porcentaje de muertes]]&lt;0.65),"MEDIO",Tabla1[[#This Row],[Porcentaje de muertes]]&gt;0.65,"GRAVE")</f>
        <v>GRAVE</v>
      </c>
    </row>
    <row r="4387" spans="2:24" x14ac:dyDescent="0.3">
      <c r="B4387" s="9">
        <v>4387</v>
      </c>
      <c r="C4387" s="49">
        <v>37445</v>
      </c>
      <c r="D4387" s="9">
        <f>YEAR(Tabla1[[#This Row],[Date]])</f>
        <v>2002</v>
      </c>
      <c r="E4387" s="9" t="str" cm="1">
        <f t="array" ref="E4387">IFERROR(_xlfn.IFS(AND(D4387&lt;1980,D4387&gt;=1970),"70",AND(D4387&lt;1990,D4387&gt;=1980),"80",AND(D4387&lt;2000,D4387&gt;=1990),"90",AND(D4387&lt;2010,D4387&gt;=2000),"00",AND(D4387&lt;=2019,D4387&gt;=2010),"10"),"1908-1970")</f>
        <v>00</v>
      </c>
      <c r="F4387" s="3">
        <v>0.91666666666666663</v>
      </c>
      <c r="G4387" t="s">
        <v>25055</v>
      </c>
      <c r="H4387" t="s">
        <v>7987</v>
      </c>
      <c r="I4387" t="s">
        <v>8152</v>
      </c>
      <c r="J4387" t="s">
        <v>25056</v>
      </c>
      <c r="K4387" t="s">
        <v>25018</v>
      </c>
      <c r="L4387" s="7" t="s">
        <v>25057</v>
      </c>
      <c r="M4387">
        <v>5265</v>
      </c>
      <c r="N4387">
        <v>10</v>
      </c>
      <c r="O4387">
        <v>3</v>
      </c>
      <c r="P4387">
        <v>7</v>
      </c>
      <c r="Q4387">
        <v>10</v>
      </c>
      <c r="R4387">
        <v>3</v>
      </c>
      <c r="S4387">
        <v>7</v>
      </c>
      <c r="T4387">
        <v>0</v>
      </c>
      <c r="U4387" t="s">
        <v>25058</v>
      </c>
      <c r="V4387">
        <f>Tabla1[[#This Row],[Aboard]]-Tabla1[[#This Row],[Fatalities]]</f>
        <v>0</v>
      </c>
      <c r="W4387" s="50">
        <f>IFERROR(Tabla1[[#This Row],[Fatalities]]/Tabla1[[#This Row],[Aboard]],0)</f>
        <v>1</v>
      </c>
      <c r="X4387" s="51" t="str" cm="1">
        <f t="array" ref="X4387">_xlfn.IFS(Tabla1[[#This Row],[Porcentaje de muertes]]&lt;0.35,"LEVE",AND(Tabla1[[#This Row],[Porcentaje de muertes]]&gt;0.35,Tabla1[[#This Row],[Porcentaje de muertes]]&lt;0.65),"MEDIO",Tabla1[[#This Row],[Porcentaje de muertes]]&gt;0.65,"GRAVE")</f>
        <v>GRAVE</v>
      </c>
    </row>
    <row r="4388" spans="2:24" x14ac:dyDescent="0.3">
      <c r="B4388" s="9">
        <v>4388</v>
      </c>
      <c r="C4388" s="49">
        <v>37483</v>
      </c>
      <c r="D4388" s="9">
        <f>YEAR(Tabla1[[#This Row],[Date]])</f>
        <v>2002</v>
      </c>
      <c r="E4388" s="9" t="str" cm="1">
        <f t="array" ref="E4388">IFERROR(_xlfn.IFS(AND(D4388&lt;1980,D4388&gt;=1970),"70",AND(D4388&lt;1990,D4388&gt;=1980),"80",AND(D4388&lt;2000,D4388&gt;=1990),"90",AND(D4388&lt;2010,D4388&gt;=2000),"00",AND(D4388&lt;=2019,D4388&gt;=2010),"10"),"1908-1970")</f>
        <v>00</v>
      </c>
      <c r="F4388" s="3">
        <v>0.52430555555555558</v>
      </c>
      <c r="G4388" t="s">
        <v>25059</v>
      </c>
      <c r="H4388" t="s">
        <v>21918</v>
      </c>
      <c r="I4388" t="s">
        <v>28931</v>
      </c>
      <c r="J4388" t="s">
        <v>28931</v>
      </c>
      <c r="K4388" t="s">
        <v>25060</v>
      </c>
      <c r="L4388" s="7" t="s">
        <v>25061</v>
      </c>
      <c r="M4388">
        <v>70802</v>
      </c>
      <c r="N4388">
        <v>5</v>
      </c>
      <c r="O4388">
        <v>0</v>
      </c>
      <c r="P4388">
        <v>5</v>
      </c>
      <c r="Q4388">
        <v>5</v>
      </c>
      <c r="R4388">
        <v>0</v>
      </c>
      <c r="S4388">
        <v>5</v>
      </c>
      <c r="T4388">
        <v>0</v>
      </c>
      <c r="U4388" t="s">
        <v>25062</v>
      </c>
      <c r="V4388">
        <f>Tabla1[[#This Row],[Aboard]]-Tabla1[[#This Row],[Fatalities]]</f>
        <v>0</v>
      </c>
      <c r="W4388" s="50">
        <f>IFERROR(Tabla1[[#This Row],[Fatalities]]/Tabla1[[#This Row],[Aboard]],0)</f>
        <v>1</v>
      </c>
      <c r="X4388" s="51" t="str" cm="1">
        <f t="array" ref="X4388">_xlfn.IFS(Tabla1[[#This Row],[Porcentaje de muertes]]&lt;0.35,"LEVE",AND(Tabla1[[#This Row],[Porcentaje de muertes]]&gt;0.35,Tabla1[[#This Row],[Porcentaje de muertes]]&lt;0.65),"MEDIO",Tabla1[[#This Row],[Porcentaje de muertes]]&gt;0.65,"GRAVE")</f>
        <v>GRAVE</v>
      </c>
    </row>
    <row r="4389" spans="2:24" x14ac:dyDescent="0.3">
      <c r="B4389" s="9">
        <v>4389</v>
      </c>
      <c r="C4389" s="49">
        <v>37487</v>
      </c>
      <c r="D4389" s="9">
        <f>YEAR(Tabla1[[#This Row],[Date]])</f>
        <v>2002</v>
      </c>
      <c r="E4389" s="9" t="str" cm="1">
        <f t="array" ref="E4389">IFERROR(_xlfn.IFS(AND(D4389&lt;1980,D4389&gt;=1970),"70",AND(D4389&lt;1990,D4389&gt;=1980),"80",AND(D4389&lt;2000,D4389&gt;=1990),"90",AND(D4389&lt;2010,D4389&gt;=2000),"00",AND(D4389&lt;=2019,D4389&gt;=2010),"10"),"1908-1970")</f>
        <v>00</v>
      </c>
      <c r="F4389" s="3" t="s">
        <v>28931</v>
      </c>
      <c r="G4389" t="s">
        <v>25063</v>
      </c>
      <c r="H4389" t="s">
        <v>15187</v>
      </c>
      <c r="I4389" t="s">
        <v>28931</v>
      </c>
      <c r="J4389" t="s">
        <v>28931</v>
      </c>
      <c r="K4389" t="s">
        <v>25064</v>
      </c>
      <c r="L4389" s="7" t="s">
        <v>25065</v>
      </c>
      <c r="M4389" t="s">
        <v>28931</v>
      </c>
      <c r="N4389">
        <v>147</v>
      </c>
      <c r="O4389">
        <v>142</v>
      </c>
      <c r="P4389">
        <v>5</v>
      </c>
      <c r="Q4389">
        <v>121</v>
      </c>
      <c r="R4389">
        <v>121</v>
      </c>
      <c r="S4389">
        <v>0</v>
      </c>
      <c r="T4389">
        <v>0</v>
      </c>
      <c r="U4389" t="s">
        <v>25066</v>
      </c>
      <c r="V4389">
        <f>Tabla1[[#This Row],[Aboard]]-Tabla1[[#This Row],[Fatalities]]</f>
        <v>26</v>
      </c>
      <c r="W4389" s="50">
        <f>IFERROR(Tabla1[[#This Row],[Fatalities]]/Tabla1[[#This Row],[Aboard]],0)</f>
        <v>0.8231292517006803</v>
      </c>
      <c r="X4389" s="51" t="str" cm="1">
        <f t="array" ref="X4389">_xlfn.IFS(Tabla1[[#This Row],[Porcentaje de muertes]]&lt;0.35,"LEVE",AND(Tabla1[[#This Row],[Porcentaje de muertes]]&gt;0.35,Tabla1[[#This Row],[Porcentaje de muertes]]&lt;0.65),"MEDIO",Tabla1[[#This Row],[Porcentaje de muertes]]&gt;0.65,"GRAVE")</f>
        <v>GRAVE</v>
      </c>
    </row>
    <row r="4390" spans="2:24" x14ac:dyDescent="0.3">
      <c r="B4390" s="9">
        <v>4390</v>
      </c>
      <c r="C4390" s="49">
        <v>37490</v>
      </c>
      <c r="D4390" s="9">
        <f>YEAR(Tabla1[[#This Row],[Date]])</f>
        <v>2002</v>
      </c>
      <c r="E4390" s="9" t="str" cm="1">
        <f t="array" ref="E4390">IFERROR(_xlfn.IFS(AND(D4390&lt;1980,D4390&gt;=1970),"70",AND(D4390&lt;1990,D4390&gt;=1980),"80",AND(D4390&lt;2000,D4390&gt;=1990),"90",AND(D4390&lt;2010,D4390&gt;=2000),"00",AND(D4390&lt;=2019,D4390&gt;=2010),"10"),"1908-1970")</f>
        <v>00</v>
      </c>
      <c r="F4390" s="3">
        <v>0.40347222222222223</v>
      </c>
      <c r="G4390" t="s">
        <v>25067</v>
      </c>
      <c r="H4390" t="s">
        <v>25068</v>
      </c>
      <c r="I4390" t="s">
        <v>28931</v>
      </c>
      <c r="J4390" t="s">
        <v>23835</v>
      </c>
      <c r="K4390" t="s">
        <v>25069</v>
      </c>
      <c r="L4390" s="7" t="s">
        <v>25070</v>
      </c>
      <c r="M4390">
        <v>726</v>
      </c>
      <c r="N4390">
        <v>18</v>
      </c>
      <c r="O4390">
        <v>15</v>
      </c>
      <c r="P4390">
        <v>3</v>
      </c>
      <c r="Q4390">
        <v>18</v>
      </c>
      <c r="R4390">
        <v>15</v>
      </c>
      <c r="S4390">
        <v>3</v>
      </c>
      <c r="T4390">
        <v>0</v>
      </c>
      <c r="U4390" t="s">
        <v>25071</v>
      </c>
      <c r="V4390">
        <f>Tabla1[[#This Row],[Aboard]]-Tabla1[[#This Row],[Fatalities]]</f>
        <v>0</v>
      </c>
      <c r="W4390" s="50">
        <f>IFERROR(Tabla1[[#This Row],[Fatalities]]/Tabla1[[#This Row],[Aboard]],0)</f>
        <v>1</v>
      </c>
      <c r="X4390" s="51" t="str" cm="1">
        <f t="array" ref="X4390">_xlfn.IFS(Tabla1[[#This Row],[Porcentaje de muertes]]&lt;0.35,"LEVE",AND(Tabla1[[#This Row],[Porcentaje de muertes]]&gt;0.35,Tabla1[[#This Row],[Porcentaje de muertes]]&lt;0.65),"MEDIO",Tabla1[[#This Row],[Porcentaje de muertes]]&gt;0.65,"GRAVE")</f>
        <v>GRAVE</v>
      </c>
    </row>
    <row r="4391" spans="2:24" x14ac:dyDescent="0.3">
      <c r="B4391" s="9">
        <v>4391</v>
      </c>
      <c r="C4391" s="49">
        <v>37497</v>
      </c>
      <c r="D4391" s="9">
        <f>YEAR(Tabla1[[#This Row],[Date]])</f>
        <v>2002</v>
      </c>
      <c r="E4391" s="9" t="str" cm="1">
        <f t="array" ref="E4391">IFERROR(_xlfn.IFS(AND(D4391&lt;1980,D4391&gt;=1970),"70",AND(D4391&lt;1990,D4391&gt;=1980),"80",AND(D4391&lt;2000,D4391&gt;=1990),"90",AND(D4391&lt;2010,D4391&gt;=2000),"00",AND(D4391&lt;=2019,D4391&gt;=2010),"10"),"1908-1970")</f>
        <v>00</v>
      </c>
      <c r="F4391" s="3">
        <v>0.49861111111111112</v>
      </c>
      <c r="G4391" t="s">
        <v>25072</v>
      </c>
      <c r="H4391" t="s">
        <v>25073</v>
      </c>
      <c r="I4391" t="s">
        <v>25074</v>
      </c>
      <c r="J4391" t="s">
        <v>25075</v>
      </c>
      <c r="K4391" t="s">
        <v>22071</v>
      </c>
      <c r="L4391" s="7" t="s">
        <v>25076</v>
      </c>
      <c r="M4391" t="s">
        <v>25077</v>
      </c>
      <c r="N4391">
        <v>16</v>
      </c>
      <c r="O4391">
        <v>14</v>
      </c>
      <c r="P4391">
        <v>2</v>
      </c>
      <c r="Q4391">
        <v>16</v>
      </c>
      <c r="R4391">
        <v>14</v>
      </c>
      <c r="S4391">
        <v>2</v>
      </c>
      <c r="T4391">
        <v>0</v>
      </c>
      <c r="U4391" t="s">
        <v>25078</v>
      </c>
      <c r="V4391">
        <f>Tabla1[[#This Row],[Aboard]]-Tabla1[[#This Row],[Fatalities]]</f>
        <v>0</v>
      </c>
      <c r="W4391" s="50">
        <f>IFERROR(Tabla1[[#This Row],[Fatalities]]/Tabla1[[#This Row],[Aboard]],0)</f>
        <v>1</v>
      </c>
      <c r="X4391" s="51" t="str" cm="1">
        <f t="array" ref="X4391">_xlfn.IFS(Tabla1[[#This Row],[Porcentaje de muertes]]&lt;0.35,"LEVE",AND(Tabla1[[#This Row],[Porcentaje de muertes]]&gt;0.35,Tabla1[[#This Row],[Porcentaje de muertes]]&lt;0.65),"MEDIO",Tabla1[[#This Row],[Porcentaje de muertes]]&gt;0.65,"GRAVE")</f>
        <v>GRAVE</v>
      </c>
    </row>
    <row r="4392" spans="2:24" x14ac:dyDescent="0.3">
      <c r="B4392" s="9">
        <v>4392</v>
      </c>
      <c r="C4392" s="49">
        <v>37498</v>
      </c>
      <c r="D4392" s="9">
        <f>YEAR(Tabla1[[#This Row],[Date]])</f>
        <v>2002</v>
      </c>
      <c r="E4392" s="9" t="str" cm="1">
        <f t="array" ref="E4392">IFERROR(_xlfn.IFS(AND(D4392&lt;1980,D4392&gt;=1970),"70",AND(D4392&lt;1990,D4392&gt;=1980),"80",AND(D4392&lt;2000,D4392&gt;=1990),"90",AND(D4392&lt;2010,D4392&gt;=2000),"00",AND(D4392&lt;=2019,D4392&gt;=2010),"10"),"1908-1970")</f>
        <v>00</v>
      </c>
      <c r="F4392" s="3">
        <v>0.77083333333333337</v>
      </c>
      <c r="G4392" t="s">
        <v>19240</v>
      </c>
      <c r="H4392" t="s">
        <v>25079</v>
      </c>
      <c r="I4392" t="s">
        <v>28931</v>
      </c>
      <c r="J4392" t="s">
        <v>25080</v>
      </c>
      <c r="K4392" t="s">
        <v>25081</v>
      </c>
      <c r="L4392" s="7" t="s">
        <v>25082</v>
      </c>
      <c r="M4392">
        <v>120043</v>
      </c>
      <c r="N4392">
        <v>31</v>
      </c>
      <c r="O4392">
        <v>28</v>
      </c>
      <c r="P4392">
        <v>3</v>
      </c>
      <c r="Q4392">
        <v>23</v>
      </c>
      <c r="R4392">
        <v>20</v>
      </c>
      <c r="S4392">
        <v>3</v>
      </c>
      <c r="T4392">
        <v>0</v>
      </c>
      <c r="U4392" t="s">
        <v>25083</v>
      </c>
      <c r="V4392">
        <f>Tabla1[[#This Row],[Aboard]]-Tabla1[[#This Row],[Fatalities]]</f>
        <v>8</v>
      </c>
      <c r="W4392" s="50">
        <f>IFERROR(Tabla1[[#This Row],[Fatalities]]/Tabla1[[#This Row],[Aboard]],0)</f>
        <v>0.74193548387096775</v>
      </c>
      <c r="X4392" s="51" t="str" cm="1">
        <f t="array" ref="X4392">_xlfn.IFS(Tabla1[[#This Row],[Porcentaje de muertes]]&lt;0.35,"LEVE",AND(Tabla1[[#This Row],[Porcentaje de muertes]]&gt;0.35,Tabla1[[#This Row],[Porcentaje de muertes]]&lt;0.65),"MEDIO",Tabla1[[#This Row],[Porcentaje de muertes]]&gt;0.65,"GRAVE")</f>
        <v>GRAVE</v>
      </c>
    </row>
    <row r="4393" spans="2:24" x14ac:dyDescent="0.3">
      <c r="B4393" s="9">
        <v>4393</v>
      </c>
      <c r="C4393" s="49">
        <v>37513</v>
      </c>
      <c r="D4393" s="9">
        <f>YEAR(Tabla1[[#This Row],[Date]])</f>
        <v>2002</v>
      </c>
      <c r="E4393" s="9" t="str" cm="1">
        <f t="array" ref="E4393">IFERROR(_xlfn.IFS(AND(D4393&lt;1980,D4393&gt;=1970),"70",AND(D4393&lt;1990,D4393&gt;=1980),"80",AND(D4393&lt;2000,D4393&gt;=1990),"90",AND(D4393&lt;2010,D4393&gt;=2000),"00",AND(D4393&lt;=2019,D4393&gt;=2010),"10"),"1908-1970")</f>
        <v>00</v>
      </c>
      <c r="F4393" s="3" t="s">
        <v>28931</v>
      </c>
      <c r="G4393" t="s">
        <v>25084</v>
      </c>
      <c r="H4393" t="s">
        <v>25085</v>
      </c>
      <c r="I4393" t="s">
        <v>28931</v>
      </c>
      <c r="J4393" t="s">
        <v>25086</v>
      </c>
      <c r="K4393" t="s">
        <v>25087</v>
      </c>
      <c r="L4393" s="7" t="s">
        <v>25088</v>
      </c>
      <c r="M4393">
        <v>26</v>
      </c>
      <c r="N4393">
        <v>2</v>
      </c>
      <c r="O4393">
        <v>0</v>
      </c>
      <c r="P4393">
        <v>2</v>
      </c>
      <c r="Q4393">
        <v>2</v>
      </c>
      <c r="R4393">
        <v>0</v>
      </c>
      <c r="S4393">
        <v>2</v>
      </c>
      <c r="T4393">
        <v>0</v>
      </c>
      <c r="U4393" t="s">
        <v>25089</v>
      </c>
      <c r="V4393">
        <f>Tabla1[[#This Row],[Aboard]]-Tabla1[[#This Row],[Fatalities]]</f>
        <v>0</v>
      </c>
      <c r="W4393" s="50">
        <f>IFERROR(Tabla1[[#This Row],[Fatalities]]/Tabla1[[#This Row],[Aboard]],0)</f>
        <v>1</v>
      </c>
      <c r="X4393" s="51" t="str" cm="1">
        <f t="array" ref="X4393">_xlfn.IFS(Tabla1[[#This Row],[Porcentaje de muertes]]&lt;0.35,"LEVE",AND(Tabla1[[#This Row],[Porcentaje de muertes]]&gt;0.35,Tabla1[[#This Row],[Porcentaje de muertes]]&lt;0.65),"MEDIO",Tabla1[[#This Row],[Porcentaje de muertes]]&gt;0.65,"GRAVE")</f>
        <v>GRAVE</v>
      </c>
    </row>
    <row r="4394" spans="2:24" x14ac:dyDescent="0.3">
      <c r="B4394" s="9">
        <v>4394</v>
      </c>
      <c r="C4394" s="49">
        <v>37527</v>
      </c>
      <c r="D4394" s="9">
        <f>YEAR(Tabla1[[#This Row],[Date]])</f>
        <v>2002</v>
      </c>
      <c r="E4394" s="9" t="str" cm="1">
        <f t="array" ref="E4394">IFERROR(_xlfn.IFS(AND(D4394&lt;1980,D4394&gt;=1970),"70",AND(D4394&lt;1990,D4394&gt;=1980),"80",AND(D4394&lt;2000,D4394&gt;=1990),"90",AND(D4394&lt;2010,D4394&gt;=2000),"00",AND(D4394&lt;=2019,D4394&gt;=2010),"10"),"1908-1970")</f>
        <v>00</v>
      </c>
      <c r="F4394" s="3">
        <v>0.4826388888888889</v>
      </c>
      <c r="G4394" t="s">
        <v>25090</v>
      </c>
      <c r="H4394" t="s">
        <v>25091</v>
      </c>
      <c r="I4394" t="s">
        <v>28931</v>
      </c>
      <c r="J4394" t="s">
        <v>25092</v>
      </c>
      <c r="K4394" t="s">
        <v>12223</v>
      </c>
      <c r="L4394" s="7" t="s">
        <v>25093</v>
      </c>
      <c r="M4394">
        <v>279</v>
      </c>
      <c r="N4394">
        <v>4</v>
      </c>
      <c r="O4394">
        <v>3</v>
      </c>
      <c r="P4394">
        <v>1</v>
      </c>
      <c r="Q4394">
        <v>3</v>
      </c>
      <c r="R4394">
        <v>3</v>
      </c>
      <c r="S4394">
        <v>0</v>
      </c>
      <c r="T4394">
        <v>0</v>
      </c>
      <c r="U4394" t="s">
        <v>25094</v>
      </c>
      <c r="V4394">
        <f>Tabla1[[#This Row],[Aboard]]-Tabla1[[#This Row],[Fatalities]]</f>
        <v>1</v>
      </c>
      <c r="W4394" s="50">
        <f>IFERROR(Tabla1[[#This Row],[Fatalities]]/Tabla1[[#This Row],[Aboard]],0)</f>
        <v>0.75</v>
      </c>
      <c r="X4394" s="51" t="str" cm="1">
        <f t="array" ref="X4394">_xlfn.IFS(Tabla1[[#This Row],[Porcentaje de muertes]]&lt;0.35,"LEVE",AND(Tabla1[[#This Row],[Porcentaje de muertes]]&gt;0.35,Tabla1[[#This Row],[Porcentaje de muertes]]&lt;0.65),"MEDIO",Tabla1[[#This Row],[Porcentaje de muertes]]&gt;0.65,"GRAVE")</f>
        <v>GRAVE</v>
      </c>
    </row>
    <row r="4395" spans="2:24" x14ac:dyDescent="0.3">
      <c r="B4395" s="9">
        <v>4395</v>
      </c>
      <c r="C4395" s="49">
        <v>37266</v>
      </c>
      <c r="D4395" s="9">
        <f>YEAR(Tabla1[[#This Row],[Date]])</f>
        <v>2002</v>
      </c>
      <c r="E4395" s="9" t="str" cm="1">
        <f t="array" ref="E4395">IFERROR(_xlfn.IFS(AND(D4395&lt;1980,D4395&gt;=1970),"70",AND(D4395&lt;1990,D4395&gt;=1980),"80",AND(D4395&lt;2000,D4395&gt;=1990),"90",AND(D4395&lt;2010,D4395&gt;=2000),"00",AND(D4395&lt;=2019,D4395&gt;=2010),"10"),"1908-1970")</f>
        <v>00</v>
      </c>
      <c r="F4395" s="3" t="s">
        <v>28931</v>
      </c>
      <c r="G4395" t="s">
        <v>25095</v>
      </c>
      <c r="H4395" t="s">
        <v>25096</v>
      </c>
      <c r="I4395" t="s">
        <v>28931</v>
      </c>
      <c r="J4395" t="s">
        <v>18239</v>
      </c>
      <c r="K4395" t="s">
        <v>25097</v>
      </c>
      <c r="L4395" s="7" t="s">
        <v>25098</v>
      </c>
      <c r="M4395" t="s">
        <v>25099</v>
      </c>
      <c r="N4395">
        <v>12</v>
      </c>
      <c r="O4395">
        <v>0</v>
      </c>
      <c r="P4395">
        <v>12</v>
      </c>
      <c r="Q4395">
        <v>12</v>
      </c>
      <c r="R4395">
        <v>0</v>
      </c>
      <c r="S4395">
        <v>12</v>
      </c>
      <c r="T4395">
        <v>5</v>
      </c>
      <c r="U4395" t="s">
        <v>25100</v>
      </c>
      <c r="V4395">
        <f>Tabla1[[#This Row],[Aboard]]-Tabla1[[#This Row],[Fatalities]]</f>
        <v>0</v>
      </c>
      <c r="W4395" s="50">
        <f>IFERROR(Tabla1[[#This Row],[Fatalities]]/Tabla1[[#This Row],[Aboard]],0)</f>
        <v>1</v>
      </c>
      <c r="X4395" s="51" t="str" cm="1">
        <f t="array" ref="X4395">_xlfn.IFS(Tabla1[[#This Row],[Porcentaje de muertes]]&lt;0.35,"LEVE",AND(Tabla1[[#This Row],[Porcentaje de muertes]]&gt;0.35,Tabla1[[#This Row],[Porcentaje de muertes]]&lt;0.65),"MEDIO",Tabla1[[#This Row],[Porcentaje de muertes]]&gt;0.65,"GRAVE")</f>
        <v>GRAVE</v>
      </c>
    </row>
    <row r="4396" spans="2:24" x14ac:dyDescent="0.3">
      <c r="B4396" s="9">
        <v>4396</v>
      </c>
      <c r="C4396" s="49">
        <v>37418</v>
      </c>
      <c r="D4396" s="9">
        <f>YEAR(Tabla1[[#This Row],[Date]])</f>
        <v>2002</v>
      </c>
      <c r="E4396" s="9" t="str" cm="1">
        <f t="array" ref="E4396">IFERROR(_xlfn.IFS(AND(D4396&lt;1980,D4396&gt;=1970),"70",AND(D4396&lt;1990,D4396&gt;=1980),"80",AND(D4396&lt;2000,D4396&gt;=1990),"90",AND(D4396&lt;2010,D4396&gt;=2000),"00",AND(D4396&lt;=2019,D4396&gt;=2010),"10"),"1908-1970")</f>
        <v>00</v>
      </c>
      <c r="F4396" s="3">
        <v>0.4236111111111111</v>
      </c>
      <c r="G4396" t="s">
        <v>25101</v>
      </c>
      <c r="H4396" t="s">
        <v>25102</v>
      </c>
      <c r="I4396" t="s">
        <v>25103</v>
      </c>
      <c r="J4396" t="s">
        <v>25104</v>
      </c>
      <c r="K4396" t="s">
        <v>22957</v>
      </c>
      <c r="L4396" s="7" t="s">
        <v>25105</v>
      </c>
      <c r="M4396">
        <v>20221</v>
      </c>
      <c r="N4396">
        <v>22</v>
      </c>
      <c r="O4396">
        <v>19</v>
      </c>
      <c r="P4396">
        <v>3</v>
      </c>
      <c r="Q4396">
        <v>20</v>
      </c>
      <c r="R4396">
        <v>18</v>
      </c>
      <c r="S4396">
        <v>2</v>
      </c>
      <c r="T4396">
        <v>0</v>
      </c>
      <c r="U4396" t="s">
        <v>25106</v>
      </c>
      <c r="V4396">
        <f>Tabla1[[#This Row],[Aboard]]-Tabla1[[#This Row],[Fatalities]]</f>
        <v>2</v>
      </c>
      <c r="W4396" s="50">
        <f>IFERROR(Tabla1[[#This Row],[Fatalities]]/Tabla1[[#This Row],[Aboard]],0)</f>
        <v>0.90909090909090906</v>
      </c>
      <c r="X4396" s="51" t="str" cm="1">
        <f t="array" ref="X4396">_xlfn.IFS(Tabla1[[#This Row],[Porcentaje de muertes]]&lt;0.35,"LEVE",AND(Tabla1[[#This Row],[Porcentaje de muertes]]&gt;0.35,Tabla1[[#This Row],[Porcentaje de muertes]]&lt;0.65),"MEDIO",Tabla1[[#This Row],[Porcentaje de muertes]]&gt;0.65,"GRAVE")</f>
        <v>GRAVE</v>
      </c>
    </row>
    <row r="4397" spans="2:24" x14ac:dyDescent="0.3">
      <c r="B4397" s="9">
        <v>4397</v>
      </c>
      <c r="C4397" s="49">
        <v>37448</v>
      </c>
      <c r="D4397" s="9">
        <f>YEAR(Tabla1[[#This Row],[Date]])</f>
        <v>2002</v>
      </c>
      <c r="E4397" s="9" t="str" cm="1">
        <f t="array" ref="E4397">IFERROR(_xlfn.IFS(AND(D4397&lt;1980,D4397&gt;=1970),"70",AND(D4397&lt;1990,D4397&gt;=1980),"80",AND(D4397&lt;2000,D4397&gt;=1990),"90",AND(D4397&lt;2010,D4397&gt;=2000),"00",AND(D4397&lt;=2019,D4397&gt;=2010),"10"),"1908-1970")</f>
        <v>00</v>
      </c>
      <c r="F4397" s="3">
        <v>0.43541666666666662</v>
      </c>
      <c r="G4397" t="s">
        <v>25107</v>
      </c>
      <c r="H4397" t="s">
        <v>21693</v>
      </c>
      <c r="I4397" t="s">
        <v>28931</v>
      </c>
      <c r="J4397" t="s">
        <v>25108</v>
      </c>
      <c r="K4397" t="s">
        <v>21695</v>
      </c>
      <c r="L4397" s="7" t="s">
        <v>25109</v>
      </c>
      <c r="M4397">
        <v>697</v>
      </c>
      <c r="N4397">
        <v>10</v>
      </c>
      <c r="O4397">
        <v>9</v>
      </c>
      <c r="P4397">
        <v>1</v>
      </c>
      <c r="Q4397">
        <v>7</v>
      </c>
      <c r="R4397">
        <v>6</v>
      </c>
      <c r="S4397">
        <v>1</v>
      </c>
      <c r="T4397">
        <v>0</v>
      </c>
      <c r="U4397" t="s">
        <v>25110</v>
      </c>
      <c r="V4397">
        <f>Tabla1[[#This Row],[Aboard]]-Tabla1[[#This Row],[Fatalities]]</f>
        <v>3</v>
      </c>
      <c r="W4397" s="50">
        <f>IFERROR(Tabla1[[#This Row],[Fatalities]]/Tabla1[[#This Row],[Aboard]],0)</f>
        <v>0.7</v>
      </c>
      <c r="X4397" s="51" t="str" cm="1">
        <f t="array" ref="X4397">_xlfn.IFS(Tabla1[[#This Row],[Porcentaje de muertes]]&lt;0.35,"LEVE",AND(Tabla1[[#This Row],[Porcentaje de muertes]]&gt;0.35,Tabla1[[#This Row],[Porcentaje de muertes]]&lt;0.65),"MEDIO",Tabla1[[#This Row],[Porcentaje de muertes]]&gt;0.65,"GRAVE")</f>
        <v>GRAVE</v>
      </c>
    </row>
    <row r="4398" spans="2:24" x14ac:dyDescent="0.3">
      <c r="B4398" s="9">
        <v>4398</v>
      </c>
      <c r="C4398" s="49">
        <v>37479</v>
      </c>
      <c r="D4398" s="9">
        <f>YEAR(Tabla1[[#This Row],[Date]])</f>
        <v>2002</v>
      </c>
      <c r="E4398" s="9" t="str" cm="1">
        <f t="array" ref="E4398">IFERROR(_xlfn.IFS(AND(D4398&lt;1980,D4398&gt;=1970),"70",AND(D4398&lt;1990,D4398&gt;=1980),"80",AND(D4398&lt;2000,D4398&gt;=1990),"90",AND(D4398&lt;2010,D4398&gt;=2000),"00",AND(D4398&lt;=2019,D4398&gt;=2010),"10"),"1908-1970")</f>
        <v>00</v>
      </c>
      <c r="F4398" s="3">
        <v>0.62361111111111112</v>
      </c>
      <c r="G4398" t="s">
        <v>25111</v>
      </c>
      <c r="H4398" t="s">
        <v>25112</v>
      </c>
      <c r="I4398" t="s">
        <v>28931</v>
      </c>
      <c r="J4398" t="s">
        <v>25113</v>
      </c>
      <c r="K4398" t="s">
        <v>25114</v>
      </c>
      <c r="L4398" s="7" t="s">
        <v>25115</v>
      </c>
      <c r="M4398">
        <v>384</v>
      </c>
      <c r="N4398">
        <v>2</v>
      </c>
      <c r="O4398">
        <v>0</v>
      </c>
      <c r="P4398">
        <v>2</v>
      </c>
      <c r="Q4398">
        <v>2</v>
      </c>
      <c r="R4398">
        <v>0</v>
      </c>
      <c r="S4398">
        <v>2</v>
      </c>
      <c r="T4398">
        <v>0</v>
      </c>
      <c r="U4398" t="s">
        <v>25116</v>
      </c>
      <c r="V4398">
        <f>Tabla1[[#This Row],[Aboard]]-Tabla1[[#This Row],[Fatalities]]</f>
        <v>0</v>
      </c>
      <c r="W4398" s="50">
        <f>IFERROR(Tabla1[[#This Row],[Fatalities]]/Tabla1[[#This Row],[Aboard]],0)</f>
        <v>1</v>
      </c>
      <c r="X4398" s="51" t="str" cm="1">
        <f t="array" ref="X4398">_xlfn.IFS(Tabla1[[#This Row],[Porcentaje de muertes]]&lt;0.35,"LEVE",AND(Tabla1[[#This Row],[Porcentaje de muertes]]&gt;0.35,Tabla1[[#This Row],[Porcentaje de muertes]]&lt;0.65),"MEDIO",Tabla1[[#This Row],[Porcentaje de muertes]]&gt;0.65,"GRAVE")</f>
        <v>GRAVE</v>
      </c>
    </row>
    <row r="4399" spans="2:24" x14ac:dyDescent="0.3">
      <c r="B4399" s="9">
        <v>4399</v>
      </c>
      <c r="C4399" s="49">
        <v>37571</v>
      </c>
      <c r="D4399" s="9">
        <f>YEAR(Tabla1[[#This Row],[Date]])</f>
        <v>2002</v>
      </c>
      <c r="E4399" s="9" t="str" cm="1">
        <f t="array" ref="E4399">IFERROR(_xlfn.IFS(AND(D4399&lt;1980,D4399&gt;=1970),"70",AND(D4399&lt;1990,D4399&gt;=1980),"80",AND(D4399&lt;2000,D4399&gt;=1990),"90",AND(D4399&lt;2010,D4399&gt;=2000),"00",AND(D4399&lt;=2019,D4399&gt;=2010),"10"),"1908-1970")</f>
        <v>00</v>
      </c>
      <c r="F4399" s="3">
        <v>0.25625000000000003</v>
      </c>
      <c r="G4399" t="s">
        <v>12372</v>
      </c>
      <c r="H4399" t="s">
        <v>25117</v>
      </c>
      <c r="I4399">
        <v>585</v>
      </c>
      <c r="J4399" t="s">
        <v>25118</v>
      </c>
      <c r="K4399" t="s">
        <v>25119</v>
      </c>
      <c r="L4399" s="7" t="s">
        <v>25120</v>
      </c>
      <c r="M4399">
        <v>10571</v>
      </c>
      <c r="N4399">
        <v>34</v>
      </c>
      <c r="O4399">
        <v>29</v>
      </c>
      <c r="P4399">
        <v>5</v>
      </c>
      <c r="Q4399">
        <v>19</v>
      </c>
      <c r="R4399">
        <v>18</v>
      </c>
      <c r="S4399">
        <v>1</v>
      </c>
      <c r="T4399">
        <v>0</v>
      </c>
      <c r="U4399" t="s">
        <v>25121</v>
      </c>
      <c r="V4399">
        <f>Tabla1[[#This Row],[Aboard]]-Tabla1[[#This Row],[Fatalities]]</f>
        <v>15</v>
      </c>
      <c r="W4399" s="50">
        <f>IFERROR(Tabla1[[#This Row],[Fatalities]]/Tabla1[[#This Row],[Aboard]],0)</f>
        <v>0.55882352941176472</v>
      </c>
      <c r="X4399" s="51" t="str" cm="1">
        <f t="array" ref="X4399">_xlfn.IFS(Tabla1[[#This Row],[Porcentaje de muertes]]&lt;0.35,"LEVE",AND(Tabla1[[#This Row],[Porcentaje de muertes]]&gt;0.35,Tabla1[[#This Row],[Porcentaje de muertes]]&lt;0.65),"MEDIO",Tabla1[[#This Row],[Porcentaje de muertes]]&gt;0.65,"GRAVE")</f>
        <v>MEDIO</v>
      </c>
    </row>
    <row r="4400" spans="2:24" x14ac:dyDescent="0.3">
      <c r="B4400" s="9">
        <v>4400</v>
      </c>
      <c r="C4400" s="49">
        <v>37588</v>
      </c>
      <c r="D4400" s="9">
        <f>YEAR(Tabla1[[#This Row],[Date]])</f>
        <v>2002</v>
      </c>
      <c r="E4400" s="9" t="str" cm="1">
        <f t="array" ref="E4400">IFERROR(_xlfn.IFS(AND(D4400&lt;1980,D4400&gt;=1970),"70",AND(D4400&lt;1990,D4400&gt;=1980),"80",AND(D4400&lt;2000,D4400&gt;=1990),"90",AND(D4400&lt;2010,D4400&gt;=2000),"00",AND(D4400&lt;=2019,D4400&gt;=2010),"10"),"1908-1970")</f>
        <v>00</v>
      </c>
      <c r="F4400" s="3">
        <v>0.59375</v>
      </c>
      <c r="G4400" t="s">
        <v>25122</v>
      </c>
      <c r="H4400" t="s">
        <v>12037</v>
      </c>
      <c r="I4400" t="s">
        <v>8152</v>
      </c>
      <c r="J4400" t="s">
        <v>25123</v>
      </c>
      <c r="K4400" t="s">
        <v>25124</v>
      </c>
      <c r="L4400" s="7" t="s">
        <v>25125</v>
      </c>
      <c r="M4400">
        <v>871812</v>
      </c>
      <c r="N4400">
        <v>20</v>
      </c>
      <c r="O4400">
        <v>18</v>
      </c>
      <c r="P4400">
        <v>2</v>
      </c>
      <c r="Q4400">
        <v>1</v>
      </c>
      <c r="R4400">
        <v>0</v>
      </c>
      <c r="S4400">
        <v>1</v>
      </c>
      <c r="T4400">
        <v>0</v>
      </c>
      <c r="U4400" t="s">
        <v>25126</v>
      </c>
      <c r="V4400">
        <f>Tabla1[[#This Row],[Aboard]]-Tabla1[[#This Row],[Fatalities]]</f>
        <v>19</v>
      </c>
      <c r="W4400" s="50">
        <f>IFERROR(Tabla1[[#This Row],[Fatalities]]/Tabla1[[#This Row],[Aboard]],0)</f>
        <v>0.05</v>
      </c>
      <c r="X4400" s="51" t="str" cm="1">
        <f t="array" ref="X4400">_xlfn.IFS(Tabla1[[#This Row],[Porcentaje de muertes]]&lt;0.35,"LEVE",AND(Tabla1[[#This Row],[Porcentaje de muertes]]&gt;0.35,Tabla1[[#This Row],[Porcentaje de muertes]]&lt;0.65),"MEDIO",Tabla1[[#This Row],[Porcentaje de muertes]]&gt;0.65,"GRAVE")</f>
        <v>LEVE</v>
      </c>
    </row>
    <row r="4401" spans="2:24" x14ac:dyDescent="0.3">
      <c r="B4401" s="9">
        <v>4401</v>
      </c>
      <c r="C4401" s="49">
        <v>37603</v>
      </c>
      <c r="D4401" s="9">
        <f>YEAR(Tabla1[[#This Row],[Date]])</f>
        <v>2002</v>
      </c>
      <c r="E4401" s="9" t="str" cm="1">
        <f t="array" ref="E4401">IFERROR(_xlfn.IFS(AND(D4401&lt;1980,D4401&gt;=1970),"70",AND(D4401&lt;1990,D4401&gt;=1980),"80",AND(D4401&lt;2000,D4401&gt;=1990),"90",AND(D4401&lt;2010,D4401&gt;=2000),"00",AND(D4401&lt;=2019,D4401&gt;=2010),"10"),"1908-1970")</f>
        <v>00</v>
      </c>
      <c r="F4401" s="3" t="s">
        <v>28931</v>
      </c>
      <c r="G4401" t="s">
        <v>25127</v>
      </c>
      <c r="H4401" t="s">
        <v>25128</v>
      </c>
      <c r="I4401" t="s">
        <v>28931</v>
      </c>
      <c r="J4401" t="s">
        <v>25129</v>
      </c>
      <c r="K4401" t="s">
        <v>23168</v>
      </c>
      <c r="L4401" s="7" t="s">
        <v>25130</v>
      </c>
      <c r="M4401">
        <v>140</v>
      </c>
      <c r="N4401">
        <v>8</v>
      </c>
      <c r="O4401">
        <v>7</v>
      </c>
      <c r="P4401">
        <v>1</v>
      </c>
      <c r="Q4401">
        <v>8</v>
      </c>
      <c r="R4401">
        <v>7</v>
      </c>
      <c r="S4401">
        <v>1</v>
      </c>
      <c r="T4401">
        <v>0</v>
      </c>
      <c r="U4401" t="s">
        <v>25131</v>
      </c>
      <c r="V4401">
        <f>Tabla1[[#This Row],[Aboard]]-Tabla1[[#This Row],[Fatalities]]</f>
        <v>0</v>
      </c>
      <c r="W4401" s="50">
        <f>IFERROR(Tabla1[[#This Row],[Fatalities]]/Tabla1[[#This Row],[Aboard]],0)</f>
        <v>1</v>
      </c>
      <c r="X4401" s="51" t="str" cm="1">
        <f t="array" ref="X4401">_xlfn.IFS(Tabla1[[#This Row],[Porcentaje de muertes]]&lt;0.35,"LEVE",AND(Tabla1[[#This Row],[Porcentaje de muertes]]&gt;0.35,Tabla1[[#This Row],[Porcentaje de muertes]]&lt;0.65),"MEDIO",Tabla1[[#This Row],[Porcentaje de muertes]]&gt;0.65,"GRAVE")</f>
        <v>GRAVE</v>
      </c>
    </row>
    <row r="4402" spans="2:24" x14ac:dyDescent="0.3">
      <c r="B4402" s="9">
        <v>4402</v>
      </c>
      <c r="C4402" s="49">
        <v>37607</v>
      </c>
      <c r="D4402" s="9">
        <f>YEAR(Tabla1[[#This Row],[Date]])</f>
        <v>2002</v>
      </c>
      <c r="E4402" s="9" t="str" cm="1">
        <f t="array" ref="E4402">IFERROR(_xlfn.IFS(AND(D4402&lt;1980,D4402&gt;=1970),"70",AND(D4402&lt;1990,D4402&gt;=1980),"80",AND(D4402&lt;2000,D4402&gt;=1990),"90",AND(D4402&lt;2010,D4402&gt;=2000),"00",AND(D4402&lt;=2019,D4402&gt;=2010),"10"),"1908-1970")</f>
        <v>00</v>
      </c>
      <c r="F4402" s="3">
        <v>0.95208333333333339</v>
      </c>
      <c r="G4402" t="s">
        <v>25132</v>
      </c>
      <c r="H4402" t="s">
        <v>25133</v>
      </c>
      <c r="I4402">
        <v>1627</v>
      </c>
      <c r="J4402" t="s">
        <v>25134</v>
      </c>
      <c r="K4402" t="s">
        <v>21232</v>
      </c>
      <c r="L4402" s="7" t="s">
        <v>25135</v>
      </c>
      <c r="M4402" t="s">
        <v>25136</v>
      </c>
      <c r="N4402">
        <v>1</v>
      </c>
      <c r="O4402">
        <v>0</v>
      </c>
      <c r="P4402">
        <v>1</v>
      </c>
      <c r="Q4402">
        <v>1</v>
      </c>
      <c r="R4402">
        <v>0</v>
      </c>
      <c r="S4402">
        <v>1</v>
      </c>
      <c r="T4402">
        <v>0</v>
      </c>
      <c r="U4402" t="s">
        <v>25137</v>
      </c>
      <c r="V4402">
        <f>Tabla1[[#This Row],[Aboard]]-Tabla1[[#This Row],[Fatalities]]</f>
        <v>0</v>
      </c>
      <c r="W4402" s="50">
        <f>IFERROR(Tabla1[[#This Row],[Fatalities]]/Tabla1[[#This Row],[Aboard]],0)</f>
        <v>1</v>
      </c>
      <c r="X4402" s="51" t="str" cm="1">
        <f t="array" ref="X4402">_xlfn.IFS(Tabla1[[#This Row],[Porcentaje de muertes]]&lt;0.35,"LEVE",AND(Tabla1[[#This Row],[Porcentaje de muertes]]&gt;0.35,Tabla1[[#This Row],[Porcentaje de muertes]]&lt;0.65),"MEDIO",Tabla1[[#This Row],[Porcentaje de muertes]]&gt;0.65,"GRAVE")</f>
        <v>GRAVE</v>
      </c>
    </row>
    <row r="4403" spans="2:24" x14ac:dyDescent="0.3">
      <c r="B4403" s="9">
        <v>4403</v>
      </c>
      <c r="C4403" s="49">
        <v>37611</v>
      </c>
      <c r="D4403" s="9">
        <f>YEAR(Tabla1[[#This Row],[Date]])</f>
        <v>2002</v>
      </c>
      <c r="E4403" s="9" t="str" cm="1">
        <f t="array" ref="E4403">IFERROR(_xlfn.IFS(AND(D4403&lt;1980,D4403&gt;=1970),"70",AND(D4403&lt;1990,D4403&gt;=1980),"80",AND(D4403&lt;2000,D4403&gt;=1990),"90",AND(D4403&lt;2010,D4403&gt;=2000),"00",AND(D4403&lt;=2019,D4403&gt;=2010),"10"),"1908-1970")</f>
        <v>00</v>
      </c>
      <c r="F4403" s="3">
        <v>7.7777777777777779E-2</v>
      </c>
      <c r="G4403" t="s">
        <v>25138</v>
      </c>
      <c r="H4403" t="s">
        <v>25139</v>
      </c>
      <c r="I4403">
        <v>791</v>
      </c>
      <c r="J4403" t="s">
        <v>25140</v>
      </c>
      <c r="K4403" t="s">
        <v>28936</v>
      </c>
      <c r="L4403" s="7" t="s">
        <v>25141</v>
      </c>
      <c r="M4403">
        <v>322</v>
      </c>
      <c r="N4403">
        <v>2</v>
      </c>
      <c r="O4403">
        <v>0</v>
      </c>
      <c r="P4403">
        <v>2</v>
      </c>
      <c r="Q4403">
        <v>2</v>
      </c>
      <c r="R4403">
        <v>0</v>
      </c>
      <c r="S4403">
        <v>2</v>
      </c>
      <c r="T4403">
        <v>0</v>
      </c>
      <c r="U4403" t="s">
        <v>25142</v>
      </c>
      <c r="V4403">
        <f>Tabla1[[#This Row],[Aboard]]-Tabla1[[#This Row],[Fatalities]]</f>
        <v>0</v>
      </c>
      <c r="W4403" s="50">
        <f>IFERROR(Tabla1[[#This Row],[Fatalities]]/Tabla1[[#This Row],[Aboard]],0)</f>
        <v>1</v>
      </c>
      <c r="X4403" s="51" t="str" cm="1">
        <f t="array" ref="X4403">_xlfn.IFS(Tabla1[[#This Row],[Porcentaje de muertes]]&lt;0.35,"LEVE",AND(Tabla1[[#This Row],[Porcentaje de muertes]]&gt;0.35,Tabla1[[#This Row],[Porcentaje de muertes]]&lt;0.65),"MEDIO",Tabla1[[#This Row],[Porcentaje de muertes]]&gt;0.65,"GRAVE")</f>
        <v>GRAVE</v>
      </c>
    </row>
    <row r="4404" spans="2:24" x14ac:dyDescent="0.3">
      <c r="B4404" s="9">
        <v>4404</v>
      </c>
      <c r="C4404" s="49">
        <v>37613</v>
      </c>
      <c r="D4404" s="9">
        <f>YEAR(Tabla1[[#This Row],[Date]])</f>
        <v>2002</v>
      </c>
      <c r="E4404" s="9" t="str" cm="1">
        <f t="array" ref="E4404">IFERROR(_xlfn.IFS(AND(D4404&lt;1980,D4404&gt;=1970),"70",AND(D4404&lt;1990,D4404&gt;=1980),"80",AND(D4404&lt;2000,D4404&gt;=1990),"90",AND(D4404&lt;2010,D4404&gt;=2000),"00",AND(D4404&lt;=2019,D4404&gt;=2010),"10"),"1908-1970")</f>
        <v>00</v>
      </c>
      <c r="F4404" s="3">
        <v>0.8125</v>
      </c>
      <c r="G4404" t="s">
        <v>25143</v>
      </c>
      <c r="H4404" t="s">
        <v>25144</v>
      </c>
      <c r="I4404">
        <v>2137</v>
      </c>
      <c r="J4404" t="s">
        <v>25145</v>
      </c>
      <c r="K4404" t="s">
        <v>25146</v>
      </c>
      <c r="L4404" s="7" t="s">
        <v>25147</v>
      </c>
      <c r="M4404">
        <v>204</v>
      </c>
      <c r="N4404">
        <v>44</v>
      </c>
      <c r="O4404">
        <v>38</v>
      </c>
      <c r="P4404">
        <v>6</v>
      </c>
      <c r="Q4404">
        <v>44</v>
      </c>
      <c r="R4404">
        <v>38</v>
      </c>
      <c r="S4404">
        <v>6</v>
      </c>
      <c r="T4404">
        <v>0</v>
      </c>
      <c r="U4404" t="s">
        <v>25148</v>
      </c>
      <c r="V4404">
        <f>Tabla1[[#This Row],[Aboard]]-Tabla1[[#This Row],[Fatalities]]</f>
        <v>0</v>
      </c>
      <c r="W4404" s="50">
        <f>IFERROR(Tabla1[[#This Row],[Fatalities]]/Tabla1[[#This Row],[Aboard]],0)</f>
        <v>1</v>
      </c>
      <c r="X4404" s="51" t="str" cm="1">
        <f t="array" ref="X4404">_xlfn.IFS(Tabla1[[#This Row],[Porcentaje de muertes]]&lt;0.35,"LEVE",AND(Tabla1[[#This Row],[Porcentaje de muertes]]&gt;0.35,Tabla1[[#This Row],[Porcentaje de muertes]]&lt;0.65),"MEDIO",Tabla1[[#This Row],[Porcentaje de muertes]]&gt;0.65,"GRAVE")</f>
        <v>GRAVE</v>
      </c>
    </row>
    <row r="4405" spans="2:24" x14ac:dyDescent="0.3">
      <c r="B4405" s="9">
        <v>4405</v>
      </c>
      <c r="C4405" s="49">
        <v>37616</v>
      </c>
      <c r="D4405" s="9">
        <f>YEAR(Tabla1[[#This Row],[Date]])</f>
        <v>2002</v>
      </c>
      <c r="E4405" s="9" t="str" cm="1">
        <f t="array" ref="E4405">IFERROR(_xlfn.IFS(AND(D4405&lt;1980,D4405&gt;=1970),"70",AND(D4405&lt;1990,D4405&gt;=1980),"80",AND(D4405&lt;2000,D4405&gt;=1990),"90",AND(D4405&lt;2010,D4405&gt;=2000),"00",AND(D4405&lt;=2019,D4405&gt;=2010),"10"),"1908-1970")</f>
        <v>00</v>
      </c>
      <c r="F4405" s="3">
        <v>0.47222222222222227</v>
      </c>
      <c r="G4405" t="s">
        <v>12388</v>
      </c>
      <c r="H4405" t="s">
        <v>9398</v>
      </c>
      <c r="I4405" t="s">
        <v>28931</v>
      </c>
      <c r="J4405" t="s">
        <v>9866</v>
      </c>
      <c r="K4405" t="s">
        <v>25149</v>
      </c>
      <c r="L4405" s="7" t="s">
        <v>25150</v>
      </c>
      <c r="M4405">
        <v>174</v>
      </c>
      <c r="N4405">
        <v>16</v>
      </c>
      <c r="O4405">
        <v>13</v>
      </c>
      <c r="P4405">
        <v>3</v>
      </c>
      <c r="Q4405">
        <v>3</v>
      </c>
      <c r="R4405">
        <v>2</v>
      </c>
      <c r="S4405">
        <v>1</v>
      </c>
      <c r="T4405">
        <v>0</v>
      </c>
      <c r="U4405" t="s">
        <v>25151</v>
      </c>
      <c r="V4405">
        <f>Tabla1[[#This Row],[Aboard]]-Tabla1[[#This Row],[Fatalities]]</f>
        <v>13</v>
      </c>
      <c r="W4405" s="50">
        <f>IFERROR(Tabla1[[#This Row],[Fatalities]]/Tabla1[[#This Row],[Aboard]],0)</f>
        <v>0.1875</v>
      </c>
      <c r="X4405" s="51" t="str" cm="1">
        <f t="array" ref="X4405">_xlfn.IFS(Tabla1[[#This Row],[Porcentaje de muertes]]&lt;0.35,"LEVE",AND(Tabla1[[#This Row],[Porcentaje de muertes]]&gt;0.35,Tabla1[[#This Row],[Porcentaje de muertes]]&lt;0.65),"MEDIO",Tabla1[[#This Row],[Porcentaje de muertes]]&gt;0.65,"GRAVE")</f>
        <v>LEVE</v>
      </c>
    </row>
    <row r="4406" spans="2:24" x14ac:dyDescent="0.3">
      <c r="B4406" s="9">
        <v>4406</v>
      </c>
      <c r="C4406" s="49">
        <v>37617</v>
      </c>
      <c r="D4406" s="9">
        <f>YEAR(Tabla1[[#This Row],[Date]])</f>
        <v>2002</v>
      </c>
      <c r="E4406" s="9" t="str" cm="1">
        <f t="array" ref="E4406">IFERROR(_xlfn.IFS(AND(D4406&lt;1980,D4406&gt;=1970),"70",AND(D4406&lt;1990,D4406&gt;=1980),"80",AND(D4406&lt;2000,D4406&gt;=1990),"90",AND(D4406&lt;2010,D4406&gt;=2000),"00",AND(D4406&lt;=2019,D4406&gt;=2010),"10"),"1908-1970")</f>
        <v>00</v>
      </c>
      <c r="F4406" s="3">
        <v>0.625</v>
      </c>
      <c r="G4406" t="s">
        <v>25152</v>
      </c>
      <c r="H4406" t="s">
        <v>25153</v>
      </c>
      <c r="I4406" t="s">
        <v>28931</v>
      </c>
      <c r="J4406" t="s">
        <v>25154</v>
      </c>
      <c r="K4406" t="s">
        <v>20760</v>
      </c>
      <c r="L4406" s="7" t="s">
        <v>25155</v>
      </c>
      <c r="M4406">
        <v>810636</v>
      </c>
      <c r="N4406">
        <v>16</v>
      </c>
      <c r="O4406">
        <v>14</v>
      </c>
      <c r="P4406">
        <v>2</v>
      </c>
      <c r="Q4406">
        <v>1</v>
      </c>
      <c r="R4406">
        <v>1</v>
      </c>
      <c r="S4406">
        <v>0</v>
      </c>
      <c r="T4406">
        <v>0</v>
      </c>
      <c r="U4406" t="s">
        <v>25156</v>
      </c>
      <c r="V4406">
        <f>Tabla1[[#This Row],[Aboard]]-Tabla1[[#This Row],[Fatalities]]</f>
        <v>15</v>
      </c>
      <c r="W4406" s="50">
        <f>IFERROR(Tabla1[[#This Row],[Fatalities]]/Tabla1[[#This Row],[Aboard]],0)</f>
        <v>6.25E-2</v>
      </c>
      <c r="X4406" s="51" t="str" cm="1">
        <f t="array" ref="X4406">_xlfn.IFS(Tabla1[[#This Row],[Porcentaje de muertes]]&lt;0.35,"LEVE",AND(Tabla1[[#This Row],[Porcentaje de muertes]]&gt;0.35,Tabla1[[#This Row],[Porcentaje de muertes]]&lt;0.65),"MEDIO",Tabla1[[#This Row],[Porcentaje de muertes]]&gt;0.65,"GRAVE")</f>
        <v>LEVE</v>
      </c>
    </row>
    <row r="4407" spans="2:24" x14ac:dyDescent="0.3">
      <c r="B4407" s="9">
        <v>4407</v>
      </c>
      <c r="C4407" s="49">
        <v>37834</v>
      </c>
      <c r="D4407" s="9">
        <f>YEAR(Tabla1[[#This Row],[Date]])</f>
        <v>2003</v>
      </c>
      <c r="E4407" s="9" t="str" cm="1">
        <f t="array" ref="E4407">IFERROR(_xlfn.IFS(AND(D4407&lt;1980,D4407&gt;=1970),"70",AND(D4407&lt;1990,D4407&gt;=1980),"80",AND(D4407&lt;2000,D4407&gt;=1990),"90",AND(D4407&lt;2010,D4407&gt;=2000),"00",AND(D4407&lt;=2019,D4407&gt;=2010),"10"),"1908-1970")</f>
        <v>00</v>
      </c>
      <c r="F4407" s="3">
        <v>0.37013888888888885</v>
      </c>
      <c r="G4407" t="s">
        <v>22560</v>
      </c>
      <c r="H4407" t="s">
        <v>25157</v>
      </c>
      <c r="I4407">
        <v>5481</v>
      </c>
      <c r="J4407" t="s">
        <v>25158</v>
      </c>
      <c r="K4407" t="s">
        <v>25159</v>
      </c>
      <c r="L4407" s="7" t="s">
        <v>25160</v>
      </c>
      <c r="M4407" t="s">
        <v>25161</v>
      </c>
      <c r="N4407">
        <v>21</v>
      </c>
      <c r="O4407">
        <v>19</v>
      </c>
      <c r="P4407">
        <v>2</v>
      </c>
      <c r="Q4407">
        <v>21</v>
      </c>
      <c r="R4407">
        <v>19</v>
      </c>
      <c r="S4407">
        <v>2</v>
      </c>
      <c r="T4407">
        <v>0</v>
      </c>
      <c r="U4407" t="s">
        <v>25162</v>
      </c>
      <c r="V4407">
        <f>Tabla1[[#This Row],[Aboard]]-Tabla1[[#This Row],[Fatalities]]</f>
        <v>0</v>
      </c>
      <c r="W4407" s="50">
        <f>IFERROR(Tabla1[[#This Row],[Fatalities]]/Tabla1[[#This Row],[Aboard]],0)</f>
        <v>1</v>
      </c>
      <c r="X4407" s="51" t="str" cm="1">
        <f t="array" ref="X4407">_xlfn.IFS(Tabla1[[#This Row],[Porcentaje de muertes]]&lt;0.35,"LEVE",AND(Tabla1[[#This Row],[Porcentaje de muertes]]&gt;0.35,Tabla1[[#This Row],[Porcentaje de muertes]]&lt;0.65),"MEDIO",Tabla1[[#This Row],[Porcentaje de muertes]]&gt;0.65,"GRAVE")</f>
        <v>GRAVE</v>
      </c>
    </row>
    <row r="4408" spans="2:24" x14ac:dyDescent="0.3">
      <c r="B4408" s="9">
        <v>4408</v>
      </c>
      <c r="C4408" s="49">
        <v>37834</v>
      </c>
      <c r="D4408" s="9">
        <f>YEAR(Tabla1[[#This Row],[Date]])</f>
        <v>2003</v>
      </c>
      <c r="E4408" s="9" t="str" cm="1">
        <f t="array" ref="E4408">IFERROR(_xlfn.IFS(AND(D4408&lt;1980,D4408&gt;=1970),"70",AND(D4408&lt;1990,D4408&gt;=1980),"80",AND(D4408&lt;2000,D4408&gt;=1990),"90",AND(D4408&lt;2010,D4408&gt;=2000),"00",AND(D4408&lt;=2019,D4408&gt;=2010),"10"),"1908-1970")</f>
        <v>00</v>
      </c>
      <c r="F4408" s="3">
        <v>0.85277777777777775</v>
      </c>
      <c r="G4408" t="s">
        <v>25163</v>
      </c>
      <c r="H4408" t="s">
        <v>12613</v>
      </c>
      <c r="I4408">
        <v>634</v>
      </c>
      <c r="J4408" t="s">
        <v>25164</v>
      </c>
      <c r="K4408" t="s">
        <v>25165</v>
      </c>
      <c r="L4408" s="7" t="s">
        <v>25166</v>
      </c>
      <c r="M4408" t="s">
        <v>25167</v>
      </c>
      <c r="N4408">
        <v>80</v>
      </c>
      <c r="O4408">
        <v>75</v>
      </c>
      <c r="P4408">
        <v>5</v>
      </c>
      <c r="Q4408">
        <v>75</v>
      </c>
      <c r="R4408">
        <v>71</v>
      </c>
      <c r="S4408">
        <v>4</v>
      </c>
      <c r="T4408">
        <v>0</v>
      </c>
      <c r="U4408" t="s">
        <v>25168</v>
      </c>
      <c r="V4408">
        <f>Tabla1[[#This Row],[Aboard]]-Tabla1[[#This Row],[Fatalities]]</f>
        <v>5</v>
      </c>
      <c r="W4408" s="50">
        <f>IFERROR(Tabla1[[#This Row],[Fatalities]]/Tabla1[[#This Row],[Aboard]],0)</f>
        <v>0.9375</v>
      </c>
      <c r="X4408" s="51" t="str" cm="1">
        <f t="array" ref="X4408">_xlfn.IFS(Tabla1[[#This Row],[Porcentaje de muertes]]&lt;0.35,"LEVE",AND(Tabla1[[#This Row],[Porcentaje de muertes]]&gt;0.35,Tabla1[[#This Row],[Porcentaje de muertes]]&lt;0.65),"MEDIO",Tabla1[[#This Row],[Porcentaje de muertes]]&gt;0.65,"GRAVE")</f>
        <v>GRAVE</v>
      </c>
    </row>
    <row r="4409" spans="2:24" x14ac:dyDescent="0.3">
      <c r="B4409" s="9">
        <v>4409</v>
      </c>
      <c r="C4409" s="49">
        <v>37865</v>
      </c>
      <c r="D4409" s="9">
        <f>YEAR(Tabla1[[#This Row],[Date]])</f>
        <v>2003</v>
      </c>
      <c r="E4409" s="9" t="str" cm="1">
        <f t="array" ref="E4409">IFERROR(_xlfn.IFS(AND(D4409&lt;1980,D4409&gt;=1970),"70",AND(D4409&lt;1990,D4409&gt;=1980),"80",AND(D4409&lt;2000,D4409&gt;=1990),"90",AND(D4409&lt;2010,D4409&gt;=2000),"00",AND(D4409&lt;=2019,D4409&gt;=2010),"10"),"1908-1970")</f>
        <v>00</v>
      </c>
      <c r="F4409" s="3">
        <v>0.36319444444444443</v>
      </c>
      <c r="G4409" t="s">
        <v>25169</v>
      </c>
      <c r="H4409" t="s">
        <v>25170</v>
      </c>
      <c r="I4409">
        <v>222</v>
      </c>
      <c r="J4409" t="s">
        <v>25171</v>
      </c>
      <c r="K4409" t="s">
        <v>25172</v>
      </c>
      <c r="L4409" s="7" t="s">
        <v>25173</v>
      </c>
      <c r="M4409">
        <v>11100</v>
      </c>
      <c r="N4409">
        <v>46</v>
      </c>
      <c r="O4409">
        <v>42</v>
      </c>
      <c r="P4409">
        <v>4</v>
      </c>
      <c r="Q4409">
        <v>46</v>
      </c>
      <c r="R4409">
        <v>42</v>
      </c>
      <c r="S4409">
        <v>4</v>
      </c>
      <c r="T4409">
        <v>0</v>
      </c>
      <c r="U4409" t="s">
        <v>25174</v>
      </c>
      <c r="V4409">
        <f>Tabla1[[#This Row],[Aboard]]-Tabla1[[#This Row],[Fatalities]]</f>
        <v>0</v>
      </c>
      <c r="W4409" s="50">
        <f>IFERROR(Tabla1[[#This Row],[Fatalities]]/Tabla1[[#This Row],[Aboard]],0)</f>
        <v>1</v>
      </c>
      <c r="X4409" s="51" t="str" cm="1">
        <f t="array" ref="X4409">_xlfn.IFS(Tabla1[[#This Row],[Porcentaje de muertes]]&lt;0.35,"LEVE",AND(Tabla1[[#This Row],[Porcentaje de muertes]]&gt;0.35,Tabla1[[#This Row],[Porcentaje de muertes]]&lt;0.65),"MEDIO",Tabla1[[#This Row],[Porcentaje de muertes]]&gt;0.65,"GRAVE")</f>
        <v>GRAVE</v>
      </c>
    </row>
    <row r="4410" spans="2:24" x14ac:dyDescent="0.3">
      <c r="B4410" s="9">
        <v>4410</v>
      </c>
      <c r="C4410" s="49">
        <v>37638</v>
      </c>
      <c r="D4410" s="9">
        <f>YEAR(Tabla1[[#This Row],[Date]])</f>
        <v>2003</v>
      </c>
      <c r="E4410" s="9" t="str" cm="1">
        <f t="array" ref="E4410">IFERROR(_xlfn.IFS(AND(D4410&lt;1980,D4410&gt;=1970),"70",AND(D4410&lt;1990,D4410&gt;=1980),"80",AND(D4410&lt;2000,D4410&gt;=1990),"90",AND(D4410&lt;2010,D4410&gt;=2000),"00",AND(D4410&lt;=2019,D4410&gt;=2010),"10"),"1908-1970")</f>
        <v>00</v>
      </c>
      <c r="F4410" s="3" t="s">
        <v>28931</v>
      </c>
      <c r="G4410" t="s">
        <v>25175</v>
      </c>
      <c r="H4410" t="s">
        <v>25176</v>
      </c>
      <c r="I4410" t="s">
        <v>28931</v>
      </c>
      <c r="J4410" t="s">
        <v>25177</v>
      </c>
      <c r="K4410" t="s">
        <v>25178</v>
      </c>
      <c r="L4410" s="7" t="s">
        <v>25179</v>
      </c>
      <c r="M4410">
        <v>89901508</v>
      </c>
      <c r="N4410">
        <v>7</v>
      </c>
      <c r="O4410">
        <v>5</v>
      </c>
      <c r="P4410">
        <v>2</v>
      </c>
      <c r="Q4410">
        <v>7</v>
      </c>
      <c r="R4410">
        <v>5</v>
      </c>
      <c r="S4410">
        <v>2</v>
      </c>
      <c r="T4410">
        <v>0</v>
      </c>
      <c r="U4410" t="s">
        <v>25180</v>
      </c>
      <c r="V4410">
        <f>Tabla1[[#This Row],[Aboard]]-Tabla1[[#This Row],[Fatalities]]</f>
        <v>0</v>
      </c>
      <c r="W4410" s="50">
        <f>IFERROR(Tabla1[[#This Row],[Fatalities]]/Tabla1[[#This Row],[Aboard]],0)</f>
        <v>1</v>
      </c>
      <c r="X4410" s="51" t="str" cm="1">
        <f t="array" ref="X4410">_xlfn.IFS(Tabla1[[#This Row],[Porcentaje de muertes]]&lt;0.35,"LEVE",AND(Tabla1[[#This Row],[Porcentaje de muertes]]&gt;0.35,Tabla1[[#This Row],[Porcentaje de muertes]]&lt;0.65),"MEDIO",Tabla1[[#This Row],[Porcentaje de muertes]]&gt;0.65,"GRAVE")</f>
        <v>GRAVE</v>
      </c>
    </row>
    <row r="4411" spans="2:24" x14ac:dyDescent="0.3">
      <c r="B4411" s="9">
        <v>4411</v>
      </c>
      <c r="C4411" s="49">
        <v>37645</v>
      </c>
      <c r="D4411" s="9">
        <f>YEAR(Tabla1[[#This Row],[Date]])</f>
        <v>2003</v>
      </c>
      <c r="E4411" s="9" t="str" cm="1">
        <f t="array" ref="E4411">IFERROR(_xlfn.IFS(AND(D4411&lt;1980,D4411&gt;=1970),"70",AND(D4411&lt;1990,D4411&gt;=1980),"80",AND(D4411&lt;2000,D4411&gt;=1990),"90",AND(D4411&lt;2010,D4411&gt;=2000),"00",AND(D4411&lt;=2019,D4411&gt;=2010),"10"),"1908-1970")</f>
        <v>00</v>
      </c>
      <c r="F4411" s="3">
        <v>0.69791666666666663</v>
      </c>
      <c r="G4411" t="s">
        <v>25181</v>
      </c>
      <c r="H4411" t="s">
        <v>25182</v>
      </c>
      <c r="I4411" t="s">
        <v>28931</v>
      </c>
      <c r="J4411" t="s">
        <v>25183</v>
      </c>
      <c r="K4411" t="s">
        <v>19868</v>
      </c>
      <c r="L4411" s="7" t="s">
        <v>25184</v>
      </c>
      <c r="M4411">
        <v>158</v>
      </c>
      <c r="N4411">
        <v>13</v>
      </c>
      <c r="O4411">
        <v>11</v>
      </c>
      <c r="P4411">
        <v>2</v>
      </c>
      <c r="Q4411">
        <v>3</v>
      </c>
      <c r="R4411">
        <v>1</v>
      </c>
      <c r="S4411">
        <v>2</v>
      </c>
      <c r="T4411">
        <v>0</v>
      </c>
      <c r="U4411" t="s">
        <v>25185</v>
      </c>
      <c r="V4411">
        <f>Tabla1[[#This Row],[Aboard]]-Tabla1[[#This Row],[Fatalities]]</f>
        <v>10</v>
      </c>
      <c r="W4411" s="50">
        <f>IFERROR(Tabla1[[#This Row],[Fatalities]]/Tabla1[[#This Row],[Aboard]],0)</f>
        <v>0.23076923076923078</v>
      </c>
      <c r="X4411" s="51" t="str" cm="1">
        <f t="array" ref="X4411">_xlfn.IFS(Tabla1[[#This Row],[Porcentaje de muertes]]&lt;0.35,"LEVE",AND(Tabla1[[#This Row],[Porcentaje de muertes]]&gt;0.35,Tabla1[[#This Row],[Porcentaje de muertes]]&lt;0.65),"MEDIO",Tabla1[[#This Row],[Porcentaje de muertes]]&gt;0.65,"GRAVE")</f>
        <v>LEVE</v>
      </c>
    </row>
    <row r="4412" spans="2:24" x14ac:dyDescent="0.3">
      <c r="B4412" s="9">
        <v>4412</v>
      </c>
      <c r="C4412" s="49">
        <v>37652</v>
      </c>
      <c r="D4412" s="9">
        <f>YEAR(Tabla1[[#This Row],[Date]])</f>
        <v>2003</v>
      </c>
      <c r="E4412" s="9" t="str" cm="1">
        <f t="array" ref="E4412">IFERROR(_xlfn.IFS(AND(D4412&lt;1980,D4412&gt;=1970),"70",AND(D4412&lt;1990,D4412&gt;=1980),"80",AND(D4412&lt;2000,D4412&gt;=1990),"90",AND(D4412&lt;2010,D4412&gt;=2000),"00",AND(D4412&lt;=2019,D4412&gt;=2010),"10"),"1908-1970")</f>
        <v>00</v>
      </c>
      <c r="F4412" s="3">
        <v>0.63958333333333328</v>
      </c>
      <c r="G4412" t="s">
        <v>25186</v>
      </c>
      <c r="H4412" t="s">
        <v>25187</v>
      </c>
      <c r="I4412" t="s">
        <v>28931</v>
      </c>
      <c r="J4412" t="s">
        <v>25188</v>
      </c>
      <c r="K4412" t="s">
        <v>25189</v>
      </c>
      <c r="L4412" s="7" t="s">
        <v>25190</v>
      </c>
      <c r="M4412">
        <v>53465941</v>
      </c>
      <c r="N4412">
        <v>6</v>
      </c>
      <c r="O4412">
        <v>2</v>
      </c>
      <c r="P4412">
        <v>4</v>
      </c>
      <c r="Q4412">
        <v>6</v>
      </c>
      <c r="R4412">
        <v>2</v>
      </c>
      <c r="S4412">
        <v>4</v>
      </c>
      <c r="T4412">
        <v>0</v>
      </c>
      <c r="U4412" t="s">
        <v>25191</v>
      </c>
      <c r="V4412">
        <f>Tabla1[[#This Row],[Aboard]]-Tabla1[[#This Row],[Fatalities]]</f>
        <v>0</v>
      </c>
      <c r="W4412" s="50">
        <f>IFERROR(Tabla1[[#This Row],[Fatalities]]/Tabla1[[#This Row],[Aboard]],0)</f>
        <v>1</v>
      </c>
      <c r="X4412" s="51" t="str" cm="1">
        <f t="array" ref="X4412">_xlfn.IFS(Tabla1[[#This Row],[Porcentaje de muertes]]&lt;0.35,"LEVE",AND(Tabla1[[#This Row],[Porcentaje de muertes]]&gt;0.35,Tabla1[[#This Row],[Porcentaje de muertes]]&lt;0.65),"MEDIO",Tabla1[[#This Row],[Porcentaje de muertes]]&gt;0.65,"GRAVE")</f>
        <v>GRAVE</v>
      </c>
    </row>
    <row r="4413" spans="2:24" x14ac:dyDescent="0.3">
      <c r="B4413" s="9">
        <v>4413</v>
      </c>
      <c r="C4413" s="49">
        <v>37804</v>
      </c>
      <c r="D4413" s="9">
        <f>YEAR(Tabla1[[#This Row],[Date]])</f>
        <v>2003</v>
      </c>
      <c r="E4413" s="9" t="str" cm="1">
        <f t="array" ref="E4413">IFERROR(_xlfn.IFS(AND(D4413&lt;1980,D4413&gt;=1970),"70",AND(D4413&lt;1990,D4413&gt;=1980),"80",AND(D4413&lt;2000,D4413&gt;=1990),"90",AND(D4413&lt;2010,D4413&gt;=2000),"00",AND(D4413&lt;=2019,D4413&gt;=2010),"10"),"1908-1970")</f>
        <v>00</v>
      </c>
      <c r="F4413" s="3" t="s">
        <v>28931</v>
      </c>
      <c r="G4413" t="s">
        <v>22615</v>
      </c>
      <c r="H4413" t="s">
        <v>25192</v>
      </c>
      <c r="I4413" t="s">
        <v>28931</v>
      </c>
      <c r="J4413" t="s">
        <v>25193</v>
      </c>
      <c r="K4413" t="s">
        <v>20707</v>
      </c>
      <c r="L4413" s="7" t="s">
        <v>25194</v>
      </c>
      <c r="M4413">
        <v>9346405</v>
      </c>
      <c r="N4413">
        <v>8</v>
      </c>
      <c r="O4413">
        <v>0</v>
      </c>
      <c r="P4413">
        <v>8</v>
      </c>
      <c r="Q4413">
        <v>8</v>
      </c>
      <c r="R4413">
        <v>0</v>
      </c>
      <c r="S4413">
        <v>8</v>
      </c>
      <c r="T4413">
        <v>0</v>
      </c>
      <c r="U4413" t="s">
        <v>25195</v>
      </c>
      <c r="V4413">
        <f>Tabla1[[#This Row],[Aboard]]-Tabla1[[#This Row],[Fatalities]]</f>
        <v>0</v>
      </c>
      <c r="W4413" s="50">
        <f>IFERROR(Tabla1[[#This Row],[Fatalities]]/Tabla1[[#This Row],[Aboard]],0)</f>
        <v>1</v>
      </c>
      <c r="X4413" s="51" t="str" cm="1">
        <f t="array" ref="X4413">_xlfn.IFS(Tabla1[[#This Row],[Porcentaje de muertes]]&lt;0.35,"LEVE",AND(Tabla1[[#This Row],[Porcentaje de muertes]]&gt;0.35,Tabla1[[#This Row],[Porcentaje de muertes]]&lt;0.65),"MEDIO",Tabla1[[#This Row],[Porcentaje de muertes]]&gt;0.65,"GRAVE")</f>
        <v>GRAVE</v>
      </c>
    </row>
    <row r="4414" spans="2:24" x14ac:dyDescent="0.3">
      <c r="B4414" s="9">
        <v>4414</v>
      </c>
      <c r="C4414" s="49">
        <v>37896</v>
      </c>
      <c r="D4414" s="9">
        <f>YEAR(Tabla1[[#This Row],[Date]])</f>
        <v>2003</v>
      </c>
      <c r="E4414" s="9" t="str" cm="1">
        <f t="array" ref="E4414">IFERROR(_xlfn.IFS(AND(D4414&lt;1980,D4414&gt;=1970),"70",AND(D4414&lt;1990,D4414&gt;=1980),"80",AND(D4414&lt;2000,D4414&gt;=1990),"90",AND(D4414&lt;2010,D4414&gt;=2000),"00",AND(D4414&lt;=2019,D4414&gt;=2010),"10"),"1908-1970")</f>
        <v>00</v>
      </c>
      <c r="F4414" s="3">
        <v>0.8208333333333333</v>
      </c>
      <c r="G4414" t="s">
        <v>25196</v>
      </c>
      <c r="H4414" t="s">
        <v>25197</v>
      </c>
      <c r="I4414">
        <v>827</v>
      </c>
      <c r="J4414" t="s">
        <v>5520</v>
      </c>
      <c r="K4414" t="s">
        <v>22071</v>
      </c>
      <c r="L4414" s="7" t="s">
        <v>25198</v>
      </c>
      <c r="M4414" t="s">
        <v>25199</v>
      </c>
      <c r="N4414">
        <v>3</v>
      </c>
      <c r="O4414">
        <v>0</v>
      </c>
      <c r="P4414">
        <v>3</v>
      </c>
      <c r="Q4414">
        <v>2</v>
      </c>
      <c r="R4414">
        <v>0</v>
      </c>
      <c r="S4414">
        <v>2</v>
      </c>
      <c r="T4414">
        <v>0</v>
      </c>
      <c r="U4414" t="s">
        <v>25200</v>
      </c>
      <c r="V4414">
        <f>Tabla1[[#This Row],[Aboard]]-Tabla1[[#This Row],[Fatalities]]</f>
        <v>1</v>
      </c>
      <c r="W4414" s="50">
        <f>IFERROR(Tabla1[[#This Row],[Fatalities]]/Tabla1[[#This Row],[Aboard]],0)</f>
        <v>0.66666666666666663</v>
      </c>
      <c r="X4414" s="51" t="str" cm="1">
        <f t="array" ref="X4414">_xlfn.IFS(Tabla1[[#This Row],[Porcentaje de muertes]]&lt;0.35,"LEVE",AND(Tabla1[[#This Row],[Porcentaje de muertes]]&gt;0.35,Tabla1[[#This Row],[Porcentaje de muertes]]&lt;0.65),"MEDIO",Tabla1[[#This Row],[Porcentaje de muertes]]&gt;0.65,"GRAVE")</f>
        <v>GRAVE</v>
      </c>
    </row>
    <row r="4415" spans="2:24" x14ac:dyDescent="0.3">
      <c r="B4415" s="9">
        <v>4415</v>
      </c>
      <c r="C4415" s="49">
        <v>37668</v>
      </c>
      <c r="D4415" s="9">
        <f>YEAR(Tabla1[[#This Row],[Date]])</f>
        <v>2003</v>
      </c>
      <c r="E4415" s="9" t="str" cm="1">
        <f t="array" ref="E4415">IFERROR(_xlfn.IFS(AND(D4415&lt;1980,D4415&gt;=1970),"70",AND(D4415&lt;1990,D4415&gt;=1980),"80",AND(D4415&lt;2000,D4415&gt;=1990),"90",AND(D4415&lt;2010,D4415&gt;=2000),"00",AND(D4415&lt;=2019,D4415&gt;=2010),"10"),"1908-1970")</f>
        <v>00</v>
      </c>
      <c r="F4415" s="3">
        <v>0.83472222222222225</v>
      </c>
      <c r="G4415" t="s">
        <v>25201</v>
      </c>
      <c r="H4415" t="s">
        <v>25202</v>
      </c>
      <c r="I4415" t="s">
        <v>28931</v>
      </c>
      <c r="J4415" t="s">
        <v>25203</v>
      </c>
      <c r="K4415" t="s">
        <v>25204</v>
      </c>
      <c r="L4415" s="7" t="s">
        <v>25205</v>
      </c>
      <c r="M4415" t="s">
        <v>25206</v>
      </c>
      <c r="N4415">
        <v>7</v>
      </c>
      <c r="O4415">
        <v>6</v>
      </c>
      <c r="P4415">
        <v>1</v>
      </c>
      <c r="Q4415">
        <v>3</v>
      </c>
      <c r="R4415">
        <v>2</v>
      </c>
      <c r="S4415">
        <v>1</v>
      </c>
      <c r="T4415">
        <v>0</v>
      </c>
      <c r="U4415" t="s">
        <v>25207</v>
      </c>
      <c r="V4415">
        <f>Tabla1[[#This Row],[Aboard]]-Tabla1[[#This Row],[Fatalities]]</f>
        <v>4</v>
      </c>
      <c r="W4415" s="50">
        <f>IFERROR(Tabla1[[#This Row],[Fatalities]]/Tabla1[[#This Row],[Aboard]],0)</f>
        <v>0.42857142857142855</v>
      </c>
      <c r="X4415" s="51" t="str" cm="1">
        <f t="array" ref="X4415">_xlfn.IFS(Tabla1[[#This Row],[Porcentaje de muertes]]&lt;0.35,"LEVE",AND(Tabla1[[#This Row],[Porcentaje de muertes]]&gt;0.35,Tabla1[[#This Row],[Porcentaje de muertes]]&lt;0.65),"MEDIO",Tabla1[[#This Row],[Porcentaje de muertes]]&gt;0.65,"GRAVE")</f>
        <v>MEDIO</v>
      </c>
    </row>
    <row r="4416" spans="2:24" x14ac:dyDescent="0.3">
      <c r="B4416" s="9">
        <v>4416</v>
      </c>
      <c r="C4416" s="49">
        <v>37671</v>
      </c>
      <c r="D4416" s="9">
        <f>YEAR(Tabla1[[#This Row],[Date]])</f>
        <v>2003</v>
      </c>
      <c r="E4416" s="9" t="str" cm="1">
        <f t="array" ref="E4416">IFERROR(_xlfn.IFS(AND(D4416&lt;1980,D4416&gt;=1970),"70",AND(D4416&lt;1990,D4416&gt;=1980),"80",AND(D4416&lt;2000,D4416&gt;=1990),"90",AND(D4416&lt;2010,D4416&gt;=2000),"00",AND(D4416&lt;=2019,D4416&gt;=2010),"10"),"1908-1970")</f>
        <v>00</v>
      </c>
      <c r="F4416" s="3">
        <v>0.72916666666666663</v>
      </c>
      <c r="G4416" t="s">
        <v>25208</v>
      </c>
      <c r="H4416" t="s">
        <v>25209</v>
      </c>
      <c r="I4416" t="s">
        <v>28931</v>
      </c>
      <c r="J4416" t="s">
        <v>25210</v>
      </c>
      <c r="K4416" t="s">
        <v>25211</v>
      </c>
      <c r="L4416" s="7" t="s">
        <v>25212</v>
      </c>
      <c r="M4416">
        <v>63471155</v>
      </c>
      <c r="N4416">
        <v>275</v>
      </c>
      <c r="O4416">
        <v>257</v>
      </c>
      <c r="P4416">
        <v>18</v>
      </c>
      <c r="Q4416">
        <v>275</v>
      </c>
      <c r="R4416">
        <v>257</v>
      </c>
      <c r="S4416">
        <v>18</v>
      </c>
      <c r="T4416">
        <v>0</v>
      </c>
      <c r="U4416" t="s">
        <v>25213</v>
      </c>
      <c r="V4416">
        <f>Tabla1[[#This Row],[Aboard]]-Tabla1[[#This Row],[Fatalities]]</f>
        <v>0</v>
      </c>
      <c r="W4416" s="50">
        <f>IFERROR(Tabla1[[#This Row],[Fatalities]]/Tabla1[[#This Row],[Aboard]],0)</f>
        <v>1</v>
      </c>
      <c r="X4416" s="51" t="str" cm="1">
        <f t="array" ref="X4416">_xlfn.IFS(Tabla1[[#This Row],[Porcentaje de muertes]]&lt;0.35,"LEVE",AND(Tabla1[[#This Row],[Porcentaje de muertes]]&gt;0.35,Tabla1[[#This Row],[Porcentaje de muertes]]&lt;0.65),"MEDIO",Tabla1[[#This Row],[Porcentaje de muertes]]&gt;0.65,"GRAVE")</f>
        <v>GRAVE</v>
      </c>
    </row>
    <row r="4417" spans="2:24" x14ac:dyDescent="0.3">
      <c r="B4417" s="9">
        <v>4417</v>
      </c>
      <c r="C4417" s="49">
        <v>37672</v>
      </c>
      <c r="D4417" s="9">
        <f>YEAR(Tabla1[[#This Row],[Date]])</f>
        <v>2003</v>
      </c>
      <c r="E4417" s="9" t="str" cm="1">
        <f t="array" ref="E4417">IFERROR(_xlfn.IFS(AND(D4417&lt;1980,D4417&gt;=1970),"70",AND(D4417&lt;1990,D4417&gt;=1980),"80",AND(D4417&lt;2000,D4417&gt;=1990),"90",AND(D4417&lt;2010,D4417&gt;=2000),"00",AND(D4417&lt;=2019,D4417&gt;=2010),"10"),"1908-1970")</f>
        <v>00</v>
      </c>
      <c r="F4417" s="3">
        <v>0.36944444444444446</v>
      </c>
      <c r="G4417" t="s">
        <v>25214</v>
      </c>
      <c r="H4417" t="s">
        <v>10785</v>
      </c>
      <c r="I4417" t="s">
        <v>8152</v>
      </c>
      <c r="J4417" t="s">
        <v>25215</v>
      </c>
      <c r="K4417" t="s">
        <v>14481</v>
      </c>
      <c r="L4417" s="7">
        <v>10254</v>
      </c>
      <c r="M4417">
        <v>10254</v>
      </c>
      <c r="N4417">
        <v>17</v>
      </c>
      <c r="O4417">
        <v>9</v>
      </c>
      <c r="P4417">
        <v>8</v>
      </c>
      <c r="Q4417">
        <v>17</v>
      </c>
      <c r="R4417">
        <v>9</v>
      </c>
      <c r="S4417">
        <v>8</v>
      </c>
      <c r="T4417">
        <v>0</v>
      </c>
      <c r="U4417" t="s">
        <v>25216</v>
      </c>
      <c r="V4417">
        <f>Tabla1[[#This Row],[Aboard]]-Tabla1[[#This Row],[Fatalities]]</f>
        <v>0</v>
      </c>
      <c r="W4417" s="50">
        <f>IFERROR(Tabla1[[#This Row],[Fatalities]]/Tabla1[[#This Row],[Aboard]],0)</f>
        <v>1</v>
      </c>
      <c r="X4417" s="51" t="str" cm="1">
        <f t="array" ref="X4417">_xlfn.IFS(Tabla1[[#This Row],[Porcentaje de muertes]]&lt;0.35,"LEVE",AND(Tabla1[[#This Row],[Porcentaje de muertes]]&gt;0.35,Tabla1[[#This Row],[Porcentaje de muertes]]&lt;0.65),"MEDIO",Tabla1[[#This Row],[Porcentaje de muertes]]&gt;0.65,"GRAVE")</f>
        <v>GRAVE</v>
      </c>
    </row>
    <row r="4418" spans="2:24" x14ac:dyDescent="0.3">
      <c r="B4418" s="9">
        <v>4418</v>
      </c>
      <c r="C4418" s="49">
        <v>37624</v>
      </c>
      <c r="D4418" s="9">
        <f>YEAR(Tabla1[[#This Row],[Date]])</f>
        <v>2003</v>
      </c>
      <c r="E4418" s="9" t="str" cm="1">
        <f t="array" ref="E4418">IFERROR(_xlfn.IFS(AND(D4418&lt;1980,D4418&gt;=1970),"70",AND(D4418&lt;1990,D4418&gt;=1980),"80",AND(D4418&lt;2000,D4418&gt;=1990),"90",AND(D4418&lt;2010,D4418&gt;=2000),"00",AND(D4418&lt;=2019,D4418&gt;=2010),"10"),"1908-1970")</f>
        <v>00</v>
      </c>
      <c r="F4418" s="3">
        <v>0.60069444444444442</v>
      </c>
      <c r="G4418" t="s">
        <v>25217</v>
      </c>
      <c r="H4418" t="s">
        <v>25218</v>
      </c>
      <c r="I4418" t="s">
        <v>8152</v>
      </c>
      <c r="J4418" t="s">
        <v>25219</v>
      </c>
      <c r="K4418" t="s">
        <v>25220</v>
      </c>
      <c r="L4418" s="7" t="s">
        <v>25221</v>
      </c>
      <c r="M4418">
        <v>831109</v>
      </c>
      <c r="N4418">
        <v>25</v>
      </c>
      <c r="O4418">
        <v>23</v>
      </c>
      <c r="P4418">
        <v>2</v>
      </c>
      <c r="Q4418">
        <v>11</v>
      </c>
      <c r="R4418">
        <v>9</v>
      </c>
      <c r="S4418">
        <v>2</v>
      </c>
      <c r="T4418">
        <v>0</v>
      </c>
      <c r="U4418" t="s">
        <v>25222</v>
      </c>
      <c r="V4418">
        <f>Tabla1[[#This Row],[Aboard]]-Tabla1[[#This Row],[Fatalities]]</f>
        <v>14</v>
      </c>
      <c r="W4418" s="50">
        <f>IFERROR(Tabla1[[#This Row],[Fatalities]]/Tabla1[[#This Row],[Aboard]],0)</f>
        <v>0.44</v>
      </c>
      <c r="X4418" s="51" t="str" cm="1">
        <f t="array" ref="X4418">_xlfn.IFS(Tabla1[[#This Row],[Porcentaje de muertes]]&lt;0.35,"LEVE",AND(Tabla1[[#This Row],[Porcentaje de muertes]]&gt;0.35,Tabla1[[#This Row],[Porcentaje de muertes]]&lt;0.65),"MEDIO",Tabla1[[#This Row],[Porcentaje de muertes]]&gt;0.65,"GRAVE")</f>
        <v>MEDIO</v>
      </c>
    </row>
    <row r="4419" spans="2:24" x14ac:dyDescent="0.3">
      <c r="B4419" s="9">
        <v>4419</v>
      </c>
      <c r="C4419" s="49">
        <v>37775</v>
      </c>
      <c r="D4419" s="9">
        <f>YEAR(Tabla1[[#This Row],[Date]])</f>
        <v>2003</v>
      </c>
      <c r="E4419" s="9" t="str" cm="1">
        <f t="array" ref="E4419">IFERROR(_xlfn.IFS(AND(D4419&lt;1980,D4419&gt;=1970),"70",AND(D4419&lt;1990,D4419&gt;=1980),"80",AND(D4419&lt;2000,D4419&gt;=1990),"90",AND(D4419&lt;2010,D4419&gt;=2000),"00",AND(D4419&lt;=2019,D4419&gt;=2010),"10"),"1908-1970")</f>
        <v>00</v>
      </c>
      <c r="F4419" s="3">
        <v>0.65625</v>
      </c>
      <c r="G4419" t="s">
        <v>14911</v>
      </c>
      <c r="H4419" t="s">
        <v>14912</v>
      </c>
      <c r="I4419">
        <v>6289</v>
      </c>
      <c r="J4419" t="s">
        <v>25223</v>
      </c>
      <c r="K4419" t="s">
        <v>25224</v>
      </c>
      <c r="L4419" s="7" t="s">
        <v>25225</v>
      </c>
      <c r="M4419" t="s">
        <v>25226</v>
      </c>
      <c r="N4419">
        <v>103</v>
      </c>
      <c r="O4419">
        <v>97</v>
      </c>
      <c r="P4419">
        <v>6</v>
      </c>
      <c r="Q4419">
        <v>102</v>
      </c>
      <c r="R4419">
        <v>96</v>
      </c>
      <c r="S4419">
        <v>6</v>
      </c>
      <c r="T4419">
        <v>0</v>
      </c>
      <c r="U4419" t="s">
        <v>25227</v>
      </c>
      <c r="V4419">
        <f>Tabla1[[#This Row],[Aboard]]-Tabla1[[#This Row],[Fatalities]]</f>
        <v>1</v>
      </c>
      <c r="W4419" s="50">
        <f>IFERROR(Tabla1[[#This Row],[Fatalities]]/Tabla1[[#This Row],[Aboard]],0)</f>
        <v>0.99029126213592233</v>
      </c>
      <c r="X4419" s="51" t="str" cm="1">
        <f t="array" ref="X4419">_xlfn.IFS(Tabla1[[#This Row],[Porcentaje de muertes]]&lt;0.35,"LEVE",AND(Tabla1[[#This Row],[Porcentaje de muertes]]&gt;0.35,Tabla1[[#This Row],[Porcentaje de muertes]]&lt;0.65),"MEDIO",Tabla1[[#This Row],[Porcentaje de muertes]]&gt;0.65,"GRAVE")</f>
        <v>GRAVE</v>
      </c>
    </row>
    <row r="4420" spans="2:24" x14ac:dyDescent="0.3">
      <c r="B4420" s="9">
        <v>4420</v>
      </c>
      <c r="C4420" s="49">
        <v>37707</v>
      </c>
      <c r="D4420" s="9">
        <f>YEAR(Tabla1[[#This Row],[Date]])</f>
        <v>2003</v>
      </c>
      <c r="E4420" s="9" t="str" cm="1">
        <f t="array" ref="E4420">IFERROR(_xlfn.IFS(AND(D4420&lt;1980,D4420&gt;=1970),"70",AND(D4420&lt;1990,D4420&gt;=1980),"80",AND(D4420&lt;2000,D4420&gt;=1990),"90",AND(D4420&lt;2010,D4420&gt;=2000),"00",AND(D4420&lt;=2019,D4420&gt;=2010),"10"),"1908-1970")</f>
        <v>00</v>
      </c>
      <c r="F4420" s="3">
        <v>0.52083333333333337</v>
      </c>
      <c r="G4420" t="s">
        <v>19905</v>
      </c>
      <c r="H4420" t="s">
        <v>25228</v>
      </c>
      <c r="I4420" t="s">
        <v>28931</v>
      </c>
      <c r="J4420" t="s">
        <v>25229</v>
      </c>
      <c r="K4420" t="s">
        <v>16459</v>
      </c>
      <c r="L4420" s="7" t="s">
        <v>25230</v>
      </c>
      <c r="M4420">
        <v>261</v>
      </c>
      <c r="N4420">
        <v>16</v>
      </c>
      <c r="O4420">
        <v>14</v>
      </c>
      <c r="P4420">
        <v>2</v>
      </c>
      <c r="Q4420">
        <v>4</v>
      </c>
      <c r="R4420">
        <v>2</v>
      </c>
      <c r="S4420">
        <v>2</v>
      </c>
      <c r="T4420">
        <v>0</v>
      </c>
      <c r="U4420" t="s">
        <v>25231</v>
      </c>
      <c r="V4420">
        <f>Tabla1[[#This Row],[Aboard]]-Tabla1[[#This Row],[Fatalities]]</f>
        <v>12</v>
      </c>
      <c r="W4420" s="50">
        <f>IFERROR(Tabla1[[#This Row],[Fatalities]]/Tabla1[[#This Row],[Aboard]],0)</f>
        <v>0.25</v>
      </c>
      <c r="X4420" s="51" t="str" cm="1">
        <f t="array" ref="X4420">_xlfn.IFS(Tabla1[[#This Row],[Porcentaje de muertes]]&lt;0.35,"LEVE",AND(Tabla1[[#This Row],[Porcentaje de muertes]]&gt;0.35,Tabla1[[#This Row],[Porcentaje de muertes]]&lt;0.65),"MEDIO",Tabla1[[#This Row],[Porcentaje de muertes]]&gt;0.65,"GRAVE")</f>
        <v>LEVE</v>
      </c>
    </row>
    <row r="4421" spans="2:24" x14ac:dyDescent="0.3">
      <c r="B4421" s="9">
        <v>4421</v>
      </c>
      <c r="C4421" s="49">
        <v>37708</v>
      </c>
      <c r="D4421" s="9">
        <f>YEAR(Tabla1[[#This Row],[Date]])</f>
        <v>2003</v>
      </c>
      <c r="E4421" s="9" t="str" cm="1">
        <f t="array" ref="E4421">IFERROR(_xlfn.IFS(AND(D4421&lt;1980,D4421&gt;=1970),"70",AND(D4421&lt;1990,D4421&gt;=1980),"80",AND(D4421&lt;2000,D4421&gt;=1990),"90",AND(D4421&lt;2010,D4421&gt;=2000),"00",AND(D4421&lt;=2019,D4421&gt;=2010),"10"),"1908-1970")</f>
        <v>00</v>
      </c>
      <c r="F4421" s="3">
        <v>0.65902777777777777</v>
      </c>
      <c r="G4421" t="s">
        <v>25232</v>
      </c>
      <c r="H4421" t="s">
        <v>25233</v>
      </c>
      <c r="I4421" t="s">
        <v>8152</v>
      </c>
      <c r="J4421" t="s">
        <v>25234</v>
      </c>
      <c r="K4421" t="s">
        <v>25235</v>
      </c>
      <c r="L4421" s="7" t="s">
        <v>25236</v>
      </c>
      <c r="M4421" t="s">
        <v>25237</v>
      </c>
      <c r="N4421">
        <v>3</v>
      </c>
      <c r="O4421">
        <v>2</v>
      </c>
      <c r="P4421">
        <v>1</v>
      </c>
      <c r="Q4421">
        <v>3</v>
      </c>
      <c r="R4421">
        <v>2</v>
      </c>
      <c r="S4421">
        <v>1</v>
      </c>
      <c r="T4421">
        <v>0</v>
      </c>
      <c r="U4421" t="s">
        <v>25238</v>
      </c>
      <c r="V4421">
        <f>Tabla1[[#This Row],[Aboard]]-Tabla1[[#This Row],[Fatalities]]</f>
        <v>0</v>
      </c>
      <c r="W4421" s="50">
        <f>IFERROR(Tabla1[[#This Row],[Fatalities]]/Tabla1[[#This Row],[Aboard]],0)</f>
        <v>1</v>
      </c>
      <c r="X4421" s="51" t="str" cm="1">
        <f t="array" ref="X4421">_xlfn.IFS(Tabla1[[#This Row],[Porcentaje de muertes]]&lt;0.35,"LEVE",AND(Tabla1[[#This Row],[Porcentaje de muertes]]&gt;0.35,Tabla1[[#This Row],[Porcentaje de muertes]]&lt;0.65),"MEDIO",Tabla1[[#This Row],[Porcentaje de muertes]]&gt;0.65,"GRAVE")</f>
        <v>GRAVE</v>
      </c>
    </row>
    <row r="4422" spans="2:24" x14ac:dyDescent="0.3">
      <c r="B4422" s="9">
        <v>4422</v>
      </c>
      <c r="C4422" s="49">
        <v>37838</v>
      </c>
      <c r="D4422" s="9">
        <f>YEAR(Tabla1[[#This Row],[Date]])</f>
        <v>2003</v>
      </c>
      <c r="E4422" s="9" t="str" cm="1">
        <f t="array" ref="E4422">IFERROR(_xlfn.IFS(AND(D4422&lt;1980,D4422&gt;=1970),"70",AND(D4422&lt;1990,D4422&gt;=1980),"80",AND(D4422&lt;2000,D4422&gt;=1990),"90",AND(D4422&lt;2010,D4422&gt;=2000),"00",AND(D4422&lt;=2019,D4422&gt;=2010),"10"),"1908-1970")</f>
        <v>00</v>
      </c>
      <c r="F4422" s="3" t="s">
        <v>28931</v>
      </c>
      <c r="G4422" t="s">
        <v>25239</v>
      </c>
      <c r="H4422" t="s">
        <v>25240</v>
      </c>
      <c r="I4422" t="s">
        <v>28931</v>
      </c>
      <c r="J4422" t="s">
        <v>25241</v>
      </c>
      <c r="K4422" t="s">
        <v>25242</v>
      </c>
      <c r="L4422" s="7" t="s">
        <v>25243</v>
      </c>
      <c r="M4422">
        <v>63467003</v>
      </c>
      <c r="N4422">
        <v>200</v>
      </c>
      <c r="O4422" t="s">
        <v>5038</v>
      </c>
      <c r="P4422" t="s">
        <v>5038</v>
      </c>
      <c r="Q4422">
        <v>129</v>
      </c>
      <c r="R4422" t="s">
        <v>5038</v>
      </c>
      <c r="S4422" t="s">
        <v>5038</v>
      </c>
      <c r="T4422">
        <v>0</v>
      </c>
      <c r="U4422" t="s">
        <v>25244</v>
      </c>
      <c r="V4422">
        <f>Tabla1[[#This Row],[Aboard]]-Tabla1[[#This Row],[Fatalities]]</f>
        <v>71</v>
      </c>
      <c r="W4422" s="50">
        <f>IFERROR(Tabla1[[#This Row],[Fatalities]]/Tabla1[[#This Row],[Aboard]],0)</f>
        <v>0.64500000000000002</v>
      </c>
      <c r="X4422" s="51" t="str" cm="1">
        <f t="array" ref="X4422">_xlfn.IFS(Tabla1[[#This Row],[Porcentaje de muertes]]&lt;0.35,"LEVE",AND(Tabla1[[#This Row],[Porcentaje de muertes]]&gt;0.35,Tabla1[[#This Row],[Porcentaje de muertes]]&lt;0.65),"MEDIO",Tabla1[[#This Row],[Porcentaje de muertes]]&gt;0.65,"GRAVE")</f>
        <v>MEDIO</v>
      </c>
    </row>
    <row r="4423" spans="2:24" x14ac:dyDescent="0.3">
      <c r="B4423" s="9">
        <v>4423</v>
      </c>
      <c r="C4423" s="49">
        <v>37767</v>
      </c>
      <c r="D4423" s="9">
        <f>YEAR(Tabla1[[#This Row],[Date]])</f>
        <v>2003</v>
      </c>
      <c r="E4423" s="9" t="str" cm="1">
        <f t="array" ref="E4423">IFERROR(_xlfn.IFS(AND(D4423&lt;1980,D4423&gt;=1970),"70",AND(D4423&lt;1990,D4423&gt;=1980),"80",AND(D4423&lt;2000,D4423&gt;=1990),"90",AND(D4423&lt;2010,D4423&gt;=2000),"00",AND(D4423&lt;=2019,D4423&gt;=2010),"10"),"1908-1970")</f>
        <v>00</v>
      </c>
      <c r="F4423" s="3">
        <v>0.19791666666666666</v>
      </c>
      <c r="G4423" t="s">
        <v>25245</v>
      </c>
      <c r="H4423" t="s">
        <v>25246</v>
      </c>
      <c r="I4423">
        <v>4230</v>
      </c>
      <c r="J4423" t="s">
        <v>25247</v>
      </c>
      <c r="K4423" t="s">
        <v>25248</v>
      </c>
      <c r="L4423" s="7" t="s">
        <v>25249</v>
      </c>
      <c r="M4423">
        <v>2042181195</v>
      </c>
      <c r="N4423">
        <v>75</v>
      </c>
      <c r="O4423">
        <v>62</v>
      </c>
      <c r="P4423">
        <v>13</v>
      </c>
      <c r="Q4423">
        <v>75</v>
      </c>
      <c r="R4423">
        <v>62</v>
      </c>
      <c r="S4423">
        <v>13</v>
      </c>
      <c r="T4423">
        <v>0</v>
      </c>
      <c r="U4423" t="s">
        <v>25250</v>
      </c>
      <c r="V4423">
        <f>Tabla1[[#This Row],[Aboard]]-Tabla1[[#This Row],[Fatalities]]</f>
        <v>0</v>
      </c>
      <c r="W4423" s="50">
        <f>IFERROR(Tabla1[[#This Row],[Fatalities]]/Tabla1[[#This Row],[Aboard]],0)</f>
        <v>1</v>
      </c>
      <c r="X4423" s="51" t="str" cm="1">
        <f t="array" ref="X4423">_xlfn.IFS(Tabla1[[#This Row],[Porcentaje de muertes]]&lt;0.35,"LEVE",AND(Tabla1[[#This Row],[Porcentaje de muertes]]&gt;0.35,Tabla1[[#This Row],[Porcentaje de muertes]]&lt;0.65),"MEDIO",Tabla1[[#This Row],[Porcentaje de muertes]]&gt;0.65,"GRAVE")</f>
        <v>GRAVE</v>
      </c>
    </row>
    <row r="4424" spans="2:24" x14ac:dyDescent="0.3">
      <c r="B4424" s="9">
        <v>4424</v>
      </c>
      <c r="C4424" s="49">
        <v>37769</v>
      </c>
      <c r="D4424" s="9">
        <f>YEAR(Tabla1[[#This Row],[Date]])</f>
        <v>2003</v>
      </c>
      <c r="E4424" s="9" t="str" cm="1">
        <f t="array" ref="E4424">IFERROR(_xlfn.IFS(AND(D4424&lt;1980,D4424&gt;=1970),"70",AND(D4424&lt;1990,D4424&gt;=1980),"80",AND(D4424&lt;2000,D4424&gt;=1990),"90",AND(D4424&lt;2010,D4424&gt;=2000),"00",AND(D4424&lt;=2019,D4424&gt;=2010),"10"),"1908-1970")</f>
        <v>00</v>
      </c>
      <c r="F4424" s="3">
        <v>0.5625</v>
      </c>
      <c r="G4424" t="s">
        <v>25251</v>
      </c>
      <c r="H4424" t="s">
        <v>25252</v>
      </c>
      <c r="I4424" t="s">
        <v>28931</v>
      </c>
      <c r="J4424" t="s">
        <v>28931</v>
      </c>
      <c r="K4424" t="s">
        <v>14122</v>
      </c>
      <c r="L4424" s="7" t="s">
        <v>25253</v>
      </c>
      <c r="M4424">
        <v>18502037</v>
      </c>
      <c r="N4424">
        <v>4</v>
      </c>
      <c r="O4424">
        <v>3</v>
      </c>
      <c r="P4424">
        <v>1</v>
      </c>
      <c r="Q4424">
        <v>4</v>
      </c>
      <c r="R4424">
        <v>3</v>
      </c>
      <c r="S4424">
        <v>1</v>
      </c>
      <c r="T4424">
        <v>0</v>
      </c>
      <c r="U4424" t="s">
        <v>25254</v>
      </c>
      <c r="V4424">
        <f>Tabla1[[#This Row],[Aboard]]-Tabla1[[#This Row],[Fatalities]]</f>
        <v>0</v>
      </c>
      <c r="W4424" s="50">
        <f>IFERROR(Tabla1[[#This Row],[Fatalities]]/Tabla1[[#This Row],[Aboard]],0)</f>
        <v>1</v>
      </c>
      <c r="X4424" s="51" t="str" cm="1">
        <f t="array" ref="X4424">_xlfn.IFS(Tabla1[[#This Row],[Porcentaje de muertes]]&lt;0.35,"LEVE",AND(Tabla1[[#This Row],[Porcentaje de muertes]]&gt;0.35,Tabla1[[#This Row],[Porcentaje de muertes]]&lt;0.65),"MEDIO",Tabla1[[#This Row],[Porcentaje de muertes]]&gt;0.65,"GRAVE")</f>
        <v>GRAVE</v>
      </c>
    </row>
    <row r="4425" spans="2:24" x14ac:dyDescent="0.3">
      <c r="B4425" s="9">
        <v>4425</v>
      </c>
      <c r="C4425" s="49">
        <v>37627</v>
      </c>
      <c r="D4425" s="9">
        <f>YEAR(Tabla1[[#This Row],[Date]])</f>
        <v>2003</v>
      </c>
      <c r="E4425" s="9" t="str" cm="1">
        <f t="array" ref="E4425">IFERROR(_xlfn.IFS(AND(D4425&lt;1980,D4425&gt;=1970),"70",AND(D4425&lt;1990,D4425&gt;=1980),"80",AND(D4425&lt;2000,D4425&gt;=1990),"90",AND(D4425&lt;2010,D4425&gt;=2000),"00",AND(D4425&lt;=2019,D4425&gt;=2010),"10"),"1908-1970")</f>
        <v>00</v>
      </c>
      <c r="F4425" s="3">
        <v>0.6430555555555556</v>
      </c>
      <c r="G4425" t="s">
        <v>9659</v>
      </c>
      <c r="H4425" t="s">
        <v>25255</v>
      </c>
      <c r="I4425" t="s">
        <v>28931</v>
      </c>
      <c r="J4425" t="s">
        <v>25256</v>
      </c>
      <c r="K4425" t="s">
        <v>25257</v>
      </c>
      <c r="L4425" s="7" t="s">
        <v>25258</v>
      </c>
      <c r="M4425" t="s">
        <v>25259</v>
      </c>
      <c r="N4425">
        <v>2</v>
      </c>
      <c r="O4425">
        <v>0</v>
      </c>
      <c r="P4425">
        <v>2</v>
      </c>
      <c r="Q4425">
        <v>2</v>
      </c>
      <c r="R4425">
        <v>0</v>
      </c>
      <c r="S4425">
        <v>2</v>
      </c>
      <c r="T4425">
        <v>0</v>
      </c>
      <c r="U4425" t="s">
        <v>25260</v>
      </c>
      <c r="V4425">
        <f>Tabla1[[#This Row],[Aboard]]-Tabla1[[#This Row],[Fatalities]]</f>
        <v>0</v>
      </c>
      <c r="W4425" s="50">
        <f>IFERROR(Tabla1[[#This Row],[Fatalities]]/Tabla1[[#This Row],[Aboard]],0)</f>
        <v>1</v>
      </c>
      <c r="X4425" s="51" t="str" cm="1">
        <f t="array" ref="X4425">_xlfn.IFS(Tabla1[[#This Row],[Porcentaje de muertes]]&lt;0.35,"LEVE",AND(Tabla1[[#This Row],[Porcentaje de muertes]]&gt;0.35,Tabla1[[#This Row],[Porcentaje de muertes]]&lt;0.65),"MEDIO",Tabla1[[#This Row],[Porcentaje de muertes]]&gt;0.65,"GRAVE")</f>
        <v>GRAVE</v>
      </c>
    </row>
    <row r="4426" spans="2:24" x14ac:dyDescent="0.3">
      <c r="B4426" s="9">
        <v>4426</v>
      </c>
      <c r="C4426" s="49">
        <v>37717</v>
      </c>
      <c r="D4426" s="9">
        <f>YEAR(Tabla1[[#This Row],[Date]])</f>
        <v>2003</v>
      </c>
      <c r="E4426" s="9" t="str" cm="1">
        <f t="array" ref="E4426">IFERROR(_xlfn.IFS(AND(D4426&lt;1980,D4426&gt;=1970),"70",AND(D4426&lt;1990,D4426&gt;=1980),"80",AND(D4426&lt;2000,D4426&gt;=1990),"90",AND(D4426&lt;2010,D4426&gt;=2000),"00",AND(D4426&lt;=2019,D4426&gt;=2010),"10"),"1908-1970")</f>
        <v>00</v>
      </c>
      <c r="F4426" s="3" t="s">
        <v>28931</v>
      </c>
      <c r="G4426" t="s">
        <v>25261</v>
      </c>
      <c r="H4426" t="s">
        <v>25262</v>
      </c>
      <c r="I4426" t="s">
        <v>28931</v>
      </c>
      <c r="J4426" t="s">
        <v>25263</v>
      </c>
      <c r="K4426" t="s">
        <v>25264</v>
      </c>
      <c r="L4426" s="7" t="s">
        <v>25265</v>
      </c>
      <c r="M4426" t="s">
        <v>28931</v>
      </c>
      <c r="N4426">
        <v>5</v>
      </c>
      <c r="O4426">
        <v>4</v>
      </c>
      <c r="P4426">
        <v>1</v>
      </c>
      <c r="Q4426">
        <v>5</v>
      </c>
      <c r="R4426">
        <v>4</v>
      </c>
      <c r="S4426">
        <v>1</v>
      </c>
      <c r="T4426">
        <v>0</v>
      </c>
      <c r="U4426" t="s">
        <v>25266</v>
      </c>
      <c r="V4426">
        <f>Tabla1[[#This Row],[Aboard]]-Tabla1[[#This Row],[Fatalities]]</f>
        <v>0</v>
      </c>
      <c r="W4426" s="50">
        <f>IFERROR(Tabla1[[#This Row],[Fatalities]]/Tabla1[[#This Row],[Aboard]],0)</f>
        <v>1</v>
      </c>
      <c r="X4426" s="51" t="str" cm="1">
        <f t="array" ref="X4426">_xlfn.IFS(Tabla1[[#This Row],[Porcentaje de muertes]]&lt;0.35,"LEVE",AND(Tabla1[[#This Row],[Porcentaje de muertes]]&gt;0.35,Tabla1[[#This Row],[Porcentaje de muertes]]&lt;0.65),"MEDIO",Tabla1[[#This Row],[Porcentaje de muertes]]&gt;0.65,"GRAVE")</f>
        <v>GRAVE</v>
      </c>
    </row>
    <row r="4427" spans="2:24" x14ac:dyDescent="0.3">
      <c r="B4427" s="9">
        <v>4427</v>
      </c>
      <c r="C4427" s="49">
        <v>37778</v>
      </c>
      <c r="D4427" s="9">
        <f>YEAR(Tabla1[[#This Row],[Date]])</f>
        <v>2003</v>
      </c>
      <c r="E4427" s="9" t="str" cm="1">
        <f t="array" ref="E4427">IFERROR(_xlfn.IFS(AND(D4427&lt;1980,D4427&gt;=1970),"70",AND(D4427&lt;1990,D4427&gt;=1980),"80",AND(D4427&lt;2000,D4427&gt;=1990),"90",AND(D4427&lt;2010,D4427&gt;=2000),"00",AND(D4427&lt;=2019,D4427&gt;=2010),"10"),"1908-1970")</f>
        <v>00</v>
      </c>
      <c r="F4427" s="3">
        <v>0.80208333333333337</v>
      </c>
      <c r="G4427" t="s">
        <v>12207</v>
      </c>
      <c r="H4427" t="s">
        <v>25267</v>
      </c>
      <c r="I4427" t="s">
        <v>8152</v>
      </c>
      <c r="J4427" t="s">
        <v>25268</v>
      </c>
      <c r="K4427" t="s">
        <v>25269</v>
      </c>
      <c r="L4427" s="7" t="s">
        <v>25270</v>
      </c>
      <c r="M4427" t="s">
        <v>25271</v>
      </c>
      <c r="N4427">
        <v>10</v>
      </c>
      <c r="O4427">
        <v>9</v>
      </c>
      <c r="P4427">
        <v>1</v>
      </c>
      <c r="Q4427">
        <v>8</v>
      </c>
      <c r="R4427">
        <v>7</v>
      </c>
      <c r="S4427">
        <v>1</v>
      </c>
      <c r="T4427">
        <v>0</v>
      </c>
      <c r="U4427" t="s">
        <v>25272</v>
      </c>
      <c r="V4427">
        <f>Tabla1[[#This Row],[Aboard]]-Tabla1[[#This Row],[Fatalities]]</f>
        <v>2</v>
      </c>
      <c r="W4427" s="50">
        <f>IFERROR(Tabla1[[#This Row],[Fatalities]]/Tabla1[[#This Row],[Aboard]],0)</f>
        <v>0.8</v>
      </c>
      <c r="X4427" s="51" t="str" cm="1">
        <f t="array" ref="X4427">_xlfn.IFS(Tabla1[[#This Row],[Porcentaje de muertes]]&lt;0.35,"LEVE",AND(Tabla1[[#This Row],[Porcentaje de muertes]]&gt;0.35,Tabla1[[#This Row],[Porcentaje de muertes]]&lt;0.65),"MEDIO",Tabla1[[#This Row],[Porcentaje de muertes]]&gt;0.65,"GRAVE")</f>
        <v>GRAVE</v>
      </c>
    </row>
    <row r="4428" spans="2:24" x14ac:dyDescent="0.3">
      <c r="B4428" s="9">
        <v>4428</v>
      </c>
      <c r="C4428" s="49">
        <v>37931</v>
      </c>
      <c r="D4428" s="9">
        <f>YEAR(Tabla1[[#This Row],[Date]])</f>
        <v>2003</v>
      </c>
      <c r="E4428" s="9" t="str" cm="1">
        <f t="array" ref="E4428">IFERROR(_xlfn.IFS(AND(D4428&lt;1980,D4428&gt;=1970),"70",AND(D4428&lt;1990,D4428&gt;=1980),"80",AND(D4428&lt;2000,D4428&gt;=1990),"90",AND(D4428&lt;2010,D4428&gt;=2000),"00",AND(D4428&lt;=2019,D4428&gt;=2010),"10"),"1908-1970")</f>
        <v>00</v>
      </c>
      <c r="F4428" s="3" t="s">
        <v>28931</v>
      </c>
      <c r="G4428" t="s">
        <v>24766</v>
      </c>
      <c r="H4428" t="s">
        <v>25273</v>
      </c>
      <c r="I4428" t="s">
        <v>28931</v>
      </c>
      <c r="J4428" t="s">
        <v>28931</v>
      </c>
      <c r="K4428" t="s">
        <v>25274</v>
      </c>
      <c r="L4428" s="7" t="s">
        <v>25275</v>
      </c>
      <c r="M4428" t="s">
        <v>28931</v>
      </c>
      <c r="N4428">
        <v>4</v>
      </c>
      <c r="O4428">
        <v>2</v>
      </c>
      <c r="P4428">
        <v>2</v>
      </c>
      <c r="Q4428">
        <v>4</v>
      </c>
      <c r="R4428">
        <v>2</v>
      </c>
      <c r="S4428">
        <v>2</v>
      </c>
      <c r="T4428">
        <v>0</v>
      </c>
      <c r="U4428" t="s">
        <v>25276</v>
      </c>
      <c r="V4428">
        <f>Tabla1[[#This Row],[Aboard]]-Tabla1[[#This Row],[Fatalities]]</f>
        <v>0</v>
      </c>
      <c r="W4428" s="50">
        <f>IFERROR(Tabla1[[#This Row],[Fatalities]]/Tabla1[[#This Row],[Aboard]],0)</f>
        <v>1</v>
      </c>
      <c r="X4428" s="51" t="str" cm="1">
        <f t="array" ref="X4428">_xlfn.IFS(Tabla1[[#This Row],[Porcentaje de muertes]]&lt;0.35,"LEVE",AND(Tabla1[[#This Row],[Porcentaje de muertes]]&gt;0.35,Tabla1[[#This Row],[Porcentaje de muertes]]&lt;0.65),"MEDIO",Tabla1[[#This Row],[Porcentaje de muertes]]&gt;0.65,"GRAVE")</f>
        <v>GRAVE</v>
      </c>
    </row>
    <row r="4429" spans="2:24" x14ac:dyDescent="0.3">
      <c r="B4429" s="9">
        <v>4429</v>
      </c>
      <c r="C4429" s="49">
        <v>37787</v>
      </c>
      <c r="D4429" s="9">
        <f>YEAR(Tabla1[[#This Row],[Date]])</f>
        <v>2003</v>
      </c>
      <c r="E4429" s="9" t="str" cm="1">
        <f t="array" ref="E4429">IFERROR(_xlfn.IFS(AND(D4429&lt;1980,D4429&gt;=1970),"70",AND(D4429&lt;1990,D4429&gt;=1980),"80",AND(D4429&lt;2000,D4429&gt;=1990),"90",AND(D4429&lt;2010,D4429&gt;=2000),"00",AND(D4429&lt;=2019,D4429&gt;=2010),"10"),"1908-1970")</f>
        <v>00</v>
      </c>
      <c r="F4429" s="3">
        <v>0.39930555555555558</v>
      </c>
      <c r="G4429" t="s">
        <v>25277</v>
      </c>
      <c r="H4429" t="s">
        <v>25278</v>
      </c>
      <c r="I4429" t="s">
        <v>28931</v>
      </c>
      <c r="J4429" t="s">
        <v>5494</v>
      </c>
      <c r="K4429" t="s">
        <v>25279</v>
      </c>
      <c r="L4429" s="7" t="s">
        <v>25280</v>
      </c>
      <c r="M4429" t="s">
        <v>25281</v>
      </c>
      <c r="N4429">
        <v>4</v>
      </c>
      <c r="O4429">
        <v>3</v>
      </c>
      <c r="P4429">
        <v>1</v>
      </c>
      <c r="Q4429">
        <v>4</v>
      </c>
      <c r="R4429">
        <v>3</v>
      </c>
      <c r="S4429">
        <v>1</v>
      </c>
      <c r="T4429">
        <v>0</v>
      </c>
      <c r="U4429" t="s">
        <v>25282</v>
      </c>
      <c r="V4429">
        <f>Tabla1[[#This Row],[Aboard]]-Tabla1[[#This Row],[Fatalities]]</f>
        <v>0</v>
      </c>
      <c r="W4429" s="50">
        <f>IFERROR(Tabla1[[#This Row],[Fatalities]]/Tabla1[[#This Row],[Aboard]],0)</f>
        <v>1</v>
      </c>
      <c r="X4429" s="51" t="str" cm="1">
        <f t="array" ref="X4429">_xlfn.IFS(Tabla1[[#This Row],[Porcentaje de muertes]]&lt;0.35,"LEVE",AND(Tabla1[[#This Row],[Porcentaje de muertes]]&gt;0.35,Tabla1[[#This Row],[Porcentaje de muertes]]&lt;0.65),"MEDIO",Tabla1[[#This Row],[Porcentaje de muertes]]&gt;0.65,"GRAVE")</f>
        <v>GRAVE</v>
      </c>
    </row>
    <row r="4430" spans="2:24" x14ac:dyDescent="0.3">
      <c r="B4430" s="9">
        <v>4430</v>
      </c>
      <c r="C4430" s="49">
        <v>37794</v>
      </c>
      <c r="D4430" s="9">
        <f>YEAR(Tabla1[[#This Row],[Date]])</f>
        <v>2003</v>
      </c>
      <c r="E4430" s="9" t="str" cm="1">
        <f t="array" ref="E4430">IFERROR(_xlfn.IFS(AND(D4430&lt;1980,D4430&gt;=1970),"70",AND(D4430&lt;1990,D4430&gt;=1980),"80",AND(D4430&lt;2000,D4430&gt;=1990),"90",AND(D4430&lt;2010,D4430&gt;=2000),"00",AND(D4430&lt;=2019,D4430&gt;=2010),"10"),"1908-1970")</f>
        <v>00</v>
      </c>
      <c r="F4430" s="3">
        <v>0.99652777777777779</v>
      </c>
      <c r="G4430" t="s">
        <v>25283</v>
      </c>
      <c r="H4430" t="s">
        <v>25284</v>
      </c>
      <c r="I4430">
        <v>5672</v>
      </c>
      <c r="J4430" t="s">
        <v>25285</v>
      </c>
      <c r="K4430" t="s">
        <v>25286</v>
      </c>
      <c r="L4430" s="7" t="s">
        <v>25287</v>
      </c>
      <c r="M4430">
        <v>7377</v>
      </c>
      <c r="N4430">
        <v>24</v>
      </c>
      <c r="O4430">
        <v>21</v>
      </c>
      <c r="P4430">
        <v>3</v>
      </c>
      <c r="Q4430">
        <v>1</v>
      </c>
      <c r="R4430">
        <v>0</v>
      </c>
      <c r="S4430">
        <v>1</v>
      </c>
      <c r="T4430">
        <v>0</v>
      </c>
      <c r="U4430" t="s">
        <v>25288</v>
      </c>
      <c r="V4430">
        <f>Tabla1[[#This Row],[Aboard]]-Tabla1[[#This Row],[Fatalities]]</f>
        <v>23</v>
      </c>
      <c r="W4430" s="50">
        <f>IFERROR(Tabla1[[#This Row],[Fatalities]]/Tabla1[[#This Row],[Aboard]],0)</f>
        <v>4.1666666666666664E-2</v>
      </c>
      <c r="X4430" s="51" t="str" cm="1">
        <f t="array" ref="X4430">_xlfn.IFS(Tabla1[[#This Row],[Porcentaje de muertes]]&lt;0.35,"LEVE",AND(Tabla1[[#This Row],[Porcentaje de muertes]]&gt;0.35,Tabla1[[#This Row],[Porcentaje de muertes]]&lt;0.65),"MEDIO",Tabla1[[#This Row],[Porcentaje de muertes]]&gt;0.65,"GRAVE")</f>
        <v>LEVE</v>
      </c>
    </row>
    <row r="4431" spans="2:24" x14ac:dyDescent="0.3">
      <c r="B4431" s="9">
        <v>4431</v>
      </c>
      <c r="C4431" s="49">
        <v>37797</v>
      </c>
      <c r="D4431" s="9">
        <f>YEAR(Tabla1[[#This Row],[Date]])</f>
        <v>2003</v>
      </c>
      <c r="E4431" s="9" t="str" cm="1">
        <f t="array" ref="E4431">IFERROR(_xlfn.IFS(AND(D4431&lt;1980,D4431&gt;=1970),"70",AND(D4431&lt;1990,D4431&gt;=1980),"80",AND(D4431&lt;2000,D4431&gt;=1990),"90",AND(D4431&lt;2010,D4431&gt;=2000),"00",AND(D4431&lt;=2019,D4431&gt;=2010),"10"),"1908-1970")</f>
        <v>00</v>
      </c>
      <c r="F4431" s="3">
        <v>0.54166666666666663</v>
      </c>
      <c r="G4431" t="s">
        <v>25289</v>
      </c>
      <c r="H4431" t="s">
        <v>24272</v>
      </c>
      <c r="I4431" t="s">
        <v>28931</v>
      </c>
      <c r="J4431" t="s">
        <v>28931</v>
      </c>
      <c r="K4431" t="s">
        <v>17490</v>
      </c>
      <c r="L4431" s="7" t="s">
        <v>28931</v>
      </c>
      <c r="M4431" t="s">
        <v>28931</v>
      </c>
      <c r="N4431">
        <v>7</v>
      </c>
      <c r="O4431">
        <v>0</v>
      </c>
      <c r="P4431">
        <v>7</v>
      </c>
      <c r="Q4431">
        <v>7</v>
      </c>
      <c r="R4431">
        <v>0</v>
      </c>
      <c r="S4431">
        <v>7</v>
      </c>
      <c r="T4431">
        <v>0</v>
      </c>
      <c r="U4431" t="s">
        <v>25290</v>
      </c>
      <c r="V4431">
        <f>Tabla1[[#This Row],[Aboard]]-Tabla1[[#This Row],[Fatalities]]</f>
        <v>0</v>
      </c>
      <c r="W4431" s="50">
        <f>IFERROR(Tabla1[[#This Row],[Fatalities]]/Tabla1[[#This Row],[Aboard]],0)</f>
        <v>1</v>
      </c>
      <c r="X4431" s="51" t="str" cm="1">
        <f t="array" ref="X4431">_xlfn.IFS(Tabla1[[#This Row],[Porcentaje de muertes]]&lt;0.35,"LEVE",AND(Tabla1[[#This Row],[Porcentaje de muertes]]&gt;0.35,Tabla1[[#This Row],[Porcentaje de muertes]]&lt;0.65),"MEDIO",Tabla1[[#This Row],[Porcentaje de muertes]]&gt;0.65,"GRAVE")</f>
        <v>GRAVE</v>
      </c>
    </row>
    <row r="4432" spans="2:24" x14ac:dyDescent="0.3">
      <c r="B4432" s="9">
        <v>4432</v>
      </c>
      <c r="C4432" s="49">
        <v>37797</v>
      </c>
      <c r="D4432" s="9">
        <f>YEAR(Tabla1[[#This Row],[Date]])</f>
        <v>2003</v>
      </c>
      <c r="E4432" s="9" t="str" cm="1">
        <f t="array" ref="E4432">IFERROR(_xlfn.IFS(AND(D4432&lt;1980,D4432&gt;=1970),"70",AND(D4432&lt;1990,D4432&gt;=1980),"80",AND(D4432&lt;2000,D4432&gt;=1990),"90",AND(D4432&lt;2010,D4432&gt;=2000),"00",AND(D4432&lt;=2019,D4432&gt;=2010),"10"),"1908-1970")</f>
        <v>00</v>
      </c>
      <c r="F4432" s="3">
        <v>0.65972222222222221</v>
      </c>
      <c r="G4432" t="s">
        <v>25291</v>
      </c>
      <c r="H4432" t="s">
        <v>25292</v>
      </c>
      <c r="I4432" t="s">
        <v>28931</v>
      </c>
      <c r="J4432" t="s">
        <v>25293</v>
      </c>
      <c r="K4432" t="s">
        <v>25294</v>
      </c>
      <c r="L4432" s="7" t="s">
        <v>10987</v>
      </c>
      <c r="M4432">
        <v>18052039</v>
      </c>
      <c r="N4432">
        <v>3</v>
      </c>
      <c r="O4432">
        <v>2</v>
      </c>
      <c r="P4432">
        <v>1</v>
      </c>
      <c r="Q4432">
        <v>3</v>
      </c>
      <c r="R4432">
        <v>2</v>
      </c>
      <c r="S4432">
        <v>1</v>
      </c>
      <c r="T4432">
        <v>0</v>
      </c>
      <c r="U4432" t="s">
        <v>25295</v>
      </c>
      <c r="V4432">
        <f>Tabla1[[#This Row],[Aboard]]-Tabla1[[#This Row],[Fatalities]]</f>
        <v>0</v>
      </c>
      <c r="W4432" s="50">
        <f>IFERROR(Tabla1[[#This Row],[Fatalities]]/Tabla1[[#This Row],[Aboard]],0)</f>
        <v>1</v>
      </c>
      <c r="X4432" s="51" t="str" cm="1">
        <f t="array" ref="X4432">_xlfn.IFS(Tabla1[[#This Row],[Porcentaje de muertes]]&lt;0.35,"LEVE",AND(Tabla1[[#This Row],[Porcentaje de muertes]]&gt;0.35,Tabla1[[#This Row],[Porcentaje de muertes]]&lt;0.65),"MEDIO",Tabla1[[#This Row],[Porcentaje de muertes]]&gt;0.65,"GRAVE")</f>
        <v>GRAVE</v>
      </c>
    </row>
    <row r="4433" spans="2:24" x14ac:dyDescent="0.3">
      <c r="B4433" s="9">
        <v>4433</v>
      </c>
      <c r="C4433" s="49">
        <v>37798</v>
      </c>
      <c r="D4433" s="9">
        <f>YEAR(Tabla1[[#This Row],[Date]])</f>
        <v>2003</v>
      </c>
      <c r="E4433" s="9" t="str" cm="1">
        <f t="array" ref="E4433">IFERROR(_xlfn.IFS(AND(D4433&lt;1980,D4433&gt;=1970),"70",AND(D4433&lt;1990,D4433&gt;=1980),"80",AND(D4433&lt;2000,D4433&gt;=1990),"90",AND(D4433&lt;2010,D4433&gt;=2000),"00",AND(D4433&lt;=2019,D4433&gt;=2010),"10"),"1908-1970")</f>
        <v>00</v>
      </c>
      <c r="F4433" s="3">
        <v>0.8125</v>
      </c>
      <c r="G4433" t="s">
        <v>25296</v>
      </c>
      <c r="H4433" t="s">
        <v>25297</v>
      </c>
      <c r="I4433" t="s">
        <v>28931</v>
      </c>
      <c r="J4433" t="s">
        <v>28931</v>
      </c>
      <c r="K4433" t="s">
        <v>25298</v>
      </c>
      <c r="L4433" s="7" t="s">
        <v>25299</v>
      </c>
      <c r="M4433" t="s">
        <v>25300</v>
      </c>
      <c r="N4433">
        <v>4</v>
      </c>
      <c r="O4433">
        <v>3</v>
      </c>
      <c r="P4433">
        <v>1</v>
      </c>
      <c r="Q4433">
        <v>4</v>
      </c>
      <c r="R4433">
        <v>3</v>
      </c>
      <c r="S4433">
        <v>1</v>
      </c>
      <c r="T4433">
        <v>0</v>
      </c>
      <c r="U4433" t="s">
        <v>25301</v>
      </c>
      <c r="V4433">
        <f>Tabla1[[#This Row],[Aboard]]-Tabla1[[#This Row],[Fatalities]]</f>
        <v>0</v>
      </c>
      <c r="W4433" s="50">
        <f>IFERROR(Tabla1[[#This Row],[Fatalities]]/Tabla1[[#This Row],[Aboard]],0)</f>
        <v>1</v>
      </c>
      <c r="X4433" s="51" t="str" cm="1">
        <f t="array" ref="X4433">_xlfn.IFS(Tabla1[[#This Row],[Porcentaje de muertes]]&lt;0.35,"LEVE",AND(Tabla1[[#This Row],[Porcentaje de muertes]]&gt;0.35,Tabla1[[#This Row],[Porcentaje de muertes]]&lt;0.65),"MEDIO",Tabla1[[#This Row],[Porcentaje de muertes]]&gt;0.65,"GRAVE")</f>
        <v>GRAVE</v>
      </c>
    </row>
    <row r="4434" spans="2:24" x14ac:dyDescent="0.3">
      <c r="B4434" s="9">
        <v>4434</v>
      </c>
      <c r="C4434" s="49">
        <v>37802</v>
      </c>
      <c r="D4434" s="9">
        <f>YEAR(Tabla1[[#This Row],[Date]])</f>
        <v>2003</v>
      </c>
      <c r="E4434" s="9" t="str" cm="1">
        <f t="array" ref="E4434">IFERROR(_xlfn.IFS(AND(D4434&lt;1980,D4434&gt;=1970),"70",AND(D4434&lt;1990,D4434&gt;=1980),"80",AND(D4434&lt;2000,D4434&gt;=1990),"90",AND(D4434&lt;2010,D4434&gt;=2000),"00",AND(D4434&lt;=2019,D4434&gt;=2010),"10"),"1908-1970")</f>
        <v>00</v>
      </c>
      <c r="F4434" s="3">
        <v>0.4513888888888889</v>
      </c>
      <c r="G4434" t="s">
        <v>25302</v>
      </c>
      <c r="H4434" t="s">
        <v>25303</v>
      </c>
      <c r="I4434" t="s">
        <v>28931</v>
      </c>
      <c r="J4434" t="s">
        <v>6190</v>
      </c>
      <c r="K4434" t="s">
        <v>18896</v>
      </c>
      <c r="L4434" s="7" t="s">
        <v>25304</v>
      </c>
      <c r="M4434">
        <v>4926</v>
      </c>
      <c r="N4434">
        <v>4</v>
      </c>
      <c r="O4434">
        <v>0</v>
      </c>
      <c r="P4434">
        <v>4</v>
      </c>
      <c r="Q4434">
        <v>4</v>
      </c>
      <c r="R4434">
        <v>0</v>
      </c>
      <c r="S4434">
        <v>4</v>
      </c>
      <c r="T4434">
        <v>11</v>
      </c>
      <c r="U4434" t="s">
        <v>25305</v>
      </c>
      <c r="V4434">
        <f>Tabla1[[#This Row],[Aboard]]-Tabla1[[#This Row],[Fatalities]]</f>
        <v>0</v>
      </c>
      <c r="W4434" s="50">
        <f>IFERROR(Tabla1[[#This Row],[Fatalities]]/Tabla1[[#This Row],[Aboard]],0)</f>
        <v>1</v>
      </c>
      <c r="X4434" s="51" t="str" cm="1">
        <f t="array" ref="X4434">_xlfn.IFS(Tabla1[[#This Row],[Porcentaje de muertes]]&lt;0.35,"LEVE",AND(Tabla1[[#This Row],[Porcentaje de muertes]]&gt;0.35,Tabla1[[#This Row],[Porcentaje de muertes]]&lt;0.65),"MEDIO",Tabla1[[#This Row],[Porcentaje de muertes]]&gt;0.65,"GRAVE")</f>
        <v>GRAVE</v>
      </c>
    </row>
    <row r="4435" spans="2:24" x14ac:dyDescent="0.3">
      <c r="B4435" s="9">
        <v>4435</v>
      </c>
      <c r="C4435" s="49">
        <v>37628</v>
      </c>
      <c r="D4435" s="9">
        <f>YEAR(Tabla1[[#This Row],[Date]])</f>
        <v>2003</v>
      </c>
      <c r="E4435" s="9" t="str" cm="1">
        <f t="array" ref="E4435">IFERROR(_xlfn.IFS(AND(D4435&lt;1980,D4435&gt;=1970),"70",AND(D4435&lt;1990,D4435&gt;=1980),"80",AND(D4435&lt;2000,D4435&gt;=1990),"90",AND(D4435&lt;2010,D4435&gt;=2000),"00",AND(D4435&lt;=2019,D4435&gt;=2010),"10"),"1908-1970")</f>
        <v>00</v>
      </c>
      <c r="F4435" s="3">
        <v>0.83124999999999993</v>
      </c>
      <c r="G4435" t="s">
        <v>25306</v>
      </c>
      <c r="H4435" t="s">
        <v>25307</v>
      </c>
      <c r="I4435" t="s">
        <v>28931</v>
      </c>
      <c r="J4435" t="s">
        <v>28931</v>
      </c>
      <c r="K4435" t="s">
        <v>25308</v>
      </c>
      <c r="L4435" s="7" t="s">
        <v>25309</v>
      </c>
      <c r="M4435" t="s">
        <v>28931</v>
      </c>
      <c r="N4435">
        <v>4</v>
      </c>
      <c r="O4435">
        <v>2</v>
      </c>
      <c r="P4435">
        <v>2</v>
      </c>
      <c r="Q4435">
        <v>4</v>
      </c>
      <c r="R4435">
        <v>2</v>
      </c>
      <c r="S4435">
        <v>2</v>
      </c>
      <c r="T4435">
        <v>0</v>
      </c>
      <c r="U4435" t="s">
        <v>25310</v>
      </c>
      <c r="V4435">
        <f>Tabla1[[#This Row],[Aboard]]-Tabla1[[#This Row],[Fatalities]]</f>
        <v>0</v>
      </c>
      <c r="W4435" s="50">
        <f>IFERROR(Tabla1[[#This Row],[Fatalities]]/Tabla1[[#This Row],[Aboard]],0)</f>
        <v>1</v>
      </c>
      <c r="X4435" s="51" t="str" cm="1">
        <f t="array" ref="X4435">_xlfn.IFS(Tabla1[[#This Row],[Porcentaje de muertes]]&lt;0.35,"LEVE",AND(Tabla1[[#This Row],[Porcentaje de muertes]]&gt;0.35,Tabla1[[#This Row],[Porcentaje de muertes]]&lt;0.65),"MEDIO",Tabla1[[#This Row],[Porcentaje de muertes]]&gt;0.65,"GRAVE")</f>
        <v>GRAVE</v>
      </c>
    </row>
    <row r="4436" spans="2:24" x14ac:dyDescent="0.3">
      <c r="B4436" s="9">
        <v>4436</v>
      </c>
      <c r="C4436" s="49">
        <v>37748</v>
      </c>
      <c r="D4436" s="9">
        <f>YEAR(Tabla1[[#This Row],[Date]])</f>
        <v>2003</v>
      </c>
      <c r="E4436" s="9" t="str" cm="1">
        <f t="array" ref="E4436">IFERROR(_xlfn.IFS(AND(D4436&lt;1980,D4436&gt;=1970),"70",AND(D4436&lt;1990,D4436&gt;=1980),"80",AND(D4436&lt;2000,D4436&gt;=1990),"90",AND(D4436&lt;2010,D4436&gt;=2000),"00",AND(D4436&lt;=2019,D4436&gt;=2010),"10"),"1908-1970")</f>
        <v>00</v>
      </c>
      <c r="F4436" s="3">
        <v>0.47916666666666669</v>
      </c>
      <c r="G4436" t="s">
        <v>25311</v>
      </c>
      <c r="H4436" t="s">
        <v>25312</v>
      </c>
      <c r="I4436" t="s">
        <v>28931</v>
      </c>
      <c r="J4436" t="s">
        <v>28931</v>
      </c>
      <c r="K4436" t="s">
        <v>28961</v>
      </c>
      <c r="L4436" s="7" t="s">
        <v>25313</v>
      </c>
      <c r="M4436" t="s">
        <v>28931</v>
      </c>
      <c r="N4436">
        <v>5</v>
      </c>
      <c r="O4436">
        <v>3</v>
      </c>
      <c r="P4436">
        <v>2</v>
      </c>
      <c r="Q4436">
        <v>5</v>
      </c>
      <c r="R4436">
        <v>3</v>
      </c>
      <c r="S4436">
        <v>2</v>
      </c>
      <c r="T4436">
        <v>0</v>
      </c>
      <c r="U4436" t="s">
        <v>25314</v>
      </c>
      <c r="V4436">
        <f>Tabla1[[#This Row],[Aboard]]-Tabla1[[#This Row],[Fatalities]]</f>
        <v>0</v>
      </c>
      <c r="W4436" s="50">
        <f>IFERROR(Tabla1[[#This Row],[Fatalities]]/Tabla1[[#This Row],[Aboard]],0)</f>
        <v>1</v>
      </c>
      <c r="X4436" s="51" t="str" cm="1">
        <f t="array" ref="X4436">_xlfn.IFS(Tabla1[[#This Row],[Porcentaje de muertes]]&lt;0.35,"LEVE",AND(Tabla1[[#This Row],[Porcentaje de muertes]]&gt;0.35,Tabla1[[#This Row],[Porcentaje de muertes]]&lt;0.65),"MEDIO",Tabla1[[#This Row],[Porcentaje de muertes]]&gt;0.65,"GRAVE")</f>
        <v>GRAVE</v>
      </c>
    </row>
    <row r="4437" spans="2:24" x14ac:dyDescent="0.3">
      <c r="B4437" s="9">
        <v>4437</v>
      </c>
      <c r="C4437" s="49">
        <v>37840</v>
      </c>
      <c r="D4437" s="9">
        <f>YEAR(Tabla1[[#This Row],[Date]])</f>
        <v>2003</v>
      </c>
      <c r="E4437" s="9" t="str" cm="1">
        <f t="array" ref="E4437">IFERROR(_xlfn.IFS(AND(D4437&lt;1980,D4437&gt;=1970),"70",AND(D4437&lt;1990,D4437&gt;=1980),"80",AND(D4437&lt;2000,D4437&gt;=1990),"90",AND(D4437&lt;2010,D4437&gt;=2000),"00",AND(D4437&lt;=2019,D4437&gt;=2010),"10"),"1908-1970")</f>
        <v>00</v>
      </c>
      <c r="F4437" s="3">
        <v>0.16666666666666666</v>
      </c>
      <c r="G4437" t="s">
        <v>25315</v>
      </c>
      <c r="H4437" t="s">
        <v>16326</v>
      </c>
      <c r="I4437">
        <v>139</v>
      </c>
      <c r="J4437" t="s">
        <v>25316</v>
      </c>
      <c r="K4437" t="s">
        <v>25317</v>
      </c>
      <c r="L4437" s="7" t="s">
        <v>25318</v>
      </c>
      <c r="M4437" t="s">
        <v>25319</v>
      </c>
      <c r="N4437">
        <v>117</v>
      </c>
      <c r="O4437">
        <v>106</v>
      </c>
      <c r="P4437">
        <v>11</v>
      </c>
      <c r="Q4437">
        <v>117</v>
      </c>
      <c r="R4437">
        <v>106</v>
      </c>
      <c r="S4437">
        <v>11</v>
      </c>
      <c r="T4437">
        <v>0</v>
      </c>
      <c r="U4437" t="s">
        <v>25320</v>
      </c>
      <c r="V4437">
        <f>Tabla1[[#This Row],[Aboard]]-Tabla1[[#This Row],[Fatalities]]</f>
        <v>0</v>
      </c>
      <c r="W4437" s="50">
        <f>IFERROR(Tabla1[[#This Row],[Fatalities]]/Tabla1[[#This Row],[Aboard]],0)</f>
        <v>1</v>
      </c>
      <c r="X4437" s="51" t="str" cm="1">
        <f t="array" ref="X4437">_xlfn.IFS(Tabla1[[#This Row],[Porcentaje de muertes]]&lt;0.35,"LEVE",AND(Tabla1[[#This Row],[Porcentaje de muertes]]&gt;0.35,Tabla1[[#This Row],[Porcentaje de muertes]]&lt;0.65),"MEDIO",Tabla1[[#This Row],[Porcentaje de muertes]]&gt;0.65,"GRAVE")</f>
        <v>GRAVE</v>
      </c>
    </row>
    <row r="4438" spans="2:24" x14ac:dyDescent="0.3">
      <c r="B4438" s="9">
        <v>4438</v>
      </c>
      <c r="C4438" s="49">
        <v>37815</v>
      </c>
      <c r="D4438" s="9">
        <f>YEAR(Tabla1[[#This Row],[Date]])</f>
        <v>2003</v>
      </c>
      <c r="E4438" s="9" t="str" cm="1">
        <f t="array" ref="E4438">IFERROR(_xlfn.IFS(AND(D4438&lt;1980,D4438&gt;=1970),"70",AND(D4438&lt;1990,D4438&gt;=1980),"80",AND(D4438&lt;2000,D4438&gt;=1990),"90",AND(D4438&lt;2010,D4438&gt;=2000),"00",AND(D4438&lt;=2019,D4438&gt;=2010),"10"),"1908-1970")</f>
        <v>00</v>
      </c>
      <c r="F4438" s="3">
        <v>0.51041666666666663</v>
      </c>
      <c r="G4438" t="s">
        <v>25321</v>
      </c>
      <c r="H4438" t="s">
        <v>25322</v>
      </c>
      <c r="I4438" t="s">
        <v>28931</v>
      </c>
      <c r="J4438" t="s">
        <v>25323</v>
      </c>
      <c r="K4438" t="s">
        <v>22315</v>
      </c>
      <c r="L4438" s="7" t="s">
        <v>25324</v>
      </c>
      <c r="M4438">
        <v>902505</v>
      </c>
      <c r="N4438">
        <v>10</v>
      </c>
      <c r="O4438">
        <v>8</v>
      </c>
      <c r="P4438">
        <v>2</v>
      </c>
      <c r="Q4438">
        <v>4</v>
      </c>
      <c r="R4438">
        <v>4</v>
      </c>
      <c r="S4438">
        <v>0</v>
      </c>
      <c r="T4438">
        <v>0</v>
      </c>
      <c r="U4438" t="s">
        <v>25325</v>
      </c>
      <c r="V4438">
        <f>Tabla1[[#This Row],[Aboard]]-Tabla1[[#This Row],[Fatalities]]</f>
        <v>6</v>
      </c>
      <c r="W4438" s="50">
        <f>IFERROR(Tabla1[[#This Row],[Fatalities]]/Tabla1[[#This Row],[Aboard]],0)</f>
        <v>0.4</v>
      </c>
      <c r="X4438" s="51" t="str" cm="1">
        <f t="array" ref="X4438">_xlfn.IFS(Tabla1[[#This Row],[Porcentaje de muertes]]&lt;0.35,"LEVE",AND(Tabla1[[#This Row],[Porcentaje de muertes]]&gt;0.35,Tabla1[[#This Row],[Porcentaje de muertes]]&lt;0.65),"MEDIO",Tabla1[[#This Row],[Porcentaje de muertes]]&gt;0.65,"GRAVE")</f>
        <v>MEDIO</v>
      </c>
    </row>
    <row r="4439" spans="2:24" x14ac:dyDescent="0.3">
      <c r="B4439" s="9">
        <v>4439</v>
      </c>
      <c r="C4439" s="49">
        <v>37815</v>
      </c>
      <c r="D4439" s="9">
        <f>YEAR(Tabla1[[#This Row],[Date]])</f>
        <v>2003</v>
      </c>
      <c r="E4439" s="9" t="str" cm="1">
        <f t="array" ref="E4439">IFERROR(_xlfn.IFS(AND(D4439&lt;1980,D4439&gt;=1970),"70",AND(D4439&lt;1990,D4439&gt;=1980),"80",AND(D4439&lt;2000,D4439&gt;=1990),"90",AND(D4439&lt;2010,D4439&gt;=2000),"00",AND(D4439&lt;=2019,D4439&gt;=2010),"10"),"1908-1970")</f>
        <v>00</v>
      </c>
      <c r="F4439" s="3">
        <v>0.64583333333333337</v>
      </c>
      <c r="G4439" t="s">
        <v>25326</v>
      </c>
      <c r="H4439" t="s">
        <v>25327</v>
      </c>
      <c r="I4439" t="s">
        <v>28931</v>
      </c>
      <c r="J4439" t="s">
        <v>25328</v>
      </c>
      <c r="K4439" t="s">
        <v>19669</v>
      </c>
      <c r="L4439" s="7" t="s">
        <v>25329</v>
      </c>
      <c r="M4439" t="s">
        <v>25330</v>
      </c>
      <c r="N4439">
        <v>10</v>
      </c>
      <c r="O4439">
        <v>9</v>
      </c>
      <c r="P4439">
        <v>1</v>
      </c>
      <c r="Q4439">
        <v>2</v>
      </c>
      <c r="R4439">
        <v>2</v>
      </c>
      <c r="S4439">
        <v>0</v>
      </c>
      <c r="T4439">
        <v>0</v>
      </c>
      <c r="U4439" t="s">
        <v>25331</v>
      </c>
      <c r="V4439">
        <f>Tabla1[[#This Row],[Aboard]]-Tabla1[[#This Row],[Fatalities]]</f>
        <v>8</v>
      </c>
      <c r="W4439" s="50">
        <f>IFERROR(Tabla1[[#This Row],[Fatalities]]/Tabla1[[#This Row],[Aboard]],0)</f>
        <v>0.2</v>
      </c>
      <c r="X4439" s="51" t="str" cm="1">
        <f t="array" ref="X4439">_xlfn.IFS(Tabla1[[#This Row],[Porcentaje de muertes]]&lt;0.35,"LEVE",AND(Tabla1[[#This Row],[Porcentaje de muertes]]&gt;0.35,Tabla1[[#This Row],[Porcentaje de muertes]]&lt;0.65),"MEDIO",Tabla1[[#This Row],[Porcentaje de muertes]]&gt;0.65,"GRAVE")</f>
        <v>LEVE</v>
      </c>
    </row>
    <row r="4440" spans="2:24" x14ac:dyDescent="0.3">
      <c r="B4440" s="9">
        <v>4440</v>
      </c>
      <c r="C4440" s="49">
        <v>37821</v>
      </c>
      <c r="D4440" s="9">
        <f>YEAR(Tabla1[[#This Row],[Date]])</f>
        <v>2003</v>
      </c>
      <c r="E4440" s="9" t="str" cm="1">
        <f t="array" ref="E4440">IFERROR(_xlfn.IFS(AND(D4440&lt;1980,D4440&gt;=1970),"70",AND(D4440&lt;1990,D4440&gt;=1980),"80",AND(D4440&lt;2000,D4440&gt;=1990),"90",AND(D4440&lt;2010,D4440&gt;=2000),"00",AND(D4440&lt;=2019,D4440&gt;=2010),"10"),"1908-1970")</f>
        <v>00</v>
      </c>
      <c r="F4440" s="3">
        <v>0.75</v>
      </c>
      <c r="G4440" t="s">
        <v>25332</v>
      </c>
      <c r="H4440" t="s">
        <v>25333</v>
      </c>
      <c r="I4440" t="s">
        <v>8152</v>
      </c>
      <c r="J4440" t="s">
        <v>25334</v>
      </c>
      <c r="K4440" t="s">
        <v>23617</v>
      </c>
      <c r="L4440" s="7" t="s">
        <v>25335</v>
      </c>
      <c r="M4440" t="s">
        <v>25336</v>
      </c>
      <c r="N4440">
        <v>14</v>
      </c>
      <c r="O4440">
        <v>12</v>
      </c>
      <c r="P4440">
        <v>2</v>
      </c>
      <c r="Q4440">
        <v>14</v>
      </c>
      <c r="R4440">
        <v>12</v>
      </c>
      <c r="S4440">
        <v>2</v>
      </c>
      <c r="T4440">
        <v>0</v>
      </c>
      <c r="U4440" t="s">
        <v>25337</v>
      </c>
      <c r="V4440">
        <f>Tabla1[[#This Row],[Aboard]]-Tabla1[[#This Row],[Fatalities]]</f>
        <v>0</v>
      </c>
      <c r="W4440" s="50">
        <f>IFERROR(Tabla1[[#This Row],[Fatalities]]/Tabla1[[#This Row],[Aboard]],0)</f>
        <v>1</v>
      </c>
      <c r="X4440" s="51" t="str" cm="1">
        <f t="array" ref="X4440">_xlfn.IFS(Tabla1[[#This Row],[Porcentaje de muertes]]&lt;0.35,"LEVE",AND(Tabla1[[#This Row],[Porcentaje de muertes]]&gt;0.35,Tabla1[[#This Row],[Porcentaje de muertes]]&lt;0.65),"MEDIO",Tabla1[[#This Row],[Porcentaje de muertes]]&gt;0.65,"GRAVE")</f>
        <v>GRAVE</v>
      </c>
    </row>
    <row r="4441" spans="2:24" x14ac:dyDescent="0.3">
      <c r="B4441" s="9">
        <v>4441</v>
      </c>
      <c r="C4441" s="49">
        <v>37825</v>
      </c>
      <c r="D4441" s="9">
        <f>YEAR(Tabla1[[#This Row],[Date]])</f>
        <v>2003</v>
      </c>
      <c r="E4441" s="9" t="str" cm="1">
        <f t="array" ref="E4441">IFERROR(_xlfn.IFS(AND(D4441&lt;1980,D4441&gt;=1970),"70",AND(D4441&lt;1990,D4441&gt;=1980),"80",AND(D4441&lt;2000,D4441&gt;=1990),"90",AND(D4441&lt;2010,D4441&gt;=2000),"00",AND(D4441&lt;=2019,D4441&gt;=2010),"10"),"1908-1970")</f>
        <v>00</v>
      </c>
      <c r="F4441" s="3">
        <v>0.37013888888888885</v>
      </c>
      <c r="G4441" t="s">
        <v>25338</v>
      </c>
      <c r="H4441" t="s">
        <v>25339</v>
      </c>
      <c r="I4441" t="s">
        <v>28931</v>
      </c>
      <c r="J4441" t="s">
        <v>5494</v>
      </c>
      <c r="K4441" t="s">
        <v>16731</v>
      </c>
      <c r="L4441" s="7" t="s">
        <v>18217</v>
      </c>
      <c r="M4441">
        <v>1695</v>
      </c>
      <c r="N4441">
        <v>5</v>
      </c>
      <c r="O4441">
        <v>4</v>
      </c>
      <c r="P4441">
        <v>1</v>
      </c>
      <c r="Q4441">
        <v>5</v>
      </c>
      <c r="R4441">
        <v>4</v>
      </c>
      <c r="S4441">
        <v>1</v>
      </c>
      <c r="T4441">
        <v>0</v>
      </c>
      <c r="U4441" t="s">
        <v>25340</v>
      </c>
      <c r="V4441">
        <f>Tabla1[[#This Row],[Aboard]]-Tabla1[[#This Row],[Fatalities]]</f>
        <v>0</v>
      </c>
      <c r="W4441" s="50">
        <f>IFERROR(Tabla1[[#This Row],[Fatalities]]/Tabla1[[#This Row],[Aboard]],0)</f>
        <v>1</v>
      </c>
      <c r="X4441" s="51" t="str" cm="1">
        <f t="array" ref="X4441">_xlfn.IFS(Tabla1[[#This Row],[Porcentaje de muertes]]&lt;0.35,"LEVE",AND(Tabla1[[#This Row],[Porcentaje de muertes]]&gt;0.35,Tabla1[[#This Row],[Porcentaje de muertes]]&lt;0.65),"MEDIO",Tabla1[[#This Row],[Porcentaje de muertes]]&gt;0.65,"GRAVE")</f>
        <v>GRAVE</v>
      </c>
    </row>
    <row r="4442" spans="2:24" x14ac:dyDescent="0.3">
      <c r="B4442" s="9">
        <v>4442</v>
      </c>
      <c r="C4442" s="49">
        <v>37719</v>
      </c>
      <c r="D4442" s="9">
        <f>YEAR(Tabla1[[#This Row],[Date]])</f>
        <v>2003</v>
      </c>
      <c r="E4442" s="9" t="str" cm="1">
        <f t="array" ref="E4442">IFERROR(_xlfn.IFS(AND(D4442&lt;1980,D4442&gt;=1970),"70",AND(D4442&lt;1990,D4442&gt;=1980),"80",AND(D4442&lt;2000,D4442&gt;=1990),"90",AND(D4442&lt;2010,D4442&gt;=2000),"00",AND(D4442&lt;=2019,D4442&gt;=2010),"10"),"1908-1970")</f>
        <v>00</v>
      </c>
      <c r="F4442" s="3">
        <v>0.27708333333333335</v>
      </c>
      <c r="G4442" t="s">
        <v>25341</v>
      </c>
      <c r="H4442" t="s">
        <v>25342</v>
      </c>
      <c r="I4442" t="s">
        <v>28931</v>
      </c>
      <c r="J4442" t="s">
        <v>25343</v>
      </c>
      <c r="K4442" t="s">
        <v>25344</v>
      </c>
      <c r="L4442" s="7" t="s">
        <v>25345</v>
      </c>
      <c r="M4442" t="s">
        <v>25346</v>
      </c>
      <c r="N4442">
        <v>2</v>
      </c>
      <c r="O4442">
        <v>0</v>
      </c>
      <c r="P4442">
        <v>2</v>
      </c>
      <c r="Q4442">
        <v>2</v>
      </c>
      <c r="R4442">
        <v>0</v>
      </c>
      <c r="S4442">
        <v>2</v>
      </c>
      <c r="T4442">
        <v>0</v>
      </c>
      <c r="U4442" t="s">
        <v>25347</v>
      </c>
      <c r="V4442">
        <f>Tabla1[[#This Row],[Aboard]]-Tabla1[[#This Row],[Fatalities]]</f>
        <v>0</v>
      </c>
      <c r="W4442" s="50">
        <f>IFERROR(Tabla1[[#This Row],[Fatalities]]/Tabla1[[#This Row],[Aboard]],0)</f>
        <v>1</v>
      </c>
      <c r="X4442" s="51" t="str" cm="1">
        <f t="array" ref="X4442">_xlfn.IFS(Tabla1[[#This Row],[Porcentaje de muertes]]&lt;0.35,"LEVE",AND(Tabla1[[#This Row],[Porcentaje de muertes]]&gt;0.35,Tabla1[[#This Row],[Porcentaje de muertes]]&lt;0.65),"MEDIO",Tabla1[[#This Row],[Porcentaje de muertes]]&gt;0.65,"GRAVE")</f>
        <v>GRAVE</v>
      </c>
    </row>
    <row r="4443" spans="2:24" x14ac:dyDescent="0.3">
      <c r="B4443" s="9">
        <v>4443</v>
      </c>
      <c r="C4443" s="49">
        <v>37841</v>
      </c>
      <c r="D4443" s="9">
        <f>YEAR(Tabla1[[#This Row],[Date]])</f>
        <v>2003</v>
      </c>
      <c r="E4443" s="9" t="str" cm="1">
        <f t="array" ref="E4443">IFERROR(_xlfn.IFS(AND(D4443&lt;1980,D4443&gt;=1970),"70",AND(D4443&lt;1990,D4443&gt;=1980),"80",AND(D4443&lt;2000,D4443&gt;=1990),"90",AND(D4443&lt;2010,D4443&gt;=2000),"00",AND(D4443&lt;=2019,D4443&gt;=2010),"10"),"1908-1970")</f>
        <v>00</v>
      </c>
      <c r="F4443" s="3">
        <v>0.3972222222222222</v>
      </c>
      <c r="G4443" t="s">
        <v>25348</v>
      </c>
      <c r="H4443" t="s">
        <v>25349</v>
      </c>
      <c r="I4443" t="s">
        <v>28931</v>
      </c>
      <c r="J4443" t="s">
        <v>25350</v>
      </c>
      <c r="K4443" t="s">
        <v>25298</v>
      </c>
      <c r="L4443" s="7" t="s">
        <v>25351</v>
      </c>
      <c r="M4443" t="s">
        <v>25352</v>
      </c>
      <c r="N4443">
        <v>16</v>
      </c>
      <c r="O4443">
        <v>14</v>
      </c>
      <c r="P4443">
        <v>2</v>
      </c>
      <c r="Q4443">
        <v>1</v>
      </c>
      <c r="R4443">
        <v>0</v>
      </c>
      <c r="S4443">
        <v>1</v>
      </c>
      <c r="T4443">
        <v>0</v>
      </c>
      <c r="U4443" t="s">
        <v>25353</v>
      </c>
      <c r="V4443">
        <f>Tabla1[[#This Row],[Aboard]]-Tabla1[[#This Row],[Fatalities]]</f>
        <v>15</v>
      </c>
      <c r="W4443" s="50">
        <f>IFERROR(Tabla1[[#This Row],[Fatalities]]/Tabla1[[#This Row],[Aboard]],0)</f>
        <v>6.25E-2</v>
      </c>
      <c r="X4443" s="51" t="str" cm="1">
        <f t="array" ref="X4443">_xlfn.IFS(Tabla1[[#This Row],[Porcentaje de muertes]]&lt;0.35,"LEVE",AND(Tabla1[[#This Row],[Porcentaje de muertes]]&gt;0.35,Tabla1[[#This Row],[Porcentaje de muertes]]&lt;0.65),"MEDIO",Tabla1[[#This Row],[Porcentaje de muertes]]&gt;0.65,"GRAVE")</f>
        <v>LEVE</v>
      </c>
    </row>
    <row r="4444" spans="2:24" x14ac:dyDescent="0.3">
      <c r="B4444" s="9">
        <v>4444</v>
      </c>
      <c r="C4444" s="49">
        <v>37850</v>
      </c>
      <c r="D4444" s="9">
        <f>YEAR(Tabla1[[#This Row],[Date]])</f>
        <v>2003</v>
      </c>
      <c r="E4444" s="9" t="str" cm="1">
        <f t="array" ref="E4444">IFERROR(_xlfn.IFS(AND(D4444&lt;1980,D4444&gt;=1970),"70",AND(D4444&lt;1990,D4444&gt;=1980),"80",AND(D4444&lt;2000,D4444&gt;=1990),"90",AND(D4444&lt;2010,D4444&gt;=2000),"00",AND(D4444&lt;=2019,D4444&gt;=2010),"10"),"1908-1970")</f>
        <v>00</v>
      </c>
      <c r="F4444" s="3">
        <v>0.53402777777777777</v>
      </c>
      <c r="G4444" t="s">
        <v>23600</v>
      </c>
      <c r="H4444" t="s">
        <v>25354</v>
      </c>
      <c r="I4444" t="s">
        <v>28931</v>
      </c>
      <c r="J4444" t="s">
        <v>23461</v>
      </c>
      <c r="K4444" t="s">
        <v>25355</v>
      </c>
      <c r="L4444" s="7" t="s">
        <v>25356</v>
      </c>
      <c r="M4444" t="s">
        <v>28931</v>
      </c>
      <c r="N4444">
        <v>2</v>
      </c>
      <c r="O4444">
        <v>1</v>
      </c>
      <c r="P4444">
        <v>1</v>
      </c>
      <c r="Q4444">
        <v>2</v>
      </c>
      <c r="R4444">
        <v>1</v>
      </c>
      <c r="S4444">
        <v>1</v>
      </c>
      <c r="T4444">
        <v>0</v>
      </c>
      <c r="U4444" t="s">
        <v>25357</v>
      </c>
      <c r="V4444">
        <f>Tabla1[[#This Row],[Aboard]]-Tabla1[[#This Row],[Fatalities]]</f>
        <v>0</v>
      </c>
      <c r="W4444" s="50">
        <f>IFERROR(Tabla1[[#This Row],[Fatalities]]/Tabla1[[#This Row],[Aboard]],0)</f>
        <v>1</v>
      </c>
      <c r="X4444" s="51" t="str" cm="1">
        <f t="array" ref="X4444">_xlfn.IFS(Tabla1[[#This Row],[Porcentaje de muertes]]&lt;0.35,"LEVE",AND(Tabla1[[#This Row],[Porcentaje de muertes]]&gt;0.35,Tabla1[[#This Row],[Porcentaje de muertes]]&lt;0.65),"MEDIO",Tabla1[[#This Row],[Porcentaje de muertes]]&gt;0.65,"GRAVE")</f>
        <v>GRAVE</v>
      </c>
    </row>
    <row r="4445" spans="2:24" x14ac:dyDescent="0.3">
      <c r="B4445" s="9">
        <v>4445</v>
      </c>
      <c r="C4445" s="49">
        <v>37853</v>
      </c>
      <c r="D4445" s="9">
        <f>YEAR(Tabla1[[#This Row],[Date]])</f>
        <v>2003</v>
      </c>
      <c r="E4445" s="9" t="str" cm="1">
        <f t="array" ref="E4445">IFERROR(_xlfn.IFS(AND(D4445&lt;1980,D4445&gt;=1970),"70",AND(D4445&lt;1990,D4445&gt;=1980),"80",AND(D4445&lt;2000,D4445&gt;=1990),"90",AND(D4445&lt;2010,D4445&gt;=2000),"00",AND(D4445&lt;=2019,D4445&gt;=2010),"10"),"1908-1970")</f>
        <v>00</v>
      </c>
      <c r="F4445" s="3">
        <v>0.54513888888888895</v>
      </c>
      <c r="G4445" t="s">
        <v>25358</v>
      </c>
      <c r="H4445" t="s">
        <v>25359</v>
      </c>
      <c r="I4445" t="s">
        <v>28931</v>
      </c>
      <c r="J4445" t="s">
        <v>25360</v>
      </c>
      <c r="K4445" t="s">
        <v>24976</v>
      </c>
      <c r="L4445" s="7" t="s">
        <v>28931</v>
      </c>
      <c r="M4445" t="s">
        <v>28931</v>
      </c>
      <c r="N4445">
        <v>20</v>
      </c>
      <c r="O4445">
        <v>19</v>
      </c>
      <c r="P4445">
        <v>1</v>
      </c>
      <c r="Q4445">
        <v>20</v>
      </c>
      <c r="R4445">
        <v>19</v>
      </c>
      <c r="S4445">
        <v>1</v>
      </c>
      <c r="T4445">
        <v>0</v>
      </c>
      <c r="U4445" t="s">
        <v>25361</v>
      </c>
      <c r="V4445">
        <f>Tabla1[[#This Row],[Aboard]]-Tabla1[[#This Row],[Fatalities]]</f>
        <v>0</v>
      </c>
      <c r="W4445" s="50">
        <f>IFERROR(Tabla1[[#This Row],[Fatalities]]/Tabla1[[#This Row],[Aboard]],0)</f>
        <v>1</v>
      </c>
      <c r="X4445" s="51" t="str" cm="1">
        <f t="array" ref="X4445">_xlfn.IFS(Tabla1[[#This Row],[Porcentaje de muertes]]&lt;0.35,"LEVE",AND(Tabla1[[#This Row],[Porcentaje de muertes]]&gt;0.35,Tabla1[[#This Row],[Porcentaje de muertes]]&lt;0.65),"MEDIO",Tabla1[[#This Row],[Porcentaje de muertes]]&gt;0.65,"GRAVE")</f>
        <v>GRAVE</v>
      </c>
    </row>
    <row r="4446" spans="2:24" x14ac:dyDescent="0.3">
      <c r="B4446" s="9">
        <v>4446</v>
      </c>
      <c r="C4446" s="49">
        <v>37857</v>
      </c>
      <c r="D4446" s="9">
        <f>YEAR(Tabla1[[#This Row],[Date]])</f>
        <v>2003</v>
      </c>
      <c r="E4446" s="9" t="str" cm="1">
        <f t="array" ref="E4446">IFERROR(_xlfn.IFS(AND(D4446&lt;1980,D4446&gt;=1970),"70",AND(D4446&lt;1990,D4446&gt;=1980),"80",AND(D4446&lt;2000,D4446&gt;=1990),"90",AND(D4446&lt;2010,D4446&gt;=2000),"00",AND(D4446&lt;=2019,D4446&gt;=2010),"10"),"1908-1970")</f>
        <v>00</v>
      </c>
      <c r="F4446" s="3">
        <v>0.58333333333333337</v>
      </c>
      <c r="G4446" t="s">
        <v>25362</v>
      </c>
      <c r="H4446" t="s">
        <v>25363</v>
      </c>
      <c r="I4446">
        <v>1301</v>
      </c>
      <c r="J4446" t="s">
        <v>25364</v>
      </c>
      <c r="K4446" t="s">
        <v>25365</v>
      </c>
      <c r="L4446" s="7" t="s">
        <v>25366</v>
      </c>
      <c r="M4446">
        <v>861702</v>
      </c>
      <c r="N4446">
        <v>21</v>
      </c>
      <c r="O4446">
        <v>19</v>
      </c>
      <c r="P4446">
        <v>2</v>
      </c>
      <c r="Q4446">
        <v>21</v>
      </c>
      <c r="R4446">
        <v>19</v>
      </c>
      <c r="S4446">
        <v>2</v>
      </c>
      <c r="T4446">
        <v>0</v>
      </c>
      <c r="U4446" t="s">
        <v>25367</v>
      </c>
      <c r="V4446">
        <f>Tabla1[[#This Row],[Aboard]]-Tabla1[[#This Row],[Fatalities]]</f>
        <v>0</v>
      </c>
      <c r="W4446" s="50">
        <f>IFERROR(Tabla1[[#This Row],[Fatalities]]/Tabla1[[#This Row],[Aboard]],0)</f>
        <v>1</v>
      </c>
      <c r="X4446" s="51" t="str" cm="1">
        <f t="array" ref="X4446">_xlfn.IFS(Tabla1[[#This Row],[Porcentaje de muertes]]&lt;0.35,"LEVE",AND(Tabla1[[#This Row],[Porcentaje de muertes]]&gt;0.35,Tabla1[[#This Row],[Porcentaje de muertes]]&lt;0.65),"MEDIO",Tabla1[[#This Row],[Porcentaje de muertes]]&gt;0.65,"GRAVE")</f>
        <v>GRAVE</v>
      </c>
    </row>
    <row r="4447" spans="2:24" x14ac:dyDescent="0.3">
      <c r="B4447" s="9">
        <v>4447</v>
      </c>
      <c r="C4447" s="49">
        <v>37859</v>
      </c>
      <c r="D4447" s="9">
        <f>YEAR(Tabla1[[#This Row],[Date]])</f>
        <v>2003</v>
      </c>
      <c r="E4447" s="9" t="str" cm="1">
        <f t="array" ref="E4447">IFERROR(_xlfn.IFS(AND(D4447&lt;1980,D4447&gt;=1970),"70",AND(D4447&lt;1990,D4447&gt;=1980),"80",AND(D4447&lt;2000,D4447&gt;=1990),"90",AND(D4447&lt;2010,D4447&gt;=2000),"00",AND(D4447&lt;=2019,D4447&gt;=2010),"10"),"1908-1970")</f>
        <v>00</v>
      </c>
      <c r="F4447" s="3">
        <v>0.65138888888888891</v>
      </c>
      <c r="G4447" t="s">
        <v>25368</v>
      </c>
      <c r="H4447" t="s">
        <v>25369</v>
      </c>
      <c r="I4447">
        <v>9446</v>
      </c>
      <c r="J4447" t="s">
        <v>28931</v>
      </c>
      <c r="K4447" t="s">
        <v>25370</v>
      </c>
      <c r="L4447" s="7" t="s">
        <v>25371</v>
      </c>
      <c r="M4447">
        <v>24637</v>
      </c>
      <c r="N4447">
        <v>2</v>
      </c>
      <c r="O4447">
        <v>0</v>
      </c>
      <c r="P4447">
        <v>2</v>
      </c>
      <c r="Q4447">
        <v>2</v>
      </c>
      <c r="R4447">
        <v>0</v>
      </c>
      <c r="S4447">
        <v>2</v>
      </c>
      <c r="T4447">
        <v>0</v>
      </c>
      <c r="U4447" t="s">
        <v>25372</v>
      </c>
      <c r="V4447">
        <f>Tabla1[[#This Row],[Aboard]]-Tabla1[[#This Row],[Fatalities]]</f>
        <v>0</v>
      </c>
      <c r="W4447" s="50">
        <f>IFERROR(Tabla1[[#This Row],[Fatalities]]/Tabla1[[#This Row],[Aboard]],0)</f>
        <v>1</v>
      </c>
      <c r="X4447" s="51" t="str" cm="1">
        <f t="array" ref="X4447">_xlfn.IFS(Tabla1[[#This Row],[Porcentaje de muertes]]&lt;0.35,"LEVE",AND(Tabla1[[#This Row],[Porcentaje de muertes]]&gt;0.35,Tabla1[[#This Row],[Porcentaje de muertes]]&lt;0.65),"MEDIO",Tabla1[[#This Row],[Porcentaje de muertes]]&gt;0.65,"GRAVE")</f>
        <v>GRAVE</v>
      </c>
    </row>
    <row r="4448" spans="2:24" x14ac:dyDescent="0.3">
      <c r="B4448" s="9">
        <v>4448</v>
      </c>
      <c r="C4448" s="49">
        <v>37934</v>
      </c>
      <c r="D4448" s="9">
        <f>YEAR(Tabla1[[#This Row],[Date]])</f>
        <v>2003</v>
      </c>
      <c r="E4448" s="9" t="str" cm="1">
        <f t="array" ref="E4448">IFERROR(_xlfn.IFS(AND(D4448&lt;1980,D4448&gt;=1970),"70",AND(D4448&lt;1990,D4448&gt;=1980),"80",AND(D4448&lt;2000,D4448&gt;=1990),"90",AND(D4448&lt;2010,D4448&gt;=2000),"00",AND(D4448&lt;=2019,D4448&gt;=2010),"10"),"1908-1970")</f>
        <v>00</v>
      </c>
      <c r="F4448" s="3">
        <v>0.85416666666666663</v>
      </c>
      <c r="G4448" t="s">
        <v>25373</v>
      </c>
      <c r="H4448" t="s">
        <v>25374</v>
      </c>
      <c r="I4448">
        <v>125</v>
      </c>
      <c r="J4448" t="s">
        <v>25375</v>
      </c>
      <c r="K4448" t="s">
        <v>25298</v>
      </c>
      <c r="L4448" s="7" t="s">
        <v>25376</v>
      </c>
      <c r="M4448" t="s">
        <v>25377</v>
      </c>
      <c r="N4448">
        <v>8</v>
      </c>
      <c r="O4448">
        <v>7</v>
      </c>
      <c r="P4448">
        <v>1</v>
      </c>
      <c r="Q4448">
        <v>8</v>
      </c>
      <c r="R4448">
        <v>7</v>
      </c>
      <c r="S4448">
        <v>1</v>
      </c>
      <c r="T4448">
        <v>0</v>
      </c>
      <c r="U4448" t="s">
        <v>25378</v>
      </c>
      <c r="V4448">
        <f>Tabla1[[#This Row],[Aboard]]-Tabla1[[#This Row],[Fatalities]]</f>
        <v>0</v>
      </c>
      <c r="W4448" s="50">
        <f>IFERROR(Tabla1[[#This Row],[Fatalities]]/Tabla1[[#This Row],[Aboard]],0)</f>
        <v>1</v>
      </c>
      <c r="X4448" s="51" t="str" cm="1">
        <f t="array" ref="X4448">_xlfn.IFS(Tabla1[[#This Row],[Porcentaje de muertes]]&lt;0.35,"LEVE",AND(Tabla1[[#This Row],[Porcentaje de muertes]]&gt;0.35,Tabla1[[#This Row],[Porcentaje de muertes]]&lt;0.65),"MEDIO",Tabla1[[#This Row],[Porcentaje de muertes]]&gt;0.65,"GRAVE")</f>
        <v>GRAVE</v>
      </c>
    </row>
    <row r="4449" spans="2:24" x14ac:dyDescent="0.3">
      <c r="B4449" s="9">
        <v>4449</v>
      </c>
      <c r="C4449" s="49">
        <v>37883</v>
      </c>
      <c r="D4449" s="9">
        <f>YEAR(Tabla1[[#This Row],[Date]])</f>
        <v>2003</v>
      </c>
      <c r="E4449" s="9" t="str" cm="1">
        <f t="array" ref="E4449">IFERROR(_xlfn.IFS(AND(D4449&lt;1980,D4449&gt;=1970),"70",AND(D4449&lt;1990,D4449&gt;=1980),"80",AND(D4449&lt;2000,D4449&gt;=1990),"90",AND(D4449&lt;2010,D4449&gt;=2000),"00",AND(D4449&lt;=2019,D4449&gt;=2010),"10"),"1908-1970")</f>
        <v>00</v>
      </c>
      <c r="F4449" s="3">
        <v>0.83333333333333337</v>
      </c>
      <c r="G4449" t="s">
        <v>25379</v>
      </c>
      <c r="H4449" t="s">
        <v>8970</v>
      </c>
      <c r="I4449" t="s">
        <v>28931</v>
      </c>
      <c r="J4449" t="s">
        <v>25380</v>
      </c>
      <c r="K4449" t="s">
        <v>12471</v>
      </c>
      <c r="L4449" s="7">
        <v>3603</v>
      </c>
      <c r="M4449">
        <v>3025</v>
      </c>
      <c r="N4449">
        <v>6</v>
      </c>
      <c r="O4449">
        <v>0</v>
      </c>
      <c r="P4449">
        <v>6</v>
      </c>
      <c r="Q4449">
        <v>6</v>
      </c>
      <c r="R4449">
        <v>0</v>
      </c>
      <c r="S4449">
        <v>6</v>
      </c>
      <c r="T4449">
        <v>0</v>
      </c>
      <c r="U4449" t="s">
        <v>25381</v>
      </c>
      <c r="V4449">
        <f>Tabla1[[#This Row],[Aboard]]-Tabla1[[#This Row],[Fatalities]]</f>
        <v>0</v>
      </c>
      <c r="W4449" s="50">
        <f>IFERROR(Tabla1[[#This Row],[Fatalities]]/Tabla1[[#This Row],[Aboard]],0)</f>
        <v>1</v>
      </c>
      <c r="X4449" s="51" t="str" cm="1">
        <f t="array" ref="X4449">_xlfn.IFS(Tabla1[[#This Row],[Porcentaje de muertes]]&lt;0.35,"LEVE",AND(Tabla1[[#This Row],[Porcentaje de muertes]]&gt;0.35,Tabla1[[#This Row],[Porcentaje de muertes]]&lt;0.65),"MEDIO",Tabla1[[#This Row],[Porcentaje de muertes]]&gt;0.65,"GRAVE")</f>
        <v>GRAVE</v>
      </c>
    </row>
    <row r="4450" spans="2:24" x14ac:dyDescent="0.3">
      <c r="B4450" s="9">
        <v>4450</v>
      </c>
      <c r="C4450" s="49">
        <v>37883</v>
      </c>
      <c r="D4450" s="9">
        <f>YEAR(Tabla1[[#This Row],[Date]])</f>
        <v>2003</v>
      </c>
      <c r="E4450" s="9" t="str" cm="1">
        <f t="array" ref="E4450">IFERROR(_xlfn.IFS(AND(D4450&lt;1980,D4450&gt;=1970),"70",AND(D4450&lt;1990,D4450&gt;=1980),"80",AND(D4450&lt;2000,D4450&gt;=1990),"90",AND(D4450&lt;2010,D4450&gt;=2000),"00",AND(D4450&lt;=2019,D4450&gt;=2010),"10"),"1908-1970")</f>
        <v>00</v>
      </c>
      <c r="F4450" s="3">
        <v>0.71527777777777779</v>
      </c>
      <c r="G4450" t="s">
        <v>25382</v>
      </c>
      <c r="H4450" t="s">
        <v>24725</v>
      </c>
      <c r="I4450">
        <v>982</v>
      </c>
      <c r="J4450" t="s">
        <v>25383</v>
      </c>
      <c r="K4450" t="s">
        <v>24833</v>
      </c>
      <c r="L4450" s="7" t="s">
        <v>25384</v>
      </c>
      <c r="M4450" t="s">
        <v>25385</v>
      </c>
      <c r="N4450">
        <v>2</v>
      </c>
      <c r="O4450">
        <v>0</v>
      </c>
      <c r="P4450">
        <v>2</v>
      </c>
      <c r="Q4450">
        <v>1</v>
      </c>
      <c r="R4450">
        <v>0</v>
      </c>
      <c r="S4450">
        <v>1</v>
      </c>
      <c r="T4450">
        <v>0</v>
      </c>
      <c r="U4450" t="s">
        <v>25386</v>
      </c>
      <c r="V4450">
        <f>Tabla1[[#This Row],[Aboard]]-Tabla1[[#This Row],[Fatalities]]</f>
        <v>1</v>
      </c>
      <c r="W4450" s="50">
        <f>IFERROR(Tabla1[[#This Row],[Fatalities]]/Tabla1[[#This Row],[Aboard]],0)</f>
        <v>0.5</v>
      </c>
      <c r="X4450" s="51" t="str" cm="1">
        <f t="array" ref="X4450">_xlfn.IFS(Tabla1[[#This Row],[Porcentaje de muertes]]&lt;0.35,"LEVE",AND(Tabla1[[#This Row],[Porcentaje de muertes]]&gt;0.35,Tabla1[[#This Row],[Porcentaje de muertes]]&lt;0.65),"MEDIO",Tabla1[[#This Row],[Porcentaje de muertes]]&gt;0.65,"GRAVE")</f>
        <v>MEDIO</v>
      </c>
    </row>
    <row r="4451" spans="2:24" x14ac:dyDescent="0.3">
      <c r="B4451" s="9">
        <v>4451</v>
      </c>
      <c r="C4451" s="49">
        <v>37884</v>
      </c>
      <c r="D4451" s="9">
        <f>YEAR(Tabla1[[#This Row],[Date]])</f>
        <v>2003</v>
      </c>
      <c r="E4451" s="9" t="str" cm="1">
        <f t="array" ref="E4451">IFERROR(_xlfn.IFS(AND(D4451&lt;1980,D4451&gt;=1970),"70",AND(D4451&lt;1990,D4451&gt;=1980),"80",AND(D4451&lt;2000,D4451&gt;=1990),"90",AND(D4451&lt;2010,D4451&gt;=2000),"00",AND(D4451&lt;=2019,D4451&gt;=2010),"10"),"1908-1970")</f>
        <v>00</v>
      </c>
      <c r="F4451" s="3">
        <v>0.82986111111111116</v>
      </c>
      <c r="G4451" t="s">
        <v>24713</v>
      </c>
      <c r="H4451" t="s">
        <v>25387</v>
      </c>
      <c r="I4451" t="s">
        <v>28931</v>
      </c>
      <c r="J4451" t="s">
        <v>5494</v>
      </c>
      <c r="K4451" t="s">
        <v>25388</v>
      </c>
      <c r="L4451" s="7" t="s">
        <v>25389</v>
      </c>
      <c r="M4451">
        <v>1864</v>
      </c>
      <c r="N4451">
        <v>7</v>
      </c>
      <c r="O4451">
        <v>6</v>
      </c>
      <c r="P4451">
        <v>1</v>
      </c>
      <c r="Q4451">
        <v>7</v>
      </c>
      <c r="R4451">
        <v>6</v>
      </c>
      <c r="S4451">
        <v>1</v>
      </c>
      <c r="T4451">
        <v>0</v>
      </c>
      <c r="U4451" t="s">
        <v>25390</v>
      </c>
      <c r="V4451">
        <f>Tabla1[[#This Row],[Aboard]]-Tabla1[[#This Row],[Fatalities]]</f>
        <v>0</v>
      </c>
      <c r="W4451" s="50">
        <f>IFERROR(Tabla1[[#This Row],[Fatalities]]/Tabla1[[#This Row],[Aboard]],0)</f>
        <v>1</v>
      </c>
      <c r="X4451" s="51" t="str" cm="1">
        <f t="array" ref="X4451">_xlfn.IFS(Tabla1[[#This Row],[Porcentaje de muertes]]&lt;0.35,"LEVE",AND(Tabla1[[#This Row],[Porcentaje de muertes]]&gt;0.35,Tabla1[[#This Row],[Porcentaje de muertes]]&lt;0.65),"MEDIO",Tabla1[[#This Row],[Porcentaje de muertes]]&gt;0.65,"GRAVE")</f>
        <v>GRAVE</v>
      </c>
    </row>
    <row r="4452" spans="2:24" x14ac:dyDescent="0.3">
      <c r="B4452" s="9">
        <v>4452</v>
      </c>
      <c r="C4452" s="49">
        <v>37891</v>
      </c>
      <c r="D4452" s="9">
        <f>YEAR(Tabla1[[#This Row],[Date]])</f>
        <v>2003</v>
      </c>
      <c r="E4452" s="9" t="str" cm="1">
        <f t="array" ref="E4452">IFERROR(_xlfn.IFS(AND(D4452&lt;1980,D4452&gt;=1970),"70",AND(D4452&lt;1990,D4452&gt;=1980),"80",AND(D4452&lt;2000,D4452&gt;=1990),"90",AND(D4452&lt;2010,D4452&gt;=2000),"00",AND(D4452&lt;=2019,D4452&gt;=2010),"10"),"1908-1970")</f>
        <v>00</v>
      </c>
      <c r="F4452" s="3">
        <v>0.7895833333333333</v>
      </c>
      <c r="G4452" t="s">
        <v>25391</v>
      </c>
      <c r="H4452" t="s">
        <v>25392</v>
      </c>
      <c r="I4452" t="s">
        <v>28931</v>
      </c>
      <c r="J4452" t="s">
        <v>25393</v>
      </c>
      <c r="K4452" t="s">
        <v>25394</v>
      </c>
      <c r="L4452" s="7" t="s">
        <v>25395</v>
      </c>
      <c r="M4452">
        <v>31306</v>
      </c>
      <c r="N4452">
        <v>3</v>
      </c>
      <c r="O4452">
        <v>2</v>
      </c>
      <c r="P4452">
        <v>1</v>
      </c>
      <c r="Q4452">
        <v>3</v>
      </c>
      <c r="R4452">
        <v>2</v>
      </c>
      <c r="S4452">
        <v>1</v>
      </c>
      <c r="T4452">
        <v>0</v>
      </c>
      <c r="U4452" t="s">
        <v>25396</v>
      </c>
      <c r="V4452">
        <f>Tabla1[[#This Row],[Aboard]]-Tabla1[[#This Row],[Fatalities]]</f>
        <v>0</v>
      </c>
      <c r="W4452" s="50">
        <f>IFERROR(Tabla1[[#This Row],[Fatalities]]/Tabla1[[#This Row],[Aboard]],0)</f>
        <v>1</v>
      </c>
      <c r="X4452" s="51" t="str" cm="1">
        <f t="array" ref="X4452">_xlfn.IFS(Tabla1[[#This Row],[Porcentaje de muertes]]&lt;0.35,"LEVE",AND(Tabla1[[#This Row],[Porcentaje de muertes]]&gt;0.35,Tabla1[[#This Row],[Porcentaje de muertes]]&lt;0.65),"MEDIO",Tabla1[[#This Row],[Porcentaje de muertes]]&gt;0.65,"GRAVE")</f>
        <v>GRAVE</v>
      </c>
    </row>
    <row r="4453" spans="2:24" x14ac:dyDescent="0.3">
      <c r="B4453" s="9">
        <v>4453</v>
      </c>
      <c r="C4453" s="49">
        <v>37690</v>
      </c>
      <c r="D4453" s="9">
        <f>YEAR(Tabla1[[#This Row],[Date]])</f>
        <v>2003</v>
      </c>
      <c r="E4453" s="9" t="str" cm="1">
        <f t="array" ref="E4453">IFERROR(_xlfn.IFS(AND(D4453&lt;1980,D4453&gt;=1970),"70",AND(D4453&lt;1990,D4453&gt;=1980),"80",AND(D4453&lt;2000,D4453&gt;=1990),"90",AND(D4453&lt;2010,D4453&gt;=2000),"00",AND(D4453&lt;=2019,D4453&gt;=2010),"10"),"1908-1970")</f>
        <v>00</v>
      </c>
      <c r="F4453" s="3" t="s">
        <v>28931</v>
      </c>
      <c r="G4453" t="s">
        <v>25397</v>
      </c>
      <c r="H4453" t="s">
        <v>25398</v>
      </c>
      <c r="I4453" t="s">
        <v>28931</v>
      </c>
      <c r="J4453" t="s">
        <v>25399</v>
      </c>
      <c r="K4453" t="s">
        <v>25264</v>
      </c>
      <c r="L4453" s="7" t="s">
        <v>25400</v>
      </c>
      <c r="M4453" t="s">
        <v>28931</v>
      </c>
      <c r="N4453">
        <v>4</v>
      </c>
      <c r="O4453">
        <v>3</v>
      </c>
      <c r="P4453">
        <v>1</v>
      </c>
      <c r="Q4453">
        <v>4</v>
      </c>
      <c r="R4453">
        <v>3</v>
      </c>
      <c r="S4453">
        <v>1</v>
      </c>
      <c r="T4453">
        <v>0</v>
      </c>
      <c r="U4453" t="s">
        <v>25401</v>
      </c>
      <c r="V4453">
        <f>Tabla1[[#This Row],[Aboard]]-Tabla1[[#This Row],[Fatalities]]</f>
        <v>0</v>
      </c>
      <c r="W4453" s="50">
        <f>IFERROR(Tabla1[[#This Row],[Fatalities]]/Tabla1[[#This Row],[Aboard]],0)</f>
        <v>1</v>
      </c>
      <c r="X4453" s="51" t="str" cm="1">
        <f t="array" ref="X4453">_xlfn.IFS(Tabla1[[#This Row],[Porcentaje de muertes]]&lt;0.35,"LEVE",AND(Tabla1[[#This Row],[Porcentaje de muertes]]&gt;0.35,Tabla1[[#This Row],[Porcentaje de muertes]]&lt;0.65),"MEDIO",Tabla1[[#This Row],[Porcentaje de muertes]]&gt;0.65,"GRAVE")</f>
        <v>GRAVE</v>
      </c>
    </row>
    <row r="4454" spans="2:24" x14ac:dyDescent="0.3">
      <c r="B4454" s="9">
        <v>4454</v>
      </c>
      <c r="C4454" s="49">
        <v>37690</v>
      </c>
      <c r="D4454" s="9">
        <f>YEAR(Tabla1[[#This Row],[Date]])</f>
        <v>2003</v>
      </c>
      <c r="E4454" s="9" t="str" cm="1">
        <f t="array" ref="E4454">IFERROR(_xlfn.IFS(AND(D4454&lt;1980,D4454&gt;=1970),"70",AND(D4454&lt;1990,D4454&gt;=1980),"80",AND(D4454&lt;2000,D4454&gt;=1990),"90",AND(D4454&lt;2010,D4454&gt;=2000),"00",AND(D4454&lt;=2019,D4454&gt;=2010),"10"),"1908-1970")</f>
        <v>00</v>
      </c>
      <c r="F4454" s="3">
        <v>0.89236111111111116</v>
      </c>
      <c r="G4454" t="s">
        <v>25402</v>
      </c>
      <c r="H4454" t="s">
        <v>20963</v>
      </c>
      <c r="I4454">
        <v>642</v>
      </c>
      <c r="J4454" t="s">
        <v>25403</v>
      </c>
      <c r="K4454" t="s">
        <v>25404</v>
      </c>
      <c r="L4454" s="7" t="s">
        <v>25405</v>
      </c>
      <c r="M4454">
        <v>17</v>
      </c>
      <c r="N4454">
        <v>2</v>
      </c>
      <c r="O4454">
        <v>0</v>
      </c>
      <c r="P4454">
        <v>2</v>
      </c>
      <c r="Q4454">
        <v>2</v>
      </c>
      <c r="R4454">
        <v>0</v>
      </c>
      <c r="S4454">
        <v>2</v>
      </c>
      <c r="T4454">
        <v>0</v>
      </c>
      <c r="U4454" t="s">
        <v>25406</v>
      </c>
      <c r="V4454">
        <f>Tabla1[[#This Row],[Aboard]]-Tabla1[[#This Row],[Fatalities]]</f>
        <v>0</v>
      </c>
      <c r="W4454" s="50">
        <f>IFERROR(Tabla1[[#This Row],[Fatalities]]/Tabla1[[#This Row],[Aboard]],0)</f>
        <v>1</v>
      </c>
      <c r="X4454" s="51" t="str" cm="1">
        <f t="array" ref="X4454">_xlfn.IFS(Tabla1[[#This Row],[Porcentaje de muertes]]&lt;0.35,"LEVE",AND(Tabla1[[#This Row],[Porcentaje de muertes]]&gt;0.35,Tabla1[[#This Row],[Porcentaje de muertes]]&lt;0.65),"MEDIO",Tabla1[[#This Row],[Porcentaje de muertes]]&gt;0.65,"GRAVE")</f>
        <v>GRAVE</v>
      </c>
    </row>
    <row r="4455" spans="2:24" x14ac:dyDescent="0.3">
      <c r="B4455" s="9">
        <v>4455</v>
      </c>
      <c r="C4455" s="49">
        <v>37935</v>
      </c>
      <c r="D4455" s="9">
        <f>YEAR(Tabla1[[#This Row],[Date]])</f>
        <v>2003</v>
      </c>
      <c r="E4455" s="9" t="str" cm="1">
        <f t="array" ref="E4455">IFERROR(_xlfn.IFS(AND(D4455&lt;1980,D4455&gt;=1970),"70",AND(D4455&lt;1990,D4455&gt;=1980),"80",AND(D4455&lt;2000,D4455&gt;=1990),"90",AND(D4455&lt;2010,D4455&gt;=2000),"00",AND(D4455&lt;=2019,D4455&gt;=2010),"10"),"1908-1970")</f>
        <v>00</v>
      </c>
      <c r="F4455" s="3">
        <v>0.66666666666666663</v>
      </c>
      <c r="G4455" t="s">
        <v>25407</v>
      </c>
      <c r="H4455" t="s">
        <v>25408</v>
      </c>
      <c r="I4455" t="s">
        <v>28931</v>
      </c>
      <c r="J4455" t="s">
        <v>28931</v>
      </c>
      <c r="K4455" t="s">
        <v>25409</v>
      </c>
      <c r="L4455" s="7" t="s">
        <v>25410</v>
      </c>
      <c r="M4455" t="s">
        <v>25411</v>
      </c>
      <c r="N4455">
        <v>2</v>
      </c>
      <c r="O4455">
        <v>0</v>
      </c>
      <c r="P4455">
        <v>2</v>
      </c>
      <c r="Q4455">
        <v>1</v>
      </c>
      <c r="R4455">
        <v>0</v>
      </c>
      <c r="S4455">
        <v>1</v>
      </c>
      <c r="T4455">
        <v>0</v>
      </c>
      <c r="U4455" t="s">
        <v>25412</v>
      </c>
      <c r="V4455">
        <f>Tabla1[[#This Row],[Aboard]]-Tabla1[[#This Row],[Fatalities]]</f>
        <v>1</v>
      </c>
      <c r="W4455" s="50">
        <f>IFERROR(Tabla1[[#This Row],[Fatalities]]/Tabla1[[#This Row],[Aboard]],0)</f>
        <v>0.5</v>
      </c>
      <c r="X4455" s="51" t="str" cm="1">
        <f t="array" ref="X4455">_xlfn.IFS(Tabla1[[#This Row],[Porcentaje de muertes]]&lt;0.35,"LEVE",AND(Tabla1[[#This Row],[Porcentaje de muertes]]&gt;0.35,Tabla1[[#This Row],[Porcentaje de muertes]]&lt;0.65),"MEDIO",Tabla1[[#This Row],[Porcentaje de muertes]]&gt;0.65,"GRAVE")</f>
        <v>MEDIO</v>
      </c>
    </row>
    <row r="4456" spans="2:24" x14ac:dyDescent="0.3">
      <c r="B4456" s="9">
        <v>4456</v>
      </c>
      <c r="C4456" s="49">
        <v>37920</v>
      </c>
      <c r="D4456" s="9">
        <f>YEAR(Tabla1[[#This Row],[Date]])</f>
        <v>2003</v>
      </c>
      <c r="E4456" s="9" t="str" cm="1">
        <f t="array" ref="E4456">IFERROR(_xlfn.IFS(AND(D4456&lt;1980,D4456&gt;=1970),"70",AND(D4456&lt;1990,D4456&gt;=1980),"80",AND(D4456&lt;2000,D4456&gt;=1990),"90",AND(D4456&lt;2010,D4456&gt;=2000),"00",AND(D4456&lt;=2019,D4456&gt;=2010),"10"),"1908-1970")</f>
        <v>00</v>
      </c>
      <c r="F4456" s="3">
        <v>0.18819444444444444</v>
      </c>
      <c r="G4456" t="s">
        <v>5925</v>
      </c>
      <c r="H4456" t="s">
        <v>25413</v>
      </c>
      <c r="I4456">
        <v>760</v>
      </c>
      <c r="J4456" t="s">
        <v>28931</v>
      </c>
      <c r="K4456" t="s">
        <v>25414</v>
      </c>
      <c r="L4456" s="7" t="s">
        <v>25415</v>
      </c>
      <c r="M4456">
        <v>567</v>
      </c>
      <c r="N4456">
        <v>5</v>
      </c>
      <c r="O4456">
        <v>0</v>
      </c>
      <c r="P4456">
        <v>5</v>
      </c>
      <c r="Q4456">
        <v>5</v>
      </c>
      <c r="R4456">
        <v>0</v>
      </c>
      <c r="S4456">
        <v>5</v>
      </c>
      <c r="T4456">
        <v>0</v>
      </c>
      <c r="U4456" t="s">
        <v>25416</v>
      </c>
      <c r="V4456">
        <f>Tabla1[[#This Row],[Aboard]]-Tabla1[[#This Row],[Fatalities]]</f>
        <v>0</v>
      </c>
      <c r="W4456" s="50">
        <f>IFERROR(Tabla1[[#This Row],[Fatalities]]/Tabla1[[#This Row],[Aboard]],0)</f>
        <v>1</v>
      </c>
      <c r="X4456" s="51" t="str" cm="1">
        <f t="array" ref="X4456">_xlfn.IFS(Tabla1[[#This Row],[Porcentaje de muertes]]&lt;0.35,"LEVE",AND(Tabla1[[#This Row],[Porcentaje de muertes]]&gt;0.35,Tabla1[[#This Row],[Porcentaje de muertes]]&lt;0.65),"MEDIO",Tabla1[[#This Row],[Porcentaje de muertes]]&gt;0.65,"GRAVE")</f>
        <v>GRAVE</v>
      </c>
    </row>
    <row r="4457" spans="2:24" x14ac:dyDescent="0.3">
      <c r="B4457" s="9">
        <v>4457</v>
      </c>
      <c r="C4457" s="49">
        <v>37921</v>
      </c>
      <c r="D4457" s="9">
        <f>YEAR(Tabla1[[#This Row],[Date]])</f>
        <v>2003</v>
      </c>
      <c r="E4457" s="9" t="str" cm="1">
        <f t="array" ref="E4457">IFERROR(_xlfn.IFS(AND(D4457&lt;1980,D4457&gt;=1970),"70",AND(D4457&lt;1990,D4457&gt;=1980),"80",AND(D4457&lt;2000,D4457&gt;=1990),"90",AND(D4457&lt;2010,D4457&gt;=2000),"00",AND(D4457&lt;=2019,D4457&gt;=2010),"10"),"1908-1970")</f>
        <v>00</v>
      </c>
      <c r="F4457" s="3">
        <v>0.33888888888888885</v>
      </c>
      <c r="G4457" t="s">
        <v>5739</v>
      </c>
      <c r="H4457" t="s">
        <v>25417</v>
      </c>
      <c r="I4457" t="s">
        <v>28931</v>
      </c>
      <c r="J4457" t="s">
        <v>25418</v>
      </c>
      <c r="K4457" t="s">
        <v>25419</v>
      </c>
      <c r="L4457" s="7" t="s">
        <v>25420</v>
      </c>
      <c r="M4457">
        <v>258036</v>
      </c>
      <c r="N4457">
        <v>3</v>
      </c>
      <c r="O4457">
        <v>0</v>
      </c>
      <c r="P4457">
        <v>3</v>
      </c>
      <c r="Q4457">
        <v>3</v>
      </c>
      <c r="R4457">
        <v>0</v>
      </c>
      <c r="S4457">
        <v>3</v>
      </c>
      <c r="T4457">
        <v>0</v>
      </c>
      <c r="U4457" t="s">
        <v>25421</v>
      </c>
      <c r="V4457">
        <f>Tabla1[[#This Row],[Aboard]]-Tabla1[[#This Row],[Fatalities]]</f>
        <v>0</v>
      </c>
      <c r="W4457" s="50">
        <f>IFERROR(Tabla1[[#This Row],[Fatalities]]/Tabla1[[#This Row],[Aboard]],0)</f>
        <v>1</v>
      </c>
      <c r="X4457" s="51" t="str" cm="1">
        <f t="array" ref="X4457">_xlfn.IFS(Tabla1[[#This Row],[Porcentaje de muertes]]&lt;0.35,"LEVE",AND(Tabla1[[#This Row],[Porcentaje de muertes]]&gt;0.35,Tabla1[[#This Row],[Porcentaje de muertes]]&lt;0.65),"MEDIO",Tabla1[[#This Row],[Porcentaje de muertes]]&gt;0.65,"GRAVE")</f>
        <v>GRAVE</v>
      </c>
    </row>
    <row r="4458" spans="2:24" x14ac:dyDescent="0.3">
      <c r="B4458" s="9">
        <v>4458</v>
      </c>
      <c r="C4458" s="49">
        <v>37923</v>
      </c>
      <c r="D4458" s="9">
        <f>YEAR(Tabla1[[#This Row],[Date]])</f>
        <v>2003</v>
      </c>
      <c r="E4458" s="9" t="str" cm="1">
        <f t="array" ref="E4458">IFERROR(_xlfn.IFS(AND(D4458&lt;1980,D4458&gt;=1970),"70",AND(D4458&lt;1990,D4458&gt;=1980),"80",AND(D4458&lt;2000,D4458&gt;=1990),"90",AND(D4458&lt;2010,D4458&gt;=2000),"00",AND(D4458&lt;=2019,D4458&gt;=2010),"10"),"1908-1970")</f>
        <v>00</v>
      </c>
      <c r="F4458" s="3">
        <v>0.36874999999999997</v>
      </c>
      <c r="G4458" t="s">
        <v>25422</v>
      </c>
      <c r="H4458" t="s">
        <v>25423</v>
      </c>
      <c r="I4458">
        <v>8773</v>
      </c>
      <c r="J4458" t="s">
        <v>25424</v>
      </c>
      <c r="K4458" t="s">
        <v>21232</v>
      </c>
      <c r="L4458" s="7" t="s">
        <v>25425</v>
      </c>
      <c r="M4458" t="s">
        <v>25426</v>
      </c>
      <c r="N4458">
        <v>1</v>
      </c>
      <c r="O4458">
        <v>0</v>
      </c>
      <c r="P4458">
        <v>1</v>
      </c>
      <c r="Q4458">
        <v>1</v>
      </c>
      <c r="R4458">
        <v>0</v>
      </c>
      <c r="S4458">
        <v>1</v>
      </c>
      <c r="T4458">
        <v>0</v>
      </c>
      <c r="U4458" t="s">
        <v>25427</v>
      </c>
      <c r="V4458">
        <f>Tabla1[[#This Row],[Aboard]]-Tabla1[[#This Row],[Fatalities]]</f>
        <v>0</v>
      </c>
      <c r="W4458" s="50">
        <f>IFERROR(Tabla1[[#This Row],[Fatalities]]/Tabla1[[#This Row],[Aboard]],0)</f>
        <v>1</v>
      </c>
      <c r="X4458" s="51" t="str" cm="1">
        <f t="array" ref="X4458">_xlfn.IFS(Tabla1[[#This Row],[Porcentaje de muertes]]&lt;0.35,"LEVE",AND(Tabla1[[#This Row],[Porcentaje de muertes]]&gt;0.35,Tabla1[[#This Row],[Porcentaje de muertes]]&lt;0.65),"MEDIO",Tabla1[[#This Row],[Porcentaje de muertes]]&gt;0.65,"GRAVE")</f>
        <v>GRAVE</v>
      </c>
    </row>
    <row r="4459" spans="2:24" x14ac:dyDescent="0.3">
      <c r="B4459" s="9">
        <v>4459</v>
      </c>
      <c r="C4459" s="49">
        <v>37663</v>
      </c>
      <c r="D4459" s="9">
        <f>YEAR(Tabla1[[#This Row],[Date]])</f>
        <v>2003</v>
      </c>
      <c r="E4459" s="9" t="str" cm="1">
        <f t="array" ref="E4459">IFERROR(_xlfn.IFS(AND(D4459&lt;1980,D4459&gt;=1970),"70",AND(D4459&lt;1990,D4459&gt;=1980),"80",AND(D4459&lt;2000,D4459&gt;=1990),"90",AND(D4459&lt;2010,D4459&gt;=2000),"00",AND(D4459&lt;=2019,D4459&gt;=2010),"10"),"1908-1970")</f>
        <v>00</v>
      </c>
      <c r="F4459" s="3">
        <v>0.375</v>
      </c>
      <c r="G4459" t="s">
        <v>25428</v>
      </c>
      <c r="H4459" t="s">
        <v>5017</v>
      </c>
      <c r="I4459" t="s">
        <v>8152</v>
      </c>
      <c r="J4459" t="s">
        <v>25429</v>
      </c>
      <c r="K4459" t="s">
        <v>25430</v>
      </c>
      <c r="L4459" s="7" t="s">
        <v>28931</v>
      </c>
      <c r="M4459" t="s">
        <v>28931</v>
      </c>
      <c r="N4459">
        <v>36</v>
      </c>
      <c r="O4459">
        <v>34</v>
      </c>
      <c r="P4459">
        <v>2</v>
      </c>
      <c r="Q4459">
        <v>15</v>
      </c>
      <c r="R4459">
        <v>15</v>
      </c>
      <c r="S4459">
        <v>0</v>
      </c>
      <c r="T4459">
        <v>0</v>
      </c>
      <c r="U4459" t="s">
        <v>25431</v>
      </c>
      <c r="V4459">
        <f>Tabla1[[#This Row],[Aboard]]-Tabla1[[#This Row],[Fatalities]]</f>
        <v>21</v>
      </c>
      <c r="W4459" s="50">
        <f>IFERROR(Tabla1[[#This Row],[Fatalities]]/Tabla1[[#This Row],[Aboard]],0)</f>
        <v>0.41666666666666669</v>
      </c>
      <c r="X4459" s="51" t="str" cm="1">
        <f t="array" ref="X4459">_xlfn.IFS(Tabla1[[#This Row],[Porcentaje de muertes]]&lt;0.35,"LEVE",AND(Tabla1[[#This Row],[Porcentaje de muertes]]&gt;0.35,Tabla1[[#This Row],[Porcentaje de muertes]]&lt;0.65),"MEDIO",Tabla1[[#This Row],[Porcentaje de muertes]]&gt;0.65,"GRAVE")</f>
        <v>MEDIO</v>
      </c>
    </row>
    <row r="4460" spans="2:24" x14ac:dyDescent="0.3">
      <c r="B4460" s="9">
        <v>4460</v>
      </c>
      <c r="C4460" s="49">
        <v>37844</v>
      </c>
      <c r="D4460" s="9">
        <f>YEAR(Tabla1[[#This Row],[Date]])</f>
        <v>2003</v>
      </c>
      <c r="E4460" s="9" t="str" cm="1">
        <f t="array" ref="E4460">IFERROR(_xlfn.IFS(AND(D4460&lt;1980,D4460&gt;=1970),"70",AND(D4460&lt;1990,D4460&gt;=1980),"80",AND(D4460&lt;2000,D4460&gt;=1990),"90",AND(D4460&lt;2010,D4460&gt;=2000),"00",AND(D4460&lt;=2019,D4460&gt;=2010),"10"),"1908-1970")</f>
        <v>00</v>
      </c>
      <c r="F4460" s="3">
        <v>0.43472222222222223</v>
      </c>
      <c r="G4460" t="s">
        <v>25432</v>
      </c>
      <c r="H4460" t="s">
        <v>25433</v>
      </c>
      <c r="I4460" t="s">
        <v>28931</v>
      </c>
      <c r="J4460" t="s">
        <v>28931</v>
      </c>
      <c r="K4460" t="s">
        <v>25434</v>
      </c>
      <c r="L4460" s="7" t="s">
        <v>25435</v>
      </c>
      <c r="M4460">
        <v>170</v>
      </c>
      <c r="N4460">
        <v>4</v>
      </c>
      <c r="O4460">
        <v>3</v>
      </c>
      <c r="P4460">
        <v>1</v>
      </c>
      <c r="Q4460">
        <v>4</v>
      </c>
      <c r="R4460">
        <v>3</v>
      </c>
      <c r="S4460">
        <v>1</v>
      </c>
      <c r="T4460">
        <v>0</v>
      </c>
      <c r="U4460" t="s">
        <v>25436</v>
      </c>
      <c r="V4460">
        <f>Tabla1[[#This Row],[Aboard]]-Tabla1[[#This Row],[Fatalities]]</f>
        <v>0</v>
      </c>
      <c r="W4460" s="50">
        <f>IFERROR(Tabla1[[#This Row],[Fatalities]]/Tabla1[[#This Row],[Aboard]],0)</f>
        <v>1</v>
      </c>
      <c r="X4460" s="51" t="str" cm="1">
        <f t="array" ref="X4460">_xlfn.IFS(Tabla1[[#This Row],[Porcentaje de muertes]]&lt;0.35,"LEVE",AND(Tabla1[[#This Row],[Porcentaje de muertes]]&gt;0.35,Tabla1[[#This Row],[Porcentaje de muertes]]&lt;0.65),"MEDIO",Tabla1[[#This Row],[Porcentaje de muertes]]&gt;0.65,"GRAVE")</f>
        <v>GRAVE</v>
      </c>
    </row>
    <row r="4461" spans="2:24" x14ac:dyDescent="0.3">
      <c r="B4461" s="9">
        <v>4461</v>
      </c>
      <c r="C4461" s="49">
        <v>37844</v>
      </c>
      <c r="D4461" s="9">
        <f>YEAR(Tabla1[[#This Row],[Date]])</f>
        <v>2003</v>
      </c>
      <c r="E4461" s="9" t="str" cm="1">
        <f t="array" ref="E4461">IFERROR(_xlfn.IFS(AND(D4461&lt;1980,D4461&gt;=1970),"70",AND(D4461&lt;1990,D4461&gt;=1980),"80",AND(D4461&lt;2000,D4461&gt;=1990),"90",AND(D4461&lt;2010,D4461&gt;=2000),"00",AND(D4461&lt;=2019,D4461&gt;=2010),"10"),"1908-1970")</f>
        <v>00</v>
      </c>
      <c r="F4461" s="3">
        <v>0.45763888888888887</v>
      </c>
      <c r="G4461" t="s">
        <v>25437</v>
      </c>
      <c r="H4461" t="s">
        <v>24349</v>
      </c>
      <c r="I4461" t="s">
        <v>28931</v>
      </c>
      <c r="J4461" t="s">
        <v>25438</v>
      </c>
      <c r="K4461" t="s">
        <v>25439</v>
      </c>
      <c r="L4461" s="7" t="s">
        <v>25440</v>
      </c>
      <c r="M4461" t="s">
        <v>25441</v>
      </c>
      <c r="N4461">
        <v>7</v>
      </c>
      <c r="O4461">
        <v>4</v>
      </c>
      <c r="P4461">
        <v>3</v>
      </c>
      <c r="Q4461">
        <v>2</v>
      </c>
      <c r="R4461">
        <v>1</v>
      </c>
      <c r="S4461">
        <v>1</v>
      </c>
      <c r="T4461">
        <v>0</v>
      </c>
      <c r="U4461" t="s">
        <v>25442</v>
      </c>
      <c r="V4461">
        <f>Tabla1[[#This Row],[Aboard]]-Tabla1[[#This Row],[Fatalities]]</f>
        <v>5</v>
      </c>
      <c r="W4461" s="50">
        <f>IFERROR(Tabla1[[#This Row],[Fatalities]]/Tabla1[[#This Row],[Aboard]],0)</f>
        <v>0.2857142857142857</v>
      </c>
      <c r="X4461" s="51" t="str" cm="1">
        <f t="array" ref="X4461">_xlfn.IFS(Tabla1[[#This Row],[Porcentaje de muertes]]&lt;0.35,"LEVE",AND(Tabla1[[#This Row],[Porcentaje de muertes]]&gt;0.35,Tabla1[[#This Row],[Porcentaje de muertes]]&lt;0.65),"MEDIO",Tabla1[[#This Row],[Porcentaje de muertes]]&gt;0.65,"GRAVE")</f>
        <v>LEVE</v>
      </c>
    </row>
    <row r="4462" spans="2:24" x14ac:dyDescent="0.3">
      <c r="B4462" s="9">
        <v>4462</v>
      </c>
      <c r="C4462" s="49">
        <v>37940</v>
      </c>
      <c r="D4462" s="9">
        <f>YEAR(Tabla1[[#This Row],[Date]])</f>
        <v>2003</v>
      </c>
      <c r="E4462" s="9" t="str" cm="1">
        <f t="array" ref="E4462">IFERROR(_xlfn.IFS(AND(D4462&lt;1980,D4462&gt;=1970),"70",AND(D4462&lt;1990,D4462&gt;=1980),"80",AND(D4462&lt;2000,D4462&gt;=1990),"90",AND(D4462&lt;2010,D4462&gt;=2000),"00",AND(D4462&lt;=2019,D4462&gt;=2010),"10"),"1908-1970")</f>
        <v>00</v>
      </c>
      <c r="F4462" s="3">
        <v>0.77083333333333337</v>
      </c>
      <c r="G4462" t="s">
        <v>25443</v>
      </c>
      <c r="H4462" t="s">
        <v>5017</v>
      </c>
      <c r="I4462" t="s">
        <v>28931</v>
      </c>
      <c r="J4462" t="s">
        <v>28931</v>
      </c>
      <c r="K4462" t="s">
        <v>25444</v>
      </c>
      <c r="L4462" s="7" t="s">
        <v>25445</v>
      </c>
      <c r="M4462" t="s">
        <v>28931</v>
      </c>
      <c r="N4462">
        <v>22</v>
      </c>
      <c r="O4462">
        <v>18</v>
      </c>
      <c r="P4462">
        <v>4</v>
      </c>
      <c r="Q4462">
        <v>17</v>
      </c>
      <c r="R4462">
        <v>13</v>
      </c>
      <c r="S4462">
        <v>4</v>
      </c>
      <c r="T4462">
        <v>0</v>
      </c>
      <c r="U4462" t="s">
        <v>25446</v>
      </c>
      <c r="V4462">
        <f>Tabla1[[#This Row],[Aboard]]-Tabla1[[#This Row],[Fatalities]]</f>
        <v>5</v>
      </c>
      <c r="W4462" s="50">
        <f>IFERROR(Tabla1[[#This Row],[Fatalities]]/Tabla1[[#This Row],[Aboard]],0)</f>
        <v>0.77272727272727271</v>
      </c>
      <c r="X4462" s="51" t="str" cm="1">
        <f t="array" ref="X4462">_xlfn.IFS(Tabla1[[#This Row],[Porcentaje de muertes]]&lt;0.35,"LEVE",AND(Tabla1[[#This Row],[Porcentaje de muertes]]&gt;0.35,Tabla1[[#This Row],[Porcentaje de muertes]]&lt;0.65),"MEDIO",Tabla1[[#This Row],[Porcentaje de muertes]]&gt;0.65,"GRAVE")</f>
        <v>GRAVE</v>
      </c>
    </row>
    <row r="4463" spans="2:24" x14ac:dyDescent="0.3">
      <c r="B4463" s="9">
        <v>4463</v>
      </c>
      <c r="C4463" s="49">
        <v>37954</v>
      </c>
      <c r="D4463" s="9">
        <f>YEAR(Tabla1[[#This Row],[Date]])</f>
        <v>2003</v>
      </c>
      <c r="E4463" s="9" t="str" cm="1">
        <f t="array" ref="E4463">IFERROR(_xlfn.IFS(AND(D4463&lt;1980,D4463&gt;=1970),"70",AND(D4463&lt;1990,D4463&gt;=1980),"80",AND(D4463&lt;2000,D4463&gt;=1990),"90",AND(D4463&lt;2010,D4463&gt;=2000),"00",AND(D4463&lt;=2019,D4463&gt;=2010),"10"),"1908-1970")</f>
        <v>00</v>
      </c>
      <c r="F4463" s="3">
        <v>0.33402777777777781</v>
      </c>
      <c r="G4463" t="s">
        <v>18807</v>
      </c>
      <c r="H4463" t="s">
        <v>22702</v>
      </c>
      <c r="I4463">
        <v>1996</v>
      </c>
      <c r="J4463" t="s">
        <v>25447</v>
      </c>
      <c r="K4463" t="s">
        <v>25448</v>
      </c>
      <c r="L4463" s="7" t="s">
        <v>25449</v>
      </c>
      <c r="M4463" t="s">
        <v>25450</v>
      </c>
      <c r="N4463">
        <v>1</v>
      </c>
      <c r="O4463">
        <v>0</v>
      </c>
      <c r="P4463">
        <v>1</v>
      </c>
      <c r="Q4463">
        <v>1</v>
      </c>
      <c r="R4463">
        <v>0</v>
      </c>
      <c r="S4463">
        <v>1</v>
      </c>
      <c r="T4463">
        <v>0</v>
      </c>
      <c r="U4463" t="s">
        <v>25451</v>
      </c>
      <c r="V4463">
        <f>Tabla1[[#This Row],[Aboard]]-Tabla1[[#This Row],[Fatalities]]</f>
        <v>0</v>
      </c>
      <c r="W4463" s="50">
        <f>IFERROR(Tabla1[[#This Row],[Fatalities]]/Tabla1[[#This Row],[Aboard]],0)</f>
        <v>1</v>
      </c>
      <c r="X4463" s="51" t="str" cm="1">
        <f t="array" ref="X4463">_xlfn.IFS(Tabla1[[#This Row],[Porcentaje de muertes]]&lt;0.35,"LEVE",AND(Tabla1[[#This Row],[Porcentaje de muertes]]&gt;0.35,Tabla1[[#This Row],[Porcentaje de muertes]]&lt;0.65),"MEDIO",Tabla1[[#This Row],[Porcentaje de muertes]]&gt;0.65,"GRAVE")</f>
        <v>GRAVE</v>
      </c>
    </row>
    <row r="4464" spans="2:24" x14ac:dyDescent="0.3">
      <c r="B4464" s="9">
        <v>4464</v>
      </c>
      <c r="C4464" s="49">
        <v>37954</v>
      </c>
      <c r="D4464" s="9">
        <f>YEAR(Tabla1[[#This Row],[Date]])</f>
        <v>2003</v>
      </c>
      <c r="E4464" s="9" t="str" cm="1">
        <f t="array" ref="E4464">IFERROR(_xlfn.IFS(AND(D4464&lt;1980,D4464&gt;=1970),"70",AND(D4464&lt;1990,D4464&gt;=1980),"80",AND(D4464&lt;2000,D4464&gt;=1990),"90",AND(D4464&lt;2010,D4464&gt;=2000),"00",AND(D4464&lt;=2019,D4464&gt;=2010),"10"),"1908-1970")</f>
        <v>00</v>
      </c>
      <c r="F4464" s="3">
        <v>0.63888888888888895</v>
      </c>
      <c r="G4464" t="s">
        <v>25452</v>
      </c>
      <c r="H4464" t="s">
        <v>21217</v>
      </c>
      <c r="I4464" t="s">
        <v>28931</v>
      </c>
      <c r="J4464" t="s">
        <v>25453</v>
      </c>
      <c r="K4464" t="s">
        <v>17904</v>
      </c>
      <c r="L4464" s="7" t="s">
        <v>25454</v>
      </c>
      <c r="M4464" t="s">
        <v>28931</v>
      </c>
      <c r="N4464">
        <v>24</v>
      </c>
      <c r="O4464">
        <v>18</v>
      </c>
      <c r="P4464">
        <v>6</v>
      </c>
      <c r="Q4464">
        <v>20</v>
      </c>
      <c r="R4464">
        <v>14</v>
      </c>
      <c r="S4464">
        <v>6</v>
      </c>
      <c r="T4464">
        <v>13</v>
      </c>
      <c r="U4464" t="s">
        <v>25455</v>
      </c>
      <c r="V4464">
        <f>Tabla1[[#This Row],[Aboard]]-Tabla1[[#This Row],[Fatalities]]</f>
        <v>4</v>
      </c>
      <c r="W4464" s="50">
        <f>IFERROR(Tabla1[[#This Row],[Fatalities]]/Tabla1[[#This Row],[Aboard]],0)</f>
        <v>0.83333333333333337</v>
      </c>
      <c r="X4464" s="51" t="str" cm="1">
        <f t="array" ref="X4464">_xlfn.IFS(Tabla1[[#This Row],[Porcentaje de muertes]]&lt;0.35,"LEVE",AND(Tabla1[[#This Row],[Porcentaje de muertes]]&gt;0.35,Tabla1[[#This Row],[Porcentaje de muertes]]&lt;0.65),"MEDIO",Tabla1[[#This Row],[Porcentaje de muertes]]&gt;0.65,"GRAVE")</f>
        <v>GRAVE</v>
      </c>
    </row>
    <row r="4465" spans="2:24" x14ac:dyDescent="0.3">
      <c r="B4465" s="9">
        <v>4465</v>
      </c>
      <c r="C4465" s="49">
        <v>37971</v>
      </c>
      <c r="D4465" s="9">
        <f>YEAR(Tabla1[[#This Row],[Date]])</f>
        <v>2003</v>
      </c>
      <c r="E4465" s="9" t="str" cm="1">
        <f t="array" ref="E4465">IFERROR(_xlfn.IFS(AND(D4465&lt;1980,D4465&gt;=1970),"70",AND(D4465&lt;1990,D4465&gt;=1980),"80",AND(D4465&lt;2000,D4465&gt;=1990),"90",AND(D4465&lt;2010,D4465&gt;=2000),"00",AND(D4465&lt;=2019,D4465&gt;=2010),"10"),"1908-1970")</f>
        <v>00</v>
      </c>
      <c r="F4465" s="3">
        <v>0.5</v>
      </c>
      <c r="G4465" t="s">
        <v>25456</v>
      </c>
      <c r="H4465" t="s">
        <v>25457</v>
      </c>
      <c r="I4465" t="s">
        <v>28931</v>
      </c>
      <c r="J4465" t="s">
        <v>28931</v>
      </c>
      <c r="K4465" t="s">
        <v>25458</v>
      </c>
      <c r="L4465" s="7" t="s">
        <v>25459</v>
      </c>
      <c r="M4465">
        <v>65</v>
      </c>
      <c r="N4465">
        <v>3</v>
      </c>
      <c r="O4465">
        <v>2</v>
      </c>
      <c r="P4465">
        <v>1</v>
      </c>
      <c r="Q4465">
        <v>2</v>
      </c>
      <c r="R4465">
        <v>1</v>
      </c>
      <c r="S4465">
        <v>1</v>
      </c>
      <c r="T4465">
        <v>0</v>
      </c>
      <c r="U4465" t="s">
        <v>25460</v>
      </c>
      <c r="V4465">
        <f>Tabla1[[#This Row],[Aboard]]-Tabla1[[#This Row],[Fatalities]]</f>
        <v>1</v>
      </c>
      <c r="W4465" s="50">
        <f>IFERROR(Tabla1[[#This Row],[Fatalities]]/Tabla1[[#This Row],[Aboard]],0)</f>
        <v>0.66666666666666663</v>
      </c>
      <c r="X4465" s="51" t="str" cm="1">
        <f t="array" ref="X4465">_xlfn.IFS(Tabla1[[#This Row],[Porcentaje de muertes]]&lt;0.35,"LEVE",AND(Tabla1[[#This Row],[Porcentaje de muertes]]&gt;0.35,Tabla1[[#This Row],[Porcentaje de muertes]]&lt;0.65),"MEDIO",Tabla1[[#This Row],[Porcentaje de muertes]]&gt;0.65,"GRAVE")</f>
        <v>GRAVE</v>
      </c>
    </row>
    <row r="4466" spans="2:24" x14ac:dyDescent="0.3">
      <c r="B4466" s="9">
        <v>4466</v>
      </c>
      <c r="C4466" s="49">
        <v>37973</v>
      </c>
      <c r="D4466" s="9">
        <f>YEAR(Tabla1[[#This Row],[Date]])</f>
        <v>2003</v>
      </c>
      <c r="E4466" s="9" t="str" cm="1">
        <f t="array" ref="E4466">IFERROR(_xlfn.IFS(AND(D4466&lt;1980,D4466&gt;=1970),"70",AND(D4466&lt;1990,D4466&gt;=1980),"80",AND(D4466&lt;2000,D4466&gt;=1990),"90",AND(D4466&lt;2010,D4466&gt;=2000),"00",AND(D4466&lt;=2019,D4466&gt;=2010),"10"),"1908-1970")</f>
        <v>00</v>
      </c>
      <c r="F4466" s="3">
        <v>0.91666666666666663</v>
      </c>
      <c r="G4466" t="s">
        <v>22657</v>
      </c>
      <c r="H4466" t="s">
        <v>25461</v>
      </c>
      <c r="I4466" t="s">
        <v>28931</v>
      </c>
      <c r="J4466" t="s">
        <v>24584</v>
      </c>
      <c r="K4466" t="s">
        <v>25462</v>
      </c>
      <c r="L4466" s="7" t="s">
        <v>25463</v>
      </c>
      <c r="M4466">
        <v>47062</v>
      </c>
      <c r="N4466">
        <v>3</v>
      </c>
      <c r="O4466">
        <v>0</v>
      </c>
      <c r="P4466">
        <v>3</v>
      </c>
      <c r="Q4466">
        <v>3</v>
      </c>
      <c r="R4466">
        <v>0</v>
      </c>
      <c r="S4466">
        <v>3</v>
      </c>
      <c r="T4466">
        <v>0</v>
      </c>
      <c r="U4466" t="s">
        <v>25464</v>
      </c>
      <c r="V4466">
        <f>Tabla1[[#This Row],[Aboard]]-Tabla1[[#This Row],[Fatalities]]</f>
        <v>0</v>
      </c>
      <c r="W4466" s="50">
        <f>IFERROR(Tabla1[[#This Row],[Fatalities]]/Tabla1[[#This Row],[Aboard]],0)</f>
        <v>1</v>
      </c>
      <c r="X4466" s="51" t="str" cm="1">
        <f t="array" ref="X4466">_xlfn.IFS(Tabla1[[#This Row],[Porcentaje de muertes]]&lt;0.35,"LEVE",AND(Tabla1[[#This Row],[Porcentaje de muertes]]&gt;0.35,Tabla1[[#This Row],[Porcentaje de muertes]]&lt;0.65),"MEDIO",Tabla1[[#This Row],[Porcentaje de muertes]]&gt;0.65,"GRAVE")</f>
        <v>GRAVE</v>
      </c>
    </row>
    <row r="4467" spans="2:24" x14ac:dyDescent="0.3">
      <c r="B4467" s="9">
        <v>4467</v>
      </c>
      <c r="C4467" s="49">
        <v>37978</v>
      </c>
      <c r="D4467" s="9">
        <f>YEAR(Tabla1[[#This Row],[Date]])</f>
        <v>2003</v>
      </c>
      <c r="E4467" s="9" t="str" cm="1">
        <f t="array" ref="E4467">IFERROR(_xlfn.IFS(AND(D4467&lt;1980,D4467&gt;=1970),"70",AND(D4467&lt;1990,D4467&gt;=1980),"80",AND(D4467&lt;2000,D4467&gt;=1990),"90",AND(D4467&lt;2010,D4467&gt;=2000),"00",AND(D4467&lt;=2019,D4467&gt;=2010),"10"),"1908-1970")</f>
        <v>00</v>
      </c>
      <c r="F4467" s="3">
        <v>0.3840277777777778</v>
      </c>
      <c r="G4467" t="s">
        <v>25465</v>
      </c>
      <c r="H4467" t="s">
        <v>25466</v>
      </c>
      <c r="I4467" t="s">
        <v>28931</v>
      </c>
      <c r="J4467" t="s">
        <v>25467</v>
      </c>
      <c r="K4467" t="s">
        <v>17774</v>
      </c>
      <c r="L4467" s="7" t="s">
        <v>25468</v>
      </c>
      <c r="M4467" t="s">
        <v>25469</v>
      </c>
      <c r="N4467">
        <v>2</v>
      </c>
      <c r="O4467">
        <v>0</v>
      </c>
      <c r="P4467">
        <v>2</v>
      </c>
      <c r="Q4467">
        <v>2</v>
      </c>
      <c r="R4467">
        <v>0</v>
      </c>
      <c r="S4467">
        <v>2</v>
      </c>
      <c r="T4467">
        <v>0</v>
      </c>
      <c r="U4467" t="s">
        <v>25470</v>
      </c>
      <c r="V4467">
        <f>Tabla1[[#This Row],[Aboard]]-Tabla1[[#This Row],[Fatalities]]</f>
        <v>0</v>
      </c>
      <c r="W4467" s="50">
        <f>IFERROR(Tabla1[[#This Row],[Fatalities]]/Tabla1[[#This Row],[Aboard]],0)</f>
        <v>1</v>
      </c>
      <c r="X4467" s="51" t="str" cm="1">
        <f t="array" ref="X4467">_xlfn.IFS(Tabla1[[#This Row],[Porcentaje de muertes]]&lt;0.35,"LEVE",AND(Tabla1[[#This Row],[Porcentaje de muertes]]&gt;0.35,Tabla1[[#This Row],[Porcentaje de muertes]]&lt;0.65),"MEDIO",Tabla1[[#This Row],[Porcentaje de muertes]]&gt;0.65,"GRAVE")</f>
        <v>GRAVE</v>
      </c>
    </row>
    <row r="4468" spans="2:24" x14ac:dyDescent="0.3">
      <c r="B4468" s="9">
        <v>4468</v>
      </c>
      <c r="C4468" s="49">
        <v>37980</v>
      </c>
      <c r="D4468" s="9">
        <f>YEAR(Tabla1[[#This Row],[Date]])</f>
        <v>2003</v>
      </c>
      <c r="E4468" s="9" t="str" cm="1">
        <f t="array" ref="E4468">IFERROR(_xlfn.IFS(AND(D4468&lt;1980,D4468&gt;=1970),"70",AND(D4468&lt;1990,D4468&gt;=1980),"80",AND(D4468&lt;2000,D4468&gt;=1990),"90",AND(D4468&lt;2010,D4468&gt;=2000),"00",AND(D4468&lt;=2019,D4468&gt;=2010),"10"),"1908-1970")</f>
        <v>00</v>
      </c>
      <c r="F4468" s="3">
        <v>0.62152777777777779</v>
      </c>
      <c r="G4468" t="s">
        <v>25471</v>
      </c>
      <c r="H4468" t="s">
        <v>25472</v>
      </c>
      <c r="I4468">
        <v>141</v>
      </c>
      <c r="J4468" t="s">
        <v>25473</v>
      </c>
      <c r="K4468" t="s">
        <v>25474</v>
      </c>
      <c r="L4468" s="7" t="s">
        <v>25475</v>
      </c>
      <c r="M4468" t="s">
        <v>25476</v>
      </c>
      <c r="N4468">
        <v>161</v>
      </c>
      <c r="O4468">
        <v>151</v>
      </c>
      <c r="P4468">
        <v>10</v>
      </c>
      <c r="Q4468">
        <v>140</v>
      </c>
      <c r="R4468">
        <v>132</v>
      </c>
      <c r="S4468">
        <v>8</v>
      </c>
      <c r="T4468">
        <v>0</v>
      </c>
      <c r="U4468" t="s">
        <v>25477</v>
      </c>
      <c r="V4468">
        <f>Tabla1[[#This Row],[Aboard]]-Tabla1[[#This Row],[Fatalities]]</f>
        <v>21</v>
      </c>
      <c r="W4468" s="50">
        <f>IFERROR(Tabla1[[#This Row],[Fatalities]]/Tabla1[[#This Row],[Aboard]],0)</f>
        <v>0.86956521739130432</v>
      </c>
      <c r="X4468" s="51" t="str" cm="1">
        <f t="array" ref="X4468">_xlfn.IFS(Tabla1[[#This Row],[Porcentaje de muertes]]&lt;0.35,"LEVE",AND(Tabla1[[#This Row],[Porcentaje de muertes]]&gt;0.35,Tabla1[[#This Row],[Porcentaje de muertes]]&lt;0.65),"MEDIO",Tabla1[[#This Row],[Porcentaje de muertes]]&gt;0.65,"GRAVE")</f>
        <v>GRAVE</v>
      </c>
    </row>
    <row r="4469" spans="2:24" x14ac:dyDescent="0.3">
      <c r="B4469" s="9">
        <v>4469</v>
      </c>
      <c r="C4469" s="49">
        <v>38047</v>
      </c>
      <c r="D4469" s="9">
        <f>YEAR(Tabla1[[#This Row],[Date]])</f>
        <v>2004</v>
      </c>
      <c r="E4469" s="9" t="str" cm="1">
        <f t="array" ref="E4469">IFERROR(_xlfn.IFS(AND(D4469&lt;1980,D4469&gt;=1970),"70",AND(D4469&lt;1990,D4469&gt;=1980),"80",AND(D4469&lt;2000,D4469&gt;=1990),"90",AND(D4469&lt;2010,D4469&gt;=2000),"00",AND(D4469&lt;=2019,D4469&gt;=2010),"10"),"1908-1970")</f>
        <v>00</v>
      </c>
      <c r="F4469" s="3">
        <v>0.19722222222222222</v>
      </c>
      <c r="G4469" t="s">
        <v>25478</v>
      </c>
      <c r="H4469" t="s">
        <v>25479</v>
      </c>
      <c r="I4469">
        <v>604</v>
      </c>
      <c r="J4469" t="s">
        <v>25480</v>
      </c>
      <c r="K4469" t="s">
        <v>24900</v>
      </c>
      <c r="L4469" s="7" t="s">
        <v>25481</v>
      </c>
      <c r="M4469" t="s">
        <v>25482</v>
      </c>
      <c r="N4469">
        <v>148</v>
      </c>
      <c r="O4469">
        <v>135</v>
      </c>
      <c r="P4469">
        <v>13</v>
      </c>
      <c r="Q4469">
        <v>148</v>
      </c>
      <c r="R4469">
        <v>135</v>
      </c>
      <c r="S4469">
        <v>13</v>
      </c>
      <c r="T4469">
        <v>0</v>
      </c>
      <c r="U4469" t="s">
        <v>25483</v>
      </c>
      <c r="V4469">
        <f>Tabla1[[#This Row],[Aboard]]-Tabla1[[#This Row],[Fatalities]]</f>
        <v>0</v>
      </c>
      <c r="W4469" s="50">
        <f>IFERROR(Tabla1[[#This Row],[Fatalities]]/Tabla1[[#This Row],[Aboard]],0)</f>
        <v>1</v>
      </c>
      <c r="X4469" s="51" t="str" cm="1">
        <f t="array" ref="X4469">_xlfn.IFS(Tabla1[[#This Row],[Porcentaje de muertes]]&lt;0.35,"LEVE",AND(Tabla1[[#This Row],[Porcentaje de muertes]]&gt;0.35,Tabla1[[#This Row],[Porcentaje de muertes]]&lt;0.65),"MEDIO",Tabla1[[#This Row],[Porcentaje de muertes]]&gt;0.65,"GRAVE")</f>
        <v>GRAVE</v>
      </c>
    </row>
    <row r="4470" spans="2:24" x14ac:dyDescent="0.3">
      <c r="B4470" s="9">
        <v>4470</v>
      </c>
      <c r="C4470" s="49">
        <v>37999</v>
      </c>
      <c r="D4470" s="9">
        <f>YEAR(Tabla1[[#This Row],[Date]])</f>
        <v>2004</v>
      </c>
      <c r="E4470" s="9" t="str" cm="1">
        <f t="array" ref="E4470">IFERROR(_xlfn.IFS(AND(D4470&lt;1980,D4470&gt;=1970),"70",AND(D4470&lt;1990,D4470&gt;=1980),"80",AND(D4470&lt;2000,D4470&gt;=1990),"90",AND(D4470&lt;2010,D4470&gt;=2000),"00",AND(D4470&lt;=2019,D4470&gt;=2010),"10"),"1908-1970")</f>
        <v>00</v>
      </c>
      <c r="F4470" s="3">
        <v>0.81944444444444453</v>
      </c>
      <c r="G4470" t="s">
        <v>20261</v>
      </c>
      <c r="H4470" t="s">
        <v>24131</v>
      </c>
      <c r="I4470">
        <v>1154</v>
      </c>
      <c r="J4470" t="s">
        <v>25484</v>
      </c>
      <c r="K4470" t="s">
        <v>15961</v>
      </c>
      <c r="L4470" s="7" t="s">
        <v>25485</v>
      </c>
      <c r="M4470">
        <v>9540844</v>
      </c>
      <c r="N4470">
        <v>37</v>
      </c>
      <c r="O4470">
        <v>32</v>
      </c>
      <c r="P4470">
        <v>5</v>
      </c>
      <c r="Q4470">
        <v>37</v>
      </c>
      <c r="R4470">
        <v>32</v>
      </c>
      <c r="S4470">
        <v>5</v>
      </c>
      <c r="T4470">
        <v>0</v>
      </c>
      <c r="U4470" t="s">
        <v>25486</v>
      </c>
      <c r="V4470">
        <f>Tabla1[[#This Row],[Aboard]]-Tabla1[[#This Row],[Fatalities]]</f>
        <v>0</v>
      </c>
      <c r="W4470" s="50">
        <f>IFERROR(Tabla1[[#This Row],[Fatalities]]/Tabla1[[#This Row],[Aboard]],0)</f>
        <v>1</v>
      </c>
      <c r="X4470" s="51" t="str" cm="1">
        <f t="array" ref="X4470">_xlfn.IFS(Tabla1[[#This Row],[Porcentaje de muertes]]&lt;0.35,"LEVE",AND(Tabla1[[#This Row],[Porcentaje de muertes]]&gt;0.35,Tabla1[[#This Row],[Porcentaje de muertes]]&lt;0.65),"MEDIO",Tabla1[[#This Row],[Porcentaje de muertes]]&gt;0.65,"GRAVE")</f>
        <v>GRAVE</v>
      </c>
    </row>
    <row r="4471" spans="2:24" x14ac:dyDescent="0.3">
      <c r="B4471" s="9">
        <v>4471</v>
      </c>
      <c r="C4471" s="49">
        <v>38140</v>
      </c>
      <c r="D4471" s="9">
        <f>YEAR(Tabla1[[#This Row],[Date]])</f>
        <v>2004</v>
      </c>
      <c r="E4471" s="9" t="str" cm="1">
        <f t="array" ref="E4471">IFERROR(_xlfn.IFS(AND(D4471&lt;1980,D4471&gt;=1970),"70",AND(D4471&lt;1990,D4471&gt;=1980),"80",AND(D4471&lt;2000,D4471&gt;=1990),"90",AND(D4471&lt;2010,D4471&gt;=2000),"00",AND(D4471&lt;=2019,D4471&gt;=2010),"10"),"1908-1970")</f>
        <v>00</v>
      </c>
      <c r="F4471" s="3">
        <v>0.33402777777777781</v>
      </c>
      <c r="G4471" t="s">
        <v>25487</v>
      </c>
      <c r="H4471" t="s">
        <v>25488</v>
      </c>
      <c r="I4471" t="s">
        <v>28931</v>
      </c>
      <c r="J4471" t="s">
        <v>25489</v>
      </c>
      <c r="K4471" t="s">
        <v>18629</v>
      </c>
      <c r="L4471" s="7" t="s">
        <v>25490</v>
      </c>
      <c r="M4471" t="s">
        <v>25491</v>
      </c>
      <c r="N4471">
        <v>9</v>
      </c>
      <c r="O4471">
        <v>7</v>
      </c>
      <c r="P4471">
        <v>2</v>
      </c>
      <c r="Q4471">
        <v>9</v>
      </c>
      <c r="R4471">
        <v>7</v>
      </c>
      <c r="S4471">
        <v>2</v>
      </c>
      <c r="T4471">
        <v>0</v>
      </c>
      <c r="U4471" t="s">
        <v>25492</v>
      </c>
      <c r="V4471">
        <f>Tabla1[[#This Row],[Aboard]]-Tabla1[[#This Row],[Fatalities]]</f>
        <v>0</v>
      </c>
      <c r="W4471" s="50">
        <f>IFERROR(Tabla1[[#This Row],[Fatalities]]/Tabla1[[#This Row],[Aboard]],0)</f>
        <v>1</v>
      </c>
      <c r="X4471" s="51" t="str" cm="1">
        <f t="array" ref="X4471">_xlfn.IFS(Tabla1[[#This Row],[Porcentaje de muertes]]&lt;0.35,"LEVE",AND(Tabla1[[#This Row],[Porcentaje de muertes]]&gt;0.35,Tabla1[[#This Row],[Porcentaje de muertes]]&lt;0.65),"MEDIO",Tabla1[[#This Row],[Porcentaje de muertes]]&gt;0.65,"GRAVE")</f>
        <v>GRAVE</v>
      </c>
    </row>
    <row r="4472" spans="2:24" x14ac:dyDescent="0.3">
      <c r="B4472" s="9">
        <v>4472</v>
      </c>
      <c r="C4472" s="49">
        <v>38262</v>
      </c>
      <c r="D4472" s="9">
        <f>YEAR(Tabla1[[#This Row],[Date]])</f>
        <v>2004</v>
      </c>
      <c r="E4472" s="9" t="str" cm="1">
        <f t="array" ref="E4472">IFERROR(_xlfn.IFS(AND(D4472&lt;1980,D4472&gt;=1970),"70",AND(D4472&lt;1990,D4472&gt;=1980),"80",AND(D4472&lt;2000,D4472&gt;=1990),"90",AND(D4472&lt;2010,D4472&gt;=2000),"00",AND(D4472&lt;=2019,D4472&gt;=2010),"10"),"1908-1970")</f>
        <v>00</v>
      </c>
      <c r="F4472" s="3">
        <v>0.4861111111111111</v>
      </c>
      <c r="G4472" t="s">
        <v>11067</v>
      </c>
      <c r="H4472" t="s">
        <v>25493</v>
      </c>
      <c r="I4472">
        <v>1770</v>
      </c>
      <c r="J4472" t="s">
        <v>25494</v>
      </c>
      <c r="K4472" t="s">
        <v>25495</v>
      </c>
      <c r="L4472" s="7" t="s">
        <v>25496</v>
      </c>
      <c r="M4472">
        <v>20273</v>
      </c>
      <c r="N4472">
        <v>46</v>
      </c>
      <c r="O4472">
        <v>40</v>
      </c>
      <c r="P4472">
        <v>6</v>
      </c>
      <c r="Q4472">
        <v>43</v>
      </c>
      <c r="R4472">
        <v>37</v>
      </c>
      <c r="S4472">
        <v>6</v>
      </c>
      <c r="T4472">
        <v>0</v>
      </c>
      <c r="U4472" t="s">
        <v>25497</v>
      </c>
      <c r="V4472">
        <f>Tabla1[[#This Row],[Aboard]]-Tabla1[[#This Row],[Fatalities]]</f>
        <v>3</v>
      </c>
      <c r="W4472" s="50">
        <f>IFERROR(Tabla1[[#This Row],[Fatalities]]/Tabla1[[#This Row],[Aboard]],0)</f>
        <v>0.93478260869565222</v>
      </c>
      <c r="X4472" s="51" t="str" cm="1">
        <f t="array" ref="X4472">_xlfn.IFS(Tabla1[[#This Row],[Porcentaje de muertes]]&lt;0.35,"LEVE",AND(Tabla1[[#This Row],[Porcentaje de muertes]]&gt;0.35,Tabla1[[#This Row],[Porcentaje de muertes]]&lt;0.65),"MEDIO",Tabla1[[#This Row],[Porcentaje de muertes]]&gt;0.65,"GRAVE")</f>
        <v>GRAVE</v>
      </c>
    </row>
    <row r="4473" spans="2:24" x14ac:dyDescent="0.3">
      <c r="B4473" s="9">
        <v>4473</v>
      </c>
      <c r="C4473" s="49">
        <v>38080</v>
      </c>
      <c r="D4473" s="9">
        <f>YEAR(Tabla1[[#This Row],[Date]])</f>
        <v>2004</v>
      </c>
      <c r="E4473" s="9" t="str" cm="1">
        <f t="array" ref="E4473">IFERROR(_xlfn.IFS(AND(D4473&lt;1980,D4473&gt;=1970),"70",AND(D4473&lt;1990,D4473&gt;=1980),"80",AND(D4473&lt;2000,D4473&gt;=1990),"90",AND(D4473&lt;2010,D4473&gt;=2000),"00",AND(D4473&lt;=2019,D4473&gt;=2010),"10"),"1908-1970")</f>
        <v>00</v>
      </c>
      <c r="F4473" s="3">
        <v>0.40277777777777773</v>
      </c>
      <c r="G4473" t="s">
        <v>25498</v>
      </c>
      <c r="H4473" t="s">
        <v>25499</v>
      </c>
      <c r="I4473" t="s">
        <v>28931</v>
      </c>
      <c r="J4473" t="s">
        <v>25500</v>
      </c>
      <c r="K4473" t="s">
        <v>23782</v>
      </c>
      <c r="L4473" s="7" t="s">
        <v>25501</v>
      </c>
      <c r="M4473">
        <v>63468036</v>
      </c>
      <c r="N4473">
        <v>7</v>
      </c>
      <c r="O4473">
        <v>0</v>
      </c>
      <c r="P4473">
        <v>7</v>
      </c>
      <c r="Q4473">
        <v>3</v>
      </c>
      <c r="R4473">
        <v>0</v>
      </c>
      <c r="S4473">
        <v>3</v>
      </c>
      <c r="T4473">
        <v>0</v>
      </c>
      <c r="U4473" t="s">
        <v>25502</v>
      </c>
      <c r="V4473">
        <f>Tabla1[[#This Row],[Aboard]]-Tabla1[[#This Row],[Fatalities]]</f>
        <v>4</v>
      </c>
      <c r="W4473" s="50">
        <f>IFERROR(Tabla1[[#This Row],[Fatalities]]/Tabla1[[#This Row],[Aboard]],0)</f>
        <v>0.42857142857142855</v>
      </c>
      <c r="X4473" s="51" t="str" cm="1">
        <f t="array" ref="X4473">_xlfn.IFS(Tabla1[[#This Row],[Porcentaje de muertes]]&lt;0.35,"LEVE",AND(Tabla1[[#This Row],[Porcentaje de muertes]]&gt;0.35,Tabla1[[#This Row],[Porcentaje de muertes]]&lt;0.65),"MEDIO",Tabla1[[#This Row],[Porcentaje de muertes]]&gt;0.65,"GRAVE")</f>
        <v>MEDIO</v>
      </c>
    </row>
    <row r="4474" spans="2:24" x14ac:dyDescent="0.3">
      <c r="B4474" s="9">
        <v>4474</v>
      </c>
      <c r="C4474" s="49">
        <v>38062</v>
      </c>
      <c r="D4474" s="9">
        <f>YEAR(Tabla1[[#This Row],[Date]])</f>
        <v>2004</v>
      </c>
      <c r="E4474" s="9" t="str" cm="1">
        <f t="array" ref="E4474">IFERROR(_xlfn.IFS(AND(D4474&lt;1980,D4474&gt;=1970),"70",AND(D4474&lt;1990,D4474&gt;=1980),"80",AND(D4474&lt;2000,D4474&gt;=1990),"90",AND(D4474&lt;2010,D4474&gt;=2000),"00",AND(D4474&lt;=2019,D4474&gt;=2010),"10"),"1908-1970")</f>
        <v>00</v>
      </c>
      <c r="F4474" s="3">
        <v>0.1673611111111111</v>
      </c>
      <c r="G4474" t="s">
        <v>25503</v>
      </c>
      <c r="H4474" t="s">
        <v>12091</v>
      </c>
      <c r="I4474" t="s">
        <v>28931</v>
      </c>
      <c r="J4474" t="s">
        <v>28931</v>
      </c>
      <c r="K4474" t="s">
        <v>20435</v>
      </c>
      <c r="L4474" s="7" t="s">
        <v>25504</v>
      </c>
      <c r="M4474" t="s">
        <v>25505</v>
      </c>
      <c r="N4474">
        <v>5</v>
      </c>
      <c r="O4474">
        <v>4</v>
      </c>
      <c r="P4474">
        <v>1</v>
      </c>
      <c r="Q4474">
        <v>5</v>
      </c>
      <c r="R4474">
        <v>4</v>
      </c>
      <c r="S4474">
        <v>1</v>
      </c>
      <c r="T4474">
        <v>0</v>
      </c>
      <c r="U4474" t="s">
        <v>25506</v>
      </c>
      <c r="V4474">
        <f>Tabla1[[#This Row],[Aboard]]-Tabla1[[#This Row],[Fatalities]]</f>
        <v>0</v>
      </c>
      <c r="W4474" s="50">
        <f>IFERROR(Tabla1[[#This Row],[Fatalities]]/Tabla1[[#This Row],[Aboard]],0)</f>
        <v>1</v>
      </c>
      <c r="X4474" s="51" t="str" cm="1">
        <f t="array" ref="X4474">_xlfn.IFS(Tabla1[[#This Row],[Porcentaje de muertes]]&lt;0.35,"LEVE",AND(Tabla1[[#This Row],[Porcentaje de muertes]]&gt;0.35,Tabla1[[#This Row],[Porcentaje de muertes]]&lt;0.65),"MEDIO",Tabla1[[#This Row],[Porcentaje de muertes]]&gt;0.65,"GRAVE")</f>
        <v>GRAVE</v>
      </c>
    </row>
    <row r="4475" spans="2:24" x14ac:dyDescent="0.3">
      <c r="B4475" s="9">
        <v>4475</v>
      </c>
      <c r="C4475" s="49">
        <v>38067</v>
      </c>
      <c r="D4475" s="9">
        <f>YEAR(Tabla1[[#This Row],[Date]])</f>
        <v>2004</v>
      </c>
      <c r="E4475" s="9" t="str" cm="1">
        <f t="array" ref="E4475">IFERROR(_xlfn.IFS(AND(D4475&lt;1980,D4475&gt;=1970),"70",AND(D4475&lt;1990,D4475&gt;=1980),"80",AND(D4475&lt;2000,D4475&gt;=1990),"90",AND(D4475&lt;2010,D4475&gt;=2000),"00",AND(D4475&lt;=2019,D4475&gt;=2010),"10"),"1908-1970")</f>
        <v>00</v>
      </c>
      <c r="F4475" s="3">
        <v>9.7222222222222224E-2</v>
      </c>
      <c r="G4475" t="s">
        <v>25507</v>
      </c>
      <c r="H4475" t="s">
        <v>25508</v>
      </c>
      <c r="I4475" t="s">
        <v>28931</v>
      </c>
      <c r="J4475" t="s">
        <v>25509</v>
      </c>
      <c r="K4475" t="s">
        <v>25510</v>
      </c>
      <c r="L4475" s="7" t="s">
        <v>25511</v>
      </c>
      <c r="M4475">
        <v>53549</v>
      </c>
      <c r="N4475">
        <v>5</v>
      </c>
      <c r="O4475">
        <v>4</v>
      </c>
      <c r="P4475">
        <v>1</v>
      </c>
      <c r="Q4475">
        <v>4</v>
      </c>
      <c r="R4475">
        <v>3</v>
      </c>
      <c r="S4475">
        <v>1</v>
      </c>
      <c r="T4475">
        <v>0</v>
      </c>
      <c r="U4475" t="s">
        <v>25512</v>
      </c>
      <c r="V4475">
        <f>Tabla1[[#This Row],[Aboard]]-Tabla1[[#This Row],[Fatalities]]</f>
        <v>1</v>
      </c>
      <c r="W4475" s="50">
        <f>IFERROR(Tabla1[[#This Row],[Fatalities]]/Tabla1[[#This Row],[Aboard]],0)</f>
        <v>0.8</v>
      </c>
      <c r="X4475" s="51" t="str" cm="1">
        <f t="array" ref="X4475">_xlfn.IFS(Tabla1[[#This Row],[Porcentaje de muertes]]&lt;0.35,"LEVE",AND(Tabla1[[#This Row],[Porcentaje de muertes]]&gt;0.35,Tabla1[[#This Row],[Porcentaje de muertes]]&lt;0.65),"MEDIO",Tabla1[[#This Row],[Porcentaje de muertes]]&gt;0.65,"GRAVE")</f>
        <v>GRAVE</v>
      </c>
    </row>
    <row r="4476" spans="2:24" x14ac:dyDescent="0.3">
      <c r="B4476" s="9">
        <v>4476</v>
      </c>
      <c r="C4476" s="49">
        <v>38022</v>
      </c>
      <c r="D4476" s="9">
        <f>YEAR(Tabla1[[#This Row],[Date]])</f>
        <v>2004</v>
      </c>
      <c r="E4476" s="9" t="str" cm="1">
        <f t="array" ref="E4476">IFERROR(_xlfn.IFS(AND(D4476&lt;1980,D4476&gt;=1970),"70",AND(D4476&lt;1990,D4476&gt;=1980),"80",AND(D4476&lt;2000,D4476&gt;=1990),"90",AND(D4476&lt;2010,D4476&gt;=2000),"00",AND(D4476&lt;=2019,D4476&gt;=2010),"10"),"1908-1970")</f>
        <v>00</v>
      </c>
      <c r="F4476" s="3">
        <v>0.66666666666666663</v>
      </c>
      <c r="G4476" t="s">
        <v>25513</v>
      </c>
      <c r="H4476" t="s">
        <v>25514</v>
      </c>
      <c r="I4476" t="s">
        <v>28931</v>
      </c>
      <c r="J4476" t="s">
        <v>25515</v>
      </c>
      <c r="K4476" t="s">
        <v>25516</v>
      </c>
      <c r="L4476" s="7" t="s">
        <v>25517</v>
      </c>
      <c r="M4476">
        <v>11678</v>
      </c>
      <c r="N4476">
        <v>7</v>
      </c>
      <c r="O4476">
        <v>5</v>
      </c>
      <c r="P4476">
        <v>2</v>
      </c>
      <c r="Q4476">
        <v>7</v>
      </c>
      <c r="R4476">
        <v>5</v>
      </c>
      <c r="S4476">
        <v>2</v>
      </c>
      <c r="T4476">
        <v>0</v>
      </c>
      <c r="U4476" t="s">
        <v>25518</v>
      </c>
      <c r="V4476">
        <f>Tabla1[[#This Row],[Aboard]]-Tabla1[[#This Row],[Fatalities]]</f>
        <v>0</v>
      </c>
      <c r="W4476" s="50">
        <f>IFERROR(Tabla1[[#This Row],[Fatalities]]/Tabla1[[#This Row],[Aboard]],0)</f>
        <v>1</v>
      </c>
      <c r="X4476" s="51" t="str" cm="1">
        <f t="array" ref="X4476">_xlfn.IFS(Tabla1[[#This Row],[Porcentaje de muertes]]&lt;0.35,"LEVE",AND(Tabla1[[#This Row],[Porcentaje de muertes]]&gt;0.35,Tabla1[[#This Row],[Porcentaje de muertes]]&lt;0.65),"MEDIO",Tabla1[[#This Row],[Porcentaje de muertes]]&gt;0.65,"GRAVE")</f>
        <v>GRAVE</v>
      </c>
    </row>
    <row r="4477" spans="2:24" x14ac:dyDescent="0.3">
      <c r="B4477" s="9">
        <v>4477</v>
      </c>
      <c r="C4477" s="49">
        <v>38112</v>
      </c>
      <c r="D4477" s="9">
        <f>YEAR(Tabla1[[#This Row],[Date]])</f>
        <v>2004</v>
      </c>
      <c r="E4477" s="9" t="str" cm="1">
        <f t="array" ref="E4477">IFERROR(_xlfn.IFS(AND(D4477&lt;1980,D4477&gt;=1970),"70",AND(D4477&lt;1990,D4477&gt;=1980),"80",AND(D4477&lt;2000,D4477&gt;=1990),"90",AND(D4477&lt;2010,D4477&gt;=2000),"00",AND(D4477&lt;=2019,D4477&gt;=2010),"10"),"1908-1970")</f>
        <v>00</v>
      </c>
      <c r="F4477" s="3">
        <v>0.54166666666666663</v>
      </c>
      <c r="G4477" t="s">
        <v>25519</v>
      </c>
      <c r="H4477" t="s">
        <v>25520</v>
      </c>
      <c r="I4477" t="s">
        <v>28931</v>
      </c>
      <c r="J4477" t="s">
        <v>25521</v>
      </c>
      <c r="K4477" t="s">
        <v>25522</v>
      </c>
      <c r="L4477" s="7" t="s">
        <v>25523</v>
      </c>
      <c r="M4477" t="s">
        <v>25524</v>
      </c>
      <c r="N4477">
        <v>7</v>
      </c>
      <c r="O4477">
        <v>5</v>
      </c>
      <c r="P4477">
        <v>2</v>
      </c>
      <c r="Q4477">
        <v>3</v>
      </c>
      <c r="R4477">
        <v>1</v>
      </c>
      <c r="S4477">
        <v>2</v>
      </c>
      <c r="T4477">
        <v>0</v>
      </c>
      <c r="U4477" t="s">
        <v>25525</v>
      </c>
      <c r="V4477">
        <f>Tabla1[[#This Row],[Aboard]]-Tabla1[[#This Row],[Fatalities]]</f>
        <v>4</v>
      </c>
      <c r="W4477" s="50">
        <f>IFERROR(Tabla1[[#This Row],[Fatalities]]/Tabla1[[#This Row],[Aboard]],0)</f>
        <v>0.42857142857142855</v>
      </c>
      <c r="X4477" s="51" t="str" cm="1">
        <f t="array" ref="X4477">_xlfn.IFS(Tabla1[[#This Row],[Porcentaje de muertes]]&lt;0.35,"LEVE",AND(Tabla1[[#This Row],[Porcentaje de muertes]]&gt;0.35,Tabla1[[#This Row],[Porcentaje de muertes]]&lt;0.65),"MEDIO",Tabla1[[#This Row],[Porcentaje de muertes]]&gt;0.65,"GRAVE")</f>
        <v>MEDIO</v>
      </c>
    </row>
    <row r="4478" spans="2:24" x14ac:dyDescent="0.3">
      <c r="B4478" s="9">
        <v>4478</v>
      </c>
      <c r="C4478" s="49">
        <v>38143</v>
      </c>
      <c r="D4478" s="9">
        <f>YEAR(Tabla1[[#This Row],[Date]])</f>
        <v>2004</v>
      </c>
      <c r="E4478" s="9" t="str" cm="1">
        <f t="array" ref="E4478">IFERROR(_xlfn.IFS(AND(D4478&lt;1980,D4478&gt;=1970),"70",AND(D4478&lt;1990,D4478&gt;=1980),"80",AND(D4478&lt;2000,D4478&gt;=1990),"90",AND(D4478&lt;2010,D4478&gt;=2000),"00",AND(D4478&lt;=2019,D4478&gt;=2010),"10"),"1908-1970")</f>
        <v>00</v>
      </c>
      <c r="F4478" s="3">
        <v>0.625</v>
      </c>
      <c r="G4478" t="s">
        <v>25526</v>
      </c>
      <c r="H4478" t="s">
        <v>25527</v>
      </c>
      <c r="I4478" t="s">
        <v>28931</v>
      </c>
      <c r="J4478" t="s">
        <v>25528</v>
      </c>
      <c r="K4478" t="s">
        <v>20760</v>
      </c>
      <c r="L4478" s="7" t="s">
        <v>25529</v>
      </c>
      <c r="M4478" t="s">
        <v>28931</v>
      </c>
      <c r="N4478">
        <v>10</v>
      </c>
      <c r="O4478">
        <v>8</v>
      </c>
      <c r="P4478">
        <v>2</v>
      </c>
      <c r="Q4478">
        <v>6</v>
      </c>
      <c r="R4478">
        <v>5</v>
      </c>
      <c r="S4478">
        <v>1</v>
      </c>
      <c r="T4478">
        <v>0</v>
      </c>
      <c r="U4478" t="s">
        <v>25530</v>
      </c>
      <c r="V4478">
        <f>Tabla1[[#This Row],[Aboard]]-Tabla1[[#This Row],[Fatalities]]</f>
        <v>4</v>
      </c>
      <c r="W4478" s="50">
        <f>IFERROR(Tabla1[[#This Row],[Fatalities]]/Tabla1[[#This Row],[Aboard]],0)</f>
        <v>0.6</v>
      </c>
      <c r="X4478" s="51" t="str" cm="1">
        <f t="array" ref="X4478">_xlfn.IFS(Tabla1[[#This Row],[Porcentaje de muertes]]&lt;0.35,"LEVE",AND(Tabla1[[#This Row],[Porcentaje de muertes]]&gt;0.35,Tabla1[[#This Row],[Porcentaje de muertes]]&lt;0.65),"MEDIO",Tabla1[[#This Row],[Porcentaje de muertes]]&gt;0.65,"GRAVE")</f>
        <v>MEDIO</v>
      </c>
    </row>
    <row r="4479" spans="2:24" x14ac:dyDescent="0.3">
      <c r="B4479" s="9">
        <v>4479</v>
      </c>
      <c r="C4479" s="49">
        <v>38296</v>
      </c>
      <c r="D4479" s="9">
        <f>YEAR(Tabla1[[#This Row],[Date]])</f>
        <v>2004</v>
      </c>
      <c r="E4479" s="9" t="str" cm="1">
        <f t="array" ref="E4479">IFERROR(_xlfn.IFS(AND(D4479&lt;1980,D4479&gt;=1970),"70",AND(D4479&lt;1990,D4479&gt;=1980),"80",AND(D4479&lt;2000,D4479&gt;=1990),"90",AND(D4479&lt;2010,D4479&gt;=2000),"00",AND(D4479&lt;=2019,D4479&gt;=2010),"10"),"1908-1970")</f>
        <v>00</v>
      </c>
      <c r="F4479" s="3" t="s">
        <v>28931</v>
      </c>
      <c r="G4479" t="s">
        <v>25531</v>
      </c>
      <c r="H4479" t="s">
        <v>25532</v>
      </c>
      <c r="I4479" t="s">
        <v>28931</v>
      </c>
      <c r="J4479" t="s">
        <v>25533</v>
      </c>
      <c r="K4479" t="s">
        <v>13992</v>
      </c>
      <c r="L4479" s="7" t="s">
        <v>25534</v>
      </c>
      <c r="M4479">
        <v>1400101</v>
      </c>
      <c r="N4479">
        <v>7</v>
      </c>
      <c r="O4479">
        <v>0</v>
      </c>
      <c r="P4479">
        <v>7</v>
      </c>
      <c r="Q4479">
        <v>7</v>
      </c>
      <c r="R4479">
        <v>0</v>
      </c>
      <c r="S4479">
        <v>7</v>
      </c>
      <c r="T4479">
        <v>0</v>
      </c>
      <c r="U4479" t="s">
        <v>25535</v>
      </c>
      <c r="V4479">
        <f>Tabla1[[#This Row],[Aboard]]-Tabla1[[#This Row],[Fatalities]]</f>
        <v>0</v>
      </c>
      <c r="W4479" s="50">
        <f>IFERROR(Tabla1[[#This Row],[Fatalities]]/Tabla1[[#This Row],[Aboard]],0)</f>
        <v>1</v>
      </c>
      <c r="X4479" s="51" t="str" cm="1">
        <f t="array" ref="X4479">_xlfn.IFS(Tabla1[[#This Row],[Porcentaje de muertes]]&lt;0.35,"LEVE",AND(Tabla1[[#This Row],[Porcentaje de muertes]]&gt;0.35,Tabla1[[#This Row],[Porcentaje de muertes]]&lt;0.65),"MEDIO",Tabla1[[#This Row],[Porcentaje de muertes]]&gt;0.65,"GRAVE")</f>
        <v>GRAVE</v>
      </c>
    </row>
    <row r="4480" spans="2:24" x14ac:dyDescent="0.3">
      <c r="B4480" s="9">
        <v>4480</v>
      </c>
      <c r="C4480" s="49">
        <v>38121</v>
      </c>
      <c r="D4480" s="9">
        <f>YEAR(Tabla1[[#This Row],[Date]])</f>
        <v>2004</v>
      </c>
      <c r="E4480" s="9" t="str" cm="1">
        <f t="array" ref="E4480">IFERROR(_xlfn.IFS(AND(D4480&lt;1980,D4480&gt;=1970),"70",AND(D4480&lt;1990,D4480&gt;=1980),"80",AND(D4480&lt;2000,D4480&gt;=1990),"90",AND(D4480&lt;2010,D4480&gt;=2000),"00",AND(D4480&lt;=2019,D4480&gt;=2010),"10"),"1908-1970")</f>
        <v>00</v>
      </c>
      <c r="F4480" s="3">
        <v>0.77083333333333337</v>
      </c>
      <c r="G4480" t="s">
        <v>10735</v>
      </c>
      <c r="H4480" t="s">
        <v>25536</v>
      </c>
      <c r="I4480">
        <v>4815</v>
      </c>
      <c r="J4480" t="s">
        <v>25537</v>
      </c>
      <c r="K4480" t="s">
        <v>25081</v>
      </c>
      <c r="L4480" s="7" t="s">
        <v>25538</v>
      </c>
      <c r="M4480">
        <v>120070</v>
      </c>
      <c r="N4480">
        <v>33</v>
      </c>
      <c r="O4480">
        <v>30</v>
      </c>
      <c r="P4480">
        <v>3</v>
      </c>
      <c r="Q4480">
        <v>33</v>
      </c>
      <c r="R4480">
        <v>30</v>
      </c>
      <c r="S4480">
        <v>3</v>
      </c>
      <c r="T4480">
        <v>0</v>
      </c>
      <c r="U4480" t="s">
        <v>25539</v>
      </c>
      <c r="V4480">
        <f>Tabla1[[#This Row],[Aboard]]-Tabla1[[#This Row],[Fatalities]]</f>
        <v>0</v>
      </c>
      <c r="W4480" s="50">
        <f>IFERROR(Tabla1[[#This Row],[Fatalities]]/Tabla1[[#This Row],[Aboard]],0)</f>
        <v>1</v>
      </c>
      <c r="X4480" s="51" t="str" cm="1">
        <f t="array" ref="X4480">_xlfn.IFS(Tabla1[[#This Row],[Porcentaje de muertes]]&lt;0.35,"LEVE",AND(Tabla1[[#This Row],[Porcentaje de muertes]]&gt;0.35,Tabla1[[#This Row],[Porcentaje de muertes]]&lt;0.65),"MEDIO",Tabla1[[#This Row],[Porcentaje de muertes]]&gt;0.65,"GRAVE")</f>
        <v>GRAVE</v>
      </c>
    </row>
    <row r="4481" spans="2:24" x14ac:dyDescent="0.3">
      <c r="B4481" s="9">
        <v>4481</v>
      </c>
      <c r="C4481" s="49">
        <v>38125</v>
      </c>
      <c r="D4481" s="9">
        <f>YEAR(Tabla1[[#This Row],[Date]])</f>
        <v>2004</v>
      </c>
      <c r="E4481" s="9" t="str" cm="1">
        <f t="array" ref="E4481">IFERROR(_xlfn.IFS(AND(D4481&lt;1980,D4481&gt;=1970),"70",AND(D4481&lt;1990,D4481&gt;=1980),"80",AND(D4481&lt;2000,D4481&gt;=1990),"90",AND(D4481&lt;2010,D4481&gt;=2000),"00",AND(D4481&lt;=2019,D4481&gt;=2010),"10"),"1908-1970")</f>
        <v>00</v>
      </c>
      <c r="F4481" s="3">
        <v>0.4513888888888889</v>
      </c>
      <c r="G4481" t="s">
        <v>22351</v>
      </c>
      <c r="H4481" t="s">
        <v>25540</v>
      </c>
      <c r="I4481" t="s">
        <v>28931</v>
      </c>
      <c r="J4481" t="s">
        <v>25541</v>
      </c>
      <c r="K4481" t="s">
        <v>25189</v>
      </c>
      <c r="L4481" s="7" t="s">
        <v>25542</v>
      </c>
      <c r="M4481">
        <v>53460827</v>
      </c>
      <c r="N4481">
        <v>7</v>
      </c>
      <c r="O4481">
        <v>0</v>
      </c>
      <c r="P4481">
        <v>7</v>
      </c>
      <c r="Q4481">
        <v>7</v>
      </c>
      <c r="R4481">
        <v>0</v>
      </c>
      <c r="S4481">
        <v>7</v>
      </c>
      <c r="T4481">
        <v>0</v>
      </c>
      <c r="U4481" t="s">
        <v>25543</v>
      </c>
      <c r="V4481">
        <f>Tabla1[[#This Row],[Aboard]]-Tabla1[[#This Row],[Fatalities]]</f>
        <v>0</v>
      </c>
      <c r="W4481" s="50">
        <f>IFERROR(Tabla1[[#This Row],[Fatalities]]/Tabla1[[#This Row],[Aboard]],0)</f>
        <v>1</v>
      </c>
      <c r="X4481" s="51" t="str" cm="1">
        <f t="array" ref="X4481">_xlfn.IFS(Tabla1[[#This Row],[Porcentaje de muertes]]&lt;0.35,"LEVE",AND(Tabla1[[#This Row],[Porcentaje de muertes]]&gt;0.35,Tabla1[[#This Row],[Porcentaje de muertes]]&lt;0.65),"MEDIO",Tabla1[[#This Row],[Porcentaje de muertes]]&gt;0.65,"GRAVE")</f>
        <v>GRAVE</v>
      </c>
    </row>
    <row r="4482" spans="2:24" x14ac:dyDescent="0.3">
      <c r="B4482" s="9">
        <v>4482</v>
      </c>
      <c r="C4482" s="49">
        <v>38125</v>
      </c>
      <c r="D4482" s="9">
        <f>YEAR(Tabla1[[#This Row],[Date]])</f>
        <v>2004</v>
      </c>
      <c r="E4482" s="9" t="str" cm="1">
        <f t="array" ref="E4482">IFERROR(_xlfn.IFS(AND(D4482&lt;1980,D4482&gt;=1970),"70",AND(D4482&lt;1990,D4482&gt;=1980),"80",AND(D4482&lt;2000,D4482&gt;=1990),"90",AND(D4482&lt;2010,D4482&gt;=2000),"00",AND(D4482&lt;=2019,D4482&gt;=2010),"10"),"1908-1970")</f>
        <v>00</v>
      </c>
      <c r="F4482" s="3">
        <v>0.44444444444444442</v>
      </c>
      <c r="G4482" t="s">
        <v>25544</v>
      </c>
      <c r="H4482" t="s">
        <v>25545</v>
      </c>
      <c r="I4482" t="s">
        <v>28931</v>
      </c>
      <c r="J4482" t="s">
        <v>25546</v>
      </c>
      <c r="K4482" t="s">
        <v>25547</v>
      </c>
      <c r="L4482" s="7" t="s">
        <v>25548</v>
      </c>
      <c r="M4482" t="s">
        <v>25549</v>
      </c>
      <c r="N4482">
        <v>12</v>
      </c>
      <c r="O4482">
        <v>10</v>
      </c>
      <c r="P4482">
        <v>2</v>
      </c>
      <c r="Q4482">
        <v>1</v>
      </c>
      <c r="R4482">
        <v>1</v>
      </c>
      <c r="S4482">
        <v>0</v>
      </c>
      <c r="T4482">
        <v>0</v>
      </c>
      <c r="U4482" t="s">
        <v>25550</v>
      </c>
      <c r="V4482">
        <f>Tabla1[[#This Row],[Aboard]]-Tabla1[[#This Row],[Fatalities]]</f>
        <v>11</v>
      </c>
      <c r="W4482" s="50">
        <f>IFERROR(Tabla1[[#This Row],[Fatalities]]/Tabla1[[#This Row],[Aboard]],0)</f>
        <v>8.3333333333333329E-2</v>
      </c>
      <c r="X4482" s="51" t="str" cm="1">
        <f t="array" ref="X4482">_xlfn.IFS(Tabla1[[#This Row],[Porcentaje de muertes]]&lt;0.35,"LEVE",AND(Tabla1[[#This Row],[Porcentaje de muertes]]&gt;0.35,Tabla1[[#This Row],[Porcentaje de muertes]]&lt;0.65),"MEDIO",Tabla1[[#This Row],[Porcentaje de muertes]]&gt;0.65,"GRAVE")</f>
        <v>LEVE</v>
      </c>
    </row>
    <row r="4483" spans="2:24" x14ac:dyDescent="0.3">
      <c r="B4483" s="9">
        <v>4483</v>
      </c>
      <c r="C4483" s="49">
        <v>38130</v>
      </c>
      <c r="D4483" s="9">
        <f>YEAR(Tabla1[[#This Row],[Date]])</f>
        <v>2004</v>
      </c>
      <c r="E4483" s="9" t="str" cm="1">
        <f t="array" ref="E4483">IFERROR(_xlfn.IFS(AND(D4483&lt;1980,D4483&gt;=1970),"70",AND(D4483&lt;1990,D4483&gt;=1980),"80",AND(D4483&lt;2000,D4483&gt;=1990),"90",AND(D4483&lt;2010,D4483&gt;=2000),"00",AND(D4483&lt;=2019,D4483&gt;=2010),"10"),"1908-1970")</f>
        <v>00</v>
      </c>
      <c r="F4483" s="3">
        <v>0.3125</v>
      </c>
      <c r="G4483" t="s">
        <v>25551</v>
      </c>
      <c r="H4483" t="s">
        <v>25552</v>
      </c>
      <c r="I4483" t="s">
        <v>28931</v>
      </c>
      <c r="J4483" t="s">
        <v>25553</v>
      </c>
      <c r="K4483" t="s">
        <v>20760</v>
      </c>
      <c r="L4483" s="7" t="s">
        <v>25554</v>
      </c>
      <c r="M4483">
        <v>872009</v>
      </c>
      <c r="N4483">
        <v>2</v>
      </c>
      <c r="O4483">
        <v>0</v>
      </c>
      <c r="P4483">
        <v>2</v>
      </c>
      <c r="Q4483">
        <v>2</v>
      </c>
      <c r="R4483">
        <v>0</v>
      </c>
      <c r="S4483">
        <v>2</v>
      </c>
      <c r="T4483">
        <v>0</v>
      </c>
      <c r="U4483" t="s">
        <v>25555</v>
      </c>
      <c r="V4483">
        <f>Tabla1[[#This Row],[Aboard]]-Tabla1[[#This Row],[Fatalities]]</f>
        <v>0</v>
      </c>
      <c r="W4483" s="50">
        <f>IFERROR(Tabla1[[#This Row],[Fatalities]]/Tabla1[[#This Row],[Aboard]],0)</f>
        <v>1</v>
      </c>
      <c r="X4483" s="51" t="str" cm="1">
        <f t="array" ref="X4483">_xlfn.IFS(Tabla1[[#This Row],[Porcentaje de muertes]]&lt;0.35,"LEVE",AND(Tabla1[[#This Row],[Porcentaje de muertes]]&gt;0.35,Tabla1[[#This Row],[Porcentaje de muertes]]&lt;0.65),"MEDIO",Tabla1[[#This Row],[Porcentaje de muertes]]&gt;0.65,"GRAVE")</f>
        <v>GRAVE</v>
      </c>
    </row>
    <row r="4484" spans="2:24" x14ac:dyDescent="0.3">
      <c r="B4484" s="9">
        <v>4484</v>
      </c>
      <c r="C4484" s="49">
        <v>38132</v>
      </c>
      <c r="D4484" s="9">
        <f>YEAR(Tabla1[[#This Row],[Date]])</f>
        <v>2004</v>
      </c>
      <c r="E4484" s="9" t="str" cm="1">
        <f t="array" ref="E4484">IFERROR(_xlfn.IFS(AND(D4484&lt;1980,D4484&gt;=1970),"70",AND(D4484&lt;1990,D4484&gt;=1980),"80",AND(D4484&lt;2000,D4484&gt;=1990),"90",AND(D4484&lt;2010,D4484&gt;=2000),"00",AND(D4484&lt;=2019,D4484&gt;=2010),"10"),"1908-1970")</f>
        <v>00</v>
      </c>
      <c r="F4484" s="3">
        <v>0.5805555555555556</v>
      </c>
      <c r="G4484" t="s">
        <v>25556</v>
      </c>
      <c r="H4484" t="s">
        <v>25557</v>
      </c>
      <c r="I4484">
        <v>117</v>
      </c>
      <c r="J4484" t="s">
        <v>25558</v>
      </c>
      <c r="K4484" t="s">
        <v>20975</v>
      </c>
      <c r="L4484" s="7" t="s">
        <v>25559</v>
      </c>
      <c r="M4484">
        <v>651</v>
      </c>
      <c r="N4484">
        <v>3</v>
      </c>
      <c r="O4484">
        <v>0</v>
      </c>
      <c r="P4484">
        <v>3</v>
      </c>
      <c r="Q4484">
        <v>3</v>
      </c>
      <c r="R4484">
        <v>0</v>
      </c>
      <c r="S4484">
        <v>3</v>
      </c>
      <c r="T4484">
        <v>0</v>
      </c>
      <c r="U4484" t="s">
        <v>25560</v>
      </c>
      <c r="V4484">
        <f>Tabla1[[#This Row],[Aboard]]-Tabla1[[#This Row],[Fatalities]]</f>
        <v>0</v>
      </c>
      <c r="W4484" s="50">
        <f>IFERROR(Tabla1[[#This Row],[Fatalities]]/Tabla1[[#This Row],[Aboard]],0)</f>
        <v>1</v>
      </c>
      <c r="X4484" s="51" t="str" cm="1">
        <f t="array" ref="X4484">_xlfn.IFS(Tabla1[[#This Row],[Porcentaje de muertes]]&lt;0.35,"LEVE",AND(Tabla1[[#This Row],[Porcentaje de muertes]]&gt;0.35,Tabla1[[#This Row],[Porcentaje de muertes]]&lt;0.65),"MEDIO",Tabla1[[#This Row],[Porcentaje de muertes]]&gt;0.65,"GRAVE")</f>
        <v>GRAVE</v>
      </c>
    </row>
    <row r="4485" spans="2:24" x14ac:dyDescent="0.3">
      <c r="B4485" s="9">
        <v>4485</v>
      </c>
      <c r="C4485" s="49">
        <v>38205</v>
      </c>
      <c r="D4485" s="9">
        <f>YEAR(Tabla1[[#This Row],[Date]])</f>
        <v>2004</v>
      </c>
      <c r="E4485" s="9" t="str" cm="1">
        <f t="array" ref="E4485">IFERROR(_xlfn.IFS(AND(D4485&lt;1980,D4485&gt;=1970),"70",AND(D4485&lt;1990,D4485&gt;=1980),"80",AND(D4485&lt;2000,D4485&gt;=1990),"90",AND(D4485&lt;2010,D4485&gt;=2000),"00",AND(D4485&lt;=2019,D4485&gt;=2010),"10"),"1908-1970")</f>
        <v>00</v>
      </c>
      <c r="F4485" s="3">
        <v>0.40138888888888885</v>
      </c>
      <c r="G4485" t="s">
        <v>25561</v>
      </c>
      <c r="H4485" t="s">
        <v>25562</v>
      </c>
      <c r="I4485">
        <v>221</v>
      </c>
      <c r="J4485" t="s">
        <v>25563</v>
      </c>
      <c r="K4485" t="s">
        <v>25564</v>
      </c>
      <c r="L4485" s="7" t="s">
        <v>25565</v>
      </c>
      <c r="M4485" t="s">
        <v>25566</v>
      </c>
      <c r="N4485">
        <v>30</v>
      </c>
      <c r="O4485">
        <v>26</v>
      </c>
      <c r="P4485">
        <v>4</v>
      </c>
      <c r="Q4485">
        <v>19</v>
      </c>
      <c r="R4485">
        <v>18</v>
      </c>
      <c r="S4485">
        <v>1</v>
      </c>
      <c r="T4485">
        <v>0</v>
      </c>
      <c r="U4485" t="s">
        <v>25567</v>
      </c>
      <c r="V4485">
        <f>Tabla1[[#This Row],[Aboard]]-Tabla1[[#This Row],[Fatalities]]</f>
        <v>11</v>
      </c>
      <c r="W4485" s="50">
        <f>IFERROR(Tabla1[[#This Row],[Fatalities]]/Tabla1[[#This Row],[Aboard]],0)</f>
        <v>0.6333333333333333</v>
      </c>
      <c r="X4485" s="51" t="str" cm="1">
        <f t="array" ref="X4485">_xlfn.IFS(Tabla1[[#This Row],[Porcentaje de muertes]]&lt;0.35,"LEVE",AND(Tabla1[[#This Row],[Porcentaje de muertes]]&gt;0.35,Tabla1[[#This Row],[Porcentaje de muertes]]&lt;0.65),"MEDIO",Tabla1[[#This Row],[Porcentaje de muertes]]&gt;0.65,"GRAVE")</f>
        <v>MEDIO</v>
      </c>
    </row>
    <row r="4486" spans="2:24" x14ac:dyDescent="0.3">
      <c r="B4486" s="9">
        <v>4486</v>
      </c>
      <c r="C4486" s="49">
        <v>38166</v>
      </c>
      <c r="D4486" s="9">
        <f>YEAR(Tabla1[[#This Row],[Date]])</f>
        <v>2004</v>
      </c>
      <c r="E4486" s="9" t="str" cm="1">
        <f t="array" ref="E4486">IFERROR(_xlfn.IFS(AND(D4486&lt;1980,D4486&gt;=1970),"70",AND(D4486&lt;1990,D4486&gt;=1980),"80",AND(D4486&lt;2000,D4486&gt;=1990),"90",AND(D4486&lt;2010,D4486&gt;=2000),"00",AND(D4486&lt;=2019,D4486&gt;=2010),"10"),"1908-1970")</f>
        <v>00</v>
      </c>
      <c r="F4486" s="3">
        <v>0.38680555555555557</v>
      </c>
      <c r="G4486" t="s">
        <v>25568</v>
      </c>
      <c r="H4486" t="s">
        <v>25569</v>
      </c>
      <c r="I4486" t="s">
        <v>28931</v>
      </c>
      <c r="J4486" t="s">
        <v>25570</v>
      </c>
      <c r="K4486" t="s">
        <v>25571</v>
      </c>
      <c r="L4486" s="7" t="s">
        <v>25572</v>
      </c>
      <c r="M4486" t="s">
        <v>28931</v>
      </c>
      <c r="N4486">
        <v>24</v>
      </c>
      <c r="O4486">
        <v>21</v>
      </c>
      <c r="P4486">
        <v>3</v>
      </c>
      <c r="Q4486">
        <v>24</v>
      </c>
      <c r="R4486">
        <v>21</v>
      </c>
      <c r="S4486">
        <v>3</v>
      </c>
      <c r="T4486">
        <v>0</v>
      </c>
      <c r="U4486" t="s">
        <v>25573</v>
      </c>
      <c r="V4486">
        <f>Tabla1[[#This Row],[Aboard]]-Tabla1[[#This Row],[Fatalities]]</f>
        <v>0</v>
      </c>
      <c r="W4486" s="50">
        <f>IFERROR(Tabla1[[#This Row],[Fatalities]]/Tabla1[[#This Row],[Aboard]],0)</f>
        <v>1</v>
      </c>
      <c r="X4486" s="51" t="str" cm="1">
        <f t="array" ref="X4486">_xlfn.IFS(Tabla1[[#This Row],[Porcentaje de muertes]]&lt;0.35,"LEVE",AND(Tabla1[[#This Row],[Porcentaje de muertes]]&gt;0.35,Tabla1[[#This Row],[Porcentaje de muertes]]&lt;0.65),"MEDIO",Tabla1[[#This Row],[Porcentaje de muertes]]&gt;0.65,"GRAVE")</f>
        <v>GRAVE</v>
      </c>
    </row>
    <row r="4487" spans="2:24" x14ac:dyDescent="0.3">
      <c r="B4487" s="9">
        <v>4487</v>
      </c>
      <c r="C4487" s="49">
        <v>38328</v>
      </c>
      <c r="D4487" s="9">
        <f>YEAR(Tabla1[[#This Row],[Date]])</f>
        <v>2004</v>
      </c>
      <c r="E4487" s="9" t="str" cm="1">
        <f t="array" ref="E4487">IFERROR(_xlfn.IFS(AND(D4487&lt;1980,D4487&gt;=1970),"70",AND(D4487&lt;1990,D4487&gt;=1980),"80",AND(D4487&lt;2000,D4487&gt;=1990),"90",AND(D4487&lt;2010,D4487&gt;=2000),"00",AND(D4487&lt;=2019,D4487&gt;=2010),"10"),"1908-1970")</f>
        <v>00</v>
      </c>
      <c r="F4487" s="3">
        <v>0.30208333333333331</v>
      </c>
      <c r="G4487" t="s">
        <v>25574</v>
      </c>
      <c r="H4487" t="s">
        <v>25575</v>
      </c>
      <c r="I4487" t="s">
        <v>28931</v>
      </c>
      <c r="J4487" t="s">
        <v>25576</v>
      </c>
      <c r="K4487" t="s">
        <v>14237</v>
      </c>
      <c r="L4487" s="7" t="s">
        <v>25577</v>
      </c>
      <c r="M4487">
        <v>391</v>
      </c>
      <c r="N4487">
        <v>2</v>
      </c>
      <c r="O4487">
        <v>0</v>
      </c>
      <c r="P4487">
        <v>2</v>
      </c>
      <c r="Q4487">
        <v>1</v>
      </c>
      <c r="R4487">
        <v>0</v>
      </c>
      <c r="S4487">
        <v>1</v>
      </c>
      <c r="T4487">
        <v>0</v>
      </c>
      <c r="U4487" t="s">
        <v>25578</v>
      </c>
      <c r="V4487">
        <f>Tabla1[[#This Row],[Aboard]]-Tabla1[[#This Row],[Fatalities]]</f>
        <v>1</v>
      </c>
      <c r="W4487" s="50">
        <f>IFERROR(Tabla1[[#This Row],[Fatalities]]/Tabla1[[#This Row],[Aboard]],0)</f>
        <v>0.5</v>
      </c>
      <c r="X4487" s="51" t="str" cm="1">
        <f t="array" ref="X4487">_xlfn.IFS(Tabla1[[#This Row],[Porcentaje de muertes]]&lt;0.35,"LEVE",AND(Tabla1[[#This Row],[Porcentaje de muertes]]&gt;0.35,Tabla1[[#This Row],[Porcentaje de muertes]]&lt;0.65),"MEDIO",Tabla1[[#This Row],[Porcentaje de muertes]]&gt;0.65,"GRAVE")</f>
        <v>MEDIO</v>
      </c>
    </row>
    <row r="4488" spans="2:24" x14ac:dyDescent="0.3">
      <c r="B4488" s="9">
        <v>4488</v>
      </c>
      <c r="C4488" s="49">
        <v>38190</v>
      </c>
      <c r="D4488" s="9">
        <f>YEAR(Tabla1[[#This Row],[Date]])</f>
        <v>2004</v>
      </c>
      <c r="E4488" s="9" t="str" cm="1">
        <f t="array" ref="E4488">IFERROR(_xlfn.IFS(AND(D4488&lt;1980,D4488&gt;=1970),"70",AND(D4488&lt;1990,D4488&gt;=1980),"80",AND(D4488&lt;2000,D4488&gt;=1990),"90",AND(D4488&lt;2010,D4488&gt;=2000),"00",AND(D4488&lt;=2019,D4488&gt;=2010),"10"),"1908-1970")</f>
        <v>00</v>
      </c>
      <c r="F4488" s="3">
        <v>0.35416666666666669</v>
      </c>
      <c r="G4488" t="s">
        <v>25579</v>
      </c>
      <c r="H4488" t="s">
        <v>25580</v>
      </c>
      <c r="I4488" t="s">
        <v>28931</v>
      </c>
      <c r="J4488" t="s">
        <v>25581</v>
      </c>
      <c r="K4488" t="s">
        <v>25582</v>
      </c>
      <c r="L4488" s="7" t="s">
        <v>25583</v>
      </c>
      <c r="M4488" t="s">
        <v>28931</v>
      </c>
      <c r="N4488">
        <v>11</v>
      </c>
      <c r="O4488">
        <v>9</v>
      </c>
      <c r="P4488">
        <v>2</v>
      </c>
      <c r="Q4488">
        <v>6</v>
      </c>
      <c r="R4488">
        <v>6</v>
      </c>
      <c r="S4488">
        <v>0</v>
      </c>
      <c r="T4488">
        <v>0</v>
      </c>
      <c r="U4488" t="s">
        <v>25584</v>
      </c>
      <c r="V4488">
        <f>Tabla1[[#This Row],[Aboard]]-Tabla1[[#This Row],[Fatalities]]</f>
        <v>5</v>
      </c>
      <c r="W4488" s="50">
        <f>IFERROR(Tabla1[[#This Row],[Fatalities]]/Tabla1[[#This Row],[Aboard]],0)</f>
        <v>0.54545454545454541</v>
      </c>
      <c r="X4488" s="51" t="str" cm="1">
        <f t="array" ref="X4488">_xlfn.IFS(Tabla1[[#This Row],[Porcentaje de muertes]]&lt;0.35,"LEVE",AND(Tabla1[[#This Row],[Porcentaje de muertes]]&gt;0.35,Tabla1[[#This Row],[Porcentaje de muertes]]&lt;0.65),"MEDIO",Tabla1[[#This Row],[Porcentaje de muertes]]&gt;0.65,"GRAVE")</f>
        <v>MEDIO</v>
      </c>
    </row>
    <row r="4489" spans="2:24" x14ac:dyDescent="0.3">
      <c r="B4489" s="9">
        <v>4489</v>
      </c>
      <c r="C4489" s="49">
        <v>38197</v>
      </c>
      <c r="D4489" s="9">
        <f>YEAR(Tabla1[[#This Row],[Date]])</f>
        <v>2004</v>
      </c>
      <c r="E4489" s="9" t="str" cm="1">
        <f t="array" ref="E4489">IFERROR(_xlfn.IFS(AND(D4489&lt;1980,D4489&gt;=1970),"70",AND(D4489&lt;1990,D4489&gt;=1980),"80",AND(D4489&lt;2000,D4489&gt;=1990),"90",AND(D4489&lt;2010,D4489&gt;=2000),"00",AND(D4489&lt;=2019,D4489&gt;=2010),"10"),"1908-1970")</f>
        <v>00</v>
      </c>
      <c r="F4489" s="3">
        <v>0.4375</v>
      </c>
      <c r="G4489" t="s">
        <v>25585</v>
      </c>
      <c r="H4489" t="s">
        <v>25586</v>
      </c>
      <c r="I4489" t="s">
        <v>28931</v>
      </c>
      <c r="J4489" t="s">
        <v>25587</v>
      </c>
      <c r="K4489" t="s">
        <v>20975</v>
      </c>
      <c r="L4489" s="7" t="s">
        <v>25588</v>
      </c>
      <c r="M4489">
        <v>353</v>
      </c>
      <c r="N4489">
        <v>3</v>
      </c>
      <c r="O4489">
        <v>0</v>
      </c>
      <c r="P4489">
        <v>3</v>
      </c>
      <c r="Q4489">
        <v>2</v>
      </c>
      <c r="R4489">
        <v>0</v>
      </c>
      <c r="S4489">
        <v>2</v>
      </c>
      <c r="T4489">
        <v>0</v>
      </c>
      <c r="U4489" t="s">
        <v>25589</v>
      </c>
      <c r="V4489">
        <f>Tabla1[[#This Row],[Aboard]]-Tabla1[[#This Row],[Fatalities]]</f>
        <v>1</v>
      </c>
      <c r="W4489" s="50">
        <f>IFERROR(Tabla1[[#This Row],[Fatalities]]/Tabla1[[#This Row],[Aboard]],0)</f>
        <v>0.66666666666666663</v>
      </c>
      <c r="X4489" s="51" t="str" cm="1">
        <f t="array" ref="X4489">_xlfn.IFS(Tabla1[[#This Row],[Porcentaje de muertes]]&lt;0.35,"LEVE",AND(Tabla1[[#This Row],[Porcentaje de muertes]]&gt;0.35,Tabla1[[#This Row],[Porcentaje de muertes]]&lt;0.65),"MEDIO",Tabla1[[#This Row],[Porcentaje de muertes]]&gt;0.65,"GRAVE")</f>
        <v>GRAVE</v>
      </c>
    </row>
    <row r="4490" spans="2:24" x14ac:dyDescent="0.3">
      <c r="B4490" s="9">
        <v>4490</v>
      </c>
      <c r="C4490" s="49">
        <v>38212</v>
      </c>
      <c r="D4490" s="9">
        <f>YEAR(Tabla1[[#This Row],[Date]])</f>
        <v>2004</v>
      </c>
      <c r="E4490" s="9" t="str" cm="1">
        <f t="array" ref="E4490">IFERROR(_xlfn.IFS(AND(D4490&lt;1980,D4490&gt;=1970),"70",AND(D4490&lt;1990,D4490&gt;=1980),"80",AND(D4490&lt;2000,D4490&gt;=1990),"90",AND(D4490&lt;2010,D4490&gt;=2000),"00",AND(D4490&lt;=2019,D4490&gt;=2010),"10"),"1908-1970")</f>
        <v>00</v>
      </c>
      <c r="F4490" s="3">
        <v>3.4722222222222224E-2</v>
      </c>
      <c r="G4490" t="s">
        <v>6094</v>
      </c>
      <c r="H4490" t="s">
        <v>25590</v>
      </c>
      <c r="I4490">
        <v>185</v>
      </c>
      <c r="J4490" t="s">
        <v>25591</v>
      </c>
      <c r="K4490" t="s">
        <v>14857</v>
      </c>
      <c r="L4490" s="7" t="s">
        <v>25592</v>
      </c>
      <c r="M4490">
        <v>68</v>
      </c>
      <c r="N4490">
        <v>2</v>
      </c>
      <c r="O4490">
        <v>0</v>
      </c>
      <c r="P4490">
        <v>2</v>
      </c>
      <c r="Q4490">
        <v>1</v>
      </c>
      <c r="R4490">
        <v>0</v>
      </c>
      <c r="S4490">
        <v>1</v>
      </c>
      <c r="T4490">
        <v>0</v>
      </c>
      <c r="U4490" t="s">
        <v>25593</v>
      </c>
      <c r="V4490">
        <f>Tabla1[[#This Row],[Aboard]]-Tabla1[[#This Row],[Fatalities]]</f>
        <v>1</v>
      </c>
      <c r="W4490" s="50">
        <f>IFERROR(Tabla1[[#This Row],[Fatalities]]/Tabla1[[#This Row],[Aboard]],0)</f>
        <v>0.5</v>
      </c>
      <c r="X4490" s="51" t="str" cm="1">
        <f t="array" ref="X4490">_xlfn.IFS(Tabla1[[#This Row],[Porcentaje de muertes]]&lt;0.35,"LEVE",AND(Tabla1[[#This Row],[Porcentaje de muertes]]&gt;0.35,Tabla1[[#This Row],[Porcentaje de muertes]]&lt;0.65),"MEDIO",Tabla1[[#This Row],[Porcentaje de muertes]]&gt;0.65,"GRAVE")</f>
        <v>MEDIO</v>
      </c>
    </row>
    <row r="4491" spans="2:24" x14ac:dyDescent="0.3">
      <c r="B4491" s="9">
        <v>4491</v>
      </c>
      <c r="C4491" s="49">
        <v>38220</v>
      </c>
      <c r="D4491" s="9">
        <f>YEAR(Tabla1[[#This Row],[Date]])</f>
        <v>2004</v>
      </c>
      <c r="E4491" s="9" t="str" cm="1">
        <f t="array" ref="E4491">IFERROR(_xlfn.IFS(AND(D4491&lt;1980,D4491&gt;=1970),"70",AND(D4491&lt;1990,D4491&gt;=1980),"80",AND(D4491&lt;2000,D4491&gt;=1990),"90",AND(D4491&lt;2010,D4491&gt;=2000),"00",AND(D4491&lt;=2019,D4491&gt;=2010),"10"),"1908-1970")</f>
        <v>00</v>
      </c>
      <c r="F4491" s="3">
        <v>0.68611111111111101</v>
      </c>
      <c r="G4491" t="s">
        <v>25594</v>
      </c>
      <c r="H4491" t="s">
        <v>17672</v>
      </c>
      <c r="I4491" t="s">
        <v>28931</v>
      </c>
      <c r="J4491" t="s">
        <v>25595</v>
      </c>
      <c r="K4491" t="s">
        <v>25596</v>
      </c>
      <c r="L4491" s="7" t="s">
        <v>25597</v>
      </c>
      <c r="M4491" t="s">
        <v>25598</v>
      </c>
      <c r="N4491">
        <v>25</v>
      </c>
      <c r="O4491">
        <v>22</v>
      </c>
      <c r="P4491">
        <v>3</v>
      </c>
      <c r="Q4491">
        <v>25</v>
      </c>
      <c r="R4491">
        <v>22</v>
      </c>
      <c r="S4491">
        <v>3</v>
      </c>
      <c r="T4491">
        <v>0</v>
      </c>
      <c r="U4491" t="s">
        <v>25599</v>
      </c>
      <c r="V4491">
        <f>Tabla1[[#This Row],[Aboard]]-Tabla1[[#This Row],[Fatalities]]</f>
        <v>0</v>
      </c>
      <c r="W4491" s="50">
        <f>IFERROR(Tabla1[[#This Row],[Fatalities]]/Tabla1[[#This Row],[Aboard]],0)</f>
        <v>1</v>
      </c>
      <c r="X4491" s="51" t="str" cm="1">
        <f t="array" ref="X4491">_xlfn.IFS(Tabla1[[#This Row],[Porcentaje de muertes]]&lt;0.35,"LEVE",AND(Tabla1[[#This Row],[Porcentaje de muertes]]&gt;0.35,Tabla1[[#This Row],[Porcentaje de muertes]]&lt;0.65),"MEDIO",Tabla1[[#This Row],[Porcentaje de muertes]]&gt;0.65,"GRAVE")</f>
        <v>GRAVE</v>
      </c>
    </row>
    <row r="4492" spans="2:24" x14ac:dyDescent="0.3">
      <c r="B4492" s="9">
        <v>4492</v>
      </c>
      <c r="C4492" s="49">
        <v>38223</v>
      </c>
      <c r="D4492" s="9">
        <f>YEAR(Tabla1[[#This Row],[Date]])</f>
        <v>2004</v>
      </c>
      <c r="E4492" s="9" t="str" cm="1">
        <f t="array" ref="E4492">IFERROR(_xlfn.IFS(AND(D4492&lt;1980,D4492&gt;=1970),"70",AND(D4492&lt;1990,D4492&gt;=1980),"80",AND(D4492&lt;2000,D4492&gt;=1990),"90",AND(D4492&lt;2010,D4492&gt;=2000),"00",AND(D4492&lt;=2019,D4492&gt;=2010),"10"),"1908-1970")</f>
        <v>00</v>
      </c>
      <c r="F4492" s="3">
        <v>0.95763888888888893</v>
      </c>
      <c r="G4492" t="s">
        <v>25600</v>
      </c>
      <c r="H4492" t="s">
        <v>24776</v>
      </c>
      <c r="I4492">
        <v>1047</v>
      </c>
      <c r="J4492" t="s">
        <v>25601</v>
      </c>
      <c r="K4492" t="s">
        <v>25602</v>
      </c>
      <c r="L4492" s="7" t="s">
        <v>25603</v>
      </c>
      <c r="M4492" t="s">
        <v>25604</v>
      </c>
      <c r="N4492">
        <v>46</v>
      </c>
      <c r="O4492">
        <v>38</v>
      </c>
      <c r="P4492">
        <v>8</v>
      </c>
      <c r="Q4492">
        <v>46</v>
      </c>
      <c r="R4492">
        <v>38</v>
      </c>
      <c r="S4492">
        <v>8</v>
      </c>
      <c r="T4492">
        <v>0</v>
      </c>
      <c r="U4492" t="s">
        <v>25605</v>
      </c>
      <c r="V4492">
        <f>Tabla1[[#This Row],[Aboard]]-Tabla1[[#This Row],[Fatalities]]</f>
        <v>0</v>
      </c>
      <c r="W4492" s="50">
        <f>IFERROR(Tabla1[[#This Row],[Fatalities]]/Tabla1[[#This Row],[Aboard]],0)</f>
        <v>1</v>
      </c>
      <c r="X4492" s="51" t="str" cm="1">
        <f t="array" ref="X4492">_xlfn.IFS(Tabla1[[#This Row],[Porcentaje de muertes]]&lt;0.35,"LEVE",AND(Tabla1[[#This Row],[Porcentaje de muertes]]&gt;0.35,Tabla1[[#This Row],[Porcentaje de muertes]]&lt;0.65),"MEDIO",Tabla1[[#This Row],[Porcentaje de muertes]]&gt;0.65,"GRAVE")</f>
        <v>GRAVE</v>
      </c>
    </row>
    <row r="4493" spans="2:24" x14ac:dyDescent="0.3">
      <c r="B4493" s="9">
        <v>4493</v>
      </c>
      <c r="C4493" s="49">
        <v>38223</v>
      </c>
      <c r="D4493" s="9">
        <f>YEAR(Tabla1[[#This Row],[Date]])</f>
        <v>2004</v>
      </c>
      <c r="E4493" s="9" t="str" cm="1">
        <f t="array" ref="E4493">IFERROR(_xlfn.IFS(AND(D4493&lt;1980,D4493&gt;=1970),"70",AND(D4493&lt;1990,D4493&gt;=1980),"80",AND(D4493&lt;2000,D4493&gt;=1990),"90",AND(D4493&lt;2010,D4493&gt;=2000),"00",AND(D4493&lt;=2019,D4493&gt;=2010),"10"),"1908-1970")</f>
        <v>00</v>
      </c>
      <c r="F4493" s="3">
        <v>0.9555555555555556</v>
      </c>
      <c r="G4493" t="s">
        <v>25606</v>
      </c>
      <c r="H4493" t="s">
        <v>25607</v>
      </c>
      <c r="I4493">
        <v>1303</v>
      </c>
      <c r="J4493" t="s">
        <v>25608</v>
      </c>
      <c r="K4493" t="s">
        <v>25609</v>
      </c>
      <c r="L4493" s="7" t="s">
        <v>25610</v>
      </c>
      <c r="M4493">
        <v>60065</v>
      </c>
      <c r="N4493">
        <v>41</v>
      </c>
      <c r="O4493">
        <v>34</v>
      </c>
      <c r="P4493">
        <v>7</v>
      </c>
      <c r="Q4493">
        <v>41</v>
      </c>
      <c r="R4493">
        <v>34</v>
      </c>
      <c r="S4493">
        <v>7</v>
      </c>
      <c r="T4493">
        <v>0</v>
      </c>
      <c r="U4493" t="s">
        <v>25611</v>
      </c>
      <c r="V4493">
        <f>Tabla1[[#This Row],[Aboard]]-Tabla1[[#This Row],[Fatalities]]</f>
        <v>0</v>
      </c>
      <c r="W4493" s="50">
        <f>IFERROR(Tabla1[[#This Row],[Fatalities]]/Tabla1[[#This Row],[Aboard]],0)</f>
        <v>1</v>
      </c>
      <c r="X4493" s="51" t="str" cm="1">
        <f t="array" ref="X4493">_xlfn.IFS(Tabla1[[#This Row],[Porcentaje de muertes]]&lt;0.35,"LEVE",AND(Tabla1[[#This Row],[Porcentaje de muertes]]&gt;0.35,Tabla1[[#This Row],[Porcentaje de muertes]]&lt;0.65),"MEDIO",Tabla1[[#This Row],[Porcentaje de muertes]]&gt;0.65,"GRAVE")</f>
        <v>GRAVE</v>
      </c>
    </row>
    <row r="4494" spans="2:24" x14ac:dyDescent="0.3">
      <c r="B4494" s="9">
        <v>4494</v>
      </c>
      <c r="C4494" s="49">
        <v>38226</v>
      </c>
      <c r="D4494" s="9">
        <f>YEAR(Tabla1[[#This Row],[Date]])</f>
        <v>2004</v>
      </c>
      <c r="E4494" s="9" t="str" cm="1">
        <f t="array" ref="E4494">IFERROR(_xlfn.IFS(AND(D4494&lt;1980,D4494&gt;=1970),"70",AND(D4494&lt;1990,D4494&gt;=1980),"80",AND(D4494&lt;2000,D4494&gt;=1990),"90",AND(D4494&lt;2010,D4494&gt;=2000),"00",AND(D4494&lt;=2019,D4494&gt;=2010),"10"),"1908-1970")</f>
        <v>00</v>
      </c>
      <c r="F4494" s="3">
        <v>0.6875</v>
      </c>
      <c r="G4494" t="s">
        <v>25612</v>
      </c>
      <c r="H4494" t="s">
        <v>25613</v>
      </c>
      <c r="I4494" t="s">
        <v>28931</v>
      </c>
      <c r="J4494" t="s">
        <v>25614</v>
      </c>
      <c r="K4494" t="s">
        <v>25458</v>
      </c>
      <c r="L4494" s="7" t="s">
        <v>25615</v>
      </c>
      <c r="M4494">
        <v>197</v>
      </c>
      <c r="N4494">
        <v>3</v>
      </c>
      <c r="O4494">
        <v>2</v>
      </c>
      <c r="P4494">
        <v>1</v>
      </c>
      <c r="Q4494">
        <v>1</v>
      </c>
      <c r="R4494">
        <v>1</v>
      </c>
      <c r="S4494">
        <v>0</v>
      </c>
      <c r="T4494">
        <v>0</v>
      </c>
      <c r="U4494" t="s">
        <v>25616</v>
      </c>
      <c r="V4494">
        <f>Tabla1[[#This Row],[Aboard]]-Tabla1[[#This Row],[Fatalities]]</f>
        <v>2</v>
      </c>
      <c r="W4494" s="50">
        <f>IFERROR(Tabla1[[#This Row],[Fatalities]]/Tabla1[[#This Row],[Aboard]],0)</f>
        <v>0.33333333333333331</v>
      </c>
      <c r="X4494" s="51" t="str" cm="1">
        <f t="array" ref="X4494">_xlfn.IFS(Tabla1[[#This Row],[Porcentaje de muertes]]&lt;0.35,"LEVE",AND(Tabla1[[#This Row],[Porcentaje de muertes]]&gt;0.35,Tabla1[[#This Row],[Porcentaje de muertes]]&lt;0.65),"MEDIO",Tabla1[[#This Row],[Porcentaje de muertes]]&gt;0.65,"GRAVE")</f>
        <v>LEVE</v>
      </c>
    </row>
    <row r="4495" spans="2:24" x14ac:dyDescent="0.3">
      <c r="B4495" s="9">
        <v>4495</v>
      </c>
      <c r="C4495" s="49">
        <v>38239</v>
      </c>
      <c r="D4495" s="9">
        <f>YEAR(Tabla1[[#This Row],[Date]])</f>
        <v>2004</v>
      </c>
      <c r="E4495" s="9" t="str" cm="1">
        <f t="array" ref="E4495">IFERROR(_xlfn.IFS(AND(D4495&lt;1980,D4495&gt;=1970),"70",AND(D4495&lt;1990,D4495&gt;=1980),"80",AND(D4495&lt;2000,D4495&gt;=1990),"90",AND(D4495&lt;2010,D4495&gt;=2000),"00",AND(D4495&lt;=2019,D4495&gt;=2010),"10"),"1908-1970")</f>
        <v>00</v>
      </c>
      <c r="F4495" s="3">
        <v>0.28472222222222221</v>
      </c>
      <c r="G4495" t="s">
        <v>25617</v>
      </c>
      <c r="H4495" t="s">
        <v>25618</v>
      </c>
      <c r="I4495" t="s">
        <v>28931</v>
      </c>
      <c r="J4495" t="s">
        <v>25619</v>
      </c>
      <c r="K4495" t="s">
        <v>25620</v>
      </c>
      <c r="L4495" s="7" t="s">
        <v>25621</v>
      </c>
      <c r="M4495" t="s">
        <v>25622</v>
      </c>
      <c r="N4495">
        <v>2</v>
      </c>
      <c r="O4495">
        <v>0</v>
      </c>
      <c r="P4495">
        <v>2</v>
      </c>
      <c r="Q4495">
        <v>2</v>
      </c>
      <c r="R4495">
        <v>0</v>
      </c>
      <c r="S4495">
        <v>2</v>
      </c>
      <c r="T4495">
        <v>0</v>
      </c>
      <c r="U4495" t="s">
        <v>25623</v>
      </c>
      <c r="V4495">
        <f>Tabla1[[#This Row],[Aboard]]-Tabla1[[#This Row],[Fatalities]]</f>
        <v>0</v>
      </c>
      <c r="W4495" s="50">
        <f>IFERROR(Tabla1[[#This Row],[Fatalities]]/Tabla1[[#This Row],[Aboard]],0)</f>
        <v>1</v>
      </c>
      <c r="X4495" s="51" t="str" cm="1">
        <f t="array" ref="X4495">_xlfn.IFS(Tabla1[[#This Row],[Porcentaje de muertes]]&lt;0.35,"LEVE",AND(Tabla1[[#This Row],[Porcentaje de muertes]]&gt;0.35,Tabla1[[#This Row],[Porcentaje de muertes]]&lt;0.65),"MEDIO",Tabla1[[#This Row],[Porcentaje de muertes]]&gt;0.65,"GRAVE")</f>
        <v>GRAVE</v>
      </c>
    </row>
    <row r="4496" spans="2:24" x14ac:dyDescent="0.3">
      <c r="B4496" s="9">
        <v>4496</v>
      </c>
      <c r="C4496" s="49">
        <v>38300</v>
      </c>
      <c r="D4496" s="9">
        <f>YEAR(Tabla1[[#This Row],[Date]])</f>
        <v>2004</v>
      </c>
      <c r="E4496" s="9" t="str" cm="1">
        <f t="array" ref="E4496">IFERROR(_xlfn.IFS(AND(D4496&lt;1980,D4496&gt;=1970),"70",AND(D4496&lt;1990,D4496&gt;=1980),"80",AND(D4496&lt;2000,D4496&gt;=1990),"90",AND(D4496&lt;2010,D4496&gt;=2000),"00",AND(D4496&lt;=2019,D4496&gt;=2010),"10"),"1908-1970")</f>
        <v>00</v>
      </c>
      <c r="F4496" s="3">
        <v>0.46527777777777773</v>
      </c>
      <c r="G4496" t="s">
        <v>25624</v>
      </c>
      <c r="H4496" t="s">
        <v>25625</v>
      </c>
      <c r="I4496" t="s">
        <v>28931</v>
      </c>
      <c r="J4496" t="s">
        <v>25626</v>
      </c>
      <c r="K4496" t="s">
        <v>25627</v>
      </c>
      <c r="L4496" s="7" t="s">
        <v>28931</v>
      </c>
      <c r="M4496" t="s">
        <v>28931</v>
      </c>
      <c r="N4496">
        <v>17</v>
      </c>
      <c r="O4496">
        <v>13</v>
      </c>
      <c r="P4496">
        <v>4</v>
      </c>
      <c r="Q4496">
        <v>17</v>
      </c>
      <c r="R4496">
        <v>13</v>
      </c>
      <c r="S4496">
        <v>4</v>
      </c>
      <c r="T4496">
        <v>0</v>
      </c>
      <c r="U4496" t="s">
        <v>25628</v>
      </c>
      <c r="V4496">
        <f>Tabla1[[#This Row],[Aboard]]-Tabla1[[#This Row],[Fatalities]]</f>
        <v>0</v>
      </c>
      <c r="W4496" s="50">
        <f>IFERROR(Tabla1[[#This Row],[Fatalities]]/Tabla1[[#This Row],[Aboard]],0)</f>
        <v>1</v>
      </c>
      <c r="X4496" s="51" t="str" cm="1">
        <f t="array" ref="X4496">_xlfn.IFS(Tabla1[[#This Row],[Porcentaje de muertes]]&lt;0.35,"LEVE",AND(Tabla1[[#This Row],[Porcentaje de muertes]]&gt;0.35,Tabla1[[#This Row],[Porcentaje de muertes]]&lt;0.65),"MEDIO",Tabla1[[#This Row],[Porcentaje de muertes]]&gt;0.65,"GRAVE")</f>
        <v>GRAVE</v>
      </c>
    </row>
    <row r="4497" spans="2:24" x14ac:dyDescent="0.3">
      <c r="B4497" s="9">
        <v>4497</v>
      </c>
      <c r="C4497" s="49">
        <v>38259</v>
      </c>
      <c r="D4497" s="9">
        <f>YEAR(Tabla1[[#This Row],[Date]])</f>
        <v>2004</v>
      </c>
      <c r="E4497" s="9" t="str" cm="1">
        <f t="array" ref="E4497">IFERROR(_xlfn.IFS(AND(D4497&lt;1980,D4497&gt;=1970),"70",AND(D4497&lt;1990,D4497&gt;=1980),"80",AND(D4497&lt;2000,D4497&gt;=1990),"90",AND(D4497&lt;2010,D4497&gt;=2000),"00",AND(D4497&lt;=2019,D4497&gt;=2010),"10"),"1908-1970")</f>
        <v>00</v>
      </c>
      <c r="F4497" s="3">
        <v>0.7909722222222223</v>
      </c>
      <c r="G4497" t="s">
        <v>25629</v>
      </c>
      <c r="H4497" t="s">
        <v>25630</v>
      </c>
      <c r="I4497" t="s">
        <v>28931</v>
      </c>
      <c r="J4497" t="s">
        <v>25631</v>
      </c>
      <c r="K4497" t="s">
        <v>25632</v>
      </c>
      <c r="L4497" s="7" t="s">
        <v>25633</v>
      </c>
      <c r="M4497">
        <v>905</v>
      </c>
      <c r="N4497">
        <v>1</v>
      </c>
      <c r="O4497">
        <v>0</v>
      </c>
      <c r="P4497">
        <v>1</v>
      </c>
      <c r="Q4497">
        <v>1</v>
      </c>
      <c r="R4497">
        <v>0</v>
      </c>
      <c r="S4497">
        <v>1</v>
      </c>
      <c r="T4497">
        <v>0</v>
      </c>
      <c r="U4497" t="s">
        <v>25634</v>
      </c>
      <c r="V4497">
        <f>Tabla1[[#This Row],[Aboard]]-Tabla1[[#This Row],[Fatalities]]</f>
        <v>0</v>
      </c>
      <c r="W4497" s="50">
        <f>IFERROR(Tabla1[[#This Row],[Fatalities]]/Tabla1[[#This Row],[Aboard]],0)</f>
        <v>1</v>
      </c>
      <c r="X4497" s="51" t="str" cm="1">
        <f t="array" ref="X4497">_xlfn.IFS(Tabla1[[#This Row],[Porcentaje de muertes]]&lt;0.35,"LEVE",AND(Tabla1[[#This Row],[Porcentaje de muertes]]&gt;0.35,Tabla1[[#This Row],[Porcentaje de muertes]]&lt;0.65),"MEDIO",Tabla1[[#This Row],[Porcentaje de muertes]]&gt;0.65,"GRAVE")</f>
        <v>GRAVE</v>
      </c>
    </row>
    <row r="4498" spans="2:24" x14ac:dyDescent="0.3">
      <c r="B4498" s="9">
        <v>4498</v>
      </c>
      <c r="C4498" s="49">
        <v>38117</v>
      </c>
      <c r="D4498" s="9">
        <f>YEAR(Tabla1[[#This Row],[Date]])</f>
        <v>2004</v>
      </c>
      <c r="E4498" s="9" t="str" cm="1">
        <f t="array" ref="E4498">IFERROR(_xlfn.IFS(AND(D4498&lt;1980,D4498&gt;=1970),"70",AND(D4498&lt;1990,D4498&gt;=1980),"80",AND(D4498&lt;2000,D4498&gt;=1990),"90",AND(D4498&lt;2010,D4498&gt;=2000),"00",AND(D4498&lt;=2019,D4498&gt;=2010),"10"),"1908-1970")</f>
        <v>00</v>
      </c>
      <c r="F4498" s="3">
        <v>0.52569444444444446</v>
      </c>
      <c r="G4498" t="s">
        <v>25635</v>
      </c>
      <c r="H4498" t="s">
        <v>25636</v>
      </c>
      <c r="I4498" t="s">
        <v>28931</v>
      </c>
      <c r="J4498" t="s">
        <v>25637</v>
      </c>
      <c r="K4498" t="s">
        <v>13992</v>
      </c>
      <c r="L4498" s="7" t="s">
        <v>25638</v>
      </c>
      <c r="M4498">
        <v>347606</v>
      </c>
      <c r="N4498">
        <v>4</v>
      </c>
      <c r="O4498">
        <v>0</v>
      </c>
      <c r="P4498">
        <v>4</v>
      </c>
      <c r="Q4498">
        <v>4</v>
      </c>
      <c r="R4498">
        <v>0</v>
      </c>
      <c r="S4498">
        <v>4</v>
      </c>
      <c r="T4498">
        <v>0</v>
      </c>
      <c r="U4498" t="s">
        <v>25639</v>
      </c>
      <c r="V4498">
        <f>Tabla1[[#This Row],[Aboard]]-Tabla1[[#This Row],[Fatalities]]</f>
        <v>0</v>
      </c>
      <c r="W4498" s="50">
        <f>IFERROR(Tabla1[[#This Row],[Fatalities]]/Tabla1[[#This Row],[Aboard]],0)</f>
        <v>1</v>
      </c>
      <c r="X4498" s="51" t="str" cm="1">
        <f t="array" ref="X4498">_xlfn.IFS(Tabla1[[#This Row],[Porcentaje de muertes]]&lt;0.35,"LEVE",AND(Tabla1[[#This Row],[Porcentaje de muertes]]&gt;0.35,Tabla1[[#This Row],[Porcentaje de muertes]]&lt;0.65),"MEDIO",Tabla1[[#This Row],[Porcentaje de muertes]]&gt;0.65,"GRAVE")</f>
        <v>GRAVE</v>
      </c>
    </row>
    <row r="4499" spans="2:24" x14ac:dyDescent="0.3">
      <c r="B4499" s="9">
        <v>4499</v>
      </c>
      <c r="C4499" s="49">
        <v>38274</v>
      </c>
      <c r="D4499" s="9">
        <f>YEAR(Tabla1[[#This Row],[Date]])</f>
        <v>2004</v>
      </c>
      <c r="E4499" s="9" t="str" cm="1">
        <f t="array" ref="E4499">IFERROR(_xlfn.IFS(AND(D4499&lt;1980,D4499&gt;=1970),"70",AND(D4499&lt;1990,D4499&gt;=1980),"80",AND(D4499&lt;2000,D4499&gt;=1990),"90",AND(D4499&lt;2010,D4499&gt;=2000),"00",AND(D4499&lt;=2019,D4499&gt;=2010),"10"),"1908-1970")</f>
        <v>00</v>
      </c>
      <c r="F4499" s="3">
        <v>0.16388888888888889</v>
      </c>
      <c r="G4499" t="s">
        <v>25640</v>
      </c>
      <c r="H4499" t="s">
        <v>24850</v>
      </c>
      <c r="I4499">
        <v>1602</v>
      </c>
      <c r="J4499" t="s">
        <v>25641</v>
      </c>
      <c r="K4499" t="s">
        <v>25642</v>
      </c>
      <c r="L4499" s="7" t="s">
        <v>25643</v>
      </c>
      <c r="M4499">
        <v>22170</v>
      </c>
      <c r="N4499">
        <v>7</v>
      </c>
      <c r="O4499">
        <v>0</v>
      </c>
      <c r="P4499">
        <v>7</v>
      </c>
      <c r="Q4499">
        <v>7</v>
      </c>
      <c r="R4499">
        <v>0</v>
      </c>
      <c r="S4499">
        <v>7</v>
      </c>
      <c r="T4499">
        <v>0</v>
      </c>
      <c r="U4499" t="s">
        <v>25644</v>
      </c>
      <c r="V4499">
        <f>Tabla1[[#This Row],[Aboard]]-Tabla1[[#This Row],[Fatalities]]</f>
        <v>0</v>
      </c>
      <c r="W4499" s="50">
        <f>IFERROR(Tabla1[[#This Row],[Fatalities]]/Tabla1[[#This Row],[Aboard]],0)</f>
        <v>1</v>
      </c>
      <c r="X4499" s="51" t="str" cm="1">
        <f t="array" ref="X4499">_xlfn.IFS(Tabla1[[#This Row],[Porcentaje de muertes]]&lt;0.35,"LEVE",AND(Tabla1[[#This Row],[Porcentaje de muertes]]&gt;0.35,Tabla1[[#This Row],[Porcentaje de muertes]]&lt;0.65),"MEDIO",Tabla1[[#This Row],[Porcentaje de muertes]]&gt;0.65,"GRAVE")</f>
        <v>GRAVE</v>
      </c>
    </row>
    <row r="4500" spans="2:24" x14ac:dyDescent="0.3">
      <c r="B4500" s="9">
        <v>4500</v>
      </c>
      <c r="C4500" s="49">
        <v>38274</v>
      </c>
      <c r="D4500" s="9">
        <f>YEAR(Tabla1[[#This Row],[Date]])</f>
        <v>2004</v>
      </c>
      <c r="E4500" s="9" t="str" cm="1">
        <f t="array" ref="E4500">IFERROR(_xlfn.IFS(AND(D4500&lt;1980,D4500&gt;=1970),"70",AND(D4500&lt;1990,D4500&gt;=1980),"80",AND(D4500&lt;2000,D4500&gt;=1990),"90",AND(D4500&lt;2010,D4500&gt;=2000),"00",AND(D4500&lt;=2019,D4500&gt;=2010),"10"),"1908-1970")</f>
        <v>00</v>
      </c>
      <c r="F4500" s="3">
        <v>0.92708333333333337</v>
      </c>
      <c r="G4500" t="s">
        <v>25645</v>
      </c>
      <c r="H4500" t="s">
        <v>25646</v>
      </c>
      <c r="I4500">
        <v>3701</v>
      </c>
      <c r="J4500" t="s">
        <v>25647</v>
      </c>
      <c r="K4500" t="s">
        <v>25648</v>
      </c>
      <c r="L4500" s="7" t="s">
        <v>25649</v>
      </c>
      <c r="M4500">
        <v>10161</v>
      </c>
      <c r="N4500">
        <v>2</v>
      </c>
      <c r="O4500">
        <v>0</v>
      </c>
      <c r="P4500">
        <v>2</v>
      </c>
      <c r="Q4500">
        <v>2</v>
      </c>
      <c r="R4500">
        <v>0</v>
      </c>
      <c r="S4500">
        <v>2</v>
      </c>
      <c r="T4500">
        <v>0</v>
      </c>
      <c r="U4500" t="s">
        <v>25650</v>
      </c>
      <c r="V4500">
        <f>Tabla1[[#This Row],[Aboard]]-Tabla1[[#This Row],[Fatalities]]</f>
        <v>0</v>
      </c>
      <c r="W4500" s="50">
        <f>IFERROR(Tabla1[[#This Row],[Fatalities]]/Tabla1[[#This Row],[Aboard]],0)</f>
        <v>1</v>
      </c>
      <c r="X4500" s="51" t="str" cm="1">
        <f t="array" ref="X4500">_xlfn.IFS(Tabla1[[#This Row],[Porcentaje de muertes]]&lt;0.35,"LEVE",AND(Tabla1[[#This Row],[Porcentaje de muertes]]&gt;0.35,Tabla1[[#This Row],[Porcentaje de muertes]]&lt;0.65),"MEDIO",Tabla1[[#This Row],[Porcentaje de muertes]]&gt;0.65,"GRAVE")</f>
        <v>GRAVE</v>
      </c>
    </row>
    <row r="4501" spans="2:24" x14ac:dyDescent="0.3">
      <c r="B4501" s="9">
        <v>4501</v>
      </c>
      <c r="C4501" s="49">
        <v>38275</v>
      </c>
      <c r="D4501" s="9">
        <f>YEAR(Tabla1[[#This Row],[Date]])</f>
        <v>2004</v>
      </c>
      <c r="E4501" s="9" t="str" cm="1">
        <f t="array" ref="E4501">IFERROR(_xlfn.IFS(AND(D4501&lt;1980,D4501&gt;=1970),"70",AND(D4501&lt;1990,D4501&gt;=1980),"80",AND(D4501&lt;2000,D4501&gt;=1990),"90",AND(D4501&lt;2010,D4501&gt;=2000),"00",AND(D4501&lt;=2019,D4501&gt;=2010),"10"),"1908-1970")</f>
        <v>00</v>
      </c>
      <c r="F4501" s="3">
        <v>0.32361111111111113</v>
      </c>
      <c r="G4501" t="s">
        <v>9064</v>
      </c>
      <c r="H4501" t="s">
        <v>25651</v>
      </c>
      <c r="I4501" t="s">
        <v>28931</v>
      </c>
      <c r="J4501" t="s">
        <v>25652</v>
      </c>
      <c r="K4501" t="s">
        <v>9005</v>
      </c>
      <c r="L4501" s="7" t="s">
        <v>25653</v>
      </c>
      <c r="M4501">
        <v>34331</v>
      </c>
      <c r="N4501">
        <v>3</v>
      </c>
      <c r="O4501">
        <v>0</v>
      </c>
      <c r="P4501">
        <v>3</v>
      </c>
      <c r="Q4501">
        <v>3</v>
      </c>
      <c r="R4501">
        <v>0</v>
      </c>
      <c r="S4501">
        <v>3</v>
      </c>
      <c r="T4501">
        <v>0</v>
      </c>
      <c r="U4501" t="s">
        <v>25654</v>
      </c>
      <c r="V4501">
        <f>Tabla1[[#This Row],[Aboard]]-Tabla1[[#This Row],[Fatalities]]</f>
        <v>0</v>
      </c>
      <c r="W4501" s="50">
        <f>IFERROR(Tabla1[[#This Row],[Fatalities]]/Tabla1[[#This Row],[Aboard]],0)</f>
        <v>1</v>
      </c>
      <c r="X4501" s="51" t="str" cm="1">
        <f t="array" ref="X4501">_xlfn.IFS(Tabla1[[#This Row],[Porcentaje de muertes]]&lt;0.35,"LEVE",AND(Tabla1[[#This Row],[Porcentaje de muertes]]&gt;0.35,Tabla1[[#This Row],[Porcentaje de muertes]]&lt;0.65),"MEDIO",Tabla1[[#This Row],[Porcentaje de muertes]]&gt;0.65,"GRAVE")</f>
        <v>GRAVE</v>
      </c>
    </row>
    <row r="4502" spans="2:24" x14ac:dyDescent="0.3">
      <c r="B4502" s="9">
        <v>4502</v>
      </c>
      <c r="C4502" s="49">
        <v>38276</v>
      </c>
      <c r="D4502" s="9">
        <f>YEAR(Tabla1[[#This Row],[Date]])</f>
        <v>2004</v>
      </c>
      <c r="E4502" s="9" t="str" cm="1">
        <f t="array" ref="E4502">IFERROR(_xlfn.IFS(AND(D4502&lt;1980,D4502&gt;=1970),"70",AND(D4502&lt;1990,D4502&gt;=1980),"80",AND(D4502&lt;2000,D4502&gt;=1990),"90",AND(D4502&lt;2010,D4502&gt;=2000),"00",AND(D4502&lt;=2019,D4502&gt;=2010),"10"),"1908-1970")</f>
        <v>00</v>
      </c>
      <c r="F4502" s="3">
        <v>0.625</v>
      </c>
      <c r="G4502" t="s">
        <v>25655</v>
      </c>
      <c r="H4502" t="s">
        <v>25656</v>
      </c>
      <c r="I4502" t="s">
        <v>28931</v>
      </c>
      <c r="J4502" t="s">
        <v>25657</v>
      </c>
      <c r="K4502" t="s">
        <v>25658</v>
      </c>
      <c r="L4502" s="7" t="s">
        <v>25659</v>
      </c>
      <c r="M4502">
        <v>593</v>
      </c>
      <c r="N4502">
        <v>2</v>
      </c>
      <c r="O4502">
        <v>0</v>
      </c>
      <c r="P4502">
        <v>2</v>
      </c>
      <c r="Q4502">
        <v>2</v>
      </c>
      <c r="R4502">
        <v>0</v>
      </c>
      <c r="S4502">
        <v>2</v>
      </c>
      <c r="T4502">
        <v>0</v>
      </c>
      <c r="U4502" t="s">
        <v>25660</v>
      </c>
      <c r="V4502">
        <f>Tabla1[[#This Row],[Aboard]]-Tabla1[[#This Row],[Fatalities]]</f>
        <v>0</v>
      </c>
      <c r="W4502" s="50">
        <f>IFERROR(Tabla1[[#This Row],[Fatalities]]/Tabla1[[#This Row],[Aboard]],0)</f>
        <v>1</v>
      </c>
      <c r="X4502" s="51" t="str" cm="1">
        <f t="array" ref="X4502">_xlfn.IFS(Tabla1[[#This Row],[Porcentaje de muertes]]&lt;0.35,"LEVE",AND(Tabla1[[#This Row],[Porcentaje de muertes]]&gt;0.35,Tabla1[[#This Row],[Porcentaje de muertes]]&lt;0.65),"MEDIO",Tabla1[[#This Row],[Porcentaje de muertes]]&gt;0.65,"GRAVE")</f>
        <v>GRAVE</v>
      </c>
    </row>
    <row r="4503" spans="2:24" x14ac:dyDescent="0.3">
      <c r="B4503" s="9">
        <v>4503</v>
      </c>
      <c r="C4503" s="49">
        <v>38279</v>
      </c>
      <c r="D4503" s="9">
        <f>YEAR(Tabla1[[#This Row],[Date]])</f>
        <v>2004</v>
      </c>
      <c r="E4503" s="9" t="str" cm="1">
        <f t="array" ref="E4503">IFERROR(_xlfn.IFS(AND(D4503&lt;1980,D4503&gt;=1970),"70",AND(D4503&lt;1990,D4503&gt;=1980),"80",AND(D4503&lt;2000,D4503&gt;=1990),"90",AND(D4503&lt;2010,D4503&gt;=2000),"00",AND(D4503&lt;=2019,D4503&gt;=2010),"10"),"1908-1970")</f>
        <v>00</v>
      </c>
      <c r="F4503" s="3">
        <v>0.32291666666666669</v>
      </c>
      <c r="G4503" t="s">
        <v>25661</v>
      </c>
      <c r="H4503" t="s">
        <v>25662</v>
      </c>
      <c r="I4503">
        <v>5966</v>
      </c>
      <c r="J4503" t="s">
        <v>25663</v>
      </c>
      <c r="K4503" t="s">
        <v>25664</v>
      </c>
      <c r="L4503" s="7" t="s">
        <v>25665</v>
      </c>
      <c r="M4503">
        <v>875</v>
      </c>
      <c r="N4503">
        <v>15</v>
      </c>
      <c r="O4503">
        <v>13</v>
      </c>
      <c r="P4503">
        <v>2</v>
      </c>
      <c r="Q4503">
        <v>13</v>
      </c>
      <c r="R4503">
        <v>11</v>
      </c>
      <c r="S4503">
        <v>2</v>
      </c>
      <c r="T4503">
        <v>0</v>
      </c>
      <c r="U4503" t="s">
        <v>25666</v>
      </c>
      <c r="V4503">
        <f>Tabla1[[#This Row],[Aboard]]-Tabla1[[#This Row],[Fatalities]]</f>
        <v>2</v>
      </c>
      <c r="W4503" s="50">
        <f>IFERROR(Tabla1[[#This Row],[Fatalities]]/Tabla1[[#This Row],[Aboard]],0)</f>
        <v>0.8666666666666667</v>
      </c>
      <c r="X4503" s="51" t="str" cm="1">
        <f t="array" ref="X4503">_xlfn.IFS(Tabla1[[#This Row],[Porcentaje de muertes]]&lt;0.35,"LEVE",AND(Tabla1[[#This Row],[Porcentaje de muertes]]&gt;0.35,Tabla1[[#This Row],[Porcentaje de muertes]]&lt;0.65),"MEDIO",Tabla1[[#This Row],[Porcentaje de muertes]]&gt;0.65,"GRAVE")</f>
        <v>GRAVE</v>
      </c>
    </row>
    <row r="4504" spans="2:24" x14ac:dyDescent="0.3">
      <c r="B4504" s="9">
        <v>4504</v>
      </c>
      <c r="C4504" s="49">
        <v>38284</v>
      </c>
      <c r="D4504" s="9">
        <f>YEAR(Tabla1[[#This Row],[Date]])</f>
        <v>2004</v>
      </c>
      <c r="E4504" s="9" t="str" cm="1">
        <f t="array" ref="E4504">IFERROR(_xlfn.IFS(AND(D4504&lt;1980,D4504&gt;=1970),"70",AND(D4504&lt;1990,D4504&gt;=1980),"80",AND(D4504&lt;2000,D4504&gt;=1990),"90",AND(D4504&lt;2010,D4504&gt;=2000),"00",AND(D4504&lt;=2019,D4504&gt;=2010),"10"),"1908-1970")</f>
        <v>00</v>
      </c>
      <c r="F4504" s="3">
        <v>2.0833333333333332E-2</v>
      </c>
      <c r="G4504" t="s">
        <v>5732</v>
      </c>
      <c r="H4504" t="s">
        <v>25667</v>
      </c>
      <c r="I4504" t="s">
        <v>28931</v>
      </c>
      <c r="J4504" t="s">
        <v>25668</v>
      </c>
      <c r="K4504" t="s">
        <v>23386</v>
      </c>
      <c r="L4504" s="7" t="s">
        <v>25669</v>
      </c>
      <c r="M4504" t="s">
        <v>25670</v>
      </c>
      <c r="N4504">
        <v>5</v>
      </c>
      <c r="O4504">
        <v>4</v>
      </c>
      <c r="P4504">
        <v>1</v>
      </c>
      <c r="Q4504">
        <v>5</v>
      </c>
      <c r="R4504">
        <v>4</v>
      </c>
      <c r="S4504">
        <v>1</v>
      </c>
      <c r="T4504">
        <v>0</v>
      </c>
      <c r="U4504" t="s">
        <v>25671</v>
      </c>
      <c r="V4504">
        <f>Tabla1[[#This Row],[Aboard]]-Tabla1[[#This Row],[Fatalities]]</f>
        <v>0</v>
      </c>
      <c r="W4504" s="50">
        <f>IFERROR(Tabla1[[#This Row],[Fatalities]]/Tabla1[[#This Row],[Aboard]],0)</f>
        <v>1</v>
      </c>
      <c r="X4504" s="51" t="str" cm="1">
        <f t="array" ref="X4504">_xlfn.IFS(Tabla1[[#This Row],[Porcentaje de muertes]]&lt;0.35,"LEVE",AND(Tabla1[[#This Row],[Porcentaje de muertes]]&gt;0.35,Tabla1[[#This Row],[Porcentaje de muertes]]&lt;0.65),"MEDIO",Tabla1[[#This Row],[Porcentaje de muertes]]&gt;0.65,"GRAVE")</f>
        <v>GRAVE</v>
      </c>
    </row>
    <row r="4505" spans="2:24" x14ac:dyDescent="0.3">
      <c r="B4505" s="9">
        <v>4505</v>
      </c>
      <c r="C4505" s="49">
        <v>38284</v>
      </c>
      <c r="D4505" s="9">
        <f>YEAR(Tabla1[[#This Row],[Date]])</f>
        <v>2004</v>
      </c>
      <c r="E4505" s="9" t="str" cm="1">
        <f t="array" ref="E4505">IFERROR(_xlfn.IFS(AND(D4505&lt;1980,D4505&gt;=1970),"70",AND(D4505&lt;1990,D4505&gt;=1980),"80",AND(D4505&lt;2000,D4505&gt;=1990),"90",AND(D4505&lt;2010,D4505&gt;=2000),"00",AND(D4505&lt;=2019,D4505&gt;=2010),"10"),"1908-1970")</f>
        <v>00</v>
      </c>
      <c r="F4505" s="3">
        <v>0.6875</v>
      </c>
      <c r="G4505" t="s">
        <v>25672</v>
      </c>
      <c r="H4505" t="s">
        <v>25673</v>
      </c>
      <c r="I4505" t="s">
        <v>28931</v>
      </c>
      <c r="J4505" t="s">
        <v>25674</v>
      </c>
      <c r="K4505" t="s">
        <v>25675</v>
      </c>
      <c r="L4505" s="7" t="s">
        <v>25676</v>
      </c>
      <c r="M4505" t="s">
        <v>25677</v>
      </c>
      <c r="N4505">
        <v>10</v>
      </c>
      <c r="O4505">
        <v>8</v>
      </c>
      <c r="P4505">
        <v>2</v>
      </c>
      <c r="Q4505">
        <v>10</v>
      </c>
      <c r="R4505">
        <v>8</v>
      </c>
      <c r="S4505">
        <v>2</v>
      </c>
      <c r="T4505">
        <v>0</v>
      </c>
      <c r="U4505" t="s">
        <v>25678</v>
      </c>
      <c r="V4505">
        <f>Tabla1[[#This Row],[Aboard]]-Tabla1[[#This Row],[Fatalities]]</f>
        <v>0</v>
      </c>
      <c r="W4505" s="50">
        <f>IFERROR(Tabla1[[#This Row],[Fatalities]]/Tabla1[[#This Row],[Aboard]],0)</f>
        <v>1</v>
      </c>
      <c r="X4505" s="51" t="str" cm="1">
        <f t="array" ref="X4505">_xlfn.IFS(Tabla1[[#This Row],[Porcentaje de muertes]]&lt;0.35,"LEVE",AND(Tabla1[[#This Row],[Porcentaje de muertes]]&gt;0.35,Tabla1[[#This Row],[Porcentaje de muertes]]&lt;0.65),"MEDIO",Tabla1[[#This Row],[Porcentaje de muertes]]&gt;0.65,"GRAVE")</f>
        <v>GRAVE</v>
      </c>
    </row>
    <row r="4506" spans="2:24" x14ac:dyDescent="0.3">
      <c r="B4506" s="9">
        <v>4506</v>
      </c>
      <c r="C4506" s="49">
        <v>38309</v>
      </c>
      <c r="D4506" s="9">
        <f>YEAR(Tabla1[[#This Row],[Date]])</f>
        <v>2004</v>
      </c>
      <c r="E4506" s="9" t="str" cm="1">
        <f t="array" ref="E4506">IFERROR(_xlfn.IFS(AND(D4506&lt;1980,D4506&gt;=1970),"70",AND(D4506&lt;1990,D4506&gt;=1980),"80",AND(D4506&lt;2000,D4506&gt;=1990),"90",AND(D4506&lt;2010,D4506&gt;=2000),"00",AND(D4506&lt;=2019,D4506&gt;=2010),"10"),"1908-1970")</f>
        <v>00</v>
      </c>
      <c r="F4506" s="3">
        <v>0.54305555555555551</v>
      </c>
      <c r="G4506" t="s">
        <v>11906</v>
      </c>
      <c r="H4506" t="s">
        <v>25679</v>
      </c>
      <c r="I4506">
        <v>213</v>
      </c>
      <c r="J4506" t="s">
        <v>25680</v>
      </c>
      <c r="K4506" t="s">
        <v>25681</v>
      </c>
      <c r="L4506" s="7" t="s">
        <v>25682</v>
      </c>
      <c r="M4506">
        <v>762</v>
      </c>
      <c r="N4506">
        <v>21</v>
      </c>
      <c r="O4506">
        <v>19</v>
      </c>
      <c r="P4506">
        <v>2</v>
      </c>
      <c r="Q4506">
        <v>3</v>
      </c>
      <c r="R4506">
        <v>3</v>
      </c>
      <c r="S4506">
        <v>0</v>
      </c>
      <c r="T4506">
        <v>0</v>
      </c>
      <c r="U4506" t="s">
        <v>25683</v>
      </c>
      <c r="V4506">
        <f>Tabla1[[#This Row],[Aboard]]-Tabla1[[#This Row],[Fatalities]]</f>
        <v>18</v>
      </c>
      <c r="W4506" s="50">
        <f>IFERROR(Tabla1[[#This Row],[Fatalities]]/Tabla1[[#This Row],[Aboard]],0)</f>
        <v>0.14285714285714285</v>
      </c>
      <c r="X4506" s="51" t="str" cm="1">
        <f t="array" ref="X4506">_xlfn.IFS(Tabla1[[#This Row],[Porcentaje de muertes]]&lt;0.35,"LEVE",AND(Tabla1[[#This Row],[Porcentaje de muertes]]&gt;0.35,Tabla1[[#This Row],[Porcentaje de muertes]]&lt;0.65),"MEDIO",Tabla1[[#This Row],[Porcentaje de muertes]]&gt;0.65,"GRAVE")</f>
        <v>LEVE</v>
      </c>
    </row>
    <row r="4507" spans="2:24" x14ac:dyDescent="0.3">
      <c r="B4507" s="9">
        <v>4507</v>
      </c>
      <c r="C4507" s="49">
        <v>38312</v>
      </c>
      <c r="D4507" s="9">
        <f>YEAR(Tabla1[[#This Row],[Date]])</f>
        <v>2004</v>
      </c>
      <c r="E4507" s="9" t="str" cm="1">
        <f t="array" ref="E4507">IFERROR(_xlfn.IFS(AND(D4507&lt;1980,D4507&gt;=1970),"70",AND(D4507&lt;1990,D4507&gt;=1980),"80",AND(D4507&lt;2000,D4507&gt;=1990),"90",AND(D4507&lt;2010,D4507&gt;=2000),"00",AND(D4507&lt;=2019,D4507&gt;=2010),"10"),"1908-1970")</f>
        <v>00</v>
      </c>
      <c r="F4507" s="3">
        <v>0.34722222222222227</v>
      </c>
      <c r="G4507" t="s">
        <v>25684</v>
      </c>
      <c r="H4507" t="s">
        <v>20990</v>
      </c>
      <c r="I4507" t="s">
        <v>28931</v>
      </c>
      <c r="J4507" t="s">
        <v>25685</v>
      </c>
      <c r="K4507" t="s">
        <v>25686</v>
      </c>
      <c r="L4507" s="7" t="s">
        <v>25687</v>
      </c>
      <c r="M4507">
        <v>7697</v>
      </c>
      <c r="N4507">
        <v>53</v>
      </c>
      <c r="O4507">
        <v>47</v>
      </c>
      <c r="P4507">
        <v>6</v>
      </c>
      <c r="Q4507">
        <v>53</v>
      </c>
      <c r="R4507">
        <v>47</v>
      </c>
      <c r="S4507">
        <v>6</v>
      </c>
      <c r="T4507">
        <v>0</v>
      </c>
      <c r="U4507" t="s">
        <v>25688</v>
      </c>
      <c r="V4507">
        <f>Tabla1[[#This Row],[Aboard]]-Tabla1[[#This Row],[Fatalities]]</f>
        <v>0</v>
      </c>
      <c r="W4507" s="50">
        <f>IFERROR(Tabla1[[#This Row],[Fatalities]]/Tabla1[[#This Row],[Aboard]],0)</f>
        <v>1</v>
      </c>
      <c r="X4507" s="51" t="str" cm="1">
        <f t="array" ref="X4507">_xlfn.IFS(Tabla1[[#This Row],[Porcentaje de muertes]]&lt;0.35,"LEVE",AND(Tabla1[[#This Row],[Porcentaje de muertes]]&gt;0.35,Tabla1[[#This Row],[Porcentaje de muertes]]&lt;0.65),"MEDIO",Tabla1[[#This Row],[Porcentaje de muertes]]&gt;0.65,"GRAVE")</f>
        <v>GRAVE</v>
      </c>
    </row>
    <row r="4508" spans="2:24" x14ac:dyDescent="0.3">
      <c r="B4508" s="9">
        <v>4508</v>
      </c>
      <c r="C4508" s="49">
        <v>38313</v>
      </c>
      <c r="D4508" s="9">
        <f>YEAR(Tabla1[[#This Row],[Date]])</f>
        <v>2004</v>
      </c>
      <c r="E4508" s="9" t="str" cm="1">
        <f t="array" ref="E4508">IFERROR(_xlfn.IFS(AND(D4508&lt;1980,D4508&gt;=1970),"70",AND(D4508&lt;1990,D4508&gt;=1980),"80",AND(D4508&lt;2000,D4508&gt;=1990),"90",AND(D4508&lt;2010,D4508&gt;=2000),"00",AND(D4508&lt;=2019,D4508&gt;=2010),"10"),"1908-1970")</f>
        <v>00</v>
      </c>
      <c r="F4508" s="3">
        <v>0.26041666666666669</v>
      </c>
      <c r="G4508" t="s">
        <v>17305</v>
      </c>
      <c r="H4508" t="s">
        <v>25689</v>
      </c>
      <c r="I4508" t="s">
        <v>28931</v>
      </c>
      <c r="J4508" t="s">
        <v>25690</v>
      </c>
      <c r="K4508" t="s">
        <v>25691</v>
      </c>
      <c r="L4508" s="7" t="s">
        <v>25692</v>
      </c>
      <c r="M4508">
        <v>449</v>
      </c>
      <c r="N4508">
        <v>3</v>
      </c>
      <c r="O4508">
        <v>0</v>
      </c>
      <c r="P4508">
        <v>3</v>
      </c>
      <c r="Q4508">
        <v>3</v>
      </c>
      <c r="R4508">
        <v>0</v>
      </c>
      <c r="S4508">
        <v>3</v>
      </c>
      <c r="T4508">
        <v>0</v>
      </c>
      <c r="U4508" t="s">
        <v>25693</v>
      </c>
      <c r="V4508">
        <f>Tabla1[[#This Row],[Aboard]]-Tabla1[[#This Row],[Fatalities]]</f>
        <v>0</v>
      </c>
      <c r="W4508" s="50">
        <f>IFERROR(Tabla1[[#This Row],[Fatalities]]/Tabla1[[#This Row],[Aboard]],0)</f>
        <v>1</v>
      </c>
      <c r="X4508" s="51" t="str" cm="1">
        <f t="array" ref="X4508">_xlfn.IFS(Tabla1[[#This Row],[Porcentaje de muertes]]&lt;0.35,"LEVE",AND(Tabla1[[#This Row],[Porcentaje de muertes]]&gt;0.35,Tabla1[[#This Row],[Porcentaje de muertes]]&lt;0.65),"MEDIO",Tabla1[[#This Row],[Porcentaje de muertes]]&gt;0.65,"GRAVE")</f>
        <v>GRAVE</v>
      </c>
    </row>
    <row r="4509" spans="2:24" x14ac:dyDescent="0.3">
      <c r="B4509" s="9">
        <v>4509</v>
      </c>
      <c r="C4509" s="49">
        <v>38318</v>
      </c>
      <c r="D4509" s="9">
        <f>YEAR(Tabla1[[#This Row],[Date]])</f>
        <v>2004</v>
      </c>
      <c r="E4509" s="9" t="str" cm="1">
        <f t="array" ref="E4509">IFERROR(_xlfn.IFS(AND(D4509&lt;1980,D4509&gt;=1970),"70",AND(D4509&lt;1990,D4509&gt;=1980),"80",AND(D4509&lt;2000,D4509&gt;=1990),"90",AND(D4509&lt;2010,D4509&gt;=2000),"00",AND(D4509&lt;=2019,D4509&gt;=2010),"10"),"1908-1970")</f>
        <v>00</v>
      </c>
      <c r="F4509" s="3">
        <v>0.34722222222222227</v>
      </c>
      <c r="G4509" t="s">
        <v>25694</v>
      </c>
      <c r="H4509" t="s">
        <v>25695</v>
      </c>
      <c r="I4509" t="s">
        <v>28931</v>
      </c>
      <c r="J4509" t="s">
        <v>25696</v>
      </c>
      <c r="K4509" t="s">
        <v>25697</v>
      </c>
      <c r="L4509" s="7" t="s">
        <v>25698</v>
      </c>
      <c r="M4509">
        <v>231</v>
      </c>
      <c r="N4509">
        <v>6</v>
      </c>
      <c r="O4509">
        <v>3</v>
      </c>
      <c r="P4509">
        <v>3</v>
      </c>
      <c r="Q4509">
        <v>6</v>
      </c>
      <c r="R4509">
        <v>3</v>
      </c>
      <c r="S4509">
        <v>3</v>
      </c>
      <c r="T4509">
        <v>0</v>
      </c>
      <c r="U4509" t="s">
        <v>25699</v>
      </c>
      <c r="V4509">
        <f>Tabla1[[#This Row],[Aboard]]-Tabla1[[#This Row],[Fatalities]]</f>
        <v>0</v>
      </c>
      <c r="W4509" s="50">
        <f>IFERROR(Tabla1[[#This Row],[Fatalities]]/Tabla1[[#This Row],[Aboard]],0)</f>
        <v>1</v>
      </c>
      <c r="X4509" s="51" t="str" cm="1">
        <f t="array" ref="X4509">_xlfn.IFS(Tabla1[[#This Row],[Porcentaje de muertes]]&lt;0.35,"LEVE",AND(Tabla1[[#This Row],[Porcentaje de muertes]]&gt;0.35,Tabla1[[#This Row],[Porcentaje de muertes]]&lt;0.65),"MEDIO",Tabla1[[#This Row],[Porcentaje de muertes]]&gt;0.65,"GRAVE")</f>
        <v>GRAVE</v>
      </c>
    </row>
    <row r="4510" spans="2:24" x14ac:dyDescent="0.3">
      <c r="B4510" s="9">
        <v>4510</v>
      </c>
      <c r="C4510" s="49">
        <v>38319</v>
      </c>
      <c r="D4510" s="9">
        <f>YEAR(Tabla1[[#This Row],[Date]])</f>
        <v>2004</v>
      </c>
      <c r="E4510" s="9" t="str" cm="1">
        <f t="array" ref="E4510">IFERROR(_xlfn.IFS(AND(D4510&lt;1980,D4510&gt;=1970),"70",AND(D4510&lt;1990,D4510&gt;=1980),"80",AND(D4510&lt;2000,D4510&gt;=1990),"90",AND(D4510&lt;2010,D4510&gt;=2000),"00",AND(D4510&lt;=2019,D4510&gt;=2010),"10"),"1908-1970")</f>
        <v>00</v>
      </c>
      <c r="F4510" s="3">
        <v>0.41319444444444442</v>
      </c>
      <c r="G4510" t="s">
        <v>25700</v>
      </c>
      <c r="H4510" t="s">
        <v>25701</v>
      </c>
      <c r="I4510">
        <v>73</v>
      </c>
      <c r="J4510" t="s">
        <v>25702</v>
      </c>
      <c r="K4510" t="s">
        <v>25703</v>
      </c>
      <c r="L4510" s="7" t="s">
        <v>25704</v>
      </c>
      <c r="M4510">
        <v>3009</v>
      </c>
      <c r="N4510">
        <v>6</v>
      </c>
      <c r="O4510">
        <v>3</v>
      </c>
      <c r="P4510">
        <v>3</v>
      </c>
      <c r="Q4510">
        <v>3</v>
      </c>
      <c r="R4510">
        <v>1</v>
      </c>
      <c r="S4510">
        <v>2</v>
      </c>
      <c r="T4510">
        <v>0</v>
      </c>
      <c r="U4510" t="s">
        <v>25705</v>
      </c>
      <c r="V4510">
        <f>Tabla1[[#This Row],[Aboard]]-Tabla1[[#This Row],[Fatalities]]</f>
        <v>3</v>
      </c>
      <c r="W4510" s="50">
        <f>IFERROR(Tabla1[[#This Row],[Fatalities]]/Tabla1[[#This Row],[Aboard]],0)</f>
        <v>0.5</v>
      </c>
      <c r="X4510" s="51" t="str" cm="1">
        <f t="array" ref="X4510">_xlfn.IFS(Tabla1[[#This Row],[Porcentaje de muertes]]&lt;0.35,"LEVE",AND(Tabla1[[#This Row],[Porcentaje de muertes]]&gt;0.35,Tabla1[[#This Row],[Porcentaje de muertes]]&lt;0.65),"MEDIO",Tabla1[[#This Row],[Porcentaje de muertes]]&gt;0.65,"GRAVE")</f>
        <v>MEDIO</v>
      </c>
    </row>
    <row r="4511" spans="2:24" x14ac:dyDescent="0.3">
      <c r="B4511" s="9">
        <v>4511</v>
      </c>
      <c r="C4511" s="49">
        <v>38321</v>
      </c>
      <c r="D4511" s="9">
        <f>YEAR(Tabla1[[#This Row],[Date]])</f>
        <v>2004</v>
      </c>
      <c r="E4511" s="9" t="str" cm="1">
        <f t="array" ref="E4511">IFERROR(_xlfn.IFS(AND(D4511&lt;1980,D4511&gt;=1970),"70",AND(D4511&lt;1990,D4511&gt;=1980),"80",AND(D4511&lt;2000,D4511&gt;=1990),"90",AND(D4511&lt;2010,D4511&gt;=2000),"00",AND(D4511&lt;=2019,D4511&gt;=2010),"10"),"1908-1970")</f>
        <v>00</v>
      </c>
      <c r="F4511" s="3">
        <v>0.7597222222222223</v>
      </c>
      <c r="G4511" t="s">
        <v>25706</v>
      </c>
      <c r="H4511" t="s">
        <v>25707</v>
      </c>
      <c r="I4511">
        <v>583</v>
      </c>
      <c r="J4511" t="s">
        <v>25708</v>
      </c>
      <c r="K4511" t="s">
        <v>25709</v>
      </c>
      <c r="L4511" s="7" t="s">
        <v>25710</v>
      </c>
      <c r="M4511" t="s">
        <v>25711</v>
      </c>
      <c r="N4511">
        <v>163</v>
      </c>
      <c r="O4511">
        <v>156</v>
      </c>
      <c r="P4511">
        <v>7</v>
      </c>
      <c r="Q4511">
        <v>25</v>
      </c>
      <c r="R4511">
        <v>23</v>
      </c>
      <c r="S4511">
        <v>2</v>
      </c>
      <c r="T4511">
        <v>0</v>
      </c>
      <c r="U4511" t="s">
        <v>25712</v>
      </c>
      <c r="V4511">
        <f>Tabla1[[#This Row],[Aboard]]-Tabla1[[#This Row],[Fatalities]]</f>
        <v>138</v>
      </c>
      <c r="W4511" s="50">
        <f>IFERROR(Tabla1[[#This Row],[Fatalities]]/Tabla1[[#This Row],[Aboard]],0)</f>
        <v>0.15337423312883436</v>
      </c>
      <c r="X4511" s="51" t="str" cm="1">
        <f t="array" ref="X4511">_xlfn.IFS(Tabla1[[#This Row],[Porcentaje de muertes]]&lt;0.35,"LEVE",AND(Tabla1[[#This Row],[Porcentaje de muertes]]&gt;0.35,Tabla1[[#This Row],[Porcentaje de muertes]]&lt;0.65),"MEDIO",Tabla1[[#This Row],[Porcentaje de muertes]]&gt;0.65,"GRAVE")</f>
        <v>LEVE</v>
      </c>
    </row>
    <row r="4512" spans="2:24" x14ac:dyDescent="0.3">
      <c r="B4512" s="9">
        <v>4512</v>
      </c>
      <c r="C4512" s="49">
        <v>38272</v>
      </c>
      <c r="D4512" s="9">
        <f>YEAR(Tabla1[[#This Row],[Date]])</f>
        <v>2004</v>
      </c>
      <c r="E4512" s="9" t="str" cm="1">
        <f t="array" ref="E4512">IFERROR(_xlfn.IFS(AND(D4512&lt;1980,D4512&gt;=1970),"70",AND(D4512&lt;1990,D4512&gt;=1980),"80",AND(D4512&lt;2000,D4512&gt;=1990),"90",AND(D4512&lt;2010,D4512&gt;=2000),"00",AND(D4512&lt;=2019,D4512&gt;=2010),"10"),"1908-1970")</f>
        <v>00</v>
      </c>
      <c r="F4512" s="3" t="s">
        <v>28931</v>
      </c>
      <c r="G4512" t="s">
        <v>25713</v>
      </c>
      <c r="H4512" t="s">
        <v>25714</v>
      </c>
      <c r="I4512" t="s">
        <v>28931</v>
      </c>
      <c r="J4512" t="s">
        <v>25715</v>
      </c>
      <c r="K4512" t="s">
        <v>25716</v>
      </c>
      <c r="L4512" s="7" t="s">
        <v>25717</v>
      </c>
      <c r="M4512" t="s">
        <v>25718</v>
      </c>
      <c r="N4512">
        <v>16</v>
      </c>
      <c r="O4512">
        <v>13</v>
      </c>
      <c r="P4512">
        <v>3</v>
      </c>
      <c r="Q4512">
        <v>16</v>
      </c>
      <c r="R4512">
        <v>13</v>
      </c>
      <c r="S4512">
        <v>3</v>
      </c>
      <c r="T4512">
        <v>0</v>
      </c>
      <c r="U4512" t="s">
        <v>25719</v>
      </c>
      <c r="V4512">
        <f>Tabla1[[#This Row],[Aboard]]-Tabla1[[#This Row],[Fatalities]]</f>
        <v>0</v>
      </c>
      <c r="W4512" s="50">
        <f>IFERROR(Tabla1[[#This Row],[Fatalities]]/Tabla1[[#This Row],[Aboard]],0)</f>
        <v>1</v>
      </c>
      <c r="X4512" s="51" t="str" cm="1">
        <f t="array" ref="X4512">_xlfn.IFS(Tabla1[[#This Row],[Porcentaje de muertes]]&lt;0.35,"LEVE",AND(Tabla1[[#This Row],[Porcentaje de muertes]]&gt;0.35,Tabla1[[#This Row],[Porcentaje de muertes]]&lt;0.65),"MEDIO",Tabla1[[#This Row],[Porcentaje de muertes]]&gt;0.65,"GRAVE")</f>
        <v>GRAVE</v>
      </c>
    </row>
    <row r="4513" spans="2:24" x14ac:dyDescent="0.3">
      <c r="B4513" s="9">
        <v>4513</v>
      </c>
      <c r="C4513" s="49">
        <v>38303</v>
      </c>
      <c r="D4513" s="9">
        <f>YEAR(Tabla1[[#This Row],[Date]])</f>
        <v>2004</v>
      </c>
      <c r="E4513" s="9" t="str" cm="1">
        <f t="array" ref="E4513">IFERROR(_xlfn.IFS(AND(D4513&lt;1980,D4513&gt;=1970),"70",AND(D4513&lt;1990,D4513&gt;=1980),"80",AND(D4513&lt;2000,D4513&gt;=1990),"90",AND(D4513&lt;2010,D4513&gt;=2000),"00",AND(D4513&lt;=2019,D4513&gt;=2010),"10"),"1908-1970")</f>
        <v>00</v>
      </c>
      <c r="F4513" s="3" t="s">
        <v>28931</v>
      </c>
      <c r="G4513" t="s">
        <v>25720</v>
      </c>
      <c r="H4513" t="s">
        <v>25721</v>
      </c>
      <c r="I4513" t="s">
        <v>28931</v>
      </c>
      <c r="J4513" t="s">
        <v>25722</v>
      </c>
      <c r="K4513" t="s">
        <v>25189</v>
      </c>
      <c r="L4513" s="7" t="s">
        <v>25723</v>
      </c>
      <c r="M4513">
        <v>33448390</v>
      </c>
      <c r="N4513">
        <v>7</v>
      </c>
      <c r="O4513">
        <v>0</v>
      </c>
      <c r="P4513">
        <v>7</v>
      </c>
      <c r="Q4513">
        <v>1</v>
      </c>
      <c r="R4513">
        <v>0</v>
      </c>
      <c r="S4513">
        <v>1</v>
      </c>
      <c r="T4513">
        <v>0</v>
      </c>
      <c r="U4513" t="s">
        <v>25724</v>
      </c>
      <c r="V4513">
        <f>Tabla1[[#This Row],[Aboard]]-Tabla1[[#This Row],[Fatalities]]</f>
        <v>6</v>
      </c>
      <c r="W4513" s="50">
        <f>IFERROR(Tabla1[[#This Row],[Fatalities]]/Tabla1[[#This Row],[Aboard]],0)</f>
        <v>0.14285714285714285</v>
      </c>
      <c r="X4513" s="51" t="str" cm="1">
        <f t="array" ref="X4513">_xlfn.IFS(Tabla1[[#This Row],[Porcentaje de muertes]]&lt;0.35,"LEVE",AND(Tabla1[[#This Row],[Porcentaje de muertes]]&gt;0.35,Tabla1[[#This Row],[Porcentaje de muertes]]&lt;0.65),"MEDIO",Tabla1[[#This Row],[Porcentaje de muertes]]&gt;0.65,"GRAVE")</f>
        <v>LEVE</v>
      </c>
    </row>
    <row r="4514" spans="2:24" x14ac:dyDescent="0.3">
      <c r="B4514" s="9">
        <v>4514</v>
      </c>
      <c r="C4514" s="49">
        <v>38303</v>
      </c>
      <c r="D4514" s="9">
        <f>YEAR(Tabla1[[#This Row],[Date]])</f>
        <v>2004</v>
      </c>
      <c r="E4514" s="9" t="str" cm="1">
        <f t="array" ref="E4514">IFERROR(_xlfn.IFS(AND(D4514&lt;1980,D4514&gt;=1970),"70",AND(D4514&lt;1990,D4514&gt;=1980),"80",AND(D4514&lt;2000,D4514&gt;=1990),"90",AND(D4514&lt;2010,D4514&gt;=2000),"00",AND(D4514&lt;=2019,D4514&gt;=2010),"10"),"1908-1970")</f>
        <v>00</v>
      </c>
      <c r="F4514" s="3">
        <v>0.22916666666666666</v>
      </c>
      <c r="G4514" t="s">
        <v>25725</v>
      </c>
      <c r="H4514" t="s">
        <v>25726</v>
      </c>
      <c r="I4514" t="s">
        <v>28931</v>
      </c>
      <c r="J4514" t="s">
        <v>25727</v>
      </c>
      <c r="K4514" t="s">
        <v>22192</v>
      </c>
      <c r="L4514" s="7" t="s">
        <v>25728</v>
      </c>
      <c r="M4514">
        <v>110071</v>
      </c>
      <c r="N4514">
        <v>2</v>
      </c>
      <c r="O4514">
        <v>0</v>
      </c>
      <c r="P4514">
        <v>2</v>
      </c>
      <c r="Q4514">
        <v>2</v>
      </c>
      <c r="R4514">
        <v>0</v>
      </c>
      <c r="S4514">
        <v>2</v>
      </c>
      <c r="T4514">
        <v>1</v>
      </c>
      <c r="U4514" t="s">
        <v>25729</v>
      </c>
      <c r="V4514">
        <f>Tabla1[[#This Row],[Aboard]]-Tabla1[[#This Row],[Fatalities]]</f>
        <v>0</v>
      </c>
      <c r="W4514" s="50">
        <f>IFERROR(Tabla1[[#This Row],[Fatalities]]/Tabla1[[#This Row],[Aboard]],0)</f>
        <v>1</v>
      </c>
      <c r="X4514" s="51" t="str" cm="1">
        <f t="array" ref="X4514">_xlfn.IFS(Tabla1[[#This Row],[Porcentaje de muertes]]&lt;0.35,"LEVE",AND(Tabla1[[#This Row],[Porcentaje de muertes]]&gt;0.35,Tabla1[[#This Row],[Porcentaje de muertes]]&lt;0.65),"MEDIO",Tabla1[[#This Row],[Porcentaje de muertes]]&gt;0.65,"GRAVE")</f>
        <v>GRAVE</v>
      </c>
    </row>
    <row r="4515" spans="2:24" x14ac:dyDescent="0.3">
      <c r="B4515" s="9">
        <v>4515</v>
      </c>
      <c r="C4515" s="49">
        <v>38365</v>
      </c>
      <c r="D4515" s="9">
        <f>YEAR(Tabla1[[#This Row],[Date]])</f>
        <v>2005</v>
      </c>
      <c r="E4515" s="9" t="str" cm="1">
        <f t="array" ref="E4515">IFERROR(_xlfn.IFS(AND(D4515&lt;1980,D4515&gt;=1970),"70",AND(D4515&lt;1990,D4515&gt;=1980),"80",AND(D4515&lt;2000,D4515&gt;=1990),"90",AND(D4515&lt;2010,D4515&gt;=2000),"00",AND(D4515&lt;=2019,D4515&gt;=2010),"10"),"1908-1970")</f>
        <v>00</v>
      </c>
      <c r="F4515" s="3">
        <v>0.67361111111111116</v>
      </c>
      <c r="G4515" t="s">
        <v>25730</v>
      </c>
      <c r="H4515" t="s">
        <v>25731</v>
      </c>
      <c r="I4515" t="s">
        <v>28931</v>
      </c>
      <c r="J4515" t="s">
        <v>25732</v>
      </c>
      <c r="K4515" t="s">
        <v>14581</v>
      </c>
      <c r="L4515" s="7" t="s">
        <v>25733</v>
      </c>
      <c r="M4515" t="s">
        <v>25734</v>
      </c>
      <c r="N4515">
        <v>9</v>
      </c>
      <c r="O4515">
        <v>7</v>
      </c>
      <c r="P4515">
        <v>2</v>
      </c>
      <c r="Q4515">
        <v>9</v>
      </c>
      <c r="R4515">
        <v>7</v>
      </c>
      <c r="S4515">
        <v>2</v>
      </c>
      <c r="T4515">
        <v>0</v>
      </c>
      <c r="U4515" t="s">
        <v>25735</v>
      </c>
      <c r="V4515">
        <f>Tabla1[[#This Row],[Aboard]]-Tabla1[[#This Row],[Fatalities]]</f>
        <v>0</v>
      </c>
      <c r="W4515" s="50">
        <f>IFERROR(Tabla1[[#This Row],[Fatalities]]/Tabla1[[#This Row],[Aboard]],0)</f>
        <v>1</v>
      </c>
      <c r="X4515" s="51" t="str" cm="1">
        <f t="array" ref="X4515">_xlfn.IFS(Tabla1[[#This Row],[Porcentaje de muertes]]&lt;0.35,"LEVE",AND(Tabla1[[#This Row],[Porcentaje de muertes]]&gt;0.35,Tabla1[[#This Row],[Porcentaje de muertes]]&lt;0.65),"MEDIO",Tabla1[[#This Row],[Porcentaje de muertes]]&gt;0.65,"GRAVE")</f>
        <v>GRAVE</v>
      </c>
    </row>
    <row r="4516" spans="2:24" x14ac:dyDescent="0.3">
      <c r="B4516" s="9">
        <v>4516</v>
      </c>
      <c r="C4516" s="49">
        <v>38365</v>
      </c>
      <c r="D4516" s="9">
        <f>YEAR(Tabla1[[#This Row],[Date]])</f>
        <v>2005</v>
      </c>
      <c r="E4516" s="9" t="str" cm="1">
        <f t="array" ref="E4516">IFERROR(_xlfn.IFS(AND(D4516&lt;1980,D4516&gt;=1970),"70",AND(D4516&lt;1990,D4516&gt;=1980),"80",AND(D4516&lt;2000,D4516&gt;=1990),"90",AND(D4516&lt;2010,D4516&gt;=2000),"00",AND(D4516&lt;=2019,D4516&gt;=2010),"10"),"1908-1970")</f>
        <v>00</v>
      </c>
      <c r="F4516" s="3" t="s">
        <v>28931</v>
      </c>
      <c r="G4516" t="s">
        <v>25736</v>
      </c>
      <c r="H4516" t="s">
        <v>25737</v>
      </c>
      <c r="I4516" t="s">
        <v>28931</v>
      </c>
      <c r="J4516" t="s">
        <v>28931</v>
      </c>
      <c r="K4516" t="s">
        <v>25738</v>
      </c>
      <c r="L4516" s="7" t="s">
        <v>28931</v>
      </c>
      <c r="M4516" t="s">
        <v>28931</v>
      </c>
      <c r="N4516">
        <v>20</v>
      </c>
      <c r="O4516">
        <v>18</v>
      </c>
      <c r="P4516">
        <v>2</v>
      </c>
      <c r="Q4516">
        <v>20</v>
      </c>
      <c r="R4516">
        <v>18</v>
      </c>
      <c r="S4516">
        <v>2</v>
      </c>
      <c r="T4516">
        <v>0</v>
      </c>
      <c r="U4516" t="s">
        <v>25739</v>
      </c>
      <c r="V4516">
        <f>Tabla1[[#This Row],[Aboard]]-Tabla1[[#This Row],[Fatalities]]</f>
        <v>0</v>
      </c>
      <c r="W4516" s="50">
        <f>IFERROR(Tabla1[[#This Row],[Fatalities]]/Tabla1[[#This Row],[Aboard]],0)</f>
        <v>1</v>
      </c>
      <c r="X4516" s="51" t="str" cm="1">
        <f t="array" ref="X4516">_xlfn.IFS(Tabla1[[#This Row],[Porcentaje de muertes]]&lt;0.35,"LEVE",AND(Tabla1[[#This Row],[Porcentaje de muertes]]&gt;0.35,Tabla1[[#This Row],[Porcentaje de muertes]]&lt;0.65),"MEDIO",Tabla1[[#This Row],[Porcentaje de muertes]]&gt;0.65,"GRAVE")</f>
        <v>GRAVE</v>
      </c>
    </row>
    <row r="4517" spans="2:24" x14ac:dyDescent="0.3">
      <c r="B4517" s="9">
        <v>4517</v>
      </c>
      <c r="C4517" s="49">
        <v>38365</v>
      </c>
      <c r="D4517" s="9">
        <f>YEAR(Tabla1[[#This Row],[Date]])</f>
        <v>2005</v>
      </c>
      <c r="E4517" s="9" t="str" cm="1">
        <f t="array" ref="E4517">IFERROR(_xlfn.IFS(AND(D4517&lt;1980,D4517&gt;=1970),"70",AND(D4517&lt;1990,D4517&gt;=1980),"80",AND(D4517&lt;2000,D4517&gt;=1990),"90",AND(D4517&lt;2010,D4517&gt;=2000),"00",AND(D4517&lt;=2019,D4517&gt;=2010),"10"),"1908-1970")</f>
        <v>00</v>
      </c>
      <c r="F4517" s="3">
        <v>0.9291666666666667</v>
      </c>
      <c r="G4517" t="s">
        <v>25740</v>
      </c>
      <c r="H4517" t="s">
        <v>25741</v>
      </c>
      <c r="I4517" t="s">
        <v>28931</v>
      </c>
      <c r="J4517" t="s">
        <v>25742</v>
      </c>
      <c r="K4517" t="s">
        <v>22192</v>
      </c>
      <c r="L4517" s="7" t="s">
        <v>25743</v>
      </c>
      <c r="M4517">
        <v>110301</v>
      </c>
      <c r="N4517">
        <v>1</v>
      </c>
      <c r="O4517">
        <v>0</v>
      </c>
      <c r="P4517">
        <v>1</v>
      </c>
      <c r="Q4517">
        <v>1</v>
      </c>
      <c r="R4517">
        <v>0</v>
      </c>
      <c r="S4517">
        <v>1</v>
      </c>
      <c r="T4517">
        <v>0</v>
      </c>
      <c r="U4517" t="s">
        <v>25744</v>
      </c>
      <c r="V4517">
        <f>Tabla1[[#This Row],[Aboard]]-Tabla1[[#This Row],[Fatalities]]</f>
        <v>0</v>
      </c>
      <c r="W4517" s="50">
        <f>IFERROR(Tabla1[[#This Row],[Fatalities]]/Tabla1[[#This Row],[Aboard]],0)</f>
        <v>1</v>
      </c>
      <c r="X4517" s="51" t="str" cm="1">
        <f t="array" ref="X4517">_xlfn.IFS(Tabla1[[#This Row],[Porcentaje de muertes]]&lt;0.35,"LEVE",AND(Tabla1[[#This Row],[Porcentaje de muertes]]&gt;0.35,Tabla1[[#This Row],[Porcentaje de muertes]]&lt;0.65),"MEDIO",Tabla1[[#This Row],[Porcentaje de muertes]]&gt;0.65,"GRAVE")</f>
        <v>GRAVE</v>
      </c>
    </row>
    <row r="4518" spans="2:24" x14ac:dyDescent="0.3">
      <c r="B4518" s="9">
        <v>4518</v>
      </c>
      <c r="C4518" s="49">
        <v>38378</v>
      </c>
      <c r="D4518" s="9">
        <f>YEAR(Tabla1[[#This Row],[Date]])</f>
        <v>2005</v>
      </c>
      <c r="E4518" s="9" t="str" cm="1">
        <f t="array" ref="E4518">IFERROR(_xlfn.IFS(AND(D4518&lt;1980,D4518&gt;=1970),"70",AND(D4518&lt;1990,D4518&gt;=1980),"80",AND(D4518&lt;2000,D4518&gt;=1990),"90",AND(D4518&lt;2010,D4518&gt;=2000),"00",AND(D4518&lt;=2019,D4518&gt;=2010),"10"),"1908-1970")</f>
        <v>00</v>
      </c>
      <c r="F4518" s="3">
        <v>5.5555555555555552E-2</v>
      </c>
      <c r="G4518" t="s">
        <v>25745</v>
      </c>
      <c r="H4518" t="s">
        <v>25746</v>
      </c>
      <c r="I4518" t="s">
        <v>28931</v>
      </c>
      <c r="J4518" t="s">
        <v>25747</v>
      </c>
      <c r="K4518" t="s">
        <v>25748</v>
      </c>
      <c r="L4518" s="7">
        <v>164536</v>
      </c>
      <c r="M4518" t="s">
        <v>28931</v>
      </c>
      <c r="N4518">
        <v>31</v>
      </c>
      <c r="O4518">
        <v>29</v>
      </c>
      <c r="P4518">
        <v>2</v>
      </c>
      <c r="Q4518">
        <v>31</v>
      </c>
      <c r="R4518">
        <v>29</v>
      </c>
      <c r="S4518">
        <v>2</v>
      </c>
      <c r="T4518">
        <v>0</v>
      </c>
      <c r="U4518" t="s">
        <v>25749</v>
      </c>
      <c r="V4518">
        <f>Tabla1[[#This Row],[Aboard]]-Tabla1[[#This Row],[Fatalities]]</f>
        <v>0</v>
      </c>
      <c r="W4518" s="50">
        <f>IFERROR(Tabla1[[#This Row],[Fatalities]]/Tabla1[[#This Row],[Aboard]],0)</f>
        <v>1</v>
      </c>
      <c r="X4518" s="51" t="str" cm="1">
        <f t="array" ref="X4518">_xlfn.IFS(Tabla1[[#This Row],[Porcentaje de muertes]]&lt;0.35,"LEVE",AND(Tabla1[[#This Row],[Porcentaje de muertes]]&gt;0.35,Tabla1[[#This Row],[Porcentaje de muertes]]&lt;0.65),"MEDIO",Tabla1[[#This Row],[Porcentaje de muertes]]&gt;0.65,"GRAVE")</f>
        <v>GRAVE</v>
      </c>
    </row>
    <row r="4519" spans="2:24" x14ac:dyDescent="0.3">
      <c r="B4519" s="9">
        <v>4519</v>
      </c>
      <c r="C4519" s="49">
        <v>38379</v>
      </c>
      <c r="D4519" s="9">
        <f>YEAR(Tabla1[[#This Row],[Date]])</f>
        <v>2005</v>
      </c>
      <c r="E4519" s="9" t="str" cm="1">
        <f t="array" ref="E4519">IFERROR(_xlfn.IFS(AND(D4519&lt;1980,D4519&gt;=1970),"70",AND(D4519&lt;1990,D4519&gt;=1980),"80",AND(D4519&lt;2000,D4519&gt;=1990),"90",AND(D4519&lt;2010,D4519&gt;=2000),"00",AND(D4519&lt;=2019,D4519&gt;=2010),"10"),"1908-1970")</f>
        <v>00</v>
      </c>
      <c r="F4519" s="3">
        <v>0.34027777777777773</v>
      </c>
      <c r="G4519" t="s">
        <v>25750</v>
      </c>
      <c r="H4519" t="s">
        <v>25751</v>
      </c>
      <c r="I4519" t="s">
        <v>28931</v>
      </c>
      <c r="J4519" t="s">
        <v>25752</v>
      </c>
      <c r="K4519" t="s">
        <v>25753</v>
      </c>
      <c r="L4519" s="7" t="s">
        <v>25754</v>
      </c>
      <c r="M4519">
        <v>871923</v>
      </c>
      <c r="N4519">
        <v>2</v>
      </c>
      <c r="O4519">
        <v>0</v>
      </c>
      <c r="P4519">
        <v>2</v>
      </c>
      <c r="Q4519">
        <v>2</v>
      </c>
      <c r="R4519">
        <v>0</v>
      </c>
      <c r="S4519">
        <v>2</v>
      </c>
      <c r="T4519">
        <v>0</v>
      </c>
      <c r="U4519" t="s">
        <v>25755</v>
      </c>
      <c r="V4519">
        <f>Tabla1[[#This Row],[Aboard]]-Tabla1[[#This Row],[Fatalities]]</f>
        <v>0</v>
      </c>
      <c r="W4519" s="50">
        <f>IFERROR(Tabla1[[#This Row],[Fatalities]]/Tabla1[[#This Row],[Aboard]],0)</f>
        <v>1</v>
      </c>
      <c r="X4519" s="51" t="str" cm="1">
        <f t="array" ref="X4519">_xlfn.IFS(Tabla1[[#This Row],[Porcentaje de muertes]]&lt;0.35,"LEVE",AND(Tabla1[[#This Row],[Porcentaje de muertes]]&gt;0.35,Tabla1[[#This Row],[Porcentaje de muertes]]&lt;0.65),"MEDIO",Tabla1[[#This Row],[Porcentaje de muertes]]&gt;0.65,"GRAVE")</f>
        <v>GRAVE</v>
      </c>
    </row>
    <row r="4520" spans="2:24" x14ac:dyDescent="0.3">
      <c r="B4520" s="9">
        <v>4520</v>
      </c>
      <c r="C4520" s="49">
        <v>38382</v>
      </c>
      <c r="D4520" s="9">
        <f>YEAR(Tabla1[[#This Row],[Date]])</f>
        <v>2005</v>
      </c>
      <c r="E4520" s="9" t="str" cm="1">
        <f t="array" ref="E4520">IFERROR(_xlfn.IFS(AND(D4520&lt;1980,D4520&gt;=1970),"70",AND(D4520&lt;1990,D4520&gt;=1980),"80",AND(D4520&lt;2000,D4520&gt;=1990),"90",AND(D4520&lt;2010,D4520&gt;=2000),"00",AND(D4520&lt;=2019,D4520&gt;=2010),"10"),"1908-1970")</f>
        <v>00</v>
      </c>
      <c r="F4520" s="3">
        <v>0.6875</v>
      </c>
      <c r="G4520" t="s">
        <v>25756</v>
      </c>
      <c r="H4520" t="s">
        <v>7665</v>
      </c>
      <c r="I4520" t="s">
        <v>28931</v>
      </c>
      <c r="J4520" t="s">
        <v>25757</v>
      </c>
      <c r="K4520" t="s">
        <v>25758</v>
      </c>
      <c r="L4520" s="7" t="s">
        <v>25759</v>
      </c>
      <c r="M4520">
        <v>4195</v>
      </c>
      <c r="N4520">
        <v>10</v>
      </c>
      <c r="O4520">
        <v>8</v>
      </c>
      <c r="P4520">
        <v>2</v>
      </c>
      <c r="Q4520">
        <v>10</v>
      </c>
      <c r="R4520">
        <v>8</v>
      </c>
      <c r="S4520">
        <v>2</v>
      </c>
      <c r="T4520">
        <v>0</v>
      </c>
      <c r="U4520" t="s">
        <v>25760</v>
      </c>
      <c r="V4520">
        <f>Tabla1[[#This Row],[Aboard]]-Tabla1[[#This Row],[Fatalities]]</f>
        <v>0</v>
      </c>
      <c r="W4520" s="50">
        <f>IFERROR(Tabla1[[#This Row],[Fatalities]]/Tabla1[[#This Row],[Aboard]],0)</f>
        <v>1</v>
      </c>
      <c r="X4520" s="51" t="str" cm="1">
        <f t="array" ref="X4520">_xlfn.IFS(Tabla1[[#This Row],[Porcentaje de muertes]]&lt;0.35,"LEVE",AND(Tabla1[[#This Row],[Porcentaje de muertes]]&gt;0.35,Tabla1[[#This Row],[Porcentaje de muertes]]&lt;0.65),"MEDIO",Tabla1[[#This Row],[Porcentaje de muertes]]&gt;0.65,"GRAVE")</f>
        <v>GRAVE</v>
      </c>
    </row>
    <row r="4521" spans="2:24" x14ac:dyDescent="0.3">
      <c r="B4521" s="9">
        <v>4521</v>
      </c>
      <c r="C4521" s="49">
        <v>38413</v>
      </c>
      <c r="D4521" s="9">
        <f>YEAR(Tabla1[[#This Row],[Date]])</f>
        <v>2005</v>
      </c>
      <c r="E4521" s="9" t="str" cm="1">
        <f t="array" ref="E4521">IFERROR(_xlfn.IFS(AND(D4521&lt;1980,D4521&gt;=1970),"70",AND(D4521&lt;1990,D4521&gt;=1980),"80",AND(D4521&lt;2000,D4521&gt;=1990),"90",AND(D4521&lt;2010,D4521&gt;=2000),"00",AND(D4521&lt;=2019,D4521&gt;=2010),"10"),"1908-1970")</f>
        <v>00</v>
      </c>
      <c r="F4521" s="3">
        <v>0.70833333333333337</v>
      </c>
      <c r="G4521" t="s">
        <v>19708</v>
      </c>
      <c r="H4521" t="s">
        <v>25761</v>
      </c>
      <c r="I4521">
        <v>904</v>
      </c>
      <c r="J4521" t="s">
        <v>25762</v>
      </c>
      <c r="K4521" t="s">
        <v>19157</v>
      </c>
      <c r="L4521" s="7" t="s">
        <v>25763</v>
      </c>
      <c r="M4521" t="s">
        <v>25764</v>
      </c>
      <c r="N4521">
        <v>104</v>
      </c>
      <c r="O4521">
        <v>96</v>
      </c>
      <c r="P4521">
        <v>8</v>
      </c>
      <c r="Q4521">
        <v>104</v>
      </c>
      <c r="R4521">
        <v>96</v>
      </c>
      <c r="S4521">
        <v>8</v>
      </c>
      <c r="T4521">
        <v>0</v>
      </c>
      <c r="U4521" t="s">
        <v>25765</v>
      </c>
      <c r="V4521">
        <f>Tabla1[[#This Row],[Aboard]]-Tabla1[[#This Row],[Fatalities]]</f>
        <v>0</v>
      </c>
      <c r="W4521" s="50">
        <f>IFERROR(Tabla1[[#This Row],[Fatalities]]/Tabla1[[#This Row],[Aboard]],0)</f>
        <v>1</v>
      </c>
      <c r="X4521" s="51" t="str" cm="1">
        <f t="array" ref="X4521">_xlfn.IFS(Tabla1[[#This Row],[Porcentaje de muertes]]&lt;0.35,"LEVE",AND(Tabla1[[#This Row],[Porcentaje de muertes]]&gt;0.35,Tabla1[[#This Row],[Porcentaje de muertes]]&lt;0.65),"MEDIO",Tabla1[[#This Row],[Porcentaje de muertes]]&gt;0.65,"GRAVE")</f>
        <v>GRAVE</v>
      </c>
    </row>
    <row r="4522" spans="2:24" x14ac:dyDescent="0.3">
      <c r="B4522" s="9">
        <v>4522</v>
      </c>
      <c r="C4522" s="49">
        <v>38413</v>
      </c>
      <c r="D4522" s="9">
        <f>YEAR(Tabla1[[#This Row],[Date]])</f>
        <v>2005</v>
      </c>
      <c r="E4522" s="9" t="str" cm="1">
        <f t="array" ref="E4522">IFERROR(_xlfn.IFS(AND(D4522&lt;1980,D4522&gt;=1970),"70",AND(D4522&lt;1990,D4522&gt;=1980),"80",AND(D4522&lt;2000,D4522&gt;=1990),"90",AND(D4522&lt;2010,D4522&gt;=2000),"00",AND(D4522&lt;=2019,D4522&gt;=2010),"10"),"1908-1970")</f>
        <v>00</v>
      </c>
      <c r="F4522" s="3">
        <v>0.33819444444444446</v>
      </c>
      <c r="G4522" t="s">
        <v>19336</v>
      </c>
      <c r="H4522" t="s">
        <v>25766</v>
      </c>
      <c r="I4522" t="s">
        <v>28931</v>
      </c>
      <c r="J4522" t="s">
        <v>25767</v>
      </c>
      <c r="K4522" t="s">
        <v>21608</v>
      </c>
      <c r="L4522" s="7" t="s">
        <v>25768</v>
      </c>
      <c r="M4522">
        <v>23438122</v>
      </c>
      <c r="N4522">
        <v>7</v>
      </c>
      <c r="O4522">
        <v>0</v>
      </c>
      <c r="P4522">
        <v>7</v>
      </c>
      <c r="Q4522">
        <v>7</v>
      </c>
      <c r="R4522">
        <v>0</v>
      </c>
      <c r="S4522">
        <v>7</v>
      </c>
      <c r="T4522">
        <v>0</v>
      </c>
      <c r="U4522" t="s">
        <v>25769</v>
      </c>
      <c r="V4522">
        <f>Tabla1[[#This Row],[Aboard]]-Tabla1[[#This Row],[Fatalities]]</f>
        <v>0</v>
      </c>
      <c r="W4522" s="50">
        <f>IFERROR(Tabla1[[#This Row],[Fatalities]]/Tabla1[[#This Row],[Aboard]],0)</f>
        <v>1</v>
      </c>
      <c r="X4522" s="51" t="str" cm="1">
        <f t="array" ref="X4522">_xlfn.IFS(Tabla1[[#This Row],[Porcentaje de muertes]]&lt;0.35,"LEVE",AND(Tabla1[[#This Row],[Porcentaje de muertes]]&gt;0.35,Tabla1[[#This Row],[Porcentaje de muertes]]&lt;0.65),"MEDIO",Tabla1[[#This Row],[Porcentaje de muertes]]&gt;0.65,"GRAVE")</f>
        <v>GRAVE</v>
      </c>
    </row>
    <row r="4523" spans="2:24" x14ac:dyDescent="0.3">
      <c r="B4523" s="9">
        <v>4523</v>
      </c>
      <c r="C4523" s="49">
        <v>38399</v>
      </c>
      <c r="D4523" s="9">
        <f>YEAR(Tabla1[[#This Row],[Date]])</f>
        <v>2005</v>
      </c>
      <c r="E4523" s="9" t="str" cm="1">
        <f t="array" ref="E4523">IFERROR(_xlfn.IFS(AND(D4523&lt;1980,D4523&gt;=1970),"70",AND(D4523&lt;1990,D4523&gt;=1980),"80",AND(D4523&lt;2000,D4523&gt;=1990),"90",AND(D4523&lt;2010,D4523&gt;=2000),"00",AND(D4523&lt;=2019,D4523&gt;=2010),"10"),"1908-1970")</f>
        <v>00</v>
      </c>
      <c r="F4523" s="3">
        <v>0.3840277777777778</v>
      </c>
      <c r="G4523" t="s">
        <v>19271</v>
      </c>
      <c r="H4523" t="s">
        <v>25770</v>
      </c>
      <c r="I4523" t="s">
        <v>28931</v>
      </c>
      <c r="J4523" t="s">
        <v>25771</v>
      </c>
      <c r="K4523" t="s">
        <v>25772</v>
      </c>
      <c r="L4523" s="7" t="s">
        <v>25773</v>
      </c>
      <c r="M4523" t="s">
        <v>25774</v>
      </c>
      <c r="N4523">
        <v>8</v>
      </c>
      <c r="O4523">
        <v>6</v>
      </c>
      <c r="P4523">
        <v>2</v>
      </c>
      <c r="Q4523">
        <v>8</v>
      </c>
      <c r="R4523">
        <v>6</v>
      </c>
      <c r="S4523">
        <v>2</v>
      </c>
      <c r="T4523">
        <v>0</v>
      </c>
      <c r="U4523" t="s">
        <v>25775</v>
      </c>
      <c r="V4523">
        <f>Tabla1[[#This Row],[Aboard]]-Tabla1[[#This Row],[Fatalities]]</f>
        <v>0</v>
      </c>
      <c r="W4523" s="50">
        <f>IFERROR(Tabla1[[#This Row],[Fatalities]]/Tabla1[[#This Row],[Aboard]],0)</f>
        <v>1</v>
      </c>
      <c r="X4523" s="51" t="str" cm="1">
        <f t="array" ref="X4523">_xlfn.IFS(Tabla1[[#This Row],[Porcentaje de muertes]]&lt;0.35,"LEVE",AND(Tabla1[[#This Row],[Porcentaje de muertes]]&gt;0.35,Tabla1[[#This Row],[Porcentaje de muertes]]&lt;0.65),"MEDIO",Tabla1[[#This Row],[Porcentaje de muertes]]&gt;0.65,"GRAVE")</f>
        <v>GRAVE</v>
      </c>
    </row>
    <row r="4524" spans="2:24" x14ac:dyDescent="0.3">
      <c r="B4524" s="9">
        <v>4524</v>
      </c>
      <c r="C4524" s="49">
        <v>38405</v>
      </c>
      <c r="D4524" s="9">
        <f>YEAR(Tabla1[[#This Row],[Date]])</f>
        <v>2005</v>
      </c>
      <c r="E4524" s="9" t="str" cm="1">
        <f t="array" ref="E4524">IFERROR(_xlfn.IFS(AND(D4524&lt;1980,D4524&gt;=1970),"70",AND(D4524&lt;1990,D4524&gt;=1980),"80",AND(D4524&lt;2000,D4524&gt;=1990),"90",AND(D4524&lt;2010,D4524&gt;=2000),"00",AND(D4524&lt;=2019,D4524&gt;=2010),"10"),"1908-1970")</f>
        <v>00</v>
      </c>
      <c r="F4524" s="3">
        <v>0.55694444444444446</v>
      </c>
      <c r="G4524" t="s">
        <v>25776</v>
      </c>
      <c r="H4524" t="s">
        <v>20340</v>
      </c>
      <c r="I4524" t="s">
        <v>28931</v>
      </c>
      <c r="J4524" t="s">
        <v>25777</v>
      </c>
      <c r="K4524" t="s">
        <v>20975</v>
      </c>
      <c r="L4524" s="7" t="s">
        <v>25778</v>
      </c>
      <c r="M4524">
        <v>174</v>
      </c>
      <c r="N4524">
        <v>13</v>
      </c>
      <c r="O4524">
        <v>10</v>
      </c>
      <c r="P4524">
        <v>3</v>
      </c>
      <c r="Q4524">
        <v>2</v>
      </c>
      <c r="R4524">
        <v>0</v>
      </c>
      <c r="S4524">
        <v>2</v>
      </c>
      <c r="T4524">
        <v>0</v>
      </c>
      <c r="U4524" t="s">
        <v>25779</v>
      </c>
      <c r="V4524">
        <f>Tabla1[[#This Row],[Aboard]]-Tabla1[[#This Row],[Fatalities]]</f>
        <v>11</v>
      </c>
      <c r="W4524" s="50">
        <f>IFERROR(Tabla1[[#This Row],[Fatalities]]/Tabla1[[#This Row],[Aboard]],0)</f>
        <v>0.15384615384615385</v>
      </c>
      <c r="X4524" s="51" t="str" cm="1">
        <f t="array" ref="X4524">_xlfn.IFS(Tabla1[[#This Row],[Porcentaje de muertes]]&lt;0.35,"LEVE",AND(Tabla1[[#This Row],[Porcentaje de muertes]]&gt;0.35,Tabla1[[#This Row],[Porcentaje de muertes]]&lt;0.65),"MEDIO",Tabla1[[#This Row],[Porcentaje de muertes]]&gt;0.65,"GRAVE")</f>
        <v>LEVE</v>
      </c>
    </row>
    <row r="4525" spans="2:24" x14ac:dyDescent="0.3">
      <c r="B4525" s="9">
        <v>4525</v>
      </c>
      <c r="C4525" s="49">
        <v>38405</v>
      </c>
      <c r="D4525" s="9">
        <f>YEAR(Tabla1[[#This Row],[Date]])</f>
        <v>2005</v>
      </c>
      <c r="E4525" s="9" t="str" cm="1">
        <f t="array" ref="E4525">IFERROR(_xlfn.IFS(AND(D4525&lt;1980,D4525&gt;=1970),"70",AND(D4525&lt;1990,D4525&gt;=1980),"80",AND(D4525&lt;2000,D4525&gt;=1990),"90",AND(D4525&lt;2010,D4525&gt;=2000),"00",AND(D4525&lt;=2019,D4525&gt;=2010),"10"),"1908-1970")</f>
        <v>00</v>
      </c>
      <c r="F4525" s="3">
        <v>0.30208333333333331</v>
      </c>
      <c r="G4525" t="s">
        <v>25780</v>
      </c>
      <c r="H4525" t="s">
        <v>25781</v>
      </c>
      <c r="I4525" t="s">
        <v>28931</v>
      </c>
      <c r="J4525" t="s">
        <v>25782</v>
      </c>
      <c r="K4525" t="s">
        <v>25783</v>
      </c>
      <c r="L4525" s="7" t="s">
        <v>25784</v>
      </c>
      <c r="M4525" t="s">
        <v>28931</v>
      </c>
      <c r="N4525">
        <v>18</v>
      </c>
      <c r="O4525">
        <v>14</v>
      </c>
      <c r="P4525">
        <v>4</v>
      </c>
      <c r="Q4525">
        <v>15</v>
      </c>
      <c r="R4525">
        <v>11</v>
      </c>
      <c r="S4525">
        <v>4</v>
      </c>
      <c r="T4525">
        <v>0</v>
      </c>
      <c r="U4525" t="s">
        <v>25785</v>
      </c>
      <c r="V4525">
        <f>Tabla1[[#This Row],[Aboard]]-Tabla1[[#This Row],[Fatalities]]</f>
        <v>3</v>
      </c>
      <c r="W4525" s="50">
        <f>IFERROR(Tabla1[[#This Row],[Fatalities]]/Tabla1[[#This Row],[Aboard]],0)</f>
        <v>0.83333333333333337</v>
      </c>
      <c r="X4525" s="51" t="str" cm="1">
        <f t="array" ref="X4525">_xlfn.IFS(Tabla1[[#This Row],[Porcentaje de muertes]]&lt;0.35,"LEVE",AND(Tabla1[[#This Row],[Porcentaje de muertes]]&gt;0.35,Tabla1[[#This Row],[Porcentaje de muertes]]&lt;0.65),"MEDIO",Tabla1[[#This Row],[Porcentaje de muertes]]&gt;0.65,"GRAVE")</f>
        <v>GRAVE</v>
      </c>
    </row>
    <row r="4526" spans="2:24" x14ac:dyDescent="0.3">
      <c r="B4526" s="9">
        <v>4526</v>
      </c>
      <c r="C4526" s="49">
        <v>38567</v>
      </c>
      <c r="D4526" s="9">
        <f>YEAR(Tabla1[[#This Row],[Date]])</f>
        <v>2005</v>
      </c>
      <c r="E4526" s="9" t="str" cm="1">
        <f t="array" ref="E4526">IFERROR(_xlfn.IFS(AND(D4526&lt;1980,D4526&gt;=1970),"70",AND(D4526&lt;1990,D4526&gt;=1980),"80",AND(D4526&lt;2000,D4526&gt;=1990),"90",AND(D4526&lt;2010,D4526&gt;=2000),"00",AND(D4526&lt;=2019,D4526&gt;=2010),"10"),"1908-1970")</f>
        <v>00</v>
      </c>
      <c r="F4526" s="3">
        <v>0.39097222222222222</v>
      </c>
      <c r="G4526" t="s">
        <v>25786</v>
      </c>
      <c r="H4526" t="s">
        <v>25787</v>
      </c>
      <c r="I4526" t="s">
        <v>28931</v>
      </c>
      <c r="J4526" t="s">
        <v>25788</v>
      </c>
      <c r="K4526" t="s">
        <v>17222</v>
      </c>
      <c r="L4526" s="7" t="s">
        <v>25789</v>
      </c>
      <c r="M4526" t="s">
        <v>25790</v>
      </c>
      <c r="N4526">
        <v>2</v>
      </c>
      <c r="O4526">
        <v>0</v>
      </c>
      <c r="P4526">
        <v>2</v>
      </c>
      <c r="Q4526">
        <v>2</v>
      </c>
      <c r="R4526">
        <v>0</v>
      </c>
      <c r="S4526">
        <v>2</v>
      </c>
      <c r="T4526">
        <v>0</v>
      </c>
      <c r="U4526" t="s">
        <v>25791</v>
      </c>
      <c r="V4526">
        <f>Tabla1[[#This Row],[Aboard]]-Tabla1[[#This Row],[Fatalities]]</f>
        <v>0</v>
      </c>
      <c r="W4526" s="50">
        <f>IFERROR(Tabla1[[#This Row],[Fatalities]]/Tabla1[[#This Row],[Aboard]],0)</f>
        <v>1</v>
      </c>
      <c r="X4526" s="51" t="str" cm="1">
        <f t="array" ref="X4526">_xlfn.IFS(Tabla1[[#This Row],[Porcentaje de muertes]]&lt;0.35,"LEVE",AND(Tabla1[[#This Row],[Porcentaje de muertes]]&gt;0.35,Tabla1[[#This Row],[Porcentaje de muertes]]&lt;0.65),"MEDIO",Tabla1[[#This Row],[Porcentaje de muertes]]&gt;0.65,"GRAVE")</f>
        <v>GRAVE</v>
      </c>
    </row>
    <row r="4527" spans="2:24" x14ac:dyDescent="0.3">
      <c r="B4527" s="9">
        <v>4527</v>
      </c>
      <c r="C4527" s="49">
        <v>38426</v>
      </c>
      <c r="D4527" s="9">
        <f>YEAR(Tabla1[[#This Row],[Date]])</f>
        <v>2005</v>
      </c>
      <c r="E4527" s="9" t="str" cm="1">
        <f t="array" ref="E4527">IFERROR(_xlfn.IFS(AND(D4527&lt;1980,D4527&gt;=1970),"70",AND(D4527&lt;1990,D4527&gt;=1980),"80",AND(D4527&lt;2000,D4527&gt;=1990),"90",AND(D4527&lt;2010,D4527&gt;=2000),"00",AND(D4527&lt;=2019,D4527&gt;=2010),"10"),"1908-1970")</f>
        <v>00</v>
      </c>
      <c r="F4527" s="3">
        <v>1.0416666666666666E-2</v>
      </c>
      <c r="G4527" t="s">
        <v>25792</v>
      </c>
      <c r="H4527" t="s">
        <v>20117</v>
      </c>
      <c r="I4527" t="s">
        <v>28931</v>
      </c>
      <c r="J4527" t="s">
        <v>25793</v>
      </c>
      <c r="K4527" t="s">
        <v>25794</v>
      </c>
      <c r="L4527" s="7" t="s">
        <v>25795</v>
      </c>
      <c r="M4527">
        <v>2205</v>
      </c>
      <c r="N4527">
        <v>2</v>
      </c>
      <c r="O4527">
        <v>1</v>
      </c>
      <c r="P4527">
        <v>1</v>
      </c>
      <c r="Q4527">
        <v>2</v>
      </c>
      <c r="R4527">
        <v>1</v>
      </c>
      <c r="S4527">
        <v>1</v>
      </c>
      <c r="T4527">
        <v>0</v>
      </c>
      <c r="U4527" t="s">
        <v>25796</v>
      </c>
      <c r="V4527">
        <f>Tabla1[[#This Row],[Aboard]]-Tabla1[[#This Row],[Fatalities]]</f>
        <v>0</v>
      </c>
      <c r="W4527" s="50">
        <f>IFERROR(Tabla1[[#This Row],[Fatalities]]/Tabla1[[#This Row],[Aboard]],0)</f>
        <v>1</v>
      </c>
      <c r="X4527" s="51" t="str" cm="1">
        <f t="array" ref="X4527">_xlfn.IFS(Tabla1[[#This Row],[Porcentaje de muertes]]&lt;0.35,"LEVE",AND(Tabla1[[#This Row],[Porcentaje de muertes]]&gt;0.35,Tabla1[[#This Row],[Porcentaje de muertes]]&lt;0.65),"MEDIO",Tabla1[[#This Row],[Porcentaje de muertes]]&gt;0.65,"GRAVE")</f>
        <v>GRAVE</v>
      </c>
    </row>
    <row r="4528" spans="2:24" x14ac:dyDescent="0.3">
      <c r="B4528" s="9">
        <v>4528</v>
      </c>
      <c r="C4528" s="49">
        <v>38427</v>
      </c>
      <c r="D4528" s="9">
        <f>YEAR(Tabla1[[#This Row],[Date]])</f>
        <v>2005</v>
      </c>
      <c r="E4528" s="9" t="str" cm="1">
        <f t="array" ref="E4528">IFERROR(_xlfn.IFS(AND(D4528&lt;1980,D4528&gt;=1970),"70",AND(D4528&lt;1990,D4528&gt;=1980),"80",AND(D4528&lt;2000,D4528&gt;=1990),"90",AND(D4528&lt;2010,D4528&gt;=2000),"00",AND(D4528&lt;=2019,D4528&gt;=2010),"10"),"1908-1970")</f>
        <v>00</v>
      </c>
      <c r="F4528" s="3">
        <v>0.58124999999999993</v>
      </c>
      <c r="G4528" t="s">
        <v>25797</v>
      </c>
      <c r="H4528" t="s">
        <v>25798</v>
      </c>
      <c r="I4528" t="s">
        <v>28931</v>
      </c>
      <c r="J4528" t="s">
        <v>25799</v>
      </c>
      <c r="K4528" t="s">
        <v>25800</v>
      </c>
      <c r="L4528" s="7" t="s">
        <v>25801</v>
      </c>
      <c r="M4528">
        <v>27308107</v>
      </c>
      <c r="N4528">
        <v>52</v>
      </c>
      <c r="O4528">
        <v>45</v>
      </c>
      <c r="P4528">
        <v>7</v>
      </c>
      <c r="Q4528">
        <v>28</v>
      </c>
      <c r="R4528">
        <v>26</v>
      </c>
      <c r="S4528">
        <v>2</v>
      </c>
      <c r="T4528">
        <v>0</v>
      </c>
      <c r="U4528" t="s">
        <v>25802</v>
      </c>
      <c r="V4528">
        <f>Tabla1[[#This Row],[Aboard]]-Tabla1[[#This Row],[Fatalities]]</f>
        <v>24</v>
      </c>
      <c r="W4528" s="50">
        <f>IFERROR(Tabla1[[#This Row],[Fatalities]]/Tabla1[[#This Row],[Aboard]],0)</f>
        <v>0.53846153846153844</v>
      </c>
      <c r="X4528" s="51" t="str" cm="1">
        <f t="array" ref="X4528">_xlfn.IFS(Tabla1[[#This Row],[Porcentaje de muertes]]&lt;0.35,"LEVE",AND(Tabla1[[#This Row],[Porcentaje de muertes]]&gt;0.35,Tabla1[[#This Row],[Porcentaje de muertes]]&lt;0.65),"MEDIO",Tabla1[[#This Row],[Porcentaje de muertes]]&gt;0.65,"GRAVE")</f>
        <v>MEDIO</v>
      </c>
    </row>
    <row r="4529" spans="2:24" x14ac:dyDescent="0.3">
      <c r="B4529" s="9">
        <v>4529</v>
      </c>
      <c r="C4529" s="49">
        <v>38434</v>
      </c>
      <c r="D4529" s="9">
        <f>YEAR(Tabla1[[#This Row],[Date]])</f>
        <v>2005</v>
      </c>
      <c r="E4529" s="9" t="str" cm="1">
        <f t="array" ref="E4529">IFERROR(_xlfn.IFS(AND(D4529&lt;1980,D4529&gt;=1970),"70",AND(D4529&lt;1990,D4529&gt;=1980),"80",AND(D4529&lt;2000,D4529&gt;=1990),"90",AND(D4529&lt;2010,D4529&gt;=2000),"00",AND(D4529&lt;=2019,D4529&gt;=2010),"10"),"1908-1970")</f>
        <v>00</v>
      </c>
      <c r="F4529" s="3">
        <v>0.96319444444444446</v>
      </c>
      <c r="G4529" t="s">
        <v>25803</v>
      </c>
      <c r="H4529" t="s">
        <v>9309</v>
      </c>
      <c r="I4529" t="s">
        <v>28931</v>
      </c>
      <c r="J4529" t="s">
        <v>25804</v>
      </c>
      <c r="K4529" t="s">
        <v>21092</v>
      </c>
      <c r="L4529" s="7" t="s">
        <v>25805</v>
      </c>
      <c r="M4529">
        <v>43454623</v>
      </c>
      <c r="N4529">
        <v>8</v>
      </c>
      <c r="O4529">
        <v>0</v>
      </c>
      <c r="P4529">
        <v>8</v>
      </c>
      <c r="Q4529">
        <v>8</v>
      </c>
      <c r="R4529">
        <v>0</v>
      </c>
      <c r="S4529">
        <v>8</v>
      </c>
      <c r="T4529">
        <v>0</v>
      </c>
      <c r="U4529" t="s">
        <v>25806</v>
      </c>
      <c r="V4529">
        <f>Tabla1[[#This Row],[Aboard]]-Tabla1[[#This Row],[Fatalities]]</f>
        <v>0</v>
      </c>
      <c r="W4529" s="50">
        <f>IFERROR(Tabla1[[#This Row],[Fatalities]]/Tabla1[[#This Row],[Aboard]],0)</f>
        <v>1</v>
      </c>
      <c r="X4529" s="51" t="str" cm="1">
        <f t="array" ref="X4529">_xlfn.IFS(Tabla1[[#This Row],[Porcentaje de muertes]]&lt;0.35,"LEVE",AND(Tabla1[[#This Row],[Porcentaje de muertes]]&gt;0.35,Tabla1[[#This Row],[Porcentaje de muertes]]&lt;0.65),"MEDIO",Tabla1[[#This Row],[Porcentaje de muertes]]&gt;0.65,"GRAVE")</f>
        <v>GRAVE</v>
      </c>
    </row>
    <row r="4530" spans="2:24" x14ac:dyDescent="0.3">
      <c r="B4530" s="9">
        <v>4530</v>
      </c>
      <c r="C4530" s="49">
        <v>38437</v>
      </c>
      <c r="D4530" s="9">
        <f>YEAR(Tabla1[[#This Row],[Date]])</f>
        <v>2005</v>
      </c>
      <c r="E4530" s="9" t="str" cm="1">
        <f t="array" ref="E4530">IFERROR(_xlfn.IFS(AND(D4530&lt;1980,D4530&gt;=1970),"70",AND(D4530&lt;1990,D4530&gt;=1980),"80",AND(D4530&lt;2000,D4530&gt;=1990),"90",AND(D4530&lt;2010,D4530&gt;=2000),"00",AND(D4530&lt;=2019,D4530&gt;=2010),"10"),"1908-1970")</f>
        <v>00</v>
      </c>
      <c r="F4530" s="3">
        <v>0.42708333333333331</v>
      </c>
      <c r="G4530" t="s">
        <v>25807</v>
      </c>
      <c r="H4530" t="s">
        <v>25808</v>
      </c>
      <c r="I4530" t="s">
        <v>28931</v>
      </c>
      <c r="J4530" t="s">
        <v>25809</v>
      </c>
      <c r="K4530" t="s">
        <v>25810</v>
      </c>
      <c r="L4530" s="7" t="s">
        <v>25811</v>
      </c>
      <c r="M4530">
        <v>902426</v>
      </c>
      <c r="N4530">
        <v>14</v>
      </c>
      <c r="O4530">
        <v>12</v>
      </c>
      <c r="P4530">
        <v>2</v>
      </c>
      <c r="Q4530">
        <v>8</v>
      </c>
      <c r="R4530">
        <v>6</v>
      </c>
      <c r="S4530">
        <v>2</v>
      </c>
      <c r="T4530">
        <v>0</v>
      </c>
      <c r="U4530" t="s">
        <v>25812</v>
      </c>
      <c r="V4530">
        <f>Tabla1[[#This Row],[Aboard]]-Tabla1[[#This Row],[Fatalities]]</f>
        <v>6</v>
      </c>
      <c r="W4530" s="50">
        <f>IFERROR(Tabla1[[#This Row],[Fatalities]]/Tabla1[[#This Row],[Aboard]],0)</f>
        <v>0.5714285714285714</v>
      </c>
      <c r="X4530" s="51" t="str" cm="1">
        <f t="array" ref="X4530">_xlfn.IFS(Tabla1[[#This Row],[Porcentaje de muertes]]&lt;0.35,"LEVE",AND(Tabla1[[#This Row],[Porcentaje de muertes]]&gt;0.35,Tabla1[[#This Row],[Porcentaje de muertes]]&lt;0.65),"MEDIO",Tabla1[[#This Row],[Porcentaje de muertes]]&gt;0.65,"GRAVE")</f>
        <v>MEDIO</v>
      </c>
    </row>
    <row r="4531" spans="2:24" x14ac:dyDescent="0.3">
      <c r="B4531" s="9">
        <v>4531</v>
      </c>
      <c r="C4531" s="49">
        <v>38442</v>
      </c>
      <c r="D4531" s="9">
        <f>YEAR(Tabla1[[#This Row],[Date]])</f>
        <v>2005</v>
      </c>
      <c r="E4531" s="9" t="str" cm="1">
        <f t="array" ref="E4531">IFERROR(_xlfn.IFS(AND(D4531&lt;1980,D4531&gt;=1970),"70",AND(D4531&lt;1990,D4531&gt;=1980),"80",AND(D4531&lt;2000,D4531&gt;=1990),"90",AND(D4531&lt;2010,D4531&gt;=2000),"00",AND(D4531&lt;=2019,D4531&gt;=2010),"10"),"1908-1970")</f>
        <v>00</v>
      </c>
      <c r="F4531" s="3">
        <v>0.83333333333333337</v>
      </c>
      <c r="G4531" t="s">
        <v>25813</v>
      </c>
      <c r="H4531" t="s">
        <v>7987</v>
      </c>
      <c r="I4531" t="s">
        <v>28931</v>
      </c>
      <c r="J4531" t="s">
        <v>6190</v>
      </c>
      <c r="K4531" t="s">
        <v>25814</v>
      </c>
      <c r="L4531" s="7" t="s">
        <v>25815</v>
      </c>
      <c r="M4531">
        <v>5118</v>
      </c>
      <c r="N4531">
        <v>9</v>
      </c>
      <c r="O4531">
        <v>0</v>
      </c>
      <c r="P4531">
        <v>9</v>
      </c>
      <c r="Q4531">
        <v>9</v>
      </c>
      <c r="R4531">
        <v>0</v>
      </c>
      <c r="S4531">
        <v>9</v>
      </c>
      <c r="T4531">
        <v>0</v>
      </c>
      <c r="U4531" t="s">
        <v>25816</v>
      </c>
      <c r="V4531">
        <f>Tabla1[[#This Row],[Aboard]]-Tabla1[[#This Row],[Fatalities]]</f>
        <v>0</v>
      </c>
      <c r="W4531" s="50">
        <f>IFERROR(Tabla1[[#This Row],[Fatalities]]/Tabla1[[#This Row],[Aboard]],0)</f>
        <v>1</v>
      </c>
      <c r="X4531" s="51" t="str" cm="1">
        <f t="array" ref="X4531">_xlfn.IFS(Tabla1[[#This Row],[Porcentaje de muertes]]&lt;0.35,"LEVE",AND(Tabla1[[#This Row],[Porcentaje de muertes]]&gt;0.35,Tabla1[[#This Row],[Porcentaje de muertes]]&lt;0.65),"MEDIO",Tabla1[[#This Row],[Porcentaje de muertes]]&gt;0.65,"GRAVE")</f>
        <v>GRAVE</v>
      </c>
    </row>
    <row r="4532" spans="2:24" x14ac:dyDescent="0.3">
      <c r="B4532" s="9">
        <v>4532</v>
      </c>
      <c r="C4532" s="49">
        <v>38690</v>
      </c>
      <c r="D4532" s="9">
        <f>YEAR(Tabla1[[#This Row],[Date]])</f>
        <v>2005</v>
      </c>
      <c r="E4532" s="9" t="str" cm="1">
        <f t="array" ref="E4532">IFERROR(_xlfn.IFS(AND(D4532&lt;1980,D4532&gt;=1970),"70",AND(D4532&lt;1990,D4532&gt;=1980),"80",AND(D4532&lt;2000,D4532&gt;=1990),"90",AND(D4532&lt;2010,D4532&gt;=2000),"00",AND(D4532&lt;=2019,D4532&gt;=2010),"10"),"1908-1970")</f>
        <v>00</v>
      </c>
      <c r="F4532" s="3">
        <v>0.50694444444444442</v>
      </c>
      <c r="G4532" t="s">
        <v>25817</v>
      </c>
      <c r="H4532" t="s">
        <v>25818</v>
      </c>
      <c r="I4532" t="s">
        <v>28931</v>
      </c>
      <c r="J4532" t="s">
        <v>25819</v>
      </c>
      <c r="K4532" t="s">
        <v>14888</v>
      </c>
      <c r="L4532" s="7" t="s">
        <v>25820</v>
      </c>
      <c r="M4532">
        <v>23</v>
      </c>
      <c r="N4532">
        <v>18</v>
      </c>
      <c r="O4532">
        <v>15</v>
      </c>
      <c r="P4532">
        <v>3</v>
      </c>
      <c r="Q4532">
        <v>18</v>
      </c>
      <c r="R4532">
        <v>15</v>
      </c>
      <c r="S4532">
        <v>3</v>
      </c>
      <c r="T4532">
        <v>0</v>
      </c>
      <c r="U4532" t="s">
        <v>25821</v>
      </c>
      <c r="V4532">
        <f>Tabla1[[#This Row],[Aboard]]-Tabla1[[#This Row],[Fatalities]]</f>
        <v>0</v>
      </c>
      <c r="W4532" s="50">
        <f>IFERROR(Tabla1[[#This Row],[Fatalities]]/Tabla1[[#This Row],[Aboard]],0)</f>
        <v>1</v>
      </c>
      <c r="X4532" s="51" t="str" cm="1">
        <f t="array" ref="X4532">_xlfn.IFS(Tabla1[[#This Row],[Porcentaje de muertes]]&lt;0.35,"LEVE",AND(Tabla1[[#This Row],[Porcentaje de muertes]]&gt;0.35,Tabla1[[#This Row],[Porcentaje de muertes]]&lt;0.65),"MEDIO",Tabla1[[#This Row],[Porcentaje de muertes]]&gt;0.65,"GRAVE")</f>
        <v>GRAVE</v>
      </c>
    </row>
    <row r="4533" spans="2:24" x14ac:dyDescent="0.3">
      <c r="B4533" s="9">
        <v>4533</v>
      </c>
      <c r="C4533" s="49">
        <v>38462</v>
      </c>
      <c r="D4533" s="9">
        <f>YEAR(Tabla1[[#This Row],[Date]])</f>
        <v>2005</v>
      </c>
      <c r="E4533" s="9" t="str" cm="1">
        <f t="array" ref="E4533">IFERROR(_xlfn.IFS(AND(D4533&lt;1980,D4533&gt;=1970),"70",AND(D4533&lt;1990,D4533&gt;=1980),"80",AND(D4533&lt;2000,D4533&gt;=1990),"90",AND(D4533&lt;2010,D4533&gt;=2000),"00",AND(D4533&lt;=2019,D4533&gt;=2010),"10"),"1908-1970")</f>
        <v>00</v>
      </c>
      <c r="F4533" s="3">
        <v>0.92708333333333337</v>
      </c>
      <c r="G4533" t="s">
        <v>10175</v>
      </c>
      <c r="H4533" t="s">
        <v>21892</v>
      </c>
      <c r="I4533" t="s">
        <v>28931</v>
      </c>
      <c r="J4533" t="s">
        <v>25822</v>
      </c>
      <c r="K4533" t="s">
        <v>25823</v>
      </c>
      <c r="L4533" s="7" t="s">
        <v>25824</v>
      </c>
      <c r="M4533" t="s">
        <v>25825</v>
      </c>
      <c r="N4533">
        <v>169</v>
      </c>
      <c r="O4533">
        <v>157</v>
      </c>
      <c r="P4533">
        <v>12</v>
      </c>
      <c r="Q4533">
        <v>3</v>
      </c>
      <c r="R4533">
        <v>3</v>
      </c>
      <c r="S4533">
        <v>0</v>
      </c>
      <c r="T4533">
        <v>0</v>
      </c>
      <c r="U4533" t="s">
        <v>25826</v>
      </c>
      <c r="V4533">
        <f>Tabla1[[#This Row],[Aboard]]-Tabla1[[#This Row],[Fatalities]]</f>
        <v>166</v>
      </c>
      <c r="W4533" s="50">
        <f>IFERROR(Tabla1[[#This Row],[Fatalities]]/Tabla1[[#This Row],[Aboard]],0)</f>
        <v>1.7751479289940829E-2</v>
      </c>
      <c r="X4533" s="51" t="str" cm="1">
        <f t="array" ref="X4533">_xlfn.IFS(Tabla1[[#This Row],[Porcentaje de muertes]]&lt;0.35,"LEVE",AND(Tabla1[[#This Row],[Porcentaje de muertes]]&gt;0.35,Tabla1[[#This Row],[Porcentaje de muertes]]&lt;0.65),"MEDIO",Tabla1[[#This Row],[Porcentaje de muertes]]&gt;0.65,"GRAVE")</f>
        <v>LEVE</v>
      </c>
    </row>
    <row r="4534" spans="2:24" x14ac:dyDescent="0.3">
      <c r="B4534" s="9">
        <v>4534</v>
      </c>
      <c r="C4534" s="49">
        <v>38463</v>
      </c>
      <c r="D4534" s="9">
        <f>YEAR(Tabla1[[#This Row],[Date]])</f>
        <v>2005</v>
      </c>
      <c r="E4534" s="9" t="str" cm="1">
        <f t="array" ref="E4534">IFERROR(_xlfn.IFS(AND(D4534&lt;1980,D4534&gt;=1970),"70",AND(D4534&lt;1990,D4534&gt;=1980),"80",AND(D4534&lt;2000,D4534&gt;=1990),"90",AND(D4534&lt;2010,D4534&gt;=2000),"00",AND(D4534&lt;=2019,D4534&gt;=2010),"10"),"1908-1970")</f>
        <v>00</v>
      </c>
      <c r="F4534" s="3" t="s">
        <v>28931</v>
      </c>
      <c r="G4534" t="s">
        <v>25827</v>
      </c>
      <c r="H4534" t="s">
        <v>25828</v>
      </c>
      <c r="I4534" t="s">
        <v>28931</v>
      </c>
      <c r="J4534" t="s">
        <v>28931</v>
      </c>
      <c r="K4534" t="s">
        <v>22172</v>
      </c>
      <c r="L4534" s="7" t="s">
        <v>28931</v>
      </c>
      <c r="M4534" t="s">
        <v>28931</v>
      </c>
      <c r="N4534">
        <v>11</v>
      </c>
      <c r="O4534" t="s">
        <v>5038</v>
      </c>
      <c r="P4534" t="s">
        <v>5038</v>
      </c>
      <c r="Q4534">
        <v>11</v>
      </c>
      <c r="R4534" t="s">
        <v>5038</v>
      </c>
      <c r="S4534" t="s">
        <v>5038</v>
      </c>
      <c r="T4534">
        <v>0</v>
      </c>
      <c r="U4534" t="s">
        <v>11237</v>
      </c>
      <c r="V4534">
        <f>Tabla1[[#This Row],[Aboard]]-Tabla1[[#This Row],[Fatalities]]</f>
        <v>0</v>
      </c>
      <c r="W4534" s="50">
        <f>IFERROR(Tabla1[[#This Row],[Fatalities]]/Tabla1[[#This Row],[Aboard]],0)</f>
        <v>1</v>
      </c>
      <c r="X4534" s="51" t="str" cm="1">
        <f t="array" ref="X4534">_xlfn.IFS(Tabla1[[#This Row],[Porcentaje de muertes]]&lt;0.35,"LEVE",AND(Tabla1[[#This Row],[Porcentaje de muertes]]&gt;0.35,Tabla1[[#This Row],[Porcentaje de muertes]]&lt;0.65),"MEDIO",Tabla1[[#This Row],[Porcentaje de muertes]]&gt;0.65,"GRAVE")</f>
        <v>GRAVE</v>
      </c>
    </row>
    <row r="4535" spans="2:24" x14ac:dyDescent="0.3">
      <c r="B4535" s="9">
        <v>4535</v>
      </c>
      <c r="C4535" s="49">
        <v>38470</v>
      </c>
      <c r="D4535" s="9">
        <f>YEAR(Tabla1[[#This Row],[Date]])</f>
        <v>2005</v>
      </c>
      <c r="E4535" s="9" t="str" cm="1">
        <f t="array" ref="E4535">IFERROR(_xlfn.IFS(AND(D4535&lt;1980,D4535&gt;=1970),"70",AND(D4535&lt;1990,D4535&gt;=1980),"80",AND(D4535&lt;2000,D4535&gt;=1990),"90",AND(D4535&lt;2010,D4535&gt;=2000),"00",AND(D4535&lt;=2019,D4535&gt;=2010),"10"),"1908-1970")</f>
        <v>00</v>
      </c>
      <c r="F4535" s="3">
        <v>0.4777777777777778</v>
      </c>
      <c r="G4535" t="s">
        <v>25829</v>
      </c>
      <c r="H4535" t="s">
        <v>25830</v>
      </c>
      <c r="I4535" t="s">
        <v>28931</v>
      </c>
      <c r="J4535" t="s">
        <v>6190</v>
      </c>
      <c r="K4535" t="s">
        <v>20760</v>
      </c>
      <c r="L4535" s="7" t="s">
        <v>25831</v>
      </c>
      <c r="M4535">
        <v>790304</v>
      </c>
      <c r="N4535">
        <v>13</v>
      </c>
      <c r="O4535">
        <v>11</v>
      </c>
      <c r="P4535">
        <v>2</v>
      </c>
      <c r="Q4535">
        <v>13</v>
      </c>
      <c r="R4535">
        <v>11</v>
      </c>
      <c r="S4535">
        <v>2</v>
      </c>
      <c r="T4535">
        <v>0</v>
      </c>
      <c r="U4535" t="s">
        <v>25832</v>
      </c>
      <c r="V4535">
        <f>Tabla1[[#This Row],[Aboard]]-Tabla1[[#This Row],[Fatalities]]</f>
        <v>0</v>
      </c>
      <c r="W4535" s="50">
        <f>IFERROR(Tabla1[[#This Row],[Fatalities]]/Tabla1[[#This Row],[Aboard]],0)</f>
        <v>1</v>
      </c>
      <c r="X4535" s="51" t="str" cm="1">
        <f t="array" ref="X4535">_xlfn.IFS(Tabla1[[#This Row],[Porcentaje de muertes]]&lt;0.35,"LEVE",AND(Tabla1[[#This Row],[Porcentaje de muertes]]&gt;0.35,Tabla1[[#This Row],[Porcentaje de muertes]]&lt;0.65),"MEDIO",Tabla1[[#This Row],[Porcentaje de muertes]]&gt;0.65,"GRAVE")</f>
        <v>GRAVE</v>
      </c>
    </row>
    <row r="4536" spans="2:24" x14ac:dyDescent="0.3">
      <c r="B4536" s="9">
        <v>4536</v>
      </c>
      <c r="C4536" s="49">
        <v>38388</v>
      </c>
      <c r="D4536" s="9">
        <f>YEAR(Tabla1[[#This Row],[Date]])</f>
        <v>2005</v>
      </c>
      <c r="E4536" s="9" t="str" cm="1">
        <f t="array" ref="E4536">IFERROR(_xlfn.IFS(AND(D4536&lt;1980,D4536&gt;=1970),"70",AND(D4536&lt;1990,D4536&gt;=1980),"80",AND(D4536&lt;2000,D4536&gt;=1990),"90",AND(D4536&lt;2010,D4536&gt;=2000),"00",AND(D4536&lt;=2019,D4536&gt;=2010),"10"),"1908-1970")</f>
        <v>00</v>
      </c>
      <c r="F4536" s="3">
        <v>0.92638888888888893</v>
      </c>
      <c r="G4536" t="s">
        <v>25833</v>
      </c>
      <c r="H4536" t="s">
        <v>25834</v>
      </c>
      <c r="I4536">
        <v>23</v>
      </c>
      <c r="J4536" t="s">
        <v>25835</v>
      </c>
      <c r="K4536" t="s">
        <v>19274</v>
      </c>
      <c r="L4536" s="7" t="s">
        <v>25836</v>
      </c>
      <c r="M4536" t="s">
        <v>25837</v>
      </c>
      <c r="N4536">
        <v>2</v>
      </c>
      <c r="O4536">
        <v>0</v>
      </c>
      <c r="P4536">
        <v>2</v>
      </c>
      <c r="Q4536">
        <v>2</v>
      </c>
      <c r="R4536">
        <v>0</v>
      </c>
      <c r="S4536">
        <v>2</v>
      </c>
      <c r="T4536">
        <v>0</v>
      </c>
      <c r="U4536" t="s">
        <v>25838</v>
      </c>
      <c r="V4536">
        <f>Tabla1[[#This Row],[Aboard]]-Tabla1[[#This Row],[Fatalities]]</f>
        <v>0</v>
      </c>
      <c r="W4536" s="50">
        <f>IFERROR(Tabla1[[#This Row],[Fatalities]]/Tabla1[[#This Row],[Aboard]],0)</f>
        <v>1</v>
      </c>
      <c r="X4536" s="51" t="str" cm="1">
        <f t="array" ref="X4536">_xlfn.IFS(Tabla1[[#This Row],[Porcentaje de muertes]]&lt;0.35,"LEVE",AND(Tabla1[[#This Row],[Porcentaje de muertes]]&gt;0.35,Tabla1[[#This Row],[Porcentaje de muertes]]&lt;0.65),"MEDIO",Tabla1[[#This Row],[Porcentaje de muertes]]&gt;0.65,"GRAVE")</f>
        <v>GRAVE</v>
      </c>
    </row>
    <row r="4537" spans="2:24" x14ac:dyDescent="0.3">
      <c r="B4537" s="9">
        <v>4537</v>
      </c>
      <c r="C4537" s="49">
        <v>38477</v>
      </c>
      <c r="D4537" s="9">
        <f>YEAR(Tabla1[[#This Row],[Date]])</f>
        <v>2005</v>
      </c>
      <c r="E4537" s="9" t="str" cm="1">
        <f t="array" ref="E4537">IFERROR(_xlfn.IFS(AND(D4537&lt;1980,D4537&gt;=1970),"70",AND(D4537&lt;1990,D4537&gt;=1980),"80",AND(D4537&lt;2000,D4537&gt;=1990),"90",AND(D4537&lt;2010,D4537&gt;=2000),"00",AND(D4537&lt;=2019,D4537&gt;=2010),"10"),"1908-1970")</f>
        <v>00</v>
      </c>
      <c r="F4537" s="3">
        <v>0.5625</v>
      </c>
      <c r="G4537" t="s">
        <v>25839</v>
      </c>
      <c r="H4537" t="s">
        <v>25840</v>
      </c>
      <c r="I4537" t="s">
        <v>28931</v>
      </c>
      <c r="J4537" t="s">
        <v>25841</v>
      </c>
      <c r="K4537" t="s">
        <v>17904</v>
      </c>
      <c r="L4537" s="7" t="s">
        <v>25842</v>
      </c>
      <c r="M4537">
        <v>17311107</v>
      </c>
      <c r="N4537">
        <v>11</v>
      </c>
      <c r="O4537">
        <v>7</v>
      </c>
      <c r="P4537">
        <v>4</v>
      </c>
      <c r="Q4537">
        <v>10</v>
      </c>
      <c r="R4537">
        <v>6</v>
      </c>
      <c r="S4537">
        <v>4</v>
      </c>
      <c r="T4537">
        <v>0</v>
      </c>
      <c r="U4537" t="s">
        <v>25843</v>
      </c>
      <c r="V4537">
        <f>Tabla1[[#This Row],[Aboard]]-Tabla1[[#This Row],[Fatalities]]</f>
        <v>1</v>
      </c>
      <c r="W4537" s="50">
        <f>IFERROR(Tabla1[[#This Row],[Fatalities]]/Tabla1[[#This Row],[Aboard]],0)</f>
        <v>0.90909090909090906</v>
      </c>
      <c r="X4537" s="51" t="str" cm="1">
        <f t="array" ref="X4537">_xlfn.IFS(Tabla1[[#This Row],[Porcentaje de muertes]]&lt;0.35,"LEVE",AND(Tabla1[[#This Row],[Porcentaje de muertes]]&gt;0.35,Tabla1[[#This Row],[Porcentaje de muertes]]&lt;0.65),"MEDIO",Tabla1[[#This Row],[Porcentaje de muertes]]&gt;0.65,"GRAVE")</f>
        <v>GRAVE</v>
      </c>
    </row>
    <row r="4538" spans="2:24" x14ac:dyDescent="0.3">
      <c r="B4538" s="9">
        <v>4538</v>
      </c>
      <c r="C4538" s="49">
        <v>38538</v>
      </c>
      <c r="D4538" s="9">
        <f>YEAR(Tabla1[[#This Row],[Date]])</f>
        <v>2005</v>
      </c>
      <c r="E4538" s="9" t="str" cm="1">
        <f t="array" ref="E4538">IFERROR(_xlfn.IFS(AND(D4538&lt;1980,D4538&gt;=1970),"70",AND(D4538&lt;1990,D4538&gt;=1980),"80",AND(D4538&lt;2000,D4538&gt;=1990),"90",AND(D4538&lt;2010,D4538&gt;=2000),"00",AND(D4538&lt;=2019,D4538&gt;=2010),"10"),"1908-1970")</f>
        <v>00</v>
      </c>
      <c r="F4538" s="3">
        <v>0.48958333333333331</v>
      </c>
      <c r="G4538" t="s">
        <v>25844</v>
      </c>
      <c r="H4538" t="s">
        <v>25845</v>
      </c>
      <c r="I4538" t="s">
        <v>28931</v>
      </c>
      <c r="J4538" t="s">
        <v>25846</v>
      </c>
      <c r="K4538" t="s">
        <v>21979</v>
      </c>
      <c r="L4538" s="7" t="s">
        <v>25847</v>
      </c>
      <c r="M4538" t="s">
        <v>25848</v>
      </c>
      <c r="N4538">
        <v>15</v>
      </c>
      <c r="O4538">
        <v>13</v>
      </c>
      <c r="P4538">
        <v>2</v>
      </c>
      <c r="Q4538">
        <v>15</v>
      </c>
      <c r="R4538">
        <v>13</v>
      </c>
      <c r="S4538">
        <v>2</v>
      </c>
      <c r="T4538">
        <v>0</v>
      </c>
      <c r="U4538" t="s">
        <v>25849</v>
      </c>
      <c r="V4538">
        <f>Tabla1[[#This Row],[Aboard]]-Tabla1[[#This Row],[Fatalities]]</f>
        <v>0</v>
      </c>
      <c r="W4538" s="50">
        <f>IFERROR(Tabla1[[#This Row],[Fatalities]]/Tabla1[[#This Row],[Aboard]],0)</f>
        <v>1</v>
      </c>
      <c r="X4538" s="51" t="str" cm="1">
        <f t="array" ref="X4538">_xlfn.IFS(Tabla1[[#This Row],[Porcentaje de muertes]]&lt;0.35,"LEVE",AND(Tabla1[[#This Row],[Porcentaje de muertes]]&gt;0.35,Tabla1[[#This Row],[Porcentaje de muertes]]&lt;0.65),"MEDIO",Tabla1[[#This Row],[Porcentaje de muertes]]&gt;0.65,"GRAVE")</f>
        <v>GRAVE</v>
      </c>
    </row>
    <row r="4539" spans="2:24" x14ac:dyDescent="0.3">
      <c r="B4539" s="9">
        <v>4539</v>
      </c>
      <c r="C4539" s="49">
        <v>38488</v>
      </c>
      <c r="D4539" s="9">
        <f>YEAR(Tabla1[[#This Row],[Date]])</f>
        <v>2005</v>
      </c>
      <c r="E4539" s="9" t="str" cm="1">
        <f t="array" ref="E4539">IFERROR(_xlfn.IFS(AND(D4539&lt;1980,D4539&gt;=1970),"70",AND(D4539&lt;1990,D4539&gt;=1980),"80",AND(D4539&lt;2000,D4539&gt;=1990),"90",AND(D4539&lt;2010,D4539&gt;=2000),"00",AND(D4539&lt;=2019,D4539&gt;=2010),"10"),"1908-1970")</f>
        <v>00</v>
      </c>
      <c r="F4539" s="3">
        <v>0.51388888888888895</v>
      </c>
      <c r="G4539" t="s">
        <v>25850</v>
      </c>
      <c r="H4539" t="s">
        <v>25851</v>
      </c>
      <c r="I4539" t="s">
        <v>28931</v>
      </c>
      <c r="J4539" t="s">
        <v>25852</v>
      </c>
      <c r="K4539" t="s">
        <v>25853</v>
      </c>
      <c r="L4539" s="7" t="s">
        <v>25854</v>
      </c>
      <c r="M4539" t="s">
        <v>25855</v>
      </c>
      <c r="N4539">
        <v>10</v>
      </c>
      <c r="O4539">
        <v>9</v>
      </c>
      <c r="P4539">
        <v>1</v>
      </c>
      <c r="Q4539">
        <v>10</v>
      </c>
      <c r="R4539">
        <v>9</v>
      </c>
      <c r="S4539">
        <v>1</v>
      </c>
      <c r="T4539">
        <v>0</v>
      </c>
      <c r="U4539" t="s">
        <v>25856</v>
      </c>
      <c r="V4539">
        <f>Tabla1[[#This Row],[Aboard]]-Tabla1[[#This Row],[Fatalities]]</f>
        <v>0</v>
      </c>
      <c r="W4539" s="50">
        <f>IFERROR(Tabla1[[#This Row],[Fatalities]]/Tabla1[[#This Row],[Aboard]],0)</f>
        <v>1</v>
      </c>
      <c r="X4539" s="51" t="str" cm="1">
        <f t="array" ref="X4539">_xlfn.IFS(Tabla1[[#This Row],[Porcentaje de muertes]]&lt;0.35,"LEVE",AND(Tabla1[[#This Row],[Porcentaje de muertes]]&gt;0.35,Tabla1[[#This Row],[Porcentaje de muertes]]&lt;0.65),"MEDIO",Tabla1[[#This Row],[Porcentaje de muertes]]&gt;0.65,"GRAVE")</f>
        <v>GRAVE</v>
      </c>
    </row>
    <row r="4540" spans="2:24" x14ac:dyDescent="0.3">
      <c r="B4540" s="9">
        <v>4540</v>
      </c>
      <c r="C4540" s="49">
        <v>38490</v>
      </c>
      <c r="D4540" s="9">
        <f>YEAR(Tabla1[[#This Row],[Date]])</f>
        <v>2005</v>
      </c>
      <c r="E4540" s="9" t="str" cm="1">
        <f t="array" ref="E4540">IFERROR(_xlfn.IFS(AND(D4540&lt;1980,D4540&gt;=1970),"70",AND(D4540&lt;1990,D4540&gt;=1980),"80",AND(D4540&lt;2000,D4540&gt;=1990),"90",AND(D4540&lt;2010,D4540&gt;=2000),"00",AND(D4540&lt;=2019,D4540&gt;=2010),"10"),"1908-1970")</f>
        <v>00</v>
      </c>
      <c r="F4540" s="3">
        <v>0.56041666666666667</v>
      </c>
      <c r="G4540" t="s">
        <v>25857</v>
      </c>
      <c r="H4540" t="s">
        <v>25858</v>
      </c>
      <c r="I4540" t="s">
        <v>28931</v>
      </c>
      <c r="J4540" t="s">
        <v>25859</v>
      </c>
      <c r="K4540" t="s">
        <v>25860</v>
      </c>
      <c r="L4540" s="7" t="s">
        <v>25861</v>
      </c>
      <c r="M4540">
        <v>89</v>
      </c>
      <c r="N4540">
        <v>13</v>
      </c>
      <c r="O4540">
        <v>8</v>
      </c>
      <c r="P4540">
        <v>5</v>
      </c>
      <c r="Q4540">
        <v>13</v>
      </c>
      <c r="R4540">
        <v>8</v>
      </c>
      <c r="S4540">
        <v>5</v>
      </c>
      <c r="T4540">
        <v>0</v>
      </c>
      <c r="U4540" t="s">
        <v>25862</v>
      </c>
      <c r="V4540">
        <f>Tabla1[[#This Row],[Aboard]]-Tabla1[[#This Row],[Fatalities]]</f>
        <v>0</v>
      </c>
      <c r="W4540" s="50">
        <f>IFERROR(Tabla1[[#This Row],[Fatalities]]/Tabla1[[#This Row],[Aboard]],0)</f>
        <v>1</v>
      </c>
      <c r="X4540" s="51" t="str" cm="1">
        <f t="array" ref="X4540">_xlfn.IFS(Tabla1[[#This Row],[Porcentaje de muertes]]&lt;0.35,"LEVE",AND(Tabla1[[#This Row],[Porcentaje de muertes]]&gt;0.35,Tabla1[[#This Row],[Porcentaje de muertes]]&lt;0.65),"MEDIO",Tabla1[[#This Row],[Porcentaje de muertes]]&gt;0.65,"GRAVE")</f>
        <v>GRAVE</v>
      </c>
    </row>
    <row r="4541" spans="2:24" x14ac:dyDescent="0.3">
      <c r="B4541" s="9">
        <v>4541</v>
      </c>
      <c r="C4541" s="49">
        <v>38497</v>
      </c>
      <c r="D4541" s="9">
        <f>YEAR(Tabla1[[#This Row],[Date]])</f>
        <v>2005</v>
      </c>
      <c r="E4541" s="9" t="str" cm="1">
        <f t="array" ref="E4541">IFERROR(_xlfn.IFS(AND(D4541&lt;1980,D4541&gt;=1970),"70",AND(D4541&lt;1990,D4541&gt;=1980),"80",AND(D4541&lt;2000,D4541&gt;=1990),"90",AND(D4541&lt;2010,D4541&gt;=2000),"00",AND(D4541&lt;=2019,D4541&gt;=2010),"10"),"1908-1970")</f>
        <v>00</v>
      </c>
      <c r="F4541" s="3" t="s">
        <v>28931</v>
      </c>
      <c r="G4541" t="s">
        <v>25863</v>
      </c>
      <c r="H4541" t="s">
        <v>25864</v>
      </c>
      <c r="I4541" t="s">
        <v>28931</v>
      </c>
      <c r="J4541" t="s">
        <v>25865</v>
      </c>
      <c r="K4541" t="s">
        <v>15139</v>
      </c>
      <c r="L4541" s="7" t="s">
        <v>25866</v>
      </c>
      <c r="M4541">
        <v>4342404</v>
      </c>
      <c r="N4541">
        <v>27</v>
      </c>
      <c r="O4541">
        <v>22</v>
      </c>
      <c r="P4541">
        <v>5</v>
      </c>
      <c r="Q4541">
        <v>27</v>
      </c>
      <c r="R4541">
        <v>22</v>
      </c>
      <c r="S4541">
        <v>5</v>
      </c>
      <c r="T4541">
        <v>0</v>
      </c>
      <c r="U4541" t="s">
        <v>25867</v>
      </c>
      <c r="V4541">
        <f>Tabla1[[#This Row],[Aboard]]-Tabla1[[#This Row],[Fatalities]]</f>
        <v>0</v>
      </c>
      <c r="W4541" s="50">
        <f>IFERROR(Tabla1[[#This Row],[Fatalities]]/Tabla1[[#This Row],[Aboard]],0)</f>
        <v>1</v>
      </c>
      <c r="X4541" s="51" t="str" cm="1">
        <f t="array" ref="X4541">_xlfn.IFS(Tabla1[[#This Row],[Porcentaje de muertes]]&lt;0.35,"LEVE",AND(Tabla1[[#This Row],[Porcentaje de muertes]]&gt;0.35,Tabla1[[#This Row],[Porcentaje de muertes]]&lt;0.65),"MEDIO",Tabla1[[#This Row],[Porcentaje de muertes]]&gt;0.65,"GRAVE")</f>
        <v>GRAVE</v>
      </c>
    </row>
    <row r="4542" spans="2:24" x14ac:dyDescent="0.3">
      <c r="B4542" s="9">
        <v>4542</v>
      </c>
      <c r="C4542" s="49">
        <v>38389</v>
      </c>
      <c r="D4542" s="9">
        <f>YEAR(Tabla1[[#This Row],[Date]])</f>
        <v>2005</v>
      </c>
      <c r="E4542" s="9" t="str" cm="1">
        <f t="array" ref="E4542">IFERROR(_xlfn.IFS(AND(D4542&lt;1980,D4542&gt;=1970),"70",AND(D4542&lt;1990,D4542&gt;=1980),"80",AND(D4542&lt;2000,D4542&gt;=1990),"90",AND(D4542&lt;2010,D4542&gt;=2000),"00",AND(D4542&lt;=2019,D4542&gt;=2010),"10"),"1908-1970")</f>
        <v>00</v>
      </c>
      <c r="F4542" s="3">
        <v>0.46875</v>
      </c>
      <c r="G4542" t="s">
        <v>25868</v>
      </c>
      <c r="H4542" t="s">
        <v>25869</v>
      </c>
      <c r="I4542">
        <v>430</v>
      </c>
      <c r="J4542" t="s">
        <v>25870</v>
      </c>
      <c r="K4542" t="s">
        <v>14666</v>
      </c>
      <c r="L4542" s="7" t="s">
        <v>25871</v>
      </c>
      <c r="M4542">
        <v>6991004</v>
      </c>
      <c r="N4542">
        <v>42</v>
      </c>
      <c r="O4542">
        <v>36</v>
      </c>
      <c r="P4542">
        <v>6</v>
      </c>
      <c r="Q4542">
        <v>7</v>
      </c>
      <c r="R4542">
        <v>6</v>
      </c>
      <c r="S4542">
        <v>1</v>
      </c>
      <c r="T4542">
        <v>0</v>
      </c>
      <c r="U4542" t="s">
        <v>25872</v>
      </c>
      <c r="V4542">
        <f>Tabla1[[#This Row],[Aboard]]-Tabla1[[#This Row],[Fatalities]]</f>
        <v>35</v>
      </c>
      <c r="W4542" s="50">
        <f>IFERROR(Tabla1[[#This Row],[Fatalities]]/Tabla1[[#This Row],[Aboard]],0)</f>
        <v>0.16666666666666666</v>
      </c>
      <c r="X4542" s="51" t="str" cm="1">
        <f t="array" ref="X4542">_xlfn.IFS(Tabla1[[#This Row],[Porcentaje de muertes]]&lt;0.35,"LEVE",AND(Tabla1[[#This Row],[Porcentaje de muertes]]&gt;0.35,Tabla1[[#This Row],[Porcentaje de muertes]]&lt;0.65),"MEDIO",Tabla1[[#This Row],[Porcentaje de muertes]]&gt;0.65,"GRAVE")</f>
        <v>LEVE</v>
      </c>
    </row>
    <row r="4543" spans="2:24" x14ac:dyDescent="0.3">
      <c r="B4543" s="9">
        <v>4543</v>
      </c>
      <c r="C4543" s="49">
        <v>38549</v>
      </c>
      <c r="D4543" s="9">
        <f>YEAR(Tabla1[[#This Row],[Date]])</f>
        <v>2005</v>
      </c>
      <c r="E4543" s="9" t="str" cm="1">
        <f t="array" ref="E4543">IFERROR(_xlfn.IFS(AND(D4543&lt;1980,D4543&gt;=1970),"70",AND(D4543&lt;1990,D4543&gt;=1980),"80",AND(D4543&lt;2000,D4543&gt;=1990),"90",AND(D4543&lt;2010,D4543&gt;=2000),"00",AND(D4543&lt;=2019,D4543&gt;=2010),"10"),"1908-1970")</f>
        <v>00</v>
      </c>
      <c r="F4543" s="3">
        <v>0.41666666666666669</v>
      </c>
      <c r="G4543" t="s">
        <v>25873</v>
      </c>
      <c r="H4543" t="s">
        <v>25874</v>
      </c>
      <c r="I4543" t="s">
        <v>28931</v>
      </c>
      <c r="J4543" t="s">
        <v>25875</v>
      </c>
      <c r="K4543" t="s">
        <v>14666</v>
      </c>
      <c r="L4543" s="7" t="s">
        <v>25876</v>
      </c>
      <c r="M4543">
        <v>79901104</v>
      </c>
      <c r="N4543">
        <v>60</v>
      </c>
      <c r="O4543">
        <v>54</v>
      </c>
      <c r="P4543">
        <v>6</v>
      </c>
      <c r="Q4543">
        <v>60</v>
      </c>
      <c r="R4543">
        <v>54</v>
      </c>
      <c r="S4543">
        <v>6</v>
      </c>
      <c r="T4543">
        <v>0</v>
      </c>
      <c r="U4543" t="s">
        <v>25877</v>
      </c>
      <c r="V4543">
        <f>Tabla1[[#This Row],[Aboard]]-Tabla1[[#This Row],[Fatalities]]</f>
        <v>0</v>
      </c>
      <c r="W4543" s="50">
        <f>IFERROR(Tabla1[[#This Row],[Fatalities]]/Tabla1[[#This Row],[Aboard]],0)</f>
        <v>1</v>
      </c>
      <c r="X4543" s="51" t="str" cm="1">
        <f t="array" ref="X4543">_xlfn.IFS(Tabla1[[#This Row],[Porcentaje de muertes]]&lt;0.35,"LEVE",AND(Tabla1[[#This Row],[Porcentaje de muertes]]&gt;0.35,Tabla1[[#This Row],[Porcentaje de muertes]]&lt;0.65),"MEDIO",Tabla1[[#This Row],[Porcentaje de muertes]]&gt;0.65,"GRAVE")</f>
        <v>GRAVE</v>
      </c>
    </row>
    <row r="4544" spans="2:24" x14ac:dyDescent="0.3">
      <c r="B4544" s="9">
        <v>4544</v>
      </c>
      <c r="C4544" s="49">
        <v>38391</v>
      </c>
      <c r="D4544" s="9">
        <f>YEAR(Tabla1[[#This Row],[Date]])</f>
        <v>2005</v>
      </c>
      <c r="E4544" s="9" t="str" cm="1">
        <f t="array" ref="E4544">IFERROR(_xlfn.IFS(AND(D4544&lt;1980,D4544&gt;=1970),"70",AND(D4544&lt;1990,D4544&gt;=1980),"80",AND(D4544&lt;2000,D4544&gt;=1990),"90",AND(D4544&lt;2010,D4544&gt;=2000),"00",AND(D4544&lt;=2019,D4544&gt;=2010),"10"),"1908-1970")</f>
        <v>00</v>
      </c>
      <c r="F4544" s="3">
        <v>0.6694444444444444</v>
      </c>
      <c r="G4544" t="s">
        <v>15910</v>
      </c>
      <c r="H4544" t="s">
        <v>6375</v>
      </c>
      <c r="I4544">
        <v>358</v>
      </c>
      <c r="J4544" t="s">
        <v>25878</v>
      </c>
      <c r="K4544" t="s">
        <v>25879</v>
      </c>
      <c r="L4544" s="7" t="s">
        <v>25880</v>
      </c>
      <c r="M4544">
        <v>289</v>
      </c>
      <c r="N4544">
        <v>309</v>
      </c>
      <c r="O4544">
        <v>297</v>
      </c>
      <c r="P4544">
        <v>12</v>
      </c>
      <c r="Q4544">
        <v>0</v>
      </c>
      <c r="R4544">
        <v>0</v>
      </c>
      <c r="S4544">
        <v>0</v>
      </c>
      <c r="T4544">
        <v>0</v>
      </c>
      <c r="U4544" t="s">
        <v>25881</v>
      </c>
      <c r="V4544">
        <f>Tabla1[[#This Row],[Aboard]]-Tabla1[[#This Row],[Fatalities]]</f>
        <v>309</v>
      </c>
      <c r="W4544" s="50">
        <f>IFERROR(Tabla1[[#This Row],[Fatalities]]/Tabla1[[#This Row],[Aboard]],0)</f>
        <v>0</v>
      </c>
      <c r="X4544" s="51" t="str" cm="1">
        <f t="array" ref="X4544">_xlfn.IFS(Tabla1[[#This Row],[Porcentaje de muertes]]&lt;0.35,"LEVE",AND(Tabla1[[#This Row],[Porcentaje de muertes]]&gt;0.35,Tabla1[[#This Row],[Porcentaje de muertes]]&lt;0.65),"MEDIO",Tabla1[[#This Row],[Porcentaje de muertes]]&gt;0.65,"GRAVE")</f>
        <v>LEVE</v>
      </c>
    </row>
    <row r="4545" spans="2:24" x14ac:dyDescent="0.3">
      <c r="B4545" s="9">
        <v>4545</v>
      </c>
      <c r="C4545" s="49">
        <v>38511</v>
      </c>
      <c r="D4545" s="9">
        <f>YEAR(Tabla1[[#This Row],[Date]])</f>
        <v>2005</v>
      </c>
      <c r="E4545" s="9" t="str" cm="1">
        <f t="array" ref="E4545">IFERROR(_xlfn.IFS(AND(D4545&lt;1980,D4545&gt;=1970),"70",AND(D4545&lt;1990,D4545&gt;=1980),"80",AND(D4545&lt;2000,D4545&gt;=1990),"90",AND(D4545&lt;2010,D4545&gt;=2000),"00",AND(D4545&lt;=2019,D4545&gt;=2010),"10"),"1908-1970")</f>
        <v>00</v>
      </c>
      <c r="F4545" s="3">
        <v>0.65277777777777779</v>
      </c>
      <c r="G4545" t="s">
        <v>25882</v>
      </c>
      <c r="H4545" t="s">
        <v>25883</v>
      </c>
      <c r="I4545">
        <v>1153</v>
      </c>
      <c r="J4545" t="s">
        <v>25884</v>
      </c>
      <c r="K4545" t="s">
        <v>25885</v>
      </c>
      <c r="L4545" s="7" t="s">
        <v>25886</v>
      </c>
      <c r="M4545">
        <v>258</v>
      </c>
      <c r="N4545">
        <v>39</v>
      </c>
      <c r="O4545">
        <v>35</v>
      </c>
      <c r="P4545">
        <v>4</v>
      </c>
      <c r="Q4545">
        <v>16</v>
      </c>
      <c r="R4545">
        <v>14</v>
      </c>
      <c r="S4545">
        <v>2</v>
      </c>
      <c r="T4545">
        <v>0</v>
      </c>
      <c r="U4545" t="s">
        <v>25887</v>
      </c>
      <c r="V4545">
        <f>Tabla1[[#This Row],[Aboard]]-Tabla1[[#This Row],[Fatalities]]</f>
        <v>23</v>
      </c>
      <c r="W4545" s="50">
        <f>IFERROR(Tabla1[[#This Row],[Fatalities]]/Tabla1[[#This Row],[Aboard]],0)</f>
        <v>0.41025641025641024</v>
      </c>
      <c r="X4545" s="51" t="str" cm="1">
        <f t="array" ref="X4545">_xlfn.IFS(Tabla1[[#This Row],[Porcentaje de muertes]]&lt;0.35,"LEVE",AND(Tabla1[[#This Row],[Porcentaje de muertes]]&gt;0.35,Tabla1[[#This Row],[Porcentaje de muertes]]&lt;0.65),"MEDIO",Tabla1[[#This Row],[Porcentaje de muertes]]&gt;0.65,"GRAVE")</f>
        <v>MEDIO</v>
      </c>
    </row>
    <row r="4546" spans="2:24" x14ac:dyDescent="0.3">
      <c r="B4546" s="9">
        <v>4546</v>
      </c>
      <c r="C4546" s="49">
        <v>38633</v>
      </c>
      <c r="D4546" s="9">
        <f>YEAR(Tabla1[[#This Row],[Date]])</f>
        <v>2005</v>
      </c>
      <c r="E4546" s="9" t="str" cm="1">
        <f t="array" ref="E4546">IFERROR(_xlfn.IFS(AND(D4546&lt;1980,D4546&gt;=1970),"70",AND(D4546&lt;1990,D4546&gt;=1980),"80",AND(D4546&lt;2000,D4546&gt;=1990),"90",AND(D4546&lt;2010,D4546&gt;=2000),"00",AND(D4546&lt;=2019,D4546&gt;=2010),"10"),"1908-1970")</f>
        <v>00</v>
      </c>
      <c r="F4546" s="3">
        <v>0.52986111111111112</v>
      </c>
      <c r="G4546" t="s">
        <v>25888</v>
      </c>
      <c r="H4546" t="s">
        <v>25889</v>
      </c>
      <c r="I4546" t="s">
        <v>28931</v>
      </c>
      <c r="J4546" t="s">
        <v>25890</v>
      </c>
      <c r="K4546" t="s">
        <v>25891</v>
      </c>
      <c r="L4546" s="7" t="s">
        <v>25892</v>
      </c>
      <c r="M4546">
        <v>760508</v>
      </c>
      <c r="N4546">
        <v>14</v>
      </c>
      <c r="O4546">
        <v>12</v>
      </c>
      <c r="P4546">
        <v>2</v>
      </c>
      <c r="Q4546">
        <v>14</v>
      </c>
      <c r="R4546">
        <v>12</v>
      </c>
      <c r="S4546">
        <v>2</v>
      </c>
      <c r="T4546">
        <v>0</v>
      </c>
      <c r="U4546" t="s">
        <v>25893</v>
      </c>
      <c r="V4546">
        <f>Tabla1[[#This Row],[Aboard]]-Tabla1[[#This Row],[Fatalities]]</f>
        <v>0</v>
      </c>
      <c r="W4546" s="50">
        <f>IFERROR(Tabla1[[#This Row],[Fatalities]]/Tabla1[[#This Row],[Aboard]],0)</f>
        <v>1</v>
      </c>
      <c r="X4546" s="51" t="str" cm="1">
        <f t="array" ref="X4546">_xlfn.IFS(Tabla1[[#This Row],[Porcentaje de muertes]]&lt;0.35,"LEVE",AND(Tabla1[[#This Row],[Porcentaje de muertes]]&gt;0.35,Tabla1[[#This Row],[Porcentaje de muertes]]&lt;0.65),"MEDIO",Tabla1[[#This Row],[Porcentaje de muertes]]&gt;0.65,"GRAVE")</f>
        <v>GRAVE</v>
      </c>
    </row>
    <row r="4547" spans="2:24" x14ac:dyDescent="0.3">
      <c r="B4547" s="9">
        <v>4547</v>
      </c>
      <c r="C4547" s="49">
        <v>38578</v>
      </c>
      <c r="D4547" s="9">
        <f>YEAR(Tabla1[[#This Row],[Date]])</f>
        <v>2005</v>
      </c>
      <c r="E4547" s="9" t="str" cm="1">
        <f t="array" ref="E4547">IFERROR(_xlfn.IFS(AND(D4547&lt;1980,D4547&gt;=1970),"70",AND(D4547&lt;1990,D4547&gt;=1980),"80",AND(D4547&lt;2000,D4547&gt;=1990),"90",AND(D4547&lt;2010,D4547&gt;=2000),"00",AND(D4547&lt;=2019,D4547&gt;=2010),"10"),"1908-1970")</f>
        <v>00</v>
      </c>
      <c r="F4547" s="3">
        <v>0.51388888888888895</v>
      </c>
      <c r="G4547" t="s">
        <v>25894</v>
      </c>
      <c r="H4547" t="s">
        <v>25895</v>
      </c>
      <c r="I4547">
        <v>522</v>
      </c>
      <c r="J4547" t="s">
        <v>25896</v>
      </c>
      <c r="K4547" t="s">
        <v>25897</v>
      </c>
      <c r="L4547" s="7" t="s">
        <v>25898</v>
      </c>
      <c r="M4547" t="s">
        <v>25899</v>
      </c>
      <c r="N4547">
        <v>121</v>
      </c>
      <c r="O4547">
        <v>115</v>
      </c>
      <c r="P4547">
        <v>6</v>
      </c>
      <c r="Q4547">
        <v>121</v>
      </c>
      <c r="R4547">
        <v>115</v>
      </c>
      <c r="S4547">
        <v>6</v>
      </c>
      <c r="T4547">
        <v>0</v>
      </c>
      <c r="U4547" t="s">
        <v>25900</v>
      </c>
      <c r="V4547">
        <f>Tabla1[[#This Row],[Aboard]]-Tabla1[[#This Row],[Fatalities]]</f>
        <v>0</v>
      </c>
      <c r="W4547" s="50">
        <f>IFERROR(Tabla1[[#This Row],[Fatalities]]/Tabla1[[#This Row],[Aboard]],0)</f>
        <v>1</v>
      </c>
      <c r="X4547" s="51" t="str" cm="1">
        <f t="array" ref="X4547">_xlfn.IFS(Tabla1[[#This Row],[Porcentaje de muertes]]&lt;0.35,"LEVE",AND(Tabla1[[#This Row],[Porcentaje de muertes]]&gt;0.35,Tabla1[[#This Row],[Porcentaje de muertes]]&lt;0.65),"MEDIO",Tabla1[[#This Row],[Porcentaje de muertes]]&gt;0.65,"GRAVE")</f>
        <v>GRAVE</v>
      </c>
    </row>
    <row r="4548" spans="2:24" x14ac:dyDescent="0.3">
      <c r="B4548" s="9">
        <v>4548</v>
      </c>
      <c r="C4548" s="49">
        <v>38580</v>
      </c>
      <c r="D4548" s="9">
        <f>YEAR(Tabla1[[#This Row],[Date]])</f>
        <v>2005</v>
      </c>
      <c r="E4548" s="9" t="str" cm="1">
        <f t="array" ref="E4548">IFERROR(_xlfn.IFS(AND(D4548&lt;1980,D4548&gt;=1970),"70",AND(D4548&lt;1990,D4548&gt;=1980),"80",AND(D4548&lt;2000,D4548&gt;=1990),"90",AND(D4548&lt;2010,D4548&gt;=2000),"00",AND(D4548&lt;=2019,D4548&gt;=2010),"10"),"1908-1970")</f>
        <v>00</v>
      </c>
      <c r="F4548" s="3">
        <v>0.14583333333333334</v>
      </c>
      <c r="G4548" t="s">
        <v>25901</v>
      </c>
      <c r="H4548" t="s">
        <v>25808</v>
      </c>
      <c r="I4548">
        <v>708</v>
      </c>
      <c r="J4548" t="s">
        <v>25902</v>
      </c>
      <c r="K4548" t="s">
        <v>20382</v>
      </c>
      <c r="L4548" s="7" t="s">
        <v>25903</v>
      </c>
      <c r="M4548" t="s">
        <v>25904</v>
      </c>
      <c r="N4548">
        <v>160</v>
      </c>
      <c r="O4548">
        <v>152</v>
      </c>
      <c r="P4548">
        <v>8</v>
      </c>
      <c r="Q4548">
        <v>160</v>
      </c>
      <c r="R4548">
        <v>152</v>
      </c>
      <c r="S4548">
        <v>8</v>
      </c>
      <c r="T4548">
        <v>0</v>
      </c>
      <c r="U4548" t="s">
        <v>25905</v>
      </c>
      <c r="V4548">
        <f>Tabla1[[#This Row],[Aboard]]-Tabla1[[#This Row],[Fatalities]]</f>
        <v>0</v>
      </c>
      <c r="W4548" s="50">
        <f>IFERROR(Tabla1[[#This Row],[Fatalities]]/Tabla1[[#This Row],[Aboard]],0)</f>
        <v>1</v>
      </c>
      <c r="X4548" s="51" t="str" cm="1">
        <f t="array" ref="X4548">_xlfn.IFS(Tabla1[[#This Row],[Porcentaje de muertes]]&lt;0.35,"LEVE",AND(Tabla1[[#This Row],[Porcentaje de muertes]]&gt;0.35,Tabla1[[#This Row],[Porcentaje de muertes]]&lt;0.65),"MEDIO",Tabla1[[#This Row],[Porcentaje de muertes]]&gt;0.65,"GRAVE")</f>
        <v>GRAVE</v>
      </c>
    </row>
    <row r="4549" spans="2:24" x14ac:dyDescent="0.3">
      <c r="B4549" s="9">
        <v>4549</v>
      </c>
      <c r="C4549" s="49">
        <v>38587</v>
      </c>
      <c r="D4549" s="9">
        <f>YEAR(Tabla1[[#This Row],[Date]])</f>
        <v>2005</v>
      </c>
      <c r="E4549" s="9" t="str" cm="1">
        <f t="array" ref="E4549">IFERROR(_xlfn.IFS(AND(D4549&lt;1980,D4549&gt;=1970),"70",AND(D4549&lt;1990,D4549&gt;=1980),"80",AND(D4549&lt;2000,D4549&gt;=1990),"90",AND(D4549&lt;2010,D4549&gt;=2000),"00",AND(D4549&lt;=2019,D4549&gt;=2010),"10"),"1908-1970")</f>
        <v>00</v>
      </c>
      <c r="F4549" s="3">
        <v>0.62916666666666665</v>
      </c>
      <c r="G4549" t="s">
        <v>25906</v>
      </c>
      <c r="H4549" t="s">
        <v>25907</v>
      </c>
      <c r="I4549">
        <v>204</v>
      </c>
      <c r="J4549" t="s">
        <v>25908</v>
      </c>
      <c r="K4549" t="s">
        <v>25909</v>
      </c>
      <c r="L4549" s="7" t="s">
        <v>25910</v>
      </c>
      <c r="M4549" t="s">
        <v>25911</v>
      </c>
      <c r="N4549">
        <v>98</v>
      </c>
      <c r="O4549">
        <v>92</v>
      </c>
      <c r="P4549">
        <v>6</v>
      </c>
      <c r="Q4549">
        <v>40</v>
      </c>
      <c r="R4549">
        <v>36</v>
      </c>
      <c r="S4549">
        <v>4</v>
      </c>
      <c r="T4549">
        <v>0</v>
      </c>
      <c r="U4549" t="s">
        <v>25912</v>
      </c>
      <c r="V4549">
        <f>Tabla1[[#This Row],[Aboard]]-Tabla1[[#This Row],[Fatalities]]</f>
        <v>58</v>
      </c>
      <c r="W4549" s="50">
        <f>IFERROR(Tabla1[[#This Row],[Fatalities]]/Tabla1[[#This Row],[Aboard]],0)</f>
        <v>0.40816326530612246</v>
      </c>
      <c r="X4549" s="51" t="str" cm="1">
        <f t="array" ref="X4549">_xlfn.IFS(Tabla1[[#This Row],[Porcentaje de muertes]]&lt;0.35,"LEVE",AND(Tabla1[[#This Row],[Porcentaje de muertes]]&gt;0.35,Tabla1[[#This Row],[Porcentaje de muertes]]&lt;0.65),"MEDIO",Tabla1[[#This Row],[Porcentaje de muertes]]&gt;0.65,"GRAVE")</f>
        <v>MEDIO</v>
      </c>
    </row>
    <row r="4550" spans="2:24" x14ac:dyDescent="0.3">
      <c r="B4550" s="9">
        <v>4550</v>
      </c>
      <c r="C4550" s="49">
        <v>38481</v>
      </c>
      <c r="D4550" s="9">
        <f>YEAR(Tabla1[[#This Row],[Date]])</f>
        <v>2005</v>
      </c>
      <c r="E4550" s="9" t="str" cm="1">
        <f t="array" ref="E4550">IFERROR(_xlfn.IFS(AND(D4550&lt;1980,D4550&gt;=1970),"70",AND(D4550&lt;1990,D4550&gt;=1980),"80",AND(D4550&lt;2000,D4550&gt;=1990),"90",AND(D4550&lt;2010,D4550&gt;=2000),"00",AND(D4550&lt;=2019,D4550&gt;=2010),"10"),"1908-1970")</f>
        <v>00</v>
      </c>
      <c r="F4550" s="3">
        <v>0.40277777777777773</v>
      </c>
      <c r="G4550" t="s">
        <v>25913</v>
      </c>
      <c r="H4550" t="s">
        <v>21949</v>
      </c>
      <c r="I4550">
        <v>91</v>
      </c>
      <c r="J4550" t="s">
        <v>25914</v>
      </c>
      <c r="K4550" t="s">
        <v>25915</v>
      </c>
      <c r="L4550" s="7" t="s">
        <v>25916</v>
      </c>
      <c r="M4550" t="s">
        <v>25917</v>
      </c>
      <c r="N4550">
        <v>117</v>
      </c>
      <c r="O4550">
        <v>112</v>
      </c>
      <c r="P4550">
        <v>5</v>
      </c>
      <c r="Q4550">
        <v>99</v>
      </c>
      <c r="R4550">
        <v>94</v>
      </c>
      <c r="S4550">
        <v>5</v>
      </c>
      <c r="T4550">
        <v>44</v>
      </c>
      <c r="U4550" t="s">
        <v>25918</v>
      </c>
      <c r="V4550">
        <f>Tabla1[[#This Row],[Aboard]]-Tabla1[[#This Row],[Fatalities]]</f>
        <v>18</v>
      </c>
      <c r="W4550" s="50">
        <f>IFERROR(Tabla1[[#This Row],[Fatalities]]/Tabla1[[#This Row],[Aboard]],0)</f>
        <v>0.84615384615384615</v>
      </c>
      <c r="X4550" s="51" t="str" cm="1">
        <f t="array" ref="X4550">_xlfn.IFS(Tabla1[[#This Row],[Porcentaje de muertes]]&lt;0.35,"LEVE",AND(Tabla1[[#This Row],[Porcentaje de muertes]]&gt;0.35,Tabla1[[#This Row],[Porcentaje de muertes]]&lt;0.65),"MEDIO",Tabla1[[#This Row],[Porcentaje de muertes]]&gt;0.65,"GRAVE")</f>
        <v>GRAVE</v>
      </c>
    </row>
    <row r="4551" spans="2:24" x14ac:dyDescent="0.3">
      <c r="B4551" s="9">
        <v>4551</v>
      </c>
      <c r="C4551" s="49">
        <v>38481</v>
      </c>
      <c r="D4551" s="9">
        <f>YEAR(Tabla1[[#This Row],[Date]])</f>
        <v>2005</v>
      </c>
      <c r="E4551" s="9" t="str" cm="1">
        <f t="array" ref="E4551">IFERROR(_xlfn.IFS(AND(D4551&lt;1980,D4551&gt;=1970),"70",AND(D4551&lt;1990,D4551&gt;=1980),"80",AND(D4551&lt;2000,D4551&gt;=1990),"90",AND(D4551&lt;2010,D4551&gt;=2000),"00",AND(D4551&lt;=2019,D4551&gt;=2010),"10"),"1908-1970")</f>
        <v>00</v>
      </c>
      <c r="F4551" s="3">
        <v>0.3125</v>
      </c>
      <c r="G4551" t="s">
        <v>25919</v>
      </c>
      <c r="H4551" t="s">
        <v>25920</v>
      </c>
      <c r="I4551" t="s">
        <v>28931</v>
      </c>
      <c r="J4551" t="s">
        <v>25921</v>
      </c>
      <c r="K4551" t="s">
        <v>22787</v>
      </c>
      <c r="L4551" s="7" t="s">
        <v>25922</v>
      </c>
      <c r="M4551">
        <v>9005</v>
      </c>
      <c r="N4551">
        <v>11</v>
      </c>
      <c r="O4551">
        <v>7</v>
      </c>
      <c r="P4551">
        <v>4</v>
      </c>
      <c r="Q4551">
        <v>11</v>
      </c>
      <c r="R4551">
        <v>7</v>
      </c>
      <c r="S4551">
        <v>4</v>
      </c>
      <c r="T4551">
        <v>0</v>
      </c>
      <c r="U4551" t="s">
        <v>25923</v>
      </c>
      <c r="V4551">
        <f>Tabla1[[#This Row],[Aboard]]-Tabla1[[#This Row],[Fatalities]]</f>
        <v>0</v>
      </c>
      <c r="W4551" s="50">
        <f>IFERROR(Tabla1[[#This Row],[Fatalities]]/Tabla1[[#This Row],[Aboard]],0)</f>
        <v>1</v>
      </c>
      <c r="X4551" s="51" t="str" cm="1">
        <f t="array" ref="X4551">_xlfn.IFS(Tabla1[[#This Row],[Porcentaje de muertes]]&lt;0.35,"LEVE",AND(Tabla1[[#This Row],[Porcentaje de muertes]]&gt;0.35,Tabla1[[#This Row],[Porcentaje de muertes]]&lt;0.65),"MEDIO",Tabla1[[#This Row],[Porcentaje de muertes]]&gt;0.65,"GRAVE")</f>
        <v>GRAVE</v>
      </c>
    </row>
    <row r="4552" spans="2:24" x14ac:dyDescent="0.3">
      <c r="B4552" s="9">
        <v>4552</v>
      </c>
      <c r="C4552" s="49">
        <v>38604</v>
      </c>
      <c r="D4552" s="9">
        <f>YEAR(Tabla1[[#This Row],[Date]])</f>
        <v>2005</v>
      </c>
      <c r="E4552" s="9" t="str" cm="1">
        <f t="array" ref="E4552">IFERROR(_xlfn.IFS(AND(D4552&lt;1980,D4552&gt;=1970),"70",AND(D4552&lt;1990,D4552&gt;=1980),"80",AND(D4552&lt;2000,D4552&gt;=1990),"90",AND(D4552&lt;2010,D4552&gt;=2000),"00",AND(D4552&lt;=2019,D4552&gt;=2010),"10"),"1908-1970")</f>
        <v>00</v>
      </c>
      <c r="F4552" s="3">
        <v>0.65625</v>
      </c>
      <c r="G4552" t="s">
        <v>25924</v>
      </c>
      <c r="H4552" t="s">
        <v>25925</v>
      </c>
      <c r="I4552" t="s">
        <v>28931</v>
      </c>
      <c r="J4552" t="s">
        <v>25926</v>
      </c>
      <c r="K4552" t="s">
        <v>25927</v>
      </c>
      <c r="L4552" s="7" t="s">
        <v>25928</v>
      </c>
      <c r="M4552">
        <v>37312901</v>
      </c>
      <c r="N4552">
        <v>14</v>
      </c>
      <c r="O4552">
        <v>11</v>
      </c>
      <c r="P4552">
        <v>3</v>
      </c>
      <c r="Q4552">
        <v>14</v>
      </c>
      <c r="R4552">
        <v>11</v>
      </c>
      <c r="S4552">
        <v>3</v>
      </c>
      <c r="T4552">
        <v>0</v>
      </c>
      <c r="U4552" t="s">
        <v>25929</v>
      </c>
      <c r="V4552">
        <f>Tabla1[[#This Row],[Aboard]]-Tabla1[[#This Row],[Fatalities]]</f>
        <v>0</v>
      </c>
      <c r="W4552" s="50">
        <f>IFERROR(Tabla1[[#This Row],[Fatalities]]/Tabla1[[#This Row],[Aboard]],0)</f>
        <v>1</v>
      </c>
      <c r="X4552" s="51" t="str" cm="1">
        <f t="array" ref="X4552">_xlfn.IFS(Tabla1[[#This Row],[Porcentaje de muertes]]&lt;0.35,"LEVE",AND(Tabla1[[#This Row],[Porcentaje de muertes]]&gt;0.35,Tabla1[[#This Row],[Porcentaje de muertes]]&lt;0.65),"MEDIO",Tabla1[[#This Row],[Porcentaje de muertes]]&gt;0.65,"GRAVE")</f>
        <v>GRAVE</v>
      </c>
    </row>
    <row r="4553" spans="2:24" x14ac:dyDescent="0.3">
      <c r="B4553" s="9">
        <v>4553</v>
      </c>
      <c r="C4553" s="49">
        <v>38452</v>
      </c>
      <c r="D4553" s="9">
        <f>YEAR(Tabla1[[#This Row],[Date]])</f>
        <v>2005</v>
      </c>
      <c r="E4553" s="9" t="str" cm="1">
        <f t="array" ref="E4553">IFERROR(_xlfn.IFS(AND(D4553&lt;1980,D4553&gt;=1970),"70",AND(D4553&lt;1990,D4553&gt;=1980),"80",AND(D4553&lt;2000,D4553&gt;=1990),"90",AND(D4553&lt;2010,D4553&gt;=2000),"00",AND(D4553&lt;=2019,D4553&gt;=2010),"10"),"1908-1970")</f>
        <v>00</v>
      </c>
      <c r="F4553" s="3" t="s">
        <v>28931</v>
      </c>
      <c r="G4553" t="s">
        <v>25930</v>
      </c>
      <c r="H4553" t="s">
        <v>25931</v>
      </c>
      <c r="I4553" t="s">
        <v>28931</v>
      </c>
      <c r="J4553" t="s">
        <v>25932</v>
      </c>
      <c r="K4553" t="s">
        <v>25933</v>
      </c>
      <c r="L4553" s="7" t="s">
        <v>25934</v>
      </c>
      <c r="M4553">
        <v>2400901</v>
      </c>
      <c r="N4553">
        <v>100</v>
      </c>
      <c r="O4553">
        <v>96</v>
      </c>
      <c r="P4553">
        <v>4</v>
      </c>
      <c r="Q4553">
        <v>2</v>
      </c>
      <c r="R4553">
        <v>2</v>
      </c>
      <c r="S4553">
        <v>0</v>
      </c>
      <c r="T4553">
        <v>0</v>
      </c>
      <c r="U4553" t="s">
        <v>25935</v>
      </c>
      <c r="V4553">
        <f>Tabla1[[#This Row],[Aboard]]-Tabla1[[#This Row],[Fatalities]]</f>
        <v>98</v>
      </c>
      <c r="W4553" s="50">
        <f>IFERROR(Tabla1[[#This Row],[Fatalities]]/Tabla1[[#This Row],[Aboard]],0)</f>
        <v>0.02</v>
      </c>
      <c r="X4553" s="51" t="str" cm="1">
        <f t="array" ref="X4553">_xlfn.IFS(Tabla1[[#This Row],[Porcentaje de muertes]]&lt;0.35,"LEVE",AND(Tabla1[[#This Row],[Porcentaje de muertes]]&gt;0.35,Tabla1[[#This Row],[Porcentaje de muertes]]&lt;0.65),"MEDIO",Tabla1[[#This Row],[Porcentaje de muertes]]&gt;0.65,"GRAVE")</f>
        <v>LEVE</v>
      </c>
    </row>
    <row r="4554" spans="2:24" x14ac:dyDescent="0.3">
      <c r="B4554" s="9">
        <v>4554</v>
      </c>
      <c r="C4554" s="49">
        <v>38647</v>
      </c>
      <c r="D4554" s="9">
        <f>YEAR(Tabla1[[#This Row],[Date]])</f>
        <v>2005</v>
      </c>
      <c r="E4554" s="9" t="str" cm="1">
        <f t="array" ref="E4554">IFERROR(_xlfn.IFS(AND(D4554&lt;1980,D4554&gt;=1970),"70",AND(D4554&lt;1990,D4554&gt;=1980),"80",AND(D4554&lt;2000,D4554&gt;=1990),"90",AND(D4554&lt;2010,D4554&gt;=2000),"00",AND(D4554&lt;=2019,D4554&gt;=2010),"10"),"1908-1970")</f>
        <v>00</v>
      </c>
      <c r="F4554" s="3">
        <v>0.86111111111111116</v>
      </c>
      <c r="G4554" t="s">
        <v>25936</v>
      </c>
      <c r="H4554" t="s">
        <v>25937</v>
      </c>
      <c r="I4554">
        <v>3210</v>
      </c>
      <c r="J4554" t="s">
        <v>22627</v>
      </c>
      <c r="K4554" t="s">
        <v>25938</v>
      </c>
      <c r="L4554" s="7" t="s">
        <v>25939</v>
      </c>
      <c r="M4554" t="s">
        <v>25940</v>
      </c>
      <c r="N4554">
        <v>117</v>
      </c>
      <c r="O4554">
        <v>111</v>
      </c>
      <c r="P4554">
        <v>6</v>
      </c>
      <c r="Q4554">
        <v>117</v>
      </c>
      <c r="R4554">
        <v>111</v>
      </c>
      <c r="S4554">
        <v>6</v>
      </c>
      <c r="T4554">
        <v>0</v>
      </c>
      <c r="U4554" t="s">
        <v>25941</v>
      </c>
      <c r="V4554">
        <f>Tabla1[[#This Row],[Aboard]]-Tabla1[[#This Row],[Fatalities]]</f>
        <v>0</v>
      </c>
      <c r="W4554" s="50">
        <f>IFERROR(Tabla1[[#This Row],[Fatalities]]/Tabla1[[#This Row],[Aboard]],0)</f>
        <v>1</v>
      </c>
      <c r="X4554" s="51" t="str" cm="1">
        <f t="array" ref="X4554">_xlfn.IFS(Tabla1[[#This Row],[Porcentaje de muertes]]&lt;0.35,"LEVE",AND(Tabla1[[#This Row],[Porcentaje de muertes]]&gt;0.35,Tabla1[[#This Row],[Porcentaje de muertes]]&lt;0.65),"MEDIO",Tabla1[[#This Row],[Porcentaje de muertes]]&gt;0.65,"GRAVE")</f>
        <v>GRAVE</v>
      </c>
    </row>
    <row r="4555" spans="2:24" x14ac:dyDescent="0.3">
      <c r="B4555" s="9">
        <v>4555</v>
      </c>
      <c r="C4555" s="49">
        <v>38515</v>
      </c>
      <c r="D4555" s="9">
        <f>YEAR(Tabla1[[#This Row],[Date]])</f>
        <v>2005</v>
      </c>
      <c r="E4555" s="9" t="str" cm="1">
        <f t="array" ref="E4555">IFERROR(_xlfn.IFS(AND(D4555&lt;1980,D4555&gt;=1970),"70",AND(D4555&lt;1990,D4555&gt;=1980),"80",AND(D4555&lt;2000,D4555&gt;=1990),"90",AND(D4555&lt;2010,D4555&gt;=2000),"00",AND(D4555&lt;=2019,D4555&gt;=2010),"10"),"1908-1970")</f>
        <v>00</v>
      </c>
      <c r="F4555" s="3">
        <v>0.59375</v>
      </c>
      <c r="G4555" t="s">
        <v>10175</v>
      </c>
      <c r="H4555" t="s">
        <v>24272</v>
      </c>
      <c r="I4555" t="s">
        <v>28931</v>
      </c>
      <c r="J4555" t="s">
        <v>25942</v>
      </c>
      <c r="K4555" t="s">
        <v>14712</v>
      </c>
      <c r="L4555" s="8">
        <v>2415106</v>
      </c>
      <c r="M4555">
        <v>4386</v>
      </c>
      <c r="N4555">
        <v>94</v>
      </c>
      <c r="O4555">
        <v>84</v>
      </c>
      <c r="P4555">
        <v>10</v>
      </c>
      <c r="Q4555">
        <v>94</v>
      </c>
      <c r="R4555">
        <v>84</v>
      </c>
      <c r="S4555">
        <v>10</v>
      </c>
      <c r="T4555">
        <v>14</v>
      </c>
      <c r="U4555" t="s">
        <v>25943</v>
      </c>
      <c r="V4555">
        <f>Tabla1[[#This Row],[Aboard]]-Tabla1[[#This Row],[Fatalities]]</f>
        <v>0</v>
      </c>
      <c r="W4555" s="50">
        <f>IFERROR(Tabla1[[#This Row],[Fatalities]]/Tabla1[[#This Row],[Aboard]],0)</f>
        <v>1</v>
      </c>
      <c r="X4555" s="51" t="str" cm="1">
        <f t="array" ref="X4555">_xlfn.IFS(Tabla1[[#This Row],[Porcentaje de muertes]]&lt;0.35,"LEVE",AND(Tabla1[[#This Row],[Porcentaje de muertes]]&gt;0.35,Tabla1[[#This Row],[Porcentaje de muertes]]&lt;0.65),"MEDIO",Tabla1[[#This Row],[Porcentaje de muertes]]&gt;0.65,"GRAVE")</f>
        <v>GRAVE</v>
      </c>
    </row>
    <row r="4556" spans="2:24" x14ac:dyDescent="0.3">
      <c r="B4556" s="9">
        <v>4556</v>
      </c>
      <c r="C4556" s="49">
        <v>38576</v>
      </c>
      <c r="D4556" s="9">
        <f>YEAR(Tabla1[[#This Row],[Date]])</f>
        <v>2005</v>
      </c>
      <c r="E4556" s="9" t="str" cm="1">
        <f t="array" ref="E4556">IFERROR(_xlfn.IFS(AND(D4556&lt;1980,D4556&gt;=1970),"70",AND(D4556&lt;1990,D4556&gt;=1980),"80",AND(D4556&lt;2000,D4556&gt;=1990),"90",AND(D4556&lt;2010,D4556&gt;=2000),"00",AND(D4556&lt;=2019,D4556&gt;=2010),"10"),"1908-1970")</f>
        <v>00</v>
      </c>
      <c r="F4556" s="3">
        <v>0.80208333333333337</v>
      </c>
      <c r="G4556" t="s">
        <v>5103</v>
      </c>
      <c r="H4556" t="s">
        <v>24279</v>
      </c>
      <c r="I4556">
        <v>1248</v>
      </c>
      <c r="J4556" t="s">
        <v>25944</v>
      </c>
      <c r="K4556" t="s">
        <v>25945</v>
      </c>
      <c r="L4556" s="7" t="s">
        <v>25946</v>
      </c>
      <c r="M4556" t="s">
        <v>25947</v>
      </c>
      <c r="N4556">
        <v>103</v>
      </c>
      <c r="O4556">
        <v>98</v>
      </c>
      <c r="P4556">
        <v>5</v>
      </c>
      <c r="Q4556">
        <v>0</v>
      </c>
      <c r="R4556">
        <v>0</v>
      </c>
      <c r="S4556">
        <v>0</v>
      </c>
      <c r="T4556">
        <v>1</v>
      </c>
      <c r="U4556" t="s">
        <v>25948</v>
      </c>
      <c r="V4556">
        <f>Tabla1[[#This Row],[Aboard]]-Tabla1[[#This Row],[Fatalities]]</f>
        <v>103</v>
      </c>
      <c r="W4556" s="50">
        <f>IFERROR(Tabla1[[#This Row],[Fatalities]]/Tabla1[[#This Row],[Aboard]],0)</f>
        <v>0</v>
      </c>
      <c r="X4556" s="51" t="str" cm="1">
        <f t="array" ref="X4556">_xlfn.IFS(Tabla1[[#This Row],[Porcentaje de muertes]]&lt;0.35,"LEVE",AND(Tabla1[[#This Row],[Porcentaje de muertes]]&gt;0.35,Tabla1[[#This Row],[Porcentaje de muertes]]&lt;0.65),"MEDIO",Tabla1[[#This Row],[Porcentaje de muertes]]&gt;0.65,"GRAVE")</f>
        <v>LEVE</v>
      </c>
    </row>
    <row r="4557" spans="2:24" x14ac:dyDescent="0.3">
      <c r="B4557" s="9">
        <v>4557</v>
      </c>
      <c r="C4557" s="49">
        <v>38637</v>
      </c>
      <c r="D4557" s="9">
        <f>YEAR(Tabla1[[#This Row],[Date]])</f>
        <v>2005</v>
      </c>
      <c r="E4557" s="9" t="str" cm="1">
        <f t="array" ref="E4557">IFERROR(_xlfn.IFS(AND(D4557&lt;1980,D4557&gt;=1970),"70",AND(D4557&lt;1990,D4557&gt;=1980),"80",AND(D4557&lt;2000,D4557&gt;=1990),"90",AND(D4557&lt;2010,D4557&gt;=2000),"00",AND(D4557&lt;=2019,D4557&gt;=2010),"10"),"1908-1970")</f>
        <v>00</v>
      </c>
      <c r="F4557" s="3">
        <v>0.58888888888888891</v>
      </c>
      <c r="G4557" t="s">
        <v>25949</v>
      </c>
      <c r="H4557" t="s">
        <v>25950</v>
      </c>
      <c r="I4557">
        <v>1145</v>
      </c>
      <c r="J4557" t="s">
        <v>25951</v>
      </c>
      <c r="K4557" t="s">
        <v>25952</v>
      </c>
      <c r="L4557" s="7" t="s">
        <v>25953</v>
      </c>
      <c r="M4557" t="s">
        <v>25954</v>
      </c>
      <c r="N4557">
        <v>110</v>
      </c>
      <c r="O4557">
        <v>103</v>
      </c>
      <c r="P4557">
        <v>7</v>
      </c>
      <c r="Q4557">
        <v>108</v>
      </c>
      <c r="R4557">
        <v>101</v>
      </c>
      <c r="S4557">
        <v>7</v>
      </c>
      <c r="T4557">
        <v>0</v>
      </c>
      <c r="U4557" t="s">
        <v>25955</v>
      </c>
      <c r="V4557">
        <f>Tabla1[[#This Row],[Aboard]]-Tabla1[[#This Row],[Fatalities]]</f>
        <v>2</v>
      </c>
      <c r="W4557" s="50">
        <f>IFERROR(Tabla1[[#This Row],[Fatalities]]/Tabla1[[#This Row],[Aboard]],0)</f>
        <v>0.98181818181818181</v>
      </c>
      <c r="X4557" s="51" t="str" cm="1">
        <f t="array" ref="X4557">_xlfn.IFS(Tabla1[[#This Row],[Porcentaje de muertes]]&lt;0.35,"LEVE",AND(Tabla1[[#This Row],[Porcentaje de muertes]]&gt;0.35,Tabla1[[#This Row],[Porcentaje de muertes]]&lt;0.65),"MEDIO",Tabla1[[#This Row],[Porcentaje de muertes]]&gt;0.65,"GRAVE")</f>
        <v>GRAVE</v>
      </c>
    </row>
    <row r="4558" spans="2:24" x14ac:dyDescent="0.3">
      <c r="B4558" s="9">
        <v>4558</v>
      </c>
      <c r="C4558" s="49">
        <v>38705</v>
      </c>
      <c r="D4558" s="9">
        <f>YEAR(Tabla1[[#This Row],[Date]])</f>
        <v>2005</v>
      </c>
      <c r="E4558" s="9" t="str" cm="1">
        <f t="array" ref="E4558">IFERROR(_xlfn.IFS(AND(D4558&lt;1980,D4558&gt;=1970),"70",AND(D4558&lt;1990,D4558&gt;=1980),"80",AND(D4558&lt;2000,D4558&gt;=1990),"90",AND(D4558&lt;2010,D4558&gt;=2000),"00",AND(D4558&lt;=2019,D4558&gt;=2010),"10"),"1908-1970")</f>
        <v>00</v>
      </c>
      <c r="F4558" s="3">
        <v>0.61111111111111105</v>
      </c>
      <c r="G4558" t="s">
        <v>25956</v>
      </c>
      <c r="H4558" t="s">
        <v>25957</v>
      </c>
      <c r="I4558">
        <v>101</v>
      </c>
      <c r="J4558" t="s">
        <v>25958</v>
      </c>
      <c r="K4558" t="s">
        <v>25959</v>
      </c>
      <c r="L4558" s="7" t="s">
        <v>25960</v>
      </c>
      <c r="M4558" t="s">
        <v>25961</v>
      </c>
      <c r="N4558">
        <v>20</v>
      </c>
      <c r="O4558">
        <v>18</v>
      </c>
      <c r="P4558">
        <v>2</v>
      </c>
      <c r="Q4558">
        <v>20</v>
      </c>
      <c r="R4558">
        <v>18</v>
      </c>
      <c r="S4558">
        <v>2</v>
      </c>
      <c r="T4558">
        <v>0</v>
      </c>
      <c r="U4558" t="s">
        <v>25962</v>
      </c>
      <c r="V4558">
        <f>Tabla1[[#This Row],[Aboard]]-Tabla1[[#This Row],[Fatalities]]</f>
        <v>0</v>
      </c>
      <c r="W4558" s="50">
        <f>IFERROR(Tabla1[[#This Row],[Fatalities]]/Tabla1[[#This Row],[Aboard]],0)</f>
        <v>1</v>
      </c>
      <c r="X4558" s="51" t="str" cm="1">
        <f t="array" ref="X4558">_xlfn.IFS(Tabla1[[#This Row],[Porcentaje de muertes]]&lt;0.35,"LEVE",AND(Tabla1[[#This Row],[Porcentaje de muertes]]&gt;0.35,Tabla1[[#This Row],[Porcentaje de muertes]]&lt;0.65),"MEDIO",Tabla1[[#This Row],[Porcentaje de muertes]]&gt;0.65,"GRAVE")</f>
        <v>GRAVE</v>
      </c>
    </row>
    <row r="4559" spans="2:24" x14ac:dyDescent="0.3">
      <c r="B4559" s="9">
        <v>4559</v>
      </c>
      <c r="C4559" s="49">
        <v>38709</v>
      </c>
      <c r="D4559" s="9">
        <f>YEAR(Tabla1[[#This Row],[Date]])</f>
        <v>2005</v>
      </c>
      <c r="E4559" s="9" t="str" cm="1">
        <f t="array" ref="E4559">IFERROR(_xlfn.IFS(AND(D4559&lt;1980,D4559&gt;=1970),"70",AND(D4559&lt;1990,D4559&gt;=1980),"80",AND(D4559&lt;2000,D4559&gt;=1990),"90",AND(D4559&lt;2010,D4559&gt;=2000),"00",AND(D4559&lt;=2019,D4559&gt;=2010),"10"),"1908-1970")</f>
        <v>00</v>
      </c>
      <c r="F4559" s="3">
        <v>0.93541666666666667</v>
      </c>
      <c r="G4559" t="s">
        <v>25963</v>
      </c>
      <c r="H4559" t="s">
        <v>23009</v>
      </c>
      <c r="I4559">
        <v>217</v>
      </c>
      <c r="J4559" t="s">
        <v>25964</v>
      </c>
      <c r="K4559" t="s">
        <v>25965</v>
      </c>
      <c r="L4559" s="7" t="s">
        <v>25966</v>
      </c>
      <c r="M4559">
        <v>36525307036</v>
      </c>
      <c r="N4559">
        <v>23</v>
      </c>
      <c r="O4559">
        <v>18</v>
      </c>
      <c r="P4559">
        <v>5</v>
      </c>
      <c r="Q4559">
        <v>23</v>
      </c>
      <c r="R4559">
        <v>18</v>
      </c>
      <c r="S4559">
        <v>5</v>
      </c>
      <c r="T4559">
        <v>0</v>
      </c>
      <c r="U4559" t="s">
        <v>25967</v>
      </c>
      <c r="V4559">
        <f>Tabla1[[#This Row],[Aboard]]-Tabla1[[#This Row],[Fatalities]]</f>
        <v>0</v>
      </c>
      <c r="W4559" s="50">
        <f>IFERROR(Tabla1[[#This Row],[Fatalities]]/Tabla1[[#This Row],[Aboard]],0)</f>
        <v>1</v>
      </c>
      <c r="X4559" s="51" t="str" cm="1">
        <f t="array" ref="X4559">_xlfn.IFS(Tabla1[[#This Row],[Porcentaje de muertes]]&lt;0.35,"LEVE",AND(Tabla1[[#This Row],[Porcentaje de muertes]]&gt;0.35,Tabla1[[#This Row],[Porcentaje de muertes]]&lt;0.65),"MEDIO",Tabla1[[#This Row],[Porcentaje de muertes]]&gt;0.65,"GRAVE")</f>
        <v>GRAVE</v>
      </c>
    </row>
    <row r="4560" spans="2:24" x14ac:dyDescent="0.3">
      <c r="B4560" s="9">
        <v>4560</v>
      </c>
      <c r="C4560" s="49">
        <v>38749</v>
      </c>
      <c r="D4560" s="9">
        <f>YEAR(Tabla1[[#This Row],[Date]])</f>
        <v>2006</v>
      </c>
      <c r="E4560" s="9" t="str" cm="1">
        <f t="array" ref="E4560">IFERROR(_xlfn.IFS(AND(D4560&lt;1980,D4560&gt;=1970),"70",AND(D4560&lt;1990,D4560&gt;=1980),"80",AND(D4560&lt;2000,D4560&gt;=1990),"90",AND(D4560&lt;2010,D4560&gt;=2000),"00",AND(D4560&lt;=2019,D4560&gt;=2010),"10"),"1908-1970")</f>
        <v>00</v>
      </c>
      <c r="F4560" s="3">
        <v>0.46597222222222223</v>
      </c>
      <c r="G4560" t="s">
        <v>25968</v>
      </c>
      <c r="H4560" t="s">
        <v>25969</v>
      </c>
      <c r="I4560" t="s">
        <v>28931</v>
      </c>
      <c r="J4560" t="s">
        <v>25970</v>
      </c>
      <c r="K4560" t="s">
        <v>25971</v>
      </c>
      <c r="L4560" s="7" t="s">
        <v>25972</v>
      </c>
      <c r="M4560">
        <v>257153</v>
      </c>
      <c r="N4560">
        <v>3</v>
      </c>
      <c r="O4560">
        <v>0</v>
      </c>
      <c r="P4560">
        <v>3</v>
      </c>
      <c r="Q4560">
        <v>3</v>
      </c>
      <c r="R4560">
        <v>0</v>
      </c>
      <c r="S4560">
        <v>3</v>
      </c>
      <c r="T4560">
        <v>0</v>
      </c>
      <c r="U4560" t="s">
        <v>25973</v>
      </c>
      <c r="V4560">
        <f>Tabla1[[#This Row],[Aboard]]-Tabla1[[#This Row],[Fatalities]]</f>
        <v>0</v>
      </c>
      <c r="W4560" s="50">
        <f>IFERROR(Tabla1[[#This Row],[Fatalities]]/Tabla1[[#This Row],[Aboard]],0)</f>
        <v>1</v>
      </c>
      <c r="X4560" s="51" t="str" cm="1">
        <f t="array" ref="X4560">_xlfn.IFS(Tabla1[[#This Row],[Porcentaje de muertes]]&lt;0.35,"LEVE",AND(Tabla1[[#This Row],[Porcentaje de muertes]]&gt;0.35,Tabla1[[#This Row],[Porcentaje de muertes]]&lt;0.65),"MEDIO",Tabla1[[#This Row],[Porcentaje de muertes]]&gt;0.65,"GRAVE")</f>
        <v>GRAVE</v>
      </c>
    </row>
    <row r="4561" spans="2:24" x14ac:dyDescent="0.3">
      <c r="B4561" s="9">
        <v>4561</v>
      </c>
      <c r="C4561" s="49">
        <v>38899</v>
      </c>
      <c r="D4561" s="9">
        <f>YEAR(Tabla1[[#This Row],[Date]])</f>
        <v>2006</v>
      </c>
      <c r="E4561" s="9" t="str" cm="1">
        <f t="array" ref="E4561">IFERROR(_xlfn.IFS(AND(D4561&lt;1980,D4561&gt;=1970),"70",AND(D4561&lt;1990,D4561&gt;=1980),"80",AND(D4561&lt;2000,D4561&gt;=1990),"90",AND(D4561&lt;2010,D4561&gt;=2000),"00",AND(D4561&lt;=2019,D4561&gt;=2010),"10"),"1908-1970")</f>
        <v>00</v>
      </c>
      <c r="F4561" s="3" t="s">
        <v>28931</v>
      </c>
      <c r="G4561" t="s">
        <v>25974</v>
      </c>
      <c r="H4561" t="s">
        <v>25975</v>
      </c>
      <c r="I4561" t="s">
        <v>28931</v>
      </c>
      <c r="J4561" t="s">
        <v>28931</v>
      </c>
      <c r="K4561" t="s">
        <v>25976</v>
      </c>
      <c r="L4561" s="7" t="s">
        <v>25977</v>
      </c>
      <c r="M4561" t="s">
        <v>28931</v>
      </c>
      <c r="N4561">
        <v>12</v>
      </c>
      <c r="O4561" t="s">
        <v>5038</v>
      </c>
      <c r="P4561" t="s">
        <v>5038</v>
      </c>
      <c r="Q4561">
        <v>12</v>
      </c>
      <c r="R4561" t="s">
        <v>5038</v>
      </c>
      <c r="S4561" t="s">
        <v>5038</v>
      </c>
      <c r="T4561">
        <v>0</v>
      </c>
      <c r="U4561" t="s">
        <v>25978</v>
      </c>
      <c r="V4561">
        <f>Tabla1[[#This Row],[Aboard]]-Tabla1[[#This Row],[Fatalities]]</f>
        <v>0</v>
      </c>
      <c r="W4561" s="50">
        <f>IFERROR(Tabla1[[#This Row],[Fatalities]]/Tabla1[[#This Row],[Aboard]],0)</f>
        <v>1</v>
      </c>
      <c r="X4561" s="51" t="str" cm="1">
        <f t="array" ref="X4561">_xlfn.IFS(Tabla1[[#This Row],[Porcentaje de muertes]]&lt;0.35,"LEVE",AND(Tabla1[[#This Row],[Porcentaje de muertes]]&gt;0.35,Tabla1[[#This Row],[Porcentaje de muertes]]&lt;0.65),"MEDIO",Tabla1[[#This Row],[Porcentaje de muertes]]&gt;0.65,"GRAVE")</f>
        <v>GRAVE</v>
      </c>
    </row>
    <row r="4562" spans="2:24" x14ac:dyDescent="0.3">
      <c r="B4562" s="9">
        <v>4562</v>
      </c>
      <c r="C4562" s="49">
        <v>38930</v>
      </c>
      <c r="D4562" s="9">
        <f>YEAR(Tabla1[[#This Row],[Date]])</f>
        <v>2006</v>
      </c>
      <c r="E4562" s="9" t="str" cm="1">
        <f t="array" ref="E4562">IFERROR(_xlfn.IFS(AND(D4562&lt;1980,D4562&gt;=1970),"70",AND(D4562&lt;1990,D4562&gt;=1980),"80",AND(D4562&lt;2000,D4562&gt;=1990),"90",AND(D4562&lt;2010,D4562&gt;=2000),"00",AND(D4562&lt;=2019,D4562&gt;=2010),"10"),"1908-1970")</f>
        <v>00</v>
      </c>
      <c r="F4562" s="3">
        <v>0.54166666666666663</v>
      </c>
      <c r="G4562" t="s">
        <v>25979</v>
      </c>
      <c r="H4562" t="s">
        <v>25980</v>
      </c>
      <c r="I4562" t="s">
        <v>28931</v>
      </c>
      <c r="J4562" t="s">
        <v>25981</v>
      </c>
      <c r="K4562" t="s">
        <v>23935</v>
      </c>
      <c r="L4562" s="7" t="s">
        <v>25982</v>
      </c>
      <c r="M4562">
        <v>4341803</v>
      </c>
      <c r="N4562">
        <v>6</v>
      </c>
      <c r="O4562">
        <v>0</v>
      </c>
      <c r="P4562">
        <v>6</v>
      </c>
      <c r="Q4562">
        <v>6</v>
      </c>
      <c r="R4562">
        <v>0</v>
      </c>
      <c r="S4562">
        <v>6</v>
      </c>
      <c r="T4562">
        <v>0</v>
      </c>
      <c r="U4562" t="s">
        <v>25983</v>
      </c>
      <c r="V4562">
        <f>Tabla1[[#This Row],[Aboard]]-Tabla1[[#This Row],[Fatalities]]</f>
        <v>0</v>
      </c>
      <c r="W4562" s="50">
        <f>IFERROR(Tabla1[[#This Row],[Fatalities]]/Tabla1[[#This Row],[Aboard]],0)</f>
        <v>1</v>
      </c>
      <c r="X4562" s="51" t="str" cm="1">
        <f t="array" ref="X4562">_xlfn.IFS(Tabla1[[#This Row],[Porcentaje de muertes]]&lt;0.35,"LEVE",AND(Tabla1[[#This Row],[Porcentaje de muertes]]&gt;0.35,Tabla1[[#This Row],[Porcentaje de muertes]]&lt;0.65),"MEDIO",Tabla1[[#This Row],[Porcentaje de muertes]]&gt;0.65,"GRAVE")</f>
        <v>GRAVE</v>
      </c>
    </row>
    <row r="4563" spans="2:24" x14ac:dyDescent="0.3">
      <c r="B4563" s="9">
        <v>4563</v>
      </c>
      <c r="C4563" s="49">
        <v>38961</v>
      </c>
      <c r="D4563" s="9">
        <f>YEAR(Tabla1[[#This Row],[Date]])</f>
        <v>2006</v>
      </c>
      <c r="E4563" s="9" t="str" cm="1">
        <f t="array" ref="E4563">IFERROR(_xlfn.IFS(AND(D4563&lt;1980,D4563&gt;=1970),"70",AND(D4563&lt;1990,D4563&gt;=1980),"80",AND(D4563&lt;2000,D4563&gt;=1990),"90",AND(D4563&lt;2010,D4563&gt;=2000),"00",AND(D4563&lt;=2019,D4563&gt;=2010),"10"),"1908-1970")</f>
        <v>00</v>
      </c>
      <c r="F4563" s="3">
        <v>0.39583333333333331</v>
      </c>
      <c r="G4563" t="s">
        <v>25984</v>
      </c>
      <c r="H4563" t="s">
        <v>25985</v>
      </c>
      <c r="I4563" t="s">
        <v>28931</v>
      </c>
      <c r="J4563" t="s">
        <v>25986</v>
      </c>
      <c r="K4563" t="s">
        <v>20927</v>
      </c>
      <c r="L4563" s="7" t="s">
        <v>25987</v>
      </c>
      <c r="M4563">
        <v>318</v>
      </c>
      <c r="N4563">
        <v>11</v>
      </c>
      <c r="O4563">
        <v>8</v>
      </c>
      <c r="P4563">
        <v>3</v>
      </c>
      <c r="Q4563">
        <v>11</v>
      </c>
      <c r="R4563">
        <v>8</v>
      </c>
      <c r="S4563">
        <v>3</v>
      </c>
      <c r="T4563">
        <v>0</v>
      </c>
      <c r="U4563" t="s">
        <v>25988</v>
      </c>
      <c r="V4563">
        <f>Tabla1[[#This Row],[Aboard]]-Tabla1[[#This Row],[Fatalities]]</f>
        <v>0</v>
      </c>
      <c r="W4563" s="50">
        <f>IFERROR(Tabla1[[#This Row],[Fatalities]]/Tabla1[[#This Row],[Aboard]],0)</f>
        <v>1</v>
      </c>
      <c r="X4563" s="51" t="str" cm="1">
        <f t="array" ref="X4563">_xlfn.IFS(Tabla1[[#This Row],[Porcentaje de muertes]]&lt;0.35,"LEVE",AND(Tabla1[[#This Row],[Porcentaje de muertes]]&gt;0.35,Tabla1[[#This Row],[Porcentaje de muertes]]&lt;0.65),"MEDIO",Tabla1[[#This Row],[Porcentaje de muertes]]&gt;0.65,"GRAVE")</f>
        <v>GRAVE</v>
      </c>
    </row>
    <row r="4564" spans="2:24" x14ac:dyDescent="0.3">
      <c r="B4564" s="9">
        <v>4564</v>
      </c>
      <c r="C4564" s="49">
        <v>38736</v>
      </c>
      <c r="D4564" s="9">
        <f>YEAR(Tabla1[[#This Row],[Date]])</f>
        <v>2006</v>
      </c>
      <c r="E4564" s="9" t="str" cm="1">
        <f t="array" ref="E4564">IFERROR(_xlfn.IFS(AND(D4564&lt;1980,D4564&gt;=1970),"70",AND(D4564&lt;1990,D4564&gt;=1980),"80",AND(D4564&lt;2000,D4564&gt;=1990),"90",AND(D4564&lt;2010,D4564&gt;=2000),"00",AND(D4564&lt;=2019,D4564&gt;=2010),"10"),"1908-1970")</f>
        <v>00</v>
      </c>
      <c r="F4564" s="3">
        <v>0.8125</v>
      </c>
      <c r="G4564" t="s">
        <v>25989</v>
      </c>
      <c r="H4564" t="s">
        <v>25990</v>
      </c>
      <c r="I4564" t="s">
        <v>28931</v>
      </c>
      <c r="J4564" t="s">
        <v>25991</v>
      </c>
      <c r="K4564" t="s">
        <v>15299</v>
      </c>
      <c r="L4564" s="7">
        <v>5605</v>
      </c>
      <c r="M4564">
        <v>97305605</v>
      </c>
      <c r="N4564">
        <v>43</v>
      </c>
      <c r="O4564">
        <v>35</v>
      </c>
      <c r="P4564">
        <v>8</v>
      </c>
      <c r="Q4564">
        <v>42</v>
      </c>
      <c r="R4564">
        <v>34</v>
      </c>
      <c r="S4564">
        <v>8</v>
      </c>
      <c r="T4564">
        <v>0</v>
      </c>
      <c r="U4564" t="s">
        <v>25992</v>
      </c>
      <c r="V4564">
        <f>Tabla1[[#This Row],[Aboard]]-Tabla1[[#This Row],[Fatalities]]</f>
        <v>1</v>
      </c>
      <c r="W4564" s="50">
        <f>IFERROR(Tabla1[[#This Row],[Fatalities]]/Tabla1[[#This Row],[Aboard]],0)</f>
        <v>0.97674418604651159</v>
      </c>
      <c r="X4564" s="51" t="str" cm="1">
        <f t="array" ref="X4564">_xlfn.IFS(Tabla1[[#This Row],[Porcentaje de muertes]]&lt;0.35,"LEVE",AND(Tabla1[[#This Row],[Porcentaje de muertes]]&gt;0.35,Tabla1[[#This Row],[Porcentaje de muertes]]&lt;0.65),"MEDIO",Tabla1[[#This Row],[Porcentaje de muertes]]&gt;0.65,"GRAVE")</f>
        <v>GRAVE</v>
      </c>
    </row>
    <row r="4565" spans="2:24" x14ac:dyDescent="0.3">
      <c r="B4565" s="9">
        <v>4565</v>
      </c>
      <c r="C4565" s="49">
        <v>38839</v>
      </c>
      <c r="D4565" s="9">
        <f>YEAR(Tabla1[[#This Row],[Date]])</f>
        <v>2006</v>
      </c>
      <c r="E4565" s="9" t="str" cm="1">
        <f t="array" ref="E4565">IFERROR(_xlfn.IFS(AND(D4565&lt;1980,D4565&gt;=1970),"70",AND(D4565&lt;1990,D4565&gt;=1980),"80",AND(D4565&lt;2000,D4565&gt;=1990),"90",AND(D4565&lt;2010,D4565&gt;=2000),"00",AND(D4565&lt;=2019,D4565&gt;=2010),"10"),"1908-1970")</f>
        <v>00</v>
      </c>
      <c r="F4565" s="3">
        <v>0.70347222222222217</v>
      </c>
      <c r="G4565" t="s">
        <v>25993</v>
      </c>
      <c r="H4565" t="s">
        <v>25994</v>
      </c>
      <c r="I4565" t="s">
        <v>28931</v>
      </c>
      <c r="J4565" t="s">
        <v>28931</v>
      </c>
      <c r="K4565" t="s">
        <v>25995</v>
      </c>
      <c r="L4565" s="7" t="s">
        <v>25996</v>
      </c>
      <c r="M4565" t="s">
        <v>25997</v>
      </c>
      <c r="N4565">
        <v>3</v>
      </c>
      <c r="O4565">
        <v>1</v>
      </c>
      <c r="P4565">
        <v>2</v>
      </c>
      <c r="Q4565">
        <v>3</v>
      </c>
      <c r="R4565">
        <v>1</v>
      </c>
      <c r="S4565">
        <v>2</v>
      </c>
      <c r="T4565">
        <v>0</v>
      </c>
      <c r="U4565" t="s">
        <v>25998</v>
      </c>
      <c r="V4565">
        <f>Tabla1[[#This Row],[Aboard]]-Tabla1[[#This Row],[Fatalities]]</f>
        <v>0</v>
      </c>
      <c r="W4565" s="50">
        <f>IFERROR(Tabla1[[#This Row],[Fatalities]]/Tabla1[[#This Row],[Aboard]],0)</f>
        <v>1</v>
      </c>
      <c r="X4565" s="51" t="str" cm="1">
        <f t="array" ref="X4565">_xlfn.IFS(Tabla1[[#This Row],[Porcentaje de muertes]]&lt;0.35,"LEVE",AND(Tabla1[[#This Row],[Porcentaje de muertes]]&gt;0.35,Tabla1[[#This Row],[Porcentaje de muertes]]&lt;0.65),"MEDIO",Tabla1[[#This Row],[Porcentaje de muertes]]&gt;0.65,"GRAVE")</f>
        <v>GRAVE</v>
      </c>
    </row>
    <row r="4566" spans="2:24" x14ac:dyDescent="0.3">
      <c r="B4566" s="9">
        <v>4566</v>
      </c>
      <c r="C4566" s="49">
        <v>38931</v>
      </c>
      <c r="D4566" s="9">
        <f>YEAR(Tabla1[[#This Row],[Date]])</f>
        <v>2006</v>
      </c>
      <c r="E4566" s="9" t="str" cm="1">
        <f t="array" ref="E4566">IFERROR(_xlfn.IFS(AND(D4566&lt;1980,D4566&gt;=1970),"70",AND(D4566&lt;1990,D4566&gt;=1980),"80",AND(D4566&lt;2000,D4566&gt;=1990),"90",AND(D4566&lt;2010,D4566&gt;=2000),"00",AND(D4566&lt;=2019,D4566&gt;=2010),"10"),"1908-1970")</f>
        <v>00</v>
      </c>
      <c r="F4566" s="3">
        <v>0.5083333333333333</v>
      </c>
      <c r="G4566" t="s">
        <v>25999</v>
      </c>
      <c r="H4566" t="s">
        <v>26000</v>
      </c>
      <c r="I4566" t="s">
        <v>28931</v>
      </c>
      <c r="J4566" t="s">
        <v>26001</v>
      </c>
      <c r="K4566" t="s">
        <v>19547</v>
      </c>
      <c r="L4566" s="7" t="s">
        <v>26002</v>
      </c>
      <c r="M4566" t="s">
        <v>26003</v>
      </c>
      <c r="N4566">
        <v>1</v>
      </c>
      <c r="O4566">
        <v>0</v>
      </c>
      <c r="P4566">
        <v>1</v>
      </c>
      <c r="Q4566">
        <v>1</v>
      </c>
      <c r="R4566">
        <v>0</v>
      </c>
      <c r="S4566">
        <v>1</v>
      </c>
      <c r="T4566">
        <v>0</v>
      </c>
      <c r="U4566" t="s">
        <v>26004</v>
      </c>
      <c r="V4566">
        <f>Tabla1[[#This Row],[Aboard]]-Tabla1[[#This Row],[Fatalities]]</f>
        <v>0</v>
      </c>
      <c r="W4566" s="50">
        <f>IFERROR(Tabla1[[#This Row],[Fatalities]]/Tabla1[[#This Row],[Aboard]],0)</f>
        <v>1</v>
      </c>
      <c r="X4566" s="51" t="str" cm="1">
        <f t="array" ref="X4566">_xlfn.IFS(Tabla1[[#This Row],[Porcentaje de muertes]]&lt;0.35,"LEVE",AND(Tabla1[[#This Row],[Porcentaje de muertes]]&gt;0.35,Tabla1[[#This Row],[Porcentaje de muertes]]&lt;0.65),"MEDIO",Tabla1[[#This Row],[Porcentaje de muertes]]&gt;0.65,"GRAVE")</f>
        <v>GRAVE</v>
      </c>
    </row>
    <row r="4567" spans="2:24" x14ac:dyDescent="0.3">
      <c r="B4567" s="9">
        <v>4567</v>
      </c>
      <c r="C4567" s="49">
        <v>38807</v>
      </c>
      <c r="D4567" s="9">
        <f>YEAR(Tabla1[[#This Row],[Date]])</f>
        <v>2006</v>
      </c>
      <c r="E4567" s="9" t="str" cm="1">
        <f t="array" ref="E4567">IFERROR(_xlfn.IFS(AND(D4567&lt;1980,D4567&gt;=1970),"70",AND(D4567&lt;1990,D4567&gt;=1980),"80",AND(D4567&lt;2000,D4567&gt;=1990),"90",AND(D4567&lt;2010,D4567&gt;=2000),"00",AND(D4567&lt;=2019,D4567&gt;=2010),"10"),"1908-1970")</f>
        <v>00</v>
      </c>
      <c r="F4567" s="3">
        <v>0.73541666666666661</v>
      </c>
      <c r="G4567" t="s">
        <v>26005</v>
      </c>
      <c r="H4567" t="s">
        <v>26006</v>
      </c>
      <c r="I4567">
        <v>6865</v>
      </c>
      <c r="J4567" t="s">
        <v>26007</v>
      </c>
      <c r="K4567" t="s">
        <v>26008</v>
      </c>
      <c r="L4567" s="7" t="s">
        <v>26009</v>
      </c>
      <c r="M4567">
        <v>912532</v>
      </c>
      <c r="N4567">
        <v>19</v>
      </c>
      <c r="O4567">
        <v>17</v>
      </c>
      <c r="P4567">
        <v>2</v>
      </c>
      <c r="Q4567">
        <v>19</v>
      </c>
      <c r="R4567">
        <v>17</v>
      </c>
      <c r="S4567">
        <v>2</v>
      </c>
      <c r="T4567">
        <v>0</v>
      </c>
      <c r="U4567" t="s">
        <v>26010</v>
      </c>
      <c r="V4567">
        <f>Tabla1[[#This Row],[Aboard]]-Tabla1[[#This Row],[Fatalities]]</f>
        <v>0</v>
      </c>
      <c r="W4567" s="50">
        <f>IFERROR(Tabla1[[#This Row],[Fatalities]]/Tabla1[[#This Row],[Aboard]],0)</f>
        <v>1</v>
      </c>
      <c r="X4567" s="51" t="str" cm="1">
        <f t="array" ref="X4567">_xlfn.IFS(Tabla1[[#This Row],[Porcentaje de muertes]]&lt;0.35,"LEVE",AND(Tabla1[[#This Row],[Porcentaje de muertes]]&gt;0.35,Tabla1[[#This Row],[Porcentaje de muertes]]&lt;0.65),"MEDIO",Tabla1[[#This Row],[Porcentaje de muertes]]&gt;0.65,"GRAVE")</f>
        <v>GRAVE</v>
      </c>
    </row>
    <row r="4568" spans="2:24" x14ac:dyDescent="0.3">
      <c r="B4568" s="9">
        <v>4568</v>
      </c>
      <c r="C4568" s="49">
        <v>38994</v>
      </c>
      <c r="D4568" s="9">
        <f>YEAR(Tabla1[[#This Row],[Date]])</f>
        <v>2006</v>
      </c>
      <c r="E4568" s="9" t="str" cm="1">
        <f t="array" ref="E4568">IFERROR(_xlfn.IFS(AND(D4568&lt;1980,D4568&gt;=1970),"70",AND(D4568&lt;1990,D4568&gt;=1980),"80",AND(D4568&lt;2000,D4568&gt;=1990),"90",AND(D4568&lt;2010,D4568&gt;=2000),"00",AND(D4568&lt;=2019,D4568&gt;=2010),"10"),"1908-1970")</f>
        <v>00</v>
      </c>
      <c r="F4568" s="3">
        <v>0.41666666666666669</v>
      </c>
      <c r="G4568" t="s">
        <v>26011</v>
      </c>
      <c r="H4568" t="s">
        <v>26012</v>
      </c>
      <c r="I4568" t="s">
        <v>28931</v>
      </c>
      <c r="J4568" t="s">
        <v>26013</v>
      </c>
      <c r="K4568" t="s">
        <v>23193</v>
      </c>
      <c r="L4568" s="7">
        <v>132</v>
      </c>
      <c r="M4568">
        <v>98</v>
      </c>
      <c r="N4568">
        <v>17</v>
      </c>
      <c r="O4568">
        <v>13</v>
      </c>
      <c r="P4568">
        <v>4</v>
      </c>
      <c r="Q4568">
        <v>14</v>
      </c>
      <c r="R4568">
        <v>12</v>
      </c>
      <c r="S4568">
        <v>2</v>
      </c>
      <c r="T4568">
        <v>0</v>
      </c>
      <c r="U4568" t="s">
        <v>26014</v>
      </c>
      <c r="V4568">
        <f>Tabla1[[#This Row],[Aboard]]-Tabla1[[#This Row],[Fatalities]]</f>
        <v>3</v>
      </c>
      <c r="W4568" s="50">
        <f>IFERROR(Tabla1[[#This Row],[Fatalities]]/Tabla1[[#This Row],[Aboard]],0)</f>
        <v>0.82352941176470584</v>
      </c>
      <c r="X4568" s="51" t="str" cm="1">
        <f t="array" ref="X4568">_xlfn.IFS(Tabla1[[#This Row],[Porcentaje de muertes]]&lt;0.35,"LEVE",AND(Tabla1[[#This Row],[Porcentaje de muertes]]&gt;0.35,Tabla1[[#This Row],[Porcentaje de muertes]]&lt;0.65),"MEDIO",Tabla1[[#This Row],[Porcentaje de muertes]]&gt;0.65,"GRAVE")</f>
        <v>GRAVE</v>
      </c>
    </row>
    <row r="4569" spans="2:24" x14ac:dyDescent="0.3">
      <c r="B4569" s="9">
        <v>4569</v>
      </c>
      <c r="C4569" s="49">
        <v>38830</v>
      </c>
      <c r="D4569" s="9">
        <f>YEAR(Tabla1[[#This Row],[Date]])</f>
        <v>2006</v>
      </c>
      <c r="E4569" s="9" t="str" cm="1">
        <f t="array" ref="E4569">IFERROR(_xlfn.IFS(AND(D4569&lt;1980,D4569&gt;=1970),"70",AND(D4569&lt;1990,D4569&gt;=1980),"80",AND(D4569&lt;2000,D4569&gt;=1990),"90",AND(D4569&lt;2010,D4569&gt;=2000),"00",AND(D4569&lt;=2019,D4569&gt;=2010),"10"),"1908-1970")</f>
        <v>00</v>
      </c>
      <c r="F4569" s="3">
        <v>0.20486111111111113</v>
      </c>
      <c r="G4569" t="s">
        <v>26015</v>
      </c>
      <c r="H4569" t="s">
        <v>26016</v>
      </c>
      <c r="I4569" t="s">
        <v>28931</v>
      </c>
      <c r="J4569" t="s">
        <v>26017</v>
      </c>
      <c r="K4569" t="s">
        <v>26018</v>
      </c>
      <c r="L4569" s="7" t="s">
        <v>26019</v>
      </c>
      <c r="M4569">
        <v>36547097933</v>
      </c>
      <c r="N4569">
        <v>6</v>
      </c>
      <c r="O4569">
        <v>0</v>
      </c>
      <c r="P4569">
        <v>6</v>
      </c>
      <c r="Q4569">
        <v>6</v>
      </c>
      <c r="R4569">
        <v>0</v>
      </c>
      <c r="S4569">
        <v>6</v>
      </c>
      <c r="T4569">
        <v>0</v>
      </c>
      <c r="U4569" t="s">
        <v>26020</v>
      </c>
      <c r="V4569">
        <f>Tabla1[[#This Row],[Aboard]]-Tabla1[[#This Row],[Fatalities]]</f>
        <v>0</v>
      </c>
      <c r="W4569" s="50">
        <f>IFERROR(Tabla1[[#This Row],[Fatalities]]/Tabla1[[#This Row],[Aboard]],0)</f>
        <v>1</v>
      </c>
      <c r="X4569" s="51" t="str" cm="1">
        <f t="array" ref="X4569">_xlfn.IFS(Tabla1[[#This Row],[Porcentaje de muertes]]&lt;0.35,"LEVE",AND(Tabla1[[#This Row],[Porcentaje de muertes]]&gt;0.35,Tabla1[[#This Row],[Porcentaje de muertes]]&lt;0.65),"MEDIO",Tabla1[[#This Row],[Porcentaje de muertes]]&gt;0.65,"GRAVE")</f>
        <v>GRAVE</v>
      </c>
    </row>
    <row r="4570" spans="2:24" x14ac:dyDescent="0.3">
      <c r="B4570" s="9">
        <v>4570</v>
      </c>
      <c r="C4570" s="49">
        <v>38831</v>
      </c>
      <c r="D4570" s="9">
        <f>YEAR(Tabla1[[#This Row],[Date]])</f>
        <v>2006</v>
      </c>
      <c r="E4570" s="9" t="str" cm="1">
        <f t="array" ref="E4570">IFERROR(_xlfn.IFS(AND(D4570&lt;1980,D4570&gt;=1970),"70",AND(D4570&lt;1990,D4570&gt;=1980),"80",AND(D4570&lt;2000,D4570&gt;=1990),"90",AND(D4570&lt;2010,D4570&gt;=2000),"00",AND(D4570&lt;=2019,D4570&gt;=2010),"10"),"1908-1970")</f>
        <v>00</v>
      </c>
      <c r="F4570" s="3">
        <v>0.48958333333333331</v>
      </c>
      <c r="G4570" t="s">
        <v>26021</v>
      </c>
      <c r="H4570" t="s">
        <v>26022</v>
      </c>
      <c r="I4570" t="s">
        <v>28931</v>
      </c>
      <c r="J4570" t="s">
        <v>26023</v>
      </c>
      <c r="K4570" t="s">
        <v>22659</v>
      </c>
      <c r="L4570" s="7" t="s">
        <v>26024</v>
      </c>
      <c r="M4570">
        <v>3003</v>
      </c>
      <c r="N4570">
        <v>16</v>
      </c>
      <c r="O4570">
        <v>12</v>
      </c>
      <c r="P4570">
        <v>4</v>
      </c>
      <c r="Q4570">
        <v>2</v>
      </c>
      <c r="R4570">
        <v>0</v>
      </c>
      <c r="S4570">
        <v>2</v>
      </c>
      <c r="T4570">
        <v>3</v>
      </c>
      <c r="U4570" t="s">
        <v>26025</v>
      </c>
      <c r="V4570">
        <f>Tabla1[[#This Row],[Aboard]]-Tabla1[[#This Row],[Fatalities]]</f>
        <v>14</v>
      </c>
      <c r="W4570" s="50">
        <f>IFERROR(Tabla1[[#This Row],[Fatalities]]/Tabla1[[#This Row],[Aboard]],0)</f>
        <v>0.125</v>
      </c>
      <c r="X4570" s="51" t="str" cm="1">
        <f t="array" ref="X4570">_xlfn.IFS(Tabla1[[#This Row],[Porcentaje de muertes]]&lt;0.35,"LEVE",AND(Tabla1[[#This Row],[Porcentaje de muertes]]&gt;0.35,Tabla1[[#This Row],[Porcentaje de muertes]]&lt;0.65),"MEDIO",Tabla1[[#This Row],[Porcentaje de muertes]]&gt;0.65,"GRAVE")</f>
        <v>LEVE</v>
      </c>
    </row>
    <row r="4571" spans="2:24" x14ac:dyDescent="0.3">
      <c r="B4571" s="9">
        <v>4571</v>
      </c>
      <c r="C4571" s="49">
        <v>38781</v>
      </c>
      <c r="D4571" s="9">
        <f>YEAR(Tabla1[[#This Row],[Date]])</f>
        <v>2006</v>
      </c>
      <c r="E4571" s="9" t="str" cm="1">
        <f t="array" ref="E4571">IFERROR(_xlfn.IFS(AND(D4571&lt;1980,D4571&gt;=1970),"70",AND(D4571&lt;1990,D4571&gt;=1980),"80",AND(D4571&lt;2000,D4571&gt;=1990),"90",AND(D4571&lt;2010,D4571&gt;=2000),"00",AND(D4571&lt;=2019,D4571&gt;=2010),"10"),"1908-1970")</f>
        <v>00</v>
      </c>
      <c r="F4571" s="3">
        <v>9.375E-2</v>
      </c>
      <c r="G4571" t="s">
        <v>17675</v>
      </c>
      <c r="H4571" t="s">
        <v>26026</v>
      </c>
      <c r="I4571">
        <v>967</v>
      </c>
      <c r="J4571" t="s">
        <v>26027</v>
      </c>
      <c r="K4571" t="s">
        <v>22324</v>
      </c>
      <c r="L4571" s="7" t="s">
        <v>26028</v>
      </c>
      <c r="M4571">
        <v>547</v>
      </c>
      <c r="N4571">
        <v>113</v>
      </c>
      <c r="O4571">
        <v>105</v>
      </c>
      <c r="P4571">
        <v>8</v>
      </c>
      <c r="Q4571">
        <v>113</v>
      </c>
      <c r="R4571">
        <v>105</v>
      </c>
      <c r="S4571">
        <v>8</v>
      </c>
      <c r="T4571">
        <v>0</v>
      </c>
      <c r="U4571" t="s">
        <v>26029</v>
      </c>
      <c r="V4571">
        <f>Tabla1[[#This Row],[Aboard]]-Tabla1[[#This Row],[Fatalities]]</f>
        <v>0</v>
      </c>
      <c r="W4571" s="50">
        <f>IFERROR(Tabla1[[#This Row],[Fatalities]]/Tabla1[[#This Row],[Aboard]],0)</f>
        <v>1</v>
      </c>
      <c r="X4571" s="51" t="str" cm="1">
        <f t="array" ref="X4571">_xlfn.IFS(Tabla1[[#This Row],[Porcentaje de muertes]]&lt;0.35,"LEVE",AND(Tabla1[[#This Row],[Porcentaje de muertes]]&gt;0.35,Tabla1[[#This Row],[Porcentaje de muertes]]&lt;0.65),"MEDIO",Tabla1[[#This Row],[Porcentaje de muertes]]&gt;0.65,"GRAVE")</f>
        <v>GRAVE</v>
      </c>
    </row>
    <row r="4572" spans="2:24" x14ac:dyDescent="0.3">
      <c r="B4572" s="9">
        <v>4572</v>
      </c>
      <c r="C4572" s="49">
        <v>38851</v>
      </c>
      <c r="D4572" s="9">
        <f>YEAR(Tabla1[[#This Row],[Date]])</f>
        <v>2006</v>
      </c>
      <c r="E4572" s="9" t="str" cm="1">
        <f t="array" ref="E4572">IFERROR(_xlfn.IFS(AND(D4572&lt;1980,D4572&gt;=1970),"70",AND(D4572&lt;1990,D4572&gt;=1980),"80",AND(D4572&lt;2000,D4572&gt;=1990),"90",AND(D4572&lt;2010,D4572&gt;=2000),"00",AND(D4572&lt;=2019,D4572&gt;=2010),"10"),"1908-1970")</f>
        <v>00</v>
      </c>
      <c r="F4572" s="3">
        <v>0.52222222222222225</v>
      </c>
      <c r="G4572" t="s">
        <v>26030</v>
      </c>
      <c r="H4572" t="s">
        <v>26031</v>
      </c>
      <c r="I4572" t="s">
        <v>28931</v>
      </c>
      <c r="J4572" t="s">
        <v>6190</v>
      </c>
      <c r="K4572" t="s">
        <v>14857</v>
      </c>
      <c r="L4572" s="7" t="s">
        <v>26032</v>
      </c>
      <c r="M4572">
        <v>202</v>
      </c>
      <c r="N4572">
        <v>3</v>
      </c>
      <c r="O4572">
        <v>0</v>
      </c>
      <c r="P4572">
        <v>3</v>
      </c>
      <c r="Q4572">
        <v>1</v>
      </c>
      <c r="R4572">
        <v>0</v>
      </c>
      <c r="S4572">
        <v>1</v>
      </c>
      <c r="T4572">
        <v>0</v>
      </c>
      <c r="U4572" t="s">
        <v>26033</v>
      </c>
      <c r="V4572">
        <f>Tabla1[[#This Row],[Aboard]]-Tabla1[[#This Row],[Fatalities]]</f>
        <v>2</v>
      </c>
      <c r="W4572" s="50">
        <f>IFERROR(Tabla1[[#This Row],[Fatalities]]/Tabla1[[#This Row],[Aboard]],0)</f>
        <v>0.33333333333333331</v>
      </c>
      <c r="X4572" s="51" t="str" cm="1">
        <f t="array" ref="X4572">_xlfn.IFS(Tabla1[[#This Row],[Porcentaje de muertes]]&lt;0.35,"LEVE",AND(Tabla1[[#This Row],[Porcentaje de muertes]]&gt;0.35,Tabla1[[#This Row],[Porcentaje de muertes]]&lt;0.65),"MEDIO",Tabla1[[#This Row],[Porcentaje de muertes]]&gt;0.65,"GRAVE")</f>
        <v>LEVE</v>
      </c>
    </row>
    <row r="4573" spans="2:24" x14ac:dyDescent="0.3">
      <c r="B4573" s="9">
        <v>4573</v>
      </c>
      <c r="C4573" s="49">
        <v>38860</v>
      </c>
      <c r="D4573" s="9">
        <f>YEAR(Tabla1[[#This Row],[Date]])</f>
        <v>2006</v>
      </c>
      <c r="E4573" s="9" t="str" cm="1">
        <f t="array" ref="E4573">IFERROR(_xlfn.IFS(AND(D4573&lt;1980,D4573&gt;=1970),"70",AND(D4573&lt;1990,D4573&gt;=1980),"80",AND(D4573&lt;2000,D4573&gt;=1990),"90",AND(D4573&lt;2010,D4573&gt;=2000),"00",AND(D4573&lt;=2019,D4573&gt;=2010),"10"),"1908-1970")</f>
        <v>00</v>
      </c>
      <c r="F4573" s="3">
        <v>0.76527777777777783</v>
      </c>
      <c r="G4573" t="s">
        <v>26034</v>
      </c>
      <c r="H4573" t="s">
        <v>26035</v>
      </c>
      <c r="I4573" t="s">
        <v>28931</v>
      </c>
      <c r="J4573" t="s">
        <v>6190</v>
      </c>
      <c r="K4573" t="s">
        <v>16680</v>
      </c>
      <c r="L4573" s="7" t="s">
        <v>26036</v>
      </c>
      <c r="M4573">
        <v>648</v>
      </c>
      <c r="N4573">
        <v>4</v>
      </c>
      <c r="O4573">
        <v>2</v>
      </c>
      <c r="P4573">
        <v>2</v>
      </c>
      <c r="Q4573">
        <v>4</v>
      </c>
      <c r="R4573">
        <v>2</v>
      </c>
      <c r="S4573">
        <v>2</v>
      </c>
      <c r="T4573">
        <v>0</v>
      </c>
      <c r="U4573" t="s">
        <v>26037</v>
      </c>
      <c r="V4573">
        <f>Tabla1[[#This Row],[Aboard]]-Tabla1[[#This Row],[Fatalities]]</f>
        <v>0</v>
      </c>
      <c r="W4573" s="50">
        <f>IFERROR(Tabla1[[#This Row],[Fatalities]]/Tabla1[[#This Row],[Aboard]],0)</f>
        <v>1</v>
      </c>
      <c r="X4573" s="51" t="str" cm="1">
        <f t="array" ref="X4573">_xlfn.IFS(Tabla1[[#This Row],[Porcentaje de muertes]]&lt;0.35,"LEVE",AND(Tabla1[[#This Row],[Porcentaje de muertes]]&gt;0.35,Tabla1[[#This Row],[Porcentaje de muertes]]&lt;0.65),"MEDIO",Tabla1[[#This Row],[Porcentaje de muertes]]&gt;0.65,"GRAVE")</f>
        <v>GRAVE</v>
      </c>
    </row>
    <row r="4574" spans="2:24" x14ac:dyDescent="0.3">
      <c r="B4574" s="9">
        <v>4574</v>
      </c>
      <c r="C4574" s="49">
        <v>38782</v>
      </c>
      <c r="D4574" s="9">
        <f>YEAR(Tabla1[[#This Row],[Date]])</f>
        <v>2006</v>
      </c>
      <c r="E4574" s="9" t="str" cm="1">
        <f t="array" ref="E4574">IFERROR(_xlfn.IFS(AND(D4574&lt;1980,D4574&gt;=1970),"70",AND(D4574&lt;1990,D4574&gt;=1980),"80",AND(D4574&lt;2000,D4574&gt;=1990),"90",AND(D4574&lt;2010,D4574&gt;=2000),"00",AND(D4574&lt;=2019,D4574&gt;=2010),"10"),"1908-1970")</f>
        <v>00</v>
      </c>
      <c r="F4574" s="3">
        <v>0.625</v>
      </c>
      <c r="G4574" t="s">
        <v>26038</v>
      </c>
      <c r="H4574" t="s">
        <v>8566</v>
      </c>
      <c r="I4574" t="s">
        <v>28931</v>
      </c>
      <c r="J4574" t="s">
        <v>28931</v>
      </c>
      <c r="K4574" t="s">
        <v>26039</v>
      </c>
      <c r="L4574" s="7" t="s">
        <v>28931</v>
      </c>
      <c r="M4574" t="s">
        <v>28931</v>
      </c>
      <c r="N4574">
        <v>40</v>
      </c>
      <c r="O4574">
        <v>35</v>
      </c>
      <c r="P4574">
        <v>5</v>
      </c>
      <c r="Q4574">
        <v>40</v>
      </c>
      <c r="R4574">
        <v>35</v>
      </c>
      <c r="S4574">
        <v>5</v>
      </c>
      <c r="T4574">
        <v>0</v>
      </c>
      <c r="U4574" t="s">
        <v>26040</v>
      </c>
      <c r="V4574">
        <f>Tabla1[[#This Row],[Aboard]]-Tabla1[[#This Row],[Fatalities]]</f>
        <v>0</v>
      </c>
      <c r="W4574" s="50">
        <f>IFERROR(Tabla1[[#This Row],[Fatalities]]/Tabla1[[#This Row],[Aboard]],0)</f>
        <v>1</v>
      </c>
      <c r="X4574" s="51" t="str" cm="1">
        <f t="array" ref="X4574">_xlfn.IFS(Tabla1[[#This Row],[Porcentaje de muertes]]&lt;0.35,"LEVE",AND(Tabla1[[#This Row],[Porcentaje de muertes]]&gt;0.35,Tabla1[[#This Row],[Porcentaje de muertes]]&lt;0.65),"MEDIO",Tabla1[[#This Row],[Porcentaje de muertes]]&gt;0.65,"GRAVE")</f>
        <v>GRAVE</v>
      </c>
    </row>
    <row r="4575" spans="2:24" x14ac:dyDescent="0.3">
      <c r="B4575" s="9">
        <v>4575</v>
      </c>
      <c r="C4575" s="49">
        <v>39027</v>
      </c>
      <c r="D4575" s="9">
        <f>YEAR(Tabla1[[#This Row],[Date]])</f>
        <v>2006</v>
      </c>
      <c r="E4575" s="9" t="str" cm="1">
        <f t="array" ref="E4575">IFERROR(_xlfn.IFS(AND(D4575&lt;1980,D4575&gt;=1970),"70",AND(D4575&lt;1990,D4575&gt;=1980),"80",AND(D4575&lt;2000,D4575&gt;=1990),"90",AND(D4575&lt;2010,D4575&gt;=2000),"00",AND(D4575&lt;=2019,D4575&gt;=2010),"10"),"1908-1970")</f>
        <v>00</v>
      </c>
      <c r="F4575" s="3">
        <v>0.77083333333333337</v>
      </c>
      <c r="G4575" t="s">
        <v>26041</v>
      </c>
      <c r="H4575" t="s">
        <v>26042</v>
      </c>
      <c r="I4575" t="s">
        <v>28931</v>
      </c>
      <c r="J4575" t="s">
        <v>26043</v>
      </c>
      <c r="K4575" t="s">
        <v>17490</v>
      </c>
      <c r="L4575" s="7" t="s">
        <v>26044</v>
      </c>
      <c r="M4575">
        <v>5141</v>
      </c>
      <c r="N4575">
        <v>7</v>
      </c>
      <c r="O4575">
        <v>0</v>
      </c>
      <c r="P4575">
        <v>7</v>
      </c>
      <c r="Q4575">
        <v>5</v>
      </c>
      <c r="R4575">
        <v>0</v>
      </c>
      <c r="S4575">
        <v>5</v>
      </c>
      <c r="T4575">
        <v>0</v>
      </c>
      <c r="U4575" t="s">
        <v>26045</v>
      </c>
      <c r="V4575">
        <f>Tabla1[[#This Row],[Aboard]]-Tabla1[[#This Row],[Fatalities]]</f>
        <v>2</v>
      </c>
      <c r="W4575" s="50">
        <f>IFERROR(Tabla1[[#This Row],[Fatalities]]/Tabla1[[#This Row],[Aboard]],0)</f>
        <v>0.7142857142857143</v>
      </c>
      <c r="X4575" s="51" t="str" cm="1">
        <f t="array" ref="X4575">_xlfn.IFS(Tabla1[[#This Row],[Porcentaje de muertes]]&lt;0.35,"LEVE",AND(Tabla1[[#This Row],[Porcentaje de muertes]]&gt;0.35,Tabla1[[#This Row],[Porcentaje de muertes]]&lt;0.65),"MEDIO",Tabla1[[#This Row],[Porcentaje de muertes]]&gt;0.65,"GRAVE")</f>
        <v>GRAVE</v>
      </c>
    </row>
    <row r="4576" spans="2:24" x14ac:dyDescent="0.3">
      <c r="B4576" s="9">
        <v>4576</v>
      </c>
      <c r="C4576" s="49">
        <v>38889</v>
      </c>
      <c r="D4576" s="9">
        <f>YEAR(Tabla1[[#This Row],[Date]])</f>
        <v>2006</v>
      </c>
      <c r="E4576" s="9" t="str" cm="1">
        <f t="array" ref="E4576">IFERROR(_xlfn.IFS(AND(D4576&lt;1980,D4576&gt;=1970),"70",AND(D4576&lt;1990,D4576&gt;=1980),"80",AND(D4576&lt;2000,D4576&gt;=1990),"90",AND(D4576&lt;2010,D4576&gt;=2000),"00",AND(D4576&lt;=2019,D4576&gt;=2010),"10"),"1908-1970")</f>
        <v>00</v>
      </c>
      <c r="F4576" s="3">
        <v>0.50208333333333333</v>
      </c>
      <c r="G4576" t="s">
        <v>26046</v>
      </c>
      <c r="H4576" t="s">
        <v>25557</v>
      </c>
      <c r="I4576" t="s">
        <v>28931</v>
      </c>
      <c r="J4576" t="s">
        <v>26047</v>
      </c>
      <c r="K4576" t="s">
        <v>16680</v>
      </c>
      <c r="L4576" s="7" t="s">
        <v>26048</v>
      </c>
      <c r="M4576">
        <v>708</v>
      </c>
      <c r="N4576">
        <v>9</v>
      </c>
      <c r="O4576">
        <v>6</v>
      </c>
      <c r="P4576">
        <v>3</v>
      </c>
      <c r="Q4576">
        <v>9</v>
      </c>
      <c r="R4576">
        <v>6</v>
      </c>
      <c r="S4576">
        <v>3</v>
      </c>
      <c r="T4576">
        <v>0</v>
      </c>
      <c r="U4576" t="s">
        <v>26049</v>
      </c>
      <c r="V4576">
        <f>Tabla1[[#This Row],[Aboard]]-Tabla1[[#This Row],[Fatalities]]</f>
        <v>0</v>
      </c>
      <c r="W4576" s="50">
        <f>IFERROR(Tabla1[[#This Row],[Fatalities]]/Tabla1[[#This Row],[Aboard]],0)</f>
        <v>1</v>
      </c>
      <c r="X4576" s="51" t="str" cm="1">
        <f t="array" ref="X4576">_xlfn.IFS(Tabla1[[#This Row],[Porcentaje de muertes]]&lt;0.35,"LEVE",AND(Tabla1[[#This Row],[Porcentaje de muertes]]&gt;0.35,Tabla1[[#This Row],[Porcentaje de muertes]]&lt;0.65),"MEDIO",Tabla1[[#This Row],[Porcentaje de muertes]]&gt;0.65,"GRAVE")</f>
        <v>GRAVE</v>
      </c>
    </row>
    <row r="4577" spans="2:24" x14ac:dyDescent="0.3">
      <c r="B4577" s="9">
        <v>4577</v>
      </c>
      <c r="C4577" s="49">
        <v>38905</v>
      </c>
      <c r="D4577" s="9">
        <f>YEAR(Tabla1[[#This Row],[Date]])</f>
        <v>2006</v>
      </c>
      <c r="E4577" s="9" t="str" cm="1">
        <f t="array" ref="E4577">IFERROR(_xlfn.IFS(AND(D4577&lt;1980,D4577&gt;=1970),"70",AND(D4577&lt;1990,D4577&gt;=1980),"80",AND(D4577&lt;2000,D4577&gt;=1990),"90",AND(D4577&lt;2010,D4577&gt;=2000),"00",AND(D4577&lt;=2019,D4577&gt;=2010),"10"),"1908-1970")</f>
        <v>00</v>
      </c>
      <c r="F4577" s="3">
        <v>0.64930555555555558</v>
      </c>
      <c r="G4577" t="s">
        <v>26050</v>
      </c>
      <c r="H4577" t="s">
        <v>26051</v>
      </c>
      <c r="I4577" t="s">
        <v>28931</v>
      </c>
      <c r="J4577" t="s">
        <v>26052</v>
      </c>
      <c r="K4577" t="s">
        <v>16093</v>
      </c>
      <c r="L4577" s="7" t="s">
        <v>26053</v>
      </c>
      <c r="M4577">
        <v>3341506</v>
      </c>
      <c r="N4577">
        <v>5</v>
      </c>
      <c r="O4577">
        <v>2</v>
      </c>
      <c r="P4577">
        <v>3</v>
      </c>
      <c r="Q4577">
        <v>5</v>
      </c>
      <c r="R4577">
        <v>2</v>
      </c>
      <c r="S4577">
        <v>3</v>
      </c>
      <c r="T4577">
        <v>0</v>
      </c>
      <c r="U4577" t="s">
        <v>26054</v>
      </c>
      <c r="V4577">
        <f>Tabla1[[#This Row],[Aboard]]-Tabla1[[#This Row],[Fatalities]]</f>
        <v>0</v>
      </c>
      <c r="W4577" s="50">
        <f>IFERROR(Tabla1[[#This Row],[Fatalities]]/Tabla1[[#This Row],[Aboard]],0)</f>
        <v>1</v>
      </c>
      <c r="X4577" s="51" t="str" cm="1">
        <f t="array" ref="X4577">_xlfn.IFS(Tabla1[[#This Row],[Porcentaje de muertes]]&lt;0.35,"LEVE",AND(Tabla1[[#This Row],[Porcentaje de muertes]]&gt;0.35,Tabla1[[#This Row],[Porcentaje de muertes]]&lt;0.65),"MEDIO",Tabla1[[#This Row],[Porcentaje de muertes]]&gt;0.65,"GRAVE")</f>
        <v>GRAVE</v>
      </c>
    </row>
    <row r="4578" spans="2:24" x14ac:dyDescent="0.3">
      <c r="B4578" s="9">
        <v>4578</v>
      </c>
      <c r="C4578" s="49">
        <v>38967</v>
      </c>
      <c r="D4578" s="9">
        <f>YEAR(Tabla1[[#This Row],[Date]])</f>
        <v>2006</v>
      </c>
      <c r="E4578" s="9" t="str" cm="1">
        <f t="array" ref="E4578">IFERROR(_xlfn.IFS(AND(D4578&lt;1980,D4578&gt;=1970),"70",AND(D4578&lt;1990,D4578&gt;=1980),"80",AND(D4578&lt;2000,D4578&gt;=1990),"90",AND(D4578&lt;2010,D4578&gt;=2000),"00",AND(D4578&lt;=2019,D4578&gt;=2010),"10"),"1908-1970")</f>
        <v>00</v>
      </c>
      <c r="F4578" s="3">
        <v>0.32222222222222224</v>
      </c>
      <c r="G4578" t="s">
        <v>11429</v>
      </c>
      <c r="H4578" t="s">
        <v>26055</v>
      </c>
      <c r="I4578" t="s">
        <v>26056</v>
      </c>
      <c r="J4578" t="s">
        <v>13910</v>
      </c>
      <c r="K4578" t="s">
        <v>26057</v>
      </c>
      <c r="L4578" s="7" t="s">
        <v>26058</v>
      </c>
      <c r="M4578">
        <v>442</v>
      </c>
      <c r="N4578">
        <v>203</v>
      </c>
      <c r="O4578">
        <v>195</v>
      </c>
      <c r="P4578">
        <v>8</v>
      </c>
      <c r="Q4578">
        <v>125</v>
      </c>
      <c r="R4578">
        <v>120</v>
      </c>
      <c r="S4578">
        <v>5</v>
      </c>
      <c r="T4578">
        <v>0</v>
      </c>
      <c r="U4578" t="s">
        <v>26059</v>
      </c>
      <c r="V4578">
        <f>Tabla1[[#This Row],[Aboard]]-Tabla1[[#This Row],[Fatalities]]</f>
        <v>78</v>
      </c>
      <c r="W4578" s="50">
        <f>IFERROR(Tabla1[[#This Row],[Fatalities]]/Tabla1[[#This Row],[Aboard]],0)</f>
        <v>0.61576354679802958</v>
      </c>
      <c r="X4578" s="51" t="str" cm="1">
        <f t="array" ref="X4578">_xlfn.IFS(Tabla1[[#This Row],[Porcentaje de muertes]]&lt;0.35,"LEVE",AND(Tabla1[[#This Row],[Porcentaje de muertes]]&gt;0.35,Tabla1[[#This Row],[Porcentaje de muertes]]&lt;0.65),"MEDIO",Tabla1[[#This Row],[Porcentaje de muertes]]&gt;0.65,"GRAVE")</f>
        <v>MEDIO</v>
      </c>
    </row>
    <row r="4579" spans="2:24" x14ac:dyDescent="0.3">
      <c r="B4579" s="9">
        <v>4579</v>
      </c>
      <c r="C4579" s="49">
        <v>38997</v>
      </c>
      <c r="D4579" s="9">
        <f>YEAR(Tabla1[[#This Row],[Date]])</f>
        <v>2006</v>
      </c>
      <c r="E4579" s="9" t="str" cm="1">
        <f t="array" ref="E4579">IFERROR(_xlfn.IFS(AND(D4579&lt;1980,D4579&gt;=1970),"70",AND(D4579&lt;1990,D4579&gt;=1980),"80",AND(D4579&lt;2000,D4579&gt;=1990),"90",AND(D4579&lt;2010,D4579&gt;=2000),"00",AND(D4579&lt;=2019,D4579&gt;=2010),"10"),"1908-1970")</f>
        <v>00</v>
      </c>
      <c r="F4579" s="3">
        <v>0.50347222222222221</v>
      </c>
      <c r="G4579" t="s">
        <v>26060</v>
      </c>
      <c r="H4579" t="s">
        <v>11736</v>
      </c>
      <c r="I4579">
        <v>688</v>
      </c>
      <c r="J4579" t="s">
        <v>26061</v>
      </c>
      <c r="K4579" t="s">
        <v>14481</v>
      </c>
      <c r="L4579" s="7" t="s">
        <v>26062</v>
      </c>
      <c r="M4579">
        <v>10243</v>
      </c>
      <c r="N4579">
        <v>45</v>
      </c>
      <c r="O4579">
        <v>41</v>
      </c>
      <c r="P4579">
        <v>4</v>
      </c>
      <c r="Q4579">
        <v>45</v>
      </c>
      <c r="R4579">
        <v>41</v>
      </c>
      <c r="S4579">
        <v>4</v>
      </c>
      <c r="T4579">
        <v>0</v>
      </c>
      <c r="U4579" t="s">
        <v>26063</v>
      </c>
      <c r="V4579">
        <f>Tabla1[[#This Row],[Aboard]]-Tabla1[[#This Row],[Fatalities]]</f>
        <v>0</v>
      </c>
      <c r="W4579" s="50">
        <f>IFERROR(Tabla1[[#This Row],[Fatalities]]/Tabla1[[#This Row],[Aboard]],0)</f>
        <v>1</v>
      </c>
      <c r="X4579" s="51" t="str" cm="1">
        <f t="array" ref="X4579">_xlfn.IFS(Tabla1[[#This Row],[Porcentaje de muertes]]&lt;0.35,"LEVE",AND(Tabla1[[#This Row],[Porcentaje de muertes]]&gt;0.35,Tabla1[[#This Row],[Porcentaje de muertes]]&lt;0.65),"MEDIO",Tabla1[[#This Row],[Porcentaje de muertes]]&gt;0.65,"GRAVE")</f>
        <v>GRAVE</v>
      </c>
    </row>
    <row r="4580" spans="2:24" x14ac:dyDescent="0.3">
      <c r="B4580" s="9">
        <v>4580</v>
      </c>
      <c r="C4580" s="49">
        <v>38925</v>
      </c>
      <c r="D4580" s="9">
        <f>YEAR(Tabla1[[#This Row],[Date]])</f>
        <v>2006</v>
      </c>
      <c r="E4580" s="9" t="str" cm="1">
        <f t="array" ref="E4580">IFERROR(_xlfn.IFS(AND(D4580&lt;1980,D4580&gt;=1970),"70",AND(D4580&lt;1990,D4580&gt;=1980),"80",AND(D4580&lt;2000,D4580&gt;=1990),"90",AND(D4580&lt;2010,D4580&gt;=2000),"00",AND(D4580&lt;=2019,D4580&gt;=2010),"10"),"1908-1970")</f>
        <v>00</v>
      </c>
      <c r="F4580" s="3" t="s">
        <v>28931</v>
      </c>
      <c r="G4580" t="s">
        <v>19939</v>
      </c>
      <c r="H4580" t="s">
        <v>26064</v>
      </c>
      <c r="I4580" t="s">
        <v>28931</v>
      </c>
      <c r="J4580" t="s">
        <v>26065</v>
      </c>
      <c r="K4580" t="s">
        <v>22172</v>
      </c>
      <c r="L4580" s="7" t="s">
        <v>28931</v>
      </c>
      <c r="M4580" t="s">
        <v>28931</v>
      </c>
      <c r="N4580">
        <v>17</v>
      </c>
      <c r="O4580">
        <v>14</v>
      </c>
      <c r="P4580">
        <v>3</v>
      </c>
      <c r="Q4580">
        <v>17</v>
      </c>
      <c r="R4580">
        <v>14</v>
      </c>
      <c r="S4580">
        <v>3</v>
      </c>
      <c r="T4580">
        <v>0</v>
      </c>
      <c r="U4580" t="s">
        <v>25381</v>
      </c>
      <c r="V4580">
        <f>Tabla1[[#This Row],[Aboard]]-Tabla1[[#This Row],[Fatalities]]</f>
        <v>0</v>
      </c>
      <c r="W4580" s="50">
        <f>IFERROR(Tabla1[[#This Row],[Fatalities]]/Tabla1[[#This Row],[Aboard]],0)</f>
        <v>1</v>
      </c>
      <c r="X4580" s="51" t="str" cm="1">
        <f t="array" ref="X4580">_xlfn.IFS(Tabla1[[#This Row],[Porcentaje de muertes]]&lt;0.35,"LEVE",AND(Tabla1[[#This Row],[Porcentaje de muertes]]&gt;0.35,Tabla1[[#This Row],[Porcentaje de muertes]]&lt;0.65),"MEDIO",Tabla1[[#This Row],[Porcentaje de muertes]]&gt;0.65,"GRAVE")</f>
        <v>GRAVE</v>
      </c>
    </row>
    <row r="4581" spans="2:24" x14ac:dyDescent="0.3">
      <c r="B4581" s="9">
        <v>4581</v>
      </c>
      <c r="C4581" s="49">
        <v>38784</v>
      </c>
      <c r="D4581" s="9">
        <f>YEAR(Tabla1[[#This Row],[Date]])</f>
        <v>2006</v>
      </c>
      <c r="E4581" s="9" t="str" cm="1">
        <f t="array" ref="E4581">IFERROR(_xlfn.IFS(AND(D4581&lt;1980,D4581&gt;=1970),"70",AND(D4581&lt;1990,D4581&gt;=1980),"80",AND(D4581&lt;2000,D4581&gt;=1990),"90",AND(D4581&lt;2010,D4581&gt;=2000),"00",AND(D4581&lt;=2019,D4581&gt;=2010),"10"),"1908-1970")</f>
        <v>00</v>
      </c>
      <c r="F4581" s="3" t="s">
        <v>28931</v>
      </c>
      <c r="G4581" t="s">
        <v>26066</v>
      </c>
      <c r="H4581" t="s">
        <v>26067</v>
      </c>
      <c r="I4581" t="s">
        <v>28931</v>
      </c>
      <c r="J4581" t="s">
        <v>26068</v>
      </c>
      <c r="K4581" t="s">
        <v>22071</v>
      </c>
      <c r="L4581" s="7" t="s">
        <v>26069</v>
      </c>
      <c r="M4581" t="s">
        <v>26070</v>
      </c>
      <c r="N4581">
        <v>17</v>
      </c>
      <c r="O4581">
        <v>14</v>
      </c>
      <c r="P4581">
        <v>3</v>
      </c>
      <c r="Q4581">
        <v>17</v>
      </c>
      <c r="R4581">
        <v>14</v>
      </c>
      <c r="S4581">
        <v>3</v>
      </c>
      <c r="T4581">
        <v>0</v>
      </c>
      <c r="U4581" t="s">
        <v>26071</v>
      </c>
      <c r="V4581">
        <f>Tabla1[[#This Row],[Aboard]]-Tabla1[[#This Row],[Fatalities]]</f>
        <v>0</v>
      </c>
      <c r="W4581" s="50">
        <f>IFERROR(Tabla1[[#This Row],[Fatalities]]/Tabla1[[#This Row],[Aboard]],0)</f>
        <v>1</v>
      </c>
      <c r="X4581" s="51" t="str" cm="1">
        <f t="array" ref="X4581">_xlfn.IFS(Tabla1[[#This Row],[Porcentaje de muertes]]&lt;0.35,"LEVE",AND(Tabla1[[#This Row],[Porcentaje de muertes]]&gt;0.35,Tabla1[[#This Row],[Porcentaje de muertes]]&lt;0.65),"MEDIO",Tabla1[[#This Row],[Porcentaje de muertes]]&gt;0.65,"GRAVE")</f>
        <v>GRAVE</v>
      </c>
    </row>
    <row r="4582" spans="2:24" x14ac:dyDescent="0.3">
      <c r="B4582" s="9">
        <v>4582</v>
      </c>
      <c r="C4582" s="49">
        <v>38815</v>
      </c>
      <c r="D4582" s="9">
        <f>YEAR(Tabla1[[#This Row],[Date]])</f>
        <v>2006</v>
      </c>
      <c r="E4582" s="9" t="str" cm="1">
        <f t="array" ref="E4582">IFERROR(_xlfn.IFS(AND(D4582&lt;1980,D4582&gt;=1970),"70",AND(D4582&lt;1990,D4582&gt;=1980),"80",AND(D4582&lt;2000,D4582&gt;=1990),"90",AND(D4582&lt;2010,D4582&gt;=2000),"00",AND(D4582&lt;=2019,D4582&gt;=2010),"10"),"1908-1970")</f>
        <v>00</v>
      </c>
      <c r="F4582" s="3">
        <v>0.39583333333333331</v>
      </c>
      <c r="G4582" t="s">
        <v>26072</v>
      </c>
      <c r="H4582" t="s">
        <v>25741</v>
      </c>
      <c r="I4582">
        <v>59</v>
      </c>
      <c r="J4582" t="s">
        <v>26073</v>
      </c>
      <c r="K4582" t="s">
        <v>22499</v>
      </c>
      <c r="L4582" s="7" t="s">
        <v>26074</v>
      </c>
      <c r="M4582" t="s">
        <v>26075</v>
      </c>
      <c r="N4582">
        <v>1</v>
      </c>
      <c r="O4582">
        <v>0</v>
      </c>
      <c r="P4582">
        <v>1</v>
      </c>
      <c r="Q4582">
        <v>1</v>
      </c>
      <c r="R4582">
        <v>0</v>
      </c>
      <c r="S4582">
        <v>1</v>
      </c>
      <c r="T4582">
        <v>0</v>
      </c>
      <c r="U4582" t="s">
        <v>26076</v>
      </c>
      <c r="V4582">
        <f>Tabla1[[#This Row],[Aboard]]-Tabla1[[#This Row],[Fatalities]]</f>
        <v>0</v>
      </c>
      <c r="W4582" s="50">
        <f>IFERROR(Tabla1[[#This Row],[Fatalities]]/Tabla1[[#This Row],[Aboard]],0)</f>
        <v>1</v>
      </c>
      <c r="X4582" s="51" t="str" cm="1">
        <f t="array" ref="X4582">_xlfn.IFS(Tabla1[[#This Row],[Porcentaje de muertes]]&lt;0.35,"LEVE",AND(Tabla1[[#This Row],[Porcentaje de muertes]]&gt;0.35,Tabla1[[#This Row],[Porcentaje de muertes]]&lt;0.65),"MEDIO",Tabla1[[#This Row],[Porcentaje de muertes]]&gt;0.65,"GRAVE")</f>
        <v>GRAVE</v>
      </c>
    </row>
    <row r="4583" spans="2:24" x14ac:dyDescent="0.3">
      <c r="B4583" s="9">
        <v>4583</v>
      </c>
      <c r="C4583" s="49">
        <v>38942</v>
      </c>
      <c r="D4583" s="9">
        <f>YEAR(Tabla1[[#This Row],[Date]])</f>
        <v>2006</v>
      </c>
      <c r="E4583" s="9" t="str" cm="1">
        <f t="array" ref="E4583">IFERROR(_xlfn.IFS(AND(D4583&lt;1980,D4583&gt;=1970),"70",AND(D4583&lt;1990,D4583&gt;=1980),"80",AND(D4583&lt;2000,D4583&gt;=1990),"90",AND(D4583&lt;2010,D4583&gt;=2000),"00",AND(D4583&lt;=2019,D4583&gt;=2010),"10"),"1908-1970")</f>
        <v>00</v>
      </c>
      <c r="F4583" s="3">
        <v>0.84375</v>
      </c>
      <c r="G4583" t="s">
        <v>26077</v>
      </c>
      <c r="H4583" t="s">
        <v>14912</v>
      </c>
      <c r="I4583">
        <v>2208</v>
      </c>
      <c r="J4583" t="s">
        <v>26078</v>
      </c>
      <c r="K4583" t="s">
        <v>17107</v>
      </c>
      <c r="L4583" s="7" t="s">
        <v>26079</v>
      </c>
      <c r="M4583">
        <v>4880</v>
      </c>
      <c r="N4583">
        <v>3</v>
      </c>
      <c r="O4583">
        <v>0</v>
      </c>
      <c r="P4583">
        <v>3</v>
      </c>
      <c r="Q4583">
        <v>3</v>
      </c>
      <c r="R4583">
        <v>0</v>
      </c>
      <c r="S4583">
        <v>3</v>
      </c>
      <c r="T4583">
        <v>0</v>
      </c>
      <c r="U4583" t="s">
        <v>26080</v>
      </c>
      <c r="V4583">
        <f>Tabla1[[#This Row],[Aboard]]-Tabla1[[#This Row],[Fatalities]]</f>
        <v>0</v>
      </c>
      <c r="W4583" s="50">
        <f>IFERROR(Tabla1[[#This Row],[Fatalities]]/Tabla1[[#This Row],[Aboard]],0)</f>
        <v>1</v>
      </c>
      <c r="X4583" s="51" t="str" cm="1">
        <f t="array" ref="X4583">_xlfn.IFS(Tabla1[[#This Row],[Porcentaje de muertes]]&lt;0.35,"LEVE",AND(Tabla1[[#This Row],[Porcentaje de muertes]]&gt;0.35,Tabla1[[#This Row],[Porcentaje de muertes]]&lt;0.65),"MEDIO",Tabla1[[#This Row],[Porcentaje de muertes]]&gt;0.65,"GRAVE")</f>
        <v>GRAVE</v>
      </c>
    </row>
    <row r="4584" spans="2:24" x14ac:dyDescent="0.3">
      <c r="B4584" s="9">
        <v>4584</v>
      </c>
      <c r="C4584" s="49">
        <v>38951</v>
      </c>
      <c r="D4584" s="9">
        <f>YEAR(Tabla1[[#This Row],[Date]])</f>
        <v>2006</v>
      </c>
      <c r="E4584" s="9" t="str" cm="1">
        <f t="array" ref="E4584">IFERROR(_xlfn.IFS(AND(D4584&lt;1980,D4584&gt;=1970),"70",AND(D4584&lt;1990,D4584&gt;=1980),"80",AND(D4584&lt;2000,D4584&gt;=1990),"90",AND(D4584&lt;2010,D4584&gt;=2000),"00",AND(D4584&lt;=2019,D4584&gt;=2010),"10"),"1908-1970")</f>
        <v>00</v>
      </c>
      <c r="F4584" s="3">
        <v>0.64583333333333337</v>
      </c>
      <c r="G4584" t="s">
        <v>26081</v>
      </c>
      <c r="H4584" t="s">
        <v>26082</v>
      </c>
      <c r="I4584" t="s">
        <v>26083</v>
      </c>
      <c r="J4584" t="s">
        <v>26084</v>
      </c>
      <c r="K4584" t="s">
        <v>24778</v>
      </c>
      <c r="L4584" s="7" t="s">
        <v>26085</v>
      </c>
      <c r="M4584">
        <v>894</v>
      </c>
      <c r="N4584">
        <v>170</v>
      </c>
      <c r="O4584">
        <v>160</v>
      </c>
      <c r="P4584">
        <v>10</v>
      </c>
      <c r="Q4584">
        <v>170</v>
      </c>
      <c r="R4584">
        <v>160</v>
      </c>
      <c r="S4584">
        <v>10</v>
      </c>
      <c r="T4584">
        <v>0</v>
      </c>
      <c r="U4584" t="s">
        <v>26086</v>
      </c>
      <c r="V4584">
        <f>Tabla1[[#This Row],[Aboard]]-Tabla1[[#This Row],[Fatalities]]</f>
        <v>0</v>
      </c>
      <c r="W4584" s="50">
        <f>IFERROR(Tabla1[[#This Row],[Fatalities]]/Tabla1[[#This Row],[Aboard]],0)</f>
        <v>1</v>
      </c>
      <c r="X4584" s="51" t="str" cm="1">
        <f t="array" ref="X4584">_xlfn.IFS(Tabla1[[#This Row],[Porcentaje de muertes]]&lt;0.35,"LEVE",AND(Tabla1[[#This Row],[Porcentaje de muertes]]&gt;0.35,Tabla1[[#This Row],[Porcentaje de muertes]]&lt;0.65),"MEDIO",Tabla1[[#This Row],[Porcentaje de muertes]]&gt;0.65,"GRAVE")</f>
        <v>GRAVE</v>
      </c>
    </row>
    <row r="4585" spans="2:24" x14ac:dyDescent="0.3">
      <c r="B4585" s="9">
        <v>4585</v>
      </c>
      <c r="C4585" s="49">
        <v>38956</v>
      </c>
      <c r="D4585" s="9">
        <f>YEAR(Tabla1[[#This Row],[Date]])</f>
        <v>2006</v>
      </c>
      <c r="E4585" s="9" t="str" cm="1">
        <f t="array" ref="E4585">IFERROR(_xlfn.IFS(AND(D4585&lt;1980,D4585&gt;=1970),"70",AND(D4585&lt;1990,D4585&gt;=1980),"80",AND(D4585&lt;2000,D4585&gt;=1990),"90",AND(D4585&lt;2010,D4585&gt;=2000),"00",AND(D4585&lt;=2019,D4585&gt;=2010),"10"),"1908-1970")</f>
        <v>00</v>
      </c>
      <c r="F4585" s="3">
        <v>0.25486111111111109</v>
      </c>
      <c r="G4585" t="s">
        <v>26087</v>
      </c>
      <c r="H4585" t="s">
        <v>18513</v>
      </c>
      <c r="I4585">
        <v>5191</v>
      </c>
      <c r="J4585" t="s">
        <v>26088</v>
      </c>
      <c r="K4585" t="s">
        <v>26089</v>
      </c>
      <c r="L4585" s="7" t="s">
        <v>26090</v>
      </c>
      <c r="M4585">
        <v>7472</v>
      </c>
      <c r="N4585">
        <v>50</v>
      </c>
      <c r="O4585">
        <v>47</v>
      </c>
      <c r="P4585">
        <v>3</v>
      </c>
      <c r="Q4585">
        <v>49</v>
      </c>
      <c r="R4585">
        <v>47</v>
      </c>
      <c r="S4585">
        <v>2</v>
      </c>
      <c r="T4585">
        <v>0</v>
      </c>
      <c r="U4585" t="s">
        <v>26091</v>
      </c>
      <c r="V4585">
        <f>Tabla1[[#This Row],[Aboard]]-Tabla1[[#This Row],[Fatalities]]</f>
        <v>1</v>
      </c>
      <c r="W4585" s="50">
        <f>IFERROR(Tabla1[[#This Row],[Fatalities]]/Tabla1[[#This Row],[Aboard]],0)</f>
        <v>0.98</v>
      </c>
      <c r="X4585" s="51" t="str" cm="1">
        <f t="array" ref="X4585">_xlfn.IFS(Tabla1[[#This Row],[Porcentaje de muertes]]&lt;0.35,"LEVE",AND(Tabla1[[#This Row],[Porcentaje de muertes]]&gt;0.35,Tabla1[[#This Row],[Porcentaje de muertes]]&lt;0.65),"MEDIO",Tabla1[[#This Row],[Porcentaje de muertes]]&gt;0.65,"GRAVE")</f>
        <v>GRAVE</v>
      </c>
    </row>
    <row r="4586" spans="2:24" x14ac:dyDescent="0.3">
      <c r="B4586" s="9">
        <v>4586</v>
      </c>
      <c r="C4586" s="49">
        <v>38726</v>
      </c>
      <c r="D4586" s="9">
        <f>YEAR(Tabla1[[#This Row],[Date]])</f>
        <v>2006</v>
      </c>
      <c r="E4586" s="9" t="str" cm="1">
        <f t="array" ref="E4586">IFERROR(_xlfn.IFS(AND(D4586&lt;1980,D4586&gt;=1970),"70",AND(D4586&lt;1990,D4586&gt;=1980),"80",AND(D4586&lt;2000,D4586&gt;=1990),"90",AND(D4586&lt;2010,D4586&gt;=2000),"00",AND(D4586&lt;=2019,D4586&gt;=2010),"10"),"1908-1970")</f>
        <v>00</v>
      </c>
      <c r="F4586" s="3">
        <v>0.57291666666666663</v>
      </c>
      <c r="G4586" t="s">
        <v>26092</v>
      </c>
      <c r="H4586" t="s">
        <v>24922</v>
      </c>
      <c r="I4586" t="s">
        <v>28931</v>
      </c>
      <c r="J4586" t="s">
        <v>26093</v>
      </c>
      <c r="K4586" t="s">
        <v>24778</v>
      </c>
      <c r="L4586" s="7" t="s">
        <v>26094</v>
      </c>
      <c r="M4586" t="s">
        <v>26095</v>
      </c>
      <c r="N4586">
        <v>148</v>
      </c>
      <c r="O4586">
        <v>137</v>
      </c>
      <c r="P4586">
        <v>11</v>
      </c>
      <c r="Q4586">
        <v>29</v>
      </c>
      <c r="R4586">
        <v>29</v>
      </c>
      <c r="S4586">
        <v>0</v>
      </c>
      <c r="T4586">
        <v>0</v>
      </c>
      <c r="U4586" t="s">
        <v>26096</v>
      </c>
      <c r="V4586">
        <f>Tabla1[[#This Row],[Aboard]]-Tabla1[[#This Row],[Fatalities]]</f>
        <v>119</v>
      </c>
      <c r="W4586" s="50">
        <f>IFERROR(Tabla1[[#This Row],[Fatalities]]/Tabla1[[#This Row],[Aboard]],0)</f>
        <v>0.19594594594594594</v>
      </c>
      <c r="X4586" s="51" t="str" cm="1">
        <f t="array" ref="X4586">_xlfn.IFS(Tabla1[[#This Row],[Porcentaje de muertes]]&lt;0.35,"LEVE",AND(Tabla1[[#This Row],[Porcentaje de muertes]]&gt;0.35,Tabla1[[#This Row],[Porcentaje de muertes]]&lt;0.65),"MEDIO",Tabla1[[#This Row],[Porcentaje de muertes]]&gt;0.65,"GRAVE")</f>
        <v>LEVE</v>
      </c>
    </row>
    <row r="4587" spans="2:24" x14ac:dyDescent="0.3">
      <c r="B4587" s="9">
        <v>4587</v>
      </c>
      <c r="C4587" s="49">
        <v>38757</v>
      </c>
      <c r="D4587" s="9">
        <f>YEAR(Tabla1[[#This Row],[Date]])</f>
        <v>2006</v>
      </c>
      <c r="E4587" s="9" t="str" cm="1">
        <f t="array" ref="E4587">IFERROR(_xlfn.IFS(AND(D4587&lt;1980,D4587&gt;=1970),"70",AND(D4587&lt;1990,D4587&gt;=1980),"80",AND(D4587&lt;2000,D4587&gt;=1990),"90",AND(D4587&lt;2010,D4587&gt;=2000),"00",AND(D4587&lt;=2019,D4587&gt;=2010),"10"),"1908-1970")</f>
        <v>00</v>
      </c>
      <c r="F4587" s="3">
        <v>0.6875</v>
      </c>
      <c r="G4587" t="s">
        <v>19930</v>
      </c>
      <c r="H4587" t="s">
        <v>7665</v>
      </c>
      <c r="I4587" t="s">
        <v>28931</v>
      </c>
      <c r="J4587" t="s">
        <v>28931</v>
      </c>
      <c r="K4587" t="s">
        <v>26097</v>
      </c>
      <c r="L4587" s="7" t="s">
        <v>26098</v>
      </c>
      <c r="M4587">
        <v>8005</v>
      </c>
      <c r="N4587">
        <v>14</v>
      </c>
      <c r="O4587">
        <v>12</v>
      </c>
      <c r="P4587">
        <v>2</v>
      </c>
      <c r="Q4587">
        <v>14</v>
      </c>
      <c r="R4587">
        <v>12</v>
      </c>
      <c r="S4587">
        <v>2</v>
      </c>
      <c r="T4587">
        <v>0</v>
      </c>
      <c r="U4587" t="s">
        <v>26099</v>
      </c>
      <c r="V4587">
        <f>Tabla1[[#This Row],[Aboard]]-Tabla1[[#This Row],[Fatalities]]</f>
        <v>0</v>
      </c>
      <c r="W4587" s="50">
        <f>IFERROR(Tabla1[[#This Row],[Fatalities]]/Tabla1[[#This Row],[Aboard]],0)</f>
        <v>1</v>
      </c>
      <c r="X4587" s="51" t="str" cm="1">
        <f t="array" ref="X4587">_xlfn.IFS(Tabla1[[#This Row],[Porcentaje de muertes]]&lt;0.35,"LEVE",AND(Tabla1[[#This Row],[Porcentaje de muertes]]&gt;0.35,Tabla1[[#This Row],[Porcentaje de muertes]]&lt;0.65),"MEDIO",Tabla1[[#This Row],[Porcentaje de muertes]]&gt;0.65,"GRAVE")</f>
        <v>GRAVE</v>
      </c>
    </row>
    <row r="4588" spans="2:24" x14ac:dyDescent="0.3">
      <c r="B4588" s="9">
        <v>4588</v>
      </c>
      <c r="C4588" s="49">
        <v>39030</v>
      </c>
      <c r="D4588" s="9">
        <f>YEAR(Tabla1[[#This Row],[Date]])</f>
        <v>2006</v>
      </c>
      <c r="E4588" s="9" t="str" cm="1">
        <f t="array" ref="E4588">IFERROR(_xlfn.IFS(AND(D4588&lt;1980,D4588&gt;=1970),"70",AND(D4588&lt;1990,D4588&gt;=1980),"80",AND(D4588&lt;2000,D4588&gt;=1990),"90",AND(D4588&lt;2010,D4588&gt;=2000),"00",AND(D4588&lt;=2019,D4588&gt;=2010),"10"),"1908-1970")</f>
        <v>00</v>
      </c>
      <c r="F4588" s="3">
        <v>0.72916666666666663</v>
      </c>
      <c r="G4588" t="s">
        <v>26100</v>
      </c>
      <c r="H4588" t="s">
        <v>26101</v>
      </c>
      <c r="I4588" t="s">
        <v>28931</v>
      </c>
      <c r="J4588" t="s">
        <v>26102</v>
      </c>
      <c r="K4588" t="s">
        <v>24976</v>
      </c>
      <c r="L4588" s="7" t="s">
        <v>28931</v>
      </c>
      <c r="M4588" t="s">
        <v>28931</v>
      </c>
      <c r="N4588">
        <v>15</v>
      </c>
      <c r="O4588">
        <v>12</v>
      </c>
      <c r="P4588">
        <v>3</v>
      </c>
      <c r="Q4588">
        <v>12</v>
      </c>
      <c r="R4588">
        <v>12</v>
      </c>
      <c r="S4588">
        <v>0</v>
      </c>
      <c r="T4588">
        <v>0</v>
      </c>
      <c r="U4588" t="s">
        <v>26103</v>
      </c>
      <c r="V4588">
        <f>Tabla1[[#This Row],[Aboard]]-Tabla1[[#This Row],[Fatalities]]</f>
        <v>3</v>
      </c>
      <c r="W4588" s="50">
        <f>IFERROR(Tabla1[[#This Row],[Fatalities]]/Tabla1[[#This Row],[Aboard]],0)</f>
        <v>0.8</v>
      </c>
      <c r="X4588" s="51" t="str" cm="1">
        <f t="array" ref="X4588">_xlfn.IFS(Tabla1[[#This Row],[Porcentaje de muertes]]&lt;0.35,"LEVE",AND(Tabla1[[#This Row],[Porcentaje de muertes]]&gt;0.35,Tabla1[[#This Row],[Porcentaje de muertes]]&lt;0.65),"MEDIO",Tabla1[[#This Row],[Porcentaje de muertes]]&gt;0.65,"GRAVE")</f>
        <v>GRAVE</v>
      </c>
    </row>
    <row r="4589" spans="2:24" x14ac:dyDescent="0.3">
      <c r="B4589" s="9">
        <v>4589</v>
      </c>
      <c r="C4589" s="49">
        <v>38977</v>
      </c>
      <c r="D4589" s="9">
        <f>YEAR(Tabla1[[#This Row],[Date]])</f>
        <v>2006</v>
      </c>
      <c r="E4589" s="9" t="str" cm="1">
        <f t="array" ref="E4589">IFERROR(_xlfn.IFS(AND(D4589&lt;1980,D4589&gt;=1970),"70",AND(D4589&lt;1990,D4589&gt;=1980),"80",AND(D4589&lt;2000,D4589&gt;=1990),"90",AND(D4589&lt;2010,D4589&gt;=2000),"00",AND(D4589&lt;=2019,D4589&gt;=2010),"10"),"1908-1970")</f>
        <v>00</v>
      </c>
      <c r="F4589" s="3">
        <v>0.42708333333333331</v>
      </c>
      <c r="G4589" t="s">
        <v>26104</v>
      </c>
      <c r="H4589" t="s">
        <v>23060</v>
      </c>
      <c r="I4589" t="s">
        <v>28931</v>
      </c>
      <c r="J4589" t="s">
        <v>26105</v>
      </c>
      <c r="K4589" t="s">
        <v>26106</v>
      </c>
      <c r="L4589" s="7" t="s">
        <v>26107</v>
      </c>
      <c r="M4589">
        <v>8229</v>
      </c>
      <c r="N4589">
        <v>18</v>
      </c>
      <c r="O4589">
        <v>15</v>
      </c>
      <c r="P4589">
        <v>3</v>
      </c>
      <c r="Q4589">
        <v>13</v>
      </c>
      <c r="R4589">
        <v>11</v>
      </c>
      <c r="S4589">
        <v>2</v>
      </c>
      <c r="T4589">
        <v>0</v>
      </c>
      <c r="U4589" t="s">
        <v>26108</v>
      </c>
      <c r="V4589">
        <f>Tabla1[[#This Row],[Aboard]]-Tabla1[[#This Row],[Fatalities]]</f>
        <v>5</v>
      </c>
      <c r="W4589" s="50">
        <f>IFERROR(Tabla1[[#This Row],[Fatalities]]/Tabla1[[#This Row],[Aboard]],0)</f>
        <v>0.72222222222222221</v>
      </c>
      <c r="X4589" s="51" t="str" cm="1">
        <f t="array" ref="X4589">_xlfn.IFS(Tabla1[[#This Row],[Porcentaje de muertes]]&lt;0.35,"LEVE",AND(Tabla1[[#This Row],[Porcentaje de muertes]]&gt;0.35,Tabla1[[#This Row],[Porcentaje de muertes]]&lt;0.65),"MEDIO",Tabla1[[#This Row],[Porcentaje de muertes]]&gt;0.65,"GRAVE")</f>
        <v>GRAVE</v>
      </c>
    </row>
    <row r="4590" spans="2:24" x14ac:dyDescent="0.3">
      <c r="B4590" s="9">
        <v>4590</v>
      </c>
      <c r="C4590" s="49">
        <v>38989</v>
      </c>
      <c r="D4590" s="9">
        <f>YEAR(Tabla1[[#This Row],[Date]])</f>
        <v>2006</v>
      </c>
      <c r="E4590" s="9" t="str" cm="1">
        <f t="array" ref="E4590">IFERROR(_xlfn.IFS(AND(D4590&lt;1980,D4590&gt;=1970),"70",AND(D4590&lt;1990,D4590&gt;=1980),"80",AND(D4590&lt;2000,D4590&gt;=1990),"90",AND(D4590&lt;2010,D4590&gt;=2000),"00",AND(D4590&lt;=2019,D4590&gt;=2010),"10"),"1908-1970")</f>
        <v>00</v>
      </c>
      <c r="F4590" s="3">
        <v>0.66597222222222219</v>
      </c>
      <c r="G4590" t="s">
        <v>26109</v>
      </c>
      <c r="H4590" t="s">
        <v>26110</v>
      </c>
      <c r="I4590">
        <v>1907</v>
      </c>
      <c r="J4590" t="s">
        <v>26111</v>
      </c>
      <c r="K4590" t="s">
        <v>26112</v>
      </c>
      <c r="L4590" s="7" t="s">
        <v>26113</v>
      </c>
      <c r="M4590" t="s">
        <v>26114</v>
      </c>
      <c r="N4590">
        <v>161</v>
      </c>
      <c r="O4590">
        <v>153</v>
      </c>
      <c r="P4590">
        <v>8</v>
      </c>
      <c r="Q4590">
        <v>154</v>
      </c>
      <c r="R4590">
        <v>148</v>
      </c>
      <c r="S4590">
        <v>6</v>
      </c>
      <c r="T4590">
        <v>0</v>
      </c>
      <c r="U4590" t="s">
        <v>26115</v>
      </c>
      <c r="V4590">
        <f>Tabla1[[#This Row],[Aboard]]-Tabla1[[#This Row],[Fatalities]]</f>
        <v>7</v>
      </c>
      <c r="W4590" s="50">
        <f>IFERROR(Tabla1[[#This Row],[Fatalities]]/Tabla1[[#This Row],[Aboard]],0)</f>
        <v>0.95652173913043481</v>
      </c>
      <c r="X4590" s="51" t="str" cm="1">
        <f t="array" ref="X4590">_xlfn.IFS(Tabla1[[#This Row],[Porcentaje de muertes]]&lt;0.35,"LEVE",AND(Tabla1[[#This Row],[Porcentaje de muertes]]&gt;0.35,Tabla1[[#This Row],[Porcentaje de muertes]]&lt;0.65),"MEDIO",Tabla1[[#This Row],[Porcentaje de muertes]]&gt;0.65,"GRAVE")</f>
        <v>GRAVE</v>
      </c>
    </row>
    <row r="4591" spans="2:24" x14ac:dyDescent="0.3">
      <c r="B4591" s="9">
        <v>4591</v>
      </c>
      <c r="C4591" s="49">
        <v>39000</v>
      </c>
      <c r="D4591" s="9">
        <f>YEAR(Tabla1[[#This Row],[Date]])</f>
        <v>2006</v>
      </c>
      <c r="E4591" s="9" t="str" cm="1">
        <f t="array" ref="E4591">IFERROR(_xlfn.IFS(AND(D4591&lt;1980,D4591&gt;=1970),"70",AND(D4591&lt;1990,D4591&gt;=1980),"80",AND(D4591&lt;2000,D4591&gt;=1990),"90",AND(D4591&lt;2010,D4591&gt;=2000),"00",AND(D4591&lt;=2019,D4591&gt;=2010),"10"),"1908-1970")</f>
        <v>00</v>
      </c>
      <c r="F4591" s="3">
        <v>0.31597222222222221</v>
      </c>
      <c r="G4591" t="s">
        <v>26116</v>
      </c>
      <c r="H4591" t="s">
        <v>26117</v>
      </c>
      <c r="I4591">
        <v>670</v>
      </c>
      <c r="J4591" t="s">
        <v>26118</v>
      </c>
      <c r="K4591" t="s">
        <v>26119</v>
      </c>
      <c r="L4591" s="7" t="s">
        <v>26120</v>
      </c>
      <c r="M4591" t="s">
        <v>26121</v>
      </c>
      <c r="N4591">
        <v>16</v>
      </c>
      <c r="O4591">
        <v>12</v>
      </c>
      <c r="P4591">
        <v>4</v>
      </c>
      <c r="Q4591">
        <v>4</v>
      </c>
      <c r="R4591">
        <v>3</v>
      </c>
      <c r="S4591">
        <v>1</v>
      </c>
      <c r="T4591">
        <v>0</v>
      </c>
      <c r="U4591" t="s">
        <v>26122</v>
      </c>
      <c r="V4591">
        <f>Tabla1[[#This Row],[Aboard]]-Tabla1[[#This Row],[Fatalities]]</f>
        <v>12</v>
      </c>
      <c r="W4591" s="50">
        <f>IFERROR(Tabla1[[#This Row],[Fatalities]]/Tabla1[[#This Row],[Aboard]],0)</f>
        <v>0.25</v>
      </c>
      <c r="X4591" s="51" t="str" cm="1">
        <f t="array" ref="X4591">_xlfn.IFS(Tabla1[[#This Row],[Porcentaje de muertes]]&lt;0.35,"LEVE",AND(Tabla1[[#This Row],[Porcentaje de muertes]]&gt;0.35,Tabla1[[#This Row],[Porcentaje de muertes]]&lt;0.65),"MEDIO",Tabla1[[#This Row],[Porcentaje de muertes]]&gt;0.65,"GRAVE")</f>
        <v>LEVE</v>
      </c>
    </row>
    <row r="4592" spans="2:24" x14ac:dyDescent="0.3">
      <c r="B4592" s="9">
        <v>4592</v>
      </c>
      <c r="C4592" s="49">
        <v>39009</v>
      </c>
      <c r="D4592" s="9">
        <f>YEAR(Tabla1[[#This Row],[Date]])</f>
        <v>2006</v>
      </c>
      <c r="E4592" s="9" t="str" cm="1">
        <f t="array" ref="E4592">IFERROR(_xlfn.IFS(AND(D4592&lt;1980,D4592&gt;=1970),"70",AND(D4592&lt;1990,D4592&gt;=1980),"80",AND(D4592&lt;2000,D4592&gt;=1990),"90",AND(D4592&lt;2010,D4592&gt;=2000),"00",AND(D4592&lt;=2019,D4592&gt;=2010),"10"),"1908-1970")</f>
        <v>00</v>
      </c>
      <c r="F4592" s="3">
        <v>0.3125</v>
      </c>
      <c r="G4592" t="s">
        <v>26123</v>
      </c>
      <c r="H4592" t="s">
        <v>26124</v>
      </c>
      <c r="I4592" t="s">
        <v>28931</v>
      </c>
      <c r="J4592" t="s">
        <v>26125</v>
      </c>
      <c r="K4592" t="s">
        <v>17347</v>
      </c>
      <c r="L4592" s="7" t="s">
        <v>26126</v>
      </c>
      <c r="M4592" t="s">
        <v>26127</v>
      </c>
      <c r="N4592">
        <v>15</v>
      </c>
      <c r="O4592">
        <v>13</v>
      </c>
      <c r="P4592">
        <v>2</v>
      </c>
      <c r="Q4592">
        <v>15</v>
      </c>
      <c r="R4592">
        <v>13</v>
      </c>
      <c r="S4592">
        <v>2</v>
      </c>
      <c r="T4592">
        <v>0</v>
      </c>
      <c r="U4592" t="s">
        <v>26128</v>
      </c>
      <c r="V4592">
        <f>Tabla1[[#This Row],[Aboard]]-Tabla1[[#This Row],[Fatalities]]</f>
        <v>0</v>
      </c>
      <c r="W4592" s="50">
        <f>IFERROR(Tabla1[[#This Row],[Fatalities]]/Tabla1[[#This Row],[Aboard]],0)</f>
        <v>1</v>
      </c>
      <c r="X4592" s="51" t="str" cm="1">
        <f t="array" ref="X4592">_xlfn.IFS(Tabla1[[#This Row],[Porcentaje de muertes]]&lt;0.35,"LEVE",AND(Tabla1[[#This Row],[Porcentaje de muertes]]&gt;0.35,Tabla1[[#This Row],[Porcentaje de muertes]]&lt;0.65),"MEDIO",Tabla1[[#This Row],[Porcentaje de muertes]]&gt;0.65,"GRAVE")</f>
        <v>GRAVE</v>
      </c>
    </row>
    <row r="4593" spans="2:24" x14ac:dyDescent="0.3">
      <c r="B4593" s="9">
        <v>4593</v>
      </c>
      <c r="C4593" s="49">
        <v>39019</v>
      </c>
      <c r="D4593" s="9">
        <f>YEAR(Tabla1[[#This Row],[Date]])</f>
        <v>2006</v>
      </c>
      <c r="E4593" s="9" t="str" cm="1">
        <f t="array" ref="E4593">IFERROR(_xlfn.IFS(AND(D4593&lt;1980,D4593&gt;=1970),"70",AND(D4593&lt;1990,D4593&gt;=1980),"80",AND(D4593&lt;2000,D4593&gt;=1990),"90",AND(D4593&lt;2010,D4593&gt;=2000),"00",AND(D4593&lt;=2019,D4593&gt;=2010),"10"),"1908-1970")</f>
        <v>00</v>
      </c>
      <c r="F4593" s="3">
        <v>0.47916666666666669</v>
      </c>
      <c r="G4593" t="s">
        <v>22625</v>
      </c>
      <c r="H4593" t="s">
        <v>23525</v>
      </c>
      <c r="I4593">
        <v>53</v>
      </c>
      <c r="J4593" t="s">
        <v>26129</v>
      </c>
      <c r="K4593" t="s">
        <v>26130</v>
      </c>
      <c r="L4593" s="7" t="s">
        <v>26131</v>
      </c>
      <c r="M4593" t="s">
        <v>26132</v>
      </c>
      <c r="N4593">
        <v>105</v>
      </c>
      <c r="O4593">
        <v>100</v>
      </c>
      <c r="P4593">
        <v>5</v>
      </c>
      <c r="Q4593">
        <v>96</v>
      </c>
      <c r="R4593">
        <v>92</v>
      </c>
      <c r="S4593">
        <v>4</v>
      </c>
      <c r="T4593">
        <v>0</v>
      </c>
      <c r="U4593" t="s">
        <v>26133</v>
      </c>
      <c r="V4593">
        <f>Tabla1[[#This Row],[Aboard]]-Tabla1[[#This Row],[Fatalities]]</f>
        <v>9</v>
      </c>
      <c r="W4593" s="50">
        <f>IFERROR(Tabla1[[#This Row],[Fatalities]]/Tabla1[[#This Row],[Aboard]],0)</f>
        <v>0.91428571428571426</v>
      </c>
      <c r="X4593" s="51" t="str" cm="1">
        <f t="array" ref="X4593">_xlfn.IFS(Tabla1[[#This Row],[Porcentaje de muertes]]&lt;0.35,"LEVE",AND(Tabla1[[#This Row],[Porcentaje de muertes]]&gt;0.35,Tabla1[[#This Row],[Porcentaje de muertes]]&lt;0.65),"MEDIO",Tabla1[[#This Row],[Porcentaje de muertes]]&gt;0.65,"GRAVE")</f>
        <v>GRAVE</v>
      </c>
    </row>
    <row r="4594" spans="2:24" x14ac:dyDescent="0.3">
      <c r="B4594" s="9">
        <v>4594</v>
      </c>
      <c r="C4594" s="49">
        <v>39038</v>
      </c>
      <c r="D4594" s="9">
        <f>YEAR(Tabla1[[#This Row],[Date]])</f>
        <v>2006</v>
      </c>
      <c r="E4594" s="9" t="str" cm="1">
        <f t="array" ref="E4594">IFERROR(_xlfn.IFS(AND(D4594&lt;1980,D4594&gt;=1970),"70",AND(D4594&lt;1990,D4594&gt;=1980),"80",AND(D4594&lt;2000,D4594&gt;=1990),"90",AND(D4594&lt;2010,D4594&gt;=2000),"00",AND(D4594&lt;=2019,D4594&gt;=2010),"10"),"1908-1970")</f>
        <v>00</v>
      </c>
      <c r="F4594" s="3">
        <v>0.33819444444444446</v>
      </c>
      <c r="G4594" t="s">
        <v>26134</v>
      </c>
      <c r="H4594" t="s">
        <v>22692</v>
      </c>
      <c r="I4594" t="s">
        <v>28931</v>
      </c>
      <c r="J4594" t="s">
        <v>26135</v>
      </c>
      <c r="K4594" t="s">
        <v>16680</v>
      </c>
      <c r="L4594" s="7" t="s">
        <v>26136</v>
      </c>
      <c r="M4594">
        <v>535</v>
      </c>
      <c r="N4594">
        <v>12</v>
      </c>
      <c r="O4594">
        <v>9</v>
      </c>
      <c r="P4594">
        <v>3</v>
      </c>
      <c r="Q4594">
        <v>12</v>
      </c>
      <c r="R4594">
        <v>9</v>
      </c>
      <c r="S4594">
        <v>3</v>
      </c>
      <c r="T4594">
        <v>0</v>
      </c>
      <c r="U4594" t="s">
        <v>26137</v>
      </c>
      <c r="V4594">
        <f>Tabla1[[#This Row],[Aboard]]-Tabla1[[#This Row],[Fatalities]]</f>
        <v>0</v>
      </c>
      <c r="W4594" s="50">
        <f>IFERROR(Tabla1[[#This Row],[Fatalities]]/Tabla1[[#This Row],[Aboard]],0)</f>
        <v>1</v>
      </c>
      <c r="X4594" s="51" t="str" cm="1">
        <f t="array" ref="X4594">_xlfn.IFS(Tabla1[[#This Row],[Porcentaje de muertes]]&lt;0.35,"LEVE",AND(Tabla1[[#This Row],[Porcentaje de muertes]]&gt;0.35,Tabla1[[#This Row],[Porcentaje de muertes]]&lt;0.65),"MEDIO",Tabla1[[#This Row],[Porcentaje de muertes]]&gt;0.65,"GRAVE")</f>
        <v>GRAVE</v>
      </c>
    </row>
    <row r="4595" spans="2:24" x14ac:dyDescent="0.3">
      <c r="B4595" s="9">
        <v>4595</v>
      </c>
      <c r="C4595" s="49">
        <v>39039</v>
      </c>
      <c r="D4595" s="9">
        <f>YEAR(Tabla1[[#This Row],[Date]])</f>
        <v>2006</v>
      </c>
      <c r="E4595" s="9" t="str" cm="1">
        <f t="array" ref="E4595">IFERROR(_xlfn.IFS(AND(D4595&lt;1980,D4595&gt;=1970),"70",AND(D4595&lt;1990,D4595&gt;=1980),"80",AND(D4595&lt;2000,D4595&gt;=1990),"90",AND(D4595&lt;2010,D4595&gt;=2000),"00",AND(D4595&lt;=2019,D4595&gt;=2010),"10"),"1908-1970")</f>
        <v>00</v>
      </c>
      <c r="F4595" s="3">
        <v>0.875</v>
      </c>
      <c r="G4595" t="s">
        <v>26138</v>
      </c>
      <c r="H4595" t="s">
        <v>19560</v>
      </c>
      <c r="I4595" t="s">
        <v>28931</v>
      </c>
      <c r="J4595" t="s">
        <v>26139</v>
      </c>
      <c r="K4595" t="s">
        <v>26140</v>
      </c>
      <c r="L4595" s="7" t="s">
        <v>26141</v>
      </c>
      <c r="M4595" t="s">
        <v>26142</v>
      </c>
      <c r="N4595">
        <v>5</v>
      </c>
      <c r="O4595">
        <v>2</v>
      </c>
      <c r="P4595">
        <v>3</v>
      </c>
      <c r="Q4595">
        <v>5</v>
      </c>
      <c r="R4595">
        <v>2</v>
      </c>
      <c r="S4595">
        <v>3</v>
      </c>
      <c r="T4595">
        <v>0</v>
      </c>
      <c r="U4595" t="s">
        <v>26143</v>
      </c>
      <c r="V4595">
        <f>Tabla1[[#This Row],[Aboard]]-Tabla1[[#This Row],[Fatalities]]</f>
        <v>0</v>
      </c>
      <c r="W4595" s="50">
        <f>IFERROR(Tabla1[[#This Row],[Fatalities]]/Tabla1[[#This Row],[Aboard]],0)</f>
        <v>1</v>
      </c>
      <c r="X4595" s="51" t="str" cm="1">
        <f t="array" ref="X4595">_xlfn.IFS(Tabla1[[#This Row],[Porcentaje de muertes]]&lt;0.35,"LEVE",AND(Tabla1[[#This Row],[Porcentaje de muertes]]&gt;0.35,Tabla1[[#This Row],[Porcentaje de muertes]]&lt;0.65),"MEDIO",Tabla1[[#This Row],[Porcentaje de muertes]]&gt;0.65,"GRAVE")</f>
        <v>GRAVE</v>
      </c>
    </row>
    <row r="4596" spans="2:24" x14ac:dyDescent="0.3">
      <c r="B4596" s="9">
        <v>4596</v>
      </c>
      <c r="C4596" s="49">
        <v>39048</v>
      </c>
      <c r="D4596" s="9">
        <f>YEAR(Tabla1[[#This Row],[Date]])</f>
        <v>2006</v>
      </c>
      <c r="E4596" s="9" t="str" cm="1">
        <f t="array" ref="E4596">IFERROR(_xlfn.IFS(AND(D4596&lt;1980,D4596&gt;=1970),"70",AND(D4596&lt;1990,D4596&gt;=1980),"80",AND(D4596&lt;2000,D4596&gt;=1990),"90",AND(D4596&lt;2010,D4596&gt;=2000),"00",AND(D4596&lt;=2019,D4596&gt;=2010),"10"),"1908-1970")</f>
        <v>00</v>
      </c>
      <c r="F4596" s="3">
        <v>0.30555555555555552</v>
      </c>
      <c r="G4596" t="s">
        <v>10175</v>
      </c>
      <c r="H4596" t="s">
        <v>25985</v>
      </c>
      <c r="I4596" t="s">
        <v>28931</v>
      </c>
      <c r="J4596" t="s">
        <v>26144</v>
      </c>
      <c r="K4596" t="s">
        <v>26145</v>
      </c>
      <c r="L4596" s="7" t="s">
        <v>26146</v>
      </c>
      <c r="M4596" t="s">
        <v>26147</v>
      </c>
      <c r="N4596">
        <v>38</v>
      </c>
      <c r="O4596">
        <v>32</v>
      </c>
      <c r="P4596">
        <v>6</v>
      </c>
      <c r="Q4596">
        <v>38</v>
      </c>
      <c r="R4596">
        <v>32</v>
      </c>
      <c r="S4596">
        <v>6</v>
      </c>
      <c r="T4596">
        <v>0</v>
      </c>
      <c r="U4596" t="s">
        <v>26148</v>
      </c>
      <c r="V4596">
        <f>Tabla1[[#This Row],[Aboard]]-Tabla1[[#This Row],[Fatalities]]</f>
        <v>0</v>
      </c>
      <c r="W4596" s="50">
        <f>IFERROR(Tabla1[[#This Row],[Fatalities]]/Tabla1[[#This Row],[Aboard]],0)</f>
        <v>1</v>
      </c>
      <c r="X4596" s="51" t="str" cm="1">
        <f t="array" ref="X4596">_xlfn.IFS(Tabla1[[#This Row],[Porcentaje de muertes]]&lt;0.35,"LEVE",AND(Tabla1[[#This Row],[Porcentaje de muertes]]&gt;0.35,Tabla1[[#This Row],[Porcentaje de muertes]]&lt;0.65),"MEDIO",Tabla1[[#This Row],[Porcentaje de muertes]]&gt;0.65,"GRAVE")</f>
        <v>GRAVE</v>
      </c>
    </row>
    <row r="4597" spans="2:24" x14ac:dyDescent="0.3">
      <c r="B4597" s="9">
        <v>4597</v>
      </c>
      <c r="C4597" s="49">
        <v>39002</v>
      </c>
      <c r="D4597" s="9">
        <f>YEAR(Tabla1[[#This Row],[Date]])</f>
        <v>2006</v>
      </c>
      <c r="E4597" s="9" t="str" cm="1">
        <f t="array" ref="E4597">IFERROR(_xlfn.IFS(AND(D4597&lt;1980,D4597&gt;=1970),"70",AND(D4597&lt;1990,D4597&gt;=1980),"80",AND(D4597&lt;2000,D4597&gt;=1990),"90",AND(D4597&lt;2010,D4597&gt;=2000),"00",AND(D4597&lt;=2019,D4597&gt;=2010),"10"),"1908-1970")</f>
        <v>00</v>
      </c>
      <c r="F4597" s="3">
        <v>8.3333333333333329E-2</v>
      </c>
      <c r="G4597" t="s">
        <v>26149</v>
      </c>
      <c r="H4597" t="s">
        <v>26150</v>
      </c>
      <c r="I4597" t="s">
        <v>28931</v>
      </c>
      <c r="J4597" t="s">
        <v>26151</v>
      </c>
      <c r="K4597" t="s">
        <v>20885</v>
      </c>
      <c r="L4597" s="7" t="s">
        <v>26152</v>
      </c>
      <c r="M4597">
        <v>33125</v>
      </c>
      <c r="N4597">
        <v>3</v>
      </c>
      <c r="O4597">
        <v>0</v>
      </c>
      <c r="P4597">
        <v>3</v>
      </c>
      <c r="Q4597">
        <v>3</v>
      </c>
      <c r="R4597">
        <v>0</v>
      </c>
      <c r="S4597">
        <v>3</v>
      </c>
      <c r="T4597">
        <v>0</v>
      </c>
      <c r="U4597" t="s">
        <v>26153</v>
      </c>
      <c r="V4597">
        <f>Tabla1[[#This Row],[Aboard]]-Tabla1[[#This Row],[Fatalities]]</f>
        <v>0</v>
      </c>
      <c r="W4597" s="50">
        <f>IFERROR(Tabla1[[#This Row],[Fatalities]]/Tabla1[[#This Row],[Aboard]],0)</f>
        <v>1</v>
      </c>
      <c r="X4597" s="51" t="str" cm="1">
        <f t="array" ref="X4597">_xlfn.IFS(Tabla1[[#This Row],[Porcentaje de muertes]]&lt;0.35,"LEVE",AND(Tabla1[[#This Row],[Porcentaje de muertes]]&gt;0.35,Tabla1[[#This Row],[Porcentaje de muertes]]&lt;0.65),"MEDIO",Tabla1[[#This Row],[Porcentaje de muertes]]&gt;0.65,"GRAVE")</f>
        <v>GRAVE</v>
      </c>
    </row>
    <row r="4598" spans="2:24" x14ac:dyDescent="0.3">
      <c r="B4598" s="9">
        <v>4598</v>
      </c>
      <c r="C4598" s="49">
        <v>39083</v>
      </c>
      <c r="D4598" s="9">
        <f>YEAR(Tabla1[[#This Row],[Date]])</f>
        <v>2007</v>
      </c>
      <c r="E4598" s="9" t="str" cm="1">
        <f t="array" ref="E4598">IFERROR(_xlfn.IFS(AND(D4598&lt;1980,D4598&gt;=1970),"70",AND(D4598&lt;1990,D4598&gt;=1980),"80",AND(D4598&lt;2000,D4598&gt;=1990),"90",AND(D4598&lt;2010,D4598&gt;=2000),"00",AND(D4598&lt;=2019,D4598&gt;=2010),"10"),"1908-1970")</f>
        <v>00</v>
      </c>
      <c r="F4598" s="3">
        <v>0.58819444444444446</v>
      </c>
      <c r="G4598" t="s">
        <v>26154</v>
      </c>
      <c r="H4598" t="s">
        <v>26155</v>
      </c>
      <c r="I4598">
        <v>574</v>
      </c>
      <c r="J4598" t="s">
        <v>26156</v>
      </c>
      <c r="K4598" t="s">
        <v>26157</v>
      </c>
      <c r="L4598" s="7" t="s">
        <v>26158</v>
      </c>
      <c r="M4598">
        <v>24070</v>
      </c>
      <c r="N4598">
        <v>102</v>
      </c>
      <c r="O4598">
        <v>96</v>
      </c>
      <c r="P4598">
        <v>6</v>
      </c>
      <c r="Q4598">
        <v>102</v>
      </c>
      <c r="R4598">
        <v>96</v>
      </c>
      <c r="S4598">
        <v>6</v>
      </c>
      <c r="T4598">
        <v>0</v>
      </c>
      <c r="U4598" t="s">
        <v>26159</v>
      </c>
      <c r="V4598">
        <f>Tabla1[[#This Row],[Aboard]]-Tabla1[[#This Row],[Fatalities]]</f>
        <v>0</v>
      </c>
      <c r="W4598" s="50">
        <f>IFERROR(Tabla1[[#This Row],[Fatalities]]/Tabla1[[#This Row],[Aboard]],0)</f>
        <v>1</v>
      </c>
      <c r="X4598" s="51" t="str" cm="1">
        <f t="array" ref="X4598">_xlfn.IFS(Tabla1[[#This Row],[Porcentaje de muertes]]&lt;0.35,"LEVE",AND(Tabla1[[#This Row],[Porcentaje de muertes]]&gt;0.35,Tabla1[[#This Row],[Porcentaje de muertes]]&lt;0.65),"MEDIO",Tabla1[[#This Row],[Porcentaje de muertes]]&gt;0.65,"GRAVE")</f>
        <v>GRAVE</v>
      </c>
    </row>
    <row r="4599" spans="2:24" x14ac:dyDescent="0.3">
      <c r="B4599" s="9">
        <v>4599</v>
      </c>
      <c r="C4599" s="49">
        <v>39326</v>
      </c>
      <c r="D4599" s="9">
        <f>YEAR(Tabla1[[#This Row],[Date]])</f>
        <v>2007</v>
      </c>
      <c r="E4599" s="9" t="str" cm="1">
        <f t="array" ref="E4599">IFERROR(_xlfn.IFS(AND(D4599&lt;1980,D4599&gt;=1970),"70",AND(D4599&lt;1990,D4599&gt;=1980),"80",AND(D4599&lt;2000,D4599&gt;=1990),"90",AND(D4599&lt;2010,D4599&gt;=2000),"00",AND(D4599&lt;=2019,D4599&gt;=2010),"10"),"1908-1970")</f>
        <v>00</v>
      </c>
      <c r="F4599" s="3" t="s">
        <v>28931</v>
      </c>
      <c r="G4599" t="s">
        <v>26160</v>
      </c>
      <c r="H4599" t="s">
        <v>26161</v>
      </c>
      <c r="I4599" t="s">
        <v>28931</v>
      </c>
      <c r="J4599" t="s">
        <v>26162</v>
      </c>
      <c r="K4599" t="s">
        <v>26163</v>
      </c>
      <c r="L4599" s="7" t="s">
        <v>26164</v>
      </c>
      <c r="M4599">
        <v>11308</v>
      </c>
      <c r="N4599">
        <v>35</v>
      </c>
      <c r="O4599">
        <v>30</v>
      </c>
      <c r="P4599">
        <v>5</v>
      </c>
      <c r="Q4599">
        <v>34</v>
      </c>
      <c r="R4599">
        <v>29</v>
      </c>
      <c r="S4599">
        <v>5</v>
      </c>
      <c r="T4599">
        <v>0</v>
      </c>
      <c r="U4599" t="s">
        <v>26165</v>
      </c>
      <c r="V4599">
        <f>Tabla1[[#This Row],[Aboard]]-Tabla1[[#This Row],[Fatalities]]</f>
        <v>1</v>
      </c>
      <c r="W4599" s="50">
        <f>IFERROR(Tabla1[[#This Row],[Fatalities]]/Tabla1[[#This Row],[Aboard]],0)</f>
        <v>0.97142857142857142</v>
      </c>
      <c r="X4599" s="51" t="str" cm="1">
        <f t="array" ref="X4599">_xlfn.IFS(Tabla1[[#This Row],[Porcentaje de muertes]]&lt;0.35,"LEVE",AND(Tabla1[[#This Row],[Porcentaje de muertes]]&gt;0.35,Tabla1[[#This Row],[Porcentaje de muertes]]&lt;0.65),"MEDIO",Tabla1[[#This Row],[Porcentaje de muertes]]&gt;0.65,"GRAVE")</f>
        <v>GRAVE</v>
      </c>
    </row>
    <row r="4600" spans="2:24" x14ac:dyDescent="0.3">
      <c r="B4600" s="9">
        <v>4600</v>
      </c>
      <c r="C4600" s="49">
        <v>39102</v>
      </c>
      <c r="D4600" s="9">
        <f>YEAR(Tabla1[[#This Row],[Date]])</f>
        <v>2007</v>
      </c>
      <c r="E4600" s="9" t="str" cm="1">
        <f t="array" ref="E4600">IFERROR(_xlfn.IFS(AND(D4600&lt;1980,D4600&gt;=1970),"70",AND(D4600&lt;1990,D4600&gt;=1980),"80",AND(D4600&lt;2000,D4600&gt;=1990),"90",AND(D4600&lt;2010,D4600&gt;=2000),"00",AND(D4600&lt;=2019,D4600&gt;=2010),"10"),"1908-1970")</f>
        <v>00</v>
      </c>
      <c r="F4600" s="3" t="s">
        <v>28931</v>
      </c>
      <c r="G4600" t="s">
        <v>25827</v>
      </c>
      <c r="H4600" t="s">
        <v>25975</v>
      </c>
      <c r="I4600" t="s">
        <v>28931</v>
      </c>
      <c r="J4600" t="s">
        <v>28931</v>
      </c>
      <c r="K4600" t="s">
        <v>26166</v>
      </c>
      <c r="L4600" s="7" t="s">
        <v>28931</v>
      </c>
      <c r="M4600" t="s">
        <v>28931</v>
      </c>
      <c r="N4600">
        <v>12</v>
      </c>
      <c r="O4600">
        <v>10</v>
      </c>
      <c r="P4600">
        <v>4</v>
      </c>
      <c r="Q4600">
        <v>12</v>
      </c>
      <c r="R4600">
        <v>10</v>
      </c>
      <c r="S4600">
        <v>4</v>
      </c>
      <c r="T4600">
        <v>0</v>
      </c>
      <c r="U4600" t="s">
        <v>26167</v>
      </c>
      <c r="V4600">
        <f>Tabla1[[#This Row],[Aboard]]-Tabla1[[#This Row],[Fatalities]]</f>
        <v>0</v>
      </c>
      <c r="W4600" s="50">
        <f>IFERROR(Tabla1[[#This Row],[Fatalities]]/Tabla1[[#This Row],[Aboard]],0)</f>
        <v>1</v>
      </c>
      <c r="X4600" s="51" t="str" cm="1">
        <f t="array" ref="X4600">_xlfn.IFS(Tabla1[[#This Row],[Porcentaje de muertes]]&lt;0.35,"LEVE",AND(Tabla1[[#This Row],[Porcentaje de muertes]]&gt;0.35,Tabla1[[#This Row],[Porcentaje de muertes]]&lt;0.65),"MEDIO",Tabla1[[#This Row],[Porcentaje de muertes]]&gt;0.65,"GRAVE")</f>
        <v>GRAVE</v>
      </c>
    </row>
    <row r="4601" spans="2:24" x14ac:dyDescent="0.3">
      <c r="B4601" s="9">
        <v>4601</v>
      </c>
      <c r="C4601" s="49">
        <v>39107</v>
      </c>
      <c r="D4601" s="9">
        <f>YEAR(Tabla1[[#This Row],[Date]])</f>
        <v>2007</v>
      </c>
      <c r="E4601" s="9" t="str" cm="1">
        <f t="array" ref="E4601">IFERROR(_xlfn.IFS(AND(D4601&lt;1980,D4601&gt;=1970),"70",AND(D4601&lt;1990,D4601&gt;=1980),"80",AND(D4601&lt;2000,D4601&gt;=1990),"90",AND(D4601&lt;2010,D4601&gt;=2000),"00",AND(D4601&lt;=2019,D4601&gt;=2010),"10"),"1908-1970")</f>
        <v>00</v>
      </c>
      <c r="F4601" s="3">
        <v>0.46875</v>
      </c>
      <c r="G4601" t="s">
        <v>8682</v>
      </c>
      <c r="H4601" t="s">
        <v>26168</v>
      </c>
      <c r="I4601">
        <v>7775</v>
      </c>
      <c r="J4601" t="s">
        <v>26169</v>
      </c>
      <c r="K4601" t="s">
        <v>22186</v>
      </c>
      <c r="L4601" s="7" t="s">
        <v>26170</v>
      </c>
      <c r="M4601">
        <v>11362</v>
      </c>
      <c r="N4601">
        <v>54</v>
      </c>
      <c r="O4601">
        <v>50</v>
      </c>
      <c r="P4601">
        <v>4</v>
      </c>
      <c r="Q4601">
        <v>0</v>
      </c>
      <c r="R4601">
        <v>0</v>
      </c>
      <c r="S4601">
        <v>0</v>
      </c>
      <c r="T4601">
        <v>1</v>
      </c>
      <c r="U4601" t="s">
        <v>26171</v>
      </c>
      <c r="V4601">
        <f>Tabla1[[#This Row],[Aboard]]-Tabla1[[#This Row],[Fatalities]]</f>
        <v>54</v>
      </c>
      <c r="W4601" s="50">
        <f>IFERROR(Tabla1[[#This Row],[Fatalities]]/Tabla1[[#This Row],[Aboard]],0)</f>
        <v>0</v>
      </c>
      <c r="X4601" s="51" t="str" cm="1">
        <f t="array" ref="X4601">_xlfn.IFS(Tabla1[[#This Row],[Porcentaje de muertes]]&lt;0.35,"LEVE",AND(Tabla1[[#This Row],[Porcentaje de muertes]]&gt;0.35,Tabla1[[#This Row],[Porcentaje de muertes]]&lt;0.65),"MEDIO",Tabla1[[#This Row],[Porcentaje de muertes]]&gt;0.65,"GRAVE")</f>
        <v>LEVE</v>
      </c>
    </row>
    <row r="4602" spans="2:24" x14ac:dyDescent="0.3">
      <c r="B4602" s="9">
        <v>4602</v>
      </c>
      <c r="C4602" s="49">
        <v>39266</v>
      </c>
      <c r="D4602" s="9">
        <f>YEAR(Tabla1[[#This Row],[Date]])</f>
        <v>2007</v>
      </c>
      <c r="E4602" s="9" t="str" cm="1">
        <f t="array" ref="E4602">IFERROR(_xlfn.IFS(AND(D4602&lt;1980,D4602&gt;=1970),"70",AND(D4602&lt;1990,D4602&gt;=1980),"80",AND(D4602&lt;2000,D4602&gt;=1990),"90",AND(D4602&lt;2010,D4602&gt;=2000),"00",AND(D4602&lt;=2019,D4602&gt;=2010),"10"),"1908-1970")</f>
        <v>00</v>
      </c>
      <c r="F4602" s="3">
        <v>0.30138888888888887</v>
      </c>
      <c r="G4602" t="s">
        <v>26172</v>
      </c>
      <c r="H4602" t="s">
        <v>10225</v>
      </c>
      <c r="I4602">
        <v>200</v>
      </c>
      <c r="J4602" t="s">
        <v>26173</v>
      </c>
      <c r="K4602" t="s">
        <v>26174</v>
      </c>
      <c r="L4602" s="7" t="s">
        <v>26175</v>
      </c>
      <c r="M4602" t="s">
        <v>26176</v>
      </c>
      <c r="N4602">
        <v>140</v>
      </c>
      <c r="O4602">
        <v>133</v>
      </c>
      <c r="P4602">
        <v>7</v>
      </c>
      <c r="Q4602">
        <v>22</v>
      </c>
      <c r="R4602">
        <v>21</v>
      </c>
      <c r="S4602">
        <v>1</v>
      </c>
      <c r="T4602">
        <v>0</v>
      </c>
      <c r="U4602" t="s">
        <v>26177</v>
      </c>
      <c r="V4602">
        <f>Tabla1[[#This Row],[Aboard]]-Tabla1[[#This Row],[Fatalities]]</f>
        <v>118</v>
      </c>
      <c r="W4602" s="50">
        <f>IFERROR(Tabla1[[#This Row],[Fatalities]]/Tabla1[[#This Row],[Aboard]],0)</f>
        <v>0.15714285714285714</v>
      </c>
      <c r="X4602" s="51" t="str" cm="1">
        <f t="array" ref="X4602">_xlfn.IFS(Tabla1[[#This Row],[Porcentaje de muertes]]&lt;0.35,"LEVE",AND(Tabla1[[#This Row],[Porcentaje de muertes]]&gt;0.35,Tabla1[[#This Row],[Porcentaje de muertes]]&lt;0.65),"MEDIO",Tabla1[[#This Row],[Porcentaje de muertes]]&gt;0.65,"GRAVE")</f>
        <v>LEVE</v>
      </c>
    </row>
    <row r="4603" spans="2:24" x14ac:dyDescent="0.3">
      <c r="B4603" s="9">
        <v>4603</v>
      </c>
      <c r="C4603" s="49">
        <v>39297</v>
      </c>
      <c r="D4603" s="9">
        <f>YEAR(Tabla1[[#This Row],[Date]])</f>
        <v>2007</v>
      </c>
      <c r="E4603" s="9" t="str" cm="1">
        <f t="array" ref="E4603">IFERROR(_xlfn.IFS(AND(D4603&lt;1980,D4603&gt;=1970),"70",AND(D4603&lt;1990,D4603&gt;=1980),"80",AND(D4603&lt;2000,D4603&gt;=1990),"90",AND(D4603&lt;2010,D4603&gt;=2000),"00",AND(D4603&lt;=2019,D4603&gt;=2010),"10"),"1908-1970")</f>
        <v>00</v>
      </c>
      <c r="F4603" s="3">
        <v>0.625</v>
      </c>
      <c r="G4603" t="s">
        <v>26178</v>
      </c>
      <c r="H4603" t="s">
        <v>26179</v>
      </c>
      <c r="I4603" t="s">
        <v>28931</v>
      </c>
      <c r="J4603" t="s">
        <v>5494</v>
      </c>
      <c r="K4603" t="s">
        <v>26180</v>
      </c>
      <c r="L4603" s="7" t="s">
        <v>26181</v>
      </c>
      <c r="M4603">
        <v>1168</v>
      </c>
      <c r="N4603">
        <v>7</v>
      </c>
      <c r="O4603">
        <v>6</v>
      </c>
      <c r="P4603">
        <v>1</v>
      </c>
      <c r="Q4603">
        <v>4</v>
      </c>
      <c r="R4603">
        <v>3</v>
      </c>
      <c r="S4603">
        <v>1</v>
      </c>
      <c r="T4603">
        <v>0</v>
      </c>
      <c r="U4603" t="s">
        <v>26182</v>
      </c>
      <c r="V4603">
        <f>Tabla1[[#This Row],[Aboard]]-Tabla1[[#This Row],[Fatalities]]</f>
        <v>3</v>
      </c>
      <c r="W4603" s="50">
        <f>IFERROR(Tabla1[[#This Row],[Fatalities]]/Tabla1[[#This Row],[Aboard]],0)</f>
        <v>0.5714285714285714</v>
      </c>
      <c r="X4603" s="51" t="str" cm="1">
        <f t="array" ref="X4603">_xlfn.IFS(Tabla1[[#This Row],[Porcentaje de muertes]]&lt;0.35,"LEVE",AND(Tabla1[[#This Row],[Porcentaje de muertes]]&gt;0.35,Tabla1[[#This Row],[Porcentaje de muertes]]&lt;0.65),"MEDIO",Tabla1[[#This Row],[Porcentaje de muertes]]&gt;0.65,"GRAVE")</f>
        <v>MEDIO</v>
      </c>
    </row>
    <row r="4604" spans="2:24" x14ac:dyDescent="0.3">
      <c r="B4604" s="9">
        <v>4604</v>
      </c>
      <c r="C4604" s="49">
        <v>39389</v>
      </c>
      <c r="D4604" s="9">
        <f>YEAR(Tabla1[[#This Row],[Date]])</f>
        <v>2007</v>
      </c>
      <c r="E4604" s="9" t="str" cm="1">
        <f t="array" ref="E4604">IFERROR(_xlfn.IFS(AND(D4604&lt;1980,D4604&gt;=1970),"70",AND(D4604&lt;1990,D4604&gt;=1980),"80",AND(D4604&lt;2000,D4604&gt;=1990),"90",AND(D4604&lt;2010,D4604&gt;=2000),"00",AND(D4604&lt;=2019,D4604&gt;=2010),"10"),"1908-1970")</f>
        <v>00</v>
      </c>
      <c r="F4604" s="3">
        <v>0.97222222222222221</v>
      </c>
      <c r="G4604" t="s">
        <v>26183</v>
      </c>
      <c r="H4604" t="s">
        <v>26184</v>
      </c>
      <c r="I4604" t="s">
        <v>28931</v>
      </c>
      <c r="J4604" t="s">
        <v>28931</v>
      </c>
      <c r="K4604" t="s">
        <v>26185</v>
      </c>
      <c r="L4604" s="7" t="s">
        <v>26186</v>
      </c>
      <c r="M4604" t="s">
        <v>26187</v>
      </c>
      <c r="N4604">
        <v>5</v>
      </c>
      <c r="O4604">
        <v>4</v>
      </c>
      <c r="P4604">
        <v>1</v>
      </c>
      <c r="Q4604">
        <v>1</v>
      </c>
      <c r="R4604">
        <v>1</v>
      </c>
      <c r="S4604">
        <v>0</v>
      </c>
      <c r="T4604">
        <v>0</v>
      </c>
      <c r="U4604" t="s">
        <v>26188</v>
      </c>
      <c r="V4604">
        <f>Tabla1[[#This Row],[Aboard]]-Tabla1[[#This Row],[Fatalities]]</f>
        <v>4</v>
      </c>
      <c r="W4604" s="50">
        <f>IFERROR(Tabla1[[#This Row],[Fatalities]]/Tabla1[[#This Row],[Aboard]],0)</f>
        <v>0.2</v>
      </c>
      <c r="X4604" s="51" t="str" cm="1">
        <f t="array" ref="X4604">_xlfn.IFS(Tabla1[[#This Row],[Porcentaje de muertes]]&lt;0.35,"LEVE",AND(Tabla1[[#This Row],[Porcentaje de muertes]]&gt;0.35,Tabla1[[#This Row],[Porcentaje de muertes]]&lt;0.65),"MEDIO",Tabla1[[#This Row],[Porcentaje de muertes]]&gt;0.65,"GRAVE")</f>
        <v>LEVE</v>
      </c>
    </row>
    <row r="4605" spans="2:24" x14ac:dyDescent="0.3">
      <c r="B4605" s="9">
        <v>4605</v>
      </c>
      <c r="C4605" s="49">
        <v>39155</v>
      </c>
      <c r="D4605" s="9">
        <f>YEAR(Tabla1[[#This Row],[Date]])</f>
        <v>2007</v>
      </c>
      <c r="E4605" s="9" t="str" cm="1">
        <f t="array" ref="E4605">IFERROR(_xlfn.IFS(AND(D4605&lt;1980,D4605&gt;=1970),"70",AND(D4605&lt;1990,D4605&gt;=1980),"80",AND(D4605&lt;2000,D4605&gt;=1990),"90",AND(D4605&lt;2010,D4605&gt;=2000),"00",AND(D4605&lt;=2019,D4605&gt;=2010),"10"),"1908-1970")</f>
        <v>00</v>
      </c>
      <c r="F4605" s="3" t="s">
        <v>28931</v>
      </c>
      <c r="G4605" t="s">
        <v>26189</v>
      </c>
      <c r="H4605" t="s">
        <v>26190</v>
      </c>
      <c r="I4605" t="s">
        <v>28931</v>
      </c>
      <c r="J4605" t="s">
        <v>26191</v>
      </c>
      <c r="K4605" t="s">
        <v>26192</v>
      </c>
      <c r="L4605" s="7" t="s">
        <v>26193</v>
      </c>
      <c r="M4605" t="s">
        <v>26194</v>
      </c>
      <c r="N4605">
        <v>4</v>
      </c>
      <c r="O4605">
        <v>2</v>
      </c>
      <c r="P4605">
        <v>2</v>
      </c>
      <c r="Q4605">
        <v>4</v>
      </c>
      <c r="R4605">
        <v>2</v>
      </c>
      <c r="S4605">
        <v>2</v>
      </c>
      <c r="T4605">
        <v>0</v>
      </c>
      <c r="U4605" t="s">
        <v>26195</v>
      </c>
      <c r="V4605">
        <f>Tabla1[[#This Row],[Aboard]]-Tabla1[[#This Row],[Fatalities]]</f>
        <v>0</v>
      </c>
      <c r="W4605" s="50">
        <f>IFERROR(Tabla1[[#This Row],[Fatalities]]/Tabla1[[#This Row],[Aboard]],0)</f>
        <v>1</v>
      </c>
      <c r="X4605" s="51" t="str" cm="1">
        <f t="array" ref="X4605">_xlfn.IFS(Tabla1[[#This Row],[Porcentaje de muertes]]&lt;0.35,"LEVE",AND(Tabla1[[#This Row],[Porcentaje de muertes]]&gt;0.35,Tabla1[[#This Row],[Porcentaje de muertes]]&lt;0.65),"MEDIO",Tabla1[[#This Row],[Porcentaje de muertes]]&gt;0.65,"GRAVE")</f>
        <v>GRAVE</v>
      </c>
    </row>
    <row r="4606" spans="2:24" x14ac:dyDescent="0.3">
      <c r="B4606" s="9">
        <v>4606</v>
      </c>
      <c r="C4606" s="49">
        <v>39158</v>
      </c>
      <c r="D4606" s="9">
        <f>YEAR(Tabla1[[#This Row],[Date]])</f>
        <v>2007</v>
      </c>
      <c r="E4606" s="9" t="str" cm="1">
        <f t="array" ref="E4606">IFERROR(_xlfn.IFS(AND(D4606&lt;1980,D4606&gt;=1970),"70",AND(D4606&lt;1990,D4606&gt;=1980),"80",AND(D4606&lt;2000,D4606&gt;=1990),"90",AND(D4606&lt;2010,D4606&gt;=2000),"00",AND(D4606&lt;=2019,D4606&gt;=2010),"10"),"1908-1970")</f>
        <v>00</v>
      </c>
      <c r="F4606" s="3">
        <v>0.4861111111111111</v>
      </c>
      <c r="G4606" t="s">
        <v>26196</v>
      </c>
      <c r="H4606" t="s">
        <v>26197</v>
      </c>
      <c r="I4606" t="s">
        <v>26198</v>
      </c>
      <c r="J4606" t="s">
        <v>26199</v>
      </c>
      <c r="K4606" t="s">
        <v>26200</v>
      </c>
      <c r="L4606" s="7" t="s">
        <v>26201</v>
      </c>
      <c r="M4606">
        <v>48390</v>
      </c>
      <c r="N4606">
        <v>57</v>
      </c>
      <c r="O4606">
        <v>50</v>
      </c>
      <c r="P4606">
        <v>7</v>
      </c>
      <c r="Q4606">
        <v>6</v>
      </c>
      <c r="R4606">
        <v>6</v>
      </c>
      <c r="S4606">
        <v>0</v>
      </c>
      <c r="T4606">
        <v>0</v>
      </c>
      <c r="U4606" t="s">
        <v>26202</v>
      </c>
      <c r="V4606">
        <f>Tabla1[[#This Row],[Aboard]]-Tabla1[[#This Row],[Fatalities]]</f>
        <v>51</v>
      </c>
      <c r="W4606" s="50">
        <f>IFERROR(Tabla1[[#This Row],[Fatalities]]/Tabla1[[#This Row],[Aboard]],0)</f>
        <v>0.10526315789473684</v>
      </c>
      <c r="X4606" s="51" t="str" cm="1">
        <f t="array" ref="X4606">_xlfn.IFS(Tabla1[[#This Row],[Porcentaje de muertes]]&lt;0.35,"LEVE",AND(Tabla1[[#This Row],[Porcentaje de muertes]]&gt;0.35,Tabla1[[#This Row],[Porcentaje de muertes]]&lt;0.65),"MEDIO",Tabla1[[#This Row],[Porcentaje de muertes]]&gt;0.65,"GRAVE")</f>
        <v>LEVE</v>
      </c>
    </row>
    <row r="4607" spans="2:24" x14ac:dyDescent="0.3">
      <c r="B4607" s="9">
        <v>4607</v>
      </c>
      <c r="C4607" s="49">
        <v>39164</v>
      </c>
      <c r="D4607" s="9">
        <f>YEAR(Tabla1[[#This Row],[Date]])</f>
        <v>2007</v>
      </c>
      <c r="E4607" s="9" t="str" cm="1">
        <f t="array" ref="E4607">IFERROR(_xlfn.IFS(AND(D4607&lt;1980,D4607&gt;=1970),"70",AND(D4607&lt;1990,D4607&gt;=1980),"80",AND(D4607&lt;2000,D4607&gt;=1990),"90",AND(D4607&lt;2010,D4607&gt;=2000),"00",AND(D4607&lt;=2019,D4607&gt;=2010),"10"),"1908-1970")</f>
        <v>00</v>
      </c>
      <c r="F4607" s="3">
        <v>0.70833333333333337</v>
      </c>
      <c r="G4607" t="s">
        <v>15859</v>
      </c>
      <c r="H4607" t="s">
        <v>26203</v>
      </c>
      <c r="I4607" t="s">
        <v>28931</v>
      </c>
      <c r="J4607" t="s">
        <v>26204</v>
      </c>
      <c r="K4607" t="s">
        <v>26205</v>
      </c>
      <c r="L4607" s="7" t="s">
        <v>26206</v>
      </c>
      <c r="M4607">
        <v>1013405192</v>
      </c>
      <c r="N4607">
        <v>11</v>
      </c>
      <c r="O4607">
        <v>5</v>
      </c>
      <c r="P4607">
        <v>6</v>
      </c>
      <c r="Q4607">
        <v>11</v>
      </c>
      <c r="R4607">
        <v>5</v>
      </c>
      <c r="S4607">
        <v>6</v>
      </c>
      <c r="T4607">
        <v>0</v>
      </c>
      <c r="U4607" t="s">
        <v>26207</v>
      </c>
      <c r="V4607">
        <f>Tabla1[[#This Row],[Aboard]]-Tabla1[[#This Row],[Fatalities]]</f>
        <v>0</v>
      </c>
      <c r="W4607" s="50">
        <f>IFERROR(Tabla1[[#This Row],[Fatalities]]/Tabla1[[#This Row],[Aboard]],0)</f>
        <v>1</v>
      </c>
      <c r="X4607" s="51" t="str" cm="1">
        <f t="array" ref="X4607">_xlfn.IFS(Tabla1[[#This Row],[Porcentaje de muertes]]&lt;0.35,"LEVE",AND(Tabla1[[#This Row],[Porcentaje de muertes]]&gt;0.35,Tabla1[[#This Row],[Porcentaje de muertes]]&lt;0.65),"MEDIO",Tabla1[[#This Row],[Porcentaje de muertes]]&gt;0.65,"GRAVE")</f>
        <v>GRAVE</v>
      </c>
    </row>
    <row r="4608" spans="2:24" x14ac:dyDescent="0.3">
      <c r="B4608" s="9">
        <v>4608</v>
      </c>
      <c r="C4608" s="49">
        <v>39197</v>
      </c>
      <c r="D4608" s="9">
        <f>YEAR(Tabla1[[#This Row],[Date]])</f>
        <v>2007</v>
      </c>
      <c r="E4608" s="9" t="str" cm="1">
        <f t="array" ref="E4608">IFERROR(_xlfn.IFS(AND(D4608&lt;1980,D4608&gt;=1970),"70",AND(D4608&lt;1990,D4608&gt;=1980),"80",AND(D4608&lt;2000,D4608&gt;=1990),"90",AND(D4608&lt;2010,D4608&gt;=2000),"00",AND(D4608&lt;=2019,D4608&gt;=2010),"10"),"1908-1970")</f>
        <v>00</v>
      </c>
      <c r="F4608" s="3">
        <v>0.58680555555555558</v>
      </c>
      <c r="G4608" t="s">
        <v>26208</v>
      </c>
      <c r="H4608" t="s">
        <v>26209</v>
      </c>
      <c r="I4608" t="s">
        <v>28931</v>
      </c>
      <c r="J4608" t="s">
        <v>26210</v>
      </c>
      <c r="K4608" t="s">
        <v>26211</v>
      </c>
      <c r="L4608" s="7" t="s">
        <v>26212</v>
      </c>
      <c r="M4608">
        <v>484</v>
      </c>
      <c r="N4608">
        <v>5</v>
      </c>
      <c r="O4608">
        <v>4</v>
      </c>
      <c r="P4608">
        <v>1</v>
      </c>
      <c r="Q4608">
        <v>3</v>
      </c>
      <c r="R4608">
        <v>2</v>
      </c>
      <c r="S4608">
        <v>1</v>
      </c>
      <c r="T4608">
        <v>0</v>
      </c>
      <c r="U4608" t="s">
        <v>26213</v>
      </c>
      <c r="V4608">
        <f>Tabla1[[#This Row],[Aboard]]-Tabla1[[#This Row],[Fatalities]]</f>
        <v>2</v>
      </c>
      <c r="W4608" s="50">
        <f>IFERROR(Tabla1[[#This Row],[Fatalities]]/Tabla1[[#This Row],[Aboard]],0)</f>
        <v>0.6</v>
      </c>
      <c r="X4608" s="51" t="str" cm="1">
        <f t="array" ref="X4608">_xlfn.IFS(Tabla1[[#This Row],[Porcentaje de muertes]]&lt;0.35,"LEVE",AND(Tabla1[[#This Row],[Porcentaje de muertes]]&gt;0.35,Tabla1[[#This Row],[Porcentaje de muertes]]&lt;0.65),"MEDIO",Tabla1[[#This Row],[Porcentaje de muertes]]&gt;0.65,"GRAVE")</f>
        <v>MEDIO</v>
      </c>
    </row>
    <row r="4609" spans="2:24" x14ac:dyDescent="0.3">
      <c r="B4609" s="9">
        <v>4609</v>
      </c>
      <c r="C4609" s="49">
        <v>39199</v>
      </c>
      <c r="D4609" s="9">
        <f>YEAR(Tabla1[[#This Row],[Date]])</f>
        <v>2007</v>
      </c>
      <c r="E4609" s="9" t="str" cm="1">
        <f t="array" ref="E4609">IFERROR(_xlfn.IFS(AND(D4609&lt;1980,D4609&gt;=1970),"70",AND(D4609&lt;1990,D4609&gt;=1980),"80",AND(D4609&lt;2000,D4609&gt;=1990),"90",AND(D4609&lt;2010,D4609&gt;=2000),"00",AND(D4609&lt;=2019,D4609&gt;=2010),"10"),"1908-1970")</f>
        <v>00</v>
      </c>
      <c r="F4609" s="3">
        <v>0.48194444444444445</v>
      </c>
      <c r="G4609" t="s">
        <v>26214</v>
      </c>
      <c r="H4609" t="s">
        <v>26215</v>
      </c>
      <c r="I4609" t="s">
        <v>28931</v>
      </c>
      <c r="J4609" t="s">
        <v>28931</v>
      </c>
      <c r="K4609" t="s">
        <v>26216</v>
      </c>
      <c r="L4609" s="7" t="s">
        <v>28931</v>
      </c>
      <c r="M4609" t="s">
        <v>28931</v>
      </c>
      <c r="N4609">
        <v>18</v>
      </c>
      <c r="O4609">
        <v>15</v>
      </c>
      <c r="P4609">
        <v>3</v>
      </c>
      <c r="Q4609">
        <v>18</v>
      </c>
      <c r="R4609">
        <v>15</v>
      </c>
      <c r="S4609">
        <v>3</v>
      </c>
      <c r="T4609">
        <v>0</v>
      </c>
      <c r="U4609" t="s">
        <v>26217</v>
      </c>
      <c r="V4609">
        <f>Tabla1[[#This Row],[Aboard]]-Tabla1[[#This Row],[Fatalities]]</f>
        <v>0</v>
      </c>
      <c r="W4609" s="50">
        <f>IFERROR(Tabla1[[#This Row],[Fatalities]]/Tabla1[[#This Row],[Aboard]],0)</f>
        <v>1</v>
      </c>
      <c r="X4609" s="51" t="str" cm="1">
        <f t="array" ref="X4609">_xlfn.IFS(Tabla1[[#This Row],[Porcentaje de muertes]]&lt;0.35,"LEVE",AND(Tabla1[[#This Row],[Porcentaje de muertes]]&gt;0.35,Tabla1[[#This Row],[Porcentaje de muertes]]&lt;0.65),"MEDIO",Tabla1[[#This Row],[Porcentaje de muertes]]&gt;0.65,"GRAVE")</f>
        <v>GRAVE</v>
      </c>
    </row>
    <row r="4610" spans="2:24" x14ac:dyDescent="0.3">
      <c r="B4610" s="9">
        <v>4610</v>
      </c>
      <c r="C4610" s="49">
        <v>39207</v>
      </c>
      <c r="D4610" s="9">
        <f>YEAR(Tabla1[[#This Row],[Date]])</f>
        <v>2007</v>
      </c>
      <c r="E4610" s="9" t="str" cm="1">
        <f t="array" ref="E4610">IFERROR(_xlfn.IFS(AND(D4610&lt;1980,D4610&gt;=1970),"70",AND(D4610&lt;1990,D4610&gt;=1980),"80",AND(D4610&lt;2000,D4610&gt;=1990),"90",AND(D4610&lt;2010,D4610&gt;=2000),"00",AND(D4610&lt;=2019,D4610&gt;=2010),"10"),"1908-1970")</f>
        <v>00</v>
      </c>
      <c r="F4610" s="3">
        <v>5.5555555555555558E-3</v>
      </c>
      <c r="G4610" t="s">
        <v>26218</v>
      </c>
      <c r="H4610" t="s">
        <v>24261</v>
      </c>
      <c r="I4610">
        <v>507</v>
      </c>
      <c r="J4610" t="s">
        <v>26219</v>
      </c>
      <c r="K4610" t="s">
        <v>26220</v>
      </c>
      <c r="L4610" s="7" t="s">
        <v>26221</v>
      </c>
      <c r="M4610" t="s">
        <v>26222</v>
      </c>
      <c r="N4610">
        <v>114</v>
      </c>
      <c r="O4610">
        <v>105</v>
      </c>
      <c r="P4610">
        <v>9</v>
      </c>
      <c r="Q4610">
        <v>114</v>
      </c>
      <c r="R4610">
        <v>105</v>
      </c>
      <c r="S4610">
        <v>9</v>
      </c>
      <c r="T4610">
        <v>0</v>
      </c>
      <c r="U4610" t="s">
        <v>26223</v>
      </c>
      <c r="V4610">
        <f>Tabla1[[#This Row],[Aboard]]-Tabla1[[#This Row],[Fatalities]]</f>
        <v>0</v>
      </c>
      <c r="W4610" s="50">
        <f>IFERROR(Tabla1[[#This Row],[Fatalities]]/Tabla1[[#This Row],[Aboard]],0)</f>
        <v>1</v>
      </c>
      <c r="X4610" s="51" t="str" cm="1">
        <f t="array" ref="X4610">_xlfn.IFS(Tabla1[[#This Row],[Porcentaje de muertes]]&lt;0.35,"LEVE",AND(Tabla1[[#This Row],[Porcentaje de muertes]]&gt;0.35,Tabla1[[#This Row],[Porcentaje de muertes]]&lt;0.65),"MEDIO",Tabla1[[#This Row],[Porcentaje de muertes]]&gt;0.65,"GRAVE")</f>
        <v>GRAVE</v>
      </c>
    </row>
    <row r="4611" spans="2:24" x14ac:dyDescent="0.3">
      <c r="B4611" s="9">
        <v>4611</v>
      </c>
      <c r="C4611" s="49">
        <v>39238</v>
      </c>
      <c r="D4611" s="9">
        <f>YEAR(Tabla1[[#This Row],[Date]])</f>
        <v>2007</v>
      </c>
      <c r="E4611" s="9" t="str" cm="1">
        <f t="array" ref="E4611">IFERROR(_xlfn.IFS(AND(D4611&lt;1980,D4611&gt;=1970),"70",AND(D4611&lt;1990,D4611&gt;=1980),"80",AND(D4611&lt;2000,D4611&gt;=1990),"90",AND(D4611&lt;2010,D4611&gt;=2000),"00",AND(D4611&lt;=2019,D4611&gt;=2010),"10"),"1908-1970")</f>
        <v>00</v>
      </c>
      <c r="F4611" s="3">
        <v>0.38194444444444442</v>
      </c>
      <c r="G4611" t="s">
        <v>26224</v>
      </c>
      <c r="H4611" t="s">
        <v>13495</v>
      </c>
      <c r="I4611" t="s">
        <v>28931</v>
      </c>
      <c r="J4611" t="s">
        <v>26225</v>
      </c>
      <c r="K4611" t="s">
        <v>16459</v>
      </c>
      <c r="L4611" s="7" t="s">
        <v>26226</v>
      </c>
      <c r="M4611">
        <v>742</v>
      </c>
      <c r="N4611">
        <v>9</v>
      </c>
      <c r="O4611">
        <v>5</v>
      </c>
      <c r="P4611">
        <v>4</v>
      </c>
      <c r="Q4611">
        <v>9</v>
      </c>
      <c r="R4611">
        <v>5</v>
      </c>
      <c r="S4611">
        <v>4</v>
      </c>
      <c r="T4611">
        <v>0</v>
      </c>
      <c r="U4611" t="s">
        <v>26227</v>
      </c>
      <c r="V4611">
        <f>Tabla1[[#This Row],[Aboard]]-Tabla1[[#This Row],[Fatalities]]</f>
        <v>0</v>
      </c>
      <c r="W4611" s="50">
        <f>IFERROR(Tabla1[[#This Row],[Fatalities]]/Tabla1[[#This Row],[Aboard]],0)</f>
        <v>1</v>
      </c>
      <c r="X4611" s="51" t="str" cm="1">
        <f t="array" ref="X4611">_xlfn.IFS(Tabla1[[#This Row],[Porcentaje de muertes]]&lt;0.35,"LEVE",AND(Tabla1[[#This Row],[Porcentaje de muertes]]&gt;0.35,Tabla1[[#This Row],[Porcentaje de muertes]]&lt;0.65),"MEDIO",Tabla1[[#This Row],[Porcentaje de muertes]]&gt;0.65,"GRAVE")</f>
        <v>GRAVE</v>
      </c>
    </row>
    <row r="4612" spans="2:24" x14ac:dyDescent="0.3">
      <c r="B4612" s="9">
        <v>4612</v>
      </c>
      <c r="C4612" s="49">
        <v>39219</v>
      </c>
      <c r="D4612" s="9">
        <f>YEAR(Tabla1[[#This Row],[Date]])</f>
        <v>2007</v>
      </c>
      <c r="E4612" s="9" t="str" cm="1">
        <f t="array" ref="E4612">IFERROR(_xlfn.IFS(AND(D4612&lt;1980,D4612&gt;=1970),"70",AND(D4612&lt;1990,D4612&gt;=1980),"80",AND(D4612&lt;2000,D4612&gt;=1990),"90",AND(D4612&lt;2010,D4612&gt;=2000),"00",AND(D4612&lt;=2019,D4612&gt;=2010),"10"),"1908-1970")</f>
        <v>00</v>
      </c>
      <c r="F4612" s="3">
        <v>0.45833333333333331</v>
      </c>
      <c r="G4612" t="s">
        <v>26228</v>
      </c>
      <c r="H4612" t="s">
        <v>26229</v>
      </c>
      <c r="I4612" t="s">
        <v>28931</v>
      </c>
      <c r="J4612" t="s">
        <v>26230</v>
      </c>
      <c r="K4612" t="s">
        <v>20760</v>
      </c>
      <c r="L4612" s="7" t="s">
        <v>26231</v>
      </c>
      <c r="M4612">
        <v>851335</v>
      </c>
      <c r="N4612">
        <v>3</v>
      </c>
      <c r="O4612">
        <v>1</v>
      </c>
      <c r="P4612">
        <v>2</v>
      </c>
      <c r="Q4612">
        <v>3</v>
      </c>
      <c r="R4612">
        <v>1</v>
      </c>
      <c r="S4612">
        <v>2</v>
      </c>
      <c r="T4612">
        <v>0</v>
      </c>
      <c r="U4612" t="s">
        <v>26232</v>
      </c>
      <c r="V4612">
        <f>Tabla1[[#This Row],[Aboard]]-Tabla1[[#This Row],[Fatalities]]</f>
        <v>0</v>
      </c>
      <c r="W4612" s="50">
        <f>IFERROR(Tabla1[[#This Row],[Fatalities]]/Tabla1[[#This Row],[Aboard]],0)</f>
        <v>1</v>
      </c>
      <c r="X4612" s="51" t="str" cm="1">
        <f t="array" ref="X4612">_xlfn.IFS(Tabla1[[#This Row],[Porcentaje de muertes]]&lt;0.35,"LEVE",AND(Tabla1[[#This Row],[Porcentaje de muertes]]&gt;0.35,Tabla1[[#This Row],[Porcentaje de muertes]]&lt;0.65),"MEDIO",Tabla1[[#This Row],[Porcentaje de muertes]]&gt;0.65,"GRAVE")</f>
        <v>GRAVE</v>
      </c>
    </row>
    <row r="4613" spans="2:24" x14ac:dyDescent="0.3">
      <c r="B4613" s="9">
        <v>4614</v>
      </c>
      <c r="C4613" s="49">
        <v>39147</v>
      </c>
      <c r="D4613" s="9">
        <f>YEAR(Tabla1[[#This Row],[Date]])</f>
        <v>2007</v>
      </c>
      <c r="E4613" s="9" t="str" cm="1">
        <f t="array" ref="E4613">IFERROR(_xlfn.IFS(AND(D4613&lt;1980,D4613&gt;=1970),"70",AND(D4613&lt;1990,D4613&gt;=1980),"80",AND(D4613&lt;2000,D4613&gt;=1990),"90",AND(D4613&lt;2010,D4613&gt;=2000),"00",AND(D4613&lt;=2019,D4613&gt;=2010),"10"),"1908-1970")</f>
        <v>00</v>
      </c>
      <c r="F4613" s="3">
        <v>0.85416666666666663</v>
      </c>
      <c r="G4613" t="s">
        <v>26233</v>
      </c>
      <c r="H4613" t="s">
        <v>26234</v>
      </c>
      <c r="I4613" t="s">
        <v>28931</v>
      </c>
      <c r="J4613" t="s">
        <v>5105</v>
      </c>
      <c r="K4613" t="s">
        <v>26235</v>
      </c>
      <c r="L4613" s="7" t="s">
        <v>28931</v>
      </c>
      <c r="M4613" t="s">
        <v>28931</v>
      </c>
      <c r="N4613">
        <v>22</v>
      </c>
      <c r="O4613">
        <v>20</v>
      </c>
      <c r="P4613">
        <v>2</v>
      </c>
      <c r="Q4613">
        <v>21</v>
      </c>
      <c r="R4613">
        <v>20</v>
      </c>
      <c r="S4613">
        <v>1</v>
      </c>
      <c r="T4613">
        <v>0</v>
      </c>
      <c r="U4613" t="s">
        <v>26236</v>
      </c>
      <c r="V4613">
        <f>Tabla1[[#This Row],[Aboard]]-Tabla1[[#This Row],[Fatalities]]</f>
        <v>1</v>
      </c>
      <c r="W4613" s="50">
        <f>IFERROR(Tabla1[[#This Row],[Fatalities]]/Tabla1[[#This Row],[Aboard]],0)</f>
        <v>0.95454545454545459</v>
      </c>
      <c r="X4613" s="51" t="str" cm="1">
        <f t="array" ref="X4613">_xlfn.IFS(Tabla1[[#This Row],[Porcentaje de muertes]]&lt;0.35,"LEVE",AND(Tabla1[[#This Row],[Porcentaje de muertes]]&gt;0.35,Tabla1[[#This Row],[Porcentaje de muertes]]&lt;0.65),"MEDIO",Tabla1[[#This Row],[Porcentaje de muertes]]&gt;0.65,"GRAVE")</f>
        <v>GRAVE</v>
      </c>
    </row>
    <row r="4614" spans="2:24" x14ac:dyDescent="0.3">
      <c r="B4614" s="9">
        <v>4615</v>
      </c>
      <c r="C4614" s="49">
        <v>39178</v>
      </c>
      <c r="D4614" s="9">
        <f>YEAR(Tabla1[[#This Row],[Date]])</f>
        <v>2007</v>
      </c>
      <c r="E4614" s="9" t="str" cm="1">
        <f t="array" ref="E4614">IFERROR(_xlfn.IFS(AND(D4614&lt;1980,D4614&gt;=1970),"70",AND(D4614&lt;1990,D4614&gt;=1980),"80",AND(D4614&lt;2000,D4614&gt;=1990),"90",AND(D4614&lt;2010,D4614&gt;=2000),"00",AND(D4614&lt;=2019,D4614&gt;=2010),"10"),"1908-1970")</f>
        <v>00</v>
      </c>
      <c r="F4614" s="3">
        <v>0.6694444444444444</v>
      </c>
      <c r="G4614" t="s">
        <v>26237</v>
      </c>
      <c r="H4614" t="s">
        <v>26238</v>
      </c>
      <c r="I4614" t="s">
        <v>28931</v>
      </c>
      <c r="J4614" t="s">
        <v>26239</v>
      </c>
      <c r="K4614" t="s">
        <v>26240</v>
      </c>
      <c r="L4614" s="7" t="s">
        <v>26241</v>
      </c>
      <c r="M4614" t="s">
        <v>26242</v>
      </c>
      <c r="N4614">
        <v>6</v>
      </c>
      <c r="O4614">
        <v>4</v>
      </c>
      <c r="P4614">
        <v>2</v>
      </c>
      <c r="Q4614">
        <v>6</v>
      </c>
      <c r="R4614">
        <v>4</v>
      </c>
      <c r="S4614">
        <v>2</v>
      </c>
      <c r="T4614">
        <v>0</v>
      </c>
      <c r="U4614" t="s">
        <v>26243</v>
      </c>
      <c r="V4614">
        <f>Tabla1[[#This Row],[Aboard]]-Tabla1[[#This Row],[Fatalities]]</f>
        <v>0</v>
      </c>
      <c r="W4614" s="50">
        <f>IFERROR(Tabla1[[#This Row],[Fatalities]]/Tabla1[[#This Row],[Aboard]],0)</f>
        <v>1</v>
      </c>
      <c r="X4614" s="51" t="str" cm="1">
        <f t="array" ref="X4614">_xlfn.IFS(Tabla1[[#This Row],[Porcentaje de muertes]]&lt;0.35,"LEVE",AND(Tabla1[[#This Row],[Porcentaje de muertes]]&gt;0.35,Tabla1[[#This Row],[Porcentaje de muertes]]&lt;0.65),"MEDIO",Tabla1[[#This Row],[Porcentaje de muertes]]&gt;0.65,"GRAVE")</f>
        <v>GRAVE</v>
      </c>
    </row>
    <row r="4615" spans="2:24" x14ac:dyDescent="0.3">
      <c r="B4615" s="9">
        <v>4616</v>
      </c>
      <c r="C4615" s="49">
        <v>39246</v>
      </c>
      <c r="D4615" s="9">
        <f>YEAR(Tabla1[[#This Row],[Date]])</f>
        <v>2007</v>
      </c>
      <c r="E4615" s="9" t="str" cm="1">
        <f t="array" ref="E4615">IFERROR(_xlfn.IFS(AND(D4615&lt;1980,D4615&gt;=1970),"70",AND(D4615&lt;1990,D4615&gt;=1980),"80",AND(D4615&lt;2000,D4615&gt;=1990),"90",AND(D4615&lt;2010,D4615&gt;=2000),"00",AND(D4615&lt;=2019,D4615&gt;=2010),"10"),"1908-1970")</f>
        <v>00</v>
      </c>
      <c r="F4615" s="3" t="s">
        <v>28931</v>
      </c>
      <c r="G4615" t="s">
        <v>26244</v>
      </c>
      <c r="H4615" t="s">
        <v>26245</v>
      </c>
      <c r="I4615" t="s">
        <v>28931</v>
      </c>
      <c r="J4615" t="s">
        <v>28931</v>
      </c>
      <c r="K4615" t="s">
        <v>26235</v>
      </c>
      <c r="L4615" s="7" t="s">
        <v>28931</v>
      </c>
      <c r="M4615" t="s">
        <v>28931</v>
      </c>
      <c r="N4615">
        <v>22</v>
      </c>
      <c r="O4615">
        <v>19</v>
      </c>
      <c r="P4615">
        <v>3</v>
      </c>
      <c r="Q4615">
        <v>15</v>
      </c>
      <c r="R4615">
        <v>12</v>
      </c>
      <c r="S4615">
        <v>3</v>
      </c>
      <c r="T4615">
        <v>0</v>
      </c>
      <c r="U4615" t="s">
        <v>26246</v>
      </c>
      <c r="V4615">
        <f>Tabla1[[#This Row],[Aboard]]-Tabla1[[#This Row],[Fatalities]]</f>
        <v>7</v>
      </c>
      <c r="W4615" s="50">
        <f>IFERROR(Tabla1[[#This Row],[Fatalities]]/Tabla1[[#This Row],[Aboard]],0)</f>
        <v>0.68181818181818177</v>
      </c>
      <c r="X4615" s="51" t="str" cm="1">
        <f t="array" ref="X4615">_xlfn.IFS(Tabla1[[#This Row],[Porcentaje de muertes]]&lt;0.35,"LEVE",AND(Tabla1[[#This Row],[Porcentaje de muertes]]&gt;0.35,Tabla1[[#This Row],[Porcentaje de muertes]]&lt;0.65),"MEDIO",Tabla1[[#This Row],[Porcentaje de muertes]]&gt;0.65,"GRAVE")</f>
        <v>GRAVE</v>
      </c>
    </row>
    <row r="4616" spans="2:24" x14ac:dyDescent="0.3">
      <c r="B4616" s="9">
        <v>4617</v>
      </c>
      <c r="C4616" s="49">
        <v>39254</v>
      </c>
      <c r="D4616" s="9">
        <f>YEAR(Tabla1[[#This Row],[Date]])</f>
        <v>2007</v>
      </c>
      <c r="E4616" s="9" t="str" cm="1">
        <f t="array" ref="E4616">IFERROR(_xlfn.IFS(AND(D4616&lt;1980,D4616&gt;=1970),"70",AND(D4616&lt;1990,D4616&gt;=1980),"80",AND(D4616&lt;2000,D4616&gt;=1990),"90",AND(D4616&lt;2010,D4616&gt;=2000),"00",AND(D4616&lt;=2019,D4616&gt;=2010),"10"),"1908-1970")</f>
        <v>00</v>
      </c>
      <c r="F4616" s="3" t="s">
        <v>28931</v>
      </c>
      <c r="G4616" t="s">
        <v>26247</v>
      </c>
      <c r="H4616" t="s">
        <v>26248</v>
      </c>
      <c r="I4616" t="s">
        <v>28931</v>
      </c>
      <c r="J4616" t="s">
        <v>26249</v>
      </c>
      <c r="K4616" t="s">
        <v>20760</v>
      </c>
      <c r="L4616" s="7" t="s">
        <v>26250</v>
      </c>
      <c r="M4616">
        <v>841217</v>
      </c>
      <c r="N4616">
        <v>25</v>
      </c>
      <c r="O4616">
        <v>22</v>
      </c>
      <c r="P4616">
        <v>3</v>
      </c>
      <c r="Q4616">
        <v>1</v>
      </c>
      <c r="R4616">
        <v>1</v>
      </c>
      <c r="S4616">
        <v>0</v>
      </c>
      <c r="T4616">
        <v>0</v>
      </c>
      <c r="U4616" t="s">
        <v>26251</v>
      </c>
      <c r="V4616">
        <f>Tabla1[[#This Row],[Aboard]]-Tabla1[[#This Row],[Fatalities]]</f>
        <v>24</v>
      </c>
      <c r="W4616" s="50">
        <f>IFERROR(Tabla1[[#This Row],[Fatalities]]/Tabla1[[#This Row],[Aboard]],0)</f>
        <v>0.04</v>
      </c>
      <c r="X4616" s="51" t="str" cm="1">
        <f t="array" ref="X4616">_xlfn.IFS(Tabla1[[#This Row],[Porcentaje de muertes]]&lt;0.35,"LEVE",AND(Tabla1[[#This Row],[Porcentaje de muertes]]&gt;0.35,Tabla1[[#This Row],[Porcentaje de muertes]]&lt;0.65),"MEDIO",Tabla1[[#This Row],[Porcentaje de muertes]]&gt;0.65,"GRAVE")</f>
        <v>LEVE</v>
      </c>
    </row>
    <row r="4617" spans="2:24" x14ac:dyDescent="0.3">
      <c r="B4617" s="9">
        <v>4618</v>
      </c>
      <c r="C4617" s="49">
        <v>39258</v>
      </c>
      <c r="D4617" s="9">
        <f>YEAR(Tabla1[[#This Row],[Date]])</f>
        <v>2007</v>
      </c>
      <c r="E4617" s="9" t="str" cm="1">
        <f t="array" ref="E4617">IFERROR(_xlfn.IFS(AND(D4617&lt;1980,D4617&gt;=1970),"70",AND(D4617&lt;1990,D4617&gt;=1980),"80",AND(D4617&lt;2000,D4617&gt;=1990),"90",AND(D4617&lt;2010,D4617&gt;=2000),"00",AND(D4617&lt;=2019,D4617&gt;=2010),"10"),"1908-1970")</f>
        <v>00</v>
      </c>
      <c r="F4617" s="3">
        <v>0.44444444444444442</v>
      </c>
      <c r="G4617" t="s">
        <v>26252</v>
      </c>
      <c r="H4617" t="s">
        <v>26253</v>
      </c>
      <c r="I4617">
        <v>241</v>
      </c>
      <c r="J4617" t="s">
        <v>26254</v>
      </c>
      <c r="K4617" t="s">
        <v>15299</v>
      </c>
      <c r="L4617" s="7" t="s">
        <v>26255</v>
      </c>
      <c r="M4617">
        <v>99901908</v>
      </c>
      <c r="N4617">
        <v>22</v>
      </c>
      <c r="O4617">
        <v>16</v>
      </c>
      <c r="P4617">
        <v>6</v>
      </c>
      <c r="Q4617">
        <v>22</v>
      </c>
      <c r="R4617">
        <v>16</v>
      </c>
      <c r="S4617">
        <v>6</v>
      </c>
      <c r="T4617">
        <v>0</v>
      </c>
      <c r="U4617" t="s">
        <v>26256</v>
      </c>
      <c r="V4617">
        <f>Tabla1[[#This Row],[Aboard]]-Tabla1[[#This Row],[Fatalities]]</f>
        <v>0</v>
      </c>
      <c r="W4617" s="50">
        <f>IFERROR(Tabla1[[#This Row],[Fatalities]]/Tabla1[[#This Row],[Aboard]],0)</f>
        <v>1</v>
      </c>
      <c r="X4617" s="51" t="str" cm="1">
        <f t="array" ref="X4617">_xlfn.IFS(Tabla1[[#This Row],[Porcentaje de muertes]]&lt;0.35,"LEVE",AND(Tabla1[[#This Row],[Porcentaje de muertes]]&gt;0.35,Tabla1[[#This Row],[Porcentaje de muertes]]&lt;0.65),"MEDIO",Tabla1[[#This Row],[Porcentaje de muertes]]&gt;0.65,"GRAVE")</f>
        <v>GRAVE</v>
      </c>
    </row>
    <row r="4618" spans="2:24" x14ac:dyDescent="0.3">
      <c r="B4618" s="9">
        <v>4619</v>
      </c>
      <c r="C4618" s="49">
        <v>39261</v>
      </c>
      <c r="D4618" s="9">
        <f>YEAR(Tabla1[[#This Row],[Date]])</f>
        <v>2007</v>
      </c>
      <c r="E4618" s="9" t="str" cm="1">
        <f t="array" ref="E4618">IFERROR(_xlfn.IFS(AND(D4618&lt;1980,D4618&gt;=1970),"70",AND(D4618&lt;1990,D4618&gt;=1980),"80",AND(D4618&lt;2000,D4618&gt;=1990),"90",AND(D4618&lt;2010,D4618&gt;=2000),"00",AND(D4618&lt;=2019,D4618&gt;=2010),"10"),"1908-1970")</f>
        <v>00</v>
      </c>
      <c r="F4618" s="3">
        <v>0.56944444444444442</v>
      </c>
      <c r="G4618" t="s">
        <v>26257</v>
      </c>
      <c r="H4618" t="s">
        <v>18885</v>
      </c>
      <c r="I4618" t="s">
        <v>28931</v>
      </c>
      <c r="J4618" t="s">
        <v>26258</v>
      </c>
      <c r="K4618" t="s">
        <v>26259</v>
      </c>
      <c r="L4618" s="7" t="s">
        <v>26260</v>
      </c>
      <c r="M4618" t="s">
        <v>26261</v>
      </c>
      <c r="N4618">
        <v>78</v>
      </c>
      <c r="O4618">
        <v>69</v>
      </c>
      <c r="P4618">
        <v>9</v>
      </c>
      <c r="Q4618">
        <v>5</v>
      </c>
      <c r="R4618">
        <v>4</v>
      </c>
      <c r="S4618">
        <v>1</v>
      </c>
      <c r="T4618">
        <v>0</v>
      </c>
      <c r="U4618" t="s">
        <v>26262</v>
      </c>
      <c r="V4618">
        <f>Tabla1[[#This Row],[Aboard]]-Tabla1[[#This Row],[Fatalities]]</f>
        <v>73</v>
      </c>
      <c r="W4618" s="50">
        <f>IFERROR(Tabla1[[#This Row],[Fatalities]]/Tabla1[[#This Row],[Aboard]],0)</f>
        <v>6.4102564102564097E-2</v>
      </c>
      <c r="X4618" s="51" t="str" cm="1">
        <f t="array" ref="X4618">_xlfn.IFS(Tabla1[[#This Row],[Porcentaje de muertes]]&lt;0.35,"LEVE",AND(Tabla1[[#This Row],[Porcentaje de muertes]]&gt;0.35,Tabla1[[#This Row],[Porcentaje de muertes]]&lt;0.65),"MEDIO",Tabla1[[#This Row],[Porcentaje de muertes]]&gt;0.65,"GRAVE")</f>
        <v>LEVE</v>
      </c>
    </row>
    <row r="4619" spans="2:24" x14ac:dyDescent="0.3">
      <c r="B4619" s="9">
        <v>4620</v>
      </c>
      <c r="C4619" s="49">
        <v>39209</v>
      </c>
      <c r="D4619" s="9">
        <f>YEAR(Tabla1[[#This Row],[Date]])</f>
        <v>2007</v>
      </c>
      <c r="E4619" s="9" t="str" cm="1">
        <f t="array" ref="E4619">IFERROR(_xlfn.IFS(AND(D4619&lt;1980,D4619&gt;=1970),"70",AND(D4619&lt;1990,D4619&gt;=1980),"80",AND(D4619&lt;2000,D4619&gt;=1990),"90",AND(D4619&lt;2010,D4619&gt;=2000),"00",AND(D4619&lt;=2019,D4619&gt;=2010),"10"),"1908-1970")</f>
        <v>00</v>
      </c>
      <c r="F4619" s="3">
        <v>0.39583333333333331</v>
      </c>
      <c r="G4619" t="s">
        <v>26263</v>
      </c>
      <c r="H4619" t="s">
        <v>25618</v>
      </c>
      <c r="I4619" t="s">
        <v>28931</v>
      </c>
      <c r="J4619" t="s">
        <v>28931</v>
      </c>
      <c r="K4619" t="s">
        <v>26264</v>
      </c>
      <c r="L4619" s="7" t="s">
        <v>26265</v>
      </c>
      <c r="M4619" t="s">
        <v>26266</v>
      </c>
      <c r="N4619">
        <v>3</v>
      </c>
      <c r="O4619">
        <v>0</v>
      </c>
      <c r="P4619">
        <v>3</v>
      </c>
      <c r="Q4619">
        <v>3</v>
      </c>
      <c r="R4619">
        <v>0</v>
      </c>
      <c r="S4619">
        <v>3</v>
      </c>
      <c r="T4619">
        <v>6</v>
      </c>
      <c r="U4619" t="s">
        <v>26267</v>
      </c>
      <c r="V4619">
        <f>Tabla1[[#This Row],[Aboard]]-Tabla1[[#This Row],[Fatalities]]</f>
        <v>0</v>
      </c>
      <c r="W4619" s="50">
        <f>IFERROR(Tabla1[[#This Row],[Fatalities]]/Tabla1[[#This Row],[Aboard]],0)</f>
        <v>1</v>
      </c>
      <c r="X4619" s="51" t="str" cm="1">
        <f t="array" ref="X4619">_xlfn.IFS(Tabla1[[#This Row],[Porcentaje de muertes]]&lt;0.35,"LEVE",AND(Tabla1[[#This Row],[Porcentaje de muertes]]&gt;0.35,Tabla1[[#This Row],[Porcentaje de muertes]]&lt;0.65),"MEDIO",Tabla1[[#This Row],[Porcentaje de muertes]]&gt;0.65,"GRAVE")</f>
        <v>GRAVE</v>
      </c>
    </row>
    <row r="4620" spans="2:24" x14ac:dyDescent="0.3">
      <c r="B4620" s="9">
        <v>4621</v>
      </c>
      <c r="C4620" s="49">
        <v>39301</v>
      </c>
      <c r="D4620" s="9">
        <f>YEAR(Tabla1[[#This Row],[Date]])</f>
        <v>2007</v>
      </c>
      <c r="E4620" s="9" t="str" cm="1">
        <f t="array" ref="E4620">IFERROR(_xlfn.IFS(AND(D4620&lt;1980,D4620&gt;=1970),"70",AND(D4620&lt;1990,D4620&gt;=1980),"80",AND(D4620&lt;2000,D4620&gt;=1990),"90",AND(D4620&lt;2010,D4620&gt;=2000),"00",AND(D4620&lt;=2019,D4620&gt;=2010),"10"),"1908-1970")</f>
        <v>00</v>
      </c>
      <c r="F4620" s="3">
        <v>0.54166666666666663</v>
      </c>
      <c r="G4620" t="s">
        <v>26268</v>
      </c>
      <c r="H4620" t="s">
        <v>26269</v>
      </c>
      <c r="I4620" t="s">
        <v>28931</v>
      </c>
      <c r="J4620" t="s">
        <v>26270</v>
      </c>
      <c r="K4620" t="s">
        <v>26271</v>
      </c>
      <c r="L4620" s="7" t="s">
        <v>26272</v>
      </c>
      <c r="M4620">
        <v>108</v>
      </c>
      <c r="N4620">
        <v>5</v>
      </c>
      <c r="O4620">
        <v>3</v>
      </c>
      <c r="P4620">
        <v>2</v>
      </c>
      <c r="Q4620">
        <v>1</v>
      </c>
      <c r="R4620">
        <v>1</v>
      </c>
      <c r="S4620">
        <v>0</v>
      </c>
      <c r="T4620">
        <v>0</v>
      </c>
      <c r="U4620" t="s">
        <v>26273</v>
      </c>
      <c r="V4620">
        <f>Tabla1[[#This Row],[Aboard]]-Tabla1[[#This Row],[Fatalities]]</f>
        <v>4</v>
      </c>
      <c r="W4620" s="50">
        <f>IFERROR(Tabla1[[#This Row],[Fatalities]]/Tabla1[[#This Row],[Aboard]],0)</f>
        <v>0.2</v>
      </c>
      <c r="X4620" s="51" t="str" cm="1">
        <f t="array" ref="X4620">_xlfn.IFS(Tabla1[[#This Row],[Porcentaje de muertes]]&lt;0.35,"LEVE",AND(Tabla1[[#This Row],[Porcentaje de muertes]]&gt;0.35,Tabla1[[#This Row],[Porcentaje de muertes]]&lt;0.65),"MEDIO",Tabla1[[#This Row],[Porcentaje de muertes]]&gt;0.65,"GRAVE")</f>
        <v>LEVE</v>
      </c>
    </row>
    <row r="4621" spans="2:24" x14ac:dyDescent="0.3">
      <c r="B4621" s="9">
        <v>4622</v>
      </c>
      <c r="C4621" s="49">
        <v>39280</v>
      </c>
      <c r="D4621" s="9">
        <f>YEAR(Tabla1[[#This Row],[Date]])</f>
        <v>2007</v>
      </c>
      <c r="E4621" s="9" t="str" cm="1">
        <f t="array" ref="E4621">IFERROR(_xlfn.IFS(AND(D4621&lt;1980,D4621&gt;=1970),"70",AND(D4621&lt;1990,D4621&gt;=1980),"80",AND(D4621&lt;2000,D4621&gt;=1990),"90",AND(D4621&lt;2010,D4621&gt;=2000),"00",AND(D4621&lt;=2019,D4621&gt;=2010),"10"),"1908-1970")</f>
        <v>00</v>
      </c>
      <c r="F4621" s="3">
        <v>0.78611111111111109</v>
      </c>
      <c r="G4621" t="s">
        <v>7197</v>
      </c>
      <c r="H4621" t="s">
        <v>11392</v>
      </c>
      <c r="I4621">
        <v>3054</v>
      </c>
      <c r="J4621" t="s">
        <v>12156</v>
      </c>
      <c r="K4621" t="s">
        <v>26274</v>
      </c>
      <c r="L4621" s="7" t="s">
        <v>26275</v>
      </c>
      <c r="M4621">
        <v>789</v>
      </c>
      <c r="N4621">
        <v>187</v>
      </c>
      <c r="O4621">
        <v>181</v>
      </c>
      <c r="P4621">
        <v>6</v>
      </c>
      <c r="Q4621">
        <v>187</v>
      </c>
      <c r="R4621">
        <v>181</v>
      </c>
      <c r="S4621">
        <v>6</v>
      </c>
      <c r="T4621">
        <v>12</v>
      </c>
      <c r="U4621" t="s">
        <v>26276</v>
      </c>
      <c r="V4621">
        <f>Tabla1[[#This Row],[Aboard]]-Tabla1[[#This Row],[Fatalities]]</f>
        <v>0</v>
      </c>
      <c r="W4621" s="50">
        <f>IFERROR(Tabla1[[#This Row],[Fatalities]]/Tabla1[[#This Row],[Aboard]],0)</f>
        <v>1</v>
      </c>
      <c r="X4621" s="51" t="str" cm="1">
        <f t="array" ref="X4621">_xlfn.IFS(Tabla1[[#This Row],[Porcentaje de muertes]]&lt;0.35,"LEVE",AND(Tabla1[[#This Row],[Porcentaje de muertes]]&gt;0.35,Tabla1[[#This Row],[Porcentaje de muertes]]&lt;0.65),"MEDIO",Tabla1[[#This Row],[Porcentaje de muertes]]&gt;0.65,"GRAVE")</f>
        <v>GRAVE</v>
      </c>
    </row>
    <row r="4622" spans="2:24" x14ac:dyDescent="0.3">
      <c r="B4622" s="9">
        <v>4623</v>
      </c>
      <c r="C4622" s="49">
        <v>39286</v>
      </c>
      <c r="D4622" s="9">
        <f>YEAR(Tabla1[[#This Row],[Date]])</f>
        <v>2007</v>
      </c>
      <c r="E4622" s="9" t="str" cm="1">
        <f t="array" ref="E4622">IFERROR(_xlfn.IFS(AND(D4622&lt;1980,D4622&gt;=1970),"70",AND(D4622&lt;1990,D4622&gt;=1980),"80",AND(D4622&lt;2000,D4622&gt;=1990),"90",AND(D4622&lt;2010,D4622&gt;=2000),"00",AND(D4622&lt;=2019,D4622&gt;=2010),"10"),"1908-1970")</f>
        <v>00</v>
      </c>
      <c r="F4622" s="3">
        <v>0.54166666666666663</v>
      </c>
      <c r="G4622" t="s">
        <v>26277</v>
      </c>
      <c r="H4622" t="s">
        <v>24953</v>
      </c>
      <c r="I4622" t="s">
        <v>28931</v>
      </c>
      <c r="J4622" t="s">
        <v>26278</v>
      </c>
      <c r="K4622" t="s">
        <v>21212</v>
      </c>
      <c r="L4622" s="7" t="s">
        <v>26279</v>
      </c>
      <c r="M4622">
        <v>7306103</v>
      </c>
      <c r="N4622">
        <v>9</v>
      </c>
      <c r="O4622">
        <v>3</v>
      </c>
      <c r="P4622">
        <v>6</v>
      </c>
      <c r="Q4622">
        <v>1</v>
      </c>
      <c r="R4622">
        <v>1</v>
      </c>
      <c r="S4622">
        <v>0</v>
      </c>
      <c r="T4622">
        <v>0</v>
      </c>
      <c r="U4622" t="s">
        <v>26280</v>
      </c>
      <c r="V4622">
        <f>Tabla1[[#This Row],[Aboard]]-Tabla1[[#This Row],[Fatalities]]</f>
        <v>8</v>
      </c>
      <c r="W4622" s="50">
        <f>IFERROR(Tabla1[[#This Row],[Fatalities]]/Tabla1[[#This Row],[Aboard]],0)</f>
        <v>0.1111111111111111</v>
      </c>
      <c r="X4622" s="51" t="str" cm="1">
        <f t="array" ref="X4622">_xlfn.IFS(Tabla1[[#This Row],[Porcentaje de muertes]]&lt;0.35,"LEVE",AND(Tabla1[[#This Row],[Porcentaje de muertes]]&gt;0.35,Tabla1[[#This Row],[Porcentaje de muertes]]&lt;0.65),"MEDIO",Tabla1[[#This Row],[Porcentaje de muertes]]&gt;0.65,"GRAVE")</f>
        <v>LEVE</v>
      </c>
    </row>
    <row r="4623" spans="2:24" x14ac:dyDescent="0.3">
      <c r="B4623" s="9">
        <v>4624</v>
      </c>
      <c r="C4623" s="49">
        <v>39287</v>
      </c>
      <c r="D4623" s="9">
        <f>YEAR(Tabla1[[#This Row],[Date]])</f>
        <v>2007</v>
      </c>
      <c r="E4623" s="9" t="str" cm="1">
        <f t="array" ref="E4623">IFERROR(_xlfn.IFS(AND(D4623&lt;1980,D4623&gt;=1970),"70",AND(D4623&lt;1990,D4623&gt;=1980),"80",AND(D4623&lt;2000,D4623&gt;=1990),"90",AND(D4623&lt;2010,D4623&gt;=2000),"00",AND(D4623&lt;=2019,D4623&gt;=2010),"10"),"1908-1970")</f>
        <v>00</v>
      </c>
      <c r="F4623" s="3">
        <v>0.58680555555555558</v>
      </c>
      <c r="G4623" t="s">
        <v>26281</v>
      </c>
      <c r="H4623" t="s">
        <v>26282</v>
      </c>
      <c r="I4623" t="s">
        <v>28931</v>
      </c>
      <c r="J4623" t="s">
        <v>5494</v>
      </c>
      <c r="K4623" t="s">
        <v>26283</v>
      </c>
      <c r="L4623" s="7" t="s">
        <v>26284</v>
      </c>
      <c r="M4623">
        <v>1100</v>
      </c>
      <c r="N4623">
        <v>5</v>
      </c>
      <c r="O4623">
        <v>4</v>
      </c>
      <c r="P4623">
        <v>1</v>
      </c>
      <c r="Q4623">
        <v>5</v>
      </c>
      <c r="R4623">
        <v>4</v>
      </c>
      <c r="S4623">
        <v>1</v>
      </c>
      <c r="T4623">
        <v>0</v>
      </c>
      <c r="U4623" t="s">
        <v>26285</v>
      </c>
      <c r="V4623">
        <f>Tabla1[[#This Row],[Aboard]]-Tabla1[[#This Row],[Fatalities]]</f>
        <v>0</v>
      </c>
      <c r="W4623" s="50">
        <f>IFERROR(Tabla1[[#This Row],[Fatalities]]/Tabla1[[#This Row],[Aboard]],0)</f>
        <v>1</v>
      </c>
      <c r="X4623" s="51" t="str" cm="1">
        <f t="array" ref="X4623">_xlfn.IFS(Tabla1[[#This Row],[Porcentaje de muertes]]&lt;0.35,"LEVE",AND(Tabla1[[#This Row],[Porcentaje de muertes]]&gt;0.35,Tabla1[[#This Row],[Porcentaje de muertes]]&lt;0.65),"MEDIO",Tabla1[[#This Row],[Porcentaje de muertes]]&gt;0.65,"GRAVE")</f>
        <v>GRAVE</v>
      </c>
    </row>
    <row r="4624" spans="2:24" x14ac:dyDescent="0.3">
      <c r="B4624" s="9">
        <v>4625</v>
      </c>
      <c r="C4624" s="49">
        <v>39292</v>
      </c>
      <c r="D4624" s="9">
        <f>YEAR(Tabla1[[#This Row],[Date]])</f>
        <v>2007</v>
      </c>
      <c r="E4624" s="9" t="str" cm="1">
        <f t="array" ref="E4624">IFERROR(_xlfn.IFS(AND(D4624&lt;1980,D4624&gt;=1970),"70",AND(D4624&lt;1990,D4624&gt;=1980),"80",AND(D4624&lt;2000,D4624&gt;=1990),"90",AND(D4624&lt;2010,D4624&gt;=2000),"00",AND(D4624&lt;=2019,D4624&gt;=2010),"10"),"1908-1970")</f>
        <v>00</v>
      </c>
      <c r="F4624" s="3">
        <v>0.17847222222222223</v>
      </c>
      <c r="G4624" t="s">
        <v>10681</v>
      </c>
      <c r="H4624" t="s">
        <v>26286</v>
      </c>
      <c r="I4624">
        <v>9655</v>
      </c>
      <c r="J4624" t="s">
        <v>5494</v>
      </c>
      <c r="K4624" t="s">
        <v>15139</v>
      </c>
      <c r="L4624" s="7" t="s">
        <v>26287</v>
      </c>
      <c r="M4624">
        <v>4341709</v>
      </c>
      <c r="N4624">
        <v>9</v>
      </c>
      <c r="O4624">
        <v>0</v>
      </c>
      <c r="P4624">
        <v>9</v>
      </c>
      <c r="Q4624">
        <v>9</v>
      </c>
      <c r="R4624">
        <v>0</v>
      </c>
      <c r="S4624">
        <v>9</v>
      </c>
      <c r="T4624">
        <v>0</v>
      </c>
      <c r="U4624" t="s">
        <v>26288</v>
      </c>
      <c r="V4624">
        <f>Tabla1[[#This Row],[Aboard]]-Tabla1[[#This Row],[Fatalities]]</f>
        <v>0</v>
      </c>
      <c r="W4624" s="50">
        <f>IFERROR(Tabla1[[#This Row],[Fatalities]]/Tabla1[[#This Row],[Aboard]],0)</f>
        <v>1</v>
      </c>
      <c r="X4624" s="51" t="str" cm="1">
        <f t="array" ref="X4624">_xlfn.IFS(Tabla1[[#This Row],[Porcentaje de muertes]]&lt;0.35,"LEVE",AND(Tabla1[[#This Row],[Porcentaje de muertes]]&gt;0.35,Tabla1[[#This Row],[Porcentaje de muertes]]&lt;0.65),"MEDIO",Tabla1[[#This Row],[Porcentaje de muertes]]&gt;0.65,"GRAVE")</f>
        <v>GRAVE</v>
      </c>
    </row>
    <row r="4625" spans="2:24" x14ac:dyDescent="0.3">
      <c r="B4625" s="9">
        <v>4626</v>
      </c>
      <c r="C4625" s="49">
        <v>39333</v>
      </c>
      <c r="D4625" s="9">
        <f>YEAR(Tabla1[[#This Row],[Date]])</f>
        <v>2007</v>
      </c>
      <c r="E4625" s="9" t="str" cm="1">
        <f t="array" ref="E4625">IFERROR(_xlfn.IFS(AND(D4625&lt;1980,D4625&gt;=1970),"70",AND(D4625&lt;1990,D4625&gt;=1980),"80",AND(D4625&lt;2000,D4625&gt;=1990),"90",AND(D4625&lt;2010,D4625&gt;=2000),"00",AND(D4625&lt;=2019,D4625&gt;=2010),"10"),"1908-1970")</f>
        <v>00</v>
      </c>
      <c r="F4625" s="3">
        <v>0.5</v>
      </c>
      <c r="G4625" t="s">
        <v>26289</v>
      </c>
      <c r="H4625" t="s">
        <v>26290</v>
      </c>
      <c r="I4625">
        <v>1121</v>
      </c>
      <c r="J4625" t="s">
        <v>26291</v>
      </c>
      <c r="K4625" t="s">
        <v>16680</v>
      </c>
      <c r="L4625" s="7" t="s">
        <v>26292</v>
      </c>
      <c r="M4625">
        <v>608</v>
      </c>
      <c r="N4625">
        <v>20</v>
      </c>
      <c r="O4625">
        <v>19</v>
      </c>
      <c r="P4625">
        <v>1</v>
      </c>
      <c r="Q4625">
        <v>20</v>
      </c>
      <c r="R4625">
        <v>19</v>
      </c>
      <c r="S4625">
        <v>1</v>
      </c>
      <c r="T4625">
        <v>0</v>
      </c>
      <c r="U4625" t="s">
        <v>26293</v>
      </c>
      <c r="V4625">
        <f>Tabla1[[#This Row],[Aboard]]-Tabla1[[#This Row],[Fatalities]]</f>
        <v>0</v>
      </c>
      <c r="W4625" s="50">
        <f>IFERROR(Tabla1[[#This Row],[Fatalities]]/Tabla1[[#This Row],[Aboard]],0)</f>
        <v>1</v>
      </c>
      <c r="X4625" s="51" t="str" cm="1">
        <f t="array" ref="X4625">_xlfn.IFS(Tabla1[[#This Row],[Porcentaje de muertes]]&lt;0.35,"LEVE",AND(Tabla1[[#This Row],[Porcentaje de muertes]]&gt;0.35,Tabla1[[#This Row],[Porcentaje de muertes]]&lt;0.65),"MEDIO",Tabla1[[#This Row],[Porcentaje de muertes]]&gt;0.65,"GRAVE")</f>
        <v>GRAVE</v>
      </c>
    </row>
    <row r="4626" spans="2:24" x14ac:dyDescent="0.3">
      <c r="B4626" s="9">
        <v>4627</v>
      </c>
      <c r="C4626" s="49">
        <v>39310</v>
      </c>
      <c r="D4626" s="9">
        <f>YEAR(Tabla1[[#This Row],[Date]])</f>
        <v>2007</v>
      </c>
      <c r="E4626" s="9" t="str" cm="1">
        <f t="array" ref="E4626">IFERROR(_xlfn.IFS(AND(D4626&lt;1980,D4626&gt;=1970),"70",AND(D4626&lt;1990,D4626&gt;=1980),"80",AND(D4626&lt;2000,D4626&gt;=1990),"90",AND(D4626&lt;2010,D4626&gt;=2000),"00",AND(D4626&lt;=2019,D4626&gt;=2010),"10"),"1908-1970")</f>
        <v>00</v>
      </c>
      <c r="F4626" s="3">
        <v>0.96944444444444444</v>
      </c>
      <c r="G4626" t="s">
        <v>26294</v>
      </c>
      <c r="H4626" t="s">
        <v>26295</v>
      </c>
      <c r="I4626" t="s">
        <v>28931</v>
      </c>
      <c r="J4626" t="s">
        <v>5494</v>
      </c>
      <c r="K4626" t="s">
        <v>26296</v>
      </c>
      <c r="L4626" s="7" t="s">
        <v>26297</v>
      </c>
      <c r="M4626">
        <v>1306</v>
      </c>
      <c r="N4626">
        <v>10</v>
      </c>
      <c r="O4626">
        <v>9</v>
      </c>
      <c r="P4626">
        <v>1</v>
      </c>
      <c r="Q4626">
        <v>6</v>
      </c>
      <c r="R4626">
        <v>6</v>
      </c>
      <c r="S4626">
        <v>0</v>
      </c>
      <c r="T4626">
        <v>0</v>
      </c>
      <c r="U4626" t="s">
        <v>26298</v>
      </c>
      <c r="V4626">
        <f>Tabla1[[#This Row],[Aboard]]-Tabla1[[#This Row],[Fatalities]]</f>
        <v>4</v>
      </c>
      <c r="W4626" s="50">
        <f>IFERROR(Tabla1[[#This Row],[Fatalities]]/Tabla1[[#This Row],[Aboard]],0)</f>
        <v>0.6</v>
      </c>
      <c r="X4626" s="51" t="str" cm="1">
        <f t="array" ref="X4626">_xlfn.IFS(Tabla1[[#This Row],[Porcentaje de muertes]]&lt;0.35,"LEVE",AND(Tabla1[[#This Row],[Porcentaje de muertes]]&gt;0.35,Tabla1[[#This Row],[Porcentaje de muertes]]&lt;0.65),"MEDIO",Tabla1[[#This Row],[Porcentaje de muertes]]&gt;0.65,"GRAVE")</f>
        <v>MEDIO</v>
      </c>
    </row>
    <row r="4627" spans="2:24" x14ac:dyDescent="0.3">
      <c r="B4627" s="9">
        <v>4628</v>
      </c>
      <c r="C4627" s="49">
        <v>39314</v>
      </c>
      <c r="D4627" s="9">
        <f>YEAR(Tabla1[[#This Row],[Date]])</f>
        <v>2007</v>
      </c>
      <c r="E4627" s="9" t="str" cm="1">
        <f t="array" ref="E4627">IFERROR(_xlfn.IFS(AND(D4627&lt;1980,D4627&gt;=1970),"70",AND(D4627&lt;1990,D4627&gt;=1980),"80",AND(D4627&lt;2000,D4627&gt;=1990),"90",AND(D4627&lt;2010,D4627&gt;=2000),"00",AND(D4627&lt;=2019,D4627&gt;=2010),"10"),"1908-1970")</f>
        <v>00</v>
      </c>
      <c r="F4627" s="3">
        <v>0.43958333333333338</v>
      </c>
      <c r="G4627" t="s">
        <v>26299</v>
      </c>
      <c r="H4627" t="s">
        <v>26300</v>
      </c>
      <c r="I4627">
        <v>120</v>
      </c>
      <c r="J4627" t="s">
        <v>26301</v>
      </c>
      <c r="K4627" t="s">
        <v>26302</v>
      </c>
      <c r="L4627" s="7" t="s">
        <v>26303</v>
      </c>
      <c r="M4627" t="s">
        <v>26304</v>
      </c>
      <c r="N4627">
        <v>165</v>
      </c>
      <c r="O4627">
        <v>157</v>
      </c>
      <c r="P4627">
        <v>8</v>
      </c>
      <c r="Q4627">
        <v>0</v>
      </c>
      <c r="R4627">
        <v>0</v>
      </c>
      <c r="S4627">
        <v>0</v>
      </c>
      <c r="T4627">
        <v>0</v>
      </c>
      <c r="U4627" t="s">
        <v>26305</v>
      </c>
      <c r="V4627">
        <f>Tabla1[[#This Row],[Aboard]]-Tabla1[[#This Row],[Fatalities]]</f>
        <v>165</v>
      </c>
      <c r="W4627" s="50">
        <f>IFERROR(Tabla1[[#This Row],[Fatalities]]/Tabla1[[#This Row],[Aboard]],0)</f>
        <v>0</v>
      </c>
      <c r="X4627" s="51" t="str" cm="1">
        <f t="array" ref="X4627">_xlfn.IFS(Tabla1[[#This Row],[Porcentaje de muertes]]&lt;0.35,"LEVE",AND(Tabla1[[#This Row],[Porcentaje de muertes]]&gt;0.35,Tabla1[[#This Row],[Porcentaje de muertes]]&lt;0.65),"MEDIO",Tabla1[[#This Row],[Porcentaje de muertes]]&gt;0.65,"GRAVE")</f>
        <v>LEVE</v>
      </c>
    </row>
    <row r="4628" spans="2:24" x14ac:dyDescent="0.3">
      <c r="B4628" s="9">
        <v>4629</v>
      </c>
      <c r="C4628" s="49">
        <v>39316</v>
      </c>
      <c r="D4628" s="9">
        <f>YEAR(Tabla1[[#This Row],[Date]])</f>
        <v>2007</v>
      </c>
      <c r="E4628" s="9" t="str" cm="1">
        <f t="array" ref="E4628">IFERROR(_xlfn.IFS(AND(D4628&lt;1980,D4628&gt;=1970),"70",AND(D4628&lt;1990,D4628&gt;=1980),"80",AND(D4628&lt;2000,D4628&gt;=1990),"90",AND(D4628&lt;2010,D4628&gt;=2000),"00",AND(D4628&lt;=2019,D4628&gt;=2010),"10"),"1908-1970")</f>
        <v>00</v>
      </c>
      <c r="F4628" s="3">
        <v>2.4999999999999998E-2</v>
      </c>
      <c r="G4628" t="s">
        <v>15043</v>
      </c>
      <c r="H4628" t="s">
        <v>26306</v>
      </c>
      <c r="I4628" t="s">
        <v>28931</v>
      </c>
      <c r="J4628" t="s">
        <v>26307</v>
      </c>
      <c r="K4628" t="s">
        <v>26308</v>
      </c>
      <c r="L4628" s="7" t="s">
        <v>26309</v>
      </c>
      <c r="M4628">
        <v>110323</v>
      </c>
      <c r="N4628">
        <v>2</v>
      </c>
      <c r="O4628">
        <v>0</v>
      </c>
      <c r="P4628">
        <v>2</v>
      </c>
      <c r="Q4628">
        <v>2</v>
      </c>
      <c r="R4628">
        <v>0</v>
      </c>
      <c r="S4628">
        <v>2</v>
      </c>
      <c r="T4628">
        <v>0</v>
      </c>
      <c r="U4628" t="s">
        <v>26310</v>
      </c>
      <c r="V4628">
        <f>Tabla1[[#This Row],[Aboard]]-Tabla1[[#This Row],[Fatalities]]</f>
        <v>0</v>
      </c>
      <c r="W4628" s="50">
        <f>IFERROR(Tabla1[[#This Row],[Fatalities]]/Tabla1[[#This Row],[Aboard]],0)</f>
        <v>1</v>
      </c>
      <c r="X4628" s="51" t="str" cm="1">
        <f t="array" ref="X4628">_xlfn.IFS(Tabla1[[#This Row],[Porcentaje de muertes]]&lt;0.35,"LEVE",AND(Tabla1[[#This Row],[Porcentaje de muertes]]&gt;0.35,Tabla1[[#This Row],[Porcentaje de muertes]]&lt;0.65),"MEDIO",Tabla1[[#This Row],[Porcentaje de muertes]]&gt;0.65,"GRAVE")</f>
        <v>GRAVE</v>
      </c>
    </row>
    <row r="4629" spans="2:24" x14ac:dyDescent="0.3">
      <c r="B4629" s="9">
        <v>4630</v>
      </c>
      <c r="C4629" s="49">
        <v>39316</v>
      </c>
      <c r="D4629" s="9">
        <f>YEAR(Tabla1[[#This Row],[Date]])</f>
        <v>2007</v>
      </c>
      <c r="E4629" s="9" t="str" cm="1">
        <f t="array" ref="E4629">IFERROR(_xlfn.IFS(AND(D4629&lt;1980,D4629&gt;=1970),"70",AND(D4629&lt;1990,D4629&gt;=1980),"80",AND(D4629&lt;2000,D4629&gt;=1990),"90",AND(D4629&lt;2010,D4629&gt;=2000),"00",AND(D4629&lt;=2019,D4629&gt;=2010),"10"),"1908-1970")</f>
        <v>00</v>
      </c>
      <c r="F4629" s="3" t="s">
        <v>28931</v>
      </c>
      <c r="G4629" t="s">
        <v>26311</v>
      </c>
      <c r="H4629" t="s">
        <v>5017</v>
      </c>
      <c r="I4629" t="s">
        <v>28931</v>
      </c>
      <c r="J4629" t="s">
        <v>26312</v>
      </c>
      <c r="K4629" t="s">
        <v>26313</v>
      </c>
      <c r="L4629" s="7" t="s">
        <v>28931</v>
      </c>
      <c r="M4629" t="s">
        <v>28931</v>
      </c>
      <c r="N4629">
        <v>14</v>
      </c>
      <c r="O4629">
        <v>12</v>
      </c>
      <c r="P4629">
        <v>2</v>
      </c>
      <c r="Q4629">
        <v>14</v>
      </c>
      <c r="R4629">
        <v>12</v>
      </c>
      <c r="S4629">
        <v>2</v>
      </c>
      <c r="T4629">
        <v>0</v>
      </c>
      <c r="U4629" t="s">
        <v>26314</v>
      </c>
      <c r="V4629">
        <f>Tabla1[[#This Row],[Aboard]]-Tabla1[[#This Row],[Fatalities]]</f>
        <v>0</v>
      </c>
      <c r="W4629" s="50">
        <f>IFERROR(Tabla1[[#This Row],[Fatalities]]/Tabla1[[#This Row],[Aboard]],0)</f>
        <v>1</v>
      </c>
      <c r="X4629" s="51" t="str" cm="1">
        <f t="array" ref="X4629">_xlfn.IFS(Tabla1[[#This Row],[Porcentaje de muertes]]&lt;0.35,"LEVE",AND(Tabla1[[#This Row],[Porcentaje de muertes]]&gt;0.35,Tabla1[[#This Row],[Porcentaje de muertes]]&lt;0.65),"MEDIO",Tabla1[[#This Row],[Porcentaje de muertes]]&gt;0.65,"GRAVE")</f>
        <v>GRAVE</v>
      </c>
    </row>
    <row r="4630" spans="2:24" x14ac:dyDescent="0.3">
      <c r="B4630" s="9">
        <v>4631</v>
      </c>
      <c r="C4630" s="49">
        <v>39320</v>
      </c>
      <c r="D4630" s="9">
        <f>YEAR(Tabla1[[#This Row],[Date]])</f>
        <v>2007</v>
      </c>
      <c r="E4630" s="9" t="str" cm="1">
        <f t="array" ref="E4630">IFERROR(_xlfn.IFS(AND(D4630&lt;1980,D4630&gt;=1970),"70",AND(D4630&lt;1990,D4630&gt;=1980),"80",AND(D4630&lt;2000,D4630&gt;=1990),"90",AND(D4630&lt;2010,D4630&gt;=2000),"00",AND(D4630&lt;=2019,D4630&gt;=2010),"10"),"1908-1970")</f>
        <v>00</v>
      </c>
      <c r="F4630" s="3">
        <v>0.66666666666666663</v>
      </c>
      <c r="G4630" t="s">
        <v>26315</v>
      </c>
      <c r="H4630" t="s">
        <v>26316</v>
      </c>
      <c r="I4630" t="s">
        <v>28931</v>
      </c>
      <c r="J4630" t="s">
        <v>26317</v>
      </c>
      <c r="K4630" t="s">
        <v>20770</v>
      </c>
      <c r="L4630" s="7" t="s">
        <v>26318</v>
      </c>
      <c r="M4630" s="5">
        <v>44756</v>
      </c>
      <c r="N4630">
        <v>15</v>
      </c>
      <c r="O4630">
        <v>12</v>
      </c>
      <c r="P4630">
        <v>3</v>
      </c>
      <c r="Q4630">
        <v>14</v>
      </c>
      <c r="R4630">
        <v>11</v>
      </c>
      <c r="S4630">
        <v>3</v>
      </c>
      <c r="T4630">
        <v>0</v>
      </c>
      <c r="U4630" t="s">
        <v>26319</v>
      </c>
      <c r="V4630">
        <f>Tabla1[[#This Row],[Aboard]]-Tabla1[[#This Row],[Fatalities]]</f>
        <v>1</v>
      </c>
      <c r="W4630" s="50">
        <f>IFERROR(Tabla1[[#This Row],[Fatalities]]/Tabla1[[#This Row],[Aboard]],0)</f>
        <v>0.93333333333333335</v>
      </c>
      <c r="X4630" s="51" t="str" cm="1">
        <f t="array" ref="X4630">_xlfn.IFS(Tabla1[[#This Row],[Porcentaje de muertes]]&lt;0.35,"LEVE",AND(Tabla1[[#This Row],[Porcentaje de muertes]]&gt;0.35,Tabla1[[#This Row],[Porcentaje de muertes]]&lt;0.65),"MEDIO",Tabla1[[#This Row],[Porcentaje de muertes]]&gt;0.65,"GRAVE")</f>
        <v>GRAVE</v>
      </c>
    </row>
    <row r="4631" spans="2:24" x14ac:dyDescent="0.3">
      <c r="B4631" s="9">
        <v>4632</v>
      </c>
      <c r="C4631" s="49">
        <v>39272</v>
      </c>
      <c r="D4631" s="9">
        <f>YEAR(Tabla1[[#This Row],[Date]])</f>
        <v>2007</v>
      </c>
      <c r="E4631" s="9" t="str" cm="1">
        <f t="array" ref="E4631">IFERROR(_xlfn.IFS(AND(D4631&lt;1980,D4631&gt;=1970),"70",AND(D4631&lt;1990,D4631&gt;=1980),"80",AND(D4631&lt;2000,D4631&gt;=1990),"90",AND(D4631&lt;2010,D4631&gt;=2000),"00",AND(D4631&lt;=2019,D4631&gt;=2010),"10"),"1908-1970")</f>
        <v>00</v>
      </c>
      <c r="F4631" s="3" t="s">
        <v>28931</v>
      </c>
      <c r="G4631" t="s">
        <v>26320</v>
      </c>
      <c r="H4631" t="s">
        <v>26321</v>
      </c>
      <c r="I4631" t="s">
        <v>28931</v>
      </c>
      <c r="J4631" t="s">
        <v>26322</v>
      </c>
      <c r="K4631" t="s">
        <v>15139</v>
      </c>
      <c r="L4631" s="7" t="s">
        <v>26323</v>
      </c>
      <c r="M4631">
        <v>3341108</v>
      </c>
      <c r="N4631">
        <v>8</v>
      </c>
      <c r="O4631">
        <v>6</v>
      </c>
      <c r="P4631">
        <v>2</v>
      </c>
      <c r="Q4631">
        <v>8</v>
      </c>
      <c r="R4631">
        <v>6</v>
      </c>
      <c r="S4631">
        <v>2</v>
      </c>
      <c r="T4631">
        <v>0</v>
      </c>
      <c r="U4631" t="s">
        <v>26324</v>
      </c>
      <c r="V4631">
        <f>Tabla1[[#This Row],[Aboard]]-Tabla1[[#This Row],[Fatalities]]</f>
        <v>0</v>
      </c>
      <c r="W4631" s="50">
        <f>IFERROR(Tabla1[[#This Row],[Fatalities]]/Tabla1[[#This Row],[Aboard]],0)</f>
        <v>1</v>
      </c>
      <c r="X4631" s="51" t="str" cm="1">
        <f t="array" ref="X4631">_xlfn.IFS(Tabla1[[#This Row],[Porcentaje de muertes]]&lt;0.35,"LEVE",AND(Tabla1[[#This Row],[Porcentaje de muertes]]&gt;0.35,Tabla1[[#This Row],[Porcentaje de muertes]]&lt;0.65),"MEDIO",Tabla1[[#This Row],[Porcentaje de muertes]]&gt;0.65,"GRAVE")</f>
        <v>GRAVE</v>
      </c>
    </row>
    <row r="4632" spans="2:24" x14ac:dyDescent="0.3">
      <c r="B4632" s="9">
        <v>4633</v>
      </c>
      <c r="C4632" s="49">
        <v>39341</v>
      </c>
      <c r="D4632" s="9">
        <f>YEAR(Tabla1[[#This Row],[Date]])</f>
        <v>2007</v>
      </c>
      <c r="E4632" s="9" t="str" cm="1">
        <f t="array" ref="E4632">IFERROR(_xlfn.IFS(AND(D4632&lt;1980,D4632&gt;=1970),"70",AND(D4632&lt;1990,D4632&gt;=1980),"80",AND(D4632&lt;2000,D4632&gt;=1990),"90",AND(D4632&lt;2010,D4632&gt;=2000),"00",AND(D4632&lt;=2019,D4632&gt;=2010),"10"),"1908-1970")</f>
        <v>00</v>
      </c>
      <c r="F4632" s="3">
        <v>0.64930555555555558</v>
      </c>
      <c r="G4632" t="s">
        <v>26325</v>
      </c>
      <c r="H4632" t="s">
        <v>26326</v>
      </c>
      <c r="I4632">
        <v>269</v>
      </c>
      <c r="J4632" t="s">
        <v>19831</v>
      </c>
      <c r="K4632" t="s">
        <v>20382</v>
      </c>
      <c r="L4632" s="7" t="s">
        <v>26327</v>
      </c>
      <c r="M4632" t="s">
        <v>26328</v>
      </c>
      <c r="N4632">
        <v>130</v>
      </c>
      <c r="O4632">
        <v>123</v>
      </c>
      <c r="P4632">
        <v>7</v>
      </c>
      <c r="Q4632">
        <v>90</v>
      </c>
      <c r="R4632">
        <v>85</v>
      </c>
      <c r="S4632">
        <v>5</v>
      </c>
      <c r="T4632">
        <v>0</v>
      </c>
      <c r="U4632" t="s">
        <v>26329</v>
      </c>
      <c r="V4632">
        <f>Tabla1[[#This Row],[Aboard]]-Tabla1[[#This Row],[Fatalities]]</f>
        <v>40</v>
      </c>
      <c r="W4632" s="50">
        <f>IFERROR(Tabla1[[#This Row],[Fatalities]]/Tabla1[[#This Row],[Aboard]],0)</f>
        <v>0.69230769230769229</v>
      </c>
      <c r="X4632" s="51" t="str" cm="1">
        <f t="array" ref="X4632">_xlfn.IFS(Tabla1[[#This Row],[Porcentaje de muertes]]&lt;0.35,"LEVE",AND(Tabla1[[#This Row],[Porcentaje de muertes]]&gt;0.35,Tabla1[[#This Row],[Porcentaje de muertes]]&lt;0.65),"MEDIO",Tabla1[[#This Row],[Porcentaje de muertes]]&gt;0.65,"GRAVE")</f>
        <v>GRAVE</v>
      </c>
    </row>
    <row r="4633" spans="2:24" x14ac:dyDescent="0.3">
      <c r="B4633" s="9">
        <v>4634</v>
      </c>
      <c r="C4633" s="49">
        <v>39349</v>
      </c>
      <c r="D4633" s="9">
        <f>YEAR(Tabla1[[#This Row],[Date]])</f>
        <v>2007</v>
      </c>
      <c r="E4633" s="9" t="str" cm="1">
        <f t="array" ref="E4633">IFERROR(_xlfn.IFS(AND(D4633&lt;1980,D4633&gt;=1970),"70",AND(D4633&lt;1990,D4633&gt;=1980),"80",AND(D4633&lt;2000,D4633&gt;=1990),"90",AND(D4633&lt;2010,D4633&gt;=2000),"00",AND(D4633&lt;=2019,D4633&gt;=2010),"10"),"1908-1970")</f>
        <v>00</v>
      </c>
      <c r="F4633" s="3">
        <v>0.54166666666666663</v>
      </c>
      <c r="G4633" t="s">
        <v>26330</v>
      </c>
      <c r="H4633" t="s">
        <v>26248</v>
      </c>
      <c r="I4633" t="s">
        <v>28931</v>
      </c>
      <c r="J4633" t="s">
        <v>26331</v>
      </c>
      <c r="K4633" t="s">
        <v>23207</v>
      </c>
      <c r="L4633" s="7" t="s">
        <v>26332</v>
      </c>
      <c r="M4633" t="s">
        <v>26333</v>
      </c>
      <c r="N4633">
        <v>6</v>
      </c>
      <c r="O4633">
        <v>5</v>
      </c>
      <c r="P4633">
        <v>1</v>
      </c>
      <c r="Q4633">
        <v>1</v>
      </c>
      <c r="R4633">
        <v>0</v>
      </c>
      <c r="S4633">
        <v>1</v>
      </c>
      <c r="T4633">
        <v>0</v>
      </c>
      <c r="U4633" t="s">
        <v>26334</v>
      </c>
      <c r="V4633">
        <f>Tabla1[[#This Row],[Aboard]]-Tabla1[[#This Row],[Fatalities]]</f>
        <v>5</v>
      </c>
      <c r="W4633" s="50">
        <f>IFERROR(Tabla1[[#This Row],[Fatalities]]/Tabla1[[#This Row],[Aboard]],0)</f>
        <v>0.16666666666666666</v>
      </c>
      <c r="X4633" s="51" t="str" cm="1">
        <f t="array" ref="X4633">_xlfn.IFS(Tabla1[[#This Row],[Porcentaje de muertes]]&lt;0.35,"LEVE",AND(Tabla1[[#This Row],[Porcentaje de muertes]]&gt;0.35,Tabla1[[#This Row],[Porcentaje de muertes]]&lt;0.65),"MEDIO",Tabla1[[#This Row],[Porcentaje de muertes]]&gt;0.65,"GRAVE")</f>
        <v>LEVE</v>
      </c>
    </row>
    <row r="4634" spans="2:24" x14ac:dyDescent="0.3">
      <c r="B4634" s="9">
        <v>4635</v>
      </c>
      <c r="C4634" s="49">
        <v>39182</v>
      </c>
      <c r="D4634" s="9">
        <f>YEAR(Tabla1[[#This Row],[Date]])</f>
        <v>2007</v>
      </c>
      <c r="E4634" s="9" t="str" cm="1">
        <f t="array" ref="E4634">IFERROR(_xlfn.IFS(AND(D4634&lt;1980,D4634&gt;=1970),"70",AND(D4634&lt;1990,D4634&gt;=1980),"80",AND(D4634&lt;2000,D4634&gt;=1990),"90",AND(D4634&lt;2010,D4634&gt;=2000),"00",AND(D4634&lt;=2019,D4634&gt;=2010),"10"),"1908-1970")</f>
        <v>00</v>
      </c>
      <c r="F4634" s="3">
        <v>0.44444444444444442</v>
      </c>
      <c r="G4634" t="s">
        <v>26335</v>
      </c>
      <c r="H4634" t="s">
        <v>26336</v>
      </c>
      <c r="I4634" t="s">
        <v>28931</v>
      </c>
      <c r="J4634" t="s">
        <v>19675</v>
      </c>
      <c r="K4634" t="s">
        <v>17904</v>
      </c>
      <c r="L4634" s="7" t="s">
        <v>26337</v>
      </c>
      <c r="M4634">
        <v>47302001</v>
      </c>
      <c r="N4634">
        <v>22</v>
      </c>
      <c r="O4634">
        <v>17</v>
      </c>
      <c r="P4634">
        <v>5</v>
      </c>
      <c r="Q4634">
        <v>21</v>
      </c>
      <c r="R4634">
        <v>17</v>
      </c>
      <c r="S4634">
        <v>4</v>
      </c>
      <c r="T4634">
        <v>30</v>
      </c>
      <c r="U4634" t="s">
        <v>26338</v>
      </c>
      <c r="V4634">
        <f>Tabla1[[#This Row],[Aboard]]-Tabla1[[#This Row],[Fatalities]]</f>
        <v>1</v>
      </c>
      <c r="W4634" s="50">
        <f>IFERROR(Tabla1[[#This Row],[Fatalities]]/Tabla1[[#This Row],[Aboard]],0)</f>
        <v>0.95454545454545459</v>
      </c>
      <c r="X4634" s="51" t="str" cm="1">
        <f t="array" ref="X4634">_xlfn.IFS(Tabla1[[#This Row],[Porcentaje de muertes]]&lt;0.35,"LEVE",AND(Tabla1[[#This Row],[Porcentaje de muertes]]&gt;0.35,Tabla1[[#This Row],[Porcentaje de muertes]]&lt;0.65),"MEDIO",Tabla1[[#This Row],[Porcentaje de muertes]]&gt;0.65,"GRAVE")</f>
        <v>GRAVE</v>
      </c>
    </row>
    <row r="4635" spans="2:24" x14ac:dyDescent="0.3">
      <c r="B4635" s="9">
        <v>4636</v>
      </c>
      <c r="C4635" s="49">
        <v>39304</v>
      </c>
      <c r="D4635" s="9">
        <f>YEAR(Tabla1[[#This Row],[Date]])</f>
        <v>2007</v>
      </c>
      <c r="E4635" s="9" t="str" cm="1">
        <f t="array" ref="E4635">IFERROR(_xlfn.IFS(AND(D4635&lt;1980,D4635&gt;=1970),"70",AND(D4635&lt;1990,D4635&gt;=1980),"80",AND(D4635&lt;2000,D4635&gt;=1990),"90",AND(D4635&lt;2010,D4635&gt;=2000),"00",AND(D4635&lt;=2019,D4635&gt;=2010),"10"),"1908-1970")</f>
        <v>00</v>
      </c>
      <c r="F4635" s="3">
        <v>0.64583333333333337</v>
      </c>
      <c r="G4635" t="s">
        <v>26339</v>
      </c>
      <c r="H4635" t="s">
        <v>26340</v>
      </c>
      <c r="I4635" t="s">
        <v>28931</v>
      </c>
      <c r="J4635" t="s">
        <v>26341</v>
      </c>
      <c r="K4635" t="s">
        <v>26342</v>
      </c>
      <c r="L4635" s="7" t="s">
        <v>26343</v>
      </c>
      <c r="M4635">
        <v>902521</v>
      </c>
      <c r="N4635">
        <v>17</v>
      </c>
      <c r="O4635">
        <v>15</v>
      </c>
      <c r="P4635">
        <v>2</v>
      </c>
      <c r="Q4635">
        <v>17</v>
      </c>
      <c r="R4635">
        <v>15</v>
      </c>
      <c r="S4635">
        <v>2</v>
      </c>
      <c r="T4635">
        <v>0</v>
      </c>
      <c r="U4635" t="s">
        <v>26344</v>
      </c>
      <c r="V4635">
        <f>Tabla1[[#This Row],[Aboard]]-Tabla1[[#This Row],[Fatalities]]</f>
        <v>0</v>
      </c>
      <c r="W4635" s="50">
        <f>IFERROR(Tabla1[[#This Row],[Fatalities]]/Tabla1[[#This Row],[Aboard]],0)</f>
        <v>1</v>
      </c>
      <c r="X4635" s="51" t="str" cm="1">
        <f t="array" ref="X4635">_xlfn.IFS(Tabla1[[#This Row],[Porcentaje de muertes]]&lt;0.35,"LEVE",AND(Tabla1[[#This Row],[Porcentaje de muertes]]&gt;0.35,Tabla1[[#This Row],[Porcentaje de muertes]]&lt;0.65),"MEDIO",Tabla1[[#This Row],[Porcentaje de muertes]]&gt;0.65,"GRAVE")</f>
        <v>GRAVE</v>
      </c>
    </row>
    <row r="4636" spans="2:24" x14ac:dyDescent="0.3">
      <c r="B4636" s="9">
        <v>4637</v>
      </c>
      <c r="C4636" s="49">
        <v>39305</v>
      </c>
      <c r="D4636" s="9">
        <f>YEAR(Tabla1[[#This Row],[Date]])</f>
        <v>2007</v>
      </c>
      <c r="E4636" s="9" t="str" cm="1">
        <f t="array" ref="E4636">IFERROR(_xlfn.IFS(AND(D4636&lt;1980,D4636&gt;=1970),"70",AND(D4636&lt;1990,D4636&gt;=1980),"80",AND(D4636&lt;2000,D4636&gt;=1990),"90",AND(D4636&lt;2010,D4636&gt;=2000),"00",AND(D4636&lt;=2019,D4636&gt;=2010),"10"),"1908-1970")</f>
        <v>00</v>
      </c>
      <c r="F4636" s="3">
        <v>0.33333333333333331</v>
      </c>
      <c r="G4636" t="s">
        <v>7965</v>
      </c>
      <c r="H4636" t="s">
        <v>26345</v>
      </c>
      <c r="I4636" t="s">
        <v>28931</v>
      </c>
      <c r="J4636" t="s">
        <v>26346</v>
      </c>
      <c r="K4636" t="s">
        <v>23935</v>
      </c>
      <c r="L4636" s="7" t="s">
        <v>26347</v>
      </c>
      <c r="M4636">
        <v>3341110</v>
      </c>
      <c r="N4636">
        <v>4</v>
      </c>
      <c r="O4636">
        <v>0</v>
      </c>
      <c r="P4636">
        <v>4</v>
      </c>
      <c r="Q4636">
        <v>0</v>
      </c>
      <c r="R4636">
        <v>0</v>
      </c>
      <c r="S4636">
        <v>0</v>
      </c>
      <c r="T4636">
        <v>2</v>
      </c>
      <c r="U4636" t="s">
        <v>26348</v>
      </c>
      <c r="V4636">
        <f>Tabla1[[#This Row],[Aboard]]-Tabla1[[#This Row],[Fatalities]]</f>
        <v>4</v>
      </c>
      <c r="W4636" s="50">
        <f>IFERROR(Tabla1[[#This Row],[Fatalities]]/Tabla1[[#This Row],[Aboard]],0)</f>
        <v>0</v>
      </c>
      <c r="X4636" s="51" t="str" cm="1">
        <f t="array" ref="X4636">_xlfn.IFS(Tabla1[[#This Row],[Porcentaje de muertes]]&lt;0.35,"LEVE",AND(Tabla1[[#This Row],[Porcentaje de muertes]]&gt;0.35,Tabla1[[#This Row],[Porcentaje de muertes]]&lt;0.65),"MEDIO",Tabla1[[#This Row],[Porcentaje de muertes]]&gt;0.65,"GRAVE")</f>
        <v>LEVE</v>
      </c>
    </row>
    <row r="4637" spans="2:24" x14ac:dyDescent="0.3">
      <c r="B4637" s="9">
        <v>4638</v>
      </c>
      <c r="C4637" s="49">
        <v>39416</v>
      </c>
      <c r="D4637" s="9">
        <f>YEAR(Tabla1[[#This Row],[Date]])</f>
        <v>2007</v>
      </c>
      <c r="E4637" s="9" t="str" cm="1">
        <f t="array" ref="E4637">IFERROR(_xlfn.IFS(AND(D4637&lt;1980,D4637&gt;=1970),"70",AND(D4637&lt;1990,D4637&gt;=1980),"80",AND(D4637&lt;2000,D4637&gt;=1990),"90",AND(D4637&lt;2010,D4637&gt;=2000),"00",AND(D4637&lt;=2019,D4637&gt;=2010),"10"),"1908-1970")</f>
        <v>00</v>
      </c>
      <c r="F4637" s="3">
        <v>6.6666666666666666E-2</v>
      </c>
      <c r="G4637" t="s">
        <v>26349</v>
      </c>
      <c r="H4637" t="s">
        <v>26350</v>
      </c>
      <c r="I4637">
        <v>4203</v>
      </c>
      <c r="J4637" t="s">
        <v>26351</v>
      </c>
      <c r="K4637" t="s">
        <v>24268</v>
      </c>
      <c r="L4637" s="7" t="s">
        <v>26352</v>
      </c>
      <c r="M4637" t="s">
        <v>26353</v>
      </c>
      <c r="N4637">
        <v>57</v>
      </c>
      <c r="O4637">
        <v>50</v>
      </c>
      <c r="P4637">
        <v>7</v>
      </c>
      <c r="Q4637">
        <v>57</v>
      </c>
      <c r="R4637">
        <v>50</v>
      </c>
      <c r="S4637">
        <v>7</v>
      </c>
      <c r="T4637">
        <v>0</v>
      </c>
      <c r="U4637" t="s">
        <v>26354</v>
      </c>
      <c r="V4637">
        <f>Tabla1[[#This Row],[Aboard]]-Tabla1[[#This Row],[Fatalities]]</f>
        <v>0</v>
      </c>
      <c r="W4637" s="50">
        <f>IFERROR(Tabla1[[#This Row],[Fatalities]]/Tabla1[[#This Row],[Aboard]],0)</f>
        <v>1</v>
      </c>
      <c r="X4637" s="51" t="str" cm="1">
        <f t="array" ref="X4637">_xlfn.IFS(Tabla1[[#This Row],[Porcentaje de muertes]]&lt;0.35,"LEVE",AND(Tabla1[[#This Row],[Porcentaje de muertes]]&gt;0.35,Tabla1[[#This Row],[Porcentaje de muertes]]&lt;0.65),"MEDIO",Tabla1[[#This Row],[Porcentaje de muertes]]&gt;0.65,"GRAVE")</f>
        <v>GRAVE</v>
      </c>
    </row>
    <row r="4638" spans="2:24" x14ac:dyDescent="0.3">
      <c r="B4638" s="9">
        <v>4639</v>
      </c>
      <c r="C4638" s="49">
        <v>39153</v>
      </c>
      <c r="D4638" s="9">
        <f>YEAR(Tabla1[[#This Row],[Date]])</f>
        <v>2007</v>
      </c>
      <c r="E4638" s="9" t="str" cm="1">
        <f t="array" ref="E4638">IFERROR(_xlfn.IFS(AND(D4638&lt;1980,D4638&gt;=1970),"70",AND(D4638&lt;1990,D4638&gt;=1980),"80",AND(D4638&lt;2000,D4638&gt;=1990),"90",AND(D4638&lt;2010,D4638&gt;=2000),"00",AND(D4638&lt;=2019,D4638&gt;=2010),"10"),"1908-1970")</f>
        <v>00</v>
      </c>
      <c r="F4638" s="3">
        <v>0.72083333333333333</v>
      </c>
      <c r="G4638" t="s">
        <v>26355</v>
      </c>
      <c r="H4638" t="s">
        <v>26356</v>
      </c>
      <c r="I4638" t="s">
        <v>28931</v>
      </c>
      <c r="J4638" t="s">
        <v>26357</v>
      </c>
      <c r="K4638" t="s">
        <v>26358</v>
      </c>
      <c r="L4638" s="7" t="s">
        <v>26359</v>
      </c>
      <c r="M4638" t="s">
        <v>28931</v>
      </c>
      <c r="N4638">
        <v>4</v>
      </c>
      <c r="O4638">
        <v>3</v>
      </c>
      <c r="P4638">
        <v>1</v>
      </c>
      <c r="Q4638">
        <v>4</v>
      </c>
      <c r="R4638">
        <v>3</v>
      </c>
      <c r="S4638">
        <v>1</v>
      </c>
      <c r="T4638">
        <v>0</v>
      </c>
      <c r="U4638" t="s">
        <v>26360</v>
      </c>
      <c r="V4638">
        <f>Tabla1[[#This Row],[Aboard]]-Tabla1[[#This Row],[Fatalities]]</f>
        <v>0</v>
      </c>
      <c r="W4638" s="50">
        <f>IFERROR(Tabla1[[#This Row],[Fatalities]]/Tabla1[[#This Row],[Aboard]],0)</f>
        <v>1</v>
      </c>
      <c r="X4638" s="51" t="str" cm="1">
        <f t="array" ref="X4638">_xlfn.IFS(Tabla1[[#This Row],[Porcentaje de muertes]]&lt;0.35,"LEVE",AND(Tabla1[[#This Row],[Porcentaje de muertes]]&gt;0.35,Tabla1[[#This Row],[Porcentaje de muertes]]&lt;0.65),"MEDIO",Tabla1[[#This Row],[Porcentaje de muertes]]&gt;0.65,"GRAVE")</f>
        <v>GRAVE</v>
      </c>
    </row>
    <row r="4639" spans="2:24" x14ac:dyDescent="0.3">
      <c r="B4639" s="9">
        <v>4640</v>
      </c>
      <c r="C4639" s="49">
        <v>39214</v>
      </c>
      <c r="D4639" s="9">
        <f>YEAR(Tabla1[[#This Row],[Date]])</f>
        <v>2007</v>
      </c>
      <c r="E4639" s="9" t="str" cm="1">
        <f t="array" ref="E4639">IFERROR(_xlfn.IFS(AND(D4639&lt;1980,D4639&gt;=1970),"70",AND(D4639&lt;1990,D4639&gt;=1980),"80",AND(D4639&lt;2000,D4639&gt;=1990),"90",AND(D4639&lt;2010,D4639&gt;=2000),"00",AND(D4639&lt;=2019,D4639&gt;=2010),"10"),"1908-1970")</f>
        <v>00</v>
      </c>
      <c r="F4639" s="3">
        <v>0.28333333333333333</v>
      </c>
      <c r="G4639" t="s">
        <v>5780</v>
      </c>
      <c r="H4639" t="s">
        <v>26361</v>
      </c>
      <c r="I4639" t="s">
        <v>28931</v>
      </c>
      <c r="J4639" t="s">
        <v>26362</v>
      </c>
      <c r="K4639" t="s">
        <v>21232</v>
      </c>
      <c r="L4639" s="7" t="s">
        <v>26363</v>
      </c>
      <c r="M4639" t="s">
        <v>26364</v>
      </c>
      <c r="N4639">
        <v>2</v>
      </c>
      <c r="O4639">
        <v>1</v>
      </c>
      <c r="P4639">
        <v>1</v>
      </c>
      <c r="Q4639">
        <v>2</v>
      </c>
      <c r="R4639">
        <v>1</v>
      </c>
      <c r="S4639">
        <v>1</v>
      </c>
      <c r="T4639">
        <v>0</v>
      </c>
      <c r="U4639" t="s">
        <v>26365</v>
      </c>
      <c r="V4639">
        <f>Tabla1[[#This Row],[Aboard]]-Tabla1[[#This Row],[Fatalities]]</f>
        <v>0</v>
      </c>
      <c r="W4639" s="50">
        <f>IFERROR(Tabla1[[#This Row],[Fatalities]]/Tabla1[[#This Row],[Aboard]],0)</f>
        <v>1</v>
      </c>
      <c r="X4639" s="51" t="str" cm="1">
        <f t="array" ref="X4639">_xlfn.IFS(Tabla1[[#This Row],[Porcentaje de muertes]]&lt;0.35,"LEVE",AND(Tabla1[[#This Row],[Porcentaje de muertes]]&gt;0.35,Tabla1[[#This Row],[Porcentaje de muertes]]&lt;0.65),"MEDIO",Tabla1[[#This Row],[Porcentaje de muertes]]&gt;0.65,"GRAVE")</f>
        <v>GRAVE</v>
      </c>
    </row>
    <row r="4640" spans="2:24" x14ac:dyDescent="0.3">
      <c r="B4640" s="9">
        <v>4641</v>
      </c>
      <c r="C4640" s="49">
        <v>39539</v>
      </c>
      <c r="D4640" s="9">
        <f>YEAR(Tabla1[[#This Row],[Date]])</f>
        <v>2008</v>
      </c>
      <c r="E4640" s="9" t="str" cm="1">
        <f t="array" ref="E4640">IFERROR(_xlfn.IFS(AND(D4640&lt;1980,D4640&gt;=1970),"70",AND(D4640&lt;1990,D4640&gt;=1980),"80",AND(D4640&lt;2000,D4640&gt;=1990),"90",AND(D4640&lt;2010,D4640&gt;=2000),"00",AND(D4640&lt;=2019,D4640&gt;=2010),"10"),"1908-1970")</f>
        <v>00</v>
      </c>
      <c r="F4640" s="3">
        <v>0.40833333333333338</v>
      </c>
      <c r="G4640" t="s">
        <v>26366</v>
      </c>
      <c r="H4640" t="s">
        <v>26367</v>
      </c>
      <c r="I4640" t="s">
        <v>28931</v>
      </c>
      <c r="J4640" t="s">
        <v>26368</v>
      </c>
      <c r="K4640" t="s">
        <v>26369</v>
      </c>
      <c r="L4640" s="7" t="s">
        <v>26370</v>
      </c>
      <c r="M4640">
        <v>872051</v>
      </c>
      <c r="N4640">
        <v>18</v>
      </c>
      <c r="O4640">
        <v>16</v>
      </c>
      <c r="P4640">
        <v>2</v>
      </c>
      <c r="Q4640">
        <v>18</v>
      </c>
      <c r="R4640">
        <v>16</v>
      </c>
      <c r="S4640">
        <v>2</v>
      </c>
      <c r="T4640">
        <v>0</v>
      </c>
      <c r="U4640" t="s">
        <v>26371</v>
      </c>
      <c r="V4640">
        <f>Tabla1[[#This Row],[Aboard]]-Tabla1[[#This Row],[Fatalities]]</f>
        <v>0</v>
      </c>
      <c r="W4640" s="50">
        <f>IFERROR(Tabla1[[#This Row],[Fatalities]]/Tabla1[[#This Row],[Aboard]],0)</f>
        <v>1</v>
      </c>
      <c r="X4640" s="51" t="str" cm="1">
        <f t="array" ref="X4640">_xlfn.IFS(Tabla1[[#This Row],[Porcentaje de muertes]]&lt;0.35,"LEVE",AND(Tabla1[[#This Row],[Porcentaje de muertes]]&gt;0.35,Tabla1[[#This Row],[Porcentaje de muertes]]&lt;0.65),"MEDIO",Tabla1[[#This Row],[Porcentaje de muertes]]&gt;0.65,"GRAVE")</f>
        <v>GRAVE</v>
      </c>
    </row>
    <row r="4641" spans="2:24" x14ac:dyDescent="0.3">
      <c r="B4641" s="9">
        <v>4642</v>
      </c>
      <c r="C4641" s="49">
        <v>39783</v>
      </c>
      <c r="D4641" s="9">
        <f>YEAR(Tabla1[[#This Row],[Date]])</f>
        <v>2008</v>
      </c>
      <c r="E4641" s="9" t="str" cm="1">
        <f t="array" ref="E4641">IFERROR(_xlfn.IFS(AND(D4641&lt;1980,D4641&gt;=1970),"70",AND(D4641&lt;1990,D4641&gt;=1980),"80",AND(D4641&lt;2000,D4641&gt;=1990),"90",AND(D4641&lt;2010,D4641&gt;=2000),"00",AND(D4641&lt;=2019,D4641&gt;=2010),"10"),"1908-1970")</f>
        <v>00</v>
      </c>
      <c r="F4641" s="3" t="s">
        <v>28931</v>
      </c>
      <c r="G4641" t="s">
        <v>26372</v>
      </c>
      <c r="H4641" t="s">
        <v>26373</v>
      </c>
      <c r="I4641" t="s">
        <v>28931</v>
      </c>
      <c r="J4641" t="s">
        <v>26374</v>
      </c>
      <c r="K4641" t="s">
        <v>26375</v>
      </c>
      <c r="L4641" s="7" t="s">
        <v>26376</v>
      </c>
      <c r="M4641" t="s">
        <v>26377</v>
      </c>
      <c r="N4641">
        <v>11</v>
      </c>
      <c r="O4641">
        <v>10</v>
      </c>
      <c r="P4641">
        <v>1</v>
      </c>
      <c r="Q4641">
        <v>11</v>
      </c>
      <c r="R4641">
        <v>10</v>
      </c>
      <c r="S4641">
        <v>1</v>
      </c>
      <c r="T4641">
        <v>0</v>
      </c>
      <c r="U4641" t="s">
        <v>26378</v>
      </c>
      <c r="V4641">
        <f>Tabla1[[#This Row],[Aboard]]-Tabla1[[#This Row],[Fatalities]]</f>
        <v>0</v>
      </c>
      <c r="W4641" s="50">
        <f>IFERROR(Tabla1[[#This Row],[Fatalities]]/Tabla1[[#This Row],[Aboard]],0)</f>
        <v>1</v>
      </c>
      <c r="X4641" s="51" t="str" cm="1">
        <f t="array" ref="X4641">_xlfn.IFS(Tabla1[[#This Row],[Porcentaje de muertes]]&lt;0.35,"LEVE",AND(Tabla1[[#This Row],[Porcentaje de muertes]]&gt;0.35,Tabla1[[#This Row],[Porcentaje de muertes]]&lt;0.65),"MEDIO",Tabla1[[#This Row],[Porcentaje de muertes]]&gt;0.65,"GRAVE")</f>
        <v>GRAVE</v>
      </c>
    </row>
    <row r="4642" spans="2:24" x14ac:dyDescent="0.3">
      <c r="B4642" s="9">
        <v>4643</v>
      </c>
      <c r="C4642" s="49">
        <v>39464</v>
      </c>
      <c r="D4642" s="9">
        <f>YEAR(Tabla1[[#This Row],[Date]])</f>
        <v>2008</v>
      </c>
      <c r="E4642" s="9" t="str" cm="1">
        <f t="array" ref="E4642">IFERROR(_xlfn.IFS(AND(D4642&lt;1980,D4642&gt;=1970),"70",AND(D4642&lt;1990,D4642&gt;=1980),"80",AND(D4642&lt;2000,D4642&gt;=1990),"90",AND(D4642&lt;2010,D4642&gt;=2000),"00",AND(D4642&lt;=2019,D4642&gt;=2010),"10"),"1908-1970")</f>
        <v>00</v>
      </c>
      <c r="F4642" s="3">
        <v>0.52986111111111112</v>
      </c>
      <c r="G4642" t="s">
        <v>5174</v>
      </c>
      <c r="H4642" t="s">
        <v>6862</v>
      </c>
      <c r="I4642">
        <v>38</v>
      </c>
      <c r="J4642" t="s">
        <v>26379</v>
      </c>
      <c r="K4642" t="s">
        <v>26380</v>
      </c>
      <c r="L4642" s="7" t="s">
        <v>26381</v>
      </c>
      <c r="M4642" t="s">
        <v>26382</v>
      </c>
      <c r="N4642">
        <v>152</v>
      </c>
      <c r="O4642">
        <v>136</v>
      </c>
      <c r="P4642">
        <v>16</v>
      </c>
      <c r="Q4642">
        <v>0</v>
      </c>
      <c r="R4642">
        <v>0</v>
      </c>
      <c r="S4642">
        <v>0</v>
      </c>
      <c r="T4642">
        <v>0</v>
      </c>
      <c r="U4642" t="s">
        <v>26383</v>
      </c>
      <c r="V4642">
        <f>Tabla1[[#This Row],[Aboard]]-Tabla1[[#This Row],[Fatalities]]</f>
        <v>152</v>
      </c>
      <c r="W4642" s="50">
        <f>IFERROR(Tabla1[[#This Row],[Fatalities]]/Tabla1[[#This Row],[Aboard]],0)</f>
        <v>0</v>
      </c>
      <c r="X4642" s="51" t="str" cm="1">
        <f t="array" ref="X4642">_xlfn.IFS(Tabla1[[#This Row],[Porcentaje de muertes]]&lt;0.35,"LEVE",AND(Tabla1[[#This Row],[Porcentaje de muertes]]&gt;0.35,Tabla1[[#This Row],[Porcentaje de muertes]]&lt;0.65),"MEDIO",Tabla1[[#This Row],[Porcentaje de muertes]]&gt;0.65,"GRAVE")</f>
        <v>LEVE</v>
      </c>
    </row>
    <row r="4643" spans="2:24" x14ac:dyDescent="0.3">
      <c r="B4643" s="9">
        <v>4644</v>
      </c>
      <c r="C4643" s="49">
        <v>39470</v>
      </c>
      <c r="D4643" s="9">
        <f>YEAR(Tabla1[[#This Row],[Date]])</f>
        <v>2008</v>
      </c>
      <c r="E4643" s="9" t="str" cm="1">
        <f t="array" ref="E4643">IFERROR(_xlfn.IFS(AND(D4643&lt;1980,D4643&gt;=1970),"70",AND(D4643&lt;1990,D4643&gt;=1980),"80",AND(D4643&lt;2000,D4643&gt;=1990),"90",AND(D4643&lt;2010,D4643&gt;=2000),"00",AND(D4643&lt;=2019,D4643&gt;=2010),"10"),"1908-1970")</f>
        <v>00</v>
      </c>
      <c r="F4643" s="3">
        <v>0.79166666666666663</v>
      </c>
      <c r="G4643" t="s">
        <v>26384</v>
      </c>
      <c r="H4643" t="s">
        <v>26385</v>
      </c>
      <c r="I4643" t="s">
        <v>28931</v>
      </c>
      <c r="J4643" t="s">
        <v>26386</v>
      </c>
      <c r="K4643" t="s">
        <v>26387</v>
      </c>
      <c r="L4643" s="7">
        <v>19</v>
      </c>
      <c r="M4643" t="s">
        <v>26388</v>
      </c>
      <c r="N4643">
        <v>20</v>
      </c>
      <c r="O4643">
        <v>16</v>
      </c>
      <c r="P4643">
        <v>4</v>
      </c>
      <c r="Q4643">
        <v>20</v>
      </c>
      <c r="R4643">
        <v>16</v>
      </c>
      <c r="S4643">
        <v>4</v>
      </c>
      <c r="T4643">
        <v>0</v>
      </c>
      <c r="U4643" t="s">
        <v>26389</v>
      </c>
      <c r="V4643">
        <f>Tabla1[[#This Row],[Aboard]]-Tabla1[[#This Row],[Fatalities]]</f>
        <v>0</v>
      </c>
      <c r="W4643" s="50">
        <f>IFERROR(Tabla1[[#This Row],[Fatalities]]/Tabla1[[#This Row],[Aboard]],0)</f>
        <v>1</v>
      </c>
      <c r="X4643" s="51" t="str" cm="1">
        <f t="array" ref="X4643">_xlfn.IFS(Tabla1[[#This Row],[Porcentaje de muertes]]&lt;0.35,"LEVE",AND(Tabla1[[#This Row],[Porcentaje de muertes]]&gt;0.35,Tabla1[[#This Row],[Porcentaje de muertes]]&lt;0.65),"MEDIO",Tabla1[[#This Row],[Porcentaje de muertes]]&gt;0.65,"GRAVE")</f>
        <v>GRAVE</v>
      </c>
    </row>
    <row r="4644" spans="2:24" x14ac:dyDescent="0.3">
      <c r="B4644" s="9">
        <v>4645</v>
      </c>
      <c r="C4644" s="49">
        <v>39473</v>
      </c>
      <c r="D4644" s="9">
        <f>YEAR(Tabla1[[#This Row],[Date]])</f>
        <v>2008</v>
      </c>
      <c r="E4644" s="9" t="str" cm="1">
        <f t="array" ref="E4644">IFERROR(_xlfn.IFS(AND(D4644&lt;1980,D4644&gt;=1970),"70",AND(D4644&lt;1990,D4644&gt;=1980),"80",AND(D4644&lt;2000,D4644&gt;=1990),"90",AND(D4644&lt;2010,D4644&gt;=2000),"00",AND(D4644&lt;=2019,D4644&gt;=2010),"10"),"1908-1970")</f>
        <v>00</v>
      </c>
      <c r="F4644" s="3">
        <v>0.39930555555555558</v>
      </c>
      <c r="G4644" t="s">
        <v>26390</v>
      </c>
      <c r="H4644" t="s">
        <v>26391</v>
      </c>
      <c r="I4644" t="s">
        <v>28931</v>
      </c>
      <c r="J4644" t="s">
        <v>26392</v>
      </c>
      <c r="K4644" t="s">
        <v>26393</v>
      </c>
      <c r="L4644" s="7" t="s">
        <v>26394</v>
      </c>
      <c r="M4644" t="s">
        <v>26395</v>
      </c>
      <c r="N4644">
        <v>3</v>
      </c>
      <c r="O4644">
        <v>0</v>
      </c>
      <c r="P4644">
        <v>3</v>
      </c>
      <c r="Q4644">
        <v>3</v>
      </c>
      <c r="R4644">
        <v>0</v>
      </c>
      <c r="S4644">
        <v>3</v>
      </c>
      <c r="T4644">
        <v>0</v>
      </c>
      <c r="U4644" t="s">
        <v>26396</v>
      </c>
      <c r="V4644">
        <f>Tabla1[[#This Row],[Aboard]]-Tabla1[[#This Row],[Fatalities]]</f>
        <v>0</v>
      </c>
      <c r="W4644" s="50">
        <f>IFERROR(Tabla1[[#This Row],[Fatalities]]/Tabla1[[#This Row],[Aboard]],0)</f>
        <v>1</v>
      </c>
      <c r="X4644" s="51" t="str" cm="1">
        <f t="array" ref="X4644">_xlfn.IFS(Tabla1[[#This Row],[Porcentaje de muertes]]&lt;0.35,"LEVE",AND(Tabla1[[#This Row],[Porcentaje de muertes]]&gt;0.35,Tabla1[[#This Row],[Porcentaje de muertes]]&lt;0.65),"MEDIO",Tabla1[[#This Row],[Porcentaje de muertes]]&gt;0.65,"GRAVE")</f>
        <v>GRAVE</v>
      </c>
    </row>
    <row r="4645" spans="2:24" x14ac:dyDescent="0.3">
      <c r="B4645" s="9">
        <v>4646</v>
      </c>
      <c r="C4645" s="49">
        <v>39499</v>
      </c>
      <c r="D4645" s="9">
        <f>YEAR(Tabla1[[#This Row],[Date]])</f>
        <v>2008</v>
      </c>
      <c r="E4645" s="9" t="str" cm="1">
        <f t="array" ref="E4645">IFERROR(_xlfn.IFS(AND(D4645&lt;1980,D4645&gt;=1970),"70",AND(D4645&lt;1990,D4645&gt;=1980),"80",AND(D4645&lt;2000,D4645&gt;=1990),"90",AND(D4645&lt;2010,D4645&gt;=2000),"00",AND(D4645&lt;=2019,D4645&gt;=2010),"10"),"1908-1970")</f>
        <v>00</v>
      </c>
      <c r="F4645" s="3">
        <v>0.70833333333333337</v>
      </c>
      <c r="G4645" t="s">
        <v>16102</v>
      </c>
      <c r="H4645" t="s">
        <v>26397</v>
      </c>
      <c r="I4645">
        <v>518</v>
      </c>
      <c r="J4645" t="s">
        <v>10262</v>
      </c>
      <c r="K4645" t="s">
        <v>26398</v>
      </c>
      <c r="L4645" s="7" t="s">
        <v>26399</v>
      </c>
      <c r="M4645">
        <v>28</v>
      </c>
      <c r="N4645">
        <v>46</v>
      </c>
      <c r="O4645">
        <v>43</v>
      </c>
      <c r="P4645">
        <v>3</v>
      </c>
      <c r="Q4645">
        <v>46</v>
      </c>
      <c r="R4645">
        <v>43</v>
      </c>
      <c r="S4645">
        <v>3</v>
      </c>
      <c r="T4645">
        <v>0</v>
      </c>
      <c r="U4645" t="s">
        <v>26400</v>
      </c>
      <c r="V4645">
        <f>Tabla1[[#This Row],[Aboard]]-Tabla1[[#This Row],[Fatalities]]</f>
        <v>0</v>
      </c>
      <c r="W4645" s="50">
        <f>IFERROR(Tabla1[[#This Row],[Fatalities]]/Tabla1[[#This Row],[Aboard]],0)</f>
        <v>1</v>
      </c>
      <c r="X4645" s="51" t="str" cm="1">
        <f t="array" ref="X4645">_xlfn.IFS(Tabla1[[#This Row],[Porcentaje de muertes]]&lt;0.35,"LEVE",AND(Tabla1[[#This Row],[Porcentaje de muertes]]&gt;0.35,Tabla1[[#This Row],[Porcentaje de muertes]]&lt;0.65),"MEDIO",Tabla1[[#This Row],[Porcentaje de muertes]]&gt;0.65,"GRAVE")</f>
        <v>GRAVE</v>
      </c>
    </row>
    <row r="4646" spans="2:24" x14ac:dyDescent="0.3">
      <c r="B4646" s="9">
        <v>4647</v>
      </c>
      <c r="C4646" s="49">
        <v>39504</v>
      </c>
      <c r="D4646" s="9">
        <f>YEAR(Tabla1[[#This Row],[Date]])</f>
        <v>2008</v>
      </c>
      <c r="E4646" s="9" t="str" cm="1">
        <f t="array" ref="E4646">IFERROR(_xlfn.IFS(AND(D4646&lt;1980,D4646&gt;=1970),"70",AND(D4646&lt;1990,D4646&gt;=1980),"80",AND(D4646&lt;2000,D4646&gt;=1990),"90",AND(D4646&lt;2010,D4646&gt;=2000),"00",AND(D4646&lt;=2019,D4646&gt;=2010),"10"),"1908-1970")</f>
        <v>00</v>
      </c>
      <c r="F4646" s="3">
        <v>0.6777777777777777</v>
      </c>
      <c r="G4646" t="s">
        <v>26401</v>
      </c>
      <c r="H4646" t="s">
        <v>26402</v>
      </c>
      <c r="I4646" t="s">
        <v>28931</v>
      </c>
      <c r="J4646" t="s">
        <v>26403</v>
      </c>
      <c r="K4646" t="s">
        <v>28954</v>
      </c>
      <c r="L4646" s="7" t="s">
        <v>26404</v>
      </c>
      <c r="M4646">
        <v>2570</v>
      </c>
      <c r="N4646">
        <v>20</v>
      </c>
      <c r="O4646">
        <v>17</v>
      </c>
      <c r="P4646">
        <v>3</v>
      </c>
      <c r="Q4646">
        <v>5</v>
      </c>
      <c r="R4646">
        <v>4</v>
      </c>
      <c r="S4646">
        <v>1</v>
      </c>
      <c r="T4646">
        <v>0</v>
      </c>
      <c r="U4646" t="s">
        <v>26405</v>
      </c>
      <c r="V4646">
        <f>Tabla1[[#This Row],[Aboard]]-Tabla1[[#This Row],[Fatalities]]</f>
        <v>15</v>
      </c>
      <c r="W4646" s="50">
        <f>IFERROR(Tabla1[[#This Row],[Fatalities]]/Tabla1[[#This Row],[Aboard]],0)</f>
        <v>0.25</v>
      </c>
      <c r="X4646" s="51" t="str" cm="1">
        <f t="array" ref="X4646">_xlfn.IFS(Tabla1[[#This Row],[Porcentaje de muertes]]&lt;0.35,"LEVE",AND(Tabla1[[#This Row],[Porcentaje de muertes]]&gt;0.35,Tabla1[[#This Row],[Porcentaje de muertes]]&lt;0.65),"MEDIO",Tabla1[[#This Row],[Porcentaje de muertes]]&gt;0.65,"GRAVE")</f>
        <v>LEVE</v>
      </c>
    </row>
    <row r="4647" spans="2:24" x14ac:dyDescent="0.3">
      <c r="B4647" s="9">
        <v>4648</v>
      </c>
      <c r="C4647" s="49">
        <v>39510</v>
      </c>
      <c r="D4647" s="9">
        <f>YEAR(Tabla1[[#This Row],[Date]])</f>
        <v>2008</v>
      </c>
      <c r="E4647" s="9" t="str" cm="1">
        <f t="array" ref="E4647">IFERROR(_xlfn.IFS(AND(D4647&lt;1980,D4647&gt;=1970),"70",AND(D4647&lt;1990,D4647&gt;=1980),"80",AND(D4647&lt;2000,D4647&gt;=1990),"90",AND(D4647&lt;2010,D4647&gt;=2000),"00",AND(D4647&lt;=2019,D4647&gt;=2010),"10"),"1908-1970")</f>
        <v>00</v>
      </c>
      <c r="F4647" s="3">
        <v>0.66666666666666663</v>
      </c>
      <c r="G4647" t="s">
        <v>26406</v>
      </c>
      <c r="H4647" t="s">
        <v>26407</v>
      </c>
      <c r="I4647" t="s">
        <v>28931</v>
      </c>
      <c r="J4647" t="s">
        <v>28931</v>
      </c>
      <c r="K4647" t="s">
        <v>25015</v>
      </c>
      <c r="L4647" s="7" t="s">
        <v>28931</v>
      </c>
      <c r="M4647" t="s">
        <v>28931</v>
      </c>
      <c r="N4647">
        <v>10</v>
      </c>
      <c r="O4647">
        <v>7</v>
      </c>
      <c r="P4647">
        <v>3</v>
      </c>
      <c r="Q4647">
        <v>10</v>
      </c>
      <c r="R4647">
        <v>7</v>
      </c>
      <c r="S4647">
        <v>3</v>
      </c>
      <c r="T4647">
        <v>0</v>
      </c>
      <c r="U4647" t="s">
        <v>26408</v>
      </c>
      <c r="V4647">
        <f>Tabla1[[#This Row],[Aboard]]-Tabla1[[#This Row],[Fatalities]]</f>
        <v>0</v>
      </c>
      <c r="W4647" s="50">
        <f>IFERROR(Tabla1[[#This Row],[Fatalities]]/Tabla1[[#This Row],[Aboard]],0)</f>
        <v>1</v>
      </c>
      <c r="X4647" s="51" t="str" cm="1">
        <f t="array" ref="X4647">_xlfn.IFS(Tabla1[[#This Row],[Porcentaje de muertes]]&lt;0.35,"LEVE",AND(Tabla1[[#This Row],[Porcentaje de muertes]]&gt;0.35,Tabla1[[#This Row],[Porcentaje de muertes]]&lt;0.65),"MEDIO",Tabla1[[#This Row],[Porcentaje de muertes]]&gt;0.65,"GRAVE")</f>
        <v>GRAVE</v>
      </c>
    </row>
    <row r="4648" spans="2:24" x14ac:dyDescent="0.3">
      <c r="B4648" s="9">
        <v>4649</v>
      </c>
      <c r="C4648" s="49">
        <v>39511</v>
      </c>
      <c r="D4648" s="9">
        <f>YEAR(Tabla1[[#This Row],[Date]])</f>
        <v>2008</v>
      </c>
      <c r="E4648" s="9" t="str" cm="1">
        <f t="array" ref="E4648">IFERROR(_xlfn.IFS(AND(D4648&lt;1980,D4648&gt;=1970),"70",AND(D4648&lt;1990,D4648&gt;=1980),"80",AND(D4648&lt;2000,D4648&gt;=1990),"90",AND(D4648&lt;2010,D4648&gt;=2000),"00",AND(D4648&lt;=2019,D4648&gt;=2010),"10"),"1908-1970")</f>
        <v>00</v>
      </c>
      <c r="F4648" s="3">
        <v>0.45833333333333331</v>
      </c>
      <c r="G4648" t="s">
        <v>26409</v>
      </c>
      <c r="H4648" t="s">
        <v>26410</v>
      </c>
      <c r="I4648" t="s">
        <v>28931</v>
      </c>
      <c r="J4648" t="s">
        <v>26411</v>
      </c>
      <c r="K4648" t="s">
        <v>26412</v>
      </c>
      <c r="L4648" s="7" t="s">
        <v>26413</v>
      </c>
      <c r="M4648" t="s">
        <v>26414</v>
      </c>
      <c r="N4648">
        <v>19</v>
      </c>
      <c r="O4648">
        <v>17</v>
      </c>
      <c r="P4648">
        <v>2</v>
      </c>
      <c r="Q4648">
        <v>19</v>
      </c>
      <c r="R4648">
        <v>17</v>
      </c>
      <c r="S4648">
        <v>2</v>
      </c>
      <c r="T4648">
        <v>0</v>
      </c>
      <c r="U4648" t="s">
        <v>26415</v>
      </c>
      <c r="V4648">
        <f>Tabla1[[#This Row],[Aboard]]-Tabla1[[#This Row],[Fatalities]]</f>
        <v>0</v>
      </c>
      <c r="W4648" s="50">
        <f>IFERROR(Tabla1[[#This Row],[Fatalities]]/Tabla1[[#This Row],[Aboard]],0)</f>
        <v>1</v>
      </c>
      <c r="X4648" s="51" t="str" cm="1">
        <f t="array" ref="X4648">_xlfn.IFS(Tabla1[[#This Row],[Porcentaje de muertes]]&lt;0.35,"LEVE",AND(Tabla1[[#This Row],[Porcentaje de muertes]]&gt;0.35,Tabla1[[#This Row],[Porcentaje de muertes]]&lt;0.65),"MEDIO",Tabla1[[#This Row],[Porcentaje de muertes]]&gt;0.65,"GRAVE")</f>
        <v>GRAVE</v>
      </c>
    </row>
    <row r="4649" spans="2:24" x14ac:dyDescent="0.3">
      <c r="B4649" s="9">
        <v>4650</v>
      </c>
      <c r="C4649" s="49">
        <v>39695</v>
      </c>
      <c r="D4649" s="9">
        <f>YEAR(Tabla1[[#This Row],[Date]])</f>
        <v>2008</v>
      </c>
      <c r="E4649" s="9" t="str" cm="1">
        <f t="array" ref="E4649">IFERROR(_xlfn.IFS(AND(D4649&lt;1980,D4649&gt;=1970),"70",AND(D4649&lt;1990,D4649&gt;=1980),"80",AND(D4649&lt;2000,D4649&gt;=1990),"90",AND(D4649&lt;2010,D4649&gt;=2000),"00",AND(D4649&lt;=2019,D4649&gt;=2010),"10"),"1908-1970")</f>
        <v>00</v>
      </c>
      <c r="F4649" s="3">
        <v>0.9770833333333333</v>
      </c>
      <c r="G4649" t="s">
        <v>26416</v>
      </c>
      <c r="H4649" t="s">
        <v>26417</v>
      </c>
      <c r="I4649" t="s">
        <v>28931</v>
      </c>
      <c r="J4649" t="s">
        <v>26418</v>
      </c>
      <c r="K4649" t="s">
        <v>26419</v>
      </c>
      <c r="L4649" s="7" t="s">
        <v>26420</v>
      </c>
      <c r="M4649" t="s">
        <v>26421</v>
      </c>
      <c r="N4649">
        <v>1</v>
      </c>
      <c r="O4649">
        <v>0</v>
      </c>
      <c r="P4649">
        <v>1</v>
      </c>
      <c r="Q4649">
        <v>1</v>
      </c>
      <c r="R4649">
        <v>0</v>
      </c>
      <c r="S4649">
        <v>1</v>
      </c>
      <c r="T4649">
        <v>0</v>
      </c>
      <c r="U4649" t="s">
        <v>26422</v>
      </c>
      <c r="V4649">
        <f>Tabla1[[#This Row],[Aboard]]-Tabla1[[#This Row],[Fatalities]]</f>
        <v>0</v>
      </c>
      <c r="W4649" s="50">
        <f>IFERROR(Tabla1[[#This Row],[Fatalities]]/Tabla1[[#This Row],[Aboard]],0)</f>
        <v>1</v>
      </c>
      <c r="X4649" s="51" t="str" cm="1">
        <f t="array" ref="X4649">_xlfn.IFS(Tabla1[[#This Row],[Porcentaje de muertes]]&lt;0.35,"LEVE",AND(Tabla1[[#This Row],[Porcentaje de muertes]]&gt;0.35,Tabla1[[#This Row],[Porcentaje de muertes]]&lt;0.65),"MEDIO",Tabla1[[#This Row],[Porcentaje de muertes]]&gt;0.65,"GRAVE")</f>
        <v>GRAVE</v>
      </c>
    </row>
    <row r="4650" spans="2:24" x14ac:dyDescent="0.3">
      <c r="B4650" s="9">
        <v>4651</v>
      </c>
      <c r="C4650" s="49">
        <v>39756</v>
      </c>
      <c r="D4650" s="9">
        <f>YEAR(Tabla1[[#This Row],[Date]])</f>
        <v>2008</v>
      </c>
      <c r="E4650" s="9" t="str" cm="1">
        <f t="array" ref="E4650">IFERROR(_xlfn.IFS(AND(D4650&lt;1980,D4650&gt;=1970),"70",AND(D4650&lt;1990,D4650&gt;=1980),"80",AND(D4650&lt;2000,D4650&gt;=1990),"90",AND(D4650&lt;2010,D4650&gt;=2000),"00",AND(D4650&lt;=2019,D4650&gt;=2010),"10"),"1908-1970")</f>
        <v>00</v>
      </c>
      <c r="F4650" s="3">
        <v>0.92708333333333337</v>
      </c>
      <c r="G4650" t="s">
        <v>26423</v>
      </c>
      <c r="H4650" t="s">
        <v>26424</v>
      </c>
      <c r="I4650" t="s">
        <v>28931</v>
      </c>
      <c r="J4650" t="s">
        <v>26425</v>
      </c>
      <c r="K4650" t="s">
        <v>21061</v>
      </c>
      <c r="L4650" s="7" t="s">
        <v>26426</v>
      </c>
      <c r="M4650">
        <v>3009</v>
      </c>
      <c r="N4650">
        <v>8</v>
      </c>
      <c r="O4650">
        <v>0</v>
      </c>
      <c r="P4650">
        <v>8</v>
      </c>
      <c r="Q4650">
        <v>8</v>
      </c>
      <c r="R4650">
        <v>0</v>
      </c>
      <c r="S4650">
        <v>8</v>
      </c>
      <c r="T4650">
        <v>0</v>
      </c>
      <c r="U4650" t="s">
        <v>26427</v>
      </c>
      <c r="V4650">
        <f>Tabla1[[#This Row],[Aboard]]-Tabla1[[#This Row],[Fatalities]]</f>
        <v>0</v>
      </c>
      <c r="W4650" s="50">
        <f>IFERROR(Tabla1[[#This Row],[Fatalities]]/Tabla1[[#This Row],[Aboard]],0)</f>
        <v>1</v>
      </c>
      <c r="X4650" s="51" t="str" cm="1">
        <f t="array" ref="X4650">_xlfn.IFS(Tabla1[[#This Row],[Porcentaje de muertes]]&lt;0.35,"LEVE",AND(Tabla1[[#This Row],[Porcentaje de muertes]]&gt;0.35,Tabla1[[#This Row],[Porcentaje de muertes]]&lt;0.65),"MEDIO",Tabla1[[#This Row],[Porcentaje de muertes]]&gt;0.65,"GRAVE")</f>
        <v>GRAVE</v>
      </c>
    </row>
    <row r="4651" spans="2:24" x14ac:dyDescent="0.3">
      <c r="B4651" s="9">
        <v>4652</v>
      </c>
      <c r="C4651" s="49">
        <v>39553</v>
      </c>
      <c r="D4651" s="9">
        <f>YEAR(Tabla1[[#This Row],[Date]])</f>
        <v>2008</v>
      </c>
      <c r="E4651" s="9" t="str" cm="1">
        <f t="array" ref="E4651">IFERROR(_xlfn.IFS(AND(D4651&lt;1980,D4651&gt;=1970),"70",AND(D4651&lt;1990,D4651&gt;=1980),"80",AND(D4651&lt;2000,D4651&gt;=1990),"90",AND(D4651&lt;2010,D4651&gt;=2000),"00",AND(D4651&lt;=2019,D4651&gt;=2010),"10"),"1908-1970")</f>
        <v>00</v>
      </c>
      <c r="F4651" s="3">
        <v>0.60416666666666663</v>
      </c>
      <c r="G4651" t="s">
        <v>22115</v>
      </c>
      <c r="H4651" t="s">
        <v>26428</v>
      </c>
      <c r="I4651" t="s">
        <v>28931</v>
      </c>
      <c r="J4651" t="s">
        <v>26429</v>
      </c>
      <c r="K4651" t="s">
        <v>26430</v>
      </c>
      <c r="L4651" s="7" t="s">
        <v>26431</v>
      </c>
      <c r="M4651">
        <v>47731</v>
      </c>
      <c r="N4651">
        <v>85</v>
      </c>
      <c r="O4651">
        <v>79</v>
      </c>
      <c r="P4651">
        <v>6</v>
      </c>
      <c r="Q4651">
        <v>0</v>
      </c>
      <c r="R4651">
        <v>0</v>
      </c>
      <c r="S4651">
        <v>0</v>
      </c>
      <c r="T4651">
        <v>47</v>
      </c>
      <c r="U4651" t="s">
        <v>26432</v>
      </c>
      <c r="V4651">
        <f>Tabla1[[#This Row],[Aboard]]-Tabla1[[#This Row],[Fatalities]]</f>
        <v>85</v>
      </c>
      <c r="W4651" s="50">
        <f>IFERROR(Tabla1[[#This Row],[Fatalities]]/Tabla1[[#This Row],[Aboard]],0)</f>
        <v>0</v>
      </c>
      <c r="X4651" s="51" t="str" cm="1">
        <f t="array" ref="X4651">_xlfn.IFS(Tabla1[[#This Row],[Porcentaje de muertes]]&lt;0.35,"LEVE",AND(Tabla1[[#This Row],[Porcentaje de muertes]]&gt;0.35,Tabla1[[#This Row],[Porcentaje de muertes]]&lt;0.65),"MEDIO",Tabla1[[#This Row],[Porcentaje de muertes]]&gt;0.65,"GRAVE")</f>
        <v>LEVE</v>
      </c>
    </row>
    <row r="4652" spans="2:24" x14ac:dyDescent="0.3">
      <c r="B4652" s="9">
        <v>4653</v>
      </c>
      <c r="C4652" s="49">
        <v>39554</v>
      </c>
      <c r="D4652" s="9">
        <f>YEAR(Tabla1[[#This Row],[Date]])</f>
        <v>2008</v>
      </c>
      <c r="E4652" s="9" t="str" cm="1">
        <f t="array" ref="E4652">IFERROR(_xlfn.IFS(AND(D4652&lt;1980,D4652&gt;=1970),"70",AND(D4652&lt;1990,D4652&gt;=1980),"80",AND(D4652&lt;2000,D4652&gt;=1990),"90",AND(D4652&lt;2010,D4652&gt;=2000),"00",AND(D4652&lt;=2019,D4652&gt;=2010),"10"),"1908-1970")</f>
        <v>00</v>
      </c>
      <c r="F4652" s="3">
        <v>0.59930555555555554</v>
      </c>
      <c r="G4652" t="s">
        <v>26433</v>
      </c>
      <c r="H4652" t="s">
        <v>26434</v>
      </c>
      <c r="I4652" t="s">
        <v>28931</v>
      </c>
      <c r="J4652" t="s">
        <v>26435</v>
      </c>
      <c r="K4652" t="s">
        <v>23376</v>
      </c>
      <c r="L4652" s="7" t="s">
        <v>26436</v>
      </c>
      <c r="M4652">
        <v>1609</v>
      </c>
      <c r="N4652">
        <v>13</v>
      </c>
      <c r="O4652">
        <v>8</v>
      </c>
      <c r="P4652">
        <v>5</v>
      </c>
      <c r="Q4652">
        <v>13</v>
      </c>
      <c r="R4652">
        <v>8</v>
      </c>
      <c r="S4652">
        <v>5</v>
      </c>
      <c r="T4652">
        <v>0</v>
      </c>
      <c r="U4652" t="s">
        <v>26437</v>
      </c>
      <c r="V4652">
        <f>Tabla1[[#This Row],[Aboard]]-Tabla1[[#This Row],[Fatalities]]</f>
        <v>0</v>
      </c>
      <c r="W4652" s="50">
        <f>IFERROR(Tabla1[[#This Row],[Fatalities]]/Tabla1[[#This Row],[Aboard]],0)</f>
        <v>1</v>
      </c>
      <c r="X4652" s="51" t="str" cm="1">
        <f t="array" ref="X4652">_xlfn.IFS(Tabla1[[#This Row],[Porcentaje de muertes]]&lt;0.35,"LEVE",AND(Tabla1[[#This Row],[Porcentaje de muertes]]&gt;0.35,Tabla1[[#This Row],[Porcentaje de muertes]]&lt;0.65),"MEDIO",Tabla1[[#This Row],[Porcentaje de muertes]]&gt;0.65,"GRAVE")</f>
        <v>GRAVE</v>
      </c>
    </row>
    <row r="4653" spans="2:24" x14ac:dyDescent="0.3">
      <c r="B4653" s="9">
        <v>4654</v>
      </c>
      <c r="C4653" s="49">
        <v>39566</v>
      </c>
      <c r="D4653" s="9">
        <f>YEAR(Tabla1[[#This Row],[Date]])</f>
        <v>2008</v>
      </c>
      <c r="E4653" s="9" t="str" cm="1">
        <f t="array" ref="E4653">IFERROR(_xlfn.IFS(AND(D4653&lt;1980,D4653&gt;=1970),"70",AND(D4653&lt;1990,D4653&gt;=1980),"80",AND(D4653&lt;2000,D4653&gt;=1990),"90",AND(D4653&lt;2010,D4653&gt;=2000),"00",AND(D4653&lt;=2019,D4653&gt;=2010),"10"),"1908-1970")</f>
        <v>00</v>
      </c>
      <c r="F4653" s="3">
        <v>0.40138888888888885</v>
      </c>
      <c r="G4653" t="s">
        <v>26438</v>
      </c>
      <c r="H4653" t="s">
        <v>26439</v>
      </c>
      <c r="I4653" t="s">
        <v>28931</v>
      </c>
      <c r="J4653" t="s">
        <v>28931</v>
      </c>
      <c r="K4653" t="s">
        <v>21449</v>
      </c>
      <c r="L4653" s="7" t="s">
        <v>26440</v>
      </c>
      <c r="M4653">
        <v>98734295</v>
      </c>
      <c r="N4653">
        <v>20</v>
      </c>
      <c r="O4653">
        <v>18</v>
      </c>
      <c r="P4653">
        <v>2</v>
      </c>
      <c r="Q4653">
        <v>20</v>
      </c>
      <c r="R4653">
        <v>18</v>
      </c>
      <c r="S4653">
        <v>2</v>
      </c>
      <c r="T4653">
        <v>0</v>
      </c>
      <c r="U4653" t="s">
        <v>26441</v>
      </c>
      <c r="V4653">
        <f>Tabla1[[#This Row],[Aboard]]-Tabla1[[#This Row],[Fatalities]]</f>
        <v>0</v>
      </c>
      <c r="W4653" s="50">
        <f>IFERROR(Tabla1[[#This Row],[Fatalities]]/Tabla1[[#This Row],[Aboard]],0)</f>
        <v>1</v>
      </c>
      <c r="X4653" s="51" t="str" cm="1">
        <f t="array" ref="X4653">_xlfn.IFS(Tabla1[[#This Row],[Porcentaje de muertes]]&lt;0.35,"LEVE",AND(Tabla1[[#This Row],[Porcentaje de muertes]]&gt;0.35,Tabla1[[#This Row],[Porcentaje de muertes]]&lt;0.65),"MEDIO",Tabla1[[#This Row],[Porcentaje de muertes]]&gt;0.65,"GRAVE")</f>
        <v>GRAVE</v>
      </c>
    </row>
    <row r="4654" spans="2:24" x14ac:dyDescent="0.3">
      <c r="B4654" s="9">
        <v>4655</v>
      </c>
      <c r="C4654" s="49">
        <v>39585</v>
      </c>
      <c r="D4654" s="9">
        <f>YEAR(Tabla1[[#This Row],[Date]])</f>
        <v>2008</v>
      </c>
      <c r="E4654" s="9" t="str" cm="1">
        <f t="array" ref="E4654">IFERROR(_xlfn.IFS(AND(D4654&lt;1980,D4654&gt;=1970),"70",AND(D4654&lt;1990,D4654&gt;=1980),"80",AND(D4654&lt;2000,D4654&gt;=1990),"90",AND(D4654&lt;2010,D4654&gt;=2000),"00",AND(D4654&lt;=2019,D4654&gt;=2010),"10"),"1908-1970")</f>
        <v>00</v>
      </c>
      <c r="F4654" s="3">
        <v>0.6875</v>
      </c>
      <c r="G4654" t="s">
        <v>26442</v>
      </c>
      <c r="H4654" t="s">
        <v>26443</v>
      </c>
      <c r="I4654" t="s">
        <v>28931</v>
      </c>
      <c r="J4654" t="s">
        <v>26444</v>
      </c>
      <c r="K4654" t="s">
        <v>26445</v>
      </c>
      <c r="L4654" s="7" t="s">
        <v>26446</v>
      </c>
      <c r="M4654">
        <v>1151</v>
      </c>
      <c r="N4654">
        <v>5</v>
      </c>
      <c r="O4654">
        <v>4</v>
      </c>
      <c r="P4654">
        <v>1</v>
      </c>
      <c r="Q4654">
        <v>2</v>
      </c>
      <c r="R4654">
        <v>2</v>
      </c>
      <c r="S4654">
        <v>0</v>
      </c>
      <c r="T4654">
        <v>0</v>
      </c>
      <c r="U4654" t="s">
        <v>26447</v>
      </c>
      <c r="V4654">
        <f>Tabla1[[#This Row],[Aboard]]-Tabla1[[#This Row],[Fatalities]]</f>
        <v>3</v>
      </c>
      <c r="W4654" s="50">
        <f>IFERROR(Tabla1[[#This Row],[Fatalities]]/Tabla1[[#This Row],[Aboard]],0)</f>
        <v>0.4</v>
      </c>
      <c r="X4654" s="51" t="str" cm="1">
        <f t="array" ref="X4654">_xlfn.IFS(Tabla1[[#This Row],[Porcentaje de muertes]]&lt;0.35,"LEVE",AND(Tabla1[[#This Row],[Porcentaje de muertes]]&gt;0.35,Tabla1[[#This Row],[Porcentaje de muertes]]&lt;0.65),"MEDIO",Tabla1[[#This Row],[Porcentaje de muertes]]&gt;0.65,"GRAVE")</f>
        <v>MEDIO</v>
      </c>
    </row>
    <row r="4655" spans="2:24" x14ac:dyDescent="0.3">
      <c r="B4655" s="9">
        <v>4656</v>
      </c>
      <c r="C4655" s="49">
        <v>39592</v>
      </c>
      <c r="D4655" s="9">
        <f>YEAR(Tabla1[[#This Row],[Date]])</f>
        <v>2008</v>
      </c>
      <c r="E4655" s="9" t="str" cm="1">
        <f t="array" ref="E4655">IFERROR(_xlfn.IFS(AND(D4655&lt;1980,D4655&gt;=1970),"70",AND(D4655&lt;1990,D4655&gt;=1980),"80",AND(D4655&lt;2000,D4655&gt;=1990),"90",AND(D4655&lt;2010,D4655&gt;=2000),"00",AND(D4655&lt;=2019,D4655&gt;=2010),"10"),"1908-1970")</f>
        <v>00</v>
      </c>
      <c r="F4655" s="3">
        <v>0.39583333333333331</v>
      </c>
      <c r="G4655" t="s">
        <v>26448</v>
      </c>
      <c r="H4655" t="s">
        <v>26449</v>
      </c>
      <c r="I4655" t="s">
        <v>28931</v>
      </c>
      <c r="J4655" t="s">
        <v>26450</v>
      </c>
      <c r="K4655" t="s">
        <v>26451</v>
      </c>
      <c r="L4655" s="7" t="s">
        <v>26452</v>
      </c>
      <c r="M4655">
        <v>1604</v>
      </c>
      <c r="N4655">
        <v>6</v>
      </c>
      <c r="O4655">
        <v>5</v>
      </c>
      <c r="P4655">
        <v>1</v>
      </c>
      <c r="Q4655">
        <v>4</v>
      </c>
      <c r="R4655">
        <v>3</v>
      </c>
      <c r="S4655">
        <v>1</v>
      </c>
      <c r="T4655">
        <v>0</v>
      </c>
      <c r="U4655" t="s">
        <v>26453</v>
      </c>
      <c r="V4655">
        <f>Tabla1[[#This Row],[Aboard]]-Tabla1[[#This Row],[Fatalities]]</f>
        <v>2</v>
      </c>
      <c r="W4655" s="50">
        <f>IFERROR(Tabla1[[#This Row],[Fatalities]]/Tabla1[[#This Row],[Aboard]],0)</f>
        <v>0.66666666666666663</v>
      </c>
      <c r="X4655" s="51" t="str" cm="1">
        <f t="array" ref="X4655">_xlfn.IFS(Tabla1[[#This Row],[Porcentaje de muertes]]&lt;0.35,"LEVE",AND(Tabla1[[#This Row],[Porcentaje de muertes]]&gt;0.35,Tabla1[[#This Row],[Porcentaje de muertes]]&lt;0.65),"MEDIO",Tabla1[[#This Row],[Porcentaje de muertes]]&gt;0.65,"GRAVE")</f>
        <v>GRAVE</v>
      </c>
    </row>
    <row r="4656" spans="2:24" x14ac:dyDescent="0.3">
      <c r="B4656" s="9">
        <v>4657</v>
      </c>
      <c r="C4656" s="49">
        <v>39594</v>
      </c>
      <c r="D4656" s="9">
        <f>YEAR(Tabla1[[#This Row],[Date]])</f>
        <v>2008</v>
      </c>
      <c r="E4656" s="9" t="str" cm="1">
        <f t="array" ref="E4656">IFERROR(_xlfn.IFS(AND(D4656&lt;1980,D4656&gt;=1970),"70",AND(D4656&lt;1990,D4656&gt;=1980),"80",AND(D4656&lt;2000,D4656&gt;=1990),"90",AND(D4656&lt;2010,D4656&gt;=2000),"00",AND(D4656&lt;=2019,D4656&gt;=2010),"10"),"1908-1970")</f>
        <v>00</v>
      </c>
      <c r="F4656" s="3">
        <v>0.76041666666666663</v>
      </c>
      <c r="G4656" t="s">
        <v>26454</v>
      </c>
      <c r="H4656" t="s">
        <v>26455</v>
      </c>
      <c r="I4656" t="s">
        <v>26456</v>
      </c>
      <c r="J4656" t="s">
        <v>26457</v>
      </c>
      <c r="K4656" t="s">
        <v>18274</v>
      </c>
      <c r="L4656" s="7" t="s">
        <v>26458</v>
      </c>
      <c r="M4656">
        <v>8345508</v>
      </c>
      <c r="N4656">
        <v>9</v>
      </c>
      <c r="O4656">
        <v>0</v>
      </c>
      <c r="P4656">
        <v>9</v>
      </c>
      <c r="Q4656">
        <v>9</v>
      </c>
      <c r="R4656">
        <v>0</v>
      </c>
      <c r="S4656">
        <v>9</v>
      </c>
      <c r="T4656">
        <v>0</v>
      </c>
      <c r="U4656" t="s">
        <v>26459</v>
      </c>
      <c r="V4656">
        <f>Tabla1[[#This Row],[Aboard]]-Tabla1[[#This Row],[Fatalities]]</f>
        <v>0</v>
      </c>
      <c r="W4656" s="50">
        <f>IFERROR(Tabla1[[#This Row],[Fatalities]]/Tabla1[[#This Row],[Aboard]],0)</f>
        <v>1</v>
      </c>
      <c r="X4656" s="51" t="str" cm="1">
        <f t="array" ref="X4656">_xlfn.IFS(Tabla1[[#This Row],[Porcentaje de muertes]]&lt;0.35,"LEVE",AND(Tabla1[[#This Row],[Porcentaje de muertes]]&gt;0.35,Tabla1[[#This Row],[Porcentaje de muertes]]&lt;0.65),"MEDIO",Tabla1[[#This Row],[Porcentaje de muertes]]&gt;0.65,"GRAVE")</f>
        <v>GRAVE</v>
      </c>
    </row>
    <row r="4657" spans="2:24" x14ac:dyDescent="0.3">
      <c r="B4657" s="9">
        <v>4658</v>
      </c>
      <c r="C4657" s="49">
        <v>39597</v>
      </c>
      <c r="D4657" s="9">
        <f>YEAR(Tabla1[[#This Row],[Date]])</f>
        <v>2008</v>
      </c>
      <c r="E4657" s="9" t="str" cm="1">
        <f t="array" ref="E4657">IFERROR(_xlfn.IFS(AND(D4657&lt;1980,D4657&gt;=1970),"70",AND(D4657&lt;1990,D4657&gt;=1980),"80",AND(D4657&lt;2000,D4657&gt;=1990),"90",AND(D4657&lt;2010,D4657&gt;=2000),"00",AND(D4657&lt;=2019,D4657&gt;=2010),"10"),"1908-1970")</f>
        <v>00</v>
      </c>
      <c r="F4657" s="3">
        <v>0.59236111111111112</v>
      </c>
      <c r="G4657" t="s">
        <v>14425</v>
      </c>
      <c r="H4657" t="s">
        <v>26460</v>
      </c>
      <c r="I4657" t="s">
        <v>28931</v>
      </c>
      <c r="J4657" t="s">
        <v>26461</v>
      </c>
      <c r="K4657" t="s">
        <v>26462</v>
      </c>
      <c r="L4657" s="7" t="s">
        <v>26463</v>
      </c>
      <c r="M4657" t="s">
        <v>28931</v>
      </c>
      <c r="N4657">
        <v>12</v>
      </c>
      <c r="O4657">
        <v>9</v>
      </c>
      <c r="P4657">
        <v>3</v>
      </c>
      <c r="Q4657">
        <v>11</v>
      </c>
      <c r="R4657">
        <v>9</v>
      </c>
      <c r="S4657">
        <v>2</v>
      </c>
      <c r="T4657">
        <v>0</v>
      </c>
      <c r="U4657" t="s">
        <v>26464</v>
      </c>
      <c r="V4657">
        <f>Tabla1[[#This Row],[Aboard]]-Tabla1[[#This Row],[Fatalities]]</f>
        <v>1</v>
      </c>
      <c r="W4657" s="50">
        <f>IFERROR(Tabla1[[#This Row],[Fatalities]]/Tabla1[[#This Row],[Aboard]],0)</f>
        <v>0.91666666666666663</v>
      </c>
      <c r="X4657" s="51" t="str" cm="1">
        <f t="array" ref="X4657">_xlfn.IFS(Tabla1[[#This Row],[Porcentaje de muertes]]&lt;0.35,"LEVE",AND(Tabla1[[#This Row],[Porcentaje de muertes]]&gt;0.35,Tabla1[[#This Row],[Porcentaje de muertes]]&lt;0.65),"MEDIO",Tabla1[[#This Row],[Porcentaje de muertes]]&gt;0.65,"GRAVE")</f>
        <v>GRAVE</v>
      </c>
    </row>
    <row r="4658" spans="2:24" x14ac:dyDescent="0.3">
      <c r="B4658" s="9">
        <v>4659</v>
      </c>
      <c r="C4658" s="49">
        <v>39598</v>
      </c>
      <c r="D4658" s="9">
        <f>YEAR(Tabla1[[#This Row],[Date]])</f>
        <v>2008</v>
      </c>
      <c r="E4658" s="9" t="str" cm="1">
        <f t="array" ref="E4658">IFERROR(_xlfn.IFS(AND(D4658&lt;1980,D4658&gt;=1970),"70",AND(D4658&lt;1990,D4658&gt;=1980),"80",AND(D4658&lt;2000,D4658&gt;=1990),"90",AND(D4658&lt;2010,D4658&gt;=2000),"00",AND(D4658&lt;=2019,D4658&gt;=2010),"10"),"1908-1970")</f>
        <v>00</v>
      </c>
      <c r="F4658" s="3">
        <v>0.40277777777777773</v>
      </c>
      <c r="G4658" t="s">
        <v>14845</v>
      </c>
      <c r="H4658" t="s">
        <v>26465</v>
      </c>
      <c r="I4658">
        <v>390</v>
      </c>
      <c r="J4658" t="s">
        <v>26466</v>
      </c>
      <c r="K4658" t="s">
        <v>26274</v>
      </c>
      <c r="L4658" s="7" t="s">
        <v>26467</v>
      </c>
      <c r="M4658">
        <v>1374</v>
      </c>
      <c r="N4658">
        <v>136</v>
      </c>
      <c r="O4658">
        <v>131</v>
      </c>
      <c r="P4658">
        <v>5</v>
      </c>
      <c r="Q4658">
        <v>3</v>
      </c>
      <c r="R4658">
        <v>2</v>
      </c>
      <c r="S4658">
        <v>1</v>
      </c>
      <c r="T4658">
        <v>2</v>
      </c>
      <c r="U4658" t="s">
        <v>26468</v>
      </c>
      <c r="V4658">
        <f>Tabla1[[#This Row],[Aboard]]-Tabla1[[#This Row],[Fatalities]]</f>
        <v>133</v>
      </c>
      <c r="W4658" s="50">
        <f>IFERROR(Tabla1[[#This Row],[Fatalities]]/Tabla1[[#This Row],[Aboard]],0)</f>
        <v>2.2058823529411766E-2</v>
      </c>
      <c r="X4658" s="51" t="str" cm="1">
        <f t="array" ref="X4658">_xlfn.IFS(Tabla1[[#This Row],[Porcentaje de muertes]]&lt;0.35,"LEVE",AND(Tabla1[[#This Row],[Porcentaje de muertes]]&gt;0.35,Tabla1[[#This Row],[Porcentaje de muertes]]&lt;0.65),"MEDIO",Tabla1[[#This Row],[Porcentaje de muertes]]&gt;0.65,"GRAVE")</f>
        <v>LEVE</v>
      </c>
    </row>
    <row r="4659" spans="2:24" x14ac:dyDescent="0.3">
      <c r="B4659" s="9">
        <v>4660</v>
      </c>
      <c r="C4659" s="49">
        <v>39666</v>
      </c>
      <c r="D4659" s="9">
        <f>YEAR(Tabla1[[#This Row],[Date]])</f>
        <v>2008</v>
      </c>
      <c r="E4659" s="9" t="str" cm="1">
        <f t="array" ref="E4659">IFERROR(_xlfn.IFS(AND(D4659&lt;1980,D4659&gt;=1970),"70",AND(D4659&lt;1990,D4659&gt;=1980),"80",AND(D4659&lt;2000,D4659&gt;=1990),"90",AND(D4659&lt;2010,D4659&gt;=2000),"00",AND(D4659&lt;=2019,D4659&gt;=2010),"10"),"1908-1970")</f>
        <v>00</v>
      </c>
      <c r="F4659" s="3">
        <v>0.32291666666666669</v>
      </c>
      <c r="G4659" t="s">
        <v>26469</v>
      </c>
      <c r="H4659" t="s">
        <v>26470</v>
      </c>
      <c r="I4659" t="s">
        <v>28931</v>
      </c>
      <c r="J4659" t="s">
        <v>26471</v>
      </c>
      <c r="K4659" t="s">
        <v>25510</v>
      </c>
      <c r="L4659" s="7" t="s">
        <v>26472</v>
      </c>
      <c r="M4659">
        <v>53276</v>
      </c>
      <c r="N4659">
        <v>4</v>
      </c>
      <c r="O4659">
        <v>1</v>
      </c>
      <c r="P4659">
        <v>3</v>
      </c>
      <c r="Q4659">
        <v>4</v>
      </c>
      <c r="R4659">
        <v>1</v>
      </c>
      <c r="S4659">
        <v>3</v>
      </c>
      <c r="T4659">
        <v>0</v>
      </c>
      <c r="U4659" t="s">
        <v>26473</v>
      </c>
      <c r="V4659">
        <f>Tabla1[[#This Row],[Aboard]]-Tabla1[[#This Row],[Fatalities]]</f>
        <v>0</v>
      </c>
      <c r="W4659" s="50">
        <f>IFERROR(Tabla1[[#This Row],[Fatalities]]/Tabla1[[#This Row],[Aboard]],0)</f>
        <v>1</v>
      </c>
      <c r="X4659" s="51" t="str" cm="1">
        <f t="array" ref="X4659">_xlfn.IFS(Tabla1[[#This Row],[Porcentaje de muertes]]&lt;0.35,"LEVE",AND(Tabla1[[#This Row],[Porcentaje de muertes]]&gt;0.35,Tabla1[[#This Row],[Porcentaje de muertes]]&lt;0.65),"MEDIO",Tabla1[[#This Row],[Porcentaje de muertes]]&gt;0.65,"GRAVE")</f>
        <v>GRAVE</v>
      </c>
    </row>
    <row r="4660" spans="2:24" x14ac:dyDescent="0.3">
      <c r="B4660" s="9">
        <v>4661</v>
      </c>
      <c r="C4660" s="49">
        <v>39727</v>
      </c>
      <c r="D4660" s="9">
        <f>YEAR(Tabla1[[#This Row],[Date]])</f>
        <v>2008</v>
      </c>
      <c r="E4660" s="9" t="str" cm="1">
        <f t="array" ref="E4660">IFERROR(_xlfn.IFS(AND(D4660&lt;1980,D4660&gt;=1970),"70",AND(D4660&lt;1990,D4660&gt;=1980),"80",AND(D4660&lt;2000,D4660&gt;=1990),"90",AND(D4660&lt;2010,D4660&gt;=2000),"00",AND(D4660&lt;=2019,D4660&gt;=2010),"10"),"1908-1970")</f>
        <v>00</v>
      </c>
      <c r="F4660" s="3">
        <v>0.86458333333333337</v>
      </c>
      <c r="G4660" t="s">
        <v>7965</v>
      </c>
      <c r="H4660" t="s">
        <v>16326</v>
      </c>
      <c r="I4660">
        <v>548</v>
      </c>
      <c r="J4660" t="s">
        <v>26474</v>
      </c>
      <c r="K4660" t="s">
        <v>26475</v>
      </c>
      <c r="L4660" s="7" t="s">
        <v>26476</v>
      </c>
      <c r="M4660">
        <v>548</v>
      </c>
      <c r="N4660">
        <v>214</v>
      </c>
      <c r="O4660">
        <v>203</v>
      </c>
      <c r="P4660">
        <v>11</v>
      </c>
      <c r="Q4660">
        <v>32</v>
      </c>
      <c r="R4660">
        <v>31</v>
      </c>
      <c r="S4660">
        <v>1</v>
      </c>
      <c r="T4660">
        <v>0</v>
      </c>
      <c r="U4660" t="s">
        <v>26477</v>
      </c>
      <c r="V4660">
        <f>Tabla1[[#This Row],[Aboard]]-Tabla1[[#This Row],[Fatalities]]</f>
        <v>182</v>
      </c>
      <c r="W4660" s="50">
        <f>IFERROR(Tabla1[[#This Row],[Fatalities]]/Tabla1[[#This Row],[Aboard]],0)</f>
        <v>0.14953271028037382</v>
      </c>
      <c r="X4660" s="51" t="str" cm="1">
        <f t="array" ref="X4660">_xlfn.IFS(Tabla1[[#This Row],[Porcentaje de muertes]]&lt;0.35,"LEVE",AND(Tabla1[[#This Row],[Porcentaje de muertes]]&gt;0.35,Tabla1[[#This Row],[Porcentaje de muertes]]&lt;0.65),"MEDIO",Tabla1[[#This Row],[Porcentaje de muertes]]&gt;0.65,"GRAVE")</f>
        <v>LEVE</v>
      </c>
    </row>
    <row r="4661" spans="2:24" x14ac:dyDescent="0.3">
      <c r="B4661" s="9">
        <v>4662</v>
      </c>
      <c r="C4661" s="49">
        <v>39617</v>
      </c>
      <c r="D4661" s="9">
        <f>YEAR(Tabla1[[#This Row],[Date]])</f>
        <v>2008</v>
      </c>
      <c r="E4661" s="9" t="str" cm="1">
        <f t="array" ref="E4661">IFERROR(_xlfn.IFS(AND(D4661&lt;1980,D4661&gt;=1970),"70",AND(D4661&lt;1990,D4661&gt;=1980),"80",AND(D4661&lt;2000,D4661&gt;=1990),"90",AND(D4661&lt;2010,D4661&gt;=2000),"00",AND(D4661&lt;=2019,D4661&gt;=2010),"10"),"1908-1970")</f>
        <v>00</v>
      </c>
      <c r="F4661" s="3">
        <v>0.41875000000000001</v>
      </c>
      <c r="G4661" t="s">
        <v>18416</v>
      </c>
      <c r="H4661" t="s">
        <v>21230</v>
      </c>
      <c r="I4661" t="s">
        <v>28931</v>
      </c>
      <c r="J4661" t="s">
        <v>26478</v>
      </c>
      <c r="K4661" t="s">
        <v>14888</v>
      </c>
      <c r="L4661" s="7" t="s">
        <v>26479</v>
      </c>
      <c r="M4661">
        <v>47</v>
      </c>
      <c r="N4661">
        <v>1</v>
      </c>
      <c r="O4661">
        <v>0</v>
      </c>
      <c r="P4661">
        <v>1</v>
      </c>
      <c r="Q4661">
        <v>1</v>
      </c>
      <c r="R4661">
        <v>0</v>
      </c>
      <c r="S4661">
        <v>1</v>
      </c>
      <c r="T4661">
        <v>0</v>
      </c>
      <c r="U4661" t="s">
        <v>26480</v>
      </c>
      <c r="V4661">
        <f>Tabla1[[#This Row],[Aboard]]-Tabla1[[#This Row],[Fatalities]]</f>
        <v>0</v>
      </c>
      <c r="W4661" s="50">
        <f>IFERROR(Tabla1[[#This Row],[Fatalities]]/Tabla1[[#This Row],[Aboard]],0)</f>
        <v>1</v>
      </c>
      <c r="X4661" s="51" t="str" cm="1">
        <f t="array" ref="X4661">_xlfn.IFS(Tabla1[[#This Row],[Porcentaje de muertes]]&lt;0.35,"LEVE",AND(Tabla1[[#This Row],[Porcentaje de muertes]]&gt;0.35,Tabla1[[#This Row],[Porcentaje de muertes]]&lt;0.65),"MEDIO",Tabla1[[#This Row],[Porcentaje de muertes]]&gt;0.65,"GRAVE")</f>
        <v>GRAVE</v>
      </c>
    </row>
    <row r="4662" spans="2:24" x14ac:dyDescent="0.3">
      <c r="B4662" s="9">
        <v>4663</v>
      </c>
      <c r="C4662" s="49">
        <v>39619</v>
      </c>
      <c r="D4662" s="9">
        <f>YEAR(Tabla1[[#This Row],[Date]])</f>
        <v>2008</v>
      </c>
      <c r="E4662" s="9" t="str" cm="1">
        <f t="array" ref="E4662">IFERROR(_xlfn.IFS(AND(D4662&lt;1980,D4662&gt;=1970),"70",AND(D4662&lt;1990,D4662&gt;=1980),"80",AND(D4662&lt;2000,D4662&gt;=1990),"90",AND(D4662&lt;2010,D4662&gt;=2000),"00",AND(D4662&lt;=2019,D4662&gt;=2010),"10"),"1908-1970")</f>
        <v>00</v>
      </c>
      <c r="F4662" s="3" t="s">
        <v>28931</v>
      </c>
      <c r="G4662" t="s">
        <v>26481</v>
      </c>
      <c r="H4662" t="s">
        <v>26482</v>
      </c>
      <c r="I4662" t="s">
        <v>28931</v>
      </c>
      <c r="J4662" t="s">
        <v>28931</v>
      </c>
      <c r="K4662" t="s">
        <v>26483</v>
      </c>
      <c r="L4662" s="7" t="s">
        <v>28931</v>
      </c>
      <c r="M4662" t="s">
        <v>28931</v>
      </c>
      <c r="N4662">
        <v>10</v>
      </c>
      <c r="O4662">
        <v>8</v>
      </c>
      <c r="P4662">
        <v>2</v>
      </c>
      <c r="Q4662">
        <v>10</v>
      </c>
      <c r="R4662">
        <v>8</v>
      </c>
      <c r="S4662">
        <v>2</v>
      </c>
      <c r="T4662">
        <v>0</v>
      </c>
      <c r="U4662" t="s">
        <v>26484</v>
      </c>
      <c r="V4662">
        <f>Tabla1[[#This Row],[Aboard]]-Tabla1[[#This Row],[Fatalities]]</f>
        <v>0</v>
      </c>
      <c r="W4662" s="50">
        <f>IFERROR(Tabla1[[#This Row],[Fatalities]]/Tabla1[[#This Row],[Aboard]],0)</f>
        <v>1</v>
      </c>
      <c r="X4662" s="51" t="str" cm="1">
        <f t="array" ref="X4662">_xlfn.IFS(Tabla1[[#This Row],[Porcentaje de muertes]]&lt;0.35,"LEVE",AND(Tabla1[[#This Row],[Porcentaje de muertes]]&gt;0.35,Tabla1[[#This Row],[Porcentaje de muertes]]&lt;0.65),"MEDIO",Tabla1[[#This Row],[Porcentaje de muertes]]&gt;0.65,"GRAVE")</f>
        <v>GRAVE</v>
      </c>
    </row>
    <row r="4663" spans="2:24" x14ac:dyDescent="0.3">
      <c r="B4663" s="9">
        <v>4664</v>
      </c>
      <c r="C4663" s="49">
        <v>39625</v>
      </c>
      <c r="D4663" s="9">
        <f>YEAR(Tabla1[[#This Row],[Date]])</f>
        <v>2008</v>
      </c>
      <c r="E4663" s="9" t="str" cm="1">
        <f t="array" ref="E4663">IFERROR(_xlfn.IFS(AND(D4663&lt;1980,D4663&gt;=1970),"70",AND(D4663&lt;1990,D4663&gt;=1980),"80",AND(D4663&lt;2000,D4663&gt;=1990),"90",AND(D4663&lt;2010,D4663&gt;=2000),"00",AND(D4663&lt;=2019,D4663&gt;=2010),"10"),"1908-1970")</f>
        <v>00</v>
      </c>
      <c r="F4663" s="3">
        <v>0.62708333333333333</v>
      </c>
      <c r="G4663" t="s">
        <v>26485</v>
      </c>
      <c r="H4663" t="s">
        <v>19984</v>
      </c>
      <c r="I4663" t="s">
        <v>28931</v>
      </c>
      <c r="J4663" t="s">
        <v>26486</v>
      </c>
      <c r="K4663" t="s">
        <v>26487</v>
      </c>
      <c r="L4663" s="7" t="s">
        <v>26488</v>
      </c>
      <c r="M4663" t="s">
        <v>26489</v>
      </c>
      <c r="N4663">
        <v>18</v>
      </c>
      <c r="O4663">
        <v>13</v>
      </c>
      <c r="P4663">
        <v>5</v>
      </c>
      <c r="Q4663">
        <v>18</v>
      </c>
      <c r="R4663">
        <v>13</v>
      </c>
      <c r="S4663">
        <v>5</v>
      </c>
      <c r="T4663">
        <v>0</v>
      </c>
      <c r="U4663" t="s">
        <v>26490</v>
      </c>
      <c r="V4663">
        <f>Tabla1[[#This Row],[Aboard]]-Tabla1[[#This Row],[Fatalities]]</f>
        <v>0</v>
      </c>
      <c r="W4663" s="50">
        <f>IFERROR(Tabla1[[#This Row],[Fatalities]]/Tabla1[[#This Row],[Aboard]],0)</f>
        <v>1</v>
      </c>
      <c r="X4663" s="51" t="str" cm="1">
        <f t="array" ref="X4663">_xlfn.IFS(Tabla1[[#This Row],[Porcentaje de muertes]]&lt;0.35,"LEVE",AND(Tabla1[[#This Row],[Porcentaje de muertes]]&gt;0.35,Tabla1[[#This Row],[Porcentaje de muertes]]&lt;0.65),"MEDIO",Tabla1[[#This Row],[Porcentaje de muertes]]&gt;0.65,"GRAVE")</f>
        <v>GRAVE</v>
      </c>
    </row>
    <row r="4664" spans="2:24" x14ac:dyDescent="0.3">
      <c r="B4664" s="9">
        <v>4665</v>
      </c>
      <c r="C4664" s="49">
        <v>39626</v>
      </c>
      <c r="D4664" s="9">
        <f>YEAR(Tabla1[[#This Row],[Date]])</f>
        <v>2008</v>
      </c>
      <c r="E4664" s="9" t="str" cm="1">
        <f t="array" ref="E4664">IFERROR(_xlfn.IFS(AND(D4664&lt;1980,D4664&gt;=1970),"70",AND(D4664&lt;1990,D4664&gt;=1980),"80",AND(D4664&lt;2000,D4664&gt;=1990),"90",AND(D4664&lt;2010,D4664&gt;=2000),"00",AND(D4664&lt;=2019,D4664&gt;=2010),"10"),"1908-1970")</f>
        <v>00</v>
      </c>
      <c r="F4664" s="3">
        <v>0.2951388888888889</v>
      </c>
      <c r="G4664" t="s">
        <v>26491</v>
      </c>
      <c r="H4664" t="s">
        <v>26345</v>
      </c>
      <c r="I4664" t="s">
        <v>28931</v>
      </c>
      <c r="J4664" t="s">
        <v>26346</v>
      </c>
      <c r="K4664" t="s">
        <v>21945</v>
      </c>
      <c r="L4664" s="7" t="s">
        <v>26492</v>
      </c>
      <c r="M4664">
        <v>8346010</v>
      </c>
      <c r="N4664">
        <v>8</v>
      </c>
      <c r="O4664">
        <v>6</v>
      </c>
      <c r="P4664">
        <v>2</v>
      </c>
      <c r="Q4664">
        <v>7</v>
      </c>
      <c r="R4664">
        <v>5</v>
      </c>
      <c r="S4664">
        <v>2</v>
      </c>
      <c r="T4664">
        <v>0</v>
      </c>
      <c r="U4664" t="s">
        <v>26493</v>
      </c>
      <c r="V4664">
        <f>Tabla1[[#This Row],[Aboard]]-Tabla1[[#This Row],[Fatalities]]</f>
        <v>1</v>
      </c>
      <c r="W4664" s="50">
        <f>IFERROR(Tabla1[[#This Row],[Fatalities]]/Tabla1[[#This Row],[Aboard]],0)</f>
        <v>0.875</v>
      </c>
      <c r="X4664" s="51" t="str" cm="1">
        <f t="array" ref="X4664">_xlfn.IFS(Tabla1[[#This Row],[Porcentaje de muertes]]&lt;0.35,"LEVE",AND(Tabla1[[#This Row],[Porcentaje de muertes]]&gt;0.35,Tabla1[[#This Row],[Porcentaje de muertes]]&lt;0.65),"MEDIO",Tabla1[[#This Row],[Porcentaje de muertes]]&gt;0.65,"GRAVE")</f>
        <v>GRAVE</v>
      </c>
    </row>
    <row r="4665" spans="2:24" x14ac:dyDescent="0.3">
      <c r="B4665" s="9">
        <v>4666</v>
      </c>
      <c r="C4665" s="49">
        <v>39628</v>
      </c>
      <c r="D4665" s="9">
        <f>YEAR(Tabla1[[#This Row],[Date]])</f>
        <v>2008</v>
      </c>
      <c r="E4665" s="9" t="str" cm="1">
        <f t="array" ref="E4665">IFERROR(_xlfn.IFS(AND(D4665&lt;1980,D4665&gt;=1970),"70",AND(D4665&lt;1990,D4665&gt;=1980),"80",AND(D4665&lt;2000,D4665&gt;=1990),"90",AND(D4665&lt;2010,D4665&gt;=2000),"00",AND(D4665&lt;=2019,D4665&gt;=2010),"10"),"1908-1970")</f>
        <v>00</v>
      </c>
      <c r="F4665" s="3">
        <v>0.65833333333333333</v>
      </c>
      <c r="G4665" t="s">
        <v>26494</v>
      </c>
      <c r="H4665" t="s">
        <v>26495</v>
      </c>
      <c r="I4665" t="s">
        <v>28931</v>
      </c>
      <c r="J4665" t="s">
        <v>26496</v>
      </c>
      <c r="K4665" t="s">
        <v>26497</v>
      </c>
      <c r="L4665" s="7" t="s">
        <v>26498</v>
      </c>
      <c r="M4665" t="s">
        <v>26499</v>
      </c>
      <c r="N4665">
        <v>7</v>
      </c>
      <c r="O4665">
        <v>5</v>
      </c>
      <c r="P4665">
        <v>2</v>
      </c>
      <c r="Q4665">
        <v>6</v>
      </c>
      <c r="R4665">
        <v>4</v>
      </c>
      <c r="S4665">
        <v>2</v>
      </c>
      <c r="T4665">
        <v>0</v>
      </c>
      <c r="U4665" t="s">
        <v>26500</v>
      </c>
      <c r="V4665">
        <f>Tabla1[[#This Row],[Aboard]]-Tabla1[[#This Row],[Fatalities]]</f>
        <v>1</v>
      </c>
      <c r="W4665" s="50">
        <f>IFERROR(Tabla1[[#This Row],[Fatalities]]/Tabla1[[#This Row],[Aboard]],0)</f>
        <v>0.8571428571428571</v>
      </c>
      <c r="X4665" s="51" t="str" cm="1">
        <f t="array" ref="X4665">_xlfn.IFS(Tabla1[[#This Row],[Porcentaje de muertes]]&lt;0.35,"LEVE",AND(Tabla1[[#This Row],[Porcentaje de muertes]]&gt;0.35,Tabla1[[#This Row],[Porcentaje de muertes]]&lt;0.65),"MEDIO",Tabla1[[#This Row],[Porcentaje de muertes]]&gt;0.65,"GRAVE")</f>
        <v>GRAVE</v>
      </c>
    </row>
    <row r="4666" spans="2:24" x14ac:dyDescent="0.3">
      <c r="B4666" s="9">
        <v>4667</v>
      </c>
      <c r="C4666" s="49">
        <v>39629</v>
      </c>
      <c r="D4666" s="9">
        <f>YEAR(Tabla1[[#This Row],[Date]])</f>
        <v>2008</v>
      </c>
      <c r="E4666" s="9" t="str" cm="1">
        <f t="array" ref="E4666">IFERROR(_xlfn.IFS(AND(D4666&lt;1980,D4666&gt;=1970),"70",AND(D4666&lt;1990,D4666&gt;=1980),"80",AND(D4666&lt;2000,D4666&gt;=1990),"90",AND(D4666&lt;2010,D4666&gt;=2000),"00",AND(D4666&lt;=2019,D4666&gt;=2010),"10"),"1908-1970")</f>
        <v>00</v>
      </c>
      <c r="F4666" s="3">
        <v>0.29166666666666669</v>
      </c>
      <c r="G4666" t="s">
        <v>19336</v>
      </c>
      <c r="H4666" t="s">
        <v>26501</v>
      </c>
      <c r="I4666" t="s">
        <v>28931</v>
      </c>
      <c r="J4666" t="s">
        <v>26346</v>
      </c>
      <c r="K4666" t="s">
        <v>26502</v>
      </c>
      <c r="L4666" s="7" t="s">
        <v>26503</v>
      </c>
      <c r="M4666">
        <v>1003499994</v>
      </c>
      <c r="N4666">
        <v>4</v>
      </c>
      <c r="O4666">
        <v>0</v>
      </c>
      <c r="P4666">
        <v>4</v>
      </c>
      <c r="Q4666">
        <v>4</v>
      </c>
      <c r="R4666">
        <v>0</v>
      </c>
      <c r="S4666">
        <v>4</v>
      </c>
      <c r="T4666">
        <v>0</v>
      </c>
      <c r="U4666" t="s">
        <v>26504</v>
      </c>
      <c r="V4666">
        <f>Tabla1[[#This Row],[Aboard]]-Tabla1[[#This Row],[Fatalities]]</f>
        <v>0</v>
      </c>
      <c r="W4666" s="50">
        <f>IFERROR(Tabla1[[#This Row],[Fatalities]]/Tabla1[[#This Row],[Aboard]],0)</f>
        <v>1</v>
      </c>
      <c r="X4666" s="51" t="str" cm="1">
        <f t="array" ref="X4666">_xlfn.IFS(Tabla1[[#This Row],[Porcentaje de muertes]]&lt;0.35,"LEVE",AND(Tabla1[[#This Row],[Porcentaje de muertes]]&gt;0.35,Tabla1[[#This Row],[Porcentaje de muertes]]&lt;0.65),"MEDIO",Tabla1[[#This Row],[Porcentaje de muertes]]&gt;0.65,"GRAVE")</f>
        <v>GRAVE</v>
      </c>
    </row>
    <row r="4667" spans="2:24" x14ac:dyDescent="0.3">
      <c r="B4667" s="9">
        <v>4668</v>
      </c>
      <c r="C4667" s="49">
        <v>39606</v>
      </c>
      <c r="D4667" s="9">
        <f>YEAR(Tabla1[[#This Row],[Date]])</f>
        <v>2008</v>
      </c>
      <c r="E4667" s="9" t="str" cm="1">
        <f t="array" ref="E4667">IFERROR(_xlfn.IFS(AND(D4667&lt;1980,D4667&gt;=1970),"70",AND(D4667&lt;1990,D4667&gt;=1980),"80",AND(D4667&lt;2000,D4667&gt;=1990),"90",AND(D4667&lt;2010,D4667&gt;=2000),"00",AND(D4667&lt;=2019,D4667&gt;=2010),"10"),"1908-1970")</f>
        <v>00</v>
      </c>
      <c r="F4667" s="3">
        <v>9.375E-2</v>
      </c>
      <c r="G4667" t="s">
        <v>26505</v>
      </c>
      <c r="H4667" t="s">
        <v>26506</v>
      </c>
      <c r="I4667">
        <v>199</v>
      </c>
      <c r="J4667" t="s">
        <v>26507</v>
      </c>
      <c r="K4667" t="s">
        <v>26508</v>
      </c>
      <c r="L4667" s="7" t="s">
        <v>26509</v>
      </c>
      <c r="M4667" t="s">
        <v>26510</v>
      </c>
      <c r="N4667">
        <v>2</v>
      </c>
      <c r="O4667">
        <v>0</v>
      </c>
      <c r="P4667">
        <v>2</v>
      </c>
      <c r="Q4667">
        <v>1</v>
      </c>
      <c r="R4667">
        <v>0</v>
      </c>
      <c r="S4667">
        <v>1</v>
      </c>
      <c r="T4667">
        <v>0</v>
      </c>
      <c r="U4667" t="s">
        <v>26511</v>
      </c>
      <c r="V4667">
        <f>Tabla1[[#This Row],[Aboard]]-Tabla1[[#This Row],[Fatalities]]</f>
        <v>1</v>
      </c>
      <c r="W4667" s="50">
        <f>IFERROR(Tabla1[[#This Row],[Fatalities]]/Tabla1[[#This Row],[Aboard]],0)</f>
        <v>0.5</v>
      </c>
      <c r="X4667" s="51" t="str" cm="1">
        <f t="array" ref="X4667">_xlfn.IFS(Tabla1[[#This Row],[Porcentaje de muertes]]&lt;0.35,"LEVE",AND(Tabla1[[#This Row],[Porcentaje de muertes]]&gt;0.35,Tabla1[[#This Row],[Porcentaje de muertes]]&lt;0.65),"MEDIO",Tabla1[[#This Row],[Porcentaje de muertes]]&gt;0.65,"GRAVE")</f>
        <v>MEDIO</v>
      </c>
    </row>
    <row r="4668" spans="2:24" x14ac:dyDescent="0.3">
      <c r="B4668" s="9">
        <v>4669</v>
      </c>
      <c r="C4668" s="49">
        <v>39636</v>
      </c>
      <c r="D4668" s="9">
        <f>YEAR(Tabla1[[#This Row],[Date]])</f>
        <v>2008</v>
      </c>
      <c r="E4668" s="9" t="str" cm="1">
        <f t="array" ref="E4668">IFERROR(_xlfn.IFS(AND(D4668&lt;1980,D4668&gt;=1970),"70",AND(D4668&lt;1990,D4668&gt;=1980),"80",AND(D4668&lt;2000,D4668&gt;=1990),"90",AND(D4668&lt;2010,D4668&gt;=2000),"00",AND(D4668&lt;=2019,D4668&gt;=2010),"10"),"1908-1970")</f>
        <v>00</v>
      </c>
      <c r="F4668" s="3">
        <v>0.15972222222222224</v>
      </c>
      <c r="G4668" t="s">
        <v>9027</v>
      </c>
      <c r="H4668" t="s">
        <v>26512</v>
      </c>
      <c r="I4668" t="s">
        <v>28931</v>
      </c>
      <c r="J4668" t="s">
        <v>26513</v>
      </c>
      <c r="K4668" t="s">
        <v>26514</v>
      </c>
      <c r="L4668" s="7" t="s">
        <v>26515</v>
      </c>
      <c r="M4668" t="s">
        <v>26516</v>
      </c>
      <c r="N4668">
        <v>8</v>
      </c>
      <c r="O4668">
        <v>0</v>
      </c>
      <c r="P4668">
        <v>8</v>
      </c>
      <c r="Q4668">
        <v>0</v>
      </c>
      <c r="R4668">
        <v>0</v>
      </c>
      <c r="S4668">
        <v>0</v>
      </c>
      <c r="T4668">
        <v>3</v>
      </c>
      <c r="U4668" t="s">
        <v>26517</v>
      </c>
      <c r="V4668">
        <f>Tabla1[[#This Row],[Aboard]]-Tabla1[[#This Row],[Fatalities]]</f>
        <v>8</v>
      </c>
      <c r="W4668" s="50">
        <f>IFERROR(Tabla1[[#This Row],[Fatalities]]/Tabla1[[#This Row],[Aboard]],0)</f>
        <v>0</v>
      </c>
      <c r="X4668" s="51" t="str" cm="1">
        <f t="array" ref="X4668">_xlfn.IFS(Tabla1[[#This Row],[Porcentaje de muertes]]&lt;0.35,"LEVE",AND(Tabla1[[#This Row],[Porcentaje de muertes]]&gt;0.35,Tabla1[[#This Row],[Porcentaje de muertes]]&lt;0.65),"MEDIO",Tabla1[[#This Row],[Porcentaje de muertes]]&gt;0.65,"GRAVE")</f>
        <v>LEVE</v>
      </c>
    </row>
    <row r="4669" spans="2:24" x14ac:dyDescent="0.3">
      <c r="B4669" s="9">
        <v>4670</v>
      </c>
      <c r="C4669" s="49">
        <v>39660</v>
      </c>
      <c r="D4669" s="9">
        <f>YEAR(Tabla1[[#This Row],[Date]])</f>
        <v>2008</v>
      </c>
      <c r="E4669" s="9" t="str" cm="1">
        <f t="array" ref="E4669">IFERROR(_xlfn.IFS(AND(D4669&lt;1980,D4669&gt;=1970),"70",AND(D4669&lt;1990,D4669&gt;=1980),"80",AND(D4669&lt;2000,D4669&gt;=1990),"90",AND(D4669&lt;2010,D4669&gt;=2000),"00",AND(D4669&lt;=2019,D4669&gt;=2010),"10"),"1908-1970")</f>
        <v>00</v>
      </c>
      <c r="F4669" s="3">
        <v>0.41180555555555554</v>
      </c>
      <c r="G4669" t="s">
        <v>26518</v>
      </c>
      <c r="H4669" t="s">
        <v>26519</v>
      </c>
      <c r="I4669">
        <v>81</v>
      </c>
      <c r="J4669" t="s">
        <v>26520</v>
      </c>
      <c r="K4669" t="s">
        <v>26521</v>
      </c>
      <c r="L4669" s="7" t="s">
        <v>26522</v>
      </c>
      <c r="M4669">
        <v>258186</v>
      </c>
      <c r="N4669">
        <v>8</v>
      </c>
      <c r="O4669">
        <v>6</v>
      </c>
      <c r="P4669">
        <v>2</v>
      </c>
      <c r="Q4669">
        <v>8</v>
      </c>
      <c r="R4669">
        <v>6</v>
      </c>
      <c r="S4669">
        <v>2</v>
      </c>
      <c r="T4669">
        <v>0</v>
      </c>
      <c r="U4669" t="s">
        <v>26523</v>
      </c>
      <c r="V4669">
        <f>Tabla1[[#This Row],[Aboard]]-Tabla1[[#This Row],[Fatalities]]</f>
        <v>0</v>
      </c>
      <c r="W4669" s="50">
        <f>IFERROR(Tabla1[[#This Row],[Fatalities]]/Tabla1[[#This Row],[Aboard]],0)</f>
        <v>1</v>
      </c>
      <c r="X4669" s="51" t="str" cm="1">
        <f t="array" ref="X4669">_xlfn.IFS(Tabla1[[#This Row],[Porcentaje de muertes]]&lt;0.35,"LEVE",AND(Tabla1[[#This Row],[Porcentaje de muertes]]&gt;0.35,Tabla1[[#This Row],[Porcentaje de muertes]]&lt;0.65),"MEDIO",Tabla1[[#This Row],[Porcentaje de muertes]]&gt;0.65,"GRAVE")</f>
        <v>GRAVE</v>
      </c>
    </row>
    <row r="4670" spans="2:24" x14ac:dyDescent="0.3">
      <c r="B4670" s="9">
        <v>4671</v>
      </c>
      <c r="C4670" s="49">
        <v>39515</v>
      </c>
      <c r="D4670" s="9">
        <f>YEAR(Tabla1[[#This Row],[Date]])</f>
        <v>2008</v>
      </c>
      <c r="E4670" s="9" t="str" cm="1">
        <f t="array" ref="E4670">IFERROR(_xlfn.IFS(AND(D4670&lt;1980,D4670&gt;=1970),"70",AND(D4670&lt;1990,D4670&gt;=1980),"80",AND(D4670&lt;2000,D4670&gt;=1990),"90",AND(D4670&lt;2010,D4670&gt;=2000),"00",AND(D4670&lt;=2019,D4670&gt;=2010),"10"),"1908-1970")</f>
        <v>00</v>
      </c>
      <c r="F4670" s="3">
        <v>0.29166666666666669</v>
      </c>
      <c r="G4670" t="s">
        <v>26524</v>
      </c>
      <c r="H4670" t="s">
        <v>18493</v>
      </c>
      <c r="I4670" t="s">
        <v>28931</v>
      </c>
      <c r="J4670" t="s">
        <v>26525</v>
      </c>
      <c r="K4670" t="s">
        <v>13421</v>
      </c>
      <c r="L4670" s="7" t="s">
        <v>26526</v>
      </c>
      <c r="M4670" t="s">
        <v>26527</v>
      </c>
      <c r="N4670">
        <v>7</v>
      </c>
      <c r="O4670">
        <v>6</v>
      </c>
      <c r="P4670">
        <v>1</v>
      </c>
      <c r="Q4670">
        <v>5</v>
      </c>
      <c r="R4670">
        <v>4</v>
      </c>
      <c r="S4670">
        <v>1</v>
      </c>
      <c r="T4670">
        <v>0</v>
      </c>
      <c r="U4670" t="s">
        <v>26528</v>
      </c>
      <c r="V4670">
        <f>Tabla1[[#This Row],[Aboard]]-Tabla1[[#This Row],[Fatalities]]</f>
        <v>2</v>
      </c>
      <c r="W4670" s="50">
        <f>IFERROR(Tabla1[[#This Row],[Fatalities]]/Tabla1[[#This Row],[Aboard]],0)</f>
        <v>0.7142857142857143</v>
      </c>
      <c r="X4670" s="51" t="str" cm="1">
        <f t="array" ref="X4670">_xlfn.IFS(Tabla1[[#This Row],[Porcentaje de muertes]]&lt;0.35,"LEVE",AND(Tabla1[[#This Row],[Porcentaje de muertes]]&gt;0.35,Tabla1[[#This Row],[Porcentaje de muertes]]&lt;0.65),"MEDIO",Tabla1[[#This Row],[Porcentaje de muertes]]&gt;0.65,"GRAVE")</f>
        <v>GRAVE</v>
      </c>
    </row>
    <row r="4671" spans="2:24" x14ac:dyDescent="0.3">
      <c r="B4671" s="9">
        <v>4672</v>
      </c>
      <c r="C4671" s="49">
        <v>39576</v>
      </c>
      <c r="D4671" s="9">
        <f>YEAR(Tabla1[[#This Row],[Date]])</f>
        <v>2008</v>
      </c>
      <c r="E4671" s="9" t="str" cm="1">
        <f t="array" ref="E4671">IFERROR(_xlfn.IFS(AND(D4671&lt;1980,D4671&gt;=1970),"70",AND(D4671&lt;1990,D4671&gt;=1980),"80",AND(D4671&lt;2000,D4671&gt;=1990),"90",AND(D4671&lt;2010,D4671&gt;=2000),"00",AND(D4671&lt;=2019,D4671&gt;=2010),"10"),"1908-1970")</f>
        <v>00</v>
      </c>
      <c r="F4671" s="3">
        <v>0.8125</v>
      </c>
      <c r="G4671" t="s">
        <v>26529</v>
      </c>
      <c r="H4671" t="s">
        <v>26530</v>
      </c>
      <c r="I4671" t="s">
        <v>28931</v>
      </c>
      <c r="J4671" t="s">
        <v>26531</v>
      </c>
      <c r="K4671" t="s">
        <v>18167</v>
      </c>
      <c r="L4671" s="7" t="s">
        <v>26532</v>
      </c>
      <c r="M4671">
        <v>61297</v>
      </c>
      <c r="N4671">
        <v>13</v>
      </c>
      <c r="O4671">
        <v>11</v>
      </c>
      <c r="P4671">
        <v>2</v>
      </c>
      <c r="Q4671">
        <v>9</v>
      </c>
      <c r="R4671">
        <v>8</v>
      </c>
      <c r="S4671">
        <v>1</v>
      </c>
      <c r="T4671">
        <v>0</v>
      </c>
      <c r="U4671" t="s">
        <v>26533</v>
      </c>
      <c r="V4671">
        <f>Tabla1[[#This Row],[Aboard]]-Tabla1[[#This Row],[Fatalities]]</f>
        <v>4</v>
      </c>
      <c r="W4671" s="50">
        <f>IFERROR(Tabla1[[#This Row],[Fatalities]]/Tabla1[[#This Row],[Aboard]],0)</f>
        <v>0.69230769230769229</v>
      </c>
      <c r="X4671" s="51" t="str" cm="1">
        <f t="array" ref="X4671">_xlfn.IFS(Tabla1[[#This Row],[Porcentaje de muertes]]&lt;0.35,"LEVE",AND(Tabla1[[#This Row],[Porcentaje de muertes]]&gt;0.35,Tabla1[[#This Row],[Porcentaje de muertes]]&lt;0.65),"MEDIO",Tabla1[[#This Row],[Porcentaje de muertes]]&gt;0.65,"GRAVE")</f>
        <v>GRAVE</v>
      </c>
    </row>
    <row r="4672" spans="2:24" x14ac:dyDescent="0.3">
      <c r="B4672" s="9">
        <v>4673</v>
      </c>
      <c r="C4672" s="49">
        <v>39607</v>
      </c>
      <c r="D4672" s="9">
        <f>YEAR(Tabla1[[#This Row],[Date]])</f>
        <v>2008</v>
      </c>
      <c r="E4672" s="9" t="str" cm="1">
        <f t="array" ref="E4672">IFERROR(_xlfn.IFS(AND(D4672&lt;1980,D4672&gt;=1970),"70",AND(D4672&lt;1990,D4672&gt;=1980),"80",AND(D4672&lt;2000,D4672&gt;=1990),"90",AND(D4672&lt;2010,D4672&gt;=2000),"00",AND(D4672&lt;=2019,D4672&gt;=2010),"10"),"1908-1970")</f>
        <v>00</v>
      </c>
      <c r="F4672" s="3">
        <v>0.4861111111111111</v>
      </c>
      <c r="G4672" t="s">
        <v>26534</v>
      </c>
      <c r="H4672" t="s">
        <v>11757</v>
      </c>
      <c r="I4672" t="s">
        <v>28931</v>
      </c>
      <c r="J4672" t="s">
        <v>26535</v>
      </c>
      <c r="K4672" t="s">
        <v>26536</v>
      </c>
      <c r="L4672" s="7" t="s">
        <v>28931</v>
      </c>
      <c r="M4672" t="s">
        <v>28931</v>
      </c>
      <c r="N4672">
        <v>10</v>
      </c>
      <c r="O4672">
        <v>8</v>
      </c>
      <c r="P4672">
        <v>2</v>
      </c>
      <c r="Q4672">
        <v>10</v>
      </c>
      <c r="R4672">
        <v>8</v>
      </c>
      <c r="S4672">
        <v>2</v>
      </c>
      <c r="T4672">
        <v>0</v>
      </c>
      <c r="U4672" t="s">
        <v>26537</v>
      </c>
      <c r="V4672">
        <f>Tabla1[[#This Row],[Aboard]]-Tabla1[[#This Row],[Fatalities]]</f>
        <v>0</v>
      </c>
      <c r="W4672" s="50">
        <f>IFERROR(Tabla1[[#This Row],[Fatalities]]/Tabla1[[#This Row],[Aboard]],0)</f>
        <v>1</v>
      </c>
      <c r="X4672" s="51" t="str" cm="1">
        <f t="array" ref="X4672">_xlfn.IFS(Tabla1[[#This Row],[Porcentaje de muertes]]&lt;0.35,"LEVE",AND(Tabla1[[#This Row],[Porcentaje de muertes]]&gt;0.35,Tabla1[[#This Row],[Porcentaje de muertes]]&lt;0.65),"MEDIO",Tabla1[[#This Row],[Porcentaje de muertes]]&gt;0.65,"GRAVE")</f>
        <v>GRAVE</v>
      </c>
    </row>
    <row r="4673" spans="2:24" x14ac:dyDescent="0.3">
      <c r="B4673" s="9">
        <v>4674</v>
      </c>
      <c r="C4673" s="49">
        <v>39673</v>
      </c>
      <c r="D4673" s="9">
        <f>YEAR(Tabla1[[#This Row],[Date]])</f>
        <v>2008</v>
      </c>
      <c r="E4673" s="9" t="str" cm="1">
        <f t="array" ref="E4673">IFERROR(_xlfn.IFS(AND(D4673&lt;1980,D4673&gt;=1970),"70",AND(D4673&lt;1990,D4673&gt;=1980),"80",AND(D4673&lt;2000,D4673&gt;=1990),"90",AND(D4673&lt;2010,D4673&gt;=2000),"00",AND(D4673&lt;=2019,D4673&gt;=2010),"10"),"1908-1970")</f>
        <v>00</v>
      </c>
      <c r="F4673" s="3">
        <v>0.3125</v>
      </c>
      <c r="G4673" t="s">
        <v>26538</v>
      </c>
      <c r="H4673" t="s">
        <v>26539</v>
      </c>
      <c r="I4673" t="s">
        <v>28931</v>
      </c>
      <c r="J4673" t="s">
        <v>26540</v>
      </c>
      <c r="K4673" t="s">
        <v>16099</v>
      </c>
      <c r="L4673" s="7" t="s">
        <v>26541</v>
      </c>
      <c r="M4673">
        <v>10627</v>
      </c>
      <c r="N4673">
        <v>3</v>
      </c>
      <c r="O4673">
        <v>0</v>
      </c>
      <c r="P4673">
        <v>3</v>
      </c>
      <c r="Q4673">
        <v>3</v>
      </c>
      <c r="R4673">
        <v>0</v>
      </c>
      <c r="S4673">
        <v>3</v>
      </c>
      <c r="T4673">
        <v>0</v>
      </c>
      <c r="U4673" t="s">
        <v>26542</v>
      </c>
      <c r="V4673">
        <f>Tabla1[[#This Row],[Aboard]]-Tabla1[[#This Row],[Fatalities]]</f>
        <v>0</v>
      </c>
      <c r="W4673" s="50">
        <f>IFERROR(Tabla1[[#This Row],[Fatalities]]/Tabla1[[#This Row],[Aboard]],0)</f>
        <v>1</v>
      </c>
      <c r="X4673" s="51" t="str" cm="1">
        <f t="array" ref="X4673">_xlfn.IFS(Tabla1[[#This Row],[Porcentaje de muertes]]&lt;0.35,"LEVE",AND(Tabla1[[#This Row],[Porcentaje de muertes]]&gt;0.35,Tabla1[[#This Row],[Porcentaje de muertes]]&lt;0.65),"MEDIO",Tabla1[[#This Row],[Porcentaje de muertes]]&gt;0.65,"GRAVE")</f>
        <v>GRAVE</v>
      </c>
    </row>
    <row r="4674" spans="2:24" x14ac:dyDescent="0.3">
      <c r="B4674" s="9">
        <v>4675</v>
      </c>
      <c r="C4674" s="49">
        <v>39680</v>
      </c>
      <c r="D4674" s="9">
        <f>YEAR(Tabla1[[#This Row],[Date]])</f>
        <v>2008</v>
      </c>
      <c r="E4674" s="9" t="str" cm="1">
        <f t="array" ref="E4674">IFERROR(_xlfn.IFS(AND(D4674&lt;1980,D4674&gt;=1970),"70",AND(D4674&lt;1990,D4674&gt;=1980),"80",AND(D4674&lt;2000,D4674&gt;=1990),"90",AND(D4674&lt;2010,D4674&gt;=2000),"00",AND(D4674&lt;=2019,D4674&gt;=2010),"10"),"1908-1970")</f>
        <v>00</v>
      </c>
      <c r="F4674" s="3">
        <v>0.61458333333333337</v>
      </c>
      <c r="G4674" t="s">
        <v>12164</v>
      </c>
      <c r="H4674" t="s">
        <v>26543</v>
      </c>
      <c r="I4674">
        <v>5022</v>
      </c>
      <c r="J4674" t="s">
        <v>26544</v>
      </c>
      <c r="K4674" t="s">
        <v>20382</v>
      </c>
      <c r="L4674" s="7" t="s">
        <v>26545</v>
      </c>
      <c r="M4674" t="s">
        <v>26546</v>
      </c>
      <c r="N4674">
        <v>172</v>
      </c>
      <c r="O4674">
        <v>166</v>
      </c>
      <c r="P4674">
        <v>6</v>
      </c>
      <c r="Q4674">
        <v>154</v>
      </c>
      <c r="R4674">
        <v>148</v>
      </c>
      <c r="S4674">
        <v>6</v>
      </c>
      <c r="T4674">
        <v>0</v>
      </c>
      <c r="U4674" t="s">
        <v>26547</v>
      </c>
      <c r="V4674">
        <f>Tabla1[[#This Row],[Aboard]]-Tabla1[[#This Row],[Fatalities]]</f>
        <v>18</v>
      </c>
      <c r="W4674" s="50">
        <f>IFERROR(Tabla1[[#This Row],[Fatalities]]/Tabla1[[#This Row],[Aboard]],0)</f>
        <v>0.89534883720930236</v>
      </c>
      <c r="X4674" s="51" t="str" cm="1">
        <f t="array" ref="X4674">_xlfn.IFS(Tabla1[[#This Row],[Porcentaje de muertes]]&lt;0.35,"LEVE",AND(Tabla1[[#This Row],[Porcentaje de muertes]]&gt;0.35,Tabla1[[#This Row],[Porcentaje de muertes]]&lt;0.65),"MEDIO",Tabla1[[#This Row],[Porcentaje de muertes]]&gt;0.65,"GRAVE")</f>
        <v>GRAVE</v>
      </c>
    </row>
    <row r="4675" spans="2:24" x14ac:dyDescent="0.3">
      <c r="B4675" s="9">
        <v>4676</v>
      </c>
      <c r="C4675" s="49">
        <v>39684</v>
      </c>
      <c r="D4675" s="9">
        <f>YEAR(Tabla1[[#This Row],[Date]])</f>
        <v>2008</v>
      </c>
      <c r="E4675" s="9" t="str" cm="1">
        <f t="array" ref="E4675">IFERROR(_xlfn.IFS(AND(D4675&lt;1980,D4675&gt;=1970),"70",AND(D4675&lt;1990,D4675&gt;=1980),"80",AND(D4675&lt;2000,D4675&gt;=1990),"90",AND(D4675&lt;2010,D4675&gt;=2000),"00",AND(D4675&lt;=2019,D4675&gt;=2010),"10"),"1908-1970")</f>
        <v>00</v>
      </c>
      <c r="F4675" s="3">
        <v>0.85416666666666663</v>
      </c>
      <c r="G4675" t="s">
        <v>26548</v>
      </c>
      <c r="H4675" t="s">
        <v>26549</v>
      </c>
      <c r="I4675" t="s">
        <v>26550</v>
      </c>
      <c r="J4675" t="s">
        <v>26551</v>
      </c>
      <c r="K4675" t="s">
        <v>26552</v>
      </c>
      <c r="L4675" s="7" t="s">
        <v>26553</v>
      </c>
      <c r="M4675" t="s">
        <v>26554</v>
      </c>
      <c r="N4675">
        <v>90</v>
      </c>
      <c r="O4675">
        <v>83</v>
      </c>
      <c r="P4675">
        <v>7</v>
      </c>
      <c r="Q4675">
        <v>68</v>
      </c>
      <c r="R4675">
        <v>67</v>
      </c>
      <c r="S4675">
        <v>1</v>
      </c>
      <c r="T4675">
        <v>0</v>
      </c>
      <c r="U4675" t="s">
        <v>26555</v>
      </c>
      <c r="V4675">
        <f>Tabla1[[#This Row],[Aboard]]-Tabla1[[#This Row],[Fatalities]]</f>
        <v>22</v>
      </c>
      <c r="W4675" s="50">
        <f>IFERROR(Tabla1[[#This Row],[Fatalities]]/Tabla1[[#This Row],[Aboard]],0)</f>
        <v>0.75555555555555554</v>
      </c>
      <c r="X4675" s="51" t="str" cm="1">
        <f t="array" ref="X4675">_xlfn.IFS(Tabla1[[#This Row],[Porcentaje de muertes]]&lt;0.35,"LEVE",AND(Tabla1[[#This Row],[Porcentaje de muertes]]&gt;0.35,Tabla1[[#This Row],[Porcentaje de muertes]]&lt;0.65),"MEDIO",Tabla1[[#This Row],[Porcentaje de muertes]]&gt;0.65,"GRAVE")</f>
        <v>GRAVE</v>
      </c>
    </row>
    <row r="4676" spans="2:24" x14ac:dyDescent="0.3">
      <c r="B4676" s="9">
        <v>4677</v>
      </c>
      <c r="C4676" s="49">
        <v>39690</v>
      </c>
      <c r="D4676" s="9">
        <f>YEAR(Tabla1[[#This Row],[Date]])</f>
        <v>2008</v>
      </c>
      <c r="E4676" s="9" t="str" cm="1">
        <f t="array" ref="E4676">IFERROR(_xlfn.IFS(AND(D4676&lt;1980,D4676&gt;=1970),"70",AND(D4676&lt;1990,D4676&gt;=1980),"80",AND(D4676&lt;2000,D4676&gt;=1990),"90",AND(D4676&lt;2010,D4676&gt;=2000),"00",AND(D4676&lt;=2019,D4676&gt;=2010),"10"),"1908-1970")</f>
        <v>00</v>
      </c>
      <c r="F4676" s="3">
        <v>0.90972222222222221</v>
      </c>
      <c r="G4676" t="s">
        <v>26556</v>
      </c>
      <c r="H4676" t="s">
        <v>26557</v>
      </c>
      <c r="I4676" t="s">
        <v>28931</v>
      </c>
      <c r="J4676" t="s">
        <v>26558</v>
      </c>
      <c r="K4676" t="s">
        <v>21528</v>
      </c>
      <c r="L4676" s="7" t="s">
        <v>26559</v>
      </c>
      <c r="M4676" t="s">
        <v>26560</v>
      </c>
      <c r="N4676">
        <v>3</v>
      </c>
      <c r="O4676">
        <v>0</v>
      </c>
      <c r="P4676">
        <v>3</v>
      </c>
      <c r="Q4676">
        <v>3</v>
      </c>
      <c r="R4676">
        <v>0</v>
      </c>
      <c r="S4676">
        <v>3</v>
      </c>
      <c r="T4676">
        <v>0</v>
      </c>
      <c r="U4676" t="s">
        <v>26561</v>
      </c>
      <c r="V4676">
        <f>Tabla1[[#This Row],[Aboard]]-Tabla1[[#This Row],[Fatalities]]</f>
        <v>0</v>
      </c>
      <c r="W4676" s="50">
        <f>IFERROR(Tabla1[[#This Row],[Fatalities]]/Tabla1[[#This Row],[Aboard]],0)</f>
        <v>1</v>
      </c>
      <c r="X4676" s="51" t="str" cm="1">
        <f t="array" ref="X4676">_xlfn.IFS(Tabla1[[#This Row],[Porcentaje de muertes]]&lt;0.35,"LEVE",AND(Tabla1[[#This Row],[Porcentaje de muertes]]&gt;0.35,Tabla1[[#This Row],[Porcentaje de muertes]]&lt;0.65),"MEDIO",Tabla1[[#This Row],[Porcentaje de muertes]]&gt;0.65,"GRAVE")</f>
        <v>GRAVE</v>
      </c>
    </row>
    <row r="4677" spans="2:24" x14ac:dyDescent="0.3">
      <c r="B4677" s="9">
        <v>4678</v>
      </c>
      <c r="C4677" s="49">
        <v>39456</v>
      </c>
      <c r="D4677" s="9">
        <f>YEAR(Tabla1[[#This Row],[Date]])</f>
        <v>2008</v>
      </c>
      <c r="E4677" s="9" t="str" cm="1">
        <f t="array" ref="E4677">IFERROR(_xlfn.IFS(AND(D4677&lt;1980,D4677&gt;=1970),"70",AND(D4677&lt;1990,D4677&gt;=1980),"80",AND(D4677&lt;2000,D4677&gt;=1990),"90",AND(D4677&lt;2010,D4677&gt;=2000),"00",AND(D4677&lt;=2019,D4677&gt;=2010),"10"),"1908-1970")</f>
        <v>00</v>
      </c>
      <c r="F4677" s="3">
        <v>0.50694444444444442</v>
      </c>
      <c r="G4677" t="s">
        <v>5780</v>
      </c>
      <c r="H4677" t="s">
        <v>26562</v>
      </c>
      <c r="I4677" t="s">
        <v>28931</v>
      </c>
      <c r="J4677" t="s">
        <v>26563</v>
      </c>
      <c r="K4677" t="s">
        <v>14857</v>
      </c>
      <c r="L4677" s="7" t="s">
        <v>26564</v>
      </c>
      <c r="M4677">
        <v>361</v>
      </c>
      <c r="N4677">
        <v>3</v>
      </c>
      <c r="O4677">
        <v>0</v>
      </c>
      <c r="P4677">
        <v>3</v>
      </c>
      <c r="Q4677">
        <v>3</v>
      </c>
      <c r="R4677">
        <v>0</v>
      </c>
      <c r="S4677">
        <v>3</v>
      </c>
      <c r="T4677">
        <v>0</v>
      </c>
      <c r="U4677" t="s">
        <v>26565</v>
      </c>
      <c r="V4677">
        <f>Tabla1[[#This Row],[Aboard]]-Tabla1[[#This Row],[Fatalities]]</f>
        <v>0</v>
      </c>
      <c r="W4677" s="50">
        <f>IFERROR(Tabla1[[#This Row],[Fatalities]]/Tabla1[[#This Row],[Aboard]],0)</f>
        <v>1</v>
      </c>
      <c r="X4677" s="51" t="str" cm="1">
        <f t="array" ref="X4677">_xlfn.IFS(Tabla1[[#This Row],[Porcentaje de muertes]]&lt;0.35,"LEVE",AND(Tabla1[[#This Row],[Porcentaje de muertes]]&gt;0.35,Tabla1[[#This Row],[Porcentaje de muertes]]&lt;0.65),"MEDIO",Tabla1[[#This Row],[Porcentaje de muertes]]&gt;0.65,"GRAVE")</f>
        <v>GRAVE</v>
      </c>
    </row>
    <row r="4678" spans="2:24" x14ac:dyDescent="0.3">
      <c r="B4678" s="9">
        <v>4679</v>
      </c>
      <c r="C4678" s="49">
        <v>39516</v>
      </c>
      <c r="D4678" s="9">
        <f>YEAR(Tabla1[[#This Row],[Date]])</f>
        <v>2008</v>
      </c>
      <c r="E4678" s="9" t="str" cm="1">
        <f t="array" ref="E4678">IFERROR(_xlfn.IFS(AND(D4678&lt;1980,D4678&gt;=1970),"70",AND(D4678&lt;1990,D4678&gt;=1980),"80",AND(D4678&lt;2000,D4678&gt;=1990),"90",AND(D4678&lt;2010,D4678&gt;=2000),"00",AND(D4678&lt;=2019,D4678&gt;=2010),"10"),"1908-1970")</f>
        <v>00</v>
      </c>
      <c r="F4678" s="3">
        <v>0.84722222222222221</v>
      </c>
      <c r="G4678" t="s">
        <v>26566</v>
      </c>
      <c r="H4678" t="s">
        <v>26567</v>
      </c>
      <c r="I4678" t="s">
        <v>28931</v>
      </c>
      <c r="J4678" t="s">
        <v>28931</v>
      </c>
      <c r="K4678" t="s">
        <v>17471</v>
      </c>
      <c r="L4678" s="7" t="s">
        <v>26568</v>
      </c>
      <c r="M4678" t="s">
        <v>28931</v>
      </c>
      <c r="N4678">
        <v>7</v>
      </c>
      <c r="O4678">
        <v>5</v>
      </c>
      <c r="P4678">
        <v>2</v>
      </c>
      <c r="Q4678">
        <v>7</v>
      </c>
      <c r="R4678">
        <v>5</v>
      </c>
      <c r="S4678">
        <v>2</v>
      </c>
      <c r="T4678">
        <v>0</v>
      </c>
      <c r="U4678" t="s">
        <v>26569</v>
      </c>
      <c r="V4678">
        <f>Tabla1[[#This Row],[Aboard]]-Tabla1[[#This Row],[Fatalities]]</f>
        <v>0</v>
      </c>
      <c r="W4678" s="50">
        <f>IFERROR(Tabla1[[#This Row],[Fatalities]]/Tabla1[[#This Row],[Aboard]],0)</f>
        <v>1</v>
      </c>
      <c r="X4678" s="51" t="str" cm="1">
        <f t="array" ref="X4678">_xlfn.IFS(Tabla1[[#This Row],[Porcentaje de muertes]]&lt;0.35,"LEVE",AND(Tabla1[[#This Row],[Porcentaje de muertes]]&gt;0.35,Tabla1[[#This Row],[Porcentaje de muertes]]&lt;0.65),"MEDIO",Tabla1[[#This Row],[Porcentaje de muertes]]&gt;0.65,"GRAVE")</f>
        <v>GRAVE</v>
      </c>
    </row>
    <row r="4679" spans="2:24" x14ac:dyDescent="0.3">
      <c r="B4679" s="9">
        <v>4680</v>
      </c>
      <c r="C4679" s="49">
        <v>39705</v>
      </c>
      <c r="D4679" s="9">
        <f>YEAR(Tabla1[[#This Row],[Date]])</f>
        <v>2008</v>
      </c>
      <c r="E4679" s="9" t="str" cm="1">
        <f t="array" ref="E4679">IFERROR(_xlfn.IFS(AND(D4679&lt;1980,D4679&gt;=1970),"70",AND(D4679&lt;1990,D4679&gt;=1980),"80",AND(D4679&lt;2000,D4679&gt;=1990),"90",AND(D4679&lt;2010,D4679&gt;=2000),"00",AND(D4679&lt;=2019,D4679&gt;=2010),"10"),"1908-1970")</f>
        <v>00</v>
      </c>
      <c r="F4679" s="3">
        <v>0.13541666666666666</v>
      </c>
      <c r="G4679" t="s">
        <v>16705</v>
      </c>
      <c r="H4679" t="s">
        <v>6541</v>
      </c>
      <c r="I4679" t="s">
        <v>26570</v>
      </c>
      <c r="J4679" t="s">
        <v>26571</v>
      </c>
      <c r="K4679" t="s">
        <v>26572</v>
      </c>
      <c r="L4679" s="7" t="s">
        <v>26573</v>
      </c>
      <c r="M4679" t="s">
        <v>26574</v>
      </c>
      <c r="N4679">
        <v>88</v>
      </c>
      <c r="O4679">
        <v>82</v>
      </c>
      <c r="P4679">
        <v>6</v>
      </c>
      <c r="Q4679">
        <v>88</v>
      </c>
      <c r="R4679">
        <v>82</v>
      </c>
      <c r="S4679">
        <v>6</v>
      </c>
      <c r="T4679">
        <v>0</v>
      </c>
      <c r="U4679" t="s">
        <v>26575</v>
      </c>
      <c r="V4679">
        <f>Tabla1[[#This Row],[Aboard]]-Tabla1[[#This Row],[Fatalities]]</f>
        <v>0</v>
      </c>
      <c r="W4679" s="50">
        <f>IFERROR(Tabla1[[#This Row],[Fatalities]]/Tabla1[[#This Row],[Aboard]],0)</f>
        <v>1</v>
      </c>
      <c r="X4679" s="51" t="str" cm="1">
        <f t="array" ref="X4679">_xlfn.IFS(Tabla1[[#This Row],[Porcentaje de muertes]]&lt;0.35,"LEVE",AND(Tabla1[[#This Row],[Porcentaje de muertes]]&gt;0.35,Tabla1[[#This Row],[Porcentaje de muertes]]&lt;0.65),"MEDIO",Tabla1[[#This Row],[Porcentaje de muertes]]&gt;0.65,"GRAVE")</f>
        <v>GRAVE</v>
      </c>
    </row>
    <row r="4680" spans="2:24" x14ac:dyDescent="0.3">
      <c r="B4680" s="9">
        <v>4681</v>
      </c>
      <c r="C4680" s="49">
        <v>39710</v>
      </c>
      <c r="D4680" s="9">
        <f>YEAR(Tabla1[[#This Row],[Date]])</f>
        <v>2008</v>
      </c>
      <c r="E4680" s="9" t="str" cm="1">
        <f t="array" ref="E4680">IFERROR(_xlfn.IFS(AND(D4680&lt;1980,D4680&gt;=1970),"70",AND(D4680&lt;1990,D4680&gt;=1980),"80",AND(D4680&lt;2000,D4680&gt;=1990),"90",AND(D4680&lt;2010,D4680&gt;=2000),"00",AND(D4680&lt;=2019,D4680&gt;=2010),"10"),"1908-1970")</f>
        <v>00</v>
      </c>
      <c r="F4680" s="3">
        <v>0.99513888888888891</v>
      </c>
      <c r="G4680" t="s">
        <v>26576</v>
      </c>
      <c r="H4680" t="s">
        <v>26577</v>
      </c>
      <c r="I4680" t="s">
        <v>28931</v>
      </c>
      <c r="J4680" t="s">
        <v>26578</v>
      </c>
      <c r="K4680" t="s">
        <v>26579</v>
      </c>
      <c r="L4680" s="7" t="s">
        <v>26580</v>
      </c>
      <c r="M4680">
        <v>314</v>
      </c>
      <c r="N4680">
        <v>6</v>
      </c>
      <c r="O4680">
        <v>4</v>
      </c>
      <c r="P4680">
        <v>2</v>
      </c>
      <c r="Q4680">
        <v>4</v>
      </c>
      <c r="R4680">
        <v>2</v>
      </c>
      <c r="S4680">
        <v>2</v>
      </c>
      <c r="T4680">
        <v>0</v>
      </c>
      <c r="U4680" t="s">
        <v>26581</v>
      </c>
      <c r="V4680">
        <f>Tabla1[[#This Row],[Aboard]]-Tabla1[[#This Row],[Fatalities]]</f>
        <v>2</v>
      </c>
      <c r="W4680" s="50">
        <f>IFERROR(Tabla1[[#This Row],[Fatalities]]/Tabla1[[#This Row],[Aboard]],0)</f>
        <v>0.66666666666666663</v>
      </c>
      <c r="X4680" s="51" t="str" cm="1">
        <f t="array" ref="X4680">_xlfn.IFS(Tabla1[[#This Row],[Porcentaje de muertes]]&lt;0.35,"LEVE",AND(Tabla1[[#This Row],[Porcentaje de muertes]]&gt;0.35,Tabla1[[#This Row],[Porcentaje de muertes]]&lt;0.65),"MEDIO",Tabla1[[#This Row],[Porcentaje de muertes]]&gt;0.65,"GRAVE")</f>
        <v>GRAVE</v>
      </c>
    </row>
    <row r="4681" spans="2:24" x14ac:dyDescent="0.3">
      <c r="B4681" s="9">
        <v>4682</v>
      </c>
      <c r="C4681" s="49">
        <v>39718</v>
      </c>
      <c r="D4681" s="9">
        <f>YEAR(Tabla1[[#This Row],[Date]])</f>
        <v>2008</v>
      </c>
      <c r="E4681" s="9" t="str" cm="1">
        <f t="array" ref="E4681">IFERROR(_xlfn.IFS(AND(D4681&lt;1980,D4681&gt;=1970),"70",AND(D4681&lt;1990,D4681&gt;=1980),"80",AND(D4681&lt;2000,D4681&gt;=1990),"90",AND(D4681&lt;2010,D4681&gt;=2000),"00",AND(D4681&lt;=2019,D4681&gt;=2010),"10"),"1908-1970")</f>
        <v>00</v>
      </c>
      <c r="F4681" s="3">
        <v>0.16458333333333333</v>
      </c>
      <c r="G4681" t="s">
        <v>26582</v>
      </c>
      <c r="H4681" t="s">
        <v>26583</v>
      </c>
      <c r="I4681" t="s">
        <v>28931</v>
      </c>
      <c r="J4681" t="s">
        <v>26584</v>
      </c>
      <c r="K4681" t="s">
        <v>26585</v>
      </c>
      <c r="L4681" s="7" t="s">
        <v>26586</v>
      </c>
      <c r="M4681">
        <v>6311</v>
      </c>
      <c r="N4681">
        <v>5</v>
      </c>
      <c r="O4681">
        <v>4</v>
      </c>
      <c r="P4681">
        <v>1</v>
      </c>
      <c r="Q4681">
        <v>4</v>
      </c>
      <c r="R4681">
        <v>3</v>
      </c>
      <c r="S4681">
        <v>1</v>
      </c>
      <c r="T4681">
        <v>0</v>
      </c>
      <c r="U4681" t="s">
        <v>26587</v>
      </c>
      <c r="V4681">
        <f>Tabla1[[#This Row],[Aboard]]-Tabla1[[#This Row],[Fatalities]]</f>
        <v>1</v>
      </c>
      <c r="W4681" s="50">
        <f>IFERROR(Tabla1[[#This Row],[Fatalities]]/Tabla1[[#This Row],[Aboard]],0)</f>
        <v>0.8</v>
      </c>
      <c r="X4681" s="51" t="str" cm="1">
        <f t="array" ref="X4681">_xlfn.IFS(Tabla1[[#This Row],[Porcentaje de muertes]]&lt;0.35,"LEVE",AND(Tabla1[[#This Row],[Porcentaje de muertes]]&gt;0.35,Tabla1[[#This Row],[Porcentaje de muertes]]&lt;0.65),"MEDIO",Tabla1[[#This Row],[Porcentaje de muertes]]&gt;0.65,"GRAVE")</f>
        <v>GRAVE</v>
      </c>
    </row>
    <row r="4682" spans="2:24" x14ac:dyDescent="0.3">
      <c r="B4682" s="9">
        <v>4683</v>
      </c>
      <c r="C4682" s="49">
        <v>39670</v>
      </c>
      <c r="D4682" s="9">
        <f>YEAR(Tabla1[[#This Row],[Date]])</f>
        <v>2008</v>
      </c>
      <c r="E4682" s="9" t="str" cm="1">
        <f t="array" ref="E4682">IFERROR(_xlfn.IFS(AND(D4682&lt;1980,D4682&gt;=1970),"70",AND(D4682&lt;1990,D4682&gt;=1980),"80",AND(D4682&lt;2000,D4682&gt;=1990),"90",AND(D4682&lt;2010,D4682&gt;=2000),"00",AND(D4682&lt;=2019,D4682&gt;=2010),"10"),"1908-1970")</f>
        <v>00</v>
      </c>
      <c r="F4682" s="3">
        <v>0.31319444444444444</v>
      </c>
      <c r="G4682" t="s">
        <v>26588</v>
      </c>
      <c r="H4682" t="s">
        <v>25557</v>
      </c>
      <c r="I4682" t="s">
        <v>28931</v>
      </c>
      <c r="J4682" t="s">
        <v>26589</v>
      </c>
      <c r="K4682" t="s">
        <v>16680</v>
      </c>
      <c r="L4682" s="7" t="s">
        <v>26590</v>
      </c>
      <c r="M4682">
        <v>720</v>
      </c>
      <c r="N4682">
        <v>19</v>
      </c>
      <c r="O4682">
        <v>16</v>
      </c>
      <c r="P4682">
        <v>3</v>
      </c>
      <c r="Q4682">
        <v>18</v>
      </c>
      <c r="R4682">
        <v>16</v>
      </c>
      <c r="S4682">
        <v>2</v>
      </c>
      <c r="T4682">
        <v>0</v>
      </c>
      <c r="U4682" t="s">
        <v>26591</v>
      </c>
      <c r="V4682">
        <f>Tabla1[[#This Row],[Aboard]]-Tabla1[[#This Row],[Fatalities]]</f>
        <v>1</v>
      </c>
      <c r="W4682" s="50">
        <f>IFERROR(Tabla1[[#This Row],[Fatalities]]/Tabla1[[#This Row],[Aboard]],0)</f>
        <v>0.94736842105263153</v>
      </c>
      <c r="X4682" s="51" t="str" cm="1">
        <f t="array" ref="X4682">_xlfn.IFS(Tabla1[[#This Row],[Porcentaje de muertes]]&lt;0.35,"LEVE",AND(Tabla1[[#This Row],[Porcentaje de muertes]]&gt;0.35,Tabla1[[#This Row],[Porcentaje de muertes]]&lt;0.65),"MEDIO",Tabla1[[#This Row],[Porcentaje de muertes]]&gt;0.65,"GRAVE")</f>
        <v>GRAVE</v>
      </c>
    </row>
    <row r="4683" spans="2:24" x14ac:dyDescent="0.3">
      <c r="B4683" s="9">
        <v>4684</v>
      </c>
      <c r="C4683" s="49">
        <v>39736</v>
      </c>
      <c r="D4683" s="9">
        <f>YEAR(Tabla1[[#This Row],[Date]])</f>
        <v>2008</v>
      </c>
      <c r="E4683" s="9" t="str" cm="1">
        <f t="array" ref="E4683">IFERROR(_xlfn.IFS(AND(D4683&lt;1980,D4683&gt;=1970),"70",AND(D4683&lt;1990,D4683&gt;=1980),"80",AND(D4683&lt;2000,D4683&gt;=1990),"90",AND(D4683&lt;2010,D4683&gt;=2000),"00",AND(D4683&lt;=2019,D4683&gt;=2010),"10"),"1908-1970")</f>
        <v>00</v>
      </c>
      <c r="F4683" s="3">
        <v>0.99861111111111101</v>
      </c>
      <c r="G4683" t="s">
        <v>26592</v>
      </c>
      <c r="H4683" t="s">
        <v>26593</v>
      </c>
      <c r="I4683" t="s">
        <v>28931</v>
      </c>
      <c r="J4683" t="s">
        <v>26594</v>
      </c>
      <c r="K4683" t="s">
        <v>26595</v>
      </c>
      <c r="L4683" s="7" t="s">
        <v>26596</v>
      </c>
      <c r="M4683">
        <v>47062</v>
      </c>
      <c r="N4683">
        <v>4</v>
      </c>
      <c r="O4683">
        <v>1</v>
      </c>
      <c r="P4683">
        <v>3</v>
      </c>
      <c r="Q4683">
        <v>4</v>
      </c>
      <c r="R4683">
        <v>1</v>
      </c>
      <c r="S4683">
        <v>3</v>
      </c>
      <c r="T4683">
        <v>0</v>
      </c>
      <c r="U4683" t="s">
        <v>26597</v>
      </c>
      <c r="V4683">
        <f>Tabla1[[#This Row],[Aboard]]-Tabla1[[#This Row],[Fatalities]]</f>
        <v>0</v>
      </c>
      <c r="W4683" s="50">
        <f>IFERROR(Tabla1[[#This Row],[Fatalities]]/Tabla1[[#This Row],[Aboard]],0)</f>
        <v>1</v>
      </c>
      <c r="X4683" s="51" t="str" cm="1">
        <f t="array" ref="X4683">_xlfn.IFS(Tabla1[[#This Row],[Porcentaje de muertes]]&lt;0.35,"LEVE",AND(Tabla1[[#This Row],[Porcentaje de muertes]]&gt;0.35,Tabla1[[#This Row],[Porcentaje de muertes]]&lt;0.65),"MEDIO",Tabla1[[#This Row],[Porcentaje de muertes]]&gt;0.65,"GRAVE")</f>
        <v>GRAVE</v>
      </c>
    </row>
    <row r="4684" spans="2:24" x14ac:dyDescent="0.3">
      <c r="B4684" s="9">
        <v>4685</v>
      </c>
      <c r="C4684" s="49">
        <v>39765</v>
      </c>
      <c r="D4684" s="9">
        <f>YEAR(Tabla1[[#This Row],[Date]])</f>
        <v>2008</v>
      </c>
      <c r="E4684" s="9" t="str" cm="1">
        <f t="array" ref="E4684">IFERROR(_xlfn.IFS(AND(D4684&lt;1980,D4684&gt;=1970),"70",AND(D4684&lt;1990,D4684&gt;=1980),"80",AND(D4684&lt;2000,D4684&gt;=1990),"90",AND(D4684&lt;2010,D4684&gt;=2000),"00",AND(D4684&lt;=2019,D4684&gt;=2010),"10"),"1908-1970")</f>
        <v>00</v>
      </c>
      <c r="F4684" s="3">
        <v>0.4826388888888889</v>
      </c>
      <c r="G4684" t="s">
        <v>26598</v>
      </c>
      <c r="H4684" t="s">
        <v>26599</v>
      </c>
      <c r="I4684" t="s">
        <v>28931</v>
      </c>
      <c r="J4684" t="s">
        <v>26600</v>
      </c>
      <c r="K4684" t="s">
        <v>18274</v>
      </c>
      <c r="L4684" s="7" t="s">
        <v>26601</v>
      </c>
      <c r="M4684">
        <v>346908</v>
      </c>
      <c r="N4684">
        <v>7</v>
      </c>
      <c r="O4684">
        <v>0</v>
      </c>
      <c r="P4684">
        <v>7</v>
      </c>
      <c r="Q4684">
        <v>7</v>
      </c>
      <c r="R4684">
        <v>0</v>
      </c>
      <c r="S4684">
        <v>7</v>
      </c>
      <c r="T4684">
        <v>0</v>
      </c>
      <c r="U4684" t="s">
        <v>26602</v>
      </c>
      <c r="V4684">
        <f>Tabla1[[#This Row],[Aboard]]-Tabla1[[#This Row],[Fatalities]]</f>
        <v>0</v>
      </c>
      <c r="W4684" s="50">
        <f>IFERROR(Tabla1[[#This Row],[Fatalities]]/Tabla1[[#This Row],[Aboard]],0)</f>
        <v>1</v>
      </c>
      <c r="X4684" s="51" t="str" cm="1">
        <f t="array" ref="X4684">_xlfn.IFS(Tabla1[[#This Row],[Porcentaje de muertes]]&lt;0.35,"LEVE",AND(Tabla1[[#This Row],[Porcentaje de muertes]]&gt;0.35,Tabla1[[#This Row],[Porcentaje de muertes]]&lt;0.65),"MEDIO",Tabla1[[#This Row],[Porcentaje de muertes]]&gt;0.65,"GRAVE")</f>
        <v>GRAVE</v>
      </c>
    </row>
    <row r="4685" spans="2:24" x14ac:dyDescent="0.3">
      <c r="B4685" s="9">
        <v>4686</v>
      </c>
      <c r="C4685" s="49">
        <v>39768</v>
      </c>
      <c r="D4685" s="9">
        <f>YEAR(Tabla1[[#This Row],[Date]])</f>
        <v>2008</v>
      </c>
      <c r="E4685" s="9" t="str" cm="1">
        <f t="array" ref="E4685">IFERROR(_xlfn.IFS(AND(D4685&lt;1980,D4685&gt;=1970),"70",AND(D4685&lt;1990,D4685&gt;=1980),"80",AND(D4685&lt;2000,D4685&gt;=1990),"90",AND(D4685&lt;2010,D4685&gt;=2000),"00",AND(D4685&lt;=2019,D4685&gt;=2010),"10"),"1908-1970")</f>
        <v>00</v>
      </c>
      <c r="F4685" s="3">
        <v>0.43888888888888888</v>
      </c>
      <c r="G4685" t="s">
        <v>26603</v>
      </c>
      <c r="H4685" t="s">
        <v>18493</v>
      </c>
      <c r="I4685" t="s">
        <v>28931</v>
      </c>
      <c r="J4685" t="s">
        <v>26604</v>
      </c>
      <c r="K4685" t="s">
        <v>13421</v>
      </c>
      <c r="L4685" s="7" t="s">
        <v>26605</v>
      </c>
      <c r="M4685">
        <v>1187</v>
      </c>
      <c r="N4685">
        <v>8</v>
      </c>
      <c r="O4685">
        <v>7</v>
      </c>
      <c r="P4685">
        <v>1</v>
      </c>
      <c r="Q4685">
        <v>7</v>
      </c>
      <c r="R4685">
        <v>6</v>
      </c>
      <c r="S4685">
        <v>1</v>
      </c>
      <c r="T4685">
        <v>0</v>
      </c>
      <c r="U4685" t="s">
        <v>26606</v>
      </c>
      <c r="V4685">
        <f>Tabla1[[#This Row],[Aboard]]-Tabla1[[#This Row],[Fatalities]]</f>
        <v>1</v>
      </c>
      <c r="W4685" s="50">
        <f>IFERROR(Tabla1[[#This Row],[Fatalities]]/Tabla1[[#This Row],[Aboard]],0)</f>
        <v>0.875</v>
      </c>
      <c r="X4685" s="51" t="str" cm="1">
        <f t="array" ref="X4685">_xlfn.IFS(Tabla1[[#This Row],[Porcentaje de muertes]]&lt;0.35,"LEVE",AND(Tabla1[[#This Row],[Porcentaje de muertes]]&gt;0.35,Tabla1[[#This Row],[Porcentaje de muertes]]&lt;0.65),"MEDIO",Tabla1[[#This Row],[Porcentaje de muertes]]&gt;0.65,"GRAVE")</f>
        <v>GRAVE</v>
      </c>
    </row>
    <row r="4686" spans="2:24" x14ac:dyDescent="0.3">
      <c r="B4686" s="9">
        <v>4687</v>
      </c>
      <c r="C4686" s="49">
        <v>39779</v>
      </c>
      <c r="D4686" s="9">
        <f>YEAR(Tabla1[[#This Row],[Date]])</f>
        <v>2008</v>
      </c>
      <c r="E4686" s="9" t="str" cm="1">
        <f t="array" ref="E4686">IFERROR(_xlfn.IFS(AND(D4686&lt;1980,D4686&gt;=1970),"70",AND(D4686&lt;1990,D4686&gt;=1980),"80",AND(D4686&lt;2000,D4686&gt;=1990),"90",AND(D4686&lt;2010,D4686&gt;=2000),"00",AND(D4686&lt;=2019,D4686&gt;=2010),"10"),"1908-1970")</f>
        <v>00</v>
      </c>
      <c r="F4686" s="3">
        <v>0.70833333333333337</v>
      </c>
      <c r="G4686" t="s">
        <v>9401</v>
      </c>
      <c r="H4686" t="s">
        <v>26607</v>
      </c>
      <c r="I4686" t="s">
        <v>28931</v>
      </c>
      <c r="J4686" t="s">
        <v>6190</v>
      </c>
      <c r="K4686" t="s">
        <v>26608</v>
      </c>
      <c r="L4686" s="7" t="s">
        <v>26609</v>
      </c>
      <c r="M4686">
        <v>2500</v>
      </c>
      <c r="N4686">
        <v>7</v>
      </c>
      <c r="O4686">
        <v>0</v>
      </c>
      <c r="P4686">
        <v>7</v>
      </c>
      <c r="Q4686">
        <v>7</v>
      </c>
      <c r="R4686">
        <v>0</v>
      </c>
      <c r="S4686">
        <v>7</v>
      </c>
      <c r="T4686">
        <v>0</v>
      </c>
      <c r="U4686" t="s">
        <v>26610</v>
      </c>
      <c r="V4686">
        <f>Tabla1[[#This Row],[Aboard]]-Tabla1[[#This Row],[Fatalities]]</f>
        <v>0</v>
      </c>
      <c r="W4686" s="50">
        <f>IFERROR(Tabla1[[#This Row],[Fatalities]]/Tabla1[[#This Row],[Aboard]],0)</f>
        <v>1</v>
      </c>
      <c r="X4686" s="51" t="str" cm="1">
        <f t="array" ref="X4686">_xlfn.IFS(Tabla1[[#This Row],[Porcentaje de muertes]]&lt;0.35,"LEVE",AND(Tabla1[[#This Row],[Porcentaje de muertes]]&gt;0.35,Tabla1[[#This Row],[Porcentaje de muertes]]&lt;0.65),"MEDIO",Tabla1[[#This Row],[Porcentaje de muertes]]&gt;0.65,"GRAVE")</f>
        <v>GRAVE</v>
      </c>
    </row>
    <row r="4687" spans="2:24" x14ac:dyDescent="0.3">
      <c r="B4687" s="9">
        <v>4688</v>
      </c>
      <c r="C4687" s="49">
        <v>39519</v>
      </c>
      <c r="D4687" s="9">
        <f>YEAR(Tabla1[[#This Row],[Date]])</f>
        <v>2008</v>
      </c>
      <c r="E4687" s="9" t="str" cm="1">
        <f t="array" ref="E4687">IFERROR(_xlfn.IFS(AND(D4687&lt;1980,D4687&gt;=1970),"70",AND(D4687&lt;1990,D4687&gt;=1980),"80",AND(D4687&lt;2000,D4687&gt;=1990),"90",AND(D4687&lt;2010,D4687&gt;=2000),"00",AND(D4687&lt;=2019,D4687&gt;=2010),"10"),"1908-1970")</f>
        <v>00</v>
      </c>
      <c r="F4687" s="3">
        <v>0.50902777777777775</v>
      </c>
      <c r="G4687" t="s">
        <v>7687</v>
      </c>
      <c r="H4687" t="s">
        <v>26611</v>
      </c>
      <c r="I4687" t="s">
        <v>28931</v>
      </c>
      <c r="J4687" t="s">
        <v>26612</v>
      </c>
      <c r="K4687" t="s">
        <v>26613</v>
      </c>
      <c r="L4687" s="7" t="s">
        <v>26614</v>
      </c>
      <c r="M4687">
        <v>11444</v>
      </c>
      <c r="N4687">
        <v>3</v>
      </c>
      <c r="O4687">
        <v>2</v>
      </c>
      <c r="P4687">
        <v>1</v>
      </c>
      <c r="Q4687">
        <v>3</v>
      </c>
      <c r="R4687">
        <v>2</v>
      </c>
      <c r="S4687">
        <v>1</v>
      </c>
      <c r="T4687">
        <v>0</v>
      </c>
      <c r="U4687" t="s">
        <v>26615</v>
      </c>
      <c r="V4687">
        <f>Tabla1[[#This Row],[Aboard]]-Tabla1[[#This Row],[Fatalities]]</f>
        <v>0</v>
      </c>
      <c r="W4687" s="50">
        <f>IFERROR(Tabla1[[#This Row],[Fatalities]]/Tabla1[[#This Row],[Aboard]],0)</f>
        <v>1</v>
      </c>
      <c r="X4687" s="51" t="str" cm="1">
        <f t="array" ref="X4687">_xlfn.IFS(Tabla1[[#This Row],[Porcentaje de muertes]]&lt;0.35,"LEVE",AND(Tabla1[[#This Row],[Porcentaje de muertes]]&gt;0.35,Tabla1[[#This Row],[Porcentaje de muertes]]&lt;0.65),"MEDIO",Tabla1[[#This Row],[Porcentaje de muertes]]&gt;0.65,"GRAVE")</f>
        <v>GRAVE</v>
      </c>
    </row>
    <row r="4688" spans="2:24" x14ac:dyDescent="0.3">
      <c r="B4688" s="9">
        <v>4689</v>
      </c>
      <c r="C4688" s="49">
        <v>39764</v>
      </c>
      <c r="D4688" s="9">
        <f>YEAR(Tabla1[[#This Row],[Date]])</f>
        <v>2008</v>
      </c>
      <c r="E4688" s="9" t="str" cm="1">
        <f t="array" ref="E4688">IFERROR(_xlfn.IFS(AND(D4688&lt;1980,D4688&gt;=1970),"70",AND(D4688&lt;1990,D4688&gt;=1980),"80",AND(D4688&lt;2000,D4688&gt;=1990),"90",AND(D4688&lt;2010,D4688&gt;=2000),"00",AND(D4688&lt;=2019,D4688&gt;=2010),"10"),"1908-1970")</f>
        <v>00</v>
      </c>
      <c r="F4688" s="3">
        <v>0.2673611111111111</v>
      </c>
      <c r="G4688" t="s">
        <v>26616</v>
      </c>
      <c r="H4688" t="s">
        <v>26617</v>
      </c>
      <c r="I4688" t="s">
        <v>28931</v>
      </c>
      <c r="J4688" t="s">
        <v>26618</v>
      </c>
      <c r="K4688" t="s">
        <v>26619</v>
      </c>
      <c r="L4688" s="7" t="s">
        <v>26620</v>
      </c>
      <c r="M4688">
        <v>52104</v>
      </c>
      <c r="N4688">
        <v>3</v>
      </c>
      <c r="O4688">
        <v>3</v>
      </c>
      <c r="P4688">
        <v>2</v>
      </c>
      <c r="Q4688">
        <v>3</v>
      </c>
      <c r="R4688">
        <v>3</v>
      </c>
      <c r="S4688">
        <v>2</v>
      </c>
      <c r="T4688">
        <v>0</v>
      </c>
      <c r="U4688" t="s">
        <v>26621</v>
      </c>
      <c r="V4688">
        <f>Tabla1[[#This Row],[Aboard]]-Tabla1[[#This Row],[Fatalities]]</f>
        <v>0</v>
      </c>
      <c r="W4688" s="50">
        <f>IFERROR(Tabla1[[#This Row],[Fatalities]]/Tabla1[[#This Row],[Aboard]],0)</f>
        <v>1</v>
      </c>
      <c r="X4688" s="51" t="str" cm="1">
        <f t="array" ref="X4688">_xlfn.IFS(Tabla1[[#This Row],[Porcentaje de muertes]]&lt;0.35,"LEVE",AND(Tabla1[[#This Row],[Porcentaje de muertes]]&gt;0.35,Tabla1[[#This Row],[Porcentaje de muertes]]&lt;0.65),"MEDIO",Tabla1[[#This Row],[Porcentaje de muertes]]&gt;0.65,"GRAVE")</f>
        <v>GRAVE</v>
      </c>
    </row>
    <row r="4689" spans="2:24" x14ac:dyDescent="0.3">
      <c r="B4689" s="9">
        <v>4690</v>
      </c>
      <c r="C4689" s="49">
        <v>39797</v>
      </c>
      <c r="D4689" s="9">
        <f>YEAR(Tabla1[[#This Row],[Date]])</f>
        <v>2008</v>
      </c>
      <c r="E4689" s="9" t="str" cm="1">
        <f t="array" ref="E4689">IFERROR(_xlfn.IFS(AND(D4689&lt;1980,D4689&gt;=1970),"70",AND(D4689&lt;1990,D4689&gt;=1980),"80",AND(D4689&lt;2000,D4689&gt;=1990),"90",AND(D4689&lt;2010,D4689&gt;=2000),"00",AND(D4689&lt;=2019,D4689&gt;=2010),"10"),"1908-1970")</f>
        <v>00</v>
      </c>
      <c r="F4689" s="3">
        <v>0.69444444444444453</v>
      </c>
      <c r="G4689" t="s">
        <v>26622</v>
      </c>
      <c r="H4689" t="s">
        <v>26623</v>
      </c>
      <c r="I4689" t="s">
        <v>28931</v>
      </c>
      <c r="J4689" t="s">
        <v>26624</v>
      </c>
      <c r="K4689" t="s">
        <v>26625</v>
      </c>
      <c r="L4689" s="7" t="s">
        <v>26626</v>
      </c>
      <c r="M4689">
        <v>1029</v>
      </c>
      <c r="N4689">
        <v>12</v>
      </c>
      <c r="O4689">
        <v>11</v>
      </c>
      <c r="P4689">
        <v>1</v>
      </c>
      <c r="Q4689">
        <v>12</v>
      </c>
      <c r="R4689">
        <v>11</v>
      </c>
      <c r="S4689">
        <v>1</v>
      </c>
      <c r="T4689">
        <v>0</v>
      </c>
      <c r="U4689" t="s">
        <v>26627</v>
      </c>
      <c r="V4689">
        <f>Tabla1[[#This Row],[Aboard]]-Tabla1[[#This Row],[Fatalities]]</f>
        <v>0</v>
      </c>
      <c r="W4689" s="50">
        <f>IFERROR(Tabla1[[#This Row],[Fatalities]]/Tabla1[[#This Row],[Aboard]],0)</f>
        <v>1</v>
      </c>
      <c r="X4689" s="51" t="str" cm="1">
        <f t="array" ref="X4689">_xlfn.IFS(Tabla1[[#This Row],[Porcentaje de muertes]]&lt;0.35,"LEVE",AND(Tabla1[[#This Row],[Porcentaje de muertes]]&gt;0.35,Tabla1[[#This Row],[Porcentaje de muertes]]&lt;0.65),"MEDIO",Tabla1[[#This Row],[Porcentaje de muertes]]&gt;0.65,"GRAVE")</f>
        <v>GRAVE</v>
      </c>
    </row>
    <row r="4690" spans="2:24" x14ac:dyDescent="0.3">
      <c r="B4690" s="9">
        <v>4691</v>
      </c>
      <c r="C4690" s="49">
        <v>39814</v>
      </c>
      <c r="D4690" s="9">
        <f>YEAR(Tabla1[[#This Row],[Date]])</f>
        <v>2009</v>
      </c>
      <c r="E4690" s="9" t="str" cm="1">
        <f t="array" ref="E4690">IFERROR(_xlfn.IFS(AND(D4690&lt;1980,D4690&gt;=1970),"70",AND(D4690&lt;1990,D4690&gt;=1980),"80",AND(D4690&lt;2000,D4690&gt;=1990),"90",AND(D4690&lt;2010,D4690&gt;=2000),"00",AND(D4690&lt;=2019,D4690&gt;=2010),"10"),"1908-1970")</f>
        <v>00</v>
      </c>
      <c r="F4690" s="3">
        <v>0.19236111111111112</v>
      </c>
      <c r="G4690" t="s">
        <v>26628</v>
      </c>
      <c r="H4690" t="s">
        <v>26629</v>
      </c>
      <c r="I4690">
        <v>8284</v>
      </c>
      <c r="J4690" t="s">
        <v>26630</v>
      </c>
      <c r="K4690" t="s">
        <v>26631</v>
      </c>
      <c r="L4690" s="7" t="s">
        <v>26632</v>
      </c>
      <c r="M4690">
        <v>175</v>
      </c>
      <c r="N4690">
        <v>2</v>
      </c>
      <c r="O4690">
        <v>0</v>
      </c>
      <c r="P4690">
        <v>2</v>
      </c>
      <c r="Q4690">
        <v>2</v>
      </c>
      <c r="R4690">
        <v>0</v>
      </c>
      <c r="S4690">
        <v>2</v>
      </c>
      <c r="T4690">
        <v>0</v>
      </c>
      <c r="U4690" t="s">
        <v>26633</v>
      </c>
      <c r="V4690">
        <f>Tabla1[[#This Row],[Aboard]]-Tabla1[[#This Row],[Fatalities]]</f>
        <v>0</v>
      </c>
      <c r="W4690" s="50">
        <f>IFERROR(Tabla1[[#This Row],[Fatalities]]/Tabla1[[#This Row],[Aboard]],0)</f>
        <v>1</v>
      </c>
      <c r="X4690" s="51" t="str" cm="1">
        <f t="array" ref="X4690">_xlfn.IFS(Tabla1[[#This Row],[Porcentaje de muertes]]&lt;0.35,"LEVE",AND(Tabla1[[#This Row],[Porcentaje de muertes]]&gt;0.35,Tabla1[[#This Row],[Porcentaje de muertes]]&lt;0.65),"MEDIO",Tabla1[[#This Row],[Porcentaje de muertes]]&gt;0.65,"GRAVE")</f>
        <v>GRAVE</v>
      </c>
    </row>
    <row r="4691" spans="2:24" x14ac:dyDescent="0.3">
      <c r="B4691" s="9">
        <v>4692</v>
      </c>
      <c r="C4691" s="49">
        <v>39904</v>
      </c>
      <c r="D4691" s="9">
        <f>YEAR(Tabla1[[#This Row],[Date]])</f>
        <v>2009</v>
      </c>
      <c r="E4691" s="9" t="str" cm="1">
        <f t="array" ref="E4691">IFERROR(_xlfn.IFS(AND(D4691&lt;1980,D4691&gt;=1970),"70",AND(D4691&lt;1990,D4691&gt;=1980),"80",AND(D4691&lt;2000,D4691&gt;=1990),"90",AND(D4691&lt;2010,D4691&gt;=2000),"00",AND(D4691&lt;=2019,D4691&gt;=2010),"10"),"1908-1970")</f>
        <v>00</v>
      </c>
      <c r="F4691" s="3">
        <v>0.64583333333333337</v>
      </c>
      <c r="G4691" t="s">
        <v>26634</v>
      </c>
      <c r="H4691" t="s">
        <v>26635</v>
      </c>
      <c r="I4691" t="s">
        <v>28931</v>
      </c>
      <c r="J4691" t="s">
        <v>26636</v>
      </c>
      <c r="K4691" t="s">
        <v>26637</v>
      </c>
      <c r="L4691" s="7" t="s">
        <v>26638</v>
      </c>
      <c r="M4691">
        <v>760629</v>
      </c>
      <c r="N4691">
        <v>9</v>
      </c>
      <c r="O4691">
        <v>7</v>
      </c>
      <c r="P4691">
        <v>2</v>
      </c>
      <c r="Q4691">
        <v>8</v>
      </c>
      <c r="R4691">
        <v>6</v>
      </c>
      <c r="S4691">
        <v>2</v>
      </c>
      <c r="T4691">
        <v>0</v>
      </c>
      <c r="U4691" t="s">
        <v>26639</v>
      </c>
      <c r="V4691">
        <f>Tabla1[[#This Row],[Aboard]]-Tabla1[[#This Row],[Fatalities]]</f>
        <v>1</v>
      </c>
      <c r="W4691" s="50">
        <f>IFERROR(Tabla1[[#This Row],[Fatalities]]/Tabla1[[#This Row],[Aboard]],0)</f>
        <v>0.88888888888888884</v>
      </c>
      <c r="X4691" s="51" t="str" cm="1">
        <f t="array" ref="X4691">_xlfn.IFS(Tabla1[[#This Row],[Porcentaje de muertes]]&lt;0.35,"LEVE",AND(Tabla1[[#This Row],[Porcentaje de muertes]]&gt;0.35,Tabla1[[#This Row],[Porcentaje de muertes]]&lt;0.65),"MEDIO",Tabla1[[#This Row],[Porcentaje de muertes]]&gt;0.65,"GRAVE")</f>
        <v>GRAVE</v>
      </c>
    </row>
    <row r="4692" spans="2:24" x14ac:dyDescent="0.3">
      <c r="B4692" s="9">
        <v>4693</v>
      </c>
      <c r="C4692" s="49">
        <v>39828</v>
      </c>
      <c r="D4692" s="9">
        <f>YEAR(Tabla1[[#This Row],[Date]])</f>
        <v>2009</v>
      </c>
      <c r="E4692" s="9" t="str" cm="1">
        <f t="array" ref="E4692">IFERROR(_xlfn.IFS(AND(D4692&lt;1980,D4692&gt;=1970),"70",AND(D4692&lt;1990,D4692&gt;=1980),"80",AND(D4692&lt;2000,D4692&gt;=1990),"90",AND(D4692&lt;2010,D4692&gt;=2000),"00",AND(D4692&lt;=2019,D4692&gt;=2010),"10"),"1908-1970")</f>
        <v>00</v>
      </c>
      <c r="F4692" s="3" t="s">
        <v>28931</v>
      </c>
      <c r="G4692" t="s">
        <v>26640</v>
      </c>
      <c r="H4692" t="s">
        <v>26064</v>
      </c>
      <c r="I4692" t="s">
        <v>28931</v>
      </c>
      <c r="J4692" t="s">
        <v>28931</v>
      </c>
      <c r="K4692" t="s">
        <v>23112</v>
      </c>
      <c r="L4692" s="7" t="s">
        <v>28931</v>
      </c>
      <c r="M4692" t="s">
        <v>28931</v>
      </c>
      <c r="N4692">
        <v>13</v>
      </c>
      <c r="O4692" t="s">
        <v>5038</v>
      </c>
      <c r="P4692" t="s">
        <v>5038</v>
      </c>
      <c r="Q4692">
        <v>13</v>
      </c>
      <c r="R4692" t="s">
        <v>5038</v>
      </c>
      <c r="S4692" t="s">
        <v>5038</v>
      </c>
      <c r="T4692">
        <v>0</v>
      </c>
      <c r="U4692" t="s">
        <v>26641</v>
      </c>
      <c r="V4692">
        <f>Tabla1[[#This Row],[Aboard]]-Tabla1[[#This Row],[Fatalities]]</f>
        <v>0</v>
      </c>
      <c r="W4692" s="50">
        <f>IFERROR(Tabla1[[#This Row],[Fatalities]]/Tabla1[[#This Row],[Aboard]],0)</f>
        <v>1</v>
      </c>
      <c r="X4692" s="51" t="str" cm="1">
        <f t="array" ref="X4692">_xlfn.IFS(Tabla1[[#This Row],[Porcentaje de muertes]]&lt;0.35,"LEVE",AND(Tabla1[[#This Row],[Porcentaje de muertes]]&gt;0.35,Tabla1[[#This Row],[Porcentaje de muertes]]&lt;0.65),"MEDIO",Tabla1[[#This Row],[Porcentaje de muertes]]&gt;0.65,"GRAVE")</f>
        <v>GRAVE</v>
      </c>
    </row>
    <row r="4693" spans="2:24" x14ac:dyDescent="0.3">
      <c r="B4693" s="9">
        <v>4694</v>
      </c>
      <c r="C4693" s="49">
        <v>39828</v>
      </c>
      <c r="D4693" s="9">
        <f>YEAR(Tabla1[[#This Row],[Date]])</f>
        <v>2009</v>
      </c>
      <c r="E4693" s="9" t="str" cm="1">
        <f t="array" ref="E4693">IFERROR(_xlfn.IFS(AND(D4693&lt;1980,D4693&gt;=1970),"70",AND(D4693&lt;1990,D4693&gt;=1980),"80",AND(D4693&lt;2000,D4693&gt;=1990),"90",AND(D4693&lt;2010,D4693&gt;=2000),"00",AND(D4693&lt;=2019,D4693&gt;=2010),"10"),"1908-1970")</f>
        <v>00</v>
      </c>
      <c r="F4693" s="3">
        <v>0.62916666666666665</v>
      </c>
      <c r="G4693" t="s">
        <v>5425</v>
      </c>
      <c r="H4693" t="s">
        <v>26642</v>
      </c>
      <c r="I4693">
        <v>1549</v>
      </c>
      <c r="J4693" t="s">
        <v>26643</v>
      </c>
      <c r="K4693" t="s">
        <v>26644</v>
      </c>
      <c r="L4693" s="7" t="s">
        <v>26645</v>
      </c>
      <c r="M4693">
        <v>1044</v>
      </c>
      <c r="N4693">
        <v>155</v>
      </c>
      <c r="O4693">
        <v>150</v>
      </c>
      <c r="P4693">
        <v>5</v>
      </c>
      <c r="Q4693">
        <v>0</v>
      </c>
      <c r="R4693">
        <v>0</v>
      </c>
      <c r="S4693">
        <v>0</v>
      </c>
      <c r="T4693">
        <v>0</v>
      </c>
      <c r="U4693" t="s">
        <v>26646</v>
      </c>
      <c r="V4693">
        <f>Tabla1[[#This Row],[Aboard]]-Tabla1[[#This Row],[Fatalities]]</f>
        <v>155</v>
      </c>
      <c r="W4693" s="50">
        <f>IFERROR(Tabla1[[#This Row],[Fatalities]]/Tabla1[[#This Row],[Aboard]],0)</f>
        <v>0</v>
      </c>
      <c r="X4693" s="51" t="str" cm="1">
        <f t="array" ref="X4693">_xlfn.IFS(Tabla1[[#This Row],[Porcentaje de muertes]]&lt;0.35,"LEVE",AND(Tabla1[[#This Row],[Porcentaje de muertes]]&gt;0.35,Tabla1[[#This Row],[Porcentaje de muertes]]&lt;0.65),"MEDIO",Tabla1[[#This Row],[Porcentaje de muertes]]&gt;0.65,"GRAVE")</f>
        <v>LEVE</v>
      </c>
    </row>
    <row r="4694" spans="2:24" x14ac:dyDescent="0.3">
      <c r="B4694" s="9">
        <v>4695</v>
      </c>
      <c r="C4694" s="49">
        <v>39996</v>
      </c>
      <c r="D4694" s="9">
        <f>YEAR(Tabla1[[#This Row],[Date]])</f>
        <v>2009</v>
      </c>
      <c r="E4694" s="9" t="str" cm="1">
        <f t="array" ref="E4694">IFERROR(_xlfn.IFS(AND(D4694&lt;1980,D4694&gt;=1970),"70",AND(D4694&lt;1990,D4694&gt;=1980),"80",AND(D4694&lt;2000,D4694&gt;=1990),"90",AND(D4694&lt;2010,D4694&gt;=2000),"00",AND(D4694&lt;=2019,D4694&gt;=2010),"10"),"1908-1970")</f>
        <v>00</v>
      </c>
      <c r="F4694" s="3">
        <v>0.58333333333333337</v>
      </c>
      <c r="G4694" t="s">
        <v>26647</v>
      </c>
      <c r="H4694" t="s">
        <v>26648</v>
      </c>
      <c r="I4694" t="s">
        <v>28931</v>
      </c>
      <c r="J4694" t="s">
        <v>26649</v>
      </c>
      <c r="K4694" t="s">
        <v>26650</v>
      </c>
      <c r="L4694" s="7" t="s">
        <v>26651</v>
      </c>
      <c r="M4694">
        <v>110352</v>
      </c>
      <c r="N4694">
        <v>28</v>
      </c>
      <c r="O4694">
        <v>26</v>
      </c>
      <c r="P4694">
        <v>2</v>
      </c>
      <c r="Q4694">
        <v>24</v>
      </c>
      <c r="R4694">
        <v>22</v>
      </c>
      <c r="S4694">
        <v>2</v>
      </c>
      <c r="T4694">
        <v>0</v>
      </c>
      <c r="U4694" t="s">
        <v>26652</v>
      </c>
      <c r="V4694">
        <f>Tabla1[[#This Row],[Aboard]]-Tabla1[[#This Row],[Fatalities]]</f>
        <v>4</v>
      </c>
      <c r="W4694" s="50">
        <f>IFERROR(Tabla1[[#This Row],[Fatalities]]/Tabla1[[#This Row],[Aboard]],0)</f>
        <v>0.8571428571428571</v>
      </c>
      <c r="X4694" s="51" t="str" cm="1">
        <f t="array" ref="X4694">_xlfn.IFS(Tabla1[[#This Row],[Porcentaje de muertes]]&lt;0.35,"LEVE",AND(Tabla1[[#This Row],[Porcentaje de muertes]]&gt;0.35,Tabla1[[#This Row],[Porcentaje de muertes]]&lt;0.65),"MEDIO",Tabla1[[#This Row],[Porcentaje de muertes]]&gt;0.65,"GRAVE")</f>
        <v>GRAVE</v>
      </c>
    </row>
    <row r="4695" spans="2:24" x14ac:dyDescent="0.3">
      <c r="B4695" s="9">
        <v>4696</v>
      </c>
      <c r="C4695" s="49">
        <v>40149</v>
      </c>
      <c r="D4695" s="9">
        <f>YEAR(Tabla1[[#This Row],[Date]])</f>
        <v>2009</v>
      </c>
      <c r="E4695" s="9" t="str" cm="1">
        <f t="array" ref="E4695">IFERROR(_xlfn.IFS(AND(D4695&lt;1980,D4695&gt;=1970),"70",AND(D4695&lt;1990,D4695&gt;=1980),"80",AND(D4695&lt;2000,D4695&gt;=1990),"90",AND(D4695&lt;2010,D4695&gt;=2000),"00",AND(D4695&lt;=2019,D4695&gt;=2010),"10"),"1908-1970")</f>
        <v>00</v>
      </c>
      <c r="F4695" s="3">
        <v>0.92847222222222225</v>
      </c>
      <c r="G4695" t="s">
        <v>26653</v>
      </c>
      <c r="H4695" t="s">
        <v>26654</v>
      </c>
      <c r="I4695">
        <v>3407</v>
      </c>
      <c r="J4695" t="s">
        <v>26655</v>
      </c>
      <c r="K4695" t="s">
        <v>26656</v>
      </c>
      <c r="L4695" s="7" t="s">
        <v>26657</v>
      </c>
      <c r="M4695">
        <v>4200</v>
      </c>
      <c r="N4695">
        <v>49</v>
      </c>
      <c r="O4695">
        <v>44</v>
      </c>
      <c r="P4695">
        <v>5</v>
      </c>
      <c r="Q4695">
        <v>49</v>
      </c>
      <c r="R4695">
        <v>44</v>
      </c>
      <c r="S4695">
        <v>5</v>
      </c>
      <c r="T4695">
        <v>1</v>
      </c>
      <c r="U4695" t="s">
        <v>26658</v>
      </c>
      <c r="V4695">
        <f>Tabla1[[#This Row],[Aboard]]-Tabla1[[#This Row],[Fatalities]]</f>
        <v>0</v>
      </c>
      <c r="W4695" s="50">
        <f>IFERROR(Tabla1[[#This Row],[Fatalities]]/Tabla1[[#This Row],[Aboard]],0)</f>
        <v>1</v>
      </c>
      <c r="X4695" s="51" t="str" cm="1">
        <f t="array" ref="X4695">_xlfn.IFS(Tabla1[[#This Row],[Porcentaje de muertes]]&lt;0.35,"LEVE",AND(Tabla1[[#This Row],[Porcentaje de muertes]]&gt;0.35,Tabla1[[#This Row],[Porcentaje de muertes]]&lt;0.65),"MEDIO",Tabla1[[#This Row],[Porcentaje de muertes]]&gt;0.65,"GRAVE")</f>
        <v>GRAVE</v>
      </c>
    </row>
    <row r="4696" spans="2:24" x14ac:dyDescent="0.3">
      <c r="B4696" s="9">
        <v>4697</v>
      </c>
      <c r="C4696" s="49">
        <v>39859</v>
      </c>
      <c r="D4696" s="9">
        <f>YEAR(Tabla1[[#This Row],[Date]])</f>
        <v>2009</v>
      </c>
      <c r="E4696" s="9" t="str" cm="1">
        <f t="array" ref="E4696">IFERROR(_xlfn.IFS(AND(D4696&lt;1980,D4696&gt;=1970),"70",AND(D4696&lt;1990,D4696&gt;=1980),"80",AND(D4696&lt;2000,D4696&gt;=1990),"90",AND(D4696&lt;2010,D4696&gt;=2000),"00",AND(D4696&lt;=2019,D4696&gt;=2010),"10"),"1908-1970")</f>
        <v>00</v>
      </c>
      <c r="F4696" s="3">
        <v>0.80208333333333337</v>
      </c>
      <c r="G4696" t="s">
        <v>26659</v>
      </c>
      <c r="H4696" t="s">
        <v>26660</v>
      </c>
      <c r="I4696" t="s">
        <v>28931</v>
      </c>
      <c r="J4696" t="s">
        <v>28931</v>
      </c>
      <c r="K4696" t="s">
        <v>19614</v>
      </c>
      <c r="L4696" s="7" t="s">
        <v>26661</v>
      </c>
      <c r="M4696" t="s">
        <v>28931</v>
      </c>
      <c r="N4696">
        <v>13</v>
      </c>
      <c r="O4696">
        <v>12</v>
      </c>
      <c r="P4696">
        <v>1</v>
      </c>
      <c r="Q4696">
        <v>13</v>
      </c>
      <c r="R4696">
        <v>12</v>
      </c>
      <c r="S4696">
        <v>1</v>
      </c>
      <c r="T4696">
        <v>0</v>
      </c>
      <c r="U4696" t="s">
        <v>26662</v>
      </c>
      <c r="V4696">
        <f>Tabla1[[#This Row],[Aboard]]-Tabla1[[#This Row],[Fatalities]]</f>
        <v>0</v>
      </c>
      <c r="W4696" s="50">
        <f>IFERROR(Tabla1[[#This Row],[Fatalities]]/Tabla1[[#This Row],[Aboard]],0)</f>
        <v>1</v>
      </c>
      <c r="X4696" s="51" t="str" cm="1">
        <f t="array" ref="X4696">_xlfn.IFS(Tabla1[[#This Row],[Porcentaje de muertes]]&lt;0.35,"LEVE",AND(Tabla1[[#This Row],[Porcentaje de muertes]]&gt;0.35,Tabla1[[#This Row],[Porcentaje de muertes]]&lt;0.65),"MEDIO",Tabla1[[#This Row],[Porcentaje de muertes]]&gt;0.65,"GRAVE")</f>
        <v>GRAVE</v>
      </c>
    </row>
    <row r="4697" spans="2:24" x14ac:dyDescent="0.3">
      <c r="B4697" s="9">
        <v>4698</v>
      </c>
      <c r="C4697" s="49">
        <v>39864</v>
      </c>
      <c r="D4697" s="9">
        <f>YEAR(Tabla1[[#This Row],[Date]])</f>
        <v>2009</v>
      </c>
      <c r="E4697" s="9" t="str" cm="1">
        <f t="array" ref="E4697">IFERROR(_xlfn.IFS(AND(D4697&lt;1980,D4697&gt;=1970),"70",AND(D4697&lt;1990,D4697&gt;=1980),"80",AND(D4697&lt;2000,D4697&gt;=1990),"90",AND(D4697&lt;2010,D4697&gt;=2000),"00",AND(D4697&lt;=2019,D4697&gt;=2010),"10"),"1908-1970")</f>
        <v>00</v>
      </c>
      <c r="F4697" s="3">
        <v>0.17361111111111113</v>
      </c>
      <c r="G4697" t="s">
        <v>20398</v>
      </c>
      <c r="H4697" t="s">
        <v>26663</v>
      </c>
      <c r="I4697" t="s">
        <v>28931</v>
      </c>
      <c r="J4697" t="s">
        <v>26664</v>
      </c>
      <c r="K4697" t="s">
        <v>25933</v>
      </c>
      <c r="L4697" s="7" t="s">
        <v>26665</v>
      </c>
      <c r="M4697">
        <v>6344310</v>
      </c>
      <c r="N4697">
        <v>5</v>
      </c>
      <c r="O4697">
        <v>0</v>
      </c>
      <c r="P4697">
        <v>5</v>
      </c>
      <c r="Q4697">
        <v>5</v>
      </c>
      <c r="R4697">
        <v>0</v>
      </c>
      <c r="S4697">
        <v>5</v>
      </c>
      <c r="T4697">
        <v>0</v>
      </c>
      <c r="U4697" t="s">
        <v>26666</v>
      </c>
      <c r="V4697">
        <f>Tabla1[[#This Row],[Aboard]]-Tabla1[[#This Row],[Fatalities]]</f>
        <v>0</v>
      </c>
      <c r="W4697" s="50">
        <f>IFERROR(Tabla1[[#This Row],[Fatalities]]/Tabla1[[#This Row],[Aboard]],0)</f>
        <v>1</v>
      </c>
      <c r="X4697" s="51" t="str" cm="1">
        <f t="array" ref="X4697">_xlfn.IFS(Tabla1[[#This Row],[Porcentaje de muertes]]&lt;0.35,"LEVE",AND(Tabla1[[#This Row],[Porcentaje de muertes]]&gt;0.35,Tabla1[[#This Row],[Porcentaje de muertes]]&lt;0.65),"MEDIO",Tabla1[[#This Row],[Porcentaje de muertes]]&gt;0.65,"GRAVE")</f>
        <v>GRAVE</v>
      </c>
    </row>
    <row r="4698" spans="2:24" x14ac:dyDescent="0.3">
      <c r="B4698" s="9">
        <v>4699</v>
      </c>
      <c r="C4698" s="49">
        <v>39869</v>
      </c>
      <c r="D4698" s="9">
        <f>YEAR(Tabla1[[#This Row],[Date]])</f>
        <v>2009</v>
      </c>
      <c r="E4698" s="9" t="str" cm="1">
        <f t="array" ref="E4698">IFERROR(_xlfn.IFS(AND(D4698&lt;1980,D4698&gt;=1970),"70",AND(D4698&lt;1990,D4698&gt;=1980),"80",AND(D4698&lt;2000,D4698&gt;=1990),"90",AND(D4698&lt;2010,D4698&gt;=2000),"00",AND(D4698&lt;=2019,D4698&gt;=2010),"10"),"1908-1970")</f>
        <v>00</v>
      </c>
      <c r="F4698" s="3">
        <v>0.4381944444444445</v>
      </c>
      <c r="G4698" t="s">
        <v>6622</v>
      </c>
      <c r="H4698" t="s">
        <v>26667</v>
      </c>
      <c r="I4698">
        <v>1951</v>
      </c>
      <c r="J4698" t="s">
        <v>26668</v>
      </c>
      <c r="K4698" t="s">
        <v>28939</v>
      </c>
      <c r="L4698" s="7" t="s">
        <v>26669</v>
      </c>
      <c r="M4698" t="s">
        <v>26670</v>
      </c>
      <c r="N4698">
        <v>134</v>
      </c>
      <c r="O4698">
        <v>127</v>
      </c>
      <c r="P4698">
        <v>7</v>
      </c>
      <c r="Q4698">
        <v>9</v>
      </c>
      <c r="R4698">
        <v>6</v>
      </c>
      <c r="S4698">
        <v>3</v>
      </c>
      <c r="T4698">
        <v>0</v>
      </c>
      <c r="U4698" t="s">
        <v>26671</v>
      </c>
      <c r="V4698">
        <f>Tabla1[[#This Row],[Aboard]]-Tabla1[[#This Row],[Fatalities]]</f>
        <v>125</v>
      </c>
      <c r="W4698" s="50">
        <f>IFERROR(Tabla1[[#This Row],[Fatalities]]/Tabla1[[#This Row],[Aboard]],0)</f>
        <v>6.7164179104477612E-2</v>
      </c>
      <c r="X4698" s="51" t="str" cm="1">
        <f t="array" ref="X4698">_xlfn.IFS(Tabla1[[#This Row],[Porcentaje de muertes]]&lt;0.35,"LEVE",AND(Tabla1[[#This Row],[Porcentaje de muertes]]&gt;0.35,Tabla1[[#This Row],[Porcentaje de muertes]]&lt;0.65),"MEDIO",Tabla1[[#This Row],[Porcentaje de muertes]]&gt;0.65,"GRAVE")</f>
        <v>LEVE</v>
      </c>
    </row>
    <row r="4699" spans="2:24" x14ac:dyDescent="0.3">
      <c r="B4699" s="9">
        <v>4700</v>
      </c>
      <c r="C4699" s="49">
        <v>40059</v>
      </c>
      <c r="D4699" s="9">
        <f>YEAR(Tabla1[[#This Row],[Date]])</f>
        <v>2009</v>
      </c>
      <c r="E4699" s="9" t="str" cm="1">
        <f t="array" ref="E4699">IFERROR(_xlfn.IFS(AND(D4699&lt;1980,D4699&gt;=1970),"70",AND(D4699&lt;1990,D4699&gt;=1980),"80",AND(D4699&lt;2000,D4699&gt;=1990),"90",AND(D4699&lt;2010,D4699&gt;=2000),"00",AND(D4699&lt;=2019,D4699&gt;=2010),"10"),"1908-1970")</f>
        <v>00</v>
      </c>
      <c r="F4699" s="3">
        <v>0.23611111111111113</v>
      </c>
      <c r="G4699" t="s">
        <v>26672</v>
      </c>
      <c r="H4699" t="s">
        <v>26663</v>
      </c>
      <c r="I4699" t="s">
        <v>28931</v>
      </c>
      <c r="J4699" t="s">
        <v>26673</v>
      </c>
      <c r="K4699" t="s">
        <v>26674</v>
      </c>
      <c r="L4699" s="7" t="s">
        <v>26675</v>
      </c>
      <c r="M4699">
        <v>73410301</v>
      </c>
      <c r="N4699">
        <v>11</v>
      </c>
      <c r="O4699">
        <v>7</v>
      </c>
      <c r="P4699">
        <v>4</v>
      </c>
      <c r="Q4699">
        <v>11</v>
      </c>
      <c r="R4699">
        <v>7</v>
      </c>
      <c r="S4699">
        <v>4</v>
      </c>
      <c r="T4699">
        <v>0</v>
      </c>
      <c r="U4699" t="s">
        <v>26676</v>
      </c>
      <c r="V4699">
        <f>Tabla1[[#This Row],[Aboard]]-Tabla1[[#This Row],[Fatalities]]</f>
        <v>0</v>
      </c>
      <c r="W4699" s="50">
        <f>IFERROR(Tabla1[[#This Row],[Fatalities]]/Tabla1[[#This Row],[Aboard]],0)</f>
        <v>1</v>
      </c>
      <c r="X4699" s="51" t="str" cm="1">
        <f t="array" ref="X4699">_xlfn.IFS(Tabla1[[#This Row],[Porcentaje de muertes]]&lt;0.35,"LEVE",AND(Tabla1[[#This Row],[Porcentaje de muertes]]&gt;0.35,Tabla1[[#This Row],[Porcentaje de muertes]]&lt;0.65),"MEDIO",Tabla1[[#This Row],[Porcentaje de muertes]]&gt;0.65,"GRAVE")</f>
        <v>GRAVE</v>
      </c>
    </row>
    <row r="4700" spans="2:24" x14ac:dyDescent="0.3">
      <c r="B4700" s="9">
        <v>4701</v>
      </c>
      <c r="C4700" s="49">
        <v>40150</v>
      </c>
      <c r="D4700" s="9">
        <f>YEAR(Tabla1[[#This Row],[Date]])</f>
        <v>2009</v>
      </c>
      <c r="E4700" s="9" t="str" cm="1">
        <f t="array" ref="E4700">IFERROR(_xlfn.IFS(AND(D4700&lt;1980,D4700&gt;=1970),"70",AND(D4700&lt;1990,D4700&gt;=1980),"80",AND(D4700&lt;2000,D4700&gt;=1990),"90",AND(D4700&lt;2010,D4700&gt;=2000),"00",AND(D4700&lt;=2019,D4700&gt;=2010),"10"),"1908-1970")</f>
        <v>00</v>
      </c>
      <c r="F4700" s="3">
        <v>0.40833333333333338</v>
      </c>
      <c r="G4700" t="s">
        <v>26677</v>
      </c>
      <c r="H4700" t="s">
        <v>26678</v>
      </c>
      <c r="I4700" t="s">
        <v>28931</v>
      </c>
      <c r="J4700" t="s">
        <v>26679</v>
      </c>
      <c r="K4700" t="s">
        <v>26680</v>
      </c>
      <c r="L4700" s="7" t="s">
        <v>26681</v>
      </c>
      <c r="M4700">
        <v>920048</v>
      </c>
      <c r="N4700">
        <v>18</v>
      </c>
      <c r="O4700">
        <v>16</v>
      </c>
      <c r="P4700">
        <v>2</v>
      </c>
      <c r="Q4700">
        <v>17</v>
      </c>
      <c r="R4700">
        <v>15</v>
      </c>
      <c r="S4700">
        <v>2</v>
      </c>
      <c r="T4700">
        <v>0</v>
      </c>
      <c r="U4700" t="s">
        <v>26682</v>
      </c>
      <c r="V4700">
        <f>Tabla1[[#This Row],[Aboard]]-Tabla1[[#This Row],[Fatalities]]</f>
        <v>1</v>
      </c>
      <c r="W4700" s="50">
        <f>IFERROR(Tabla1[[#This Row],[Fatalities]]/Tabla1[[#This Row],[Aboard]],0)</f>
        <v>0.94444444444444442</v>
      </c>
      <c r="X4700" s="51" t="str" cm="1">
        <f t="array" ref="X4700">_xlfn.IFS(Tabla1[[#This Row],[Porcentaje de muertes]]&lt;0.35,"LEVE",AND(Tabla1[[#This Row],[Porcentaje de muertes]]&gt;0.35,Tabla1[[#This Row],[Porcentaje de muertes]]&lt;0.65),"MEDIO",Tabla1[[#This Row],[Porcentaje de muertes]]&gt;0.65,"GRAVE")</f>
        <v>GRAVE</v>
      </c>
    </row>
    <row r="4701" spans="2:24" x14ac:dyDescent="0.3">
      <c r="B4701" s="9">
        <v>4702</v>
      </c>
      <c r="C4701" s="49">
        <v>39894</v>
      </c>
      <c r="D4701" s="9">
        <f>YEAR(Tabla1[[#This Row],[Date]])</f>
        <v>2009</v>
      </c>
      <c r="E4701" s="9" t="str" cm="1">
        <f t="array" ref="E4701">IFERROR(_xlfn.IFS(AND(D4701&lt;1980,D4701&gt;=1970),"70",AND(D4701&lt;1990,D4701&gt;=1980),"80",AND(D4701&lt;2000,D4701&gt;=1990),"90",AND(D4701&lt;2010,D4701&gt;=2000),"00",AND(D4701&lt;=2019,D4701&gt;=2010),"10"),"1908-1970")</f>
        <v>00</v>
      </c>
      <c r="F4701" s="3">
        <v>0.60277777777777775</v>
      </c>
      <c r="G4701" t="s">
        <v>26683</v>
      </c>
      <c r="H4701" t="s">
        <v>26684</v>
      </c>
      <c r="I4701" t="s">
        <v>28931</v>
      </c>
      <c r="J4701" t="s">
        <v>26685</v>
      </c>
      <c r="K4701" t="s">
        <v>26686</v>
      </c>
      <c r="L4701" s="7" t="s">
        <v>26687</v>
      </c>
      <c r="M4701">
        <v>403</v>
      </c>
      <c r="N4701">
        <v>14</v>
      </c>
      <c r="O4701">
        <v>13</v>
      </c>
      <c r="P4701">
        <v>1</v>
      </c>
      <c r="Q4701">
        <v>14</v>
      </c>
      <c r="R4701">
        <v>13</v>
      </c>
      <c r="S4701">
        <v>1</v>
      </c>
      <c r="T4701">
        <v>0</v>
      </c>
      <c r="U4701" t="s">
        <v>26688</v>
      </c>
      <c r="V4701">
        <f>Tabla1[[#This Row],[Aboard]]-Tabla1[[#This Row],[Fatalities]]</f>
        <v>0</v>
      </c>
      <c r="W4701" s="50">
        <f>IFERROR(Tabla1[[#This Row],[Fatalities]]/Tabla1[[#This Row],[Aboard]],0)</f>
        <v>1</v>
      </c>
      <c r="X4701" s="51" t="str" cm="1">
        <f t="array" ref="X4701">_xlfn.IFS(Tabla1[[#This Row],[Porcentaje de muertes]]&lt;0.35,"LEVE",AND(Tabla1[[#This Row],[Porcentaje de muertes]]&gt;0.35,Tabla1[[#This Row],[Porcentaje de muertes]]&lt;0.65),"MEDIO",Tabla1[[#This Row],[Porcentaje de muertes]]&gt;0.65,"GRAVE")</f>
        <v>GRAVE</v>
      </c>
    </row>
    <row r="4702" spans="2:24" x14ac:dyDescent="0.3">
      <c r="B4702" s="9">
        <v>4703</v>
      </c>
      <c r="C4702" s="49">
        <v>39895</v>
      </c>
      <c r="D4702" s="9">
        <f>YEAR(Tabla1[[#This Row],[Date]])</f>
        <v>2009</v>
      </c>
      <c r="E4702" s="9" t="str" cm="1">
        <f t="array" ref="E4702">IFERROR(_xlfn.IFS(AND(D4702&lt;1980,D4702&gt;=1970),"70",AND(D4702&lt;1990,D4702&gt;=1980),"80",AND(D4702&lt;2000,D4702&gt;=1990),"90",AND(D4702&lt;2010,D4702&gt;=2000),"00",AND(D4702&lt;=2019,D4702&gt;=2010),"10"),"1908-1970")</f>
        <v>00</v>
      </c>
      <c r="F4702" s="3">
        <v>0.28333333333333333</v>
      </c>
      <c r="G4702" t="s">
        <v>7285</v>
      </c>
      <c r="H4702" t="s">
        <v>25423</v>
      </c>
      <c r="I4702">
        <v>80</v>
      </c>
      <c r="J4702" t="s">
        <v>26689</v>
      </c>
      <c r="K4702" t="s">
        <v>22212</v>
      </c>
      <c r="L4702" s="7" t="s">
        <v>26690</v>
      </c>
      <c r="M4702" t="s">
        <v>26691</v>
      </c>
      <c r="N4702">
        <v>2</v>
      </c>
      <c r="O4702">
        <v>0</v>
      </c>
      <c r="P4702">
        <v>2</v>
      </c>
      <c r="Q4702">
        <v>2</v>
      </c>
      <c r="R4702">
        <v>0</v>
      </c>
      <c r="S4702">
        <v>2</v>
      </c>
      <c r="T4702">
        <v>0</v>
      </c>
      <c r="U4702" t="s">
        <v>26692</v>
      </c>
      <c r="V4702">
        <f>Tabla1[[#This Row],[Aboard]]-Tabla1[[#This Row],[Fatalities]]</f>
        <v>0</v>
      </c>
      <c r="W4702" s="50">
        <f>IFERROR(Tabla1[[#This Row],[Fatalities]]/Tabla1[[#This Row],[Aboard]],0)</f>
        <v>1</v>
      </c>
      <c r="X4702" s="51" t="str" cm="1">
        <f t="array" ref="X4702">_xlfn.IFS(Tabla1[[#This Row],[Porcentaje de muertes]]&lt;0.35,"LEVE",AND(Tabla1[[#This Row],[Porcentaje de muertes]]&gt;0.35,Tabla1[[#This Row],[Porcentaje de muertes]]&lt;0.65),"MEDIO",Tabla1[[#This Row],[Porcentaje de muertes]]&gt;0.65,"GRAVE")</f>
        <v>GRAVE</v>
      </c>
    </row>
    <row r="4703" spans="2:24" x14ac:dyDescent="0.3">
      <c r="B4703" s="9">
        <v>4704</v>
      </c>
      <c r="C4703" s="49">
        <v>39817</v>
      </c>
      <c r="D4703" s="9">
        <f>YEAR(Tabla1[[#This Row],[Date]])</f>
        <v>2009</v>
      </c>
      <c r="E4703" s="9" t="str" cm="1">
        <f t="array" ref="E4703">IFERROR(_xlfn.IFS(AND(D4703&lt;1980,D4703&gt;=1970),"70",AND(D4703&lt;1990,D4703&gt;=1980),"80",AND(D4703&lt;2000,D4703&gt;=1990),"90",AND(D4703&lt;2010,D4703&gt;=2000),"00",AND(D4703&lt;=2019,D4703&gt;=2010),"10"),"1908-1970")</f>
        <v>00</v>
      </c>
      <c r="F4703" s="3">
        <v>0.58333333333333337</v>
      </c>
      <c r="G4703" t="s">
        <v>26693</v>
      </c>
      <c r="H4703" t="s">
        <v>26694</v>
      </c>
      <c r="I4703" t="s">
        <v>28931</v>
      </c>
      <c r="J4703" t="s">
        <v>26695</v>
      </c>
      <c r="K4703" t="s">
        <v>26696</v>
      </c>
      <c r="L4703" s="7" t="s">
        <v>26697</v>
      </c>
      <c r="M4703" t="s">
        <v>28931</v>
      </c>
      <c r="N4703">
        <v>16</v>
      </c>
      <c r="O4703">
        <v>14</v>
      </c>
      <c r="P4703">
        <v>2</v>
      </c>
      <c r="Q4703">
        <v>16</v>
      </c>
      <c r="R4703">
        <v>14</v>
      </c>
      <c r="S4703">
        <v>2</v>
      </c>
      <c r="T4703">
        <v>0</v>
      </c>
      <c r="U4703" t="s">
        <v>26698</v>
      </c>
      <c r="V4703">
        <f>Tabla1[[#This Row],[Aboard]]-Tabla1[[#This Row],[Fatalities]]</f>
        <v>0</v>
      </c>
      <c r="W4703" s="50">
        <f>IFERROR(Tabla1[[#This Row],[Fatalities]]/Tabla1[[#This Row],[Aboard]],0)</f>
        <v>1</v>
      </c>
      <c r="X4703" s="51" t="str" cm="1">
        <f t="array" ref="X4703">_xlfn.IFS(Tabla1[[#This Row],[Porcentaje de muertes]]&lt;0.35,"LEVE",AND(Tabla1[[#This Row],[Porcentaje de muertes]]&gt;0.35,Tabla1[[#This Row],[Porcentaje de muertes]]&lt;0.65),"MEDIO",Tabla1[[#This Row],[Porcentaje de muertes]]&gt;0.65,"GRAVE")</f>
        <v>GRAVE</v>
      </c>
    </row>
    <row r="4704" spans="2:24" x14ac:dyDescent="0.3">
      <c r="B4704" s="9">
        <v>4705</v>
      </c>
      <c r="C4704" s="49">
        <v>39968</v>
      </c>
      <c r="D4704" s="9">
        <f>YEAR(Tabla1[[#This Row],[Date]])</f>
        <v>2009</v>
      </c>
      <c r="E4704" s="9" t="str" cm="1">
        <f t="array" ref="E4704">IFERROR(_xlfn.IFS(AND(D4704&lt;1980,D4704&gt;=1970),"70",AND(D4704&lt;1990,D4704&gt;=1980),"80",AND(D4704&lt;2000,D4704&gt;=1990),"90",AND(D4704&lt;2010,D4704&gt;=2000),"00",AND(D4704&lt;=2019,D4704&gt;=2010),"10"),"1908-1970")</f>
        <v>00</v>
      </c>
      <c r="F4704" s="3">
        <v>0.52083333333333337</v>
      </c>
      <c r="G4704" t="s">
        <v>23514</v>
      </c>
      <c r="H4704" t="s">
        <v>19984</v>
      </c>
      <c r="I4704" t="s">
        <v>28931</v>
      </c>
      <c r="J4704" t="s">
        <v>26699</v>
      </c>
      <c r="K4704" t="s">
        <v>15897</v>
      </c>
      <c r="L4704" s="7" t="s">
        <v>26700</v>
      </c>
      <c r="M4704">
        <v>10538</v>
      </c>
      <c r="N4704">
        <v>24</v>
      </c>
      <c r="O4704">
        <v>18</v>
      </c>
      <c r="P4704">
        <v>6</v>
      </c>
      <c r="Q4704">
        <v>24</v>
      </c>
      <c r="R4704">
        <v>18</v>
      </c>
      <c r="S4704">
        <v>6</v>
      </c>
      <c r="T4704">
        <v>0</v>
      </c>
      <c r="U4704" t="s">
        <v>26701</v>
      </c>
      <c r="V4704">
        <f>Tabla1[[#This Row],[Aboard]]-Tabla1[[#This Row],[Fatalities]]</f>
        <v>0</v>
      </c>
      <c r="W4704" s="50">
        <f>IFERROR(Tabla1[[#This Row],[Fatalities]]/Tabla1[[#This Row],[Aboard]],0)</f>
        <v>1</v>
      </c>
      <c r="X4704" s="51" t="str" cm="1">
        <f t="array" ref="X4704">_xlfn.IFS(Tabla1[[#This Row],[Porcentaje de muertes]]&lt;0.35,"LEVE",AND(Tabla1[[#This Row],[Porcentaje de muertes]]&gt;0.35,Tabla1[[#This Row],[Porcentaje de muertes]]&lt;0.65),"MEDIO",Tabla1[[#This Row],[Porcentaje de muertes]]&gt;0.65,"GRAVE")</f>
        <v>GRAVE</v>
      </c>
    </row>
    <row r="4705" spans="2:24" x14ac:dyDescent="0.3">
      <c r="B4705" s="9">
        <v>4706</v>
      </c>
      <c r="C4705" s="49">
        <v>40060</v>
      </c>
      <c r="D4705" s="9">
        <f>YEAR(Tabla1[[#This Row],[Date]])</f>
        <v>2009</v>
      </c>
      <c r="E4705" s="9" t="str" cm="1">
        <f t="array" ref="E4705">IFERROR(_xlfn.IFS(AND(D4705&lt;1980,D4705&gt;=1970),"70",AND(D4705&lt;1990,D4705&gt;=1980),"80",AND(D4705&lt;2000,D4705&gt;=1990),"90",AND(D4705&lt;2010,D4705&gt;=2000),"00",AND(D4705&lt;=2019,D4705&gt;=2010),"10"),"1908-1970")</f>
        <v>00</v>
      </c>
      <c r="F4705" s="3">
        <v>0.29166666666666669</v>
      </c>
      <c r="G4705" t="s">
        <v>19644</v>
      </c>
      <c r="H4705" t="s">
        <v>26702</v>
      </c>
      <c r="I4705" t="s">
        <v>28931</v>
      </c>
      <c r="J4705" t="s">
        <v>24680</v>
      </c>
      <c r="K4705" t="s">
        <v>26703</v>
      </c>
      <c r="L4705" s="7" t="s">
        <v>26704</v>
      </c>
      <c r="M4705" t="s">
        <v>26705</v>
      </c>
      <c r="N4705">
        <v>6</v>
      </c>
      <c r="O4705">
        <v>0</v>
      </c>
      <c r="P4705">
        <v>6</v>
      </c>
      <c r="Q4705">
        <v>6</v>
      </c>
      <c r="R4705">
        <v>0</v>
      </c>
      <c r="S4705">
        <v>6</v>
      </c>
      <c r="T4705">
        <v>0</v>
      </c>
      <c r="U4705" t="s">
        <v>26706</v>
      </c>
      <c r="V4705">
        <f>Tabla1[[#This Row],[Aboard]]-Tabla1[[#This Row],[Fatalities]]</f>
        <v>0</v>
      </c>
      <c r="W4705" s="50">
        <f>IFERROR(Tabla1[[#This Row],[Fatalities]]/Tabla1[[#This Row],[Aboard]],0)</f>
        <v>1</v>
      </c>
      <c r="X4705" s="51" t="str" cm="1">
        <f t="array" ref="X4705">_xlfn.IFS(Tabla1[[#This Row],[Porcentaje de muertes]]&lt;0.35,"LEVE",AND(Tabla1[[#This Row],[Porcentaje de muertes]]&gt;0.35,Tabla1[[#This Row],[Porcentaje de muertes]]&lt;0.65),"MEDIO",Tabla1[[#This Row],[Porcentaje de muertes]]&gt;0.65,"GRAVE")</f>
        <v>GRAVE</v>
      </c>
    </row>
    <row r="4706" spans="2:24" x14ac:dyDescent="0.3">
      <c r="B4706" s="9">
        <v>4707</v>
      </c>
      <c r="C4706" s="49">
        <v>39932</v>
      </c>
      <c r="D4706" s="9">
        <f>YEAR(Tabla1[[#This Row],[Date]])</f>
        <v>2009</v>
      </c>
      <c r="E4706" s="9" t="str" cm="1">
        <f t="array" ref="E4706">IFERROR(_xlfn.IFS(AND(D4706&lt;1980,D4706&gt;=1970),"70",AND(D4706&lt;1990,D4706&gt;=1980),"80",AND(D4706&lt;2000,D4706&gt;=1990),"90",AND(D4706&lt;2010,D4706&gt;=2000),"00",AND(D4706&lt;=2019,D4706&gt;=2010),"10"),"1908-1970")</f>
        <v>00</v>
      </c>
      <c r="F4706" s="3">
        <v>0.25</v>
      </c>
      <c r="G4706" t="s">
        <v>26707</v>
      </c>
      <c r="H4706" t="s">
        <v>26708</v>
      </c>
      <c r="I4706" t="s">
        <v>28931</v>
      </c>
      <c r="J4706" t="s">
        <v>26709</v>
      </c>
      <c r="K4706" t="s">
        <v>19157</v>
      </c>
      <c r="L4706" s="7" t="s">
        <v>26710</v>
      </c>
      <c r="M4706" t="s">
        <v>26711</v>
      </c>
      <c r="N4706">
        <v>7</v>
      </c>
      <c r="O4706">
        <v>5</v>
      </c>
      <c r="P4706">
        <v>2</v>
      </c>
      <c r="Q4706">
        <v>7</v>
      </c>
      <c r="R4706">
        <v>5</v>
      </c>
      <c r="S4706">
        <v>2</v>
      </c>
      <c r="T4706">
        <v>0</v>
      </c>
      <c r="U4706" t="s">
        <v>26712</v>
      </c>
      <c r="V4706">
        <f>Tabla1[[#This Row],[Aboard]]-Tabla1[[#This Row],[Fatalities]]</f>
        <v>0</v>
      </c>
      <c r="W4706" s="50">
        <f>IFERROR(Tabla1[[#This Row],[Fatalities]]/Tabla1[[#This Row],[Aboard]],0)</f>
        <v>1</v>
      </c>
      <c r="X4706" s="51" t="str" cm="1">
        <f t="array" ref="X4706">_xlfn.IFS(Tabla1[[#This Row],[Porcentaje de muertes]]&lt;0.35,"LEVE",AND(Tabla1[[#This Row],[Porcentaje de muertes]]&gt;0.35,Tabla1[[#This Row],[Porcentaje de muertes]]&lt;0.65),"MEDIO",Tabla1[[#This Row],[Porcentaje de muertes]]&gt;0.65,"GRAVE")</f>
        <v>GRAVE</v>
      </c>
    </row>
    <row r="4707" spans="2:24" x14ac:dyDescent="0.3">
      <c r="B4707" s="9">
        <v>4708</v>
      </c>
      <c r="C4707" s="49">
        <v>39877</v>
      </c>
      <c r="D4707" s="9">
        <f>YEAR(Tabla1[[#This Row],[Date]])</f>
        <v>2009</v>
      </c>
      <c r="E4707" s="9" t="str" cm="1">
        <f t="array" ref="E4707">IFERROR(_xlfn.IFS(AND(D4707&lt;1980,D4707&gt;=1970),"70",AND(D4707&lt;1990,D4707&gt;=1980),"80",AND(D4707&lt;2000,D4707&gt;=1990),"90",AND(D4707&lt;2010,D4707&gt;=2000),"00",AND(D4707&lt;=2019,D4707&gt;=2010),"10"),"1908-1970")</f>
        <v>00</v>
      </c>
      <c r="F4707" s="3">
        <v>0.5</v>
      </c>
      <c r="G4707" t="s">
        <v>26713</v>
      </c>
      <c r="H4707" t="s">
        <v>24170</v>
      </c>
      <c r="I4707" t="s">
        <v>28931</v>
      </c>
      <c r="J4707" t="s">
        <v>26714</v>
      </c>
      <c r="K4707" t="s">
        <v>26715</v>
      </c>
      <c r="L4707" s="7" t="s">
        <v>26716</v>
      </c>
      <c r="M4707" t="s">
        <v>28931</v>
      </c>
      <c r="N4707">
        <v>18</v>
      </c>
      <c r="O4707">
        <v>16</v>
      </c>
      <c r="P4707">
        <v>2</v>
      </c>
      <c r="Q4707">
        <v>18</v>
      </c>
      <c r="R4707">
        <v>16</v>
      </c>
      <c r="S4707">
        <v>2</v>
      </c>
      <c r="T4707">
        <v>0</v>
      </c>
      <c r="U4707" t="s">
        <v>26717</v>
      </c>
      <c r="V4707">
        <f>Tabla1[[#This Row],[Aboard]]-Tabla1[[#This Row],[Fatalities]]</f>
        <v>0</v>
      </c>
      <c r="W4707" s="50">
        <f>IFERROR(Tabla1[[#This Row],[Fatalities]]/Tabla1[[#This Row],[Aboard]],0)</f>
        <v>1</v>
      </c>
      <c r="X4707" s="51" t="str" cm="1">
        <f t="array" ref="X4707">_xlfn.IFS(Tabla1[[#This Row],[Porcentaje de muertes]]&lt;0.35,"LEVE",AND(Tabla1[[#This Row],[Porcentaje de muertes]]&gt;0.35,Tabla1[[#This Row],[Porcentaje de muertes]]&lt;0.65),"MEDIO",Tabla1[[#This Row],[Porcentaje de muertes]]&gt;0.65,"GRAVE")</f>
        <v>GRAVE</v>
      </c>
    </row>
    <row r="4708" spans="2:24" x14ac:dyDescent="0.3">
      <c r="B4708" s="9">
        <v>4709</v>
      </c>
      <c r="C4708" s="49">
        <v>39953</v>
      </c>
      <c r="D4708" s="9">
        <f>YEAR(Tabla1[[#This Row],[Date]])</f>
        <v>2009</v>
      </c>
      <c r="E4708" s="9" t="str" cm="1">
        <f t="array" ref="E4708">IFERROR(_xlfn.IFS(AND(D4708&lt;1980,D4708&gt;=1970),"70",AND(D4708&lt;1990,D4708&gt;=1980),"80",AND(D4708&lt;2000,D4708&gt;=1990),"90",AND(D4708&lt;2010,D4708&gt;=2000),"00",AND(D4708&lt;=2019,D4708&gt;=2010),"10"),"1908-1970")</f>
        <v>00</v>
      </c>
      <c r="F4708" s="3">
        <v>0.27083333333333331</v>
      </c>
      <c r="G4708" t="s">
        <v>26718</v>
      </c>
      <c r="H4708" t="s">
        <v>19984</v>
      </c>
      <c r="I4708" t="s">
        <v>28931</v>
      </c>
      <c r="J4708" t="s">
        <v>26719</v>
      </c>
      <c r="K4708" t="s">
        <v>17490</v>
      </c>
      <c r="L4708" s="7" t="s">
        <v>26720</v>
      </c>
      <c r="M4708">
        <v>1982</v>
      </c>
      <c r="N4708">
        <v>112</v>
      </c>
      <c r="O4708">
        <v>98</v>
      </c>
      <c r="P4708">
        <v>14</v>
      </c>
      <c r="Q4708">
        <v>112</v>
      </c>
      <c r="R4708">
        <v>98</v>
      </c>
      <c r="S4708">
        <v>14</v>
      </c>
      <c r="T4708">
        <v>2</v>
      </c>
      <c r="U4708" t="s">
        <v>26721</v>
      </c>
      <c r="V4708">
        <f>Tabla1[[#This Row],[Aboard]]-Tabla1[[#This Row],[Fatalities]]</f>
        <v>0</v>
      </c>
      <c r="W4708" s="50">
        <f>IFERROR(Tabla1[[#This Row],[Fatalities]]/Tabla1[[#This Row],[Aboard]],0)</f>
        <v>1</v>
      </c>
      <c r="X4708" s="51" t="str" cm="1">
        <f t="array" ref="X4708">_xlfn.IFS(Tabla1[[#This Row],[Porcentaje de muertes]]&lt;0.35,"LEVE",AND(Tabla1[[#This Row],[Porcentaje de muertes]]&gt;0.35,Tabla1[[#This Row],[Porcentaje de muertes]]&lt;0.65),"MEDIO",Tabla1[[#This Row],[Porcentaje de muertes]]&gt;0.65,"GRAVE")</f>
        <v>GRAVE</v>
      </c>
    </row>
    <row r="4709" spans="2:24" x14ac:dyDescent="0.3">
      <c r="B4709" s="9">
        <v>4710</v>
      </c>
      <c r="C4709" s="49">
        <v>39959</v>
      </c>
      <c r="D4709" s="9">
        <f>YEAR(Tabla1[[#This Row],[Date]])</f>
        <v>2009</v>
      </c>
      <c r="E4709" s="9" t="str" cm="1">
        <f t="array" ref="E4709">IFERROR(_xlfn.IFS(AND(D4709&lt;1980,D4709&gt;=1970),"70",AND(D4709&lt;1990,D4709&gt;=1980),"80",AND(D4709&lt;2000,D4709&gt;=1990),"90",AND(D4709&lt;2010,D4709&gt;=2000),"00",AND(D4709&lt;=2019,D4709&gt;=2010),"10"),"1908-1970")</f>
        <v>00</v>
      </c>
      <c r="F4709" s="3" t="s">
        <v>28931</v>
      </c>
      <c r="G4709" t="s">
        <v>26722</v>
      </c>
      <c r="H4709" t="s">
        <v>25980</v>
      </c>
      <c r="I4709" t="s">
        <v>28931</v>
      </c>
      <c r="J4709" t="s">
        <v>26723</v>
      </c>
      <c r="K4709" t="s">
        <v>16446</v>
      </c>
      <c r="L4709" s="7" t="s">
        <v>26724</v>
      </c>
      <c r="M4709">
        <v>5005</v>
      </c>
      <c r="N4709">
        <v>4</v>
      </c>
      <c r="O4709">
        <v>0</v>
      </c>
      <c r="P4709">
        <v>4</v>
      </c>
      <c r="Q4709">
        <v>4</v>
      </c>
      <c r="R4709">
        <v>0</v>
      </c>
      <c r="S4709">
        <v>3</v>
      </c>
      <c r="T4709" t="s">
        <v>5038</v>
      </c>
      <c r="U4709" t="s">
        <v>26725</v>
      </c>
      <c r="V4709">
        <f>Tabla1[[#This Row],[Aboard]]-Tabla1[[#This Row],[Fatalities]]</f>
        <v>0</v>
      </c>
      <c r="W4709" s="50">
        <f>IFERROR(Tabla1[[#This Row],[Fatalities]]/Tabla1[[#This Row],[Aboard]],0)</f>
        <v>1</v>
      </c>
      <c r="X4709" s="51" t="str" cm="1">
        <f t="array" ref="X4709">_xlfn.IFS(Tabla1[[#This Row],[Porcentaje de muertes]]&lt;0.35,"LEVE",AND(Tabla1[[#This Row],[Porcentaje de muertes]]&gt;0.35,Tabla1[[#This Row],[Porcentaje de muertes]]&lt;0.65),"MEDIO",Tabla1[[#This Row],[Porcentaje de muertes]]&gt;0.65,"GRAVE")</f>
        <v>GRAVE</v>
      </c>
    </row>
    <row r="4710" spans="2:24" x14ac:dyDescent="0.3">
      <c r="B4710" s="9">
        <v>4711</v>
      </c>
      <c r="C4710" s="49">
        <v>39819</v>
      </c>
      <c r="D4710" s="9">
        <f>YEAR(Tabla1[[#This Row],[Date]])</f>
        <v>2009</v>
      </c>
      <c r="E4710" s="9" t="str" cm="1">
        <f t="array" ref="E4710">IFERROR(_xlfn.IFS(AND(D4710&lt;1980,D4710&gt;=1970),"70",AND(D4710&lt;1990,D4710&gt;=1980),"80",AND(D4710&lt;2000,D4710&gt;=1990),"90",AND(D4710&lt;2010,D4710&gt;=2000),"00",AND(D4710&lt;=2019,D4710&gt;=2010),"10"),"1908-1970")</f>
        <v>00</v>
      </c>
      <c r="F4710" s="3">
        <v>1.0416666666666666E-2</v>
      </c>
      <c r="G4710" t="s">
        <v>26726</v>
      </c>
      <c r="H4710" t="s">
        <v>6375</v>
      </c>
      <c r="I4710">
        <v>447</v>
      </c>
      <c r="J4710" t="s">
        <v>26727</v>
      </c>
      <c r="K4710" t="s">
        <v>26728</v>
      </c>
      <c r="L4710" s="7" t="s">
        <v>26729</v>
      </c>
      <c r="M4710">
        <v>660</v>
      </c>
      <c r="N4710">
        <v>228</v>
      </c>
      <c r="O4710">
        <v>216</v>
      </c>
      <c r="P4710">
        <v>12</v>
      </c>
      <c r="Q4710">
        <v>228</v>
      </c>
      <c r="R4710">
        <v>216</v>
      </c>
      <c r="S4710">
        <v>12</v>
      </c>
      <c r="T4710">
        <v>0</v>
      </c>
      <c r="U4710" t="s">
        <v>26730</v>
      </c>
      <c r="V4710">
        <f>Tabla1[[#This Row],[Aboard]]-Tabla1[[#This Row],[Fatalities]]</f>
        <v>0</v>
      </c>
      <c r="W4710" s="50">
        <f>IFERROR(Tabla1[[#This Row],[Fatalities]]/Tabla1[[#This Row],[Aboard]],0)</f>
        <v>1</v>
      </c>
      <c r="X4710" s="51" t="str" cm="1">
        <f t="array" ref="X4710">_xlfn.IFS(Tabla1[[#This Row],[Porcentaje de muertes]]&lt;0.35,"LEVE",AND(Tabla1[[#This Row],[Porcentaje de muertes]]&gt;0.35,Tabla1[[#This Row],[Porcentaje de muertes]]&lt;0.65),"MEDIO",Tabla1[[#This Row],[Porcentaje de muertes]]&gt;0.65,"GRAVE")</f>
        <v>GRAVE</v>
      </c>
    </row>
    <row r="4711" spans="2:24" x14ac:dyDescent="0.3">
      <c r="B4711" s="9">
        <v>4712</v>
      </c>
      <c r="C4711" s="49">
        <v>40000</v>
      </c>
      <c r="D4711" s="9">
        <f>YEAR(Tabla1[[#This Row],[Date]])</f>
        <v>2009</v>
      </c>
      <c r="E4711" s="9" t="str" cm="1">
        <f t="array" ref="E4711">IFERROR(_xlfn.IFS(AND(D4711&lt;1980,D4711&gt;=1970),"70",AND(D4711&lt;1990,D4711&gt;=1980),"80",AND(D4711&lt;2000,D4711&gt;=1990),"90",AND(D4711&lt;2010,D4711&gt;=2000),"00",AND(D4711&lt;=2019,D4711&gt;=2010),"10"),"1908-1970")</f>
        <v>00</v>
      </c>
      <c r="F4711" s="3">
        <v>0.35416666666666669</v>
      </c>
      <c r="G4711" t="s">
        <v>26731</v>
      </c>
      <c r="H4711" t="s">
        <v>26732</v>
      </c>
      <c r="I4711" t="s">
        <v>28931</v>
      </c>
      <c r="J4711" t="s">
        <v>26733</v>
      </c>
      <c r="K4711" t="s">
        <v>23053</v>
      </c>
      <c r="L4711" s="7" t="s">
        <v>26734</v>
      </c>
      <c r="M4711">
        <v>424</v>
      </c>
      <c r="N4711">
        <v>1</v>
      </c>
      <c r="O4711">
        <v>0</v>
      </c>
      <c r="P4711">
        <v>1</v>
      </c>
      <c r="Q4711">
        <v>1</v>
      </c>
      <c r="R4711">
        <v>0</v>
      </c>
      <c r="S4711">
        <v>1</v>
      </c>
      <c r="T4711">
        <v>0</v>
      </c>
      <c r="U4711" t="s">
        <v>26735</v>
      </c>
      <c r="V4711">
        <f>Tabla1[[#This Row],[Aboard]]-Tabla1[[#This Row],[Fatalities]]</f>
        <v>0</v>
      </c>
      <c r="W4711" s="50">
        <f>IFERROR(Tabla1[[#This Row],[Fatalities]]/Tabla1[[#This Row],[Aboard]],0)</f>
        <v>1</v>
      </c>
      <c r="X4711" s="51" t="str" cm="1">
        <f t="array" ref="X4711">_xlfn.IFS(Tabla1[[#This Row],[Porcentaje de muertes]]&lt;0.35,"LEVE",AND(Tabla1[[#This Row],[Porcentaje de muertes]]&gt;0.35,Tabla1[[#This Row],[Porcentaje de muertes]]&lt;0.65),"MEDIO",Tabla1[[#This Row],[Porcentaje de muertes]]&gt;0.65,"GRAVE")</f>
        <v>GRAVE</v>
      </c>
    </row>
    <row r="4712" spans="2:24" x14ac:dyDescent="0.3">
      <c r="B4712" s="9">
        <v>4713</v>
      </c>
      <c r="C4712" s="49">
        <v>40031</v>
      </c>
      <c r="D4712" s="9">
        <f>YEAR(Tabla1[[#This Row],[Date]])</f>
        <v>2009</v>
      </c>
      <c r="E4712" s="9" t="str" cm="1">
        <f t="array" ref="E4712">IFERROR(_xlfn.IFS(AND(D4712&lt;1980,D4712&gt;=1970),"70",AND(D4712&lt;1990,D4712&gt;=1980),"80",AND(D4712&lt;2000,D4712&gt;=1990),"90",AND(D4712&lt;2010,D4712&gt;=2000),"00",AND(D4712&lt;=2019,D4712&gt;=2010),"10"),"1908-1970")</f>
        <v>00</v>
      </c>
      <c r="F4712" s="3" t="s">
        <v>28931</v>
      </c>
      <c r="G4712" t="s">
        <v>26736</v>
      </c>
      <c r="H4712" t="s">
        <v>8036</v>
      </c>
      <c r="I4712" t="s">
        <v>28931</v>
      </c>
      <c r="J4712" t="s">
        <v>26737</v>
      </c>
      <c r="K4712" t="s">
        <v>21061</v>
      </c>
      <c r="L4712" s="7" t="s">
        <v>28931</v>
      </c>
      <c r="M4712" t="s">
        <v>28931</v>
      </c>
      <c r="N4712">
        <v>13</v>
      </c>
      <c r="O4712">
        <v>6</v>
      </c>
      <c r="P4712">
        <v>7</v>
      </c>
      <c r="Q4712">
        <v>13</v>
      </c>
      <c r="R4712">
        <v>6</v>
      </c>
      <c r="S4712">
        <v>7</v>
      </c>
      <c r="T4712">
        <v>0</v>
      </c>
      <c r="U4712" t="s">
        <v>26738</v>
      </c>
      <c r="V4712">
        <f>Tabla1[[#This Row],[Aboard]]-Tabla1[[#This Row],[Fatalities]]</f>
        <v>0</v>
      </c>
      <c r="W4712" s="50">
        <f>IFERROR(Tabla1[[#This Row],[Fatalities]]/Tabla1[[#This Row],[Aboard]],0)</f>
        <v>1</v>
      </c>
      <c r="X4712" s="51" t="str" cm="1">
        <f t="array" ref="X4712">_xlfn.IFS(Tabla1[[#This Row],[Porcentaje de muertes]]&lt;0.35,"LEVE",AND(Tabla1[[#This Row],[Porcentaje de muertes]]&gt;0.35,Tabla1[[#This Row],[Porcentaje de muertes]]&lt;0.65),"MEDIO",Tabla1[[#This Row],[Porcentaje de muertes]]&gt;0.65,"GRAVE")</f>
        <v>GRAVE</v>
      </c>
    </row>
    <row r="4713" spans="2:24" x14ac:dyDescent="0.3">
      <c r="B4713" s="9">
        <v>4714</v>
      </c>
      <c r="C4713" s="49">
        <v>39993</v>
      </c>
      <c r="D4713" s="9">
        <f>YEAR(Tabla1[[#This Row],[Date]])</f>
        <v>2009</v>
      </c>
      <c r="E4713" s="9" t="str" cm="1">
        <f t="array" ref="E4713">IFERROR(_xlfn.IFS(AND(D4713&lt;1980,D4713&gt;=1970),"70",AND(D4713&lt;1990,D4713&gt;=1980),"80",AND(D4713&lt;2000,D4713&gt;=1990),"90",AND(D4713&lt;2010,D4713&gt;=2000),"00",AND(D4713&lt;=2019,D4713&gt;=2010),"10"),"1908-1970")</f>
        <v>00</v>
      </c>
      <c r="F4713" s="3">
        <v>0.66736111111111107</v>
      </c>
      <c r="G4713" t="s">
        <v>19644</v>
      </c>
      <c r="H4713" t="s">
        <v>26702</v>
      </c>
      <c r="I4713" t="s">
        <v>28931</v>
      </c>
      <c r="J4713" t="s">
        <v>26739</v>
      </c>
      <c r="K4713" t="s">
        <v>16680</v>
      </c>
      <c r="L4713" s="7" t="s">
        <v>26740</v>
      </c>
      <c r="M4713">
        <v>756</v>
      </c>
      <c r="N4713">
        <v>3</v>
      </c>
      <c r="O4713">
        <v>0</v>
      </c>
      <c r="P4713">
        <v>3</v>
      </c>
      <c r="Q4713">
        <v>3</v>
      </c>
      <c r="R4713">
        <v>0</v>
      </c>
      <c r="S4713">
        <v>3</v>
      </c>
      <c r="T4713">
        <v>0</v>
      </c>
      <c r="U4713" t="s">
        <v>26741</v>
      </c>
      <c r="V4713">
        <f>Tabla1[[#This Row],[Aboard]]-Tabla1[[#This Row],[Fatalities]]</f>
        <v>0</v>
      </c>
      <c r="W4713" s="50">
        <f>IFERROR(Tabla1[[#This Row],[Fatalities]]/Tabla1[[#This Row],[Aboard]],0)</f>
        <v>1</v>
      </c>
      <c r="X4713" s="51" t="str" cm="1">
        <f t="array" ref="X4713">_xlfn.IFS(Tabla1[[#This Row],[Porcentaje de muertes]]&lt;0.35,"LEVE",AND(Tabla1[[#This Row],[Porcentaje de muertes]]&gt;0.35,Tabla1[[#This Row],[Porcentaje de muertes]]&lt;0.65),"MEDIO",Tabla1[[#This Row],[Porcentaje de muertes]]&gt;0.65,"GRAVE")</f>
        <v>GRAVE</v>
      </c>
    </row>
    <row r="4714" spans="2:24" x14ac:dyDescent="0.3">
      <c r="B4714" s="9">
        <v>4715</v>
      </c>
      <c r="C4714" s="49">
        <v>39994</v>
      </c>
      <c r="D4714" s="9">
        <f>YEAR(Tabla1[[#This Row],[Date]])</f>
        <v>2009</v>
      </c>
      <c r="E4714" s="9" t="str" cm="1">
        <f t="array" ref="E4714">IFERROR(_xlfn.IFS(AND(D4714&lt;1980,D4714&gt;=1970),"70",AND(D4714&lt;1990,D4714&gt;=1980),"80",AND(D4714&lt;2000,D4714&gt;=1990),"90",AND(D4714&lt;2010,D4714&gt;=2000),"00",AND(D4714&lt;=2019,D4714&gt;=2010),"10"),"1908-1970")</f>
        <v>00</v>
      </c>
      <c r="F4714" s="3">
        <v>7.7083333333333337E-2</v>
      </c>
      <c r="G4714" t="s">
        <v>23349</v>
      </c>
      <c r="H4714" t="s">
        <v>26742</v>
      </c>
      <c r="I4714">
        <v>626</v>
      </c>
      <c r="J4714" t="s">
        <v>26743</v>
      </c>
      <c r="K4714" t="s">
        <v>22793</v>
      </c>
      <c r="L4714" s="7" t="s">
        <v>26744</v>
      </c>
      <c r="M4714">
        <v>535</v>
      </c>
      <c r="N4714">
        <v>153</v>
      </c>
      <c r="O4714">
        <v>142</v>
      </c>
      <c r="P4714">
        <v>11</v>
      </c>
      <c r="Q4714">
        <v>152</v>
      </c>
      <c r="R4714">
        <v>141</v>
      </c>
      <c r="S4714">
        <v>11</v>
      </c>
      <c r="T4714">
        <v>0</v>
      </c>
      <c r="U4714" t="s">
        <v>26745</v>
      </c>
      <c r="V4714">
        <f>Tabla1[[#This Row],[Aboard]]-Tabla1[[#This Row],[Fatalities]]</f>
        <v>1</v>
      </c>
      <c r="W4714" s="50">
        <f>IFERROR(Tabla1[[#This Row],[Fatalities]]/Tabla1[[#This Row],[Aboard]],0)</f>
        <v>0.99346405228758172</v>
      </c>
      <c r="X4714" s="51" t="str" cm="1">
        <f t="array" ref="X4714">_xlfn.IFS(Tabla1[[#This Row],[Porcentaje de muertes]]&lt;0.35,"LEVE",AND(Tabla1[[#This Row],[Porcentaje de muertes]]&gt;0.35,Tabla1[[#This Row],[Porcentaje de muertes]]&lt;0.65),"MEDIO",Tabla1[[#This Row],[Porcentaje de muertes]]&gt;0.65,"GRAVE")</f>
        <v>GRAVE</v>
      </c>
    </row>
    <row r="4715" spans="2:24" x14ac:dyDescent="0.3">
      <c r="B4715" s="9">
        <v>4716</v>
      </c>
      <c r="C4715" s="49">
        <v>39879</v>
      </c>
      <c r="D4715" s="9">
        <f>YEAR(Tabla1[[#This Row],[Date]])</f>
        <v>2009</v>
      </c>
      <c r="E4715" s="9" t="str" cm="1">
        <f t="array" ref="E4715">IFERROR(_xlfn.IFS(AND(D4715&lt;1980,D4715&gt;=1970),"70",AND(D4715&lt;1990,D4715&gt;=1980),"80",AND(D4715&lt;2000,D4715&gt;=1990),"90",AND(D4715&lt;2010,D4715&gt;=2000),"00",AND(D4715&lt;=2019,D4715&gt;=2010),"10"),"1908-1970")</f>
        <v>00</v>
      </c>
      <c r="F4715" s="3" t="s">
        <v>28931</v>
      </c>
      <c r="G4715" t="s">
        <v>26746</v>
      </c>
      <c r="H4715" t="s">
        <v>26747</v>
      </c>
      <c r="I4715" t="s">
        <v>28931</v>
      </c>
      <c r="J4715" t="s">
        <v>28931</v>
      </c>
      <c r="K4715" t="s">
        <v>23112</v>
      </c>
      <c r="L4715" s="7" t="s">
        <v>28931</v>
      </c>
      <c r="M4715" t="s">
        <v>28931</v>
      </c>
      <c r="N4715">
        <v>26</v>
      </c>
      <c r="O4715">
        <v>24</v>
      </c>
      <c r="P4715">
        <v>2</v>
      </c>
      <c r="Q4715">
        <v>26</v>
      </c>
      <c r="R4715">
        <v>24</v>
      </c>
      <c r="S4715">
        <v>2</v>
      </c>
      <c r="T4715">
        <v>0</v>
      </c>
      <c r="U4715" t="s">
        <v>26748</v>
      </c>
      <c r="V4715">
        <f>Tabla1[[#This Row],[Aboard]]-Tabla1[[#This Row],[Fatalities]]</f>
        <v>0</v>
      </c>
      <c r="W4715" s="50">
        <f>IFERROR(Tabla1[[#This Row],[Fatalities]]/Tabla1[[#This Row],[Aboard]],0)</f>
        <v>1</v>
      </c>
      <c r="X4715" s="51" t="str" cm="1">
        <f t="array" ref="X4715">_xlfn.IFS(Tabla1[[#This Row],[Porcentaje de muertes]]&lt;0.35,"LEVE",AND(Tabla1[[#This Row],[Porcentaje de muertes]]&gt;0.35,Tabla1[[#This Row],[Porcentaje de muertes]]&lt;0.65),"MEDIO",Tabla1[[#This Row],[Porcentaje de muertes]]&gt;0.65,"GRAVE")</f>
        <v>GRAVE</v>
      </c>
    </row>
    <row r="4716" spans="2:24" x14ac:dyDescent="0.3">
      <c r="B4716" s="9">
        <v>4717</v>
      </c>
      <c r="C4716" s="49">
        <v>40009</v>
      </c>
      <c r="D4716" s="9">
        <f>YEAR(Tabla1[[#This Row],[Date]])</f>
        <v>2009</v>
      </c>
      <c r="E4716" s="9" t="str" cm="1">
        <f t="array" ref="E4716">IFERROR(_xlfn.IFS(AND(D4716&lt;1980,D4716&gt;=1970),"70",AND(D4716&lt;1990,D4716&gt;=1980),"80",AND(D4716&lt;2000,D4716&gt;=1990),"90",AND(D4716&lt;2010,D4716&gt;=2000),"00",AND(D4716&lt;=2019,D4716&gt;=2010),"10"),"1908-1970")</f>
        <v>00</v>
      </c>
      <c r="F4716" s="3">
        <v>0.48125000000000001</v>
      </c>
      <c r="G4716" t="s">
        <v>26749</v>
      </c>
      <c r="H4716" t="s">
        <v>26750</v>
      </c>
      <c r="I4716" t="s">
        <v>26751</v>
      </c>
      <c r="J4716" t="s">
        <v>26752</v>
      </c>
      <c r="K4716" t="s">
        <v>24627</v>
      </c>
      <c r="L4716" s="7" t="s">
        <v>26753</v>
      </c>
      <c r="M4716" t="s">
        <v>26754</v>
      </c>
      <c r="N4716">
        <v>168</v>
      </c>
      <c r="O4716">
        <v>153</v>
      </c>
      <c r="P4716">
        <v>15</v>
      </c>
      <c r="Q4716">
        <v>168</v>
      </c>
      <c r="R4716">
        <v>153</v>
      </c>
      <c r="S4716">
        <v>15</v>
      </c>
      <c r="T4716">
        <v>0</v>
      </c>
      <c r="U4716" t="s">
        <v>26755</v>
      </c>
      <c r="V4716">
        <f>Tabla1[[#This Row],[Aboard]]-Tabla1[[#This Row],[Fatalities]]</f>
        <v>0</v>
      </c>
      <c r="W4716" s="50">
        <f>IFERROR(Tabla1[[#This Row],[Fatalities]]/Tabla1[[#This Row],[Aboard]],0)</f>
        <v>1</v>
      </c>
      <c r="X4716" s="51" t="str" cm="1">
        <f t="array" ref="X4716">_xlfn.IFS(Tabla1[[#This Row],[Porcentaje de muertes]]&lt;0.35,"LEVE",AND(Tabla1[[#This Row],[Porcentaje de muertes]]&gt;0.35,Tabla1[[#This Row],[Porcentaje de muertes]]&lt;0.65),"MEDIO",Tabla1[[#This Row],[Porcentaje de muertes]]&gt;0.65,"GRAVE")</f>
        <v>GRAVE</v>
      </c>
    </row>
    <row r="4717" spans="2:24" x14ac:dyDescent="0.3">
      <c r="B4717" s="9">
        <v>4718</v>
      </c>
      <c r="C4717" s="49">
        <v>40013</v>
      </c>
      <c r="D4717" s="9">
        <f>YEAR(Tabla1[[#This Row],[Date]])</f>
        <v>2009</v>
      </c>
      <c r="E4717" s="9" t="str" cm="1">
        <f t="array" ref="E4717">IFERROR(_xlfn.IFS(AND(D4717&lt;1980,D4717&gt;=1970),"70",AND(D4717&lt;1990,D4717&gt;=1980),"80",AND(D4717&lt;2000,D4717&gt;=1990),"90",AND(D4717&lt;2010,D4717&gt;=2000),"00",AND(D4717&lt;=2019,D4717&gt;=2010),"10"),"1908-1970")</f>
        <v>00</v>
      </c>
      <c r="F4717" s="3">
        <v>0.49305555555555558</v>
      </c>
      <c r="G4717" t="s">
        <v>26756</v>
      </c>
      <c r="H4717" t="s">
        <v>26757</v>
      </c>
      <c r="I4717" t="s">
        <v>28931</v>
      </c>
      <c r="J4717" t="s">
        <v>28931</v>
      </c>
      <c r="K4717" t="s">
        <v>22172</v>
      </c>
      <c r="L4717" s="7" t="s">
        <v>28931</v>
      </c>
      <c r="M4717" t="s">
        <v>28931</v>
      </c>
      <c r="N4717">
        <v>21</v>
      </c>
      <c r="O4717" t="s">
        <v>5038</v>
      </c>
      <c r="P4717" t="s">
        <v>5038</v>
      </c>
      <c r="Q4717">
        <v>16</v>
      </c>
      <c r="R4717" t="s">
        <v>5038</v>
      </c>
      <c r="S4717" t="s">
        <v>5038</v>
      </c>
      <c r="T4717">
        <v>0</v>
      </c>
      <c r="U4717" t="s">
        <v>26758</v>
      </c>
      <c r="V4717">
        <f>Tabla1[[#This Row],[Aboard]]-Tabla1[[#This Row],[Fatalities]]</f>
        <v>5</v>
      </c>
      <c r="W4717" s="50">
        <f>IFERROR(Tabla1[[#This Row],[Fatalities]]/Tabla1[[#This Row],[Aboard]],0)</f>
        <v>0.76190476190476186</v>
      </c>
      <c r="X4717" s="51" t="str" cm="1">
        <f t="array" ref="X4717">_xlfn.IFS(Tabla1[[#This Row],[Porcentaje de muertes]]&lt;0.35,"LEVE",AND(Tabla1[[#This Row],[Porcentaje de muertes]]&gt;0.35,Tabla1[[#This Row],[Porcentaje de muertes]]&lt;0.65),"MEDIO",Tabla1[[#This Row],[Porcentaje de muertes]]&gt;0.65,"GRAVE")</f>
        <v>GRAVE</v>
      </c>
    </row>
    <row r="4718" spans="2:24" x14ac:dyDescent="0.3">
      <c r="B4718" s="9">
        <v>4719</v>
      </c>
      <c r="C4718" s="49">
        <v>40018</v>
      </c>
      <c r="D4718" s="9">
        <f>YEAR(Tabla1[[#This Row],[Date]])</f>
        <v>2009</v>
      </c>
      <c r="E4718" s="9" t="str" cm="1">
        <f t="array" ref="E4718">IFERROR(_xlfn.IFS(AND(D4718&lt;1980,D4718&gt;=1970),"70",AND(D4718&lt;1990,D4718&gt;=1980),"80",AND(D4718&lt;2000,D4718&gt;=1990),"90",AND(D4718&lt;2010,D4718&gt;=2000),"00",AND(D4718&lt;=2019,D4718&gt;=2010),"10"),"1908-1970")</f>
        <v>00</v>
      </c>
      <c r="F4718" s="3">
        <v>0.76388888888888884</v>
      </c>
      <c r="G4718" t="s">
        <v>26759</v>
      </c>
      <c r="H4718" t="s">
        <v>26760</v>
      </c>
      <c r="I4718">
        <v>1525</v>
      </c>
      <c r="J4718" t="s">
        <v>26761</v>
      </c>
      <c r="K4718" t="s">
        <v>26762</v>
      </c>
      <c r="L4718" s="7" t="s">
        <v>26763</v>
      </c>
      <c r="M4718" t="s">
        <v>26764</v>
      </c>
      <c r="N4718">
        <v>153</v>
      </c>
      <c r="O4718">
        <v>138</v>
      </c>
      <c r="P4718">
        <v>15</v>
      </c>
      <c r="Q4718">
        <v>16</v>
      </c>
      <c r="R4718">
        <v>3</v>
      </c>
      <c r="S4718">
        <v>13</v>
      </c>
      <c r="T4718">
        <v>0</v>
      </c>
      <c r="U4718" t="s">
        <v>26765</v>
      </c>
      <c r="V4718">
        <f>Tabla1[[#This Row],[Aboard]]-Tabla1[[#This Row],[Fatalities]]</f>
        <v>137</v>
      </c>
      <c r="W4718" s="50">
        <f>IFERROR(Tabla1[[#This Row],[Fatalities]]/Tabla1[[#This Row],[Aboard]],0)</f>
        <v>0.10457516339869281</v>
      </c>
      <c r="X4718" s="51" t="str" cm="1">
        <f t="array" ref="X4718">_xlfn.IFS(Tabla1[[#This Row],[Porcentaje de muertes]]&lt;0.35,"LEVE",AND(Tabla1[[#This Row],[Porcentaje de muertes]]&gt;0.35,Tabla1[[#This Row],[Porcentaje de muertes]]&lt;0.65),"MEDIO",Tabla1[[#This Row],[Porcentaje de muertes]]&gt;0.65,"GRAVE")</f>
        <v>LEVE</v>
      </c>
    </row>
    <row r="4719" spans="2:24" x14ac:dyDescent="0.3">
      <c r="B4719" s="9">
        <v>4720</v>
      </c>
      <c r="C4719" s="49">
        <v>39852</v>
      </c>
      <c r="D4719" s="9">
        <f>YEAR(Tabla1[[#This Row],[Date]])</f>
        <v>2009</v>
      </c>
      <c r="E4719" s="9" t="str" cm="1">
        <f t="array" ref="E4719">IFERROR(_xlfn.IFS(AND(D4719&lt;1980,D4719&gt;=1970),"70",AND(D4719&lt;1990,D4719&gt;=1980),"80",AND(D4719&lt;2000,D4719&gt;=1990),"90",AND(D4719&lt;2010,D4719&gt;=2000),"00",AND(D4719&lt;=2019,D4719&gt;=2010),"10"),"1908-1970")</f>
        <v>00</v>
      </c>
      <c r="F4719" s="3">
        <v>0.43402777777777773</v>
      </c>
      <c r="G4719" t="s">
        <v>26766</v>
      </c>
      <c r="H4719" t="s">
        <v>16296</v>
      </c>
      <c r="I4719" t="s">
        <v>26767</v>
      </c>
      <c r="J4719" t="s">
        <v>26768</v>
      </c>
      <c r="K4719" t="s">
        <v>16680</v>
      </c>
      <c r="L4719" s="7" t="s">
        <v>26769</v>
      </c>
      <c r="M4719">
        <v>626</v>
      </c>
      <c r="N4719">
        <v>16</v>
      </c>
      <c r="O4719">
        <v>13</v>
      </c>
      <c r="P4719">
        <v>3</v>
      </c>
      <c r="Q4719">
        <v>16</v>
      </c>
      <c r="R4719">
        <v>13</v>
      </c>
      <c r="S4719">
        <v>3</v>
      </c>
      <c r="T4719">
        <v>0</v>
      </c>
      <c r="U4719" t="s">
        <v>26770</v>
      </c>
      <c r="V4719">
        <f>Tabla1[[#This Row],[Aboard]]-Tabla1[[#This Row],[Fatalities]]</f>
        <v>0</v>
      </c>
      <c r="W4719" s="50">
        <f>IFERROR(Tabla1[[#This Row],[Fatalities]]/Tabla1[[#This Row],[Aboard]],0)</f>
        <v>1</v>
      </c>
      <c r="X4719" s="51" t="str" cm="1">
        <f t="array" ref="X4719">_xlfn.IFS(Tabla1[[#This Row],[Porcentaje de muertes]]&lt;0.35,"LEVE",AND(Tabla1[[#This Row],[Porcentaje de muertes]]&gt;0.35,Tabla1[[#This Row],[Porcentaje de muertes]]&lt;0.65),"MEDIO",Tabla1[[#This Row],[Porcentaje de muertes]]&gt;0.65,"GRAVE")</f>
        <v>GRAVE</v>
      </c>
    </row>
    <row r="4720" spans="2:24" x14ac:dyDescent="0.3">
      <c r="B4720" s="9">
        <v>4721</v>
      </c>
      <c r="C4720" s="49">
        <v>39911</v>
      </c>
      <c r="D4720" s="9">
        <f>YEAR(Tabla1[[#This Row],[Date]])</f>
        <v>2009</v>
      </c>
      <c r="E4720" s="9" t="str" cm="1">
        <f t="array" ref="E4720">IFERROR(_xlfn.IFS(AND(D4720&lt;1980,D4720&gt;=1970),"70",AND(D4720&lt;1990,D4720&gt;=1980),"80",AND(D4720&lt;2000,D4720&gt;=1990),"90",AND(D4720&lt;2010,D4720&gt;=2000),"00",AND(D4720&lt;=2019,D4720&gt;=2010),"10"),"1908-1970")</f>
        <v>00</v>
      </c>
      <c r="F4720" s="3">
        <v>0.60416666666666663</v>
      </c>
      <c r="G4720" t="s">
        <v>21452</v>
      </c>
      <c r="H4720" t="s">
        <v>26771</v>
      </c>
      <c r="I4720">
        <v>226</v>
      </c>
      <c r="J4720" t="s">
        <v>26772</v>
      </c>
      <c r="K4720" t="s">
        <v>26773</v>
      </c>
      <c r="L4720" s="7" t="s">
        <v>26774</v>
      </c>
      <c r="M4720">
        <v>670</v>
      </c>
      <c r="N4720">
        <v>72</v>
      </c>
      <c r="O4720">
        <v>68</v>
      </c>
      <c r="P4720">
        <v>4</v>
      </c>
      <c r="Q4720">
        <v>1</v>
      </c>
      <c r="R4720">
        <v>0</v>
      </c>
      <c r="S4720">
        <v>1</v>
      </c>
      <c r="T4720">
        <v>0</v>
      </c>
      <c r="U4720" t="s">
        <v>26775</v>
      </c>
      <c r="V4720">
        <f>Tabla1[[#This Row],[Aboard]]-Tabla1[[#This Row],[Fatalities]]</f>
        <v>71</v>
      </c>
      <c r="W4720" s="50">
        <f>IFERROR(Tabla1[[#This Row],[Fatalities]]/Tabla1[[#This Row],[Aboard]],0)</f>
        <v>1.3888888888888888E-2</v>
      </c>
      <c r="X4720" s="51" t="str" cm="1">
        <f t="array" ref="X4720">_xlfn.IFS(Tabla1[[#This Row],[Porcentaje de muertes]]&lt;0.35,"LEVE",AND(Tabla1[[#This Row],[Porcentaje de muertes]]&gt;0.35,Tabla1[[#This Row],[Porcentaje de muertes]]&lt;0.65),"MEDIO",Tabla1[[#This Row],[Porcentaje de muertes]]&gt;0.65,"GRAVE")</f>
        <v>LEVE</v>
      </c>
    </row>
    <row r="4721" spans="2:24" x14ac:dyDescent="0.3">
      <c r="B4721" s="9">
        <v>4722</v>
      </c>
      <c r="C4721" s="49">
        <v>40033</v>
      </c>
      <c r="D4721" s="9">
        <f>YEAR(Tabla1[[#This Row],[Date]])</f>
        <v>2009</v>
      </c>
      <c r="E4721" s="9" t="str" cm="1">
        <f t="array" ref="E4721">IFERROR(_xlfn.IFS(AND(D4721&lt;1980,D4721&gt;=1970),"70",AND(D4721&lt;1990,D4721&gt;=1980),"80",AND(D4721&lt;2000,D4721&gt;=1990),"90",AND(D4721&lt;2010,D4721&gt;=2000),"00",AND(D4721&lt;=2019,D4721&gt;=2010),"10"),"1908-1970")</f>
        <v>00</v>
      </c>
      <c r="F4721" s="3">
        <v>0.5</v>
      </c>
      <c r="G4721" t="s">
        <v>5425</v>
      </c>
      <c r="H4721" t="s">
        <v>26776</v>
      </c>
      <c r="I4721" t="s">
        <v>28931</v>
      </c>
      <c r="J4721" t="s">
        <v>26777</v>
      </c>
      <c r="K4721" t="s">
        <v>26778</v>
      </c>
      <c r="L4721" s="7" t="s">
        <v>26779</v>
      </c>
      <c r="M4721" t="s">
        <v>26780</v>
      </c>
      <c r="N4721">
        <v>9</v>
      </c>
      <c r="O4721">
        <v>7</v>
      </c>
      <c r="P4721">
        <v>2</v>
      </c>
      <c r="Q4721">
        <v>9</v>
      </c>
      <c r="R4721">
        <v>7</v>
      </c>
      <c r="S4721">
        <v>2</v>
      </c>
      <c r="T4721">
        <v>0</v>
      </c>
      <c r="U4721" t="s">
        <v>26781</v>
      </c>
      <c r="V4721">
        <f>Tabla1[[#This Row],[Aboard]]-Tabla1[[#This Row],[Fatalities]]</f>
        <v>0</v>
      </c>
      <c r="W4721" s="50">
        <f>IFERROR(Tabla1[[#This Row],[Fatalities]]/Tabla1[[#This Row],[Aboard]],0)</f>
        <v>1</v>
      </c>
      <c r="X4721" s="51" t="str" cm="1">
        <f t="array" ref="X4721">_xlfn.IFS(Tabla1[[#This Row],[Porcentaje de muertes]]&lt;0.35,"LEVE",AND(Tabla1[[#This Row],[Porcentaje de muertes]]&gt;0.35,Tabla1[[#This Row],[Porcentaje de muertes]]&lt;0.65),"MEDIO",Tabla1[[#This Row],[Porcentaje de muertes]]&gt;0.65,"GRAVE")</f>
        <v>GRAVE</v>
      </c>
    </row>
    <row r="4722" spans="2:24" x14ac:dyDescent="0.3">
      <c r="B4722" s="9">
        <v>4723</v>
      </c>
      <c r="C4722" s="49">
        <v>40125</v>
      </c>
      <c r="D4722" s="9">
        <f>YEAR(Tabla1[[#This Row],[Date]])</f>
        <v>2009</v>
      </c>
      <c r="E4722" s="9" t="str" cm="1">
        <f t="array" ref="E4722">IFERROR(_xlfn.IFS(AND(D4722&lt;1980,D4722&gt;=1970),"70",AND(D4722&lt;1990,D4722&gt;=1980),"80",AND(D4722&lt;2000,D4722&gt;=1990),"90",AND(D4722&lt;2010,D4722&gt;=2000),"00",AND(D4722&lt;=2019,D4722&gt;=2010),"10"),"1908-1970")</f>
        <v>00</v>
      </c>
      <c r="F4722" s="3">
        <v>0.4680555555555555</v>
      </c>
      <c r="G4722" t="s">
        <v>26782</v>
      </c>
      <c r="H4722" t="s">
        <v>26783</v>
      </c>
      <c r="I4722">
        <v>4684</v>
      </c>
      <c r="J4722" t="s">
        <v>26784</v>
      </c>
      <c r="K4722" t="s">
        <v>16680</v>
      </c>
      <c r="L4722" s="7" t="s">
        <v>26785</v>
      </c>
      <c r="M4722">
        <v>441</v>
      </c>
      <c r="N4722">
        <v>13</v>
      </c>
      <c r="O4722">
        <v>11</v>
      </c>
      <c r="P4722">
        <v>2</v>
      </c>
      <c r="Q4722">
        <v>13</v>
      </c>
      <c r="R4722">
        <v>11</v>
      </c>
      <c r="S4722">
        <v>2</v>
      </c>
      <c r="T4722">
        <v>0</v>
      </c>
      <c r="U4722" t="s">
        <v>26786</v>
      </c>
      <c r="V4722">
        <f>Tabla1[[#This Row],[Aboard]]-Tabla1[[#This Row],[Fatalities]]</f>
        <v>0</v>
      </c>
      <c r="W4722" s="50">
        <f>IFERROR(Tabla1[[#This Row],[Fatalities]]/Tabla1[[#This Row],[Aboard]],0)</f>
        <v>1</v>
      </c>
      <c r="X4722" s="51" t="str" cm="1">
        <f t="array" ref="X4722">_xlfn.IFS(Tabla1[[#This Row],[Porcentaje de muertes]]&lt;0.35,"LEVE",AND(Tabla1[[#This Row],[Porcentaje de muertes]]&gt;0.35,Tabla1[[#This Row],[Porcentaje de muertes]]&lt;0.65),"MEDIO",Tabla1[[#This Row],[Porcentaje de muertes]]&gt;0.65,"GRAVE")</f>
        <v>GRAVE</v>
      </c>
    </row>
    <row r="4723" spans="2:24" x14ac:dyDescent="0.3">
      <c r="B4723" s="9">
        <v>4724</v>
      </c>
      <c r="C4723" s="49">
        <v>40051</v>
      </c>
      <c r="D4723" s="9">
        <f>YEAR(Tabla1[[#This Row],[Date]])</f>
        <v>2009</v>
      </c>
      <c r="E4723" s="9" t="str" cm="1">
        <f t="array" ref="E4723">IFERROR(_xlfn.IFS(AND(D4723&lt;1980,D4723&gt;=1970),"70",AND(D4723&lt;1990,D4723&gt;=1980),"80",AND(D4723&lt;2000,D4723&gt;=1990),"90",AND(D4723&lt;2010,D4723&gt;=2000),"00",AND(D4723&lt;=2019,D4723&gt;=2010),"10"),"1908-1970")</f>
        <v>00</v>
      </c>
      <c r="F4723" s="3">
        <v>0.20833333333333334</v>
      </c>
      <c r="G4723" t="s">
        <v>26787</v>
      </c>
      <c r="H4723" t="s">
        <v>26788</v>
      </c>
      <c r="I4723" t="s">
        <v>28931</v>
      </c>
      <c r="J4723" t="s">
        <v>26789</v>
      </c>
      <c r="K4723" t="s">
        <v>26790</v>
      </c>
      <c r="L4723" s="7" t="s">
        <v>26791</v>
      </c>
      <c r="M4723">
        <v>6344607</v>
      </c>
      <c r="N4723">
        <v>7</v>
      </c>
      <c r="O4723">
        <v>2</v>
      </c>
      <c r="P4723">
        <v>5</v>
      </c>
      <c r="Q4723">
        <v>7</v>
      </c>
      <c r="R4723">
        <v>2</v>
      </c>
      <c r="S4723">
        <v>5</v>
      </c>
      <c r="T4723">
        <v>0</v>
      </c>
      <c r="U4723" t="s">
        <v>26792</v>
      </c>
      <c r="V4723">
        <f>Tabla1[[#This Row],[Aboard]]-Tabla1[[#This Row],[Fatalities]]</f>
        <v>0</v>
      </c>
      <c r="W4723" s="50">
        <f>IFERROR(Tabla1[[#This Row],[Fatalities]]/Tabla1[[#This Row],[Aboard]],0)</f>
        <v>1</v>
      </c>
      <c r="X4723" s="51" t="str" cm="1">
        <f t="array" ref="X4723">_xlfn.IFS(Tabla1[[#This Row],[Porcentaje de muertes]]&lt;0.35,"LEVE",AND(Tabla1[[#This Row],[Porcentaje de muertes]]&gt;0.35,Tabla1[[#This Row],[Porcentaje de muertes]]&lt;0.65),"MEDIO",Tabla1[[#This Row],[Porcentaje de muertes]]&gt;0.65,"GRAVE")</f>
        <v>GRAVE</v>
      </c>
    </row>
    <row r="4724" spans="2:24" x14ac:dyDescent="0.3">
      <c r="B4724" s="9">
        <v>4725</v>
      </c>
      <c r="C4724" s="49">
        <v>40034</v>
      </c>
      <c r="D4724" s="9">
        <f>YEAR(Tabla1[[#This Row],[Date]])</f>
        <v>2009</v>
      </c>
      <c r="E4724" s="9" t="str" cm="1">
        <f t="array" ref="E4724">IFERROR(_xlfn.IFS(AND(D4724&lt;1980,D4724&gt;=1970),"70",AND(D4724&lt;1990,D4724&gt;=1980),"80",AND(D4724&lt;2000,D4724&gt;=1990),"90",AND(D4724&lt;2010,D4724&gt;=2000),"00",AND(D4724&lt;=2019,D4724&gt;=2010),"10"),"1908-1970")</f>
        <v>00</v>
      </c>
      <c r="F4724" s="3">
        <v>0.4375</v>
      </c>
      <c r="G4724" t="s">
        <v>26793</v>
      </c>
      <c r="H4724" t="s">
        <v>26794</v>
      </c>
      <c r="I4724" t="s">
        <v>28931</v>
      </c>
      <c r="J4724" t="s">
        <v>26714</v>
      </c>
      <c r="K4724" t="s">
        <v>22172</v>
      </c>
      <c r="L4724" s="7" t="s">
        <v>28931</v>
      </c>
      <c r="M4724" t="s">
        <v>28931</v>
      </c>
      <c r="N4724">
        <v>13</v>
      </c>
      <c r="O4724" t="s">
        <v>5038</v>
      </c>
      <c r="P4724" t="s">
        <v>5038</v>
      </c>
      <c r="Q4724">
        <v>10</v>
      </c>
      <c r="R4724" t="s">
        <v>5038</v>
      </c>
      <c r="S4724" t="s">
        <v>5038</v>
      </c>
      <c r="T4724">
        <v>0</v>
      </c>
      <c r="U4724" t="s">
        <v>26795</v>
      </c>
      <c r="V4724">
        <f>Tabla1[[#This Row],[Aboard]]-Tabla1[[#This Row],[Fatalities]]</f>
        <v>3</v>
      </c>
      <c r="W4724" s="50">
        <f>IFERROR(Tabla1[[#This Row],[Fatalities]]/Tabla1[[#This Row],[Aboard]],0)</f>
        <v>0.76923076923076927</v>
      </c>
      <c r="X4724" s="51" t="str" cm="1">
        <f t="array" ref="X4724">_xlfn.IFS(Tabla1[[#This Row],[Porcentaje de muertes]]&lt;0.35,"LEVE",AND(Tabla1[[#This Row],[Porcentaje de muertes]]&gt;0.35,Tabla1[[#This Row],[Porcentaje de muertes]]&lt;0.65),"MEDIO",Tabla1[[#This Row],[Porcentaje de muertes]]&gt;0.65,"GRAVE")</f>
        <v>GRAVE</v>
      </c>
    </row>
    <row r="4725" spans="2:24" x14ac:dyDescent="0.3">
      <c r="B4725" s="9">
        <v>4726</v>
      </c>
      <c r="C4725" s="49">
        <v>40080</v>
      </c>
      <c r="D4725" s="9">
        <f>YEAR(Tabla1[[#This Row],[Date]])</f>
        <v>2009</v>
      </c>
      <c r="E4725" s="9" t="str" cm="1">
        <f t="array" ref="E4725">IFERROR(_xlfn.IFS(AND(D4725&lt;1980,D4725&gt;=1970),"70",AND(D4725&lt;1990,D4725&gt;=1980),"80",AND(D4725&lt;2000,D4725&gt;=1990),"90",AND(D4725&lt;2010,D4725&gt;=2000),"00",AND(D4725&lt;=2019,D4725&gt;=2010),"10"),"1908-1970")</f>
        <v>00</v>
      </c>
      <c r="F4725" s="3">
        <v>0.33333333333333331</v>
      </c>
      <c r="G4725" t="s">
        <v>26796</v>
      </c>
      <c r="H4725" t="s">
        <v>26797</v>
      </c>
      <c r="I4725">
        <v>8911</v>
      </c>
      <c r="J4725" t="s">
        <v>26798</v>
      </c>
      <c r="K4725" t="s">
        <v>26799</v>
      </c>
      <c r="L4725" s="7" t="s">
        <v>26800</v>
      </c>
      <c r="M4725">
        <v>41069</v>
      </c>
      <c r="N4725">
        <v>3</v>
      </c>
      <c r="O4725">
        <v>0</v>
      </c>
      <c r="P4725">
        <v>3</v>
      </c>
      <c r="Q4725">
        <v>1</v>
      </c>
      <c r="R4725">
        <v>0</v>
      </c>
      <c r="S4725">
        <v>1</v>
      </c>
      <c r="T4725">
        <v>0</v>
      </c>
      <c r="U4725" t="s">
        <v>26801</v>
      </c>
      <c r="V4725">
        <f>Tabla1[[#This Row],[Aboard]]-Tabla1[[#This Row],[Fatalities]]</f>
        <v>2</v>
      </c>
      <c r="W4725" s="50">
        <f>IFERROR(Tabla1[[#This Row],[Fatalities]]/Tabla1[[#This Row],[Aboard]],0)</f>
        <v>0.33333333333333331</v>
      </c>
      <c r="X4725" s="51" t="str" cm="1">
        <f t="array" ref="X4725">_xlfn.IFS(Tabla1[[#This Row],[Porcentaje de muertes]]&lt;0.35,"LEVE",AND(Tabla1[[#This Row],[Porcentaje de muertes]]&gt;0.35,Tabla1[[#This Row],[Porcentaje de muertes]]&lt;0.65),"MEDIO",Tabla1[[#This Row],[Porcentaje de muertes]]&gt;0.65,"GRAVE")</f>
        <v>LEVE</v>
      </c>
    </row>
    <row r="4726" spans="2:24" x14ac:dyDescent="0.3">
      <c r="B4726" s="9">
        <v>4727</v>
      </c>
      <c r="C4726" s="49">
        <v>40081</v>
      </c>
      <c r="D4726" s="9">
        <f>YEAR(Tabla1[[#This Row],[Date]])</f>
        <v>2009</v>
      </c>
      <c r="E4726" s="9" t="str" cm="1">
        <f t="array" ref="E4726">IFERROR(_xlfn.IFS(AND(D4726&lt;1980,D4726&gt;=1970),"70",AND(D4726&lt;1990,D4726&gt;=1980),"80",AND(D4726&lt;2000,D4726&gt;=1990),"90",AND(D4726&lt;2010,D4726&gt;=2000),"00",AND(D4726&lt;=2019,D4726&gt;=2010),"10"),"1908-1970")</f>
        <v>00</v>
      </c>
      <c r="F4726" s="3">
        <v>0.97916666666666663</v>
      </c>
      <c r="G4726" t="s">
        <v>26802</v>
      </c>
      <c r="H4726" t="s">
        <v>26803</v>
      </c>
      <c r="I4726" t="s">
        <v>28931</v>
      </c>
      <c r="J4726" t="s">
        <v>26804</v>
      </c>
      <c r="K4726" t="s">
        <v>26805</v>
      </c>
      <c r="L4726" s="7" t="s">
        <v>26806</v>
      </c>
      <c r="M4726">
        <v>9032</v>
      </c>
      <c r="N4726">
        <v>3</v>
      </c>
      <c r="O4726">
        <v>2</v>
      </c>
      <c r="P4726">
        <v>1</v>
      </c>
      <c r="Q4726">
        <v>3</v>
      </c>
      <c r="R4726">
        <v>2</v>
      </c>
      <c r="S4726">
        <v>1</v>
      </c>
      <c r="T4726">
        <v>0</v>
      </c>
      <c r="U4726" t="s">
        <v>26807</v>
      </c>
      <c r="V4726">
        <f>Tabla1[[#This Row],[Aboard]]-Tabla1[[#This Row],[Fatalities]]</f>
        <v>0</v>
      </c>
      <c r="W4726" s="50">
        <f>IFERROR(Tabla1[[#This Row],[Fatalities]]/Tabla1[[#This Row],[Aboard]],0)</f>
        <v>1</v>
      </c>
      <c r="X4726" s="51" t="str" cm="1">
        <f t="array" ref="X4726">_xlfn.IFS(Tabla1[[#This Row],[Porcentaje de muertes]]&lt;0.35,"LEVE",AND(Tabla1[[#This Row],[Porcentaje de muertes]]&gt;0.35,Tabla1[[#This Row],[Porcentaje de muertes]]&lt;0.65),"MEDIO",Tabla1[[#This Row],[Porcentaje de muertes]]&gt;0.65,"GRAVE")</f>
        <v>GRAVE</v>
      </c>
    </row>
    <row r="4727" spans="2:24" x14ac:dyDescent="0.3">
      <c r="B4727" s="9">
        <v>4728</v>
      </c>
      <c r="C4727" s="49">
        <v>40103</v>
      </c>
      <c r="D4727" s="9">
        <f>YEAR(Tabla1[[#This Row],[Date]])</f>
        <v>2009</v>
      </c>
      <c r="E4727" s="9" t="str" cm="1">
        <f t="array" ref="E4727">IFERROR(_xlfn.IFS(AND(D4727&lt;1980,D4727&gt;=1970),"70",AND(D4727&lt;1990,D4727&gt;=1980),"80",AND(D4727&lt;2000,D4727&gt;=1990),"90",AND(D4727&lt;2010,D4727&gt;=2000),"00",AND(D4727&lt;=2019,D4727&gt;=2010),"10"),"1908-1970")</f>
        <v>00</v>
      </c>
      <c r="F4727" s="3">
        <v>0.52638888888888891</v>
      </c>
      <c r="G4727" t="s">
        <v>12372</v>
      </c>
      <c r="H4727" t="s">
        <v>26808</v>
      </c>
      <c r="I4727" t="s">
        <v>28931</v>
      </c>
      <c r="J4727" t="s">
        <v>26809</v>
      </c>
      <c r="K4727" t="s">
        <v>9005</v>
      </c>
      <c r="L4727" s="7" t="s">
        <v>26810</v>
      </c>
      <c r="M4727" t="s">
        <v>26811</v>
      </c>
      <c r="N4727">
        <v>4</v>
      </c>
      <c r="O4727">
        <v>0</v>
      </c>
      <c r="P4727">
        <v>4</v>
      </c>
      <c r="Q4727">
        <v>4</v>
      </c>
      <c r="R4727">
        <v>0</v>
      </c>
      <c r="S4727">
        <v>4</v>
      </c>
      <c r="T4727">
        <v>0</v>
      </c>
      <c r="U4727" t="s">
        <v>26812</v>
      </c>
      <c r="V4727">
        <f>Tabla1[[#This Row],[Aboard]]-Tabla1[[#This Row],[Fatalities]]</f>
        <v>0</v>
      </c>
      <c r="W4727" s="50">
        <f>IFERROR(Tabla1[[#This Row],[Fatalities]]/Tabla1[[#This Row],[Aboard]],0)</f>
        <v>1</v>
      </c>
      <c r="X4727" s="51" t="str" cm="1">
        <f t="array" ref="X4727">_xlfn.IFS(Tabla1[[#This Row],[Porcentaje de muertes]]&lt;0.35,"LEVE",AND(Tabla1[[#This Row],[Porcentaje de muertes]]&gt;0.35,Tabla1[[#This Row],[Porcentaje de muertes]]&lt;0.65),"MEDIO",Tabla1[[#This Row],[Porcentaje de muertes]]&gt;0.65,"GRAVE")</f>
        <v>GRAVE</v>
      </c>
    </row>
    <row r="4728" spans="2:24" x14ac:dyDescent="0.3">
      <c r="B4728" s="9">
        <v>4729</v>
      </c>
      <c r="C4728" s="49">
        <v>40107</v>
      </c>
      <c r="D4728" s="9">
        <f>YEAR(Tabla1[[#This Row],[Date]])</f>
        <v>2009</v>
      </c>
      <c r="E4728" s="9" t="str" cm="1">
        <f t="array" ref="E4728">IFERROR(_xlfn.IFS(AND(D4728&lt;1980,D4728&gt;=1970),"70",AND(D4728&lt;1990,D4728&gt;=1980),"80",AND(D4728&lt;2000,D4728&gt;=1990),"90",AND(D4728&lt;2010,D4728&gt;=2000),"00",AND(D4728&lt;=2019,D4728&gt;=2010),"10"),"1908-1970")</f>
        <v>00</v>
      </c>
      <c r="F4728" s="3">
        <v>0.64652777777777781</v>
      </c>
      <c r="G4728" t="s">
        <v>11067</v>
      </c>
      <c r="H4728" t="s">
        <v>26813</v>
      </c>
      <c r="I4728" t="s">
        <v>28931</v>
      </c>
      <c r="J4728" t="s">
        <v>26814</v>
      </c>
      <c r="K4728" t="s">
        <v>26815</v>
      </c>
      <c r="L4728" s="7" t="s">
        <v>26816</v>
      </c>
      <c r="M4728" t="s">
        <v>26817</v>
      </c>
      <c r="N4728">
        <v>6</v>
      </c>
      <c r="O4728">
        <v>0</v>
      </c>
      <c r="P4728">
        <v>6</v>
      </c>
      <c r="Q4728">
        <v>6</v>
      </c>
      <c r="R4728">
        <v>0</v>
      </c>
      <c r="S4728">
        <v>6</v>
      </c>
      <c r="T4728">
        <v>0</v>
      </c>
      <c r="U4728" t="s">
        <v>26818</v>
      </c>
      <c r="V4728">
        <f>Tabla1[[#This Row],[Aboard]]-Tabla1[[#This Row],[Fatalities]]</f>
        <v>0</v>
      </c>
      <c r="W4728" s="50">
        <f>IFERROR(Tabla1[[#This Row],[Fatalities]]/Tabla1[[#This Row],[Aboard]],0)</f>
        <v>1</v>
      </c>
      <c r="X4728" s="51" t="str" cm="1">
        <f t="array" ref="X4728">_xlfn.IFS(Tabla1[[#This Row],[Porcentaje de muertes]]&lt;0.35,"LEVE",AND(Tabla1[[#This Row],[Porcentaje de muertes]]&gt;0.35,Tabla1[[#This Row],[Porcentaje de muertes]]&lt;0.65),"MEDIO",Tabla1[[#This Row],[Porcentaje de muertes]]&gt;0.65,"GRAVE")</f>
        <v>GRAVE</v>
      </c>
    </row>
    <row r="4729" spans="2:24" x14ac:dyDescent="0.3">
      <c r="B4729" s="9">
        <v>4730</v>
      </c>
      <c r="C4729" s="49">
        <v>40108</v>
      </c>
      <c r="D4729" s="9">
        <f>YEAR(Tabla1[[#This Row],[Date]])</f>
        <v>2009</v>
      </c>
      <c r="E4729" s="9" t="str" cm="1">
        <f t="array" ref="E4729">IFERROR(_xlfn.IFS(AND(D4729&lt;1980,D4729&gt;=1970),"70",AND(D4729&lt;1990,D4729&gt;=1980),"80",AND(D4729&lt;2000,D4729&gt;=1990),"90",AND(D4729&lt;2010,D4729&gt;=2000),"00",AND(D4729&lt;=2019,D4729&gt;=2010),"10"),"1908-1970")</f>
        <v>00</v>
      </c>
      <c r="F4729" s="3">
        <v>0.44791666666666669</v>
      </c>
      <c r="G4729" t="s">
        <v>26819</v>
      </c>
      <c r="H4729" t="s">
        <v>26820</v>
      </c>
      <c r="I4729">
        <v>16</v>
      </c>
      <c r="J4729" t="s">
        <v>26821</v>
      </c>
      <c r="K4729" t="s">
        <v>26822</v>
      </c>
      <c r="L4729" s="7" t="s">
        <v>26823</v>
      </c>
      <c r="M4729">
        <v>377</v>
      </c>
      <c r="N4729">
        <v>10</v>
      </c>
      <c r="O4729">
        <v>9</v>
      </c>
      <c r="P4729">
        <v>1</v>
      </c>
      <c r="Q4729">
        <v>1</v>
      </c>
      <c r="R4729">
        <v>0</v>
      </c>
      <c r="S4729">
        <v>1</v>
      </c>
      <c r="T4729">
        <v>0</v>
      </c>
      <c r="U4729" t="s">
        <v>26824</v>
      </c>
      <c r="V4729">
        <f>Tabla1[[#This Row],[Aboard]]-Tabla1[[#This Row],[Fatalities]]</f>
        <v>9</v>
      </c>
      <c r="W4729" s="50">
        <f>IFERROR(Tabla1[[#This Row],[Fatalities]]/Tabla1[[#This Row],[Aboard]],0)</f>
        <v>0.1</v>
      </c>
      <c r="X4729" s="51" t="str" cm="1">
        <f t="array" ref="X4729">_xlfn.IFS(Tabla1[[#This Row],[Porcentaje de muertes]]&lt;0.35,"LEVE",AND(Tabla1[[#This Row],[Porcentaje de muertes]]&gt;0.35,Tabla1[[#This Row],[Porcentaje de muertes]]&lt;0.65),"MEDIO",Tabla1[[#This Row],[Porcentaje de muertes]]&gt;0.65,"GRAVE")</f>
        <v>LEVE</v>
      </c>
    </row>
    <row r="4730" spans="2:24" x14ac:dyDescent="0.3">
      <c r="B4730" s="9">
        <v>4731</v>
      </c>
      <c r="C4730" s="49">
        <v>39824</v>
      </c>
      <c r="D4730" s="9">
        <f>YEAR(Tabla1[[#This Row],[Date]])</f>
        <v>2009</v>
      </c>
      <c r="E4730" s="9" t="str" cm="1">
        <f t="array" ref="E4730">IFERROR(_xlfn.IFS(AND(D4730&lt;1980,D4730&gt;=1970),"70",AND(D4730&lt;1990,D4730&gt;=1980),"80",AND(D4730&lt;2000,D4730&gt;=1990),"90",AND(D4730&lt;2010,D4730&gt;=2000),"00",AND(D4730&lt;=2019,D4730&gt;=2010),"10"),"1908-1970")</f>
        <v>00</v>
      </c>
      <c r="F4730" s="3">
        <v>0.8881944444444444</v>
      </c>
      <c r="G4730" t="s">
        <v>26825</v>
      </c>
      <c r="H4730" t="s">
        <v>16444</v>
      </c>
      <c r="I4730" t="s">
        <v>28931</v>
      </c>
      <c r="J4730" t="s">
        <v>26826</v>
      </c>
      <c r="K4730" t="s">
        <v>26827</v>
      </c>
      <c r="L4730" s="7" t="s">
        <v>26828</v>
      </c>
      <c r="M4730" t="s">
        <v>26829</v>
      </c>
      <c r="N4730">
        <v>11</v>
      </c>
      <c r="O4730">
        <v>0</v>
      </c>
      <c r="P4730">
        <v>11</v>
      </c>
      <c r="Q4730">
        <v>11</v>
      </c>
      <c r="R4730">
        <v>0</v>
      </c>
      <c r="S4730">
        <v>11</v>
      </c>
      <c r="T4730">
        <v>0</v>
      </c>
      <c r="U4730" t="s">
        <v>26830</v>
      </c>
      <c r="V4730">
        <f>Tabla1[[#This Row],[Aboard]]-Tabla1[[#This Row],[Fatalities]]</f>
        <v>0</v>
      </c>
      <c r="W4730" s="50">
        <f>IFERROR(Tabla1[[#This Row],[Fatalities]]/Tabla1[[#This Row],[Aboard]],0)</f>
        <v>1</v>
      </c>
      <c r="X4730" s="51" t="str" cm="1">
        <f t="array" ref="X4730">_xlfn.IFS(Tabla1[[#This Row],[Porcentaje de muertes]]&lt;0.35,"LEVE",AND(Tabla1[[#This Row],[Porcentaje de muertes]]&gt;0.35,Tabla1[[#This Row],[Porcentaje de muertes]]&lt;0.65),"MEDIO",Tabla1[[#This Row],[Porcentaje de muertes]]&gt;0.65,"GRAVE")</f>
        <v>GRAVE</v>
      </c>
    </row>
    <row r="4731" spans="2:24" x14ac:dyDescent="0.3">
      <c r="B4731" s="9">
        <v>4732</v>
      </c>
      <c r="C4731" s="49">
        <v>39824</v>
      </c>
      <c r="D4731" s="9">
        <f>YEAR(Tabla1[[#This Row],[Date]])</f>
        <v>2009</v>
      </c>
      <c r="E4731" s="9" t="str" cm="1">
        <f t="array" ref="E4731">IFERROR(_xlfn.IFS(AND(D4731&lt;1980,D4731&gt;=1970),"70",AND(D4731&lt;1990,D4731&gt;=1980),"80",AND(D4731&lt;2000,D4731&gt;=1990),"90",AND(D4731&lt;2010,D4731&gt;=2000),"00",AND(D4731&lt;=2019,D4731&gt;=2010),"10"),"1908-1970")</f>
        <v>00</v>
      </c>
      <c r="F4731" s="3">
        <v>0.36736111111111108</v>
      </c>
      <c r="G4731" t="s">
        <v>26831</v>
      </c>
      <c r="H4731" t="s">
        <v>26832</v>
      </c>
      <c r="I4731" t="s">
        <v>28931</v>
      </c>
      <c r="J4731" t="s">
        <v>26833</v>
      </c>
      <c r="K4731" t="s">
        <v>26834</v>
      </c>
      <c r="L4731" s="7" t="s">
        <v>26828</v>
      </c>
      <c r="M4731" t="s">
        <v>26829</v>
      </c>
      <c r="N4731">
        <v>11</v>
      </c>
      <c r="O4731">
        <v>0</v>
      </c>
      <c r="P4731">
        <v>11</v>
      </c>
      <c r="Q4731">
        <v>11</v>
      </c>
      <c r="R4731">
        <v>0</v>
      </c>
      <c r="S4731">
        <v>11</v>
      </c>
      <c r="T4731">
        <v>0</v>
      </c>
      <c r="U4731" t="s">
        <v>26835</v>
      </c>
      <c r="V4731">
        <f>Tabla1[[#This Row],[Aboard]]-Tabla1[[#This Row],[Fatalities]]</f>
        <v>0</v>
      </c>
      <c r="W4731" s="50">
        <f>IFERROR(Tabla1[[#This Row],[Fatalities]]/Tabla1[[#This Row],[Aboard]],0)</f>
        <v>1</v>
      </c>
      <c r="X4731" s="51" t="str" cm="1">
        <f t="array" ref="X4731">_xlfn.IFS(Tabla1[[#This Row],[Porcentaje de muertes]]&lt;0.35,"LEVE",AND(Tabla1[[#This Row],[Porcentaje de muertes]]&gt;0.35,Tabla1[[#This Row],[Porcentaje de muertes]]&lt;0.65),"MEDIO",Tabla1[[#This Row],[Porcentaje de muertes]]&gt;0.65,"GRAVE")</f>
        <v>GRAVE</v>
      </c>
    </row>
    <row r="4732" spans="2:24" x14ac:dyDescent="0.3">
      <c r="B4732" s="9">
        <v>4733</v>
      </c>
      <c r="C4732" s="49">
        <v>40158</v>
      </c>
      <c r="D4732" s="9">
        <f>YEAR(Tabla1[[#This Row],[Date]])</f>
        <v>2009</v>
      </c>
      <c r="E4732" s="9" t="str" cm="1">
        <f t="array" ref="E4732">IFERROR(_xlfn.IFS(AND(D4732&lt;1980,D4732&gt;=1970),"70",AND(D4732&lt;1990,D4732&gt;=1980),"80",AND(D4732&lt;2000,D4732&gt;=1990),"90",AND(D4732&lt;2010,D4732&gt;=2000),"00",AND(D4732&lt;=2019,D4732&gt;=2010),"10"),"1908-1970")</f>
        <v>00</v>
      </c>
      <c r="F4732" s="3">
        <v>0.5625</v>
      </c>
      <c r="G4732" t="s">
        <v>22471</v>
      </c>
      <c r="H4732" t="s">
        <v>26836</v>
      </c>
      <c r="I4732" t="s">
        <v>28931</v>
      </c>
      <c r="J4732" t="s">
        <v>26837</v>
      </c>
      <c r="K4732" t="s">
        <v>25286</v>
      </c>
      <c r="L4732" s="7" t="s">
        <v>26838</v>
      </c>
      <c r="M4732">
        <v>7197</v>
      </c>
      <c r="N4732">
        <v>15</v>
      </c>
      <c r="O4732">
        <v>12</v>
      </c>
      <c r="P4732">
        <v>3</v>
      </c>
      <c r="Q4732">
        <v>1</v>
      </c>
      <c r="R4732">
        <v>1</v>
      </c>
      <c r="S4732">
        <v>0</v>
      </c>
      <c r="T4732">
        <v>0</v>
      </c>
      <c r="U4732" t="s">
        <v>26839</v>
      </c>
      <c r="V4732">
        <f>Tabla1[[#This Row],[Aboard]]-Tabla1[[#This Row],[Fatalities]]</f>
        <v>14</v>
      </c>
      <c r="W4732" s="50">
        <f>IFERROR(Tabla1[[#This Row],[Fatalities]]/Tabla1[[#This Row],[Aboard]],0)</f>
        <v>6.6666666666666666E-2</v>
      </c>
      <c r="X4732" s="51" t="str" cm="1">
        <f t="array" ref="X4732">_xlfn.IFS(Tabla1[[#This Row],[Porcentaje de muertes]]&lt;0.35,"LEVE",AND(Tabla1[[#This Row],[Porcentaje de muertes]]&gt;0.35,Tabla1[[#This Row],[Porcentaje de muertes]]&lt;0.65),"MEDIO",Tabla1[[#This Row],[Porcentaje de muertes]]&gt;0.65,"GRAVE")</f>
        <v>LEVE</v>
      </c>
    </row>
    <row r="4733" spans="2:24" x14ac:dyDescent="0.3">
      <c r="B4733" s="9">
        <v>4734</v>
      </c>
      <c r="C4733" s="49">
        <v>40131</v>
      </c>
      <c r="D4733" s="9">
        <f>YEAR(Tabla1[[#This Row],[Date]])</f>
        <v>2009</v>
      </c>
      <c r="E4733" s="9" t="str" cm="1">
        <f t="array" ref="E4733">IFERROR(_xlfn.IFS(AND(D4733&lt;1980,D4733&gt;=1970),"70",AND(D4733&lt;1990,D4733&gt;=1980),"80",AND(D4733&lt;2000,D4733&gt;=1990),"90",AND(D4733&lt;2010,D4733&gt;=2000),"00",AND(D4733&lt;=2019,D4733&gt;=2010),"10"),"1908-1970")</f>
        <v>00</v>
      </c>
      <c r="F4733" s="3">
        <v>8.3333333333333329E-2</v>
      </c>
      <c r="G4733" t="s">
        <v>26840</v>
      </c>
      <c r="H4733" t="s">
        <v>26841</v>
      </c>
      <c r="I4733" t="s">
        <v>28931</v>
      </c>
      <c r="J4733" t="s">
        <v>26842</v>
      </c>
      <c r="K4733" t="s">
        <v>26843</v>
      </c>
      <c r="L4733" s="7" t="s">
        <v>26844</v>
      </c>
      <c r="M4733">
        <v>1476</v>
      </c>
      <c r="N4733">
        <v>3</v>
      </c>
      <c r="O4733">
        <v>0</v>
      </c>
      <c r="P4733">
        <v>3</v>
      </c>
      <c r="Q4733">
        <v>3</v>
      </c>
      <c r="R4733">
        <v>0</v>
      </c>
      <c r="S4733">
        <v>3</v>
      </c>
      <c r="T4733">
        <v>0</v>
      </c>
      <c r="U4733" t="s">
        <v>26845</v>
      </c>
      <c r="V4733">
        <f>Tabla1[[#This Row],[Aboard]]-Tabla1[[#This Row],[Fatalities]]</f>
        <v>0</v>
      </c>
      <c r="W4733" s="50">
        <f>IFERROR(Tabla1[[#This Row],[Fatalities]]/Tabla1[[#This Row],[Aboard]],0)</f>
        <v>1</v>
      </c>
      <c r="X4733" s="51" t="str" cm="1">
        <f t="array" ref="X4733">_xlfn.IFS(Tabla1[[#This Row],[Porcentaje de muertes]]&lt;0.35,"LEVE",AND(Tabla1[[#This Row],[Porcentaje de muertes]]&gt;0.35,Tabla1[[#This Row],[Porcentaje de muertes]]&lt;0.65),"MEDIO",Tabla1[[#This Row],[Porcentaje de muertes]]&gt;0.65,"GRAVE")</f>
        <v>GRAVE</v>
      </c>
    </row>
    <row r="4734" spans="2:24" x14ac:dyDescent="0.3">
      <c r="B4734" s="9">
        <v>4735</v>
      </c>
      <c r="C4734" s="49">
        <v>40145</v>
      </c>
      <c r="D4734" s="9">
        <f>YEAR(Tabla1[[#This Row],[Date]])</f>
        <v>2009</v>
      </c>
      <c r="E4734" s="9" t="str" cm="1">
        <f t="array" ref="E4734">IFERROR(_xlfn.IFS(AND(D4734&lt;1980,D4734&gt;=1970),"70",AND(D4734&lt;1990,D4734&gt;=1980),"80",AND(D4734&lt;2000,D4734&gt;=1990),"90",AND(D4734&lt;2010,D4734&gt;=2000),"00",AND(D4734&lt;=2019,D4734&gt;=2010),"10"),"1908-1970")</f>
        <v>00</v>
      </c>
      <c r="F4734" s="3">
        <v>0.3444444444444445</v>
      </c>
      <c r="G4734" t="s">
        <v>6009</v>
      </c>
      <c r="H4734" t="s">
        <v>26846</v>
      </c>
      <c r="I4734">
        <v>324</v>
      </c>
      <c r="J4734" t="s">
        <v>26847</v>
      </c>
      <c r="K4734" t="s">
        <v>26848</v>
      </c>
      <c r="L4734" s="7" t="s">
        <v>26849</v>
      </c>
      <c r="M4734" t="s">
        <v>26850</v>
      </c>
      <c r="N4734">
        <v>7</v>
      </c>
      <c r="O4734">
        <v>0</v>
      </c>
      <c r="P4734">
        <v>7</v>
      </c>
      <c r="Q4734">
        <v>3</v>
      </c>
      <c r="R4734">
        <v>0</v>
      </c>
      <c r="S4734">
        <v>3</v>
      </c>
      <c r="T4734">
        <v>0</v>
      </c>
      <c r="U4734" t="s">
        <v>26851</v>
      </c>
      <c r="V4734">
        <f>Tabla1[[#This Row],[Aboard]]-Tabla1[[#This Row],[Fatalities]]</f>
        <v>4</v>
      </c>
      <c r="W4734" s="50">
        <f>IFERROR(Tabla1[[#This Row],[Fatalities]]/Tabla1[[#This Row],[Aboard]],0)</f>
        <v>0.42857142857142855</v>
      </c>
      <c r="X4734" s="51" t="str" cm="1">
        <f t="array" ref="X4734">_xlfn.IFS(Tabla1[[#This Row],[Porcentaje de muertes]]&lt;0.35,"LEVE",AND(Tabla1[[#This Row],[Porcentaje de muertes]]&gt;0.35,Tabla1[[#This Row],[Porcentaje de muertes]]&lt;0.65),"MEDIO",Tabla1[[#This Row],[Porcentaje de muertes]]&gt;0.65,"GRAVE")</f>
        <v>MEDIO</v>
      </c>
    </row>
    <row r="4735" spans="2:24" x14ac:dyDescent="0.3">
      <c r="B4735" s="9">
        <v>4736</v>
      </c>
      <c r="C4735" s="49">
        <v>40146</v>
      </c>
      <c r="D4735" s="9">
        <f>YEAR(Tabla1[[#This Row],[Date]])</f>
        <v>2009</v>
      </c>
      <c r="E4735" s="9" t="str" cm="1">
        <f t="array" ref="E4735">IFERROR(_xlfn.IFS(AND(D4735&lt;1980,D4735&gt;=1970),"70",AND(D4735&lt;1990,D4735&gt;=1980),"80",AND(D4735&lt;2000,D4735&gt;=1990),"90",AND(D4735&lt;2010,D4735&gt;=2000),"00",AND(D4735&lt;=2019,D4735&gt;=2010),"10"),"1908-1970")</f>
        <v>00</v>
      </c>
      <c r="F4735" s="3">
        <v>0.67361111111111116</v>
      </c>
      <c r="G4735" t="s">
        <v>26852</v>
      </c>
      <c r="H4735" t="s">
        <v>26853</v>
      </c>
      <c r="I4735" t="s">
        <v>28931</v>
      </c>
      <c r="J4735" t="s">
        <v>26854</v>
      </c>
      <c r="K4735" t="s">
        <v>26855</v>
      </c>
      <c r="L4735" s="7" t="s">
        <v>26856</v>
      </c>
      <c r="M4735">
        <v>1171</v>
      </c>
      <c r="N4735">
        <v>8</v>
      </c>
      <c r="O4735">
        <v>7</v>
      </c>
      <c r="P4735">
        <v>1</v>
      </c>
      <c r="Q4735">
        <v>6</v>
      </c>
      <c r="R4735">
        <v>6</v>
      </c>
      <c r="S4735">
        <v>0</v>
      </c>
      <c r="T4735">
        <v>0</v>
      </c>
      <c r="U4735" t="s">
        <v>26857</v>
      </c>
      <c r="V4735">
        <f>Tabla1[[#This Row],[Aboard]]-Tabla1[[#This Row],[Fatalities]]</f>
        <v>2</v>
      </c>
      <c r="W4735" s="50">
        <f>IFERROR(Tabla1[[#This Row],[Fatalities]]/Tabla1[[#This Row],[Aboard]],0)</f>
        <v>0.75</v>
      </c>
      <c r="X4735" s="51" t="str" cm="1">
        <f t="array" ref="X4735">_xlfn.IFS(Tabla1[[#This Row],[Porcentaje de muertes]]&lt;0.35,"LEVE",AND(Tabla1[[#This Row],[Porcentaje de muertes]]&gt;0.35,Tabla1[[#This Row],[Porcentaje de muertes]]&lt;0.65),"MEDIO",Tabla1[[#This Row],[Porcentaje de muertes]]&gt;0.65,"GRAVE")</f>
        <v>GRAVE</v>
      </c>
    </row>
    <row r="4736" spans="2:24" x14ac:dyDescent="0.3">
      <c r="B4736" s="9">
        <v>4737</v>
      </c>
      <c r="C4736" s="49">
        <v>40200</v>
      </c>
      <c r="D4736" s="9">
        <f>YEAR(Tabla1[[#This Row],[Date]])</f>
        <v>2010</v>
      </c>
      <c r="E4736" s="9" t="str" cm="1">
        <f t="array" ref="E4736">IFERROR(_xlfn.IFS(AND(D4736&lt;1980,D4736&gt;=1970),"70",AND(D4736&lt;1990,D4736&gt;=1980),"80",AND(D4736&lt;2000,D4736&gt;=1990),"90",AND(D4736&lt;2010,D4736&gt;=2000),"00",AND(D4736&lt;=2019,D4736&gt;=2010),"10"),"1908-1970")</f>
        <v>10</v>
      </c>
      <c r="F4736" s="3">
        <v>6.9444444444444441E-3</v>
      </c>
      <c r="G4736" t="s">
        <v>26858</v>
      </c>
      <c r="H4736" t="s">
        <v>26859</v>
      </c>
      <c r="I4736">
        <v>22</v>
      </c>
      <c r="J4736" t="s">
        <v>26860</v>
      </c>
      <c r="K4736" t="s">
        <v>21341</v>
      </c>
      <c r="L4736" s="7" t="s">
        <v>26861</v>
      </c>
      <c r="M4736" t="s">
        <v>26862</v>
      </c>
      <c r="N4736">
        <v>2</v>
      </c>
      <c r="O4736">
        <v>0</v>
      </c>
      <c r="P4736">
        <v>2</v>
      </c>
      <c r="Q4736">
        <v>2</v>
      </c>
      <c r="R4736">
        <v>0</v>
      </c>
      <c r="S4736">
        <v>2</v>
      </c>
      <c r="T4736">
        <v>0</v>
      </c>
      <c r="U4736" t="s">
        <v>26863</v>
      </c>
      <c r="V4736">
        <f>Tabla1[[#This Row],[Aboard]]-Tabla1[[#This Row],[Fatalities]]</f>
        <v>0</v>
      </c>
      <c r="W4736" s="50">
        <f>IFERROR(Tabla1[[#This Row],[Fatalities]]/Tabla1[[#This Row],[Aboard]],0)</f>
        <v>1</v>
      </c>
      <c r="X4736" s="51" t="str" cm="1">
        <f t="array" ref="X4736">_xlfn.IFS(Tabla1[[#This Row],[Porcentaje de muertes]]&lt;0.35,"LEVE",AND(Tabla1[[#This Row],[Porcentaje de muertes]]&gt;0.35,Tabla1[[#This Row],[Porcentaje de muertes]]&lt;0.65),"MEDIO",Tabla1[[#This Row],[Porcentaje de muertes]]&gt;0.65,"GRAVE")</f>
        <v>GRAVE</v>
      </c>
    </row>
    <row r="4737" spans="2:24" x14ac:dyDescent="0.3">
      <c r="B4737" s="9">
        <v>4738</v>
      </c>
      <c r="C4737" s="49">
        <v>40203</v>
      </c>
      <c r="D4737" s="9">
        <f>YEAR(Tabla1[[#This Row],[Date]])</f>
        <v>2010</v>
      </c>
      <c r="E4737" s="9" t="str" cm="1">
        <f t="array" ref="E4737">IFERROR(_xlfn.IFS(AND(D4737&lt;1980,D4737&gt;=1970),"70",AND(D4737&lt;1990,D4737&gt;=1980),"80",AND(D4737&lt;2000,D4737&gt;=1990),"90",AND(D4737&lt;2010,D4737&gt;=2000),"00",AND(D4737&lt;=2019,D4737&gt;=2010),"10"),"1908-1970")</f>
        <v>10</v>
      </c>
      <c r="F4737" s="3">
        <v>0.1076388888888889</v>
      </c>
      <c r="G4737" t="s">
        <v>26864</v>
      </c>
      <c r="H4737" t="s">
        <v>13000</v>
      </c>
      <c r="I4737">
        <v>409</v>
      </c>
      <c r="J4737" t="s">
        <v>26865</v>
      </c>
      <c r="K4737" t="s">
        <v>26866</v>
      </c>
      <c r="L4737" s="7" t="s">
        <v>26867</v>
      </c>
      <c r="M4737" t="s">
        <v>26868</v>
      </c>
      <c r="N4737">
        <v>90</v>
      </c>
      <c r="O4737">
        <v>82</v>
      </c>
      <c r="P4737">
        <v>8</v>
      </c>
      <c r="Q4737">
        <v>90</v>
      </c>
      <c r="R4737">
        <v>82</v>
      </c>
      <c r="S4737">
        <v>8</v>
      </c>
      <c r="T4737">
        <v>0</v>
      </c>
      <c r="U4737" t="s">
        <v>26869</v>
      </c>
      <c r="V4737">
        <f>Tabla1[[#This Row],[Aboard]]-Tabla1[[#This Row],[Fatalities]]</f>
        <v>0</v>
      </c>
      <c r="W4737" s="50">
        <f>IFERROR(Tabla1[[#This Row],[Fatalities]]/Tabla1[[#This Row],[Aboard]],0)</f>
        <v>1</v>
      </c>
      <c r="X4737" s="51" t="str" cm="1">
        <f t="array" ref="X4737">_xlfn.IFS(Tabla1[[#This Row],[Porcentaje de muertes]]&lt;0.35,"LEVE",AND(Tabla1[[#This Row],[Porcentaje de muertes]]&gt;0.35,Tabla1[[#This Row],[Porcentaje de muertes]]&lt;0.65),"MEDIO",Tabla1[[#This Row],[Porcentaje de muertes]]&gt;0.65,"GRAVE")</f>
        <v>GRAVE</v>
      </c>
    </row>
    <row r="4738" spans="2:24" x14ac:dyDescent="0.3">
      <c r="B4738" s="9">
        <v>4739</v>
      </c>
      <c r="C4738" s="49">
        <v>40203</v>
      </c>
      <c r="D4738" s="9">
        <f>YEAR(Tabla1[[#This Row],[Date]])</f>
        <v>2010</v>
      </c>
      <c r="E4738" s="9" t="str" cm="1">
        <f t="array" ref="E4738">IFERROR(_xlfn.IFS(AND(D4738&lt;1980,D4738&gt;=1970),"70",AND(D4738&lt;1990,D4738&gt;=1980),"80",AND(D4738&lt;2000,D4738&gt;=1990),"90",AND(D4738&lt;2010,D4738&gt;=2000),"00",AND(D4738&lt;=2019,D4738&gt;=2010),"10"),"1908-1970")</f>
        <v>10</v>
      </c>
      <c r="F4738" s="3">
        <v>0.60416666666666663</v>
      </c>
      <c r="G4738" t="s">
        <v>26870</v>
      </c>
      <c r="H4738" t="s">
        <v>26871</v>
      </c>
      <c r="I4738" t="s">
        <v>28931</v>
      </c>
      <c r="J4738" t="s">
        <v>26872</v>
      </c>
      <c r="K4738" t="s">
        <v>26873</v>
      </c>
      <c r="L4738" s="7" t="s">
        <v>26874</v>
      </c>
      <c r="M4738">
        <v>110103</v>
      </c>
      <c r="N4738">
        <v>10</v>
      </c>
      <c r="O4738">
        <v>8</v>
      </c>
      <c r="P4738">
        <v>2</v>
      </c>
      <c r="Q4738">
        <v>2</v>
      </c>
      <c r="R4738">
        <v>1</v>
      </c>
      <c r="S4738">
        <v>1</v>
      </c>
      <c r="T4738">
        <v>0</v>
      </c>
      <c r="U4738" t="s">
        <v>26875</v>
      </c>
      <c r="V4738">
        <f>Tabla1[[#This Row],[Aboard]]-Tabla1[[#This Row],[Fatalities]]</f>
        <v>8</v>
      </c>
      <c r="W4738" s="50">
        <f>IFERROR(Tabla1[[#This Row],[Fatalities]]/Tabla1[[#This Row],[Aboard]],0)</f>
        <v>0.2</v>
      </c>
      <c r="X4738" s="51" t="str" cm="1">
        <f t="array" ref="X4738">_xlfn.IFS(Tabla1[[#This Row],[Porcentaje de muertes]]&lt;0.35,"LEVE",AND(Tabla1[[#This Row],[Porcentaje de muertes]]&gt;0.35,Tabla1[[#This Row],[Porcentaje de muertes]]&lt;0.65),"MEDIO",Tabla1[[#This Row],[Porcentaje de muertes]]&gt;0.65,"GRAVE")</f>
        <v>LEVE</v>
      </c>
    </row>
    <row r="4739" spans="2:24" x14ac:dyDescent="0.3">
      <c r="B4739" s="9">
        <v>4740</v>
      </c>
      <c r="C4739" s="49">
        <v>40206</v>
      </c>
      <c r="D4739" s="9">
        <f>YEAR(Tabla1[[#This Row],[Date]])</f>
        <v>2010</v>
      </c>
      <c r="E4739" s="9" t="str" cm="1">
        <f t="array" ref="E4739">IFERROR(_xlfn.IFS(AND(D4739&lt;1980,D4739&gt;=1970),"70",AND(D4739&lt;1990,D4739&gt;=1980),"80",AND(D4739&lt;2000,D4739&gt;=1990),"90",AND(D4739&lt;2010,D4739&gt;=2000),"00",AND(D4739&lt;=2019,D4739&gt;=2010),"10"),"1908-1970")</f>
        <v>10</v>
      </c>
      <c r="F4739" s="3">
        <v>0.47916666666666669</v>
      </c>
      <c r="G4739" t="s">
        <v>26876</v>
      </c>
      <c r="H4739" t="s">
        <v>11996</v>
      </c>
      <c r="I4739" t="s">
        <v>28931</v>
      </c>
      <c r="J4739" t="s">
        <v>26877</v>
      </c>
      <c r="K4739" t="s">
        <v>26878</v>
      </c>
      <c r="L4739" s="7">
        <v>18</v>
      </c>
      <c r="M4739" t="s">
        <v>26879</v>
      </c>
      <c r="N4739">
        <v>8</v>
      </c>
      <c r="O4739">
        <v>6</v>
      </c>
      <c r="P4739">
        <v>2</v>
      </c>
      <c r="Q4739">
        <v>8</v>
      </c>
      <c r="R4739">
        <v>6</v>
      </c>
      <c r="S4739">
        <v>2</v>
      </c>
      <c r="T4739">
        <v>1</v>
      </c>
      <c r="U4739" t="s">
        <v>26880</v>
      </c>
      <c r="V4739">
        <f>Tabla1[[#This Row],[Aboard]]-Tabla1[[#This Row],[Fatalities]]</f>
        <v>0</v>
      </c>
      <c r="W4739" s="50">
        <f>IFERROR(Tabla1[[#This Row],[Fatalities]]/Tabla1[[#This Row],[Aboard]],0)</f>
        <v>1</v>
      </c>
      <c r="X4739" s="51" t="str" cm="1">
        <f t="array" ref="X4739">_xlfn.IFS(Tabla1[[#This Row],[Porcentaje de muertes]]&lt;0.35,"LEVE",AND(Tabla1[[#This Row],[Porcentaje de muertes]]&gt;0.35,Tabla1[[#This Row],[Porcentaje de muertes]]&lt;0.65),"MEDIO",Tabla1[[#This Row],[Porcentaje de muertes]]&gt;0.65,"GRAVE")</f>
        <v>GRAVE</v>
      </c>
    </row>
    <row r="4740" spans="2:24" x14ac:dyDescent="0.3">
      <c r="B4740" s="9">
        <v>4741</v>
      </c>
      <c r="C4740" s="49">
        <v>40223</v>
      </c>
      <c r="D4740" s="9">
        <f>YEAR(Tabla1[[#This Row],[Date]])</f>
        <v>2010</v>
      </c>
      <c r="E4740" s="9" t="str" cm="1">
        <f t="array" ref="E4740">IFERROR(_xlfn.IFS(AND(D4740&lt;1980,D4740&gt;=1970),"70",AND(D4740&lt;1990,D4740&gt;=1980),"80",AND(D4740&lt;2000,D4740&gt;=1990),"90",AND(D4740&lt;2010,D4740&gt;=2000),"00",AND(D4740&lt;=2019,D4740&gt;=2010),"10"),"1908-1970")</f>
        <v>10</v>
      </c>
      <c r="F4740" s="3" t="s">
        <v>28931</v>
      </c>
      <c r="G4740" t="s">
        <v>26881</v>
      </c>
      <c r="H4740" t="s">
        <v>26882</v>
      </c>
      <c r="I4740" t="s">
        <v>28931</v>
      </c>
      <c r="J4740" t="s">
        <v>28931</v>
      </c>
      <c r="K4740" t="s">
        <v>26883</v>
      </c>
      <c r="L4740" s="7" t="s">
        <v>28931</v>
      </c>
      <c r="M4740" t="s">
        <v>28931</v>
      </c>
      <c r="N4740">
        <v>11</v>
      </c>
      <c r="O4740">
        <v>9</v>
      </c>
      <c r="P4740">
        <v>2</v>
      </c>
      <c r="Q4740">
        <v>11</v>
      </c>
      <c r="R4740">
        <v>9</v>
      </c>
      <c r="S4740">
        <v>2</v>
      </c>
      <c r="T4740">
        <v>2</v>
      </c>
      <c r="U4740" t="s">
        <v>26884</v>
      </c>
      <c r="V4740">
        <f>Tabla1[[#This Row],[Aboard]]-Tabla1[[#This Row],[Fatalities]]</f>
        <v>0</v>
      </c>
      <c r="W4740" s="50">
        <f>IFERROR(Tabla1[[#This Row],[Fatalities]]/Tabla1[[#This Row],[Aboard]],0)</f>
        <v>1</v>
      </c>
      <c r="X4740" s="51" t="str" cm="1">
        <f t="array" ref="X4740">_xlfn.IFS(Tabla1[[#This Row],[Porcentaje de muertes]]&lt;0.35,"LEVE",AND(Tabla1[[#This Row],[Porcentaje de muertes]]&gt;0.35,Tabla1[[#This Row],[Porcentaje de muertes]]&lt;0.65),"MEDIO",Tabla1[[#This Row],[Porcentaje de muertes]]&gt;0.65,"GRAVE")</f>
        <v>GRAVE</v>
      </c>
    </row>
    <row r="4741" spans="2:24" x14ac:dyDescent="0.3">
      <c r="B4741" s="9">
        <v>4742</v>
      </c>
      <c r="C4741" s="49">
        <v>40455</v>
      </c>
      <c r="D4741" s="9">
        <f>YEAR(Tabla1[[#This Row],[Date]])</f>
        <v>2010</v>
      </c>
      <c r="E4741" s="9" t="str" cm="1">
        <f t="array" ref="E4741">IFERROR(_xlfn.IFS(AND(D4741&lt;1980,D4741&gt;=1970),"70",AND(D4741&lt;1990,D4741&gt;=1980),"80",AND(D4741&lt;2000,D4741&gt;=1990),"90",AND(D4741&lt;2010,D4741&gt;=2000),"00",AND(D4741&lt;=2019,D4741&gt;=2010),"10"),"1908-1970")</f>
        <v>10</v>
      </c>
      <c r="F4741" s="3">
        <v>0.44513888888888892</v>
      </c>
      <c r="G4741" t="s">
        <v>26885</v>
      </c>
      <c r="H4741" t="s">
        <v>26385</v>
      </c>
      <c r="I4741" t="s">
        <v>26886</v>
      </c>
      <c r="J4741" t="s">
        <v>26887</v>
      </c>
      <c r="K4741" t="s">
        <v>24627</v>
      </c>
      <c r="L4741" s="7">
        <v>101</v>
      </c>
      <c r="M4741" t="s">
        <v>26888</v>
      </c>
      <c r="N4741">
        <v>96</v>
      </c>
      <c r="O4741">
        <v>88</v>
      </c>
      <c r="P4741">
        <v>8</v>
      </c>
      <c r="Q4741">
        <v>96</v>
      </c>
      <c r="R4741">
        <v>88</v>
      </c>
      <c r="S4741">
        <v>8</v>
      </c>
      <c r="T4741">
        <v>0</v>
      </c>
      <c r="U4741" t="s">
        <v>26889</v>
      </c>
      <c r="V4741">
        <f>Tabla1[[#This Row],[Aboard]]-Tabla1[[#This Row],[Fatalities]]</f>
        <v>0</v>
      </c>
      <c r="W4741" s="50">
        <f>IFERROR(Tabla1[[#This Row],[Fatalities]]/Tabla1[[#This Row],[Aboard]],0)</f>
        <v>1</v>
      </c>
      <c r="X4741" s="51" t="str" cm="1">
        <f t="array" ref="X4741">_xlfn.IFS(Tabla1[[#This Row],[Porcentaje de muertes]]&lt;0.35,"LEVE",AND(Tabla1[[#This Row],[Porcentaje de muertes]]&gt;0.35,Tabla1[[#This Row],[Porcentaje de muertes]]&lt;0.65),"MEDIO",Tabla1[[#This Row],[Porcentaje de muertes]]&gt;0.65,"GRAVE")</f>
        <v>GRAVE</v>
      </c>
    </row>
    <row r="4742" spans="2:24" x14ac:dyDescent="0.3">
      <c r="B4742" s="9">
        <v>4743</v>
      </c>
      <c r="C4742" s="49">
        <v>40455</v>
      </c>
      <c r="D4742" s="9">
        <f>YEAR(Tabla1[[#This Row],[Date]])</f>
        <v>2010</v>
      </c>
      <c r="E4742" s="9" t="str" cm="1">
        <f t="array" ref="E4742">IFERROR(_xlfn.IFS(AND(D4742&lt;1980,D4742&gt;=1970),"70",AND(D4742&lt;1990,D4742&gt;=1980),"80",AND(D4742&lt;2000,D4742&gt;=1990),"90",AND(D4742&lt;2010,D4742&gt;=2000),"00",AND(D4742&lt;=2019,D4742&gt;=2010),"10"),"1908-1970")</f>
        <v>10</v>
      </c>
      <c r="F4742" s="3">
        <v>0.14375000000000002</v>
      </c>
      <c r="G4742" t="s">
        <v>26890</v>
      </c>
      <c r="H4742" t="s">
        <v>22009</v>
      </c>
      <c r="I4742" t="s">
        <v>28931</v>
      </c>
      <c r="J4742" t="s">
        <v>26891</v>
      </c>
      <c r="K4742" t="s">
        <v>26235</v>
      </c>
      <c r="L4742" s="7" t="s">
        <v>28931</v>
      </c>
      <c r="M4742" t="s">
        <v>28931</v>
      </c>
      <c r="N4742">
        <v>18</v>
      </c>
      <c r="O4742">
        <v>15</v>
      </c>
      <c r="P4742">
        <v>3</v>
      </c>
      <c r="Q4742">
        <v>10</v>
      </c>
      <c r="R4742">
        <v>8</v>
      </c>
      <c r="S4742">
        <v>2</v>
      </c>
      <c r="T4742" t="s">
        <v>5038</v>
      </c>
      <c r="U4742" t="s">
        <v>26892</v>
      </c>
      <c r="V4742">
        <f>Tabla1[[#This Row],[Aboard]]-Tabla1[[#This Row],[Fatalities]]</f>
        <v>8</v>
      </c>
      <c r="W4742" s="50">
        <f>IFERROR(Tabla1[[#This Row],[Fatalities]]/Tabla1[[#This Row],[Aboard]],0)</f>
        <v>0.55555555555555558</v>
      </c>
      <c r="X4742" s="51" t="str" cm="1">
        <f t="array" ref="X4742">_xlfn.IFS(Tabla1[[#This Row],[Porcentaje de muertes]]&lt;0.35,"LEVE",AND(Tabla1[[#This Row],[Porcentaje de muertes]]&gt;0.35,Tabla1[[#This Row],[Porcentaje de muertes]]&lt;0.65),"MEDIO",Tabla1[[#This Row],[Porcentaje de muertes]]&gt;0.65,"GRAVE")</f>
        <v>MEDIO</v>
      </c>
    </row>
    <row r="4743" spans="2:24" x14ac:dyDescent="0.3">
      <c r="B4743" s="9">
        <v>4744</v>
      </c>
      <c r="C4743" s="49">
        <v>40281</v>
      </c>
      <c r="D4743" s="9">
        <f>YEAR(Tabla1[[#This Row],[Date]])</f>
        <v>2010</v>
      </c>
      <c r="E4743" s="9" t="str" cm="1">
        <f t="array" ref="E4743">IFERROR(_xlfn.IFS(AND(D4743&lt;1980,D4743&gt;=1970),"70",AND(D4743&lt;1990,D4743&gt;=1980),"80",AND(D4743&lt;2000,D4743&gt;=1990),"90",AND(D4743&lt;2010,D4743&gt;=2000),"00",AND(D4743&lt;=2019,D4743&gt;=2010),"10"),"1908-1970")</f>
        <v>10</v>
      </c>
      <c r="F4743" s="3">
        <v>0.96875</v>
      </c>
      <c r="G4743" t="s">
        <v>26893</v>
      </c>
      <c r="H4743" t="s">
        <v>26894</v>
      </c>
      <c r="I4743">
        <v>302</v>
      </c>
      <c r="J4743" t="s">
        <v>26895</v>
      </c>
      <c r="K4743" t="s">
        <v>26896</v>
      </c>
      <c r="L4743" s="7" t="s">
        <v>26897</v>
      </c>
      <c r="M4743">
        <v>78</v>
      </c>
      <c r="N4743">
        <v>5</v>
      </c>
      <c r="O4743">
        <v>0</v>
      </c>
      <c r="P4743">
        <v>5</v>
      </c>
      <c r="Q4743">
        <v>5</v>
      </c>
      <c r="R4743">
        <v>0</v>
      </c>
      <c r="S4743">
        <v>5</v>
      </c>
      <c r="T4743">
        <v>2</v>
      </c>
      <c r="U4743" t="s">
        <v>26898</v>
      </c>
      <c r="V4743">
        <f>Tabla1[[#This Row],[Aboard]]-Tabla1[[#This Row],[Fatalities]]</f>
        <v>0</v>
      </c>
      <c r="W4743" s="50">
        <f>IFERROR(Tabla1[[#This Row],[Fatalities]]/Tabla1[[#This Row],[Aboard]],0)</f>
        <v>1</v>
      </c>
      <c r="X4743" s="51" t="str" cm="1">
        <f t="array" ref="X4743">_xlfn.IFS(Tabla1[[#This Row],[Porcentaje de muertes]]&lt;0.35,"LEVE",AND(Tabla1[[#This Row],[Porcentaje de muertes]]&gt;0.35,Tabla1[[#This Row],[Porcentaje de muertes]]&lt;0.65),"MEDIO",Tabla1[[#This Row],[Porcentaje de muertes]]&gt;0.65,"GRAVE")</f>
        <v>GRAVE</v>
      </c>
    </row>
    <row r="4744" spans="2:24" x14ac:dyDescent="0.3">
      <c r="B4744" s="9">
        <v>4745</v>
      </c>
      <c r="C4744" s="49">
        <v>40289</v>
      </c>
      <c r="D4744" s="9">
        <f>YEAR(Tabla1[[#This Row],[Date]])</f>
        <v>2010</v>
      </c>
      <c r="E4744" s="9" t="str" cm="1">
        <f t="array" ref="E4744">IFERROR(_xlfn.IFS(AND(D4744&lt;1980,D4744&gt;=1970),"70",AND(D4744&lt;1990,D4744&gt;=1980),"80",AND(D4744&lt;2000,D4744&gt;=1990),"90",AND(D4744&lt;2010,D4744&gt;=2000),"00",AND(D4744&lt;=2019,D4744&gt;=2010),"10"),"1908-1970")</f>
        <v>10</v>
      </c>
      <c r="F4744" s="3">
        <v>0.88194444444444453</v>
      </c>
      <c r="G4744" t="s">
        <v>26899</v>
      </c>
      <c r="H4744" t="s">
        <v>26900</v>
      </c>
      <c r="I4744" t="s">
        <v>28931</v>
      </c>
      <c r="J4744" t="s">
        <v>26901</v>
      </c>
      <c r="K4744" t="s">
        <v>17862</v>
      </c>
      <c r="L4744" s="7" t="s">
        <v>26902</v>
      </c>
      <c r="M4744">
        <v>402001</v>
      </c>
      <c r="N4744">
        <v>6</v>
      </c>
      <c r="O4744">
        <v>0</v>
      </c>
      <c r="P4744">
        <v>6</v>
      </c>
      <c r="Q4744">
        <v>3</v>
      </c>
      <c r="R4744">
        <v>0</v>
      </c>
      <c r="S4744">
        <v>3</v>
      </c>
      <c r="T4744">
        <v>0</v>
      </c>
      <c r="U4744" t="s">
        <v>26903</v>
      </c>
      <c r="V4744">
        <f>Tabla1[[#This Row],[Aboard]]-Tabla1[[#This Row],[Fatalities]]</f>
        <v>3</v>
      </c>
      <c r="W4744" s="50">
        <f>IFERROR(Tabla1[[#This Row],[Fatalities]]/Tabla1[[#This Row],[Aboard]],0)</f>
        <v>0.5</v>
      </c>
      <c r="X4744" s="51" t="str" cm="1">
        <f t="array" ref="X4744">_xlfn.IFS(Tabla1[[#This Row],[Porcentaje de muertes]]&lt;0.35,"LEVE",AND(Tabla1[[#This Row],[Porcentaje de muertes]]&gt;0.35,Tabla1[[#This Row],[Porcentaje de muertes]]&lt;0.65),"MEDIO",Tabla1[[#This Row],[Porcentaje de muertes]]&gt;0.65,"GRAVE")</f>
        <v>MEDIO</v>
      </c>
    </row>
    <row r="4745" spans="2:24" x14ac:dyDescent="0.3">
      <c r="B4745" s="9">
        <v>4746</v>
      </c>
      <c r="C4745" s="49">
        <v>40517</v>
      </c>
      <c r="D4745" s="9">
        <f>YEAR(Tabla1[[#This Row],[Date]])</f>
        <v>2010</v>
      </c>
      <c r="E4745" s="9" t="str" cm="1">
        <f t="array" ref="E4745">IFERROR(_xlfn.IFS(AND(D4745&lt;1980,D4745&gt;=1970),"70",AND(D4745&lt;1990,D4745&gt;=1980),"80",AND(D4745&lt;2000,D4745&gt;=1990),"90",AND(D4745&lt;2010,D4745&gt;=2000),"00",AND(D4745&lt;=2019,D4745&gt;=2010),"10"),"1908-1970")</f>
        <v>10</v>
      </c>
      <c r="F4745" s="3">
        <v>0.25694444444444448</v>
      </c>
      <c r="G4745" t="s">
        <v>15886</v>
      </c>
      <c r="H4745" t="s">
        <v>26904</v>
      </c>
      <c r="I4745">
        <v>771</v>
      </c>
      <c r="J4745" t="s">
        <v>26905</v>
      </c>
      <c r="K4745" t="s">
        <v>26906</v>
      </c>
      <c r="L4745" s="7" t="s">
        <v>26907</v>
      </c>
      <c r="M4745">
        <v>1024</v>
      </c>
      <c r="N4745">
        <v>104</v>
      </c>
      <c r="O4745">
        <v>93</v>
      </c>
      <c r="P4745">
        <v>11</v>
      </c>
      <c r="Q4745">
        <v>103</v>
      </c>
      <c r="R4745">
        <v>92</v>
      </c>
      <c r="S4745">
        <v>11</v>
      </c>
      <c r="T4745">
        <v>0</v>
      </c>
      <c r="U4745" t="s">
        <v>26908</v>
      </c>
      <c r="V4745">
        <f>Tabla1[[#This Row],[Aboard]]-Tabla1[[#This Row],[Fatalities]]</f>
        <v>1</v>
      </c>
      <c r="W4745" s="50">
        <f>IFERROR(Tabla1[[#This Row],[Fatalities]]/Tabla1[[#This Row],[Aboard]],0)</f>
        <v>0.99038461538461542</v>
      </c>
      <c r="X4745" s="51" t="str" cm="1">
        <f t="array" ref="X4745">_xlfn.IFS(Tabla1[[#This Row],[Porcentaje de muertes]]&lt;0.35,"LEVE",AND(Tabla1[[#This Row],[Porcentaje de muertes]]&gt;0.35,Tabla1[[#This Row],[Porcentaje de muertes]]&lt;0.65),"MEDIO",Tabla1[[#This Row],[Porcentaje de muertes]]&gt;0.65,"GRAVE")</f>
        <v>GRAVE</v>
      </c>
    </row>
    <row r="4746" spans="2:24" x14ac:dyDescent="0.3">
      <c r="B4746" s="9">
        <v>4747</v>
      </c>
      <c r="C4746" s="49">
        <v>40313</v>
      </c>
      <c r="D4746" s="9">
        <f>YEAR(Tabla1[[#This Row],[Date]])</f>
        <v>2010</v>
      </c>
      <c r="E4746" s="9" t="str" cm="1">
        <f t="array" ref="E4746">IFERROR(_xlfn.IFS(AND(D4746&lt;1980,D4746&gt;=1970),"70",AND(D4746&lt;1990,D4746&gt;=1980),"80",AND(D4746&lt;2000,D4746&gt;=1990),"90",AND(D4746&lt;2010,D4746&gt;=2000),"00",AND(D4746&lt;=2019,D4746&gt;=2010),"10"),"1908-1970")</f>
        <v>10</v>
      </c>
      <c r="F4746" s="3">
        <v>0.63194444444444442</v>
      </c>
      <c r="G4746" t="s">
        <v>26909</v>
      </c>
      <c r="H4746" t="s">
        <v>26910</v>
      </c>
      <c r="I4746" t="s">
        <v>28931</v>
      </c>
      <c r="J4746" t="s">
        <v>26911</v>
      </c>
      <c r="K4746" t="s">
        <v>26912</v>
      </c>
      <c r="L4746" s="7" t="s">
        <v>26913</v>
      </c>
      <c r="M4746" t="s">
        <v>26914</v>
      </c>
      <c r="N4746">
        <v>8</v>
      </c>
      <c r="O4746">
        <v>6</v>
      </c>
      <c r="P4746">
        <v>2</v>
      </c>
      <c r="Q4746">
        <v>8</v>
      </c>
      <c r="R4746">
        <v>6</v>
      </c>
      <c r="S4746">
        <v>2</v>
      </c>
      <c r="T4746">
        <v>0</v>
      </c>
      <c r="U4746" t="s">
        <v>26915</v>
      </c>
      <c r="V4746">
        <f>Tabla1[[#This Row],[Aboard]]-Tabla1[[#This Row],[Fatalities]]</f>
        <v>0</v>
      </c>
      <c r="W4746" s="50">
        <f>IFERROR(Tabla1[[#This Row],[Fatalities]]/Tabla1[[#This Row],[Aboard]],0)</f>
        <v>1</v>
      </c>
      <c r="X4746" s="51" t="str" cm="1">
        <f t="array" ref="X4746">_xlfn.IFS(Tabla1[[#This Row],[Porcentaje de muertes]]&lt;0.35,"LEVE",AND(Tabla1[[#This Row],[Porcentaje de muertes]]&gt;0.35,Tabla1[[#This Row],[Porcentaje de muertes]]&lt;0.65),"MEDIO",Tabla1[[#This Row],[Porcentaje de muertes]]&gt;0.65,"GRAVE")</f>
        <v>GRAVE</v>
      </c>
    </row>
    <row r="4747" spans="2:24" x14ac:dyDescent="0.3">
      <c r="B4747" s="9">
        <v>4748</v>
      </c>
      <c r="C4747" s="49">
        <v>40315</v>
      </c>
      <c r="D4747" s="9">
        <f>YEAR(Tabla1[[#This Row],[Date]])</f>
        <v>2010</v>
      </c>
      <c r="E4747" s="9" t="str" cm="1">
        <f t="array" ref="E4747">IFERROR(_xlfn.IFS(AND(D4747&lt;1980,D4747&gt;=1970),"70",AND(D4747&lt;1990,D4747&gt;=1980),"80",AND(D4747&lt;2000,D4747&gt;=1990),"90",AND(D4747&lt;2010,D4747&gt;=2000),"00",AND(D4747&lt;=2019,D4747&gt;=2010),"10"),"1908-1970")</f>
        <v>10</v>
      </c>
      <c r="F4747" s="3">
        <v>0.39583333333333331</v>
      </c>
      <c r="G4747" t="s">
        <v>26916</v>
      </c>
      <c r="H4747" t="s">
        <v>26917</v>
      </c>
      <c r="I4747" t="s">
        <v>28931</v>
      </c>
      <c r="J4747" t="s">
        <v>26918</v>
      </c>
      <c r="K4747" t="s">
        <v>26919</v>
      </c>
      <c r="L4747" s="7" t="s">
        <v>26920</v>
      </c>
      <c r="M4747">
        <v>27307903</v>
      </c>
      <c r="N4747">
        <v>44</v>
      </c>
      <c r="O4747">
        <v>38</v>
      </c>
      <c r="P4747">
        <v>6</v>
      </c>
      <c r="Q4747">
        <v>44</v>
      </c>
      <c r="R4747">
        <v>38</v>
      </c>
      <c r="S4747">
        <v>6</v>
      </c>
      <c r="T4747">
        <v>0</v>
      </c>
      <c r="U4747" t="s">
        <v>26921</v>
      </c>
      <c r="V4747">
        <f>Tabla1[[#This Row],[Aboard]]-Tabla1[[#This Row],[Fatalities]]</f>
        <v>0</v>
      </c>
      <c r="W4747" s="50">
        <f>IFERROR(Tabla1[[#This Row],[Fatalities]]/Tabla1[[#This Row],[Aboard]],0)</f>
        <v>1</v>
      </c>
      <c r="X4747" s="51" t="str" cm="1">
        <f t="array" ref="X4747">_xlfn.IFS(Tabla1[[#This Row],[Porcentaje de muertes]]&lt;0.35,"LEVE",AND(Tabla1[[#This Row],[Porcentaje de muertes]]&gt;0.35,Tabla1[[#This Row],[Porcentaje de muertes]]&lt;0.65),"MEDIO",Tabla1[[#This Row],[Porcentaje de muertes]]&gt;0.65,"GRAVE")</f>
        <v>GRAVE</v>
      </c>
    </row>
    <row r="4748" spans="2:24" x14ac:dyDescent="0.3">
      <c r="B4748" s="9">
        <v>4749</v>
      </c>
      <c r="C4748" s="49">
        <v>40320</v>
      </c>
      <c r="D4748" s="9">
        <f>YEAR(Tabla1[[#This Row],[Date]])</f>
        <v>2010</v>
      </c>
      <c r="E4748" s="9" t="str" cm="1">
        <f t="array" ref="E4748">IFERROR(_xlfn.IFS(AND(D4748&lt;1980,D4748&gt;=1970),"70",AND(D4748&lt;1990,D4748&gt;=1980),"80",AND(D4748&lt;2000,D4748&gt;=1990),"90",AND(D4748&lt;2010,D4748&gt;=2000),"00",AND(D4748&lt;=2019,D4748&gt;=2010),"10"),"1908-1970")</f>
        <v>10</v>
      </c>
      <c r="F4748" s="3">
        <v>0.25694444444444448</v>
      </c>
      <c r="G4748" t="s">
        <v>26922</v>
      </c>
      <c r="H4748" t="s">
        <v>26923</v>
      </c>
      <c r="I4748">
        <v>812</v>
      </c>
      <c r="J4748" t="s">
        <v>26924</v>
      </c>
      <c r="K4748" t="s">
        <v>26925</v>
      </c>
      <c r="L4748" s="7" t="s">
        <v>26926</v>
      </c>
      <c r="M4748" t="s">
        <v>26927</v>
      </c>
      <c r="N4748">
        <v>166</v>
      </c>
      <c r="O4748">
        <v>160</v>
      </c>
      <c r="P4748">
        <v>6</v>
      </c>
      <c r="Q4748">
        <v>159</v>
      </c>
      <c r="R4748">
        <v>153</v>
      </c>
      <c r="S4748">
        <v>6</v>
      </c>
      <c r="T4748">
        <v>0</v>
      </c>
      <c r="U4748" t="s">
        <v>26928</v>
      </c>
      <c r="V4748">
        <f>Tabla1[[#This Row],[Aboard]]-Tabla1[[#This Row],[Fatalities]]</f>
        <v>7</v>
      </c>
      <c r="W4748" s="50">
        <f>IFERROR(Tabla1[[#This Row],[Fatalities]]/Tabla1[[#This Row],[Aboard]],0)</f>
        <v>0.95783132530120485</v>
      </c>
      <c r="X4748" s="51" t="str" cm="1">
        <f t="array" ref="X4748">_xlfn.IFS(Tabla1[[#This Row],[Porcentaje de muertes]]&lt;0.35,"LEVE",AND(Tabla1[[#This Row],[Porcentaje de muertes]]&gt;0.35,Tabla1[[#This Row],[Porcentaje de muertes]]&lt;0.65),"MEDIO",Tabla1[[#This Row],[Porcentaje de muertes]]&gt;0.65,"GRAVE")</f>
        <v>GRAVE</v>
      </c>
    </row>
    <row r="4749" spans="2:24" x14ac:dyDescent="0.3">
      <c r="B4749" s="9">
        <v>4750</v>
      </c>
      <c r="C4749" s="49">
        <v>40348</v>
      </c>
      <c r="D4749" s="9">
        <f>YEAR(Tabla1[[#This Row],[Date]])</f>
        <v>2010</v>
      </c>
      <c r="E4749" s="9" t="str" cm="1">
        <f t="array" ref="E4749">IFERROR(_xlfn.IFS(AND(D4749&lt;1980,D4749&gt;=1970),"70",AND(D4749&lt;1990,D4749&gt;=1980),"80",AND(D4749&lt;2000,D4749&gt;=1990),"90",AND(D4749&lt;2010,D4749&gt;=2000),"00",AND(D4749&lt;=2019,D4749&gt;=2010),"10"),"1908-1970")</f>
        <v>10</v>
      </c>
      <c r="F4749" s="3">
        <v>0.41666666666666669</v>
      </c>
      <c r="G4749" t="s">
        <v>26929</v>
      </c>
      <c r="H4749" t="s">
        <v>26930</v>
      </c>
      <c r="I4749" t="s">
        <v>28931</v>
      </c>
      <c r="J4749" t="s">
        <v>26931</v>
      </c>
      <c r="K4749" t="s">
        <v>25783</v>
      </c>
      <c r="L4749" s="7" t="s">
        <v>26932</v>
      </c>
      <c r="M4749">
        <v>151</v>
      </c>
      <c r="N4749">
        <v>11</v>
      </c>
      <c r="O4749">
        <v>9</v>
      </c>
      <c r="P4749">
        <v>2</v>
      </c>
      <c r="Q4749">
        <v>11</v>
      </c>
      <c r="R4749">
        <v>9</v>
      </c>
      <c r="S4749">
        <v>2</v>
      </c>
      <c r="T4749">
        <v>0</v>
      </c>
      <c r="U4749" t="s">
        <v>26933</v>
      </c>
      <c r="V4749">
        <f>Tabla1[[#This Row],[Aboard]]-Tabla1[[#This Row],[Fatalities]]</f>
        <v>0</v>
      </c>
      <c r="W4749" s="50">
        <f>IFERROR(Tabla1[[#This Row],[Fatalities]]/Tabla1[[#This Row],[Aboard]],0)</f>
        <v>1</v>
      </c>
      <c r="X4749" s="51" t="str" cm="1">
        <f t="array" ref="X4749">_xlfn.IFS(Tabla1[[#This Row],[Porcentaje de muertes]]&lt;0.35,"LEVE",AND(Tabla1[[#This Row],[Porcentaje de muertes]]&gt;0.35,Tabla1[[#This Row],[Porcentaje de muertes]]&lt;0.65),"MEDIO",Tabla1[[#This Row],[Porcentaje de muertes]]&gt;0.65,"GRAVE")</f>
        <v>GRAVE</v>
      </c>
    </row>
    <row r="4750" spans="2:24" x14ac:dyDescent="0.3">
      <c r="B4750" s="9">
        <v>4751</v>
      </c>
      <c r="C4750" s="49">
        <v>40352</v>
      </c>
      <c r="D4750" s="9">
        <f>YEAR(Tabla1[[#This Row],[Date]])</f>
        <v>2010</v>
      </c>
      <c r="E4750" s="9" t="str" cm="1">
        <f t="array" ref="E4750">IFERROR(_xlfn.IFS(AND(D4750&lt;1980,D4750&gt;=1970),"70",AND(D4750&lt;1990,D4750&gt;=1980),"80",AND(D4750&lt;2000,D4750&gt;=1990),"90",AND(D4750&lt;2010,D4750&gt;=2000),"00",AND(D4750&lt;=2019,D4750&gt;=2010),"10"),"1908-1970")</f>
        <v>10</v>
      </c>
      <c r="F4750" s="3">
        <v>0.24930555555555556</v>
      </c>
      <c r="G4750" t="s">
        <v>26934</v>
      </c>
      <c r="H4750" t="s">
        <v>26935</v>
      </c>
      <c r="I4750">
        <v>201</v>
      </c>
      <c r="J4750" t="s">
        <v>26936</v>
      </c>
      <c r="K4750" t="s">
        <v>26937</v>
      </c>
      <c r="L4750" s="7" t="s">
        <v>26938</v>
      </c>
      <c r="M4750" t="s">
        <v>26939</v>
      </c>
      <c r="N4750">
        <v>7</v>
      </c>
      <c r="O4750">
        <v>5</v>
      </c>
      <c r="P4750">
        <v>2</v>
      </c>
      <c r="Q4750">
        <v>7</v>
      </c>
      <c r="R4750">
        <v>5</v>
      </c>
      <c r="S4750">
        <v>2</v>
      </c>
      <c r="T4750">
        <v>0</v>
      </c>
      <c r="U4750" t="s">
        <v>26940</v>
      </c>
      <c r="V4750">
        <f>Tabla1[[#This Row],[Aboard]]-Tabla1[[#This Row],[Fatalities]]</f>
        <v>0</v>
      </c>
      <c r="W4750" s="50">
        <f>IFERROR(Tabla1[[#This Row],[Fatalities]]/Tabla1[[#This Row],[Aboard]],0)</f>
        <v>1</v>
      </c>
      <c r="X4750" s="51" t="str" cm="1">
        <f t="array" ref="X4750">_xlfn.IFS(Tabla1[[#This Row],[Porcentaje de muertes]]&lt;0.35,"LEVE",AND(Tabla1[[#This Row],[Porcentaje de muertes]]&gt;0.35,Tabla1[[#This Row],[Porcentaje de muertes]]&lt;0.65),"MEDIO",Tabla1[[#This Row],[Porcentaje de muertes]]&gt;0.65,"GRAVE")</f>
        <v>GRAVE</v>
      </c>
    </row>
    <row r="4751" spans="2:24" x14ac:dyDescent="0.3">
      <c r="B4751" s="9">
        <v>4752</v>
      </c>
      <c r="C4751" s="49">
        <v>40305</v>
      </c>
      <c r="D4751" s="9">
        <f>YEAR(Tabla1[[#This Row],[Date]])</f>
        <v>2010</v>
      </c>
      <c r="E4751" s="9" t="str" cm="1">
        <f t="array" ref="E4751">IFERROR(_xlfn.IFS(AND(D4751&lt;1980,D4751&gt;=1970),"70",AND(D4751&lt;1990,D4751&gt;=1980),"80",AND(D4751&lt;2000,D4751&gt;=1990),"90",AND(D4751&lt;2010,D4751&gt;=2000),"00",AND(D4751&lt;=2019,D4751&gt;=2010),"10"),"1908-1970")</f>
        <v>10</v>
      </c>
      <c r="F4751" s="3">
        <v>0.73611111111111116</v>
      </c>
      <c r="G4751" t="s">
        <v>26941</v>
      </c>
      <c r="H4751" t="s">
        <v>26942</v>
      </c>
      <c r="I4751" t="s">
        <v>28931</v>
      </c>
      <c r="J4751" t="s">
        <v>26943</v>
      </c>
      <c r="K4751" t="s">
        <v>14581</v>
      </c>
      <c r="L4751" s="7">
        <v>53</v>
      </c>
      <c r="M4751" t="s">
        <v>26944</v>
      </c>
      <c r="N4751">
        <v>14</v>
      </c>
      <c r="O4751">
        <v>10</v>
      </c>
      <c r="P4751">
        <v>4</v>
      </c>
      <c r="Q4751">
        <v>12</v>
      </c>
      <c r="R4751" t="s">
        <v>5038</v>
      </c>
      <c r="S4751">
        <v>3</v>
      </c>
      <c r="T4751">
        <v>0</v>
      </c>
      <c r="U4751" t="s">
        <v>26945</v>
      </c>
      <c r="V4751">
        <f>Tabla1[[#This Row],[Aboard]]-Tabla1[[#This Row],[Fatalities]]</f>
        <v>2</v>
      </c>
      <c r="W4751" s="50">
        <f>IFERROR(Tabla1[[#This Row],[Fatalities]]/Tabla1[[#This Row],[Aboard]],0)</f>
        <v>0.8571428571428571</v>
      </c>
      <c r="X4751" s="51" t="str" cm="1">
        <f t="array" ref="X4751">_xlfn.IFS(Tabla1[[#This Row],[Porcentaje de muertes]]&lt;0.35,"LEVE",AND(Tabla1[[#This Row],[Porcentaje de muertes]]&gt;0.35,Tabla1[[#This Row],[Porcentaje de muertes]]&lt;0.65),"MEDIO",Tabla1[[#This Row],[Porcentaje de muertes]]&gt;0.65,"GRAVE")</f>
        <v>GRAVE</v>
      </c>
    </row>
    <row r="4752" spans="2:24" x14ac:dyDescent="0.3">
      <c r="B4752" s="9">
        <v>4753</v>
      </c>
      <c r="C4752" s="49">
        <v>40387</v>
      </c>
      <c r="D4752" s="9">
        <f>YEAR(Tabla1[[#This Row],[Date]])</f>
        <v>2010</v>
      </c>
      <c r="E4752" s="9" t="str" cm="1">
        <f t="array" ref="E4752">IFERROR(_xlfn.IFS(AND(D4752&lt;1980,D4752&gt;=1970),"70",AND(D4752&lt;1990,D4752&gt;=1980),"80",AND(D4752&lt;2000,D4752&gt;=1990),"90",AND(D4752&lt;2010,D4752&gt;=2000),"00",AND(D4752&lt;=2019,D4752&gt;=2010),"10"),"1908-1970")</f>
        <v>10</v>
      </c>
      <c r="F4752" s="3">
        <v>0.40625</v>
      </c>
      <c r="G4752" t="s">
        <v>15929</v>
      </c>
      <c r="H4752" t="s">
        <v>26946</v>
      </c>
      <c r="I4752">
        <v>202</v>
      </c>
      <c r="J4752" t="s">
        <v>26947</v>
      </c>
      <c r="K4752" t="s">
        <v>26948</v>
      </c>
      <c r="L4752" s="7" t="s">
        <v>26949</v>
      </c>
      <c r="M4752">
        <v>1218</v>
      </c>
      <c r="N4752">
        <v>152</v>
      </c>
      <c r="O4752">
        <v>146</v>
      </c>
      <c r="P4752">
        <v>6</v>
      </c>
      <c r="Q4752">
        <v>152</v>
      </c>
      <c r="R4752">
        <v>146</v>
      </c>
      <c r="S4752">
        <v>6</v>
      </c>
      <c r="T4752">
        <v>0</v>
      </c>
      <c r="U4752" t="s">
        <v>26950</v>
      </c>
      <c r="V4752">
        <f>Tabla1[[#This Row],[Aboard]]-Tabla1[[#This Row],[Fatalities]]</f>
        <v>0</v>
      </c>
      <c r="W4752" s="50">
        <f>IFERROR(Tabla1[[#This Row],[Fatalities]]/Tabla1[[#This Row],[Aboard]],0)</f>
        <v>1</v>
      </c>
      <c r="X4752" s="51" t="str" cm="1">
        <f t="array" ref="X4752">_xlfn.IFS(Tabla1[[#This Row],[Porcentaje de muertes]]&lt;0.35,"LEVE",AND(Tabla1[[#This Row],[Porcentaje de muertes]]&gt;0.35,Tabla1[[#This Row],[Porcentaje de muertes]]&lt;0.65),"MEDIO",Tabla1[[#This Row],[Porcentaje de muertes]]&gt;0.65,"GRAVE")</f>
        <v>GRAVE</v>
      </c>
    </row>
    <row r="4753" spans="2:24" x14ac:dyDescent="0.3">
      <c r="B4753" s="9">
        <v>4754</v>
      </c>
      <c r="C4753" s="49">
        <v>40387</v>
      </c>
      <c r="D4753" s="9">
        <f>YEAR(Tabla1[[#This Row],[Date]])</f>
        <v>2010</v>
      </c>
      <c r="E4753" s="9" t="str" cm="1">
        <f t="array" ref="E4753">IFERROR(_xlfn.IFS(AND(D4753&lt;1980,D4753&gt;=1970),"70",AND(D4753&lt;1990,D4753&gt;=1980),"80",AND(D4753&lt;2000,D4753&gt;=1990),"90",AND(D4753&lt;2010,D4753&gt;=2000),"00",AND(D4753&lt;=2019,D4753&gt;=2010),"10"),"1908-1970")</f>
        <v>10</v>
      </c>
      <c r="F4753" s="3">
        <v>0.76527777777777783</v>
      </c>
      <c r="G4753" t="s">
        <v>26951</v>
      </c>
      <c r="H4753" t="s">
        <v>10504</v>
      </c>
      <c r="I4753" t="s">
        <v>28931</v>
      </c>
      <c r="J4753" t="s">
        <v>26952</v>
      </c>
      <c r="K4753" t="s">
        <v>26953</v>
      </c>
      <c r="L4753" s="7" t="s">
        <v>26954</v>
      </c>
      <c r="M4753" t="s">
        <v>26955</v>
      </c>
      <c r="N4753">
        <v>4</v>
      </c>
      <c r="O4753">
        <v>0</v>
      </c>
      <c r="P4753">
        <v>4</v>
      </c>
      <c r="Q4753">
        <v>4</v>
      </c>
      <c r="R4753">
        <v>0</v>
      </c>
      <c r="S4753">
        <v>4</v>
      </c>
      <c r="T4753">
        <v>0</v>
      </c>
      <c r="U4753" t="s">
        <v>26956</v>
      </c>
      <c r="V4753">
        <f>Tabla1[[#This Row],[Aboard]]-Tabla1[[#This Row],[Fatalities]]</f>
        <v>0</v>
      </c>
      <c r="W4753" s="50">
        <f>IFERROR(Tabla1[[#This Row],[Fatalities]]/Tabla1[[#This Row],[Aboard]],0)</f>
        <v>1</v>
      </c>
      <c r="X4753" s="51" t="str" cm="1">
        <f t="array" ref="X4753">_xlfn.IFS(Tabla1[[#This Row],[Porcentaje de muertes]]&lt;0.35,"LEVE",AND(Tabla1[[#This Row],[Porcentaje de muertes]]&gt;0.35,Tabla1[[#This Row],[Porcentaje de muertes]]&lt;0.65),"MEDIO",Tabla1[[#This Row],[Porcentaje de muertes]]&gt;0.65,"GRAVE")</f>
        <v>GRAVE</v>
      </c>
    </row>
    <row r="4754" spans="2:24" x14ac:dyDescent="0.3">
      <c r="B4754" s="9">
        <v>4755</v>
      </c>
      <c r="C4754" s="49">
        <v>40186</v>
      </c>
      <c r="D4754" s="9">
        <f>YEAR(Tabla1[[#This Row],[Date]])</f>
        <v>2010</v>
      </c>
      <c r="E4754" s="9" t="str" cm="1">
        <f t="array" ref="E4754">IFERROR(_xlfn.IFS(AND(D4754&lt;1980,D4754&gt;=1970),"70",AND(D4754&lt;1990,D4754&gt;=1980),"80",AND(D4754&lt;2000,D4754&gt;=1990),"90",AND(D4754&lt;2010,D4754&gt;=2000),"00",AND(D4754&lt;=2019,D4754&gt;=2010),"10"),"1908-1970")</f>
        <v>10</v>
      </c>
      <c r="F4754" s="3">
        <v>0.63541666666666663</v>
      </c>
      <c r="G4754" t="s">
        <v>26957</v>
      </c>
      <c r="H4754" t="s">
        <v>26958</v>
      </c>
      <c r="I4754" t="s">
        <v>28931</v>
      </c>
      <c r="J4754" t="s">
        <v>26959</v>
      </c>
      <c r="K4754" t="s">
        <v>15159</v>
      </c>
      <c r="L4754" s="7" t="s">
        <v>26960</v>
      </c>
      <c r="M4754">
        <v>20158</v>
      </c>
      <c r="N4754">
        <v>3</v>
      </c>
      <c r="O4754">
        <v>0</v>
      </c>
      <c r="P4754">
        <v>3</v>
      </c>
      <c r="Q4754">
        <v>3</v>
      </c>
      <c r="R4754">
        <v>0</v>
      </c>
      <c r="S4754">
        <v>3</v>
      </c>
      <c r="T4754">
        <v>0</v>
      </c>
      <c r="U4754" t="s">
        <v>26961</v>
      </c>
      <c r="V4754">
        <f>Tabla1[[#This Row],[Aboard]]-Tabla1[[#This Row],[Fatalities]]</f>
        <v>0</v>
      </c>
      <c r="W4754" s="50">
        <f>IFERROR(Tabla1[[#This Row],[Fatalities]]/Tabla1[[#This Row],[Aboard]],0)</f>
        <v>1</v>
      </c>
      <c r="X4754" s="51" t="str" cm="1">
        <f t="array" ref="X4754">_xlfn.IFS(Tabla1[[#This Row],[Porcentaje de muertes]]&lt;0.35,"LEVE",AND(Tabla1[[#This Row],[Porcentaje de muertes]]&gt;0.35,Tabla1[[#This Row],[Porcentaje de muertes]]&lt;0.65),"MEDIO",Tabla1[[#This Row],[Porcentaje de muertes]]&gt;0.65,"GRAVE")</f>
        <v>GRAVE</v>
      </c>
    </row>
    <row r="4755" spans="2:24" x14ac:dyDescent="0.3">
      <c r="B4755" s="9">
        <v>4756</v>
      </c>
      <c r="C4755" s="49">
        <v>40245</v>
      </c>
      <c r="D4755" s="9">
        <f>YEAR(Tabla1[[#This Row],[Date]])</f>
        <v>2010</v>
      </c>
      <c r="E4755" s="9" t="str" cm="1">
        <f t="array" ref="E4755">IFERROR(_xlfn.IFS(AND(D4755&lt;1980,D4755&gt;=1970),"70",AND(D4755&lt;1990,D4755&gt;=1980),"80",AND(D4755&lt;2000,D4755&gt;=1990),"90",AND(D4755&lt;2010,D4755&gt;=2000),"00",AND(D4755&lt;=2019,D4755&gt;=2010),"10"),"1908-1970")</f>
        <v>10</v>
      </c>
      <c r="F4755" s="3">
        <v>5.486111111111111E-2</v>
      </c>
      <c r="G4755" t="s">
        <v>26962</v>
      </c>
      <c r="H4755" t="s">
        <v>26963</v>
      </c>
      <c r="I4755" t="s">
        <v>26964</v>
      </c>
      <c r="J4755" t="s">
        <v>26965</v>
      </c>
      <c r="K4755" t="s">
        <v>28938</v>
      </c>
      <c r="L4755" s="7" t="s">
        <v>26966</v>
      </c>
      <c r="M4755">
        <v>47310003</v>
      </c>
      <c r="N4755">
        <v>15</v>
      </c>
      <c r="O4755">
        <v>12</v>
      </c>
      <c r="P4755">
        <v>3</v>
      </c>
      <c r="Q4755">
        <v>12</v>
      </c>
      <c r="R4755">
        <v>11</v>
      </c>
      <c r="S4755">
        <v>1</v>
      </c>
      <c r="T4755">
        <v>0</v>
      </c>
      <c r="U4755" t="s">
        <v>26967</v>
      </c>
      <c r="V4755">
        <f>Tabla1[[#This Row],[Aboard]]-Tabla1[[#This Row],[Fatalities]]</f>
        <v>3</v>
      </c>
      <c r="W4755" s="50">
        <f>IFERROR(Tabla1[[#This Row],[Fatalities]]/Tabla1[[#This Row],[Aboard]],0)</f>
        <v>0.8</v>
      </c>
      <c r="X4755" s="51" t="str" cm="1">
        <f t="array" ref="X4755">_xlfn.IFS(Tabla1[[#This Row],[Porcentaje de muertes]]&lt;0.35,"LEVE",AND(Tabla1[[#This Row],[Porcentaje de muertes]]&gt;0.35,Tabla1[[#This Row],[Porcentaje de muertes]]&lt;0.65),"MEDIO",Tabla1[[#This Row],[Porcentaje de muertes]]&gt;0.65,"GRAVE")</f>
        <v>GRAVE</v>
      </c>
    </row>
    <row r="4756" spans="2:24" x14ac:dyDescent="0.3">
      <c r="B4756" s="9">
        <v>4757</v>
      </c>
      <c r="C4756" s="49">
        <v>40429</v>
      </c>
      <c r="D4756" s="9">
        <f>YEAR(Tabla1[[#This Row],[Date]])</f>
        <v>2010</v>
      </c>
      <c r="E4756" s="9" t="str" cm="1">
        <f t="array" ref="E4756">IFERROR(_xlfn.IFS(AND(D4756&lt;1980,D4756&gt;=1970),"70",AND(D4756&lt;1990,D4756&gt;=1980),"80",AND(D4756&lt;2000,D4756&gt;=1990),"90",AND(D4756&lt;2010,D4756&gt;=2000),"00",AND(D4756&lt;=2019,D4756&gt;=2010),"10"),"1908-1970")</f>
        <v>10</v>
      </c>
      <c r="F4756" s="3">
        <v>0.61458333333333337</v>
      </c>
      <c r="G4756" t="s">
        <v>26968</v>
      </c>
      <c r="H4756" t="s">
        <v>26969</v>
      </c>
      <c r="I4756" t="s">
        <v>28931</v>
      </c>
      <c r="J4756" t="s">
        <v>26970</v>
      </c>
      <c r="K4756" t="s">
        <v>26971</v>
      </c>
      <c r="L4756" s="7" t="s">
        <v>26972</v>
      </c>
      <c r="M4756">
        <v>206</v>
      </c>
      <c r="N4756">
        <v>9</v>
      </c>
      <c r="O4756">
        <v>8</v>
      </c>
      <c r="P4756">
        <v>1</v>
      </c>
      <c r="Q4756">
        <v>5</v>
      </c>
      <c r="R4756">
        <v>4</v>
      </c>
      <c r="S4756">
        <v>1</v>
      </c>
      <c r="T4756">
        <v>0</v>
      </c>
      <c r="U4756" t="s">
        <v>26973</v>
      </c>
      <c r="V4756">
        <f>Tabla1[[#This Row],[Aboard]]-Tabla1[[#This Row],[Fatalities]]</f>
        <v>4</v>
      </c>
      <c r="W4756" s="50">
        <f>IFERROR(Tabla1[[#This Row],[Fatalities]]/Tabla1[[#This Row],[Aboard]],0)</f>
        <v>0.55555555555555558</v>
      </c>
      <c r="X4756" s="51" t="str" cm="1">
        <f t="array" ref="X4756">_xlfn.IFS(Tabla1[[#This Row],[Porcentaje de muertes]]&lt;0.35,"LEVE",AND(Tabla1[[#This Row],[Porcentaje de muertes]]&gt;0.35,Tabla1[[#This Row],[Porcentaje de muertes]]&lt;0.65),"MEDIO",Tabla1[[#This Row],[Porcentaje de muertes]]&gt;0.65,"GRAVE")</f>
        <v>MEDIO</v>
      </c>
    </row>
    <row r="4757" spans="2:24" x14ac:dyDescent="0.3">
      <c r="B4757" s="9">
        <v>4758</v>
      </c>
      <c r="C4757" s="49">
        <v>40406</v>
      </c>
      <c r="D4757" s="9">
        <f>YEAR(Tabla1[[#This Row],[Date]])</f>
        <v>2010</v>
      </c>
      <c r="E4757" s="9" t="str" cm="1">
        <f t="array" ref="E4757">IFERROR(_xlfn.IFS(AND(D4757&lt;1980,D4757&gt;=1970),"70",AND(D4757&lt;1990,D4757&gt;=1980),"80",AND(D4757&lt;2000,D4757&gt;=1990),"90",AND(D4757&lt;2010,D4757&gt;=2000),"00",AND(D4757&lt;=2019,D4757&gt;=2010),"10"),"1908-1970")</f>
        <v>10</v>
      </c>
      <c r="F4757" s="3">
        <v>7.5694444444444439E-2</v>
      </c>
      <c r="G4757" t="s">
        <v>26974</v>
      </c>
      <c r="H4757" t="s">
        <v>19780</v>
      </c>
      <c r="I4757" t="s">
        <v>28931</v>
      </c>
      <c r="J4757" t="s">
        <v>26975</v>
      </c>
      <c r="K4757" t="s">
        <v>26976</v>
      </c>
      <c r="L4757" s="7" t="s">
        <v>26977</v>
      </c>
      <c r="M4757" t="s">
        <v>26978</v>
      </c>
      <c r="N4757">
        <v>131</v>
      </c>
      <c r="O4757">
        <v>125</v>
      </c>
      <c r="P4757">
        <v>6</v>
      </c>
      <c r="Q4757">
        <v>2</v>
      </c>
      <c r="R4757">
        <v>2</v>
      </c>
      <c r="S4757">
        <v>0</v>
      </c>
      <c r="T4757">
        <v>0</v>
      </c>
      <c r="U4757" t="s">
        <v>26979</v>
      </c>
      <c r="V4757">
        <f>Tabla1[[#This Row],[Aboard]]-Tabla1[[#This Row],[Fatalities]]</f>
        <v>129</v>
      </c>
      <c r="W4757" s="50">
        <f>IFERROR(Tabla1[[#This Row],[Fatalities]]/Tabla1[[#This Row],[Aboard]],0)</f>
        <v>1.5267175572519083E-2</v>
      </c>
      <c r="X4757" s="51" t="str" cm="1">
        <f t="array" ref="X4757">_xlfn.IFS(Tabla1[[#This Row],[Porcentaje de muertes]]&lt;0.35,"LEVE",AND(Tabla1[[#This Row],[Porcentaje de muertes]]&gt;0.35,Tabla1[[#This Row],[Porcentaje de muertes]]&lt;0.65),"MEDIO",Tabla1[[#This Row],[Porcentaje de muertes]]&gt;0.65,"GRAVE")</f>
        <v>LEVE</v>
      </c>
    </row>
    <row r="4758" spans="2:24" x14ac:dyDescent="0.3">
      <c r="B4758" s="9">
        <v>4759</v>
      </c>
      <c r="C4758" s="49">
        <v>40411</v>
      </c>
      <c r="D4758" s="9">
        <f>YEAR(Tabla1[[#This Row],[Date]])</f>
        <v>2010</v>
      </c>
      <c r="E4758" s="9" t="str" cm="1">
        <f t="array" ref="E4758">IFERROR(_xlfn.IFS(AND(D4758&lt;1980,D4758&gt;=1970),"70",AND(D4758&lt;1990,D4758&gt;=1980),"80",AND(D4758&lt;2000,D4758&gt;=1990),"90",AND(D4758&lt;2010,D4758&gt;=2000),"00",AND(D4758&lt;=2019,D4758&gt;=2010),"10"),"1908-1970")</f>
        <v>10</v>
      </c>
      <c r="F4758" s="3">
        <v>0.59166666666666667</v>
      </c>
      <c r="G4758" t="s">
        <v>26980</v>
      </c>
      <c r="H4758" t="s">
        <v>26981</v>
      </c>
      <c r="I4758" t="s">
        <v>28931</v>
      </c>
      <c r="J4758" t="s">
        <v>26982</v>
      </c>
      <c r="K4758" t="s">
        <v>26296</v>
      </c>
      <c r="L4758" s="7" t="s">
        <v>26983</v>
      </c>
      <c r="M4758">
        <v>441</v>
      </c>
      <c r="N4758">
        <v>4</v>
      </c>
      <c r="O4758">
        <v>3</v>
      </c>
      <c r="P4758">
        <v>1</v>
      </c>
      <c r="Q4758">
        <v>4</v>
      </c>
      <c r="R4758">
        <v>3</v>
      </c>
      <c r="S4758">
        <v>1</v>
      </c>
      <c r="T4758">
        <v>0</v>
      </c>
      <c r="U4758" t="s">
        <v>26984</v>
      </c>
      <c r="V4758">
        <f>Tabla1[[#This Row],[Aboard]]-Tabla1[[#This Row],[Fatalities]]</f>
        <v>0</v>
      </c>
      <c r="W4758" s="50">
        <f>IFERROR(Tabla1[[#This Row],[Fatalities]]/Tabla1[[#This Row],[Aboard]],0)</f>
        <v>1</v>
      </c>
      <c r="X4758" s="51" t="str" cm="1">
        <f t="array" ref="X4758">_xlfn.IFS(Tabla1[[#This Row],[Porcentaje de muertes]]&lt;0.35,"LEVE",AND(Tabla1[[#This Row],[Porcentaje de muertes]]&gt;0.35,Tabla1[[#This Row],[Porcentaje de muertes]]&lt;0.65),"MEDIO",Tabla1[[#This Row],[Porcentaje de muertes]]&gt;0.65,"GRAVE")</f>
        <v>GRAVE</v>
      </c>
    </row>
    <row r="4759" spans="2:24" x14ac:dyDescent="0.3">
      <c r="B4759" s="9">
        <v>4760</v>
      </c>
      <c r="C4759" s="49">
        <v>40414</v>
      </c>
      <c r="D4759" s="9">
        <f>YEAR(Tabla1[[#This Row],[Date]])</f>
        <v>2010</v>
      </c>
      <c r="E4759" s="9" t="str" cm="1">
        <f t="array" ref="E4759">IFERROR(_xlfn.IFS(AND(D4759&lt;1980,D4759&gt;=1970),"70",AND(D4759&lt;1990,D4759&gt;=1980),"80",AND(D4759&lt;2000,D4759&gt;=1990),"90",AND(D4759&lt;2010,D4759&gt;=2000),"00",AND(D4759&lt;=2019,D4759&gt;=2010),"10"),"1908-1970")</f>
        <v>10</v>
      </c>
      <c r="F4759" s="3">
        <v>0.3125</v>
      </c>
      <c r="G4759" t="s">
        <v>26985</v>
      </c>
      <c r="H4759" t="s">
        <v>26986</v>
      </c>
      <c r="I4759">
        <v>101</v>
      </c>
      <c r="J4759" t="s">
        <v>26987</v>
      </c>
      <c r="K4759" t="s">
        <v>26988</v>
      </c>
      <c r="L4759" s="7" t="s">
        <v>26989</v>
      </c>
      <c r="M4759">
        <v>732</v>
      </c>
      <c r="N4759">
        <v>14</v>
      </c>
      <c r="O4759">
        <v>11</v>
      </c>
      <c r="P4759">
        <v>3</v>
      </c>
      <c r="Q4759">
        <v>14</v>
      </c>
      <c r="R4759">
        <v>11</v>
      </c>
      <c r="S4759">
        <v>3</v>
      </c>
      <c r="T4759">
        <v>0</v>
      </c>
      <c r="U4759" t="s">
        <v>26990</v>
      </c>
      <c r="V4759">
        <f>Tabla1[[#This Row],[Aboard]]-Tabla1[[#This Row],[Fatalities]]</f>
        <v>0</v>
      </c>
      <c r="W4759" s="50">
        <f>IFERROR(Tabla1[[#This Row],[Fatalities]]/Tabla1[[#This Row],[Aboard]],0)</f>
        <v>1</v>
      </c>
      <c r="X4759" s="51" t="str" cm="1">
        <f t="array" ref="X4759">_xlfn.IFS(Tabla1[[#This Row],[Porcentaje de muertes]]&lt;0.35,"LEVE",AND(Tabla1[[#This Row],[Porcentaje de muertes]]&gt;0.35,Tabla1[[#This Row],[Porcentaje de muertes]]&lt;0.65),"MEDIO",Tabla1[[#This Row],[Porcentaje de muertes]]&gt;0.65,"GRAVE")</f>
        <v>GRAVE</v>
      </c>
    </row>
    <row r="4760" spans="2:24" x14ac:dyDescent="0.3">
      <c r="B4760" s="9">
        <v>4761</v>
      </c>
      <c r="C4760" s="49">
        <v>40414</v>
      </c>
      <c r="D4760" s="9">
        <f>YEAR(Tabla1[[#This Row],[Date]])</f>
        <v>2010</v>
      </c>
      <c r="E4760" s="9" t="str" cm="1">
        <f t="array" ref="E4760">IFERROR(_xlfn.IFS(AND(D4760&lt;1980,D4760&gt;=1970),"70",AND(D4760&lt;1990,D4760&gt;=1980),"80",AND(D4760&lt;2000,D4760&gt;=1990),"90",AND(D4760&lt;2010,D4760&gt;=2000),"00",AND(D4760&lt;=2019,D4760&gt;=2010),"10"),"1908-1970")</f>
        <v>10</v>
      </c>
      <c r="F4760" s="3">
        <v>0.92361111111111116</v>
      </c>
      <c r="G4760" t="s">
        <v>26991</v>
      </c>
      <c r="H4760" t="s">
        <v>26992</v>
      </c>
      <c r="I4760" t="s">
        <v>28931</v>
      </c>
      <c r="J4760" t="s">
        <v>26993</v>
      </c>
      <c r="K4760" t="s">
        <v>26994</v>
      </c>
      <c r="L4760" s="7" t="s">
        <v>26995</v>
      </c>
      <c r="M4760">
        <v>19000223</v>
      </c>
      <c r="N4760">
        <v>96</v>
      </c>
      <c r="O4760">
        <v>91</v>
      </c>
      <c r="P4760">
        <v>5</v>
      </c>
      <c r="Q4760">
        <v>44</v>
      </c>
      <c r="R4760">
        <v>41</v>
      </c>
      <c r="S4760">
        <v>3</v>
      </c>
      <c r="T4760">
        <v>0</v>
      </c>
      <c r="U4760" t="s">
        <v>26996</v>
      </c>
      <c r="V4760">
        <f>Tabla1[[#This Row],[Aboard]]-Tabla1[[#This Row],[Fatalities]]</f>
        <v>52</v>
      </c>
      <c r="W4760" s="50">
        <f>IFERROR(Tabla1[[#This Row],[Fatalities]]/Tabla1[[#This Row],[Aboard]],0)</f>
        <v>0.45833333333333331</v>
      </c>
      <c r="X4760" s="51" t="str" cm="1">
        <f t="array" ref="X4760">_xlfn.IFS(Tabla1[[#This Row],[Porcentaje de muertes]]&lt;0.35,"LEVE",AND(Tabla1[[#This Row],[Porcentaje de muertes]]&gt;0.35,Tabla1[[#This Row],[Porcentaje de muertes]]&lt;0.65),"MEDIO",Tabla1[[#This Row],[Porcentaje de muertes]]&gt;0.65,"GRAVE")</f>
        <v>MEDIO</v>
      </c>
    </row>
    <row r="4761" spans="2:24" x14ac:dyDescent="0.3">
      <c r="B4761" s="9">
        <v>4762</v>
      </c>
      <c r="C4761" s="49">
        <v>40415</v>
      </c>
      <c r="D4761" s="9">
        <f>YEAR(Tabla1[[#This Row],[Date]])</f>
        <v>2010</v>
      </c>
      <c r="E4761" s="9" t="str" cm="1">
        <f t="array" ref="E4761">IFERROR(_xlfn.IFS(AND(D4761&lt;1980,D4761&gt;=1970),"70",AND(D4761&lt;1990,D4761&gt;=1980),"80",AND(D4761&lt;2000,D4761&gt;=1990),"90",AND(D4761&lt;2010,D4761&gt;=2000),"00",AND(D4761&lt;=2019,D4761&gt;=2010),"10"),"1908-1970")</f>
        <v>10</v>
      </c>
      <c r="F4761" s="3">
        <v>0.54166666666666663</v>
      </c>
      <c r="G4761" t="s">
        <v>26997</v>
      </c>
      <c r="H4761" t="s">
        <v>26998</v>
      </c>
      <c r="I4761" t="s">
        <v>28931</v>
      </c>
      <c r="J4761" t="s">
        <v>26999</v>
      </c>
      <c r="K4761" t="s">
        <v>22315</v>
      </c>
      <c r="L4761" s="7" t="s">
        <v>27000</v>
      </c>
      <c r="M4761">
        <v>912608</v>
      </c>
      <c r="N4761">
        <v>20</v>
      </c>
      <c r="O4761">
        <v>17</v>
      </c>
      <c r="P4761">
        <v>3</v>
      </c>
      <c r="Q4761">
        <v>19</v>
      </c>
      <c r="R4761">
        <v>16</v>
      </c>
      <c r="S4761">
        <v>3</v>
      </c>
      <c r="T4761">
        <v>0</v>
      </c>
      <c r="U4761" t="s">
        <v>27001</v>
      </c>
      <c r="V4761">
        <f>Tabla1[[#This Row],[Aboard]]-Tabla1[[#This Row],[Fatalities]]</f>
        <v>1</v>
      </c>
      <c r="W4761" s="50">
        <f>IFERROR(Tabla1[[#This Row],[Fatalities]]/Tabla1[[#This Row],[Aboard]],0)</f>
        <v>0.95</v>
      </c>
      <c r="X4761" s="51" t="str" cm="1">
        <f t="array" ref="X4761">_xlfn.IFS(Tabla1[[#This Row],[Porcentaje de muertes]]&lt;0.35,"LEVE",AND(Tabla1[[#This Row],[Porcentaje de muertes]]&gt;0.35,Tabla1[[#This Row],[Porcentaje de muertes]]&lt;0.65),"MEDIO",Tabla1[[#This Row],[Porcentaje de muertes]]&gt;0.65,"GRAVE")</f>
        <v>GRAVE</v>
      </c>
    </row>
    <row r="4762" spans="2:24" x14ac:dyDescent="0.3">
      <c r="B4762" s="9">
        <v>4763</v>
      </c>
      <c r="C4762" s="49">
        <v>40417</v>
      </c>
      <c r="D4762" s="9">
        <f>YEAR(Tabla1[[#This Row],[Date]])</f>
        <v>2010</v>
      </c>
      <c r="E4762" s="9" t="str" cm="1">
        <f t="array" ref="E4762">IFERROR(_xlfn.IFS(AND(D4762&lt;1980,D4762&gt;=1970),"70",AND(D4762&lt;1990,D4762&gt;=1980),"80",AND(D4762&lt;2000,D4762&gt;=1990),"90",AND(D4762&lt;2010,D4762&gt;=2000),"00",AND(D4762&lt;=2019,D4762&gt;=2010),"10"),"1908-1970")</f>
        <v>10</v>
      </c>
      <c r="F4762" s="3" t="s">
        <v>28931</v>
      </c>
      <c r="G4762" t="s">
        <v>27002</v>
      </c>
      <c r="H4762" t="s">
        <v>27003</v>
      </c>
      <c r="I4762" t="s">
        <v>28931</v>
      </c>
      <c r="J4762" t="s">
        <v>27004</v>
      </c>
      <c r="K4762" t="s">
        <v>27005</v>
      </c>
      <c r="L4762" s="7" t="s">
        <v>27006</v>
      </c>
      <c r="M4762" t="s">
        <v>28931</v>
      </c>
      <c r="N4762">
        <v>10</v>
      </c>
      <c r="O4762" t="s">
        <v>5038</v>
      </c>
      <c r="P4762" t="s">
        <v>5038</v>
      </c>
      <c r="Q4762">
        <v>10</v>
      </c>
      <c r="R4762" t="s">
        <v>5038</v>
      </c>
      <c r="S4762" t="s">
        <v>5038</v>
      </c>
      <c r="T4762">
        <v>0</v>
      </c>
      <c r="U4762" t="s">
        <v>27007</v>
      </c>
      <c r="V4762">
        <f>Tabla1[[#This Row],[Aboard]]-Tabla1[[#This Row],[Fatalities]]</f>
        <v>0</v>
      </c>
      <c r="W4762" s="50">
        <f>IFERROR(Tabla1[[#This Row],[Fatalities]]/Tabla1[[#This Row],[Aboard]],0)</f>
        <v>1</v>
      </c>
      <c r="X4762" s="51" t="str" cm="1">
        <f t="array" ref="X4762">_xlfn.IFS(Tabla1[[#This Row],[Porcentaje de muertes]]&lt;0.35,"LEVE",AND(Tabla1[[#This Row],[Porcentaje de muertes]]&gt;0.35,Tabla1[[#This Row],[Porcentaje de muertes]]&lt;0.65),"MEDIO",Tabla1[[#This Row],[Porcentaje de muertes]]&gt;0.65,"GRAVE")</f>
        <v>GRAVE</v>
      </c>
    </row>
    <row r="4763" spans="2:24" x14ac:dyDescent="0.3">
      <c r="B4763" s="9">
        <v>4764</v>
      </c>
      <c r="C4763" s="49">
        <v>40246</v>
      </c>
      <c r="D4763" s="9">
        <f>YEAR(Tabla1[[#This Row],[Date]])</f>
        <v>2010</v>
      </c>
      <c r="E4763" s="9" t="str" cm="1">
        <f t="array" ref="E4763">IFERROR(_xlfn.IFS(AND(D4763&lt;1980,D4763&gt;=1970),"70",AND(D4763&lt;1990,D4763&gt;=1980),"80",AND(D4763&lt;2000,D4763&gt;=1990),"90",AND(D4763&lt;2010,D4763&gt;=2000),"00",AND(D4763&lt;=2019,D4763&gt;=2010),"10"),"1908-1970")</f>
        <v>10</v>
      </c>
      <c r="F4763" s="3">
        <v>0.81874999999999998</v>
      </c>
      <c r="G4763" t="s">
        <v>27008</v>
      </c>
      <c r="H4763" t="s">
        <v>27009</v>
      </c>
      <c r="I4763">
        <v>6</v>
      </c>
      <c r="J4763" t="s">
        <v>27010</v>
      </c>
      <c r="K4763" t="s">
        <v>27011</v>
      </c>
      <c r="L4763" s="7" t="s">
        <v>27012</v>
      </c>
      <c r="M4763" t="s">
        <v>27013</v>
      </c>
      <c r="N4763">
        <v>2</v>
      </c>
      <c r="O4763">
        <v>0</v>
      </c>
      <c r="P4763">
        <v>2</v>
      </c>
      <c r="Q4763">
        <v>2</v>
      </c>
      <c r="R4763">
        <v>0</v>
      </c>
      <c r="S4763">
        <v>2</v>
      </c>
      <c r="T4763">
        <v>0</v>
      </c>
      <c r="U4763" t="s">
        <v>27014</v>
      </c>
      <c r="V4763">
        <f>Tabla1[[#This Row],[Aboard]]-Tabla1[[#This Row],[Fatalities]]</f>
        <v>0</v>
      </c>
      <c r="W4763" s="50">
        <f>IFERROR(Tabla1[[#This Row],[Fatalities]]/Tabla1[[#This Row],[Aboard]],0)</f>
        <v>1</v>
      </c>
      <c r="X4763" s="51" t="str" cm="1">
        <f t="array" ref="X4763">_xlfn.IFS(Tabla1[[#This Row],[Porcentaje de muertes]]&lt;0.35,"LEVE",AND(Tabla1[[#This Row],[Porcentaje de muertes]]&gt;0.35,Tabla1[[#This Row],[Porcentaje de muertes]]&lt;0.65),"MEDIO",Tabla1[[#This Row],[Porcentaje de muertes]]&gt;0.65,"GRAVE")</f>
        <v>GRAVE</v>
      </c>
    </row>
    <row r="4764" spans="2:24" x14ac:dyDescent="0.3">
      <c r="B4764" s="9">
        <v>4765</v>
      </c>
      <c r="C4764" s="49">
        <v>40277</v>
      </c>
      <c r="D4764" s="9">
        <f>YEAR(Tabla1[[#This Row],[Date]])</f>
        <v>2010</v>
      </c>
      <c r="E4764" s="9" t="str" cm="1">
        <f t="array" ref="E4764">IFERROR(_xlfn.IFS(AND(D4764&lt;1980,D4764&gt;=1970),"70",AND(D4764&lt;1990,D4764&gt;=1980),"80",AND(D4764&lt;2000,D4764&gt;=1990),"90",AND(D4764&lt;2010,D4764&gt;=2000),"00",AND(D4764&lt;=2019,D4764&gt;=2010),"10"),"1908-1970")</f>
        <v>10</v>
      </c>
      <c r="F4764" s="3">
        <v>5.2083333333333336E-2</v>
      </c>
      <c r="G4764" t="s">
        <v>27015</v>
      </c>
      <c r="H4764" t="s">
        <v>27016</v>
      </c>
      <c r="I4764" t="s">
        <v>28931</v>
      </c>
      <c r="J4764" t="s">
        <v>27017</v>
      </c>
      <c r="K4764" t="s">
        <v>27018</v>
      </c>
      <c r="L4764" s="7" t="s">
        <v>27019</v>
      </c>
      <c r="M4764">
        <v>281</v>
      </c>
      <c r="N4764">
        <v>9</v>
      </c>
      <c r="O4764">
        <v>8</v>
      </c>
      <c r="P4764">
        <v>1</v>
      </c>
      <c r="Q4764">
        <v>9</v>
      </c>
      <c r="R4764">
        <v>8</v>
      </c>
      <c r="S4764">
        <v>1</v>
      </c>
      <c r="T4764">
        <v>0</v>
      </c>
      <c r="U4764" t="s">
        <v>27020</v>
      </c>
      <c r="V4764">
        <f>Tabla1[[#This Row],[Aboard]]-Tabla1[[#This Row],[Fatalities]]</f>
        <v>0</v>
      </c>
      <c r="W4764" s="50">
        <f>IFERROR(Tabla1[[#This Row],[Fatalities]]/Tabla1[[#This Row],[Aboard]],0)</f>
        <v>1</v>
      </c>
      <c r="X4764" s="51" t="str" cm="1">
        <f t="array" ref="X4764">_xlfn.IFS(Tabla1[[#This Row],[Porcentaje de muertes]]&lt;0.35,"LEVE",AND(Tabla1[[#This Row],[Porcentaje de muertes]]&gt;0.35,Tabla1[[#This Row],[Porcentaje de muertes]]&lt;0.65),"MEDIO",Tabla1[[#This Row],[Porcentaje de muertes]]&gt;0.65,"GRAVE")</f>
        <v>GRAVE</v>
      </c>
    </row>
    <row r="4765" spans="2:24" x14ac:dyDescent="0.3">
      <c r="B4765" s="9">
        <v>4766</v>
      </c>
      <c r="C4765" s="49">
        <v>40434</v>
      </c>
      <c r="D4765" s="9">
        <f>YEAR(Tabla1[[#This Row],[Date]])</f>
        <v>2010</v>
      </c>
      <c r="E4765" s="9" t="str" cm="1">
        <f t="array" ref="E4765">IFERROR(_xlfn.IFS(AND(D4765&lt;1980,D4765&gt;=1970),"70",AND(D4765&lt;1990,D4765&gt;=1980),"80",AND(D4765&lt;2000,D4765&gt;=1990),"90",AND(D4765&lt;2010,D4765&gt;=2000),"00",AND(D4765&lt;=2019,D4765&gt;=2010),"10"),"1908-1970")</f>
        <v>10</v>
      </c>
      <c r="F4765" s="3">
        <v>0.43888888888888888</v>
      </c>
      <c r="G4765" t="s">
        <v>27021</v>
      </c>
      <c r="H4765" t="s">
        <v>27022</v>
      </c>
      <c r="I4765">
        <v>2350</v>
      </c>
      <c r="J4765" t="s">
        <v>27023</v>
      </c>
      <c r="K4765" t="s">
        <v>27024</v>
      </c>
      <c r="L4765" s="7" t="s">
        <v>27025</v>
      </c>
      <c r="M4765">
        <v>371</v>
      </c>
      <c r="N4765">
        <v>51</v>
      </c>
      <c r="O4765">
        <v>47</v>
      </c>
      <c r="P4765">
        <v>4</v>
      </c>
      <c r="Q4765">
        <v>17</v>
      </c>
      <c r="R4765">
        <v>14</v>
      </c>
      <c r="S4765">
        <v>3</v>
      </c>
      <c r="T4765">
        <v>0</v>
      </c>
      <c r="U4765" t="s">
        <v>27026</v>
      </c>
      <c r="V4765">
        <f>Tabla1[[#This Row],[Aboard]]-Tabla1[[#This Row],[Fatalities]]</f>
        <v>34</v>
      </c>
      <c r="W4765" s="50">
        <f>IFERROR(Tabla1[[#This Row],[Fatalities]]/Tabla1[[#This Row],[Aboard]],0)</f>
        <v>0.33333333333333331</v>
      </c>
      <c r="X4765" s="51" t="str" cm="1">
        <f t="array" ref="X4765">_xlfn.IFS(Tabla1[[#This Row],[Porcentaje de muertes]]&lt;0.35,"LEVE",AND(Tabla1[[#This Row],[Porcentaje de muertes]]&gt;0.35,Tabla1[[#This Row],[Porcentaje de muertes]]&lt;0.65),"MEDIO",Tabla1[[#This Row],[Porcentaje de muertes]]&gt;0.65,"GRAVE")</f>
        <v>LEVE</v>
      </c>
    </row>
    <row r="4766" spans="2:24" x14ac:dyDescent="0.3">
      <c r="B4766" s="9">
        <v>4767</v>
      </c>
      <c r="C4766" s="49">
        <v>40442</v>
      </c>
      <c r="D4766" s="9">
        <f>YEAR(Tabla1[[#This Row],[Date]])</f>
        <v>2010</v>
      </c>
      <c r="E4766" s="9" t="str" cm="1">
        <f t="array" ref="E4766">IFERROR(_xlfn.IFS(AND(D4766&lt;1980,D4766&gt;=1970),"70",AND(D4766&lt;1990,D4766&gt;=1980),"80",AND(D4766&lt;2000,D4766&gt;=1990),"90",AND(D4766&lt;2010,D4766&gt;=2000),"00",AND(D4766&lt;=2019,D4766&gt;=2010),"10"),"1908-1970")</f>
        <v>10</v>
      </c>
      <c r="F4766" s="3" t="s">
        <v>28931</v>
      </c>
      <c r="G4766" t="s">
        <v>27027</v>
      </c>
      <c r="H4766" t="s">
        <v>27028</v>
      </c>
      <c r="I4766" t="s">
        <v>28931</v>
      </c>
      <c r="J4766" t="s">
        <v>28931</v>
      </c>
      <c r="K4766" t="s">
        <v>27029</v>
      </c>
      <c r="L4766" s="7" t="s">
        <v>27030</v>
      </c>
      <c r="M4766" t="s">
        <v>28931</v>
      </c>
      <c r="N4766">
        <v>13</v>
      </c>
      <c r="O4766" t="s">
        <v>5038</v>
      </c>
      <c r="P4766" t="s">
        <v>5038</v>
      </c>
      <c r="Q4766">
        <v>10</v>
      </c>
      <c r="R4766" t="s">
        <v>5038</v>
      </c>
      <c r="S4766" t="s">
        <v>5038</v>
      </c>
      <c r="T4766">
        <v>0</v>
      </c>
      <c r="U4766" t="s">
        <v>27031</v>
      </c>
      <c r="V4766">
        <f>Tabla1[[#This Row],[Aboard]]-Tabla1[[#This Row],[Fatalities]]</f>
        <v>3</v>
      </c>
      <c r="W4766" s="50">
        <f>IFERROR(Tabla1[[#This Row],[Fatalities]]/Tabla1[[#This Row],[Aboard]],0)</f>
        <v>0.76923076923076927</v>
      </c>
      <c r="X4766" s="51" t="str" cm="1">
        <f t="array" ref="X4766">_xlfn.IFS(Tabla1[[#This Row],[Porcentaje de muertes]]&lt;0.35,"LEVE",AND(Tabla1[[#This Row],[Porcentaje de muertes]]&gt;0.35,Tabla1[[#This Row],[Porcentaje de muertes]]&lt;0.65),"MEDIO",Tabla1[[#This Row],[Porcentaje de muertes]]&gt;0.65,"GRAVE")</f>
        <v>GRAVE</v>
      </c>
    </row>
    <row r="4767" spans="2:24" x14ac:dyDescent="0.3">
      <c r="B4767" s="9">
        <v>4768</v>
      </c>
      <c r="C4767" s="49">
        <v>40339</v>
      </c>
      <c r="D4767" s="9">
        <f>YEAR(Tabla1[[#This Row],[Date]])</f>
        <v>2010</v>
      </c>
      <c r="E4767" s="9" t="str" cm="1">
        <f t="array" ref="E4767">IFERROR(_xlfn.IFS(AND(D4767&lt;1980,D4767&gt;=1970),"70",AND(D4767&lt;1990,D4767&gt;=1980),"80",AND(D4767&lt;2000,D4767&gt;=1990),"90",AND(D4767&lt;2010,D4767&gt;=2000),"00",AND(D4767&lt;=2019,D4767&gt;=2010),"10"),"1908-1970")</f>
        <v>10</v>
      </c>
      <c r="F4767" s="3" t="s">
        <v>28931</v>
      </c>
      <c r="G4767" t="s">
        <v>27032</v>
      </c>
      <c r="H4767" t="s">
        <v>27033</v>
      </c>
      <c r="I4767" t="s">
        <v>28931</v>
      </c>
      <c r="J4767" t="s">
        <v>28931</v>
      </c>
      <c r="K4767" t="s">
        <v>26235</v>
      </c>
      <c r="L4767" s="7" t="s">
        <v>28931</v>
      </c>
      <c r="M4767" t="s">
        <v>28931</v>
      </c>
      <c r="N4767">
        <v>28</v>
      </c>
      <c r="O4767" t="s">
        <v>5038</v>
      </c>
      <c r="P4767" t="s">
        <v>5038</v>
      </c>
      <c r="Q4767">
        <v>28</v>
      </c>
      <c r="R4767" t="s">
        <v>5038</v>
      </c>
      <c r="S4767" t="s">
        <v>5038</v>
      </c>
      <c r="T4767">
        <v>0</v>
      </c>
      <c r="U4767" t="s">
        <v>27034</v>
      </c>
      <c r="V4767">
        <f>Tabla1[[#This Row],[Aboard]]-Tabla1[[#This Row],[Fatalities]]</f>
        <v>0</v>
      </c>
      <c r="W4767" s="50">
        <f>IFERROR(Tabla1[[#This Row],[Fatalities]]/Tabla1[[#This Row],[Aboard]],0)</f>
        <v>1</v>
      </c>
      <c r="X4767" s="51" t="str" cm="1">
        <f t="array" ref="X4767">_xlfn.IFS(Tabla1[[#This Row],[Porcentaje de muertes]]&lt;0.35,"LEVE",AND(Tabla1[[#This Row],[Porcentaje de muertes]]&gt;0.35,Tabla1[[#This Row],[Porcentaje de muertes]]&lt;0.65),"MEDIO",Tabla1[[#This Row],[Porcentaje de muertes]]&gt;0.65,"GRAVE")</f>
        <v>GRAVE</v>
      </c>
    </row>
    <row r="4768" spans="2:24" x14ac:dyDescent="0.3">
      <c r="B4768" s="9">
        <v>4769</v>
      </c>
      <c r="C4768" s="49">
        <v>40522</v>
      </c>
      <c r="D4768" s="9">
        <f>YEAR(Tabla1[[#This Row],[Date]])</f>
        <v>2010</v>
      </c>
      <c r="E4768" s="9" t="str" cm="1">
        <f t="array" ref="E4768">IFERROR(_xlfn.IFS(AND(D4768&lt;1980,D4768&gt;=1970),"70",AND(D4768&lt;1990,D4768&gt;=1980),"80",AND(D4768&lt;2000,D4768&gt;=1990),"90",AND(D4768&lt;2010,D4768&gt;=2000),"00",AND(D4768&lt;=2019,D4768&gt;=2010),"10"),"1908-1970")</f>
        <v>10</v>
      </c>
      <c r="F4768" s="3">
        <v>0.82638888888888884</v>
      </c>
      <c r="G4768" t="s">
        <v>19708</v>
      </c>
      <c r="H4768" t="s">
        <v>27035</v>
      </c>
      <c r="I4768" t="s">
        <v>28931</v>
      </c>
      <c r="J4768" t="s">
        <v>27036</v>
      </c>
      <c r="K4768" t="s">
        <v>15384</v>
      </c>
      <c r="L4768" s="7" t="s">
        <v>27037</v>
      </c>
      <c r="M4768">
        <v>4362</v>
      </c>
      <c r="N4768">
        <v>8</v>
      </c>
      <c r="O4768">
        <v>0</v>
      </c>
      <c r="P4768">
        <v>8</v>
      </c>
      <c r="Q4768">
        <v>8</v>
      </c>
      <c r="R4768">
        <v>0</v>
      </c>
      <c r="S4768">
        <v>8</v>
      </c>
      <c r="T4768">
        <v>0</v>
      </c>
      <c r="U4768" t="s">
        <v>27038</v>
      </c>
      <c r="V4768">
        <f>Tabla1[[#This Row],[Aboard]]-Tabla1[[#This Row],[Fatalities]]</f>
        <v>0</v>
      </c>
      <c r="W4768" s="50">
        <f>IFERROR(Tabla1[[#This Row],[Fatalities]]/Tabla1[[#This Row],[Aboard]],0)</f>
        <v>1</v>
      </c>
      <c r="X4768" s="51" t="str" cm="1">
        <f t="array" ref="X4768">_xlfn.IFS(Tabla1[[#This Row],[Porcentaje de muertes]]&lt;0.35,"LEVE",AND(Tabla1[[#This Row],[Porcentaje de muertes]]&gt;0.35,Tabla1[[#This Row],[Porcentaje de muertes]]&lt;0.65),"MEDIO",Tabla1[[#This Row],[Porcentaje de muertes]]&gt;0.65,"GRAVE")</f>
        <v>GRAVE</v>
      </c>
    </row>
    <row r="4769" spans="2:24" x14ac:dyDescent="0.3">
      <c r="B4769" s="9">
        <v>4770</v>
      </c>
      <c r="C4769" s="49">
        <v>40472</v>
      </c>
      <c r="D4769" s="9">
        <f>YEAR(Tabla1[[#This Row],[Date]])</f>
        <v>2010</v>
      </c>
      <c r="E4769" s="9" t="str" cm="1">
        <f t="array" ref="E4769">IFERROR(_xlfn.IFS(AND(D4769&lt;1980,D4769&gt;=1970),"70",AND(D4769&lt;1990,D4769&gt;=1980),"80",AND(D4769&lt;2000,D4769&gt;=1990),"90",AND(D4769&lt;2010,D4769&gt;=2000),"00",AND(D4769&lt;=2019,D4769&gt;=2010),"10"),"1908-1970")</f>
        <v>10</v>
      </c>
      <c r="F4769" s="3" t="s">
        <v>28931</v>
      </c>
      <c r="G4769" t="s">
        <v>27039</v>
      </c>
      <c r="H4769" t="s">
        <v>26067</v>
      </c>
      <c r="I4769" t="s">
        <v>28931</v>
      </c>
      <c r="J4769" t="s">
        <v>27040</v>
      </c>
      <c r="K4769" t="s">
        <v>20760</v>
      </c>
      <c r="L4769" s="7" t="s">
        <v>27041</v>
      </c>
      <c r="M4769" t="s">
        <v>27042</v>
      </c>
      <c r="N4769">
        <v>2</v>
      </c>
      <c r="O4769">
        <v>0</v>
      </c>
      <c r="P4769">
        <v>2</v>
      </c>
      <c r="Q4769">
        <v>2</v>
      </c>
      <c r="R4769">
        <v>0</v>
      </c>
      <c r="S4769">
        <v>2</v>
      </c>
      <c r="T4769">
        <v>0</v>
      </c>
      <c r="U4769" t="s">
        <v>27043</v>
      </c>
      <c r="V4769">
        <f>Tabla1[[#This Row],[Aboard]]-Tabla1[[#This Row],[Fatalities]]</f>
        <v>0</v>
      </c>
      <c r="W4769" s="50">
        <f>IFERROR(Tabla1[[#This Row],[Fatalities]]/Tabla1[[#This Row],[Aboard]],0)</f>
        <v>1</v>
      </c>
      <c r="X4769" s="51" t="str" cm="1">
        <f t="array" ref="X4769">_xlfn.IFS(Tabla1[[#This Row],[Porcentaje de muertes]]&lt;0.35,"LEVE",AND(Tabla1[[#This Row],[Porcentaje de muertes]]&gt;0.35,Tabla1[[#This Row],[Porcentaje de muertes]]&lt;0.65),"MEDIO",Tabla1[[#This Row],[Porcentaje de muertes]]&gt;0.65,"GRAVE")</f>
        <v>GRAVE</v>
      </c>
    </row>
    <row r="4770" spans="2:24" x14ac:dyDescent="0.3">
      <c r="B4770" s="9">
        <v>4771</v>
      </c>
      <c r="C4770" s="49">
        <v>40279</v>
      </c>
      <c r="D4770" s="9">
        <f>YEAR(Tabla1[[#This Row],[Date]])</f>
        <v>2010</v>
      </c>
      <c r="E4770" s="9" t="str" cm="1">
        <f t="array" ref="E4770">IFERROR(_xlfn.IFS(AND(D4770&lt;1980,D4770&gt;=1970),"70",AND(D4770&lt;1990,D4770&gt;=1980),"80",AND(D4770&lt;2000,D4770&gt;=1990),"90",AND(D4770&lt;2010,D4770&gt;=2000),"00",AND(D4770&lt;=2019,D4770&gt;=2010),"10"),"1908-1970")</f>
        <v>10</v>
      </c>
      <c r="F4770" s="3">
        <v>0.73958333333333337</v>
      </c>
      <c r="G4770" t="s">
        <v>27044</v>
      </c>
      <c r="H4770" t="s">
        <v>27045</v>
      </c>
      <c r="I4770">
        <v>883</v>
      </c>
      <c r="J4770" t="s">
        <v>27046</v>
      </c>
      <c r="K4770" t="s">
        <v>22684</v>
      </c>
      <c r="L4770" s="7" t="s">
        <v>27047</v>
      </c>
      <c r="M4770">
        <v>459</v>
      </c>
      <c r="N4770">
        <v>68</v>
      </c>
      <c r="O4770">
        <v>61</v>
      </c>
      <c r="P4770">
        <v>7</v>
      </c>
      <c r="Q4770">
        <v>68</v>
      </c>
      <c r="R4770">
        <v>61</v>
      </c>
      <c r="S4770">
        <v>7</v>
      </c>
      <c r="T4770">
        <v>0</v>
      </c>
      <c r="U4770" t="s">
        <v>27048</v>
      </c>
      <c r="V4770">
        <f>Tabla1[[#This Row],[Aboard]]-Tabla1[[#This Row],[Fatalities]]</f>
        <v>0</v>
      </c>
      <c r="W4770" s="50">
        <f>IFERROR(Tabla1[[#This Row],[Fatalities]]/Tabla1[[#This Row],[Aboard]],0)</f>
        <v>1</v>
      </c>
      <c r="X4770" s="51" t="str" cm="1">
        <f t="array" ref="X4770">_xlfn.IFS(Tabla1[[#This Row],[Porcentaje de muertes]]&lt;0.35,"LEVE",AND(Tabla1[[#This Row],[Porcentaje de muertes]]&gt;0.35,Tabla1[[#This Row],[Porcentaje de muertes]]&lt;0.65),"MEDIO",Tabla1[[#This Row],[Porcentaje de muertes]]&gt;0.65,"GRAVE")</f>
        <v>GRAVE</v>
      </c>
    </row>
    <row r="4771" spans="2:24" x14ac:dyDescent="0.3">
      <c r="B4771" s="9">
        <v>4772</v>
      </c>
      <c r="C4771" s="49">
        <v>40309</v>
      </c>
      <c r="D4771" s="9">
        <f>YEAR(Tabla1[[#This Row],[Date]])</f>
        <v>2010</v>
      </c>
      <c r="E4771" s="9" t="str" cm="1">
        <f t="array" ref="E4771">IFERROR(_xlfn.IFS(AND(D4771&lt;1980,D4771&gt;=1970),"70",AND(D4771&lt;1990,D4771&gt;=1980),"80",AND(D4771&lt;2000,D4771&gt;=1990),"90",AND(D4771&lt;2010,D4771&gt;=2000),"00",AND(D4771&lt;=2019,D4771&gt;=2010),"10"),"1908-1970")</f>
        <v>10</v>
      </c>
      <c r="F4771" s="3">
        <v>0.2986111111111111</v>
      </c>
      <c r="G4771" t="s">
        <v>6543</v>
      </c>
      <c r="H4771" t="s">
        <v>27049</v>
      </c>
      <c r="I4771" t="s">
        <v>28931</v>
      </c>
      <c r="J4771" t="s">
        <v>27050</v>
      </c>
      <c r="K4771" t="s">
        <v>21341</v>
      </c>
      <c r="L4771" s="7" t="s">
        <v>27051</v>
      </c>
      <c r="M4771" t="s">
        <v>27052</v>
      </c>
      <c r="N4771">
        <v>21</v>
      </c>
      <c r="O4771">
        <v>17</v>
      </c>
      <c r="P4771">
        <v>4</v>
      </c>
      <c r="Q4771">
        <v>21</v>
      </c>
      <c r="R4771">
        <v>17</v>
      </c>
      <c r="S4771">
        <v>4</v>
      </c>
      <c r="T4771">
        <v>0</v>
      </c>
      <c r="U4771" t="s">
        <v>27053</v>
      </c>
      <c r="V4771">
        <f>Tabla1[[#This Row],[Aboard]]-Tabla1[[#This Row],[Fatalities]]</f>
        <v>0</v>
      </c>
      <c r="W4771" s="50">
        <f>IFERROR(Tabla1[[#This Row],[Fatalities]]/Tabla1[[#This Row],[Aboard]],0)</f>
        <v>1</v>
      </c>
      <c r="X4771" s="51" t="str" cm="1">
        <f t="array" ref="X4771">_xlfn.IFS(Tabla1[[#This Row],[Porcentaje de muertes]]&lt;0.35,"LEVE",AND(Tabla1[[#This Row],[Porcentaje de muertes]]&gt;0.35,Tabla1[[#This Row],[Porcentaje de muertes]]&lt;0.65),"MEDIO",Tabla1[[#This Row],[Porcentaje de muertes]]&gt;0.65,"GRAVE")</f>
        <v>GRAVE</v>
      </c>
    </row>
    <row r="4772" spans="2:24" x14ac:dyDescent="0.3">
      <c r="B4772" s="9">
        <v>4773</v>
      </c>
      <c r="C4772" s="49">
        <v>40507</v>
      </c>
      <c r="D4772" s="9">
        <f>YEAR(Tabla1[[#This Row],[Date]])</f>
        <v>2010</v>
      </c>
      <c r="E4772" s="9" t="str" cm="1">
        <f t="array" ref="E4772">IFERROR(_xlfn.IFS(AND(D4772&lt;1980,D4772&gt;=1970),"70",AND(D4772&lt;1990,D4772&gt;=1980),"80",AND(D4772&lt;2000,D4772&gt;=1990),"90",AND(D4772&lt;2010,D4772&gt;=2000),"00",AND(D4772&lt;=2019,D4772&gt;=2010),"10"),"1908-1970")</f>
        <v>10</v>
      </c>
      <c r="F4772" s="3">
        <v>0.50486111111111109</v>
      </c>
      <c r="G4772" t="s">
        <v>27054</v>
      </c>
      <c r="H4772" t="s">
        <v>27055</v>
      </c>
      <c r="I4772" t="s">
        <v>28931</v>
      </c>
      <c r="J4772" t="s">
        <v>28931</v>
      </c>
      <c r="K4772" t="s">
        <v>21449</v>
      </c>
      <c r="L4772" s="7" t="s">
        <v>27056</v>
      </c>
      <c r="M4772">
        <v>7257</v>
      </c>
      <c r="N4772">
        <v>10</v>
      </c>
      <c r="O4772" t="s">
        <v>5038</v>
      </c>
      <c r="P4772" t="s">
        <v>5038</v>
      </c>
      <c r="Q4772">
        <v>7</v>
      </c>
      <c r="R4772" t="s">
        <v>5038</v>
      </c>
      <c r="S4772" t="s">
        <v>5038</v>
      </c>
      <c r="T4772">
        <v>0</v>
      </c>
      <c r="U4772" t="s">
        <v>27057</v>
      </c>
      <c r="V4772">
        <f>Tabla1[[#This Row],[Aboard]]-Tabla1[[#This Row],[Fatalities]]</f>
        <v>3</v>
      </c>
      <c r="W4772" s="50">
        <f>IFERROR(Tabla1[[#This Row],[Fatalities]]/Tabla1[[#This Row],[Aboard]],0)</f>
        <v>0.7</v>
      </c>
      <c r="X4772" s="51" t="str" cm="1">
        <f t="array" ref="X4772">_xlfn.IFS(Tabla1[[#This Row],[Porcentaje de muertes]]&lt;0.35,"LEVE",AND(Tabla1[[#This Row],[Porcentaje de muertes]]&gt;0.35,Tabla1[[#This Row],[Porcentaje de muertes]]&lt;0.65),"MEDIO",Tabla1[[#This Row],[Porcentaje de muertes]]&gt;0.65,"GRAVE")</f>
        <v>GRAVE</v>
      </c>
    </row>
    <row r="4773" spans="2:24" x14ac:dyDescent="0.3">
      <c r="B4773" s="9">
        <v>4774</v>
      </c>
      <c r="C4773" s="49">
        <v>40510</v>
      </c>
      <c r="D4773" s="9">
        <f>YEAR(Tabla1[[#This Row],[Date]])</f>
        <v>2010</v>
      </c>
      <c r="E4773" s="9" t="str" cm="1">
        <f t="array" ref="E4773">IFERROR(_xlfn.IFS(AND(D4773&lt;1980,D4773&gt;=1970),"70",AND(D4773&lt;1990,D4773&gt;=1980),"80",AND(D4773&lt;2000,D4773&gt;=1990),"90",AND(D4773&lt;2010,D4773&gt;=2000),"00",AND(D4773&lt;=2019,D4773&gt;=2010),"10"),"1908-1970")</f>
        <v>10</v>
      </c>
      <c r="F4773" s="3">
        <v>7.8472222222222221E-2</v>
      </c>
      <c r="G4773" t="s">
        <v>9559</v>
      </c>
      <c r="H4773" t="s">
        <v>27058</v>
      </c>
      <c r="I4773">
        <v>4412</v>
      </c>
      <c r="J4773" t="s">
        <v>27059</v>
      </c>
      <c r="K4773" t="s">
        <v>27060</v>
      </c>
      <c r="L4773" s="7" t="s">
        <v>27061</v>
      </c>
      <c r="M4773">
        <v>43452546</v>
      </c>
      <c r="N4773">
        <v>8</v>
      </c>
      <c r="O4773">
        <v>0</v>
      </c>
      <c r="P4773">
        <v>8</v>
      </c>
      <c r="Q4773">
        <v>8</v>
      </c>
      <c r="R4773">
        <v>0</v>
      </c>
      <c r="S4773">
        <v>8</v>
      </c>
      <c r="T4773">
        <v>4</v>
      </c>
      <c r="U4773" t="s">
        <v>27062</v>
      </c>
      <c r="V4773">
        <f>Tabla1[[#This Row],[Aboard]]-Tabla1[[#This Row],[Fatalities]]</f>
        <v>0</v>
      </c>
      <c r="W4773" s="50">
        <f>IFERROR(Tabla1[[#This Row],[Fatalities]]/Tabla1[[#This Row],[Aboard]],0)</f>
        <v>1</v>
      </c>
      <c r="X4773" s="51" t="str" cm="1">
        <f t="array" ref="X4773">_xlfn.IFS(Tabla1[[#This Row],[Porcentaje de muertes]]&lt;0.35,"LEVE",AND(Tabla1[[#This Row],[Porcentaje de muertes]]&gt;0.35,Tabla1[[#This Row],[Porcentaje de muertes]]&lt;0.65),"MEDIO",Tabla1[[#This Row],[Porcentaje de muertes]]&gt;0.65,"GRAVE")</f>
        <v>GRAVE</v>
      </c>
    </row>
    <row r="4774" spans="2:24" x14ac:dyDescent="0.3">
      <c r="B4774" s="9">
        <v>4775</v>
      </c>
      <c r="C4774" s="49">
        <v>40280</v>
      </c>
      <c r="D4774" s="9">
        <f>YEAR(Tabla1[[#This Row],[Date]])</f>
        <v>2010</v>
      </c>
      <c r="E4774" s="9" t="str" cm="1">
        <f t="array" ref="E4774">IFERROR(_xlfn.IFS(AND(D4774&lt;1980,D4774&gt;=1970),"70",AND(D4774&lt;1990,D4774&gt;=1980),"80",AND(D4774&lt;2000,D4774&gt;=1990),"90",AND(D4774&lt;2010,D4774&gt;=2000),"00",AND(D4774&lt;=2019,D4774&gt;=2010),"10"),"1908-1970")</f>
        <v>10</v>
      </c>
      <c r="F4774" s="3">
        <v>0.61736111111111114</v>
      </c>
      <c r="G4774" t="s">
        <v>10681</v>
      </c>
      <c r="H4774" t="s">
        <v>27063</v>
      </c>
      <c r="I4774">
        <v>372</v>
      </c>
      <c r="J4774" t="s">
        <v>27064</v>
      </c>
      <c r="K4774" t="s">
        <v>24778</v>
      </c>
      <c r="L4774" s="7" t="s">
        <v>27065</v>
      </c>
      <c r="M4774" t="s">
        <v>27066</v>
      </c>
      <c r="N4774">
        <v>169</v>
      </c>
      <c r="O4774">
        <v>160</v>
      </c>
      <c r="P4774">
        <v>9</v>
      </c>
      <c r="Q4774">
        <v>2</v>
      </c>
      <c r="R4774">
        <v>2</v>
      </c>
      <c r="S4774">
        <v>0</v>
      </c>
      <c r="T4774">
        <v>0</v>
      </c>
      <c r="U4774" t="s">
        <v>27067</v>
      </c>
      <c r="V4774">
        <f>Tabla1[[#This Row],[Aboard]]-Tabla1[[#This Row],[Fatalities]]</f>
        <v>167</v>
      </c>
      <c r="W4774" s="50">
        <f>IFERROR(Tabla1[[#This Row],[Fatalities]]/Tabla1[[#This Row],[Aboard]],0)</f>
        <v>1.1834319526627219E-2</v>
      </c>
      <c r="X4774" s="51" t="str" cm="1">
        <f t="array" ref="X4774">_xlfn.IFS(Tabla1[[#This Row],[Porcentaje de muertes]]&lt;0.35,"LEVE",AND(Tabla1[[#This Row],[Porcentaje de muertes]]&gt;0.35,Tabla1[[#This Row],[Porcentaje de muertes]]&lt;0.65),"MEDIO",Tabla1[[#This Row],[Porcentaje de muertes]]&gt;0.65,"GRAVE")</f>
        <v>LEVE</v>
      </c>
    </row>
    <row r="4775" spans="2:24" x14ac:dyDescent="0.3">
      <c r="B4775" s="9">
        <v>4776</v>
      </c>
      <c r="C4775" s="49">
        <v>40544</v>
      </c>
      <c r="D4775" s="9">
        <f>YEAR(Tabla1[[#This Row],[Date]])</f>
        <v>2011</v>
      </c>
      <c r="E4775" s="9" t="str" cm="1">
        <f t="array" ref="E4775">IFERROR(_xlfn.IFS(AND(D4775&lt;1980,D4775&gt;=1970),"70",AND(D4775&lt;1990,D4775&gt;=1980),"80",AND(D4775&lt;2000,D4775&gt;=1990),"90",AND(D4775&lt;2010,D4775&gt;=2000),"00",AND(D4775&lt;=2019,D4775&gt;=2010),"10"),"1908-1970")</f>
        <v>10</v>
      </c>
      <c r="F4775" s="3">
        <v>0.64236111111111105</v>
      </c>
      <c r="G4775" t="s">
        <v>20542</v>
      </c>
      <c r="H4775" t="s">
        <v>27068</v>
      </c>
      <c r="I4775">
        <v>348</v>
      </c>
      <c r="J4775" t="s">
        <v>27069</v>
      </c>
      <c r="K4775" t="s">
        <v>27070</v>
      </c>
      <c r="L4775" s="7" t="s">
        <v>27071</v>
      </c>
      <c r="M4775" t="s">
        <v>27072</v>
      </c>
      <c r="N4775">
        <v>124</v>
      </c>
      <c r="O4775">
        <v>116</v>
      </c>
      <c r="P4775">
        <v>8</v>
      </c>
      <c r="Q4775">
        <v>3</v>
      </c>
      <c r="R4775">
        <v>3</v>
      </c>
      <c r="S4775">
        <v>0</v>
      </c>
      <c r="T4775">
        <v>0</v>
      </c>
      <c r="U4775" t="s">
        <v>27073</v>
      </c>
      <c r="V4775">
        <f>Tabla1[[#This Row],[Aboard]]-Tabla1[[#This Row],[Fatalities]]</f>
        <v>121</v>
      </c>
      <c r="W4775" s="50">
        <f>IFERROR(Tabla1[[#This Row],[Fatalities]]/Tabla1[[#This Row],[Aboard]],0)</f>
        <v>2.4193548387096774E-2</v>
      </c>
      <c r="X4775" s="51" t="str" cm="1">
        <f t="array" ref="X4775">_xlfn.IFS(Tabla1[[#This Row],[Porcentaje de muertes]]&lt;0.35,"LEVE",AND(Tabla1[[#This Row],[Porcentaje de muertes]]&gt;0.35,Tabla1[[#This Row],[Porcentaje de muertes]]&lt;0.65),"MEDIO",Tabla1[[#This Row],[Porcentaje de muertes]]&gt;0.65,"GRAVE")</f>
        <v>LEVE</v>
      </c>
    </row>
    <row r="4776" spans="2:24" x14ac:dyDescent="0.3">
      <c r="B4776" s="9">
        <v>4777</v>
      </c>
      <c r="C4776" s="49">
        <v>40787</v>
      </c>
      <c r="D4776" s="9">
        <f>YEAR(Tabla1[[#This Row],[Date]])</f>
        <v>2011</v>
      </c>
      <c r="E4776" s="9" t="str" cm="1">
        <f t="array" ref="E4776">IFERROR(_xlfn.IFS(AND(D4776&lt;1980,D4776&gt;=1970),"70",AND(D4776&lt;1990,D4776&gt;=1980),"80",AND(D4776&lt;2000,D4776&gt;=1990),"90",AND(D4776&lt;2010,D4776&gt;=2000),"00",AND(D4776&lt;=2019,D4776&gt;=2010),"10"),"1908-1970")</f>
        <v>10</v>
      </c>
      <c r="F4776" s="3">
        <v>0.82291666666666663</v>
      </c>
      <c r="G4776" t="s">
        <v>27074</v>
      </c>
      <c r="H4776" t="s">
        <v>10176</v>
      </c>
      <c r="I4776">
        <v>277</v>
      </c>
      <c r="J4776" t="s">
        <v>25986</v>
      </c>
      <c r="K4776" t="s">
        <v>27075</v>
      </c>
      <c r="L4776" s="7" t="s">
        <v>27076</v>
      </c>
      <c r="M4776" t="s">
        <v>27077</v>
      </c>
      <c r="N4776">
        <v>105</v>
      </c>
      <c r="O4776">
        <v>93</v>
      </c>
      <c r="P4776">
        <v>12</v>
      </c>
      <c r="Q4776">
        <v>77</v>
      </c>
      <c r="R4776">
        <v>65</v>
      </c>
      <c r="S4776">
        <v>12</v>
      </c>
      <c r="T4776">
        <v>0</v>
      </c>
      <c r="U4776" t="s">
        <v>27078</v>
      </c>
      <c r="V4776">
        <f>Tabla1[[#This Row],[Aboard]]-Tabla1[[#This Row],[Fatalities]]</f>
        <v>28</v>
      </c>
      <c r="W4776" s="50">
        <f>IFERROR(Tabla1[[#This Row],[Fatalities]]/Tabla1[[#This Row],[Aboard]],0)</f>
        <v>0.73333333333333328</v>
      </c>
      <c r="X4776" s="51" t="str" cm="1">
        <f t="array" ref="X4776">_xlfn.IFS(Tabla1[[#This Row],[Porcentaje de muertes]]&lt;0.35,"LEVE",AND(Tabla1[[#This Row],[Porcentaje de muertes]]&gt;0.35,Tabla1[[#This Row],[Porcentaje de muertes]]&lt;0.65),"MEDIO",Tabla1[[#This Row],[Porcentaje de muertes]]&gt;0.65,"GRAVE")</f>
        <v>GRAVE</v>
      </c>
    </row>
    <row r="4777" spans="2:24" x14ac:dyDescent="0.3">
      <c r="B4777" s="9">
        <v>4778</v>
      </c>
      <c r="C4777" s="49">
        <v>40757</v>
      </c>
      <c r="D4777" s="9">
        <f>YEAR(Tabla1[[#This Row],[Date]])</f>
        <v>2011</v>
      </c>
      <c r="E4777" s="9" t="str" cm="1">
        <f t="array" ref="E4777">IFERROR(_xlfn.IFS(AND(D4777&lt;1980,D4777&gt;=1970),"70",AND(D4777&lt;1990,D4777&gt;=1980),"80",AND(D4777&lt;2000,D4777&gt;=1990),"90",AND(D4777&lt;2010,D4777&gt;=2000),"00",AND(D4777&lt;=2019,D4777&gt;=2010),"10"),"1908-1970")</f>
        <v>10</v>
      </c>
      <c r="F4777" s="3">
        <v>0.69444444444444453</v>
      </c>
      <c r="G4777" t="s">
        <v>27079</v>
      </c>
      <c r="H4777" t="s">
        <v>27080</v>
      </c>
      <c r="I4777" t="s">
        <v>28931</v>
      </c>
      <c r="J4777" t="s">
        <v>27081</v>
      </c>
      <c r="K4777" t="s">
        <v>27082</v>
      </c>
      <c r="L4777" s="7" t="s">
        <v>27083</v>
      </c>
      <c r="M4777">
        <v>858</v>
      </c>
      <c r="N4777">
        <v>9</v>
      </c>
      <c r="O4777">
        <v>7</v>
      </c>
      <c r="P4777">
        <v>2</v>
      </c>
      <c r="Q4777">
        <v>9</v>
      </c>
      <c r="R4777">
        <v>7</v>
      </c>
      <c r="S4777">
        <v>2</v>
      </c>
      <c r="T4777">
        <v>0</v>
      </c>
      <c r="U4777" t="s">
        <v>27084</v>
      </c>
      <c r="V4777">
        <f>Tabla1[[#This Row],[Aboard]]-Tabla1[[#This Row],[Fatalities]]</f>
        <v>0</v>
      </c>
      <c r="W4777" s="50">
        <f>IFERROR(Tabla1[[#This Row],[Fatalities]]/Tabla1[[#This Row],[Aboard]],0)</f>
        <v>1</v>
      </c>
      <c r="X4777" s="51" t="str" cm="1">
        <f t="array" ref="X4777">_xlfn.IFS(Tabla1[[#This Row],[Porcentaje de muertes]]&lt;0.35,"LEVE",AND(Tabla1[[#This Row],[Porcentaje de muertes]]&gt;0.35,Tabla1[[#This Row],[Porcentaje de muertes]]&lt;0.65),"MEDIO",Tabla1[[#This Row],[Porcentaje de muertes]]&gt;0.65,"GRAVE")</f>
        <v>GRAVE</v>
      </c>
    </row>
    <row r="4778" spans="2:24" x14ac:dyDescent="0.3">
      <c r="B4778" s="9">
        <v>4779</v>
      </c>
      <c r="C4778" s="49">
        <v>40818</v>
      </c>
      <c r="D4778" s="9">
        <f>YEAR(Tabla1[[#This Row],[Date]])</f>
        <v>2011</v>
      </c>
      <c r="E4778" s="9" t="str" cm="1">
        <f t="array" ref="E4778">IFERROR(_xlfn.IFS(AND(D4778&lt;1980,D4778&gt;=1970),"70",AND(D4778&lt;1990,D4778&gt;=1980),"80",AND(D4778&lt;2000,D4778&gt;=1990),"90",AND(D4778&lt;2010,D4778&gt;=2000),"00",AND(D4778&lt;=2019,D4778&gt;=2010),"10"),"1908-1970")</f>
        <v>10</v>
      </c>
      <c r="F4778" s="3">
        <v>0.40625</v>
      </c>
      <c r="G4778" t="s">
        <v>27085</v>
      </c>
      <c r="H4778" t="s">
        <v>27086</v>
      </c>
      <c r="I4778">
        <v>7100</v>
      </c>
      <c r="J4778" t="s">
        <v>27087</v>
      </c>
      <c r="K4778" t="s">
        <v>27088</v>
      </c>
      <c r="L4778" s="7" t="s">
        <v>27089</v>
      </c>
      <c r="M4778" t="s">
        <v>27090</v>
      </c>
      <c r="N4778">
        <v>12</v>
      </c>
      <c r="O4778">
        <v>10</v>
      </c>
      <c r="P4778">
        <v>2</v>
      </c>
      <c r="Q4778">
        <v>6</v>
      </c>
      <c r="R4778">
        <v>4</v>
      </c>
      <c r="S4778">
        <v>2</v>
      </c>
      <c r="T4778">
        <v>0</v>
      </c>
      <c r="U4778" t="s">
        <v>27091</v>
      </c>
      <c r="V4778">
        <f>Tabla1[[#This Row],[Aboard]]-Tabla1[[#This Row],[Fatalities]]</f>
        <v>6</v>
      </c>
      <c r="W4778" s="50">
        <f>IFERROR(Tabla1[[#This Row],[Fatalities]]/Tabla1[[#This Row],[Aboard]],0)</f>
        <v>0.5</v>
      </c>
      <c r="X4778" s="51" t="str" cm="1">
        <f t="array" ref="X4778">_xlfn.IFS(Tabla1[[#This Row],[Porcentaje de muertes]]&lt;0.35,"LEVE",AND(Tabla1[[#This Row],[Porcentaje de muertes]]&gt;0.35,Tabla1[[#This Row],[Porcentaje de muertes]]&lt;0.65),"MEDIO",Tabla1[[#This Row],[Porcentaje de muertes]]&gt;0.65,"GRAVE")</f>
        <v>MEDIO</v>
      </c>
    </row>
    <row r="4779" spans="2:24" x14ac:dyDescent="0.3">
      <c r="B4779" s="9">
        <v>4780</v>
      </c>
      <c r="C4779" s="49">
        <v>40588</v>
      </c>
      <c r="D4779" s="9">
        <f>YEAR(Tabla1[[#This Row],[Date]])</f>
        <v>2011</v>
      </c>
      <c r="E4779" s="9" t="str" cm="1">
        <f t="array" ref="E4779">IFERROR(_xlfn.IFS(AND(D4779&lt;1980,D4779&gt;=1970),"70",AND(D4779&lt;1990,D4779&gt;=1980),"80",AND(D4779&lt;2000,D4779&gt;=1990),"90",AND(D4779&lt;2010,D4779&gt;=2000),"00",AND(D4779&lt;=2019,D4779&gt;=2010),"10"),"1908-1970")</f>
        <v>10</v>
      </c>
      <c r="F4779" s="3">
        <v>0.3347222222222222</v>
      </c>
      <c r="G4779" t="s">
        <v>27092</v>
      </c>
      <c r="H4779" t="s">
        <v>27093</v>
      </c>
      <c r="I4779">
        <v>731</v>
      </c>
      <c r="J4779" t="s">
        <v>14846</v>
      </c>
      <c r="K4779" t="s">
        <v>27094</v>
      </c>
      <c r="L4779" s="7" t="s">
        <v>27095</v>
      </c>
      <c r="M4779">
        <v>912603</v>
      </c>
      <c r="N4779">
        <v>14</v>
      </c>
      <c r="O4779">
        <v>12</v>
      </c>
      <c r="P4779">
        <v>2</v>
      </c>
      <c r="Q4779">
        <v>14</v>
      </c>
      <c r="R4779">
        <v>12</v>
      </c>
      <c r="S4779">
        <v>2</v>
      </c>
      <c r="T4779">
        <v>0</v>
      </c>
      <c r="U4779" t="s">
        <v>27096</v>
      </c>
      <c r="V4779">
        <f>Tabla1[[#This Row],[Aboard]]-Tabla1[[#This Row],[Fatalities]]</f>
        <v>0</v>
      </c>
      <c r="W4779" s="50">
        <f>IFERROR(Tabla1[[#This Row],[Fatalities]]/Tabla1[[#This Row],[Aboard]],0)</f>
        <v>1</v>
      </c>
      <c r="X4779" s="51" t="str" cm="1">
        <f t="array" ref="X4779">_xlfn.IFS(Tabla1[[#This Row],[Porcentaje de muertes]]&lt;0.35,"LEVE",AND(Tabla1[[#This Row],[Porcentaje de muertes]]&gt;0.35,Tabla1[[#This Row],[Porcentaje de muertes]]&lt;0.65),"MEDIO",Tabla1[[#This Row],[Porcentaje de muertes]]&gt;0.65,"GRAVE")</f>
        <v>GRAVE</v>
      </c>
    </row>
    <row r="4780" spans="2:24" x14ac:dyDescent="0.3">
      <c r="B4780" s="9">
        <v>4781</v>
      </c>
      <c r="C4780" s="49">
        <v>40623</v>
      </c>
      <c r="D4780" s="9">
        <f>YEAR(Tabla1[[#This Row],[Date]])</f>
        <v>2011</v>
      </c>
      <c r="E4780" s="9" t="str" cm="1">
        <f t="array" ref="E4780">IFERROR(_xlfn.IFS(AND(D4780&lt;1980,D4780&gt;=1970),"70",AND(D4780&lt;1990,D4780&gt;=1980),"80",AND(D4780&lt;2000,D4780&gt;=1990),"90",AND(D4780&lt;2010,D4780&gt;=2000),"00",AND(D4780&lt;=2019,D4780&gt;=2010),"10"),"1908-1970")</f>
        <v>10</v>
      </c>
      <c r="F4780" s="3">
        <v>0.64583333333333337</v>
      </c>
      <c r="G4780" t="s">
        <v>27097</v>
      </c>
      <c r="H4780" t="s">
        <v>27098</v>
      </c>
      <c r="I4780" t="s">
        <v>28931</v>
      </c>
      <c r="J4780" t="s">
        <v>27099</v>
      </c>
      <c r="K4780" t="s">
        <v>20707</v>
      </c>
      <c r="L4780" s="7" t="s">
        <v>27100</v>
      </c>
      <c r="M4780">
        <v>402006</v>
      </c>
      <c r="N4780">
        <v>9</v>
      </c>
      <c r="O4780">
        <v>5</v>
      </c>
      <c r="P4780">
        <v>4</v>
      </c>
      <c r="Q4780">
        <v>9</v>
      </c>
      <c r="R4780">
        <v>5</v>
      </c>
      <c r="S4780">
        <v>4</v>
      </c>
      <c r="T4780">
        <v>14</v>
      </c>
      <c r="U4780" t="s">
        <v>27101</v>
      </c>
      <c r="V4780">
        <f>Tabla1[[#This Row],[Aboard]]-Tabla1[[#This Row],[Fatalities]]</f>
        <v>0</v>
      </c>
      <c r="W4780" s="50">
        <f>IFERROR(Tabla1[[#This Row],[Fatalities]]/Tabla1[[#This Row],[Aboard]],0)</f>
        <v>1</v>
      </c>
      <c r="X4780" s="51" t="str" cm="1">
        <f t="array" ref="X4780">_xlfn.IFS(Tabla1[[#This Row],[Porcentaje de muertes]]&lt;0.35,"LEVE",AND(Tabla1[[#This Row],[Porcentaje de muertes]]&gt;0.35,Tabla1[[#This Row],[Porcentaje de muertes]]&lt;0.65),"MEDIO",Tabla1[[#This Row],[Porcentaje de muertes]]&gt;0.65,"GRAVE")</f>
        <v>GRAVE</v>
      </c>
    </row>
    <row r="4781" spans="2:24" x14ac:dyDescent="0.3">
      <c r="B4781" s="9">
        <v>4782</v>
      </c>
      <c r="C4781" s="49">
        <v>40637</v>
      </c>
      <c r="D4781" s="9">
        <f>YEAR(Tabla1[[#This Row],[Date]])</f>
        <v>2011</v>
      </c>
      <c r="E4781" s="9" t="str" cm="1">
        <f t="array" ref="E4781">IFERROR(_xlfn.IFS(AND(D4781&lt;1980,D4781&gt;=1970),"70",AND(D4781&lt;1990,D4781&gt;=1980),"80",AND(D4781&lt;2000,D4781&gt;=1990),"90",AND(D4781&lt;2010,D4781&gt;=2000),"00",AND(D4781&lt;=2019,D4781&gt;=2010),"10"),"1908-1970")</f>
        <v>10</v>
      </c>
      <c r="F4781" s="3">
        <v>0.5625</v>
      </c>
      <c r="G4781" t="s">
        <v>27102</v>
      </c>
      <c r="H4781" t="s">
        <v>27103</v>
      </c>
      <c r="I4781">
        <v>834</v>
      </c>
      <c r="J4781" t="s">
        <v>27104</v>
      </c>
      <c r="K4781" t="s">
        <v>27105</v>
      </c>
      <c r="L4781" s="7" t="s">
        <v>27106</v>
      </c>
      <c r="M4781">
        <v>7070</v>
      </c>
      <c r="N4781">
        <v>33</v>
      </c>
      <c r="O4781">
        <v>29</v>
      </c>
      <c r="P4781">
        <v>4</v>
      </c>
      <c r="Q4781">
        <v>32</v>
      </c>
      <c r="R4781">
        <v>28</v>
      </c>
      <c r="S4781">
        <v>4</v>
      </c>
      <c r="T4781">
        <v>0</v>
      </c>
      <c r="U4781" t="s">
        <v>27107</v>
      </c>
      <c r="V4781">
        <f>Tabla1[[#This Row],[Aboard]]-Tabla1[[#This Row],[Fatalities]]</f>
        <v>1</v>
      </c>
      <c r="W4781" s="50">
        <f>IFERROR(Tabla1[[#This Row],[Fatalities]]/Tabla1[[#This Row],[Aboard]],0)</f>
        <v>0.96969696969696972</v>
      </c>
      <c r="X4781" s="51" t="str" cm="1">
        <f t="array" ref="X4781">_xlfn.IFS(Tabla1[[#This Row],[Porcentaje de muertes]]&lt;0.35,"LEVE",AND(Tabla1[[#This Row],[Porcentaje de muertes]]&gt;0.35,Tabla1[[#This Row],[Porcentaje de muertes]]&lt;0.65),"MEDIO",Tabla1[[#This Row],[Porcentaje de muertes]]&gt;0.65,"GRAVE")</f>
        <v>GRAVE</v>
      </c>
    </row>
    <row r="4782" spans="2:24" x14ac:dyDescent="0.3">
      <c r="B4782" s="9">
        <v>4783</v>
      </c>
      <c r="C4782" s="49">
        <v>40652</v>
      </c>
      <c r="D4782" s="9">
        <f>YEAR(Tabla1[[#This Row],[Date]])</f>
        <v>2011</v>
      </c>
      <c r="E4782" s="9" t="str" cm="1">
        <f t="array" ref="E4782">IFERROR(_xlfn.IFS(AND(D4782&lt;1980,D4782&gt;=1970),"70",AND(D4782&lt;1990,D4782&gt;=1980),"80",AND(D4782&lt;2000,D4782&gt;=1990),"90",AND(D4782&lt;2010,D4782&gt;=2000),"00",AND(D4782&lt;=2019,D4782&gt;=2010),"10"),"1908-1970")</f>
        <v>10</v>
      </c>
      <c r="F4782" s="3">
        <v>0.58124999999999993</v>
      </c>
      <c r="G4782" t="s">
        <v>27108</v>
      </c>
      <c r="H4782" t="s">
        <v>27109</v>
      </c>
      <c r="I4782" t="s">
        <v>28931</v>
      </c>
      <c r="J4782" t="s">
        <v>28931</v>
      </c>
      <c r="K4782" t="s">
        <v>27110</v>
      </c>
      <c r="L4782" s="7" t="s">
        <v>27111</v>
      </c>
      <c r="M4782" t="s">
        <v>27112</v>
      </c>
      <c r="N4782">
        <v>23</v>
      </c>
      <c r="O4782" t="s">
        <v>5038</v>
      </c>
      <c r="P4782" t="s">
        <v>5038</v>
      </c>
      <c r="Q4782">
        <v>18</v>
      </c>
      <c r="R4782" t="s">
        <v>5038</v>
      </c>
      <c r="S4782" t="s">
        <v>5038</v>
      </c>
      <c r="T4782">
        <v>0</v>
      </c>
      <c r="U4782" t="s">
        <v>27113</v>
      </c>
      <c r="V4782">
        <f>Tabla1[[#This Row],[Aboard]]-Tabla1[[#This Row],[Fatalities]]</f>
        <v>5</v>
      </c>
      <c r="W4782" s="50">
        <f>IFERROR(Tabla1[[#This Row],[Fatalities]]/Tabla1[[#This Row],[Aboard]],0)</f>
        <v>0.78260869565217395</v>
      </c>
      <c r="X4782" s="51" t="str" cm="1">
        <f t="array" ref="X4782">_xlfn.IFS(Tabla1[[#This Row],[Porcentaje de muertes]]&lt;0.35,"LEVE",AND(Tabla1[[#This Row],[Porcentaje de muertes]]&gt;0.35,Tabla1[[#This Row],[Porcentaje de muertes]]&lt;0.65),"MEDIO",Tabla1[[#This Row],[Porcentaje de muertes]]&gt;0.65,"GRAVE")</f>
        <v>GRAVE</v>
      </c>
    </row>
    <row r="4783" spans="2:24" x14ac:dyDescent="0.3">
      <c r="B4783" s="9">
        <v>4784</v>
      </c>
      <c r="C4783" s="49">
        <v>40654</v>
      </c>
      <c r="D4783" s="9">
        <f>YEAR(Tabla1[[#This Row],[Date]])</f>
        <v>2011</v>
      </c>
      <c r="E4783" s="9" t="str" cm="1">
        <f t="array" ref="E4783">IFERROR(_xlfn.IFS(AND(D4783&lt;1980,D4783&gt;=1970),"70",AND(D4783&lt;1990,D4783&gt;=1980),"80",AND(D4783&lt;2000,D4783&gt;=1990),"90",AND(D4783&lt;2010,D4783&gt;=2000),"00",AND(D4783&lt;=2019,D4783&gt;=2010),"10"),"1908-1970")</f>
        <v>10</v>
      </c>
      <c r="F4783" s="3">
        <v>0.61944444444444446</v>
      </c>
      <c r="G4783" t="s">
        <v>27114</v>
      </c>
      <c r="H4783" t="s">
        <v>27115</v>
      </c>
      <c r="I4783" t="s">
        <v>28931</v>
      </c>
      <c r="J4783" t="s">
        <v>27116</v>
      </c>
      <c r="K4783" t="s">
        <v>27117</v>
      </c>
      <c r="L4783" s="7" t="s">
        <v>27118</v>
      </c>
      <c r="M4783" t="s">
        <v>27119</v>
      </c>
      <c r="N4783">
        <v>7</v>
      </c>
      <c r="O4783">
        <v>6</v>
      </c>
      <c r="P4783">
        <v>1</v>
      </c>
      <c r="Q4783">
        <v>7</v>
      </c>
      <c r="R4783">
        <v>6</v>
      </c>
      <c r="S4783">
        <v>1</v>
      </c>
      <c r="T4783">
        <v>0</v>
      </c>
      <c r="U4783" t="s">
        <v>27120</v>
      </c>
      <c r="V4783">
        <f>Tabla1[[#This Row],[Aboard]]-Tabla1[[#This Row],[Fatalities]]</f>
        <v>0</v>
      </c>
      <c r="W4783" s="50">
        <f>IFERROR(Tabla1[[#This Row],[Fatalities]]/Tabla1[[#This Row],[Aboard]],0)</f>
        <v>1</v>
      </c>
      <c r="X4783" s="51" t="str" cm="1">
        <f t="array" ref="X4783">_xlfn.IFS(Tabla1[[#This Row],[Porcentaje de muertes]]&lt;0.35,"LEVE",AND(Tabla1[[#This Row],[Porcentaje de muertes]]&gt;0.35,Tabla1[[#This Row],[Porcentaje de muertes]]&lt;0.65),"MEDIO",Tabla1[[#This Row],[Porcentaje de muertes]]&gt;0.65,"GRAVE")</f>
        <v>GRAVE</v>
      </c>
    </row>
    <row r="4784" spans="2:24" x14ac:dyDescent="0.3">
      <c r="B4784" s="9">
        <v>4785</v>
      </c>
      <c r="C4784" s="49">
        <v>40729</v>
      </c>
      <c r="D4784" s="9">
        <f>YEAR(Tabla1[[#This Row],[Date]])</f>
        <v>2011</v>
      </c>
      <c r="E4784" s="9" t="str" cm="1">
        <f t="array" ref="E4784">IFERROR(_xlfn.IFS(AND(D4784&lt;1980,D4784&gt;=1970),"70",AND(D4784&lt;1990,D4784&gt;=1980),"80",AND(D4784&lt;2000,D4784&gt;=1990),"90",AND(D4784&lt;2010,D4784&gt;=2000),"00",AND(D4784&lt;=2019,D4784&gt;=2010),"10"),"1908-1970")</f>
        <v>10</v>
      </c>
      <c r="F4784" s="3">
        <v>0.58333333333333337</v>
      </c>
      <c r="G4784" t="s">
        <v>27121</v>
      </c>
      <c r="H4784" t="s">
        <v>16296</v>
      </c>
      <c r="I4784" t="s">
        <v>28931</v>
      </c>
      <c r="J4784" t="s">
        <v>27122</v>
      </c>
      <c r="K4784" t="s">
        <v>27123</v>
      </c>
      <c r="L4784" s="7" t="s">
        <v>27124</v>
      </c>
      <c r="M4784">
        <v>603</v>
      </c>
      <c r="N4784">
        <v>27</v>
      </c>
      <c r="O4784">
        <v>21</v>
      </c>
      <c r="P4784">
        <v>6</v>
      </c>
      <c r="Q4784">
        <v>27</v>
      </c>
      <c r="R4784">
        <v>21</v>
      </c>
      <c r="S4784">
        <v>6</v>
      </c>
      <c r="T4784">
        <v>0</v>
      </c>
      <c r="U4784" t="s">
        <v>27125</v>
      </c>
      <c r="V4784">
        <f>Tabla1[[#This Row],[Aboard]]-Tabla1[[#This Row],[Fatalities]]</f>
        <v>0</v>
      </c>
      <c r="W4784" s="50">
        <f>IFERROR(Tabla1[[#This Row],[Fatalities]]/Tabla1[[#This Row],[Aboard]],0)</f>
        <v>1</v>
      </c>
      <c r="X4784" s="51" t="str" cm="1">
        <f t="array" ref="X4784">_xlfn.IFS(Tabla1[[#This Row],[Porcentaje de muertes]]&lt;0.35,"LEVE",AND(Tabla1[[#This Row],[Porcentaje de muertes]]&gt;0.35,Tabla1[[#This Row],[Porcentaje de muertes]]&lt;0.65),"MEDIO",Tabla1[[#This Row],[Porcentaje de muertes]]&gt;0.65,"GRAVE")</f>
        <v>GRAVE</v>
      </c>
    </row>
    <row r="4785" spans="2:24" x14ac:dyDescent="0.3">
      <c r="B4785" s="9">
        <v>4786</v>
      </c>
      <c r="C4785" s="49">
        <v>40681</v>
      </c>
      <c r="D4785" s="9">
        <f>YEAR(Tabla1[[#This Row],[Date]])</f>
        <v>2011</v>
      </c>
      <c r="E4785" s="9" t="str" cm="1">
        <f t="array" ref="E4785">IFERROR(_xlfn.IFS(AND(D4785&lt;1980,D4785&gt;=1970),"70",AND(D4785&lt;1990,D4785&gt;=1980),"80",AND(D4785&lt;2000,D4785&gt;=1990),"90",AND(D4785&lt;2010,D4785&gt;=2000),"00",AND(D4785&lt;=2019,D4785&gt;=2010),"10"),"1908-1970")</f>
        <v>10</v>
      </c>
      <c r="F4785" s="3">
        <v>0.87013888888888891</v>
      </c>
      <c r="G4785" t="s">
        <v>27126</v>
      </c>
      <c r="H4785" t="s">
        <v>27127</v>
      </c>
      <c r="I4785">
        <v>5428</v>
      </c>
      <c r="J4785" t="s">
        <v>27128</v>
      </c>
      <c r="K4785" t="s">
        <v>27129</v>
      </c>
      <c r="L4785" s="7" t="s">
        <v>27130</v>
      </c>
      <c r="M4785">
        <v>25</v>
      </c>
      <c r="N4785">
        <v>22</v>
      </c>
      <c r="O4785">
        <v>19</v>
      </c>
      <c r="P4785">
        <v>3</v>
      </c>
      <c r="Q4785">
        <v>22</v>
      </c>
      <c r="R4785">
        <v>19</v>
      </c>
      <c r="S4785">
        <v>3</v>
      </c>
      <c r="T4785">
        <v>0</v>
      </c>
      <c r="U4785" t="s">
        <v>27131</v>
      </c>
      <c r="V4785">
        <f>Tabla1[[#This Row],[Aboard]]-Tabla1[[#This Row],[Fatalities]]</f>
        <v>0</v>
      </c>
      <c r="W4785" s="50">
        <f>IFERROR(Tabla1[[#This Row],[Fatalities]]/Tabla1[[#This Row],[Aboard]],0)</f>
        <v>1</v>
      </c>
      <c r="X4785" s="51" t="str" cm="1">
        <f t="array" ref="X4785">_xlfn.IFS(Tabla1[[#This Row],[Porcentaje de muertes]]&lt;0.35,"LEVE",AND(Tabla1[[#This Row],[Porcentaje de muertes]]&gt;0.35,Tabla1[[#This Row],[Porcentaje de muertes]]&lt;0.65),"MEDIO",Tabla1[[#This Row],[Porcentaje de muertes]]&gt;0.65,"GRAVE")</f>
        <v>GRAVE</v>
      </c>
    </row>
    <row r="4786" spans="2:24" x14ac:dyDescent="0.3">
      <c r="B4786" s="9">
        <v>4787</v>
      </c>
      <c r="C4786" s="49">
        <v>40714</v>
      </c>
      <c r="D4786" s="9">
        <f>YEAR(Tabla1[[#This Row],[Date]])</f>
        <v>2011</v>
      </c>
      <c r="E4786" s="9" t="str" cm="1">
        <f t="array" ref="E4786">IFERROR(_xlfn.IFS(AND(D4786&lt;1980,D4786&gt;=1970),"70",AND(D4786&lt;1990,D4786&gt;=1980),"80",AND(D4786&lt;2000,D4786&gt;=1990),"90",AND(D4786&lt;2010,D4786&gt;=2000),"00",AND(D4786&lt;=2019,D4786&gt;=2010),"10"),"1908-1970")</f>
        <v>10</v>
      </c>
      <c r="F4786" s="3">
        <v>0.98611111111111116</v>
      </c>
      <c r="G4786" t="s">
        <v>27132</v>
      </c>
      <c r="H4786" t="s">
        <v>27133</v>
      </c>
      <c r="I4786" t="s">
        <v>27134</v>
      </c>
      <c r="J4786" t="s">
        <v>27135</v>
      </c>
      <c r="K4786" t="s">
        <v>27136</v>
      </c>
      <c r="L4786" s="7" t="s">
        <v>27137</v>
      </c>
      <c r="M4786" t="s">
        <v>27138</v>
      </c>
      <c r="N4786">
        <v>52</v>
      </c>
      <c r="O4786">
        <v>43</v>
      </c>
      <c r="P4786">
        <v>9</v>
      </c>
      <c r="Q4786">
        <v>47</v>
      </c>
      <c r="R4786">
        <v>39</v>
      </c>
      <c r="S4786">
        <v>8</v>
      </c>
      <c r="T4786">
        <v>0</v>
      </c>
      <c r="U4786" t="s">
        <v>27139</v>
      </c>
      <c r="V4786">
        <f>Tabla1[[#This Row],[Aboard]]-Tabla1[[#This Row],[Fatalities]]</f>
        <v>5</v>
      </c>
      <c r="W4786" s="50">
        <f>IFERROR(Tabla1[[#This Row],[Fatalities]]/Tabla1[[#This Row],[Aboard]],0)</f>
        <v>0.90384615384615385</v>
      </c>
      <c r="X4786" s="51" t="str" cm="1">
        <f t="array" ref="X4786">_xlfn.IFS(Tabla1[[#This Row],[Porcentaje de muertes]]&lt;0.35,"LEVE",AND(Tabla1[[#This Row],[Porcentaje de muertes]]&gt;0.35,Tabla1[[#This Row],[Porcentaje de muertes]]&lt;0.65),"MEDIO",Tabla1[[#This Row],[Porcentaje de muertes]]&gt;0.65,"GRAVE")</f>
        <v>GRAVE</v>
      </c>
    </row>
    <row r="4787" spans="2:24" x14ac:dyDescent="0.3">
      <c r="B4787" s="9">
        <v>4788</v>
      </c>
      <c r="C4787" s="49">
        <v>40701</v>
      </c>
      <c r="D4787" s="9">
        <f>YEAR(Tabla1[[#This Row],[Date]])</f>
        <v>2011</v>
      </c>
      <c r="E4787" s="9" t="str" cm="1">
        <f t="array" ref="E4787">IFERROR(_xlfn.IFS(AND(D4787&lt;1980,D4787&gt;=1970),"70",AND(D4787&lt;1990,D4787&gt;=1980),"80",AND(D4787&lt;2000,D4787&gt;=1990),"90",AND(D4787&lt;2010,D4787&gt;=2000),"00",AND(D4787&lt;=2019,D4787&gt;=2010),"10"),"1908-1970")</f>
        <v>10</v>
      </c>
      <c r="F4787" s="3">
        <v>0.95833333333333337</v>
      </c>
      <c r="G4787" t="s">
        <v>27140</v>
      </c>
      <c r="H4787" t="s">
        <v>27141</v>
      </c>
      <c r="I4787" t="s">
        <v>28931</v>
      </c>
      <c r="J4787" t="s">
        <v>27142</v>
      </c>
      <c r="K4787" t="s">
        <v>27143</v>
      </c>
      <c r="L4787" s="7" t="s">
        <v>27144</v>
      </c>
      <c r="M4787">
        <v>2053420680</v>
      </c>
      <c r="N4787">
        <v>9</v>
      </c>
      <c r="O4787">
        <v>0</v>
      </c>
      <c r="P4787">
        <v>9</v>
      </c>
      <c r="Q4787">
        <v>9</v>
      </c>
      <c r="R4787">
        <v>0</v>
      </c>
      <c r="S4787">
        <v>9</v>
      </c>
      <c r="T4787">
        <v>0</v>
      </c>
      <c r="U4787" t="s">
        <v>27145</v>
      </c>
      <c r="V4787">
        <f>Tabla1[[#This Row],[Aboard]]-Tabla1[[#This Row],[Fatalities]]</f>
        <v>0</v>
      </c>
      <c r="W4787" s="50">
        <f>IFERROR(Tabla1[[#This Row],[Fatalities]]/Tabla1[[#This Row],[Aboard]],0)</f>
        <v>1</v>
      </c>
      <c r="X4787" s="51" t="str" cm="1">
        <f t="array" ref="X4787">_xlfn.IFS(Tabla1[[#This Row],[Porcentaje de muertes]]&lt;0.35,"LEVE",AND(Tabla1[[#This Row],[Porcentaje de muertes]]&gt;0.35,Tabla1[[#This Row],[Porcentaje de muertes]]&lt;0.65),"MEDIO",Tabla1[[#This Row],[Porcentaje de muertes]]&gt;0.65,"GRAVE")</f>
        <v>GRAVE</v>
      </c>
    </row>
    <row r="4788" spans="2:24" x14ac:dyDescent="0.3">
      <c r="B4788" s="9">
        <v>4789</v>
      </c>
      <c r="C4788" s="49">
        <v>40762</v>
      </c>
      <c r="D4788" s="9">
        <f>YEAR(Tabla1[[#This Row],[Date]])</f>
        <v>2011</v>
      </c>
      <c r="E4788" s="9" t="str" cm="1">
        <f t="array" ref="E4788">IFERROR(_xlfn.IFS(AND(D4788&lt;1980,D4788&gt;=1970),"70",AND(D4788&lt;1990,D4788&gt;=1980),"80",AND(D4788&lt;2000,D4788&gt;=1990),"90",AND(D4788&lt;2010,D4788&gt;=2000),"00",AND(D4788&lt;=2019,D4788&gt;=2010),"10"),"1908-1970")</f>
        <v>10</v>
      </c>
      <c r="F4788" s="3">
        <v>0.625</v>
      </c>
      <c r="G4788" t="s">
        <v>27146</v>
      </c>
      <c r="H4788" t="s">
        <v>26428</v>
      </c>
      <c r="I4788">
        <v>952</v>
      </c>
      <c r="J4788" t="s">
        <v>17161</v>
      </c>
      <c r="K4788" t="s">
        <v>27147</v>
      </c>
      <c r="L4788" s="7" t="s">
        <v>27148</v>
      </c>
      <c r="M4788">
        <v>18933</v>
      </c>
      <c r="N4788">
        <v>115</v>
      </c>
      <c r="O4788">
        <v>108</v>
      </c>
      <c r="P4788">
        <v>7</v>
      </c>
      <c r="Q4788">
        <v>77</v>
      </c>
      <c r="R4788">
        <v>72</v>
      </c>
      <c r="S4788">
        <v>5</v>
      </c>
      <c r="T4788">
        <v>0</v>
      </c>
      <c r="U4788" t="s">
        <v>27149</v>
      </c>
      <c r="V4788">
        <f>Tabla1[[#This Row],[Aboard]]-Tabla1[[#This Row],[Fatalities]]</f>
        <v>38</v>
      </c>
      <c r="W4788" s="50">
        <f>IFERROR(Tabla1[[#This Row],[Fatalities]]/Tabla1[[#This Row],[Aboard]],0)</f>
        <v>0.66956521739130437</v>
      </c>
      <c r="X4788" s="51" t="str" cm="1">
        <f t="array" ref="X4788">_xlfn.IFS(Tabla1[[#This Row],[Porcentaje de muertes]]&lt;0.35,"LEVE",AND(Tabla1[[#This Row],[Porcentaje de muertes]]&gt;0.35,Tabla1[[#This Row],[Porcentaje de muertes]]&lt;0.65),"MEDIO",Tabla1[[#This Row],[Porcentaje de muertes]]&gt;0.65,"GRAVE")</f>
        <v>GRAVE</v>
      </c>
    </row>
    <row r="4789" spans="2:24" x14ac:dyDescent="0.3">
      <c r="B4789" s="9">
        <v>4790</v>
      </c>
      <c r="C4789" s="49">
        <v>40854</v>
      </c>
      <c r="D4789" s="9">
        <f>YEAR(Tabla1[[#This Row],[Date]])</f>
        <v>2011</v>
      </c>
      <c r="E4789" s="9" t="str" cm="1">
        <f t="array" ref="E4789">IFERROR(_xlfn.IFS(AND(D4789&lt;1980,D4789&gt;=1970),"70",AND(D4789&lt;1990,D4789&gt;=1980),"80",AND(D4789&lt;2000,D4789&gt;=1990),"90",AND(D4789&lt;2010,D4789&gt;=2000),"00",AND(D4789&lt;=2019,D4789&gt;=2010),"10"),"1908-1970")</f>
        <v>10</v>
      </c>
      <c r="F4789" s="3">
        <v>0.49652777777777773</v>
      </c>
      <c r="G4789" t="s">
        <v>27150</v>
      </c>
      <c r="H4789" t="s">
        <v>27151</v>
      </c>
      <c r="I4789">
        <v>5007</v>
      </c>
      <c r="J4789" t="s">
        <v>27152</v>
      </c>
      <c r="K4789" t="s">
        <v>19071</v>
      </c>
      <c r="L4789" s="7" t="s">
        <v>27153</v>
      </c>
      <c r="M4789">
        <v>57310302</v>
      </c>
      <c r="N4789">
        <v>37</v>
      </c>
      <c r="O4789">
        <v>33</v>
      </c>
      <c r="P4789">
        <v>4</v>
      </c>
      <c r="Q4789">
        <v>7</v>
      </c>
      <c r="R4789">
        <v>7</v>
      </c>
      <c r="S4789">
        <v>0</v>
      </c>
      <c r="T4789">
        <v>0</v>
      </c>
      <c r="U4789" t="s">
        <v>27154</v>
      </c>
      <c r="V4789">
        <f>Tabla1[[#This Row],[Aboard]]-Tabla1[[#This Row],[Fatalities]]</f>
        <v>30</v>
      </c>
      <c r="W4789" s="50">
        <f>IFERROR(Tabla1[[#This Row],[Fatalities]]/Tabla1[[#This Row],[Aboard]],0)</f>
        <v>0.1891891891891892</v>
      </c>
      <c r="X4789" s="51" t="str" cm="1">
        <f t="array" ref="X4789">_xlfn.IFS(Tabla1[[#This Row],[Porcentaje de muertes]]&lt;0.35,"LEVE",AND(Tabla1[[#This Row],[Porcentaje de muertes]]&gt;0.35,Tabla1[[#This Row],[Porcentaje de muertes]]&lt;0.65),"MEDIO",Tabla1[[#This Row],[Porcentaje de muertes]]&gt;0.65,"GRAVE")</f>
        <v>LEVE</v>
      </c>
    </row>
    <row r="4790" spans="2:24" x14ac:dyDescent="0.3">
      <c r="B4790" s="9">
        <v>4791</v>
      </c>
      <c r="C4790" s="49">
        <v>40737</v>
      </c>
      <c r="D4790" s="9">
        <f>YEAR(Tabla1[[#This Row],[Date]])</f>
        <v>2011</v>
      </c>
      <c r="E4790" s="9" t="str" cm="1">
        <f t="array" ref="E4790">IFERROR(_xlfn.IFS(AND(D4790&lt;1980,D4790&gt;=1970),"70",AND(D4790&lt;1990,D4790&gt;=1980),"80",AND(D4790&lt;2000,D4790&gt;=1990),"90",AND(D4790&lt;2010,D4790&gt;=2000),"00",AND(D4790&lt;=2019,D4790&gt;=2010),"10"),"1908-1970")</f>
        <v>10</v>
      </c>
      <c r="F4790" s="3">
        <v>0.49513888888888885</v>
      </c>
      <c r="G4790" t="s">
        <v>21772</v>
      </c>
      <c r="H4790" t="s">
        <v>27155</v>
      </c>
      <c r="I4790" t="s">
        <v>27156</v>
      </c>
      <c r="J4790" t="s">
        <v>27157</v>
      </c>
      <c r="K4790" t="s">
        <v>27158</v>
      </c>
      <c r="L4790" s="7" t="s">
        <v>27159</v>
      </c>
      <c r="M4790">
        <v>2722</v>
      </c>
      <c r="N4790">
        <v>16</v>
      </c>
      <c r="O4790">
        <v>14</v>
      </c>
      <c r="P4790">
        <v>2</v>
      </c>
      <c r="Q4790">
        <v>16</v>
      </c>
      <c r="R4790">
        <v>14</v>
      </c>
      <c r="S4790">
        <v>2</v>
      </c>
      <c r="T4790">
        <v>0</v>
      </c>
      <c r="U4790" t="s">
        <v>27160</v>
      </c>
      <c r="V4790">
        <f>Tabla1[[#This Row],[Aboard]]-Tabla1[[#This Row],[Fatalities]]</f>
        <v>0</v>
      </c>
      <c r="W4790" s="50">
        <f>IFERROR(Tabla1[[#This Row],[Fatalities]]/Tabla1[[#This Row],[Aboard]],0)</f>
        <v>1</v>
      </c>
      <c r="X4790" s="51" t="str" cm="1">
        <f t="array" ref="X4790">_xlfn.IFS(Tabla1[[#This Row],[Porcentaje de muertes]]&lt;0.35,"LEVE",AND(Tabla1[[#This Row],[Porcentaje de muertes]]&gt;0.35,Tabla1[[#This Row],[Porcentaje de muertes]]&lt;0.65),"MEDIO",Tabla1[[#This Row],[Porcentaje de muertes]]&gt;0.65,"GRAVE")</f>
        <v>GRAVE</v>
      </c>
    </row>
    <row r="4791" spans="2:24" x14ac:dyDescent="0.3">
      <c r="B4791" s="9">
        <v>4792</v>
      </c>
      <c r="C4791" s="49">
        <v>40750</v>
      </c>
      <c r="D4791" s="9">
        <f>YEAR(Tabla1[[#This Row],[Date]])</f>
        <v>2011</v>
      </c>
      <c r="E4791" s="9" t="str" cm="1">
        <f t="array" ref="E4791">IFERROR(_xlfn.IFS(AND(D4791&lt;1980,D4791&gt;=1970),"70",AND(D4791&lt;1990,D4791&gt;=1980),"80",AND(D4791&lt;2000,D4791&gt;=1990),"90",AND(D4791&lt;2010,D4791&gt;=2000),"00",AND(D4791&lt;=2019,D4791&gt;=2010),"10"),"1908-1970")</f>
        <v>10</v>
      </c>
      <c r="F4791" s="3">
        <v>0.375</v>
      </c>
      <c r="G4791" t="s">
        <v>27161</v>
      </c>
      <c r="H4791" t="s">
        <v>27162</v>
      </c>
      <c r="I4791" t="s">
        <v>28931</v>
      </c>
      <c r="J4791" t="s">
        <v>27163</v>
      </c>
      <c r="K4791" t="s">
        <v>27164</v>
      </c>
      <c r="L4791" s="7" t="s">
        <v>27165</v>
      </c>
      <c r="M4791">
        <v>4892</v>
      </c>
      <c r="N4791">
        <v>80</v>
      </c>
      <c r="O4791">
        <v>71</v>
      </c>
      <c r="P4791">
        <v>9</v>
      </c>
      <c r="Q4791">
        <v>80</v>
      </c>
      <c r="R4791">
        <v>71</v>
      </c>
      <c r="S4791">
        <v>9</v>
      </c>
      <c r="T4791">
        <v>0</v>
      </c>
      <c r="U4791" t="s">
        <v>27166</v>
      </c>
      <c r="V4791">
        <f>Tabla1[[#This Row],[Aboard]]-Tabla1[[#This Row],[Fatalities]]</f>
        <v>0</v>
      </c>
      <c r="W4791" s="50">
        <f>IFERROR(Tabla1[[#This Row],[Fatalities]]/Tabla1[[#This Row],[Aboard]],0)</f>
        <v>1</v>
      </c>
      <c r="X4791" s="51" t="str" cm="1">
        <f t="array" ref="X4791">_xlfn.IFS(Tabla1[[#This Row],[Porcentaje de muertes]]&lt;0.35,"LEVE",AND(Tabla1[[#This Row],[Porcentaje de muertes]]&gt;0.35,Tabla1[[#This Row],[Porcentaje de muertes]]&lt;0.65),"MEDIO",Tabla1[[#This Row],[Porcentaje de muertes]]&gt;0.65,"GRAVE")</f>
        <v>GRAVE</v>
      </c>
    </row>
    <row r="4792" spans="2:24" x14ac:dyDescent="0.3">
      <c r="B4792" s="9">
        <v>4793</v>
      </c>
      <c r="C4792" s="49">
        <v>40752</v>
      </c>
      <c r="D4792" s="9">
        <f>YEAR(Tabla1[[#This Row],[Date]])</f>
        <v>2011</v>
      </c>
      <c r="E4792" s="9" t="str" cm="1">
        <f t="array" ref="E4792">IFERROR(_xlfn.IFS(AND(D4792&lt;1980,D4792&gt;=1970),"70",AND(D4792&lt;1990,D4792&gt;=1980),"80",AND(D4792&lt;2000,D4792&gt;=1990),"90",AND(D4792&lt;2010,D4792&gt;=2000),"00",AND(D4792&lt;=2019,D4792&gt;=2010),"10"),"1908-1970")</f>
        <v>10</v>
      </c>
      <c r="F4792" s="3">
        <v>0.17500000000000002</v>
      </c>
      <c r="G4792" t="s">
        <v>27167</v>
      </c>
      <c r="H4792" t="s">
        <v>22290</v>
      </c>
      <c r="I4792">
        <v>991</v>
      </c>
      <c r="J4792" t="s">
        <v>27168</v>
      </c>
      <c r="K4792" t="s">
        <v>27169</v>
      </c>
      <c r="L4792" s="7" t="s">
        <v>27170</v>
      </c>
      <c r="M4792" t="s">
        <v>27171</v>
      </c>
      <c r="N4792">
        <v>2</v>
      </c>
      <c r="O4792">
        <v>0</v>
      </c>
      <c r="P4792">
        <v>2</v>
      </c>
      <c r="Q4792">
        <v>2</v>
      </c>
      <c r="R4792">
        <v>0</v>
      </c>
      <c r="S4792">
        <v>2</v>
      </c>
      <c r="T4792">
        <v>0</v>
      </c>
      <c r="U4792" t="s">
        <v>27172</v>
      </c>
      <c r="V4792">
        <f>Tabla1[[#This Row],[Aboard]]-Tabla1[[#This Row],[Fatalities]]</f>
        <v>0</v>
      </c>
      <c r="W4792" s="50">
        <f>IFERROR(Tabla1[[#This Row],[Fatalities]]/Tabla1[[#This Row],[Aboard]],0)</f>
        <v>1</v>
      </c>
      <c r="X4792" s="51" t="str" cm="1">
        <f t="array" ref="X4792">_xlfn.IFS(Tabla1[[#This Row],[Porcentaje de muertes]]&lt;0.35,"LEVE",AND(Tabla1[[#This Row],[Porcentaje de muertes]]&gt;0.35,Tabla1[[#This Row],[Porcentaje de muertes]]&lt;0.65),"MEDIO",Tabla1[[#This Row],[Porcentaje de muertes]]&gt;0.65,"GRAVE")</f>
        <v>GRAVE</v>
      </c>
    </row>
    <row r="4793" spans="2:24" x14ac:dyDescent="0.3">
      <c r="B4793" s="9">
        <v>4794</v>
      </c>
      <c r="C4793" s="49">
        <v>40702</v>
      </c>
      <c r="D4793" s="9">
        <f>YEAR(Tabla1[[#This Row],[Date]])</f>
        <v>2011</v>
      </c>
      <c r="E4793" s="9" t="str" cm="1">
        <f t="array" ref="E4793">IFERROR(_xlfn.IFS(AND(D4793&lt;1980,D4793&gt;=1970),"70",AND(D4793&lt;1990,D4793&gt;=1980),"80",AND(D4793&lt;2000,D4793&gt;=1990),"90",AND(D4793&lt;2010,D4793&gt;=2000),"00",AND(D4793&lt;=2019,D4793&gt;=2010),"10"),"1908-1970")</f>
        <v>10</v>
      </c>
      <c r="F4793" s="3" t="s">
        <v>28931</v>
      </c>
      <c r="G4793" t="s">
        <v>27173</v>
      </c>
      <c r="H4793" t="s">
        <v>5017</v>
      </c>
      <c r="I4793" t="s">
        <v>28931</v>
      </c>
      <c r="J4793" t="s">
        <v>28931</v>
      </c>
      <c r="K4793" t="s">
        <v>27174</v>
      </c>
      <c r="L4793" s="7" t="s">
        <v>28931</v>
      </c>
      <c r="M4793" t="s">
        <v>28931</v>
      </c>
      <c r="N4793">
        <v>38</v>
      </c>
      <c r="O4793" t="s">
        <v>5038</v>
      </c>
      <c r="P4793" t="s">
        <v>5038</v>
      </c>
      <c r="Q4793">
        <v>38</v>
      </c>
      <c r="R4793" t="s">
        <v>5038</v>
      </c>
      <c r="S4793" t="s">
        <v>5038</v>
      </c>
      <c r="T4793">
        <v>0</v>
      </c>
      <c r="U4793" t="s">
        <v>27175</v>
      </c>
      <c r="V4793">
        <f>Tabla1[[#This Row],[Aboard]]-Tabla1[[#This Row],[Fatalities]]</f>
        <v>0</v>
      </c>
      <c r="W4793" s="50">
        <f>IFERROR(Tabla1[[#This Row],[Fatalities]]/Tabla1[[#This Row],[Aboard]],0)</f>
        <v>1</v>
      </c>
      <c r="X4793" s="51" t="str" cm="1">
        <f t="array" ref="X4793">_xlfn.IFS(Tabla1[[#This Row],[Porcentaje de muertes]]&lt;0.35,"LEVE",AND(Tabla1[[#This Row],[Porcentaje de muertes]]&gt;0.35,Tabla1[[#This Row],[Porcentaje de muertes]]&lt;0.65),"MEDIO",Tabla1[[#This Row],[Porcentaje de muertes]]&gt;0.65,"GRAVE")</f>
        <v>GRAVE</v>
      </c>
    </row>
    <row r="4794" spans="2:24" x14ac:dyDescent="0.3">
      <c r="B4794" s="9">
        <v>4795</v>
      </c>
      <c r="C4794" s="49">
        <v>40794</v>
      </c>
      <c r="D4794" s="9">
        <f>YEAR(Tabla1[[#This Row],[Date]])</f>
        <v>2011</v>
      </c>
      <c r="E4794" s="9" t="str" cm="1">
        <f t="array" ref="E4794">IFERROR(_xlfn.IFS(AND(D4794&lt;1980,D4794&gt;=1970),"70",AND(D4794&lt;1990,D4794&gt;=1980),"80",AND(D4794&lt;2000,D4794&gt;=1990),"90",AND(D4794&lt;2010,D4794&gt;=2000),"00",AND(D4794&lt;=2019,D4794&gt;=2010),"10"),"1908-1970")</f>
        <v>10</v>
      </c>
      <c r="F4794" s="3">
        <v>0.6069444444444444</v>
      </c>
      <c r="G4794" t="s">
        <v>27176</v>
      </c>
      <c r="H4794" t="s">
        <v>27177</v>
      </c>
      <c r="I4794" t="s">
        <v>27178</v>
      </c>
      <c r="J4794" t="s">
        <v>27179</v>
      </c>
      <c r="K4794" t="s">
        <v>23935</v>
      </c>
      <c r="L4794" s="7" t="s">
        <v>27180</v>
      </c>
      <c r="M4794">
        <v>3341006</v>
      </c>
      <c r="N4794">
        <v>11</v>
      </c>
      <c r="O4794">
        <v>2</v>
      </c>
      <c r="P4794">
        <v>9</v>
      </c>
      <c r="Q4794">
        <v>11</v>
      </c>
      <c r="R4794">
        <v>2</v>
      </c>
      <c r="S4794">
        <v>9</v>
      </c>
      <c r="T4794">
        <v>0</v>
      </c>
      <c r="U4794" t="s">
        <v>27181</v>
      </c>
      <c r="V4794">
        <f>Tabla1[[#This Row],[Aboard]]-Tabla1[[#This Row],[Fatalities]]</f>
        <v>0</v>
      </c>
      <c r="W4794" s="50">
        <f>IFERROR(Tabla1[[#This Row],[Fatalities]]/Tabla1[[#This Row],[Aboard]],0)</f>
        <v>1</v>
      </c>
      <c r="X4794" s="51" t="str" cm="1">
        <f t="array" ref="X4794">_xlfn.IFS(Tabla1[[#This Row],[Porcentaje de muertes]]&lt;0.35,"LEVE",AND(Tabla1[[#This Row],[Porcentaje de muertes]]&gt;0.35,Tabla1[[#This Row],[Porcentaje de muertes]]&lt;0.65),"MEDIO",Tabla1[[#This Row],[Porcentaje de muertes]]&gt;0.65,"GRAVE")</f>
        <v>GRAVE</v>
      </c>
    </row>
    <row r="4795" spans="2:24" x14ac:dyDescent="0.3">
      <c r="B4795" s="9">
        <v>4796</v>
      </c>
      <c r="C4795" s="49">
        <v>40775</v>
      </c>
      <c r="D4795" s="9">
        <f>YEAR(Tabla1[[#This Row],[Date]])</f>
        <v>2011</v>
      </c>
      <c r="E4795" s="9" t="str" cm="1">
        <f t="array" ref="E4795">IFERROR(_xlfn.IFS(AND(D4795&lt;1980,D4795&gt;=1970),"70",AND(D4795&lt;1990,D4795&gt;=1980),"80",AND(D4795&lt;2000,D4795&gt;=1990),"90",AND(D4795&lt;2010,D4795&gt;=2000),"00",AND(D4795&lt;=2019,D4795&gt;=2010),"10"),"1908-1970")</f>
        <v>10</v>
      </c>
      <c r="F4795" s="3">
        <v>0.53472222222222221</v>
      </c>
      <c r="G4795" t="s">
        <v>27182</v>
      </c>
      <c r="H4795" t="s">
        <v>23237</v>
      </c>
      <c r="I4795">
        <v>6560</v>
      </c>
      <c r="J4795" t="s">
        <v>27183</v>
      </c>
      <c r="K4795" t="s">
        <v>27184</v>
      </c>
      <c r="L4795" s="7" t="s">
        <v>27185</v>
      </c>
      <c r="M4795" t="s">
        <v>27186</v>
      </c>
      <c r="N4795">
        <v>15</v>
      </c>
      <c r="O4795">
        <v>11</v>
      </c>
      <c r="P4795">
        <v>4</v>
      </c>
      <c r="Q4795">
        <v>12</v>
      </c>
      <c r="R4795">
        <v>8</v>
      </c>
      <c r="S4795">
        <v>4</v>
      </c>
      <c r="T4795">
        <v>0</v>
      </c>
      <c r="U4795" t="s">
        <v>27187</v>
      </c>
      <c r="V4795">
        <f>Tabla1[[#This Row],[Aboard]]-Tabla1[[#This Row],[Fatalities]]</f>
        <v>3</v>
      </c>
      <c r="W4795" s="50">
        <f>IFERROR(Tabla1[[#This Row],[Fatalities]]/Tabla1[[#This Row],[Aboard]],0)</f>
        <v>0.8</v>
      </c>
      <c r="X4795" s="51" t="str" cm="1">
        <f t="array" ref="X4795">_xlfn.IFS(Tabla1[[#This Row],[Porcentaje de muertes]]&lt;0.35,"LEVE",AND(Tabla1[[#This Row],[Porcentaje de muertes]]&gt;0.35,Tabla1[[#This Row],[Porcentaje de muertes]]&lt;0.65),"MEDIO",Tabla1[[#This Row],[Porcentaje de muertes]]&gt;0.65,"GRAVE")</f>
        <v>GRAVE</v>
      </c>
    </row>
    <row r="4796" spans="2:24" x14ac:dyDescent="0.3">
      <c r="B4796" s="9">
        <v>4797</v>
      </c>
      <c r="C4796" s="49">
        <v>40781</v>
      </c>
      <c r="D4796" s="9">
        <f>YEAR(Tabla1[[#This Row],[Date]])</f>
        <v>2011</v>
      </c>
      <c r="E4796" s="9" t="str" cm="1">
        <f t="array" ref="E4796">IFERROR(_xlfn.IFS(AND(D4796&lt;1980,D4796&gt;=1970),"70",AND(D4796&lt;1990,D4796&gt;=1980),"80",AND(D4796&lt;2000,D4796&gt;=1990),"90",AND(D4796&lt;2010,D4796&gt;=2000),"00",AND(D4796&lt;=2019,D4796&gt;=2010),"10"),"1908-1970")</f>
        <v>10</v>
      </c>
      <c r="F4796" s="3">
        <v>0.79166666666666663</v>
      </c>
      <c r="G4796" t="s">
        <v>27188</v>
      </c>
      <c r="H4796" t="s">
        <v>27189</v>
      </c>
      <c r="I4796" t="s">
        <v>28931</v>
      </c>
      <c r="J4796" t="s">
        <v>27190</v>
      </c>
      <c r="K4796" t="s">
        <v>27191</v>
      </c>
      <c r="L4796" s="7" t="s">
        <v>27192</v>
      </c>
      <c r="M4796">
        <v>3728</v>
      </c>
      <c r="N4796">
        <v>4</v>
      </c>
      <c r="O4796">
        <v>3</v>
      </c>
      <c r="P4796">
        <v>1</v>
      </c>
      <c r="Q4796">
        <v>4</v>
      </c>
      <c r="R4796">
        <v>3</v>
      </c>
      <c r="S4796">
        <v>1</v>
      </c>
      <c r="T4796">
        <v>0</v>
      </c>
      <c r="U4796" t="s">
        <v>27193</v>
      </c>
      <c r="V4796">
        <f>Tabla1[[#This Row],[Aboard]]-Tabla1[[#This Row],[Fatalities]]</f>
        <v>0</v>
      </c>
      <c r="W4796" s="50">
        <f>IFERROR(Tabla1[[#This Row],[Fatalities]]/Tabla1[[#This Row],[Aboard]],0)</f>
        <v>1</v>
      </c>
      <c r="X4796" s="51" t="str" cm="1">
        <f t="array" ref="X4796">_xlfn.IFS(Tabla1[[#This Row],[Porcentaje de muertes]]&lt;0.35,"LEVE",AND(Tabla1[[#This Row],[Porcentaje de muertes]]&gt;0.35,Tabla1[[#This Row],[Porcentaje de muertes]]&lt;0.65),"MEDIO",Tabla1[[#This Row],[Porcentaje de muertes]]&gt;0.65,"GRAVE")</f>
        <v>GRAVE</v>
      </c>
    </row>
    <row r="4797" spans="2:24" x14ac:dyDescent="0.3">
      <c r="B4797" s="9">
        <v>4798</v>
      </c>
      <c r="C4797" s="49">
        <v>40583</v>
      </c>
      <c r="D4797" s="9">
        <f>YEAR(Tabla1[[#This Row],[Date]])</f>
        <v>2011</v>
      </c>
      <c r="E4797" s="9" t="str" cm="1">
        <f t="array" ref="E4797">IFERROR(_xlfn.IFS(AND(D4797&lt;1980,D4797&gt;=1970),"70",AND(D4797&lt;1990,D4797&gt;=1980),"80",AND(D4797&lt;2000,D4797&gt;=1990),"90",AND(D4797&lt;2010,D4797&gt;=2000),"00",AND(D4797&lt;=2019,D4797&gt;=2010),"10"),"1908-1970")</f>
        <v>10</v>
      </c>
      <c r="F4797" s="3">
        <v>0.7416666666666667</v>
      </c>
      <c r="G4797" t="s">
        <v>27194</v>
      </c>
      <c r="H4797" t="s">
        <v>27195</v>
      </c>
      <c r="I4797" t="s">
        <v>28931</v>
      </c>
      <c r="J4797" t="s">
        <v>27196</v>
      </c>
      <c r="K4797" t="s">
        <v>27197</v>
      </c>
      <c r="L4797" s="7">
        <v>966</v>
      </c>
      <c r="M4797">
        <v>443</v>
      </c>
      <c r="N4797">
        <v>21</v>
      </c>
      <c r="O4797">
        <v>17</v>
      </c>
      <c r="P4797">
        <v>4</v>
      </c>
      <c r="Q4797">
        <v>21</v>
      </c>
      <c r="R4797">
        <v>17</v>
      </c>
      <c r="S4797">
        <v>4</v>
      </c>
      <c r="T4797">
        <v>0</v>
      </c>
      <c r="U4797" t="s">
        <v>27198</v>
      </c>
      <c r="V4797">
        <f>Tabla1[[#This Row],[Aboard]]-Tabla1[[#This Row],[Fatalities]]</f>
        <v>0</v>
      </c>
      <c r="W4797" s="50">
        <f>IFERROR(Tabla1[[#This Row],[Fatalities]]/Tabla1[[#This Row],[Aboard]],0)</f>
        <v>1</v>
      </c>
      <c r="X4797" s="51" t="str" cm="1">
        <f t="array" ref="X4797">_xlfn.IFS(Tabla1[[#This Row],[Porcentaje de muertes]]&lt;0.35,"LEVE",AND(Tabla1[[#This Row],[Porcentaje de muertes]]&gt;0.35,Tabla1[[#This Row],[Porcentaje de muertes]]&lt;0.65),"MEDIO",Tabla1[[#This Row],[Porcentaje de muertes]]&gt;0.65,"GRAVE")</f>
        <v>GRAVE</v>
      </c>
    </row>
    <row r="4798" spans="2:24" x14ac:dyDescent="0.3">
      <c r="B4798" s="9">
        <v>4799</v>
      </c>
      <c r="C4798" s="49">
        <v>40703</v>
      </c>
      <c r="D4798" s="9">
        <f>YEAR(Tabla1[[#This Row],[Date]])</f>
        <v>2011</v>
      </c>
      <c r="E4798" s="9" t="str" cm="1">
        <f t="array" ref="E4798">IFERROR(_xlfn.IFS(AND(D4798&lt;1980,D4798&gt;=1970),"70",AND(D4798&lt;1990,D4798&gt;=1980),"80",AND(D4798&lt;2000,D4798&gt;=1990),"90",AND(D4798&lt;2010,D4798&gt;=2000),"00",AND(D4798&lt;=2019,D4798&gt;=2010),"10"),"1908-1970")</f>
        <v>10</v>
      </c>
      <c r="F4798" s="3">
        <v>0.78472222222222221</v>
      </c>
      <c r="G4798" t="s">
        <v>27199</v>
      </c>
      <c r="H4798" t="s">
        <v>27200</v>
      </c>
      <c r="I4798" t="s">
        <v>27201</v>
      </c>
      <c r="J4798" t="s">
        <v>27202</v>
      </c>
      <c r="K4798" t="s">
        <v>27203</v>
      </c>
      <c r="L4798" s="7" t="s">
        <v>27204</v>
      </c>
      <c r="M4798" t="s">
        <v>27205</v>
      </c>
      <c r="N4798">
        <v>9</v>
      </c>
      <c r="O4798">
        <v>7</v>
      </c>
      <c r="P4798">
        <v>2</v>
      </c>
      <c r="Q4798">
        <v>8</v>
      </c>
      <c r="R4798">
        <v>6</v>
      </c>
      <c r="S4798">
        <v>2</v>
      </c>
      <c r="T4798">
        <v>0</v>
      </c>
      <c r="U4798" t="s">
        <v>27206</v>
      </c>
      <c r="V4798">
        <f>Tabla1[[#This Row],[Aboard]]-Tabla1[[#This Row],[Fatalities]]</f>
        <v>1</v>
      </c>
      <c r="W4798" s="50">
        <f>IFERROR(Tabla1[[#This Row],[Fatalities]]/Tabla1[[#This Row],[Aboard]],0)</f>
        <v>0.88888888888888884</v>
      </c>
      <c r="X4798" s="51" t="str" cm="1">
        <f t="array" ref="X4798">_xlfn.IFS(Tabla1[[#This Row],[Porcentaje de muertes]]&lt;0.35,"LEVE",AND(Tabla1[[#This Row],[Porcentaje de muertes]]&gt;0.35,Tabla1[[#This Row],[Porcentaje de muertes]]&lt;0.65),"MEDIO",Tabla1[[#This Row],[Porcentaje de muertes]]&gt;0.65,"GRAVE")</f>
        <v>GRAVE</v>
      </c>
    </row>
    <row r="4799" spans="2:24" x14ac:dyDescent="0.3">
      <c r="B4799" s="9">
        <v>4800</v>
      </c>
      <c r="C4799" s="49">
        <v>40733</v>
      </c>
      <c r="D4799" s="9">
        <f>YEAR(Tabla1[[#This Row],[Date]])</f>
        <v>2011</v>
      </c>
      <c r="E4799" s="9" t="str" cm="1">
        <f t="array" ref="E4799">IFERROR(_xlfn.IFS(AND(D4799&lt;1980,D4799&gt;=1970),"70",AND(D4799&lt;1990,D4799&gt;=1980),"80",AND(D4799&lt;2000,D4799&gt;=1990),"90",AND(D4799&lt;2010,D4799&gt;=2000),"00",AND(D4799&lt;=2019,D4799&gt;=2010),"10"),"1908-1970")</f>
        <v>10</v>
      </c>
      <c r="F4799" s="3">
        <v>0.65972222222222221</v>
      </c>
      <c r="G4799" t="s">
        <v>27207</v>
      </c>
      <c r="H4799" t="s">
        <v>27208</v>
      </c>
      <c r="I4799">
        <v>9633</v>
      </c>
      <c r="J4799" t="s">
        <v>27209</v>
      </c>
      <c r="K4799" t="s">
        <v>25248</v>
      </c>
      <c r="L4799" s="7" t="s">
        <v>27210</v>
      </c>
      <c r="M4799">
        <v>4520424305017</v>
      </c>
      <c r="N4799">
        <v>45</v>
      </c>
      <c r="O4799">
        <v>37</v>
      </c>
      <c r="P4799">
        <v>8</v>
      </c>
      <c r="Q4799">
        <v>44</v>
      </c>
      <c r="R4799">
        <v>37</v>
      </c>
      <c r="S4799">
        <v>7</v>
      </c>
      <c r="T4799">
        <v>0</v>
      </c>
      <c r="U4799" t="s">
        <v>27211</v>
      </c>
      <c r="V4799">
        <f>Tabla1[[#This Row],[Aboard]]-Tabla1[[#This Row],[Fatalities]]</f>
        <v>1</v>
      </c>
      <c r="W4799" s="50">
        <f>IFERROR(Tabla1[[#This Row],[Fatalities]]/Tabla1[[#This Row],[Aboard]],0)</f>
        <v>0.97777777777777775</v>
      </c>
      <c r="X4799" s="51" t="str" cm="1">
        <f t="array" ref="X4799">_xlfn.IFS(Tabla1[[#This Row],[Porcentaje de muertes]]&lt;0.35,"LEVE",AND(Tabla1[[#This Row],[Porcentaje de muertes]]&gt;0.35,Tabla1[[#This Row],[Porcentaje de muertes]]&lt;0.65),"MEDIO",Tabla1[[#This Row],[Porcentaje de muertes]]&gt;0.65,"GRAVE")</f>
        <v>GRAVE</v>
      </c>
    </row>
    <row r="4800" spans="2:24" x14ac:dyDescent="0.3">
      <c r="B4800" s="9">
        <v>4801</v>
      </c>
      <c r="C4800" s="49">
        <v>40800</v>
      </c>
      <c r="D4800" s="9">
        <f>YEAR(Tabla1[[#This Row],[Date]])</f>
        <v>2011</v>
      </c>
      <c r="E4800" s="9" t="str" cm="1">
        <f t="array" ref="E4800">IFERROR(_xlfn.IFS(AND(D4800&lt;1980,D4800&gt;=1970),"70",AND(D4800&lt;1990,D4800&gt;=1980),"80",AND(D4800&lt;2000,D4800&gt;=1990),"90",AND(D4800&lt;2010,D4800&gt;=2000),"00",AND(D4800&lt;=2019,D4800&gt;=2010),"10"),"1908-1970")</f>
        <v>10</v>
      </c>
      <c r="F4800" s="3">
        <v>0.5</v>
      </c>
      <c r="G4800" t="s">
        <v>24310</v>
      </c>
      <c r="H4800" t="s">
        <v>27212</v>
      </c>
      <c r="I4800" t="s">
        <v>28931</v>
      </c>
      <c r="J4800" t="s">
        <v>23950</v>
      </c>
      <c r="K4800" t="s">
        <v>25081</v>
      </c>
      <c r="L4800" s="7" t="s">
        <v>27213</v>
      </c>
      <c r="M4800">
        <v>120357</v>
      </c>
      <c r="N4800">
        <v>36</v>
      </c>
      <c r="O4800">
        <v>34</v>
      </c>
      <c r="P4800">
        <v>2</v>
      </c>
      <c r="Q4800">
        <v>30</v>
      </c>
      <c r="R4800">
        <v>30</v>
      </c>
      <c r="S4800">
        <v>0</v>
      </c>
      <c r="T4800">
        <v>0</v>
      </c>
      <c r="U4800" t="s">
        <v>27214</v>
      </c>
      <c r="V4800">
        <f>Tabla1[[#This Row],[Aboard]]-Tabla1[[#This Row],[Fatalities]]</f>
        <v>6</v>
      </c>
      <c r="W4800" s="50">
        <f>IFERROR(Tabla1[[#This Row],[Fatalities]]/Tabla1[[#This Row],[Aboard]],0)</f>
        <v>0.83333333333333337</v>
      </c>
      <c r="X4800" s="51" t="str" cm="1">
        <f t="array" ref="X4800">_xlfn.IFS(Tabla1[[#This Row],[Porcentaje de muertes]]&lt;0.35,"LEVE",AND(Tabla1[[#This Row],[Porcentaje de muertes]]&gt;0.35,Tabla1[[#This Row],[Porcentaje de muertes]]&lt;0.65),"MEDIO",Tabla1[[#This Row],[Porcentaje de muertes]]&gt;0.65,"GRAVE")</f>
        <v>GRAVE</v>
      </c>
    </row>
    <row r="4801" spans="2:24" x14ac:dyDescent="0.3">
      <c r="B4801" s="9">
        <v>4802</v>
      </c>
      <c r="C4801" s="49">
        <v>40802</v>
      </c>
      <c r="D4801" s="9">
        <f>YEAR(Tabla1[[#This Row],[Date]])</f>
        <v>2011</v>
      </c>
      <c r="E4801" s="9" t="str" cm="1">
        <f t="array" ref="E4801">IFERROR(_xlfn.IFS(AND(D4801&lt;1980,D4801&gt;=1970),"70",AND(D4801&lt;1990,D4801&gt;=1980),"80",AND(D4801&lt;2000,D4801&gt;=1990),"90",AND(D4801&lt;2010,D4801&gt;=2000),"00",AND(D4801&lt;=2019,D4801&gt;=2010),"10"),"1908-1970")</f>
        <v>10</v>
      </c>
      <c r="F4801" s="3">
        <v>0.68402777777777779</v>
      </c>
      <c r="G4801" t="s">
        <v>19765</v>
      </c>
      <c r="H4801" t="s">
        <v>27215</v>
      </c>
      <c r="I4801" t="s">
        <v>28931</v>
      </c>
      <c r="J4801" t="s">
        <v>27216</v>
      </c>
      <c r="K4801" t="s">
        <v>27217</v>
      </c>
      <c r="L4801" s="7" t="s">
        <v>27218</v>
      </c>
      <c r="M4801" t="s">
        <v>27219</v>
      </c>
      <c r="N4801">
        <v>1</v>
      </c>
      <c r="O4801">
        <v>0</v>
      </c>
      <c r="P4801">
        <v>1</v>
      </c>
      <c r="Q4801">
        <v>1</v>
      </c>
      <c r="R4801">
        <v>0</v>
      </c>
      <c r="S4801">
        <v>1</v>
      </c>
      <c r="T4801">
        <v>10</v>
      </c>
      <c r="U4801" t="s">
        <v>27220</v>
      </c>
      <c r="V4801">
        <f>Tabla1[[#This Row],[Aboard]]-Tabla1[[#This Row],[Fatalities]]</f>
        <v>0</v>
      </c>
      <c r="W4801" s="50">
        <f>IFERROR(Tabla1[[#This Row],[Fatalities]]/Tabla1[[#This Row],[Aboard]],0)</f>
        <v>1</v>
      </c>
      <c r="X4801" s="51" t="str" cm="1">
        <f t="array" ref="X4801">_xlfn.IFS(Tabla1[[#This Row],[Porcentaje de muertes]]&lt;0.35,"LEVE",AND(Tabla1[[#This Row],[Porcentaje de muertes]]&gt;0.35,Tabla1[[#This Row],[Porcentaje de muertes]]&lt;0.65),"MEDIO",Tabla1[[#This Row],[Porcentaje de muertes]]&gt;0.65,"GRAVE")</f>
        <v>GRAVE</v>
      </c>
    </row>
    <row r="4802" spans="2:24" x14ac:dyDescent="0.3">
      <c r="B4802" s="9">
        <v>4803</v>
      </c>
      <c r="C4802" s="49">
        <v>40808</v>
      </c>
      <c r="D4802" s="9">
        <f>YEAR(Tabla1[[#This Row],[Date]])</f>
        <v>2011</v>
      </c>
      <c r="E4802" s="9" t="str" cm="1">
        <f t="array" ref="E4802">IFERROR(_xlfn.IFS(AND(D4802&lt;1980,D4802&gt;=1970),"70",AND(D4802&lt;1990,D4802&gt;=1980),"80",AND(D4802&lt;2000,D4802&gt;=1990),"90",AND(D4802&lt;2010,D4802&gt;=2000),"00",AND(D4802&lt;=2019,D4802&gt;=2010),"10"),"1908-1970")</f>
        <v>10</v>
      </c>
      <c r="F4802" s="3">
        <v>0.55208333333333337</v>
      </c>
      <c r="G4802" t="s">
        <v>27221</v>
      </c>
      <c r="H4802" t="s">
        <v>27222</v>
      </c>
      <c r="I4802" t="s">
        <v>28931</v>
      </c>
      <c r="J4802" t="s">
        <v>27223</v>
      </c>
      <c r="K4802" t="s">
        <v>27224</v>
      </c>
      <c r="L4802" s="7" t="s">
        <v>27225</v>
      </c>
      <c r="M4802">
        <v>367</v>
      </c>
      <c r="N4802">
        <v>9</v>
      </c>
      <c r="O4802">
        <v>7</v>
      </c>
      <c r="P4802">
        <v>2</v>
      </c>
      <c r="Q4802">
        <v>2</v>
      </c>
      <c r="R4802">
        <v>0</v>
      </c>
      <c r="S4802">
        <v>2</v>
      </c>
      <c r="T4802">
        <v>0</v>
      </c>
      <c r="U4802" t="s">
        <v>27226</v>
      </c>
      <c r="V4802">
        <f>Tabla1[[#This Row],[Aboard]]-Tabla1[[#This Row],[Fatalities]]</f>
        <v>7</v>
      </c>
      <c r="W4802" s="50">
        <f>IFERROR(Tabla1[[#This Row],[Fatalities]]/Tabla1[[#This Row],[Aboard]],0)</f>
        <v>0.22222222222222221</v>
      </c>
      <c r="X4802" s="51" t="str" cm="1">
        <f t="array" ref="X4802">_xlfn.IFS(Tabla1[[#This Row],[Porcentaje de muertes]]&lt;0.35,"LEVE",AND(Tabla1[[#This Row],[Porcentaje de muertes]]&gt;0.35,Tabla1[[#This Row],[Porcentaje de muertes]]&lt;0.65),"MEDIO",Tabla1[[#This Row],[Porcentaje de muertes]]&gt;0.65,"GRAVE")</f>
        <v>LEVE</v>
      </c>
    </row>
    <row r="4803" spans="2:24" x14ac:dyDescent="0.3">
      <c r="B4803" s="9">
        <v>4804</v>
      </c>
      <c r="C4803" s="49">
        <v>40811</v>
      </c>
      <c r="D4803" s="9">
        <f>YEAR(Tabla1[[#This Row],[Date]])</f>
        <v>2011</v>
      </c>
      <c r="E4803" s="9" t="str" cm="1">
        <f t="array" ref="E4803">IFERROR(_xlfn.IFS(AND(D4803&lt;1980,D4803&gt;=1970),"70",AND(D4803&lt;1990,D4803&gt;=1980),"80",AND(D4803&lt;2000,D4803&gt;=1990),"90",AND(D4803&lt;2010,D4803&gt;=2000),"00",AND(D4803&lt;=2019,D4803&gt;=2010),"10"),"1908-1970")</f>
        <v>10</v>
      </c>
      <c r="F4803" s="3">
        <v>0.31319444444444444</v>
      </c>
      <c r="G4803" t="s">
        <v>12298</v>
      </c>
      <c r="H4803" t="s">
        <v>27227</v>
      </c>
      <c r="I4803" t="s">
        <v>28931</v>
      </c>
      <c r="J4803" t="s">
        <v>5494</v>
      </c>
      <c r="K4803" t="s">
        <v>25370</v>
      </c>
      <c r="L4803" s="7" t="s">
        <v>27228</v>
      </c>
      <c r="M4803" t="s">
        <v>27229</v>
      </c>
      <c r="N4803">
        <v>19</v>
      </c>
      <c r="O4803">
        <v>16</v>
      </c>
      <c r="P4803">
        <v>3</v>
      </c>
      <c r="Q4803">
        <v>19</v>
      </c>
      <c r="R4803">
        <v>16</v>
      </c>
      <c r="S4803">
        <v>3</v>
      </c>
      <c r="T4803">
        <v>0</v>
      </c>
      <c r="U4803" t="s">
        <v>27230</v>
      </c>
      <c r="V4803">
        <f>Tabla1[[#This Row],[Aboard]]-Tabla1[[#This Row],[Fatalities]]</f>
        <v>0</v>
      </c>
      <c r="W4803" s="50">
        <f>IFERROR(Tabla1[[#This Row],[Fatalities]]/Tabla1[[#This Row],[Aboard]],0)</f>
        <v>1</v>
      </c>
      <c r="X4803" s="51" t="str" cm="1">
        <f t="array" ref="X4803">_xlfn.IFS(Tabla1[[#This Row],[Porcentaje de muertes]]&lt;0.35,"LEVE",AND(Tabla1[[#This Row],[Porcentaje de muertes]]&gt;0.35,Tabla1[[#This Row],[Porcentaje de muertes]]&lt;0.65),"MEDIO",Tabla1[[#This Row],[Porcentaje de muertes]]&gt;0.65,"GRAVE")</f>
        <v>GRAVE</v>
      </c>
    </row>
    <row r="4804" spans="2:24" x14ac:dyDescent="0.3">
      <c r="B4804" s="9">
        <v>4805</v>
      </c>
      <c r="C4804" s="49">
        <v>40815</v>
      </c>
      <c r="D4804" s="9">
        <f>YEAR(Tabla1[[#This Row],[Date]])</f>
        <v>2011</v>
      </c>
      <c r="E4804" s="9" t="str" cm="1">
        <f t="array" ref="E4804">IFERROR(_xlfn.IFS(AND(D4804&lt;1980,D4804&gt;=1970),"70",AND(D4804&lt;1990,D4804&gt;=1980),"80",AND(D4804&lt;2000,D4804&gt;=1990),"90",AND(D4804&lt;2010,D4804&gt;=2000),"00",AND(D4804&lt;=2019,D4804&gt;=2010),"10"),"1908-1970")</f>
        <v>10</v>
      </c>
      <c r="F4804" s="3">
        <v>0.31805555555555554</v>
      </c>
      <c r="G4804" t="s">
        <v>27231</v>
      </c>
      <c r="H4804" t="s">
        <v>27232</v>
      </c>
      <c r="I4804" t="s">
        <v>28931</v>
      </c>
      <c r="J4804" t="s">
        <v>27233</v>
      </c>
      <c r="K4804" t="s">
        <v>27234</v>
      </c>
      <c r="L4804" s="7" t="s">
        <v>27235</v>
      </c>
      <c r="M4804" t="s">
        <v>28931</v>
      </c>
      <c r="N4804">
        <v>18</v>
      </c>
      <c r="O4804">
        <v>14</v>
      </c>
      <c r="P4804">
        <v>4</v>
      </c>
      <c r="Q4804">
        <v>18</v>
      </c>
      <c r="R4804">
        <v>14</v>
      </c>
      <c r="S4804">
        <v>4</v>
      </c>
      <c r="T4804">
        <v>0</v>
      </c>
      <c r="U4804" t="s">
        <v>27236</v>
      </c>
      <c r="V4804">
        <f>Tabla1[[#This Row],[Aboard]]-Tabla1[[#This Row],[Fatalities]]</f>
        <v>0</v>
      </c>
      <c r="W4804" s="50">
        <f>IFERROR(Tabla1[[#This Row],[Fatalities]]/Tabla1[[#This Row],[Aboard]],0)</f>
        <v>1</v>
      </c>
      <c r="X4804" s="51" t="str" cm="1">
        <f t="array" ref="X4804">_xlfn.IFS(Tabla1[[#This Row],[Porcentaje de muertes]]&lt;0.35,"LEVE",AND(Tabla1[[#This Row],[Porcentaje de muertes]]&gt;0.35,Tabla1[[#This Row],[Porcentaje de muertes]]&lt;0.65),"MEDIO",Tabla1[[#This Row],[Porcentaje de muertes]]&gt;0.65,"GRAVE")</f>
        <v>GRAVE</v>
      </c>
    </row>
    <row r="4805" spans="2:24" x14ac:dyDescent="0.3">
      <c r="B4805" s="9">
        <v>4806</v>
      </c>
      <c r="C4805" s="49">
        <v>40829</v>
      </c>
      <c r="D4805" s="9">
        <f>YEAR(Tabla1[[#This Row],[Date]])</f>
        <v>2011</v>
      </c>
      <c r="E4805" s="9" t="str" cm="1">
        <f t="array" ref="E4805">IFERROR(_xlfn.IFS(AND(D4805&lt;1980,D4805&gt;=1970),"70",AND(D4805&lt;1990,D4805&gt;=1980),"80",AND(D4805&lt;2000,D4805&gt;=1990),"90",AND(D4805&lt;2010,D4805&gt;=2000),"00",AND(D4805&lt;=2019,D4805&gt;=2010),"10"),"1908-1970")</f>
        <v>10</v>
      </c>
      <c r="F4805" s="3">
        <v>0.70833333333333337</v>
      </c>
      <c r="G4805" t="s">
        <v>27237</v>
      </c>
      <c r="H4805" t="s">
        <v>27238</v>
      </c>
      <c r="I4805">
        <v>1600</v>
      </c>
      <c r="J4805" t="s">
        <v>27239</v>
      </c>
      <c r="K4805" t="s">
        <v>22846</v>
      </c>
      <c r="L4805" s="7" t="s">
        <v>27240</v>
      </c>
      <c r="M4805">
        <v>125</v>
      </c>
      <c r="N4805">
        <v>32</v>
      </c>
      <c r="O4805">
        <v>28</v>
      </c>
      <c r="P4805">
        <v>4</v>
      </c>
      <c r="Q4805">
        <v>28</v>
      </c>
      <c r="R4805">
        <v>26</v>
      </c>
      <c r="S4805">
        <v>2</v>
      </c>
      <c r="T4805">
        <v>0</v>
      </c>
      <c r="U4805" t="s">
        <v>27241</v>
      </c>
      <c r="V4805">
        <f>Tabla1[[#This Row],[Aboard]]-Tabla1[[#This Row],[Fatalities]]</f>
        <v>4</v>
      </c>
      <c r="W4805" s="50">
        <f>IFERROR(Tabla1[[#This Row],[Fatalities]]/Tabla1[[#This Row],[Aboard]],0)</f>
        <v>0.875</v>
      </c>
      <c r="X4805" s="51" t="str" cm="1">
        <f t="array" ref="X4805">_xlfn.IFS(Tabla1[[#This Row],[Porcentaje de muertes]]&lt;0.35,"LEVE",AND(Tabla1[[#This Row],[Porcentaje de muertes]]&gt;0.35,Tabla1[[#This Row],[Porcentaje de muertes]]&lt;0.65),"MEDIO",Tabla1[[#This Row],[Porcentaje de muertes]]&gt;0.65,"GRAVE")</f>
        <v>GRAVE</v>
      </c>
    </row>
    <row r="4806" spans="2:24" x14ac:dyDescent="0.3">
      <c r="B4806" s="9">
        <v>4807</v>
      </c>
      <c r="C4806" s="49">
        <v>40843</v>
      </c>
      <c r="D4806" s="9">
        <f>YEAR(Tabla1[[#This Row],[Date]])</f>
        <v>2011</v>
      </c>
      <c r="E4806" s="9" t="str" cm="1">
        <f t="array" ref="E4806">IFERROR(_xlfn.IFS(AND(D4806&lt;1980,D4806&gt;=1970),"70",AND(D4806&lt;1990,D4806&gt;=1980),"80",AND(D4806&lt;2000,D4806&gt;=1990),"90",AND(D4806&lt;2010,D4806&gt;=2000),"00",AND(D4806&lt;=2019,D4806&gt;=2010),"10"),"1908-1970")</f>
        <v>10</v>
      </c>
      <c r="F4806" s="3">
        <v>0.17500000000000002</v>
      </c>
      <c r="G4806" t="s">
        <v>27242</v>
      </c>
      <c r="H4806" t="s">
        <v>27243</v>
      </c>
      <c r="I4806" t="s">
        <v>28931</v>
      </c>
      <c r="J4806" t="s">
        <v>27244</v>
      </c>
      <c r="K4806" t="s">
        <v>27245</v>
      </c>
      <c r="L4806" s="7" t="s">
        <v>27246</v>
      </c>
      <c r="M4806" t="s">
        <v>27247</v>
      </c>
      <c r="N4806">
        <v>9</v>
      </c>
      <c r="O4806">
        <v>7</v>
      </c>
      <c r="P4806">
        <v>2</v>
      </c>
      <c r="Q4806">
        <v>1</v>
      </c>
      <c r="R4806">
        <v>0</v>
      </c>
      <c r="S4806">
        <v>1</v>
      </c>
      <c r="T4806">
        <v>0</v>
      </c>
      <c r="U4806" t="s">
        <v>27248</v>
      </c>
      <c r="V4806">
        <f>Tabla1[[#This Row],[Aboard]]-Tabla1[[#This Row],[Fatalities]]</f>
        <v>8</v>
      </c>
      <c r="W4806" s="50">
        <f>IFERROR(Tabla1[[#This Row],[Fatalities]]/Tabla1[[#This Row],[Aboard]],0)</f>
        <v>0.1111111111111111</v>
      </c>
      <c r="X4806" s="51" t="str" cm="1">
        <f t="array" ref="X4806">_xlfn.IFS(Tabla1[[#This Row],[Porcentaje de muertes]]&lt;0.35,"LEVE",AND(Tabla1[[#This Row],[Porcentaje de muertes]]&gt;0.35,Tabla1[[#This Row],[Porcentaje de muertes]]&lt;0.65),"MEDIO",Tabla1[[#This Row],[Porcentaje de muertes]]&gt;0.65,"GRAVE")</f>
        <v>LEVE</v>
      </c>
    </row>
    <row r="4807" spans="2:24" x14ac:dyDescent="0.3">
      <c r="B4807" s="9">
        <v>4808</v>
      </c>
      <c r="C4807" s="49">
        <v>40827</v>
      </c>
      <c r="D4807" s="9">
        <f>YEAR(Tabla1[[#This Row],[Date]])</f>
        <v>2011</v>
      </c>
      <c r="E4807" s="9" t="str" cm="1">
        <f t="array" ref="E4807">IFERROR(_xlfn.IFS(AND(D4807&lt;1980,D4807&gt;=1970),"70",AND(D4807&lt;1990,D4807&gt;=1980),"80",AND(D4807&lt;2000,D4807&gt;=1990),"90",AND(D4807&lt;2010,D4807&gt;=2000),"00",AND(D4807&lt;=2019,D4807&gt;=2010),"10"),"1908-1970")</f>
        <v>10</v>
      </c>
      <c r="F4807" s="3">
        <v>0.50972222222222219</v>
      </c>
      <c r="G4807" t="s">
        <v>27249</v>
      </c>
      <c r="H4807" t="s">
        <v>27250</v>
      </c>
      <c r="I4807" t="s">
        <v>28931</v>
      </c>
      <c r="J4807" t="s">
        <v>5494</v>
      </c>
      <c r="K4807" t="s">
        <v>27251</v>
      </c>
      <c r="L4807" s="7" t="s">
        <v>27252</v>
      </c>
      <c r="M4807">
        <v>4909</v>
      </c>
      <c r="N4807">
        <v>5</v>
      </c>
      <c r="O4807">
        <v>4</v>
      </c>
      <c r="P4807">
        <v>1</v>
      </c>
      <c r="Q4807">
        <v>5</v>
      </c>
      <c r="R4807">
        <v>4</v>
      </c>
      <c r="S4807">
        <v>1</v>
      </c>
      <c r="T4807">
        <v>0</v>
      </c>
      <c r="U4807" t="s">
        <v>27253</v>
      </c>
      <c r="V4807">
        <f>Tabla1[[#This Row],[Aboard]]-Tabla1[[#This Row],[Fatalities]]</f>
        <v>0</v>
      </c>
      <c r="W4807" s="50">
        <f>IFERROR(Tabla1[[#This Row],[Fatalities]]/Tabla1[[#This Row],[Aboard]],0)</f>
        <v>1</v>
      </c>
      <c r="X4807" s="51" t="str" cm="1">
        <f t="array" ref="X4807">_xlfn.IFS(Tabla1[[#This Row],[Porcentaje de muertes]]&lt;0.35,"LEVE",AND(Tabla1[[#This Row],[Porcentaje de muertes]]&gt;0.35,Tabla1[[#This Row],[Porcentaje de muertes]]&lt;0.65),"MEDIO",Tabla1[[#This Row],[Porcentaje de muertes]]&gt;0.65,"GRAVE")</f>
        <v>GRAVE</v>
      </c>
    </row>
    <row r="4808" spans="2:24" x14ac:dyDescent="0.3">
      <c r="B4808" s="9">
        <v>4809</v>
      </c>
      <c r="C4808" s="49">
        <v>40858</v>
      </c>
      <c r="D4808" s="9">
        <f>YEAR(Tabla1[[#This Row],[Date]])</f>
        <v>2011</v>
      </c>
      <c r="E4808" s="9" t="str" cm="1">
        <f t="array" ref="E4808">IFERROR(_xlfn.IFS(AND(D4808&lt;1980,D4808&gt;=1970),"70",AND(D4808&lt;1990,D4808&gt;=1980),"80",AND(D4808&lt;2000,D4808&gt;=1990),"90",AND(D4808&lt;2010,D4808&gt;=2000),"00",AND(D4808&lt;=2019,D4808&gt;=2010),"10"),"1908-1970")</f>
        <v>10</v>
      </c>
      <c r="F4808" s="3">
        <v>0.37152777777777773</v>
      </c>
      <c r="G4808" t="s">
        <v>27254</v>
      </c>
      <c r="H4808" t="s">
        <v>27255</v>
      </c>
      <c r="I4808" t="s">
        <v>28931</v>
      </c>
      <c r="J4808" t="s">
        <v>27256</v>
      </c>
      <c r="K4808" t="s">
        <v>27257</v>
      </c>
      <c r="L4808" s="7" t="s">
        <v>27258</v>
      </c>
      <c r="M4808">
        <v>2127</v>
      </c>
      <c r="N4808">
        <v>8</v>
      </c>
      <c r="O4808">
        <v>7</v>
      </c>
      <c r="P4808">
        <v>1</v>
      </c>
      <c r="Q4808">
        <v>8</v>
      </c>
      <c r="R4808">
        <v>7</v>
      </c>
      <c r="S4808">
        <v>1</v>
      </c>
      <c r="T4808">
        <v>0</v>
      </c>
      <c r="U4808" t="s">
        <v>27259</v>
      </c>
      <c r="V4808">
        <f>Tabla1[[#This Row],[Aboard]]-Tabla1[[#This Row],[Fatalities]]</f>
        <v>0</v>
      </c>
      <c r="W4808" s="50">
        <f>IFERROR(Tabla1[[#This Row],[Fatalities]]/Tabla1[[#This Row],[Aboard]],0)</f>
        <v>1</v>
      </c>
      <c r="X4808" s="51" t="str" cm="1">
        <f t="array" ref="X4808">_xlfn.IFS(Tabla1[[#This Row],[Porcentaje de muertes]]&lt;0.35,"LEVE",AND(Tabla1[[#This Row],[Porcentaje de muertes]]&gt;0.35,Tabla1[[#This Row],[Porcentaje de muertes]]&lt;0.65),"MEDIO",Tabla1[[#This Row],[Porcentaje de muertes]]&gt;0.65,"GRAVE")</f>
        <v>GRAVE</v>
      </c>
    </row>
    <row r="4809" spans="2:24" x14ac:dyDescent="0.3">
      <c r="B4809" s="9">
        <v>4810</v>
      </c>
      <c r="C4809" s="49">
        <v>40736</v>
      </c>
      <c r="D4809" s="9">
        <f>YEAR(Tabla1[[#This Row],[Date]])</f>
        <v>2011</v>
      </c>
      <c r="E4809" s="9" t="str" cm="1">
        <f t="array" ref="E4809">IFERROR(_xlfn.IFS(AND(D4809&lt;1980,D4809&gt;=1970),"70",AND(D4809&lt;1990,D4809&gt;=1980),"80",AND(D4809&lt;2000,D4809&gt;=1990),"90",AND(D4809&lt;2010,D4809&gt;=2000),"00",AND(D4809&lt;=2019,D4809&gt;=2010),"10"),"1908-1970")</f>
        <v>10</v>
      </c>
      <c r="F4809" s="3">
        <v>0.69791666666666663</v>
      </c>
      <c r="G4809" t="s">
        <v>27260</v>
      </c>
      <c r="H4809" t="s">
        <v>27261</v>
      </c>
      <c r="I4809" t="s">
        <v>28931</v>
      </c>
      <c r="J4809" t="s">
        <v>5494</v>
      </c>
      <c r="K4809" t="s">
        <v>27262</v>
      </c>
      <c r="L4809" s="7" t="s">
        <v>27263</v>
      </c>
      <c r="M4809">
        <v>2300</v>
      </c>
      <c r="N4809">
        <v>5</v>
      </c>
      <c r="O4809">
        <v>4</v>
      </c>
      <c r="P4809">
        <v>1</v>
      </c>
      <c r="Q4809">
        <v>5</v>
      </c>
      <c r="R4809">
        <v>4</v>
      </c>
      <c r="S4809">
        <v>1</v>
      </c>
      <c r="T4809">
        <v>0</v>
      </c>
      <c r="U4809" t="s">
        <v>27264</v>
      </c>
      <c r="V4809">
        <f>Tabla1[[#This Row],[Aboard]]-Tabla1[[#This Row],[Fatalities]]</f>
        <v>0</v>
      </c>
      <c r="W4809" s="50">
        <f>IFERROR(Tabla1[[#This Row],[Fatalities]]/Tabla1[[#This Row],[Aboard]],0)</f>
        <v>1</v>
      </c>
      <c r="X4809" s="51" t="str" cm="1">
        <f t="array" ref="X4809">_xlfn.IFS(Tabla1[[#This Row],[Porcentaje de muertes]]&lt;0.35,"LEVE",AND(Tabla1[[#This Row],[Porcentaje de muertes]]&gt;0.35,Tabla1[[#This Row],[Porcentaje de muertes]]&lt;0.65),"MEDIO",Tabla1[[#This Row],[Porcentaje de muertes]]&gt;0.65,"GRAVE")</f>
        <v>GRAVE</v>
      </c>
    </row>
    <row r="4810" spans="2:24" x14ac:dyDescent="0.3">
      <c r="B4810" s="9">
        <v>4811</v>
      </c>
      <c r="C4810" s="49">
        <v>40903</v>
      </c>
      <c r="D4810" s="9">
        <f>YEAR(Tabla1[[#This Row],[Date]])</f>
        <v>2011</v>
      </c>
      <c r="E4810" s="9" t="str" cm="1">
        <f t="array" ref="E4810">IFERROR(_xlfn.IFS(AND(D4810&lt;1980,D4810&gt;=1970),"70",AND(D4810&lt;1990,D4810&gt;=1980),"80",AND(D4810&lt;2000,D4810&gt;=1990),"90",AND(D4810&lt;2010,D4810&gt;=2000),"00",AND(D4810&lt;=2019,D4810&gt;=2010),"10"),"1908-1970")</f>
        <v>10</v>
      </c>
      <c r="F4810" s="3">
        <v>0.24583333333333335</v>
      </c>
      <c r="G4810" t="s">
        <v>27265</v>
      </c>
      <c r="H4810" t="s">
        <v>28931</v>
      </c>
      <c r="I4810" t="s">
        <v>28931</v>
      </c>
      <c r="J4810" t="s">
        <v>27266</v>
      </c>
      <c r="K4810" t="s">
        <v>16731</v>
      </c>
      <c r="L4810" s="7" t="s">
        <v>27267</v>
      </c>
      <c r="M4810">
        <v>2636</v>
      </c>
      <c r="N4810">
        <v>3</v>
      </c>
      <c r="O4810">
        <v>2</v>
      </c>
      <c r="P4810">
        <v>1</v>
      </c>
      <c r="Q4810">
        <v>3</v>
      </c>
      <c r="R4810">
        <v>2</v>
      </c>
      <c r="S4810">
        <v>1</v>
      </c>
      <c r="T4810">
        <v>0</v>
      </c>
      <c r="U4810" t="s">
        <v>27268</v>
      </c>
      <c r="V4810">
        <f>Tabla1[[#This Row],[Aboard]]-Tabla1[[#This Row],[Fatalities]]</f>
        <v>0</v>
      </c>
      <c r="W4810" s="50">
        <f>IFERROR(Tabla1[[#This Row],[Fatalities]]/Tabla1[[#This Row],[Aboard]],0)</f>
        <v>1</v>
      </c>
      <c r="X4810" s="51" t="str" cm="1">
        <f t="array" ref="X4810">_xlfn.IFS(Tabla1[[#This Row],[Porcentaje de muertes]]&lt;0.35,"LEVE",AND(Tabla1[[#This Row],[Porcentaje de muertes]]&gt;0.35,Tabla1[[#This Row],[Porcentaje de muertes]]&lt;0.65),"MEDIO",Tabla1[[#This Row],[Porcentaje de muertes]]&gt;0.65,"GRAVE")</f>
        <v>GRAVE</v>
      </c>
    </row>
    <row r="4811" spans="2:24" x14ac:dyDescent="0.3">
      <c r="B4811" s="9">
        <v>4812</v>
      </c>
      <c r="C4811" s="49">
        <v>40938</v>
      </c>
      <c r="D4811" s="9">
        <f>YEAR(Tabla1[[#This Row],[Date]])</f>
        <v>2012</v>
      </c>
      <c r="E4811" s="9" t="str" cm="1">
        <f t="array" ref="E4811">IFERROR(_xlfn.IFS(AND(D4811&lt;1980,D4811&gt;=1970),"70",AND(D4811&lt;1990,D4811&gt;=1980),"80",AND(D4811&lt;2000,D4811&gt;=1990),"90",AND(D4811&lt;2010,D4811&gt;=2000),"00",AND(D4811&lt;=2019,D4811&gt;=2010),"10"),"1908-1970")</f>
        <v>10</v>
      </c>
      <c r="F4811" s="3">
        <v>0.36458333333333331</v>
      </c>
      <c r="G4811" t="s">
        <v>27269</v>
      </c>
      <c r="H4811" t="s">
        <v>27270</v>
      </c>
      <c r="I4811" t="s">
        <v>28931</v>
      </c>
      <c r="J4811" t="s">
        <v>27271</v>
      </c>
      <c r="K4811" t="s">
        <v>22071</v>
      </c>
      <c r="L4811" s="7" t="s">
        <v>27272</v>
      </c>
      <c r="M4811" t="s">
        <v>27273</v>
      </c>
      <c r="N4811">
        <v>5</v>
      </c>
      <c r="O4811">
        <v>3</v>
      </c>
      <c r="P4811">
        <v>3</v>
      </c>
      <c r="Q4811">
        <v>3</v>
      </c>
      <c r="R4811">
        <v>1</v>
      </c>
      <c r="S4811">
        <v>2</v>
      </c>
      <c r="T4811">
        <v>0</v>
      </c>
      <c r="U4811" t="s">
        <v>27274</v>
      </c>
      <c r="V4811">
        <f>Tabla1[[#This Row],[Aboard]]-Tabla1[[#This Row],[Fatalities]]</f>
        <v>2</v>
      </c>
      <c r="W4811" s="50">
        <f>IFERROR(Tabla1[[#This Row],[Fatalities]]/Tabla1[[#This Row],[Aboard]],0)</f>
        <v>0.6</v>
      </c>
      <c r="X4811" s="51" t="str" cm="1">
        <f t="array" ref="X4811">_xlfn.IFS(Tabla1[[#This Row],[Porcentaje de muertes]]&lt;0.35,"LEVE",AND(Tabla1[[#This Row],[Porcentaje de muertes]]&gt;0.35,Tabla1[[#This Row],[Porcentaje de muertes]]&lt;0.65),"MEDIO",Tabla1[[#This Row],[Porcentaje de muertes]]&gt;0.65,"GRAVE")</f>
        <v>MEDIO</v>
      </c>
    </row>
    <row r="4812" spans="2:24" x14ac:dyDescent="0.3">
      <c r="B4812" s="9">
        <v>4813</v>
      </c>
      <c r="C4812" s="49">
        <v>40983</v>
      </c>
      <c r="D4812" s="9">
        <f>YEAR(Tabla1[[#This Row],[Date]])</f>
        <v>2012</v>
      </c>
      <c r="E4812" s="9" t="str" cm="1">
        <f t="array" ref="E4812">IFERROR(_xlfn.IFS(AND(D4812&lt;1980,D4812&gt;=1970),"70",AND(D4812&lt;1990,D4812&gt;=1980),"80",AND(D4812&lt;2000,D4812&gt;=1990),"90",AND(D4812&lt;2010,D4812&gt;=2000),"00",AND(D4812&lt;=2019,D4812&gt;=2010),"10"),"1908-1970")</f>
        <v>10</v>
      </c>
      <c r="F4812" s="3">
        <v>0.30208333333333331</v>
      </c>
      <c r="G4812" t="s">
        <v>27275</v>
      </c>
      <c r="H4812" t="s">
        <v>27276</v>
      </c>
      <c r="I4812" t="s">
        <v>28931</v>
      </c>
      <c r="J4812" t="s">
        <v>27277</v>
      </c>
      <c r="K4812" t="s">
        <v>11455</v>
      </c>
      <c r="L4812" s="7" t="s">
        <v>27278</v>
      </c>
      <c r="M4812">
        <v>117</v>
      </c>
      <c r="N4812">
        <v>2</v>
      </c>
      <c r="O4812">
        <v>0</v>
      </c>
      <c r="P4812">
        <v>2</v>
      </c>
      <c r="Q4812">
        <v>2</v>
      </c>
      <c r="R4812">
        <v>0</v>
      </c>
      <c r="S4812">
        <v>2</v>
      </c>
      <c r="T4812">
        <v>0</v>
      </c>
      <c r="U4812" t="s">
        <v>27279</v>
      </c>
      <c r="V4812">
        <f>Tabla1[[#This Row],[Aboard]]-Tabla1[[#This Row],[Fatalities]]</f>
        <v>0</v>
      </c>
      <c r="W4812" s="50">
        <f>IFERROR(Tabla1[[#This Row],[Fatalities]]/Tabla1[[#This Row],[Aboard]],0)</f>
        <v>1</v>
      </c>
      <c r="X4812" s="51" t="str" cm="1">
        <f t="array" ref="X4812">_xlfn.IFS(Tabla1[[#This Row],[Porcentaje de muertes]]&lt;0.35,"LEVE",AND(Tabla1[[#This Row],[Porcentaje de muertes]]&gt;0.35,Tabla1[[#This Row],[Porcentaje de muertes]]&lt;0.65),"MEDIO",Tabla1[[#This Row],[Porcentaje de muertes]]&gt;0.65,"GRAVE")</f>
        <v>GRAVE</v>
      </c>
    </row>
    <row r="4813" spans="2:24" x14ac:dyDescent="0.3">
      <c r="B4813" s="9">
        <v>4814</v>
      </c>
      <c r="C4813" s="49">
        <v>40984</v>
      </c>
      <c r="D4813" s="9">
        <f>YEAR(Tabla1[[#This Row],[Date]])</f>
        <v>2012</v>
      </c>
      <c r="E4813" s="9" t="str" cm="1">
        <f t="array" ref="E4813">IFERROR(_xlfn.IFS(AND(D4813&lt;1980,D4813&gt;=1970),"70",AND(D4813&lt;1990,D4813&gt;=1980),"80",AND(D4813&lt;2000,D4813&gt;=1990),"90",AND(D4813&lt;2010,D4813&gt;=2000),"00",AND(D4813&lt;=2019,D4813&gt;=2010),"10"),"1908-1970")</f>
        <v>10</v>
      </c>
      <c r="F4813" s="3">
        <v>0.44791666666666669</v>
      </c>
      <c r="G4813" t="s">
        <v>21279</v>
      </c>
      <c r="H4813" t="s">
        <v>27280</v>
      </c>
      <c r="I4813" t="s">
        <v>28931</v>
      </c>
      <c r="J4813" t="s">
        <v>28931</v>
      </c>
      <c r="K4813" t="s">
        <v>27281</v>
      </c>
      <c r="L4813" s="7">
        <v>10981</v>
      </c>
      <c r="M4813" t="s">
        <v>28931</v>
      </c>
      <c r="N4813">
        <v>12</v>
      </c>
      <c r="O4813" t="s">
        <v>5038</v>
      </c>
      <c r="P4813" t="s">
        <v>5038</v>
      </c>
      <c r="Q4813">
        <v>12</v>
      </c>
      <c r="R4813" t="s">
        <v>5038</v>
      </c>
      <c r="S4813" t="s">
        <v>5038</v>
      </c>
      <c r="T4813">
        <v>4</v>
      </c>
      <c r="U4813" t="s">
        <v>27282</v>
      </c>
      <c r="V4813">
        <f>Tabla1[[#This Row],[Aboard]]-Tabla1[[#This Row],[Fatalities]]</f>
        <v>0</v>
      </c>
      <c r="W4813" s="50">
        <f>IFERROR(Tabla1[[#This Row],[Fatalities]]/Tabla1[[#This Row],[Aboard]],0)</f>
        <v>1</v>
      </c>
      <c r="X4813" s="51" t="str" cm="1">
        <f t="array" ref="X4813">_xlfn.IFS(Tabla1[[#This Row],[Porcentaje de muertes]]&lt;0.35,"LEVE",AND(Tabla1[[#This Row],[Porcentaje de muertes]]&gt;0.35,Tabla1[[#This Row],[Porcentaje de muertes]]&lt;0.65),"MEDIO",Tabla1[[#This Row],[Porcentaje de muertes]]&gt;0.65,"GRAVE")</f>
        <v>GRAVE</v>
      </c>
    </row>
    <row r="4814" spans="2:24" x14ac:dyDescent="0.3">
      <c r="B4814" s="9">
        <v>4815</v>
      </c>
      <c r="C4814" s="49">
        <v>40943</v>
      </c>
      <c r="D4814" s="9">
        <f>YEAR(Tabla1[[#This Row],[Date]])</f>
        <v>2012</v>
      </c>
      <c r="E4814" s="9" t="str" cm="1">
        <f t="array" ref="E4814">IFERROR(_xlfn.IFS(AND(D4814&lt;1980,D4814&gt;=1970),"70",AND(D4814&lt;1990,D4814&gt;=1980),"80",AND(D4814&lt;2000,D4814&gt;=1990),"90",AND(D4814&lt;2010,D4814&gt;=2000),"00",AND(D4814&lt;=2019,D4814&gt;=2010),"10"),"1908-1970")</f>
        <v>10</v>
      </c>
      <c r="F4814" s="3">
        <v>0.32222222222222224</v>
      </c>
      <c r="G4814" t="s">
        <v>27283</v>
      </c>
      <c r="H4814" t="s">
        <v>27284</v>
      </c>
      <c r="I4814">
        <v>120</v>
      </c>
      <c r="J4814" t="s">
        <v>27285</v>
      </c>
      <c r="K4814" t="s">
        <v>27286</v>
      </c>
      <c r="L4814" s="7" t="s">
        <v>27287</v>
      </c>
      <c r="M4814">
        <v>332</v>
      </c>
      <c r="N4814">
        <v>43</v>
      </c>
      <c r="O4814">
        <v>39</v>
      </c>
      <c r="P4814">
        <v>4</v>
      </c>
      <c r="Q4814">
        <v>33</v>
      </c>
      <c r="R4814">
        <v>29</v>
      </c>
      <c r="S4814">
        <v>4</v>
      </c>
      <c r="T4814">
        <v>0</v>
      </c>
      <c r="U4814" t="s">
        <v>27288</v>
      </c>
      <c r="V4814">
        <f>Tabla1[[#This Row],[Aboard]]-Tabla1[[#This Row],[Fatalities]]</f>
        <v>10</v>
      </c>
      <c r="W4814" s="50">
        <f>IFERROR(Tabla1[[#This Row],[Fatalities]]/Tabla1[[#This Row],[Aboard]],0)</f>
        <v>0.76744186046511631</v>
      </c>
      <c r="X4814" s="51" t="str" cm="1">
        <f t="array" ref="X4814">_xlfn.IFS(Tabla1[[#This Row],[Porcentaje de muertes]]&lt;0.35,"LEVE",AND(Tabla1[[#This Row],[Porcentaje de muertes]]&gt;0.35,Tabla1[[#This Row],[Porcentaje de muertes]]&lt;0.65),"MEDIO",Tabla1[[#This Row],[Porcentaje de muertes]]&gt;0.65,"GRAVE")</f>
        <v>GRAVE</v>
      </c>
    </row>
    <row r="4815" spans="2:24" x14ac:dyDescent="0.3">
      <c r="B4815" s="9">
        <v>4816</v>
      </c>
      <c r="C4815" s="49">
        <v>41019</v>
      </c>
      <c r="D4815" s="9">
        <f>YEAR(Tabla1[[#This Row],[Date]])</f>
        <v>2012</v>
      </c>
      <c r="E4815" s="9" t="str" cm="1">
        <f t="array" ref="E4815">IFERROR(_xlfn.IFS(AND(D4815&lt;1980,D4815&gt;=1970),"70",AND(D4815&lt;1990,D4815&gt;=1980),"80",AND(D4815&lt;2000,D4815&gt;=1990),"90",AND(D4815&lt;2010,D4815&gt;=2000),"00",AND(D4815&lt;=2019,D4815&gt;=2010),"10"),"1908-1970")</f>
        <v>10</v>
      </c>
      <c r="F4815" s="3">
        <v>0.77777777777777779</v>
      </c>
      <c r="G4815" t="s">
        <v>15929</v>
      </c>
      <c r="H4815" t="s">
        <v>27289</v>
      </c>
      <c r="I4815">
        <v>213</v>
      </c>
      <c r="J4815" t="s">
        <v>26947</v>
      </c>
      <c r="K4815" t="s">
        <v>27290</v>
      </c>
      <c r="L4815" s="7" t="s">
        <v>27291</v>
      </c>
      <c r="M4815" t="s">
        <v>27292</v>
      </c>
      <c r="N4815">
        <v>127</v>
      </c>
      <c r="O4815">
        <v>121</v>
      </c>
      <c r="P4815">
        <v>6</v>
      </c>
      <c r="Q4815">
        <v>127</v>
      </c>
      <c r="R4815">
        <v>121</v>
      </c>
      <c r="S4815">
        <v>6</v>
      </c>
      <c r="T4815">
        <v>0</v>
      </c>
      <c r="U4815" t="s">
        <v>27293</v>
      </c>
      <c r="V4815">
        <f>Tabla1[[#This Row],[Aboard]]-Tabla1[[#This Row],[Fatalities]]</f>
        <v>0</v>
      </c>
      <c r="W4815" s="50">
        <f>IFERROR(Tabla1[[#This Row],[Fatalities]]/Tabla1[[#This Row],[Aboard]],0)</f>
        <v>1</v>
      </c>
      <c r="X4815" s="51" t="str" cm="1">
        <f t="array" ref="X4815">_xlfn.IFS(Tabla1[[#This Row],[Porcentaje de muertes]]&lt;0.35,"LEVE",AND(Tabla1[[#This Row],[Porcentaje de muertes]]&gt;0.35,Tabla1[[#This Row],[Porcentaje de muertes]]&lt;0.65),"MEDIO",Tabla1[[#This Row],[Porcentaje de muertes]]&gt;0.65,"GRAVE")</f>
        <v>GRAVE</v>
      </c>
    </row>
    <row r="4816" spans="2:24" x14ac:dyDescent="0.3">
      <c r="B4816" s="9">
        <v>4817</v>
      </c>
      <c r="C4816" s="49">
        <v>41029</v>
      </c>
      <c r="D4816" s="9">
        <f>YEAR(Tabla1[[#This Row],[Date]])</f>
        <v>2012</v>
      </c>
      <c r="E4816" s="9" t="str" cm="1">
        <f t="array" ref="E4816">IFERROR(_xlfn.IFS(AND(D4816&lt;1980,D4816&gt;=1970),"70",AND(D4816&lt;1990,D4816&gt;=1980),"80",AND(D4816&lt;2000,D4816&gt;=1990),"90",AND(D4816&lt;2010,D4816&gt;=2000),"00",AND(D4816&lt;=2019,D4816&gt;=2010),"10"),"1908-1970")</f>
        <v>10</v>
      </c>
      <c r="F4816" s="3">
        <v>0.6875</v>
      </c>
      <c r="G4816" t="s">
        <v>27294</v>
      </c>
      <c r="H4816" t="s">
        <v>27295</v>
      </c>
      <c r="I4816" t="s">
        <v>28931</v>
      </c>
      <c r="J4816" t="s">
        <v>27296</v>
      </c>
      <c r="K4816" t="s">
        <v>17471</v>
      </c>
      <c r="L4816" s="7" t="s">
        <v>27297</v>
      </c>
      <c r="M4816">
        <v>31272</v>
      </c>
      <c r="N4816">
        <v>13</v>
      </c>
      <c r="O4816">
        <v>11</v>
      </c>
      <c r="P4816">
        <v>2</v>
      </c>
      <c r="Q4816">
        <v>13</v>
      </c>
      <c r="R4816">
        <v>11</v>
      </c>
      <c r="S4816">
        <v>2</v>
      </c>
      <c r="T4816">
        <v>0</v>
      </c>
      <c r="U4816" t="s">
        <v>27298</v>
      </c>
      <c r="V4816">
        <f>Tabla1[[#This Row],[Aboard]]-Tabla1[[#This Row],[Fatalities]]</f>
        <v>0</v>
      </c>
      <c r="W4816" s="50">
        <f>IFERROR(Tabla1[[#This Row],[Fatalities]]/Tabla1[[#This Row],[Aboard]],0)</f>
        <v>1</v>
      </c>
      <c r="X4816" s="51" t="str" cm="1">
        <f t="array" ref="X4816">_xlfn.IFS(Tabla1[[#This Row],[Porcentaje de muertes]]&lt;0.35,"LEVE",AND(Tabla1[[#This Row],[Porcentaje de muertes]]&gt;0.35,Tabla1[[#This Row],[Porcentaje de muertes]]&lt;0.65),"MEDIO",Tabla1[[#This Row],[Porcentaje de muertes]]&gt;0.65,"GRAVE")</f>
        <v>GRAVE</v>
      </c>
    </row>
    <row r="4817" spans="2:24" x14ac:dyDescent="0.3">
      <c r="B4817" s="9">
        <v>4818</v>
      </c>
      <c r="C4817" s="49">
        <v>41157</v>
      </c>
      <c r="D4817" s="9">
        <f>YEAR(Tabla1[[#This Row],[Date]])</f>
        <v>2012</v>
      </c>
      <c r="E4817" s="9" t="str" cm="1">
        <f t="array" ref="E4817">IFERROR(_xlfn.IFS(AND(D4817&lt;1980,D4817&gt;=1970),"70",AND(D4817&lt;1990,D4817&gt;=1980),"80",AND(D4817&lt;2000,D4817&gt;=1990),"90",AND(D4817&lt;2010,D4817&gt;=2000),"00",AND(D4817&lt;=2019,D4817&gt;=2010),"10"),"1908-1970")</f>
        <v>10</v>
      </c>
      <c r="F4817" s="3">
        <v>0.64583333333333337</v>
      </c>
      <c r="G4817" t="s">
        <v>27299</v>
      </c>
      <c r="H4817" t="s">
        <v>27300</v>
      </c>
      <c r="I4817">
        <v>36801</v>
      </c>
      <c r="J4817" t="s">
        <v>27301</v>
      </c>
      <c r="K4817" t="s">
        <v>27302</v>
      </c>
      <c r="L4817" s="7" t="s">
        <v>27303</v>
      </c>
      <c r="M4817">
        <v>95004</v>
      </c>
      <c r="N4817">
        <v>45</v>
      </c>
      <c r="O4817">
        <v>39</v>
      </c>
      <c r="P4817">
        <v>6</v>
      </c>
      <c r="Q4817">
        <v>45</v>
      </c>
      <c r="R4817">
        <v>39</v>
      </c>
      <c r="S4817">
        <v>6</v>
      </c>
      <c r="T4817">
        <v>0</v>
      </c>
      <c r="U4817" t="s">
        <v>27304</v>
      </c>
      <c r="V4817">
        <f>Tabla1[[#This Row],[Aboard]]-Tabla1[[#This Row],[Fatalities]]</f>
        <v>0</v>
      </c>
      <c r="W4817" s="50">
        <f>IFERROR(Tabla1[[#This Row],[Fatalities]]/Tabla1[[#This Row],[Aboard]],0)</f>
        <v>1</v>
      </c>
      <c r="X4817" s="51" t="str" cm="1">
        <f t="array" ref="X4817">_xlfn.IFS(Tabla1[[#This Row],[Porcentaje de muertes]]&lt;0.35,"LEVE",AND(Tabla1[[#This Row],[Porcentaje de muertes]]&gt;0.35,Tabla1[[#This Row],[Porcentaje de muertes]]&lt;0.65),"MEDIO",Tabla1[[#This Row],[Porcentaje de muertes]]&gt;0.65,"GRAVE")</f>
        <v>GRAVE</v>
      </c>
    </row>
    <row r="4818" spans="2:24" x14ac:dyDescent="0.3">
      <c r="B4818" s="9">
        <v>4819</v>
      </c>
      <c r="C4818" s="49">
        <v>41043</v>
      </c>
      <c r="D4818" s="9">
        <f>YEAR(Tabla1[[#This Row],[Date]])</f>
        <v>2012</v>
      </c>
      <c r="E4818" s="9" t="str" cm="1">
        <f t="array" ref="E4818">IFERROR(_xlfn.IFS(AND(D4818&lt;1980,D4818&gt;=1970),"70",AND(D4818&lt;1990,D4818&gt;=1980),"80",AND(D4818&lt;2000,D4818&gt;=1990),"90",AND(D4818&lt;2010,D4818&gt;=2000),"00",AND(D4818&lt;=2019,D4818&gt;=2010),"10"),"1908-1970")</f>
        <v>10</v>
      </c>
      <c r="F4818" s="3">
        <v>0.38541666666666669</v>
      </c>
      <c r="G4818" t="s">
        <v>27305</v>
      </c>
      <c r="H4818" t="s">
        <v>27306</v>
      </c>
      <c r="I4818" t="s">
        <v>28931</v>
      </c>
      <c r="J4818" t="s">
        <v>27307</v>
      </c>
      <c r="K4818" t="s">
        <v>23133</v>
      </c>
      <c r="L4818" s="7" t="s">
        <v>27308</v>
      </c>
      <c r="M4818">
        <v>8216</v>
      </c>
      <c r="N4818">
        <v>21</v>
      </c>
      <c r="O4818">
        <v>18</v>
      </c>
      <c r="P4818">
        <v>3</v>
      </c>
      <c r="Q4818">
        <v>15</v>
      </c>
      <c r="R4818">
        <v>13</v>
      </c>
      <c r="S4818">
        <v>2</v>
      </c>
      <c r="T4818">
        <v>0</v>
      </c>
      <c r="U4818" t="s">
        <v>27309</v>
      </c>
      <c r="V4818">
        <f>Tabla1[[#This Row],[Aboard]]-Tabla1[[#This Row],[Fatalities]]</f>
        <v>6</v>
      </c>
      <c r="W4818" s="50">
        <f>IFERROR(Tabla1[[#This Row],[Fatalities]]/Tabla1[[#This Row],[Aboard]],0)</f>
        <v>0.7142857142857143</v>
      </c>
      <c r="X4818" s="51" t="str" cm="1">
        <f t="array" ref="X4818">_xlfn.IFS(Tabla1[[#This Row],[Porcentaje de muertes]]&lt;0.35,"LEVE",AND(Tabla1[[#This Row],[Porcentaje de muertes]]&gt;0.35,Tabla1[[#This Row],[Porcentaje de muertes]]&lt;0.65),"MEDIO",Tabla1[[#This Row],[Porcentaje de muertes]]&gt;0.65,"GRAVE")</f>
        <v>GRAVE</v>
      </c>
    </row>
    <row r="4819" spans="2:24" x14ac:dyDescent="0.3">
      <c r="B4819" s="9">
        <v>4820</v>
      </c>
      <c r="C4819" s="49">
        <v>40945</v>
      </c>
      <c r="D4819" s="9">
        <f>YEAR(Tabla1[[#This Row],[Date]])</f>
        <v>2012</v>
      </c>
      <c r="E4819" s="9" t="str" cm="1">
        <f t="array" ref="E4819">IFERROR(_xlfn.IFS(AND(D4819&lt;1980,D4819&gt;=1970),"70",AND(D4819&lt;1990,D4819&gt;=1980),"80",AND(D4819&lt;2000,D4819&gt;=1990),"90",AND(D4819&lt;2010,D4819&gt;=2000),"00",AND(D4819&lt;=2019,D4819&gt;=2010),"10"),"1908-1970")</f>
        <v>10</v>
      </c>
      <c r="F4819" s="3">
        <v>0.64583333333333337</v>
      </c>
      <c r="G4819" t="s">
        <v>24381</v>
      </c>
      <c r="H4819" t="s">
        <v>27310</v>
      </c>
      <c r="I4819">
        <v>111</v>
      </c>
      <c r="J4819" t="s">
        <v>27311</v>
      </c>
      <c r="K4819" t="s">
        <v>27312</v>
      </c>
      <c r="L4819" s="7" t="s">
        <v>27313</v>
      </c>
      <c r="M4819" t="s">
        <v>27314</v>
      </c>
      <c r="N4819">
        <v>4</v>
      </c>
      <c r="O4819">
        <v>0</v>
      </c>
      <c r="P4819">
        <v>4</v>
      </c>
      <c r="Q4819">
        <v>0</v>
      </c>
      <c r="R4819">
        <v>0</v>
      </c>
      <c r="S4819">
        <v>4</v>
      </c>
      <c r="T4819">
        <v>12</v>
      </c>
      <c r="U4819" t="s">
        <v>27315</v>
      </c>
      <c r="V4819">
        <f>Tabla1[[#This Row],[Aboard]]-Tabla1[[#This Row],[Fatalities]]</f>
        <v>4</v>
      </c>
      <c r="W4819" s="50">
        <f>IFERROR(Tabla1[[#This Row],[Fatalities]]/Tabla1[[#This Row],[Aboard]],0)</f>
        <v>0</v>
      </c>
      <c r="X4819" s="51" t="str" cm="1">
        <f t="array" ref="X4819">_xlfn.IFS(Tabla1[[#This Row],[Porcentaje de muertes]]&lt;0.35,"LEVE",AND(Tabla1[[#This Row],[Porcentaje de muertes]]&gt;0.35,Tabla1[[#This Row],[Porcentaje de muertes]]&lt;0.65),"MEDIO",Tabla1[[#This Row],[Porcentaje de muertes]]&gt;0.65,"GRAVE")</f>
        <v>LEVE</v>
      </c>
    </row>
    <row r="4820" spans="2:24" x14ac:dyDescent="0.3">
      <c r="B4820" s="9">
        <v>4821</v>
      </c>
      <c r="C4820" s="49">
        <v>40974</v>
      </c>
      <c r="D4820" s="9">
        <f>YEAR(Tabla1[[#This Row],[Date]])</f>
        <v>2012</v>
      </c>
      <c r="E4820" s="9" t="str" cm="1">
        <f t="array" ref="E4820">IFERROR(_xlfn.IFS(AND(D4820&lt;1980,D4820&gt;=1970),"70",AND(D4820&lt;1990,D4820&gt;=1980),"80",AND(D4820&lt;2000,D4820&gt;=1990),"90",AND(D4820&lt;2010,D4820&gt;=2000),"00",AND(D4820&lt;=2019,D4820&gt;=2010),"10"),"1908-1970")</f>
        <v>10</v>
      </c>
      <c r="F4820" s="3">
        <v>0.69791666666666663</v>
      </c>
      <c r="G4820" t="s">
        <v>22797</v>
      </c>
      <c r="H4820" t="s">
        <v>27316</v>
      </c>
      <c r="I4820">
        <v>992</v>
      </c>
      <c r="J4820" t="s">
        <v>27317</v>
      </c>
      <c r="K4820" t="s">
        <v>24268</v>
      </c>
      <c r="L4820" s="7" t="s">
        <v>27318</v>
      </c>
      <c r="M4820" t="s">
        <v>27319</v>
      </c>
      <c r="N4820">
        <v>153</v>
      </c>
      <c r="O4820">
        <v>146</v>
      </c>
      <c r="P4820">
        <v>7</v>
      </c>
      <c r="Q4820">
        <v>153</v>
      </c>
      <c r="R4820">
        <v>146</v>
      </c>
      <c r="S4820">
        <v>7</v>
      </c>
      <c r="T4820">
        <v>10</v>
      </c>
      <c r="U4820" t="s">
        <v>27320</v>
      </c>
      <c r="V4820">
        <f>Tabla1[[#This Row],[Aboard]]-Tabla1[[#This Row],[Fatalities]]</f>
        <v>0</v>
      </c>
      <c r="W4820" s="50">
        <f>IFERROR(Tabla1[[#This Row],[Fatalities]]/Tabla1[[#This Row],[Aboard]],0)</f>
        <v>1</v>
      </c>
      <c r="X4820" s="51" t="str" cm="1">
        <f t="array" ref="X4820">_xlfn.IFS(Tabla1[[#This Row],[Porcentaje de muertes]]&lt;0.35,"LEVE",AND(Tabla1[[#This Row],[Porcentaje de muertes]]&gt;0.35,Tabla1[[#This Row],[Porcentaje de muertes]]&lt;0.65),"MEDIO",Tabla1[[#This Row],[Porcentaje de muertes]]&gt;0.65,"GRAVE")</f>
        <v>GRAVE</v>
      </c>
    </row>
    <row r="4821" spans="2:24" x14ac:dyDescent="0.3">
      <c r="B4821" s="9">
        <v>4822</v>
      </c>
      <c r="C4821" s="49">
        <v>41066</v>
      </c>
      <c r="D4821" s="9">
        <f>YEAR(Tabla1[[#This Row],[Date]])</f>
        <v>2012</v>
      </c>
      <c r="E4821" s="9" t="str" cm="1">
        <f t="array" ref="E4821">IFERROR(_xlfn.IFS(AND(D4821&lt;1980,D4821&gt;=1970),"70",AND(D4821&lt;1990,D4821&gt;=1980),"80",AND(D4821&lt;2000,D4821&gt;=1990),"90",AND(D4821&lt;2010,D4821&gt;=2000),"00",AND(D4821&lt;=2019,D4821&gt;=2010),"10"),"1908-1970")</f>
        <v>10</v>
      </c>
      <c r="F4821" s="3" t="s">
        <v>28931</v>
      </c>
      <c r="G4821" t="s">
        <v>27321</v>
      </c>
      <c r="H4821" t="s">
        <v>27322</v>
      </c>
      <c r="I4821" t="s">
        <v>28931</v>
      </c>
      <c r="J4821" t="s">
        <v>27323</v>
      </c>
      <c r="K4821" t="s">
        <v>27324</v>
      </c>
      <c r="L4821" s="7" t="s">
        <v>27325</v>
      </c>
      <c r="M4821">
        <v>581672</v>
      </c>
      <c r="N4821">
        <v>14</v>
      </c>
      <c r="O4821">
        <v>12</v>
      </c>
      <c r="P4821">
        <v>2</v>
      </c>
      <c r="Q4821">
        <v>14</v>
      </c>
      <c r="R4821">
        <v>12</v>
      </c>
      <c r="S4821">
        <v>2</v>
      </c>
      <c r="T4821">
        <v>0</v>
      </c>
      <c r="U4821" t="s">
        <v>27326</v>
      </c>
      <c r="V4821">
        <f>Tabla1[[#This Row],[Aboard]]-Tabla1[[#This Row],[Fatalities]]</f>
        <v>0</v>
      </c>
      <c r="W4821" s="50">
        <f>IFERROR(Tabla1[[#This Row],[Fatalities]]/Tabla1[[#This Row],[Aboard]],0)</f>
        <v>1</v>
      </c>
      <c r="X4821" s="51" t="str" cm="1">
        <f t="array" ref="X4821">_xlfn.IFS(Tabla1[[#This Row],[Porcentaje de muertes]]&lt;0.35,"LEVE",AND(Tabla1[[#This Row],[Porcentaje de muertes]]&gt;0.35,Tabla1[[#This Row],[Porcentaje de muertes]]&lt;0.65),"MEDIO",Tabla1[[#This Row],[Porcentaje de muertes]]&gt;0.65,"GRAVE")</f>
        <v>GRAVE</v>
      </c>
    </row>
    <row r="4822" spans="2:24" x14ac:dyDescent="0.3">
      <c r="B4822" s="9">
        <v>4823</v>
      </c>
      <c r="C4822" s="49">
        <v>41219</v>
      </c>
      <c r="D4822" s="9">
        <f>YEAR(Tabla1[[#This Row],[Date]])</f>
        <v>2012</v>
      </c>
      <c r="E4822" s="9" t="str" cm="1">
        <f t="array" ref="E4822">IFERROR(_xlfn.IFS(AND(D4822&lt;1980,D4822&gt;=1970),"70",AND(D4822&lt;1990,D4822&gt;=1980),"80",AND(D4822&lt;2000,D4822&gt;=1990),"90",AND(D4822&lt;2010,D4822&gt;=2000),"00",AND(D4822&lt;=2019,D4822&gt;=2010),"10"),"1908-1970")</f>
        <v>10</v>
      </c>
      <c r="F4822" s="3" t="s">
        <v>28931</v>
      </c>
      <c r="G4822" t="s">
        <v>27327</v>
      </c>
      <c r="H4822" t="s">
        <v>27328</v>
      </c>
      <c r="I4822" t="s">
        <v>28931</v>
      </c>
      <c r="J4822" t="s">
        <v>28931</v>
      </c>
      <c r="K4822" t="s">
        <v>22899</v>
      </c>
      <c r="L4822" s="7" t="s">
        <v>27329</v>
      </c>
      <c r="M4822" t="s">
        <v>27330</v>
      </c>
      <c r="N4822">
        <v>13</v>
      </c>
      <c r="O4822">
        <v>12</v>
      </c>
      <c r="P4822">
        <v>1</v>
      </c>
      <c r="Q4822">
        <v>13</v>
      </c>
      <c r="R4822">
        <v>12</v>
      </c>
      <c r="S4822">
        <v>1</v>
      </c>
      <c r="T4822">
        <v>0</v>
      </c>
      <c r="U4822" t="s">
        <v>27331</v>
      </c>
      <c r="V4822">
        <f>Tabla1[[#This Row],[Aboard]]-Tabla1[[#This Row],[Fatalities]]</f>
        <v>0</v>
      </c>
      <c r="W4822" s="50">
        <f>IFERROR(Tabla1[[#This Row],[Fatalities]]/Tabla1[[#This Row],[Aboard]],0)</f>
        <v>1</v>
      </c>
      <c r="X4822" s="51" t="str" cm="1">
        <f t="array" ref="X4822">_xlfn.IFS(Tabla1[[#This Row],[Porcentaje de muertes]]&lt;0.35,"LEVE",AND(Tabla1[[#This Row],[Porcentaje de muertes]]&gt;0.35,Tabla1[[#This Row],[Porcentaje de muertes]]&lt;0.65),"MEDIO",Tabla1[[#This Row],[Porcentaje de muertes]]&gt;0.65,"GRAVE")</f>
        <v>GRAVE</v>
      </c>
    </row>
    <row r="4823" spans="2:24" x14ac:dyDescent="0.3">
      <c r="B4823" s="9">
        <v>4824</v>
      </c>
      <c r="C4823" s="49">
        <v>41081</v>
      </c>
      <c r="D4823" s="9">
        <f>YEAR(Tabla1[[#This Row],[Date]])</f>
        <v>2012</v>
      </c>
      <c r="E4823" s="9" t="str" cm="1">
        <f t="array" ref="E4823">IFERROR(_xlfn.IFS(AND(D4823&lt;1980,D4823&gt;=1970),"70",AND(D4823&lt;1990,D4823&gt;=1980),"80",AND(D4823&lt;2000,D4823&gt;=1990),"90",AND(D4823&lt;2010,D4823&gt;=2000),"00",AND(D4823&lt;=2019,D4823&gt;=2010),"10"),"1908-1970")</f>
        <v>10</v>
      </c>
      <c r="F4823" s="3">
        <v>0.61458333333333337</v>
      </c>
      <c r="G4823" t="s">
        <v>27332</v>
      </c>
      <c r="H4823" t="s">
        <v>19984</v>
      </c>
      <c r="I4823" t="s">
        <v>28931</v>
      </c>
      <c r="J4823" t="s">
        <v>8691</v>
      </c>
      <c r="K4823" t="s">
        <v>15897</v>
      </c>
      <c r="L4823" s="7" t="s">
        <v>27333</v>
      </c>
      <c r="M4823">
        <v>10546</v>
      </c>
      <c r="N4823">
        <v>7</v>
      </c>
      <c r="O4823">
        <v>0</v>
      </c>
      <c r="P4823">
        <v>7</v>
      </c>
      <c r="Q4823">
        <v>7</v>
      </c>
      <c r="R4823">
        <v>0</v>
      </c>
      <c r="S4823">
        <v>7</v>
      </c>
      <c r="T4823">
        <v>4</v>
      </c>
      <c r="U4823" t="s">
        <v>27334</v>
      </c>
      <c r="V4823">
        <f>Tabla1[[#This Row],[Aboard]]-Tabla1[[#This Row],[Fatalities]]</f>
        <v>0</v>
      </c>
      <c r="W4823" s="50">
        <f>IFERROR(Tabla1[[#This Row],[Fatalities]]/Tabla1[[#This Row],[Aboard]],0)</f>
        <v>1</v>
      </c>
      <c r="X4823" s="51" t="str" cm="1">
        <f t="array" ref="X4823">_xlfn.IFS(Tabla1[[#This Row],[Porcentaje de muertes]]&lt;0.35,"LEVE",AND(Tabla1[[#This Row],[Porcentaje de muertes]]&gt;0.35,Tabla1[[#This Row],[Porcentaje de muertes]]&lt;0.65),"MEDIO",Tabla1[[#This Row],[Porcentaje de muertes]]&gt;0.65,"GRAVE")</f>
        <v>GRAVE</v>
      </c>
    </row>
    <row r="4824" spans="2:24" x14ac:dyDescent="0.3">
      <c r="B4824" s="9">
        <v>4825</v>
      </c>
      <c r="C4824" s="49">
        <v>41139</v>
      </c>
      <c r="D4824" s="9">
        <f>YEAR(Tabla1[[#This Row],[Date]])</f>
        <v>2012</v>
      </c>
      <c r="E4824" s="9" t="str" cm="1">
        <f t="array" ref="E4824">IFERROR(_xlfn.IFS(AND(D4824&lt;1980,D4824&gt;=1970),"70",AND(D4824&lt;1990,D4824&gt;=1980),"80",AND(D4824&lt;2000,D4824&gt;=1990),"90",AND(D4824&lt;2010,D4824&gt;=2000),"00",AND(D4824&lt;=2019,D4824&gt;=2010),"10"),"1908-1970")</f>
        <v>10</v>
      </c>
      <c r="F4824" s="3">
        <v>0.68402777777777779</v>
      </c>
      <c r="G4824" t="s">
        <v>27335</v>
      </c>
      <c r="H4824" t="s">
        <v>27336</v>
      </c>
      <c r="I4824" t="s">
        <v>28931</v>
      </c>
      <c r="J4824" t="s">
        <v>27337</v>
      </c>
      <c r="K4824" t="s">
        <v>27338</v>
      </c>
      <c r="L4824" s="7" t="s">
        <v>27339</v>
      </c>
      <c r="M4824" t="s">
        <v>27340</v>
      </c>
      <c r="N4824">
        <v>4</v>
      </c>
      <c r="O4824">
        <v>2</v>
      </c>
      <c r="P4824">
        <v>2</v>
      </c>
      <c r="Q4824">
        <v>3</v>
      </c>
      <c r="R4824">
        <v>2</v>
      </c>
      <c r="S4824">
        <v>1</v>
      </c>
      <c r="T4824">
        <v>0</v>
      </c>
      <c r="U4824" t="s">
        <v>27341</v>
      </c>
      <c r="V4824">
        <f>Tabla1[[#This Row],[Aboard]]-Tabla1[[#This Row],[Fatalities]]</f>
        <v>1</v>
      </c>
      <c r="W4824" s="50">
        <f>IFERROR(Tabla1[[#This Row],[Fatalities]]/Tabla1[[#This Row],[Aboard]],0)</f>
        <v>0.75</v>
      </c>
      <c r="X4824" s="51" t="str" cm="1">
        <f t="array" ref="X4824">_xlfn.IFS(Tabla1[[#This Row],[Porcentaje de muertes]]&lt;0.35,"LEVE",AND(Tabla1[[#This Row],[Porcentaje de muertes]]&gt;0.35,Tabla1[[#This Row],[Porcentaje de muertes]]&lt;0.65),"MEDIO",Tabla1[[#This Row],[Porcentaje de muertes]]&gt;0.65,"GRAVE")</f>
        <v>GRAVE</v>
      </c>
    </row>
    <row r="4825" spans="2:24" x14ac:dyDescent="0.3">
      <c r="B4825" s="9">
        <v>4826</v>
      </c>
      <c r="C4825" s="49">
        <v>41140</v>
      </c>
      <c r="D4825" s="9">
        <f>YEAR(Tabla1[[#This Row],[Date]])</f>
        <v>2012</v>
      </c>
      <c r="E4825" s="9" t="str" cm="1">
        <f t="array" ref="E4825">IFERROR(_xlfn.IFS(AND(D4825&lt;1980,D4825&gt;=1970),"70",AND(D4825&lt;1990,D4825&gt;=1980),"80",AND(D4825&lt;2000,D4825&gt;=1990),"90",AND(D4825&lt;2010,D4825&gt;=2000),"00",AND(D4825&lt;=2019,D4825&gt;=2010),"10"),"1908-1970")</f>
        <v>10</v>
      </c>
      <c r="F4825" s="3">
        <v>0.33333333333333331</v>
      </c>
      <c r="G4825" t="s">
        <v>27342</v>
      </c>
      <c r="H4825" t="s">
        <v>27343</v>
      </c>
      <c r="I4825" t="s">
        <v>28931</v>
      </c>
      <c r="J4825" t="s">
        <v>27344</v>
      </c>
      <c r="K4825" t="s">
        <v>27345</v>
      </c>
      <c r="L4825" s="7" t="s">
        <v>27346</v>
      </c>
      <c r="M4825">
        <v>2606</v>
      </c>
      <c r="N4825">
        <v>32</v>
      </c>
      <c r="O4825">
        <v>26</v>
      </c>
      <c r="P4825">
        <v>6</v>
      </c>
      <c r="Q4825">
        <v>32</v>
      </c>
      <c r="R4825">
        <v>26</v>
      </c>
      <c r="S4825">
        <v>6</v>
      </c>
      <c r="T4825">
        <v>0</v>
      </c>
      <c r="U4825" t="s">
        <v>27347</v>
      </c>
      <c r="V4825">
        <f>Tabla1[[#This Row],[Aboard]]-Tabla1[[#This Row],[Fatalities]]</f>
        <v>0</v>
      </c>
      <c r="W4825" s="50">
        <f>IFERROR(Tabla1[[#This Row],[Fatalities]]/Tabla1[[#This Row],[Aboard]],0)</f>
        <v>1</v>
      </c>
      <c r="X4825" s="51" t="str" cm="1">
        <f t="array" ref="X4825">_xlfn.IFS(Tabla1[[#This Row],[Porcentaje de muertes]]&lt;0.35,"LEVE",AND(Tabla1[[#This Row],[Porcentaje de muertes]]&gt;0.35,Tabla1[[#This Row],[Porcentaje de muertes]]&lt;0.65),"MEDIO",Tabla1[[#This Row],[Porcentaje de muertes]]&gt;0.65,"GRAVE")</f>
        <v>GRAVE</v>
      </c>
    </row>
    <row r="4826" spans="2:24" x14ac:dyDescent="0.3">
      <c r="B4826" s="9">
        <v>4827</v>
      </c>
      <c r="C4826" s="49">
        <v>41252</v>
      </c>
      <c r="D4826" s="9">
        <f>YEAR(Tabla1[[#This Row],[Date]])</f>
        <v>2012</v>
      </c>
      <c r="E4826" s="9" t="str" cm="1">
        <f t="array" ref="E4826">IFERROR(_xlfn.IFS(AND(D4826&lt;1980,D4826&gt;=1970),"70",AND(D4826&lt;1990,D4826&gt;=1980),"80",AND(D4826&lt;2000,D4826&gt;=1990),"90",AND(D4826&lt;2010,D4826&gt;=2000),"00",AND(D4826&lt;=2019,D4826&gt;=2010),"10"),"1908-1970")</f>
        <v>10</v>
      </c>
      <c r="F4826" s="3">
        <v>0.51944444444444449</v>
      </c>
      <c r="G4826" t="s">
        <v>27348</v>
      </c>
      <c r="H4826" t="s">
        <v>27349</v>
      </c>
      <c r="I4826">
        <v>261</v>
      </c>
      <c r="J4826" t="s">
        <v>27350</v>
      </c>
      <c r="K4826" t="s">
        <v>26412</v>
      </c>
      <c r="L4826" s="7" t="s">
        <v>27351</v>
      </c>
      <c r="M4826" t="s">
        <v>27352</v>
      </c>
      <c r="N4826">
        <v>14</v>
      </c>
      <c r="O4826">
        <v>12</v>
      </c>
      <c r="P4826">
        <v>2</v>
      </c>
      <c r="Q4826">
        <v>10</v>
      </c>
      <c r="R4826">
        <v>8</v>
      </c>
      <c r="S4826">
        <v>2</v>
      </c>
      <c r="T4826">
        <v>0</v>
      </c>
      <c r="U4826" t="s">
        <v>27353</v>
      </c>
      <c r="V4826">
        <f>Tabla1[[#This Row],[Aboard]]-Tabla1[[#This Row],[Fatalities]]</f>
        <v>4</v>
      </c>
      <c r="W4826" s="50">
        <f>IFERROR(Tabla1[[#This Row],[Fatalities]]/Tabla1[[#This Row],[Aboard]],0)</f>
        <v>0.7142857142857143</v>
      </c>
      <c r="X4826" s="51" t="str" cm="1">
        <f t="array" ref="X4826">_xlfn.IFS(Tabla1[[#This Row],[Porcentaje de muertes]]&lt;0.35,"LEVE",AND(Tabla1[[#This Row],[Porcentaje de muertes]]&gt;0.35,Tabla1[[#This Row],[Porcentaje de muertes]]&lt;0.65),"MEDIO",Tabla1[[#This Row],[Porcentaje de muertes]]&gt;0.65,"GRAVE")</f>
        <v>GRAVE</v>
      </c>
    </row>
    <row r="4827" spans="2:24" x14ac:dyDescent="0.3">
      <c r="B4827" s="9">
        <v>4828</v>
      </c>
      <c r="C4827" s="49">
        <v>41180</v>
      </c>
      <c r="D4827" s="9">
        <f>YEAR(Tabla1[[#This Row],[Date]])</f>
        <v>2012</v>
      </c>
      <c r="E4827" s="9" t="str" cm="1">
        <f t="array" ref="E4827">IFERROR(_xlfn.IFS(AND(D4827&lt;1980,D4827&gt;=1970),"70",AND(D4827&lt;1990,D4827&gt;=1980),"80",AND(D4827&lt;2000,D4827&gt;=1990),"90",AND(D4827&lt;2010,D4827&gt;=2000),"00",AND(D4827&lt;=2019,D4827&gt;=2010),"10"),"1908-1970")</f>
        <v>10</v>
      </c>
      <c r="F4827" s="3">
        <v>0.26041666666666669</v>
      </c>
      <c r="G4827" t="s">
        <v>11781</v>
      </c>
      <c r="H4827" t="s">
        <v>27354</v>
      </c>
      <c r="I4827" t="s">
        <v>28931</v>
      </c>
      <c r="J4827" t="s">
        <v>28931</v>
      </c>
      <c r="K4827" t="s">
        <v>27355</v>
      </c>
      <c r="L4827" s="7" t="s">
        <v>27356</v>
      </c>
      <c r="M4827">
        <v>8123</v>
      </c>
      <c r="N4827">
        <v>19</v>
      </c>
      <c r="O4827">
        <v>16</v>
      </c>
      <c r="P4827">
        <v>3</v>
      </c>
      <c r="Q4827">
        <v>19</v>
      </c>
      <c r="R4827">
        <v>16</v>
      </c>
      <c r="S4827">
        <v>3</v>
      </c>
      <c r="T4827">
        <v>0</v>
      </c>
      <c r="U4827" t="s">
        <v>27357</v>
      </c>
      <c r="V4827">
        <f>Tabla1[[#This Row],[Aboard]]-Tabla1[[#This Row],[Fatalities]]</f>
        <v>0</v>
      </c>
      <c r="W4827" s="50">
        <f>IFERROR(Tabla1[[#This Row],[Fatalities]]/Tabla1[[#This Row],[Aboard]],0)</f>
        <v>1</v>
      </c>
      <c r="X4827" s="51" t="str" cm="1">
        <f t="array" ref="X4827">_xlfn.IFS(Tabla1[[#This Row],[Porcentaje de muertes]]&lt;0.35,"LEVE",AND(Tabla1[[#This Row],[Porcentaje de muertes]]&gt;0.35,Tabla1[[#This Row],[Porcentaje de muertes]]&lt;0.65),"MEDIO",Tabla1[[#This Row],[Porcentaje de muertes]]&gt;0.65,"GRAVE")</f>
        <v>GRAVE</v>
      </c>
    </row>
    <row r="4828" spans="2:24" x14ac:dyDescent="0.3">
      <c r="B4828" s="9">
        <v>4829</v>
      </c>
      <c r="C4828" s="49">
        <v>41100</v>
      </c>
      <c r="D4828" s="9">
        <f>YEAR(Tabla1[[#This Row],[Date]])</f>
        <v>2012</v>
      </c>
      <c r="E4828" s="9" t="str" cm="1">
        <f t="array" ref="E4828">IFERROR(_xlfn.IFS(AND(D4828&lt;1980,D4828&gt;=1970),"70",AND(D4828&lt;1990,D4828&gt;=1980),"80",AND(D4828&lt;2000,D4828&gt;=1990),"90",AND(D4828&lt;2010,D4828&gt;=2000),"00",AND(D4828&lt;=2019,D4828&gt;=2010),"10"),"1908-1970")</f>
        <v>10</v>
      </c>
      <c r="F4828" s="3">
        <v>0.5</v>
      </c>
      <c r="G4828" t="s">
        <v>27358</v>
      </c>
      <c r="H4828" t="s">
        <v>23095</v>
      </c>
      <c r="I4828" t="s">
        <v>28931</v>
      </c>
      <c r="J4828" t="s">
        <v>28931</v>
      </c>
      <c r="K4828" t="s">
        <v>17862</v>
      </c>
      <c r="L4828" s="7" t="s">
        <v>27359</v>
      </c>
      <c r="M4828">
        <v>402010</v>
      </c>
      <c r="N4828">
        <v>22</v>
      </c>
      <c r="O4828">
        <v>16</v>
      </c>
      <c r="P4828">
        <v>6</v>
      </c>
      <c r="Q4828">
        <v>15</v>
      </c>
      <c r="R4828" t="s">
        <v>5038</v>
      </c>
      <c r="S4828" t="s">
        <v>5038</v>
      </c>
      <c r="T4828">
        <v>0</v>
      </c>
      <c r="U4828" t="s">
        <v>27360</v>
      </c>
      <c r="V4828">
        <f>Tabla1[[#This Row],[Aboard]]-Tabla1[[#This Row],[Fatalities]]</f>
        <v>7</v>
      </c>
      <c r="W4828" s="50">
        <f>IFERROR(Tabla1[[#This Row],[Fatalities]]/Tabla1[[#This Row],[Aboard]],0)</f>
        <v>0.68181818181818177</v>
      </c>
      <c r="X4828" s="51" t="str" cm="1">
        <f t="array" ref="X4828">_xlfn.IFS(Tabla1[[#This Row],[Porcentaje de muertes]]&lt;0.35,"LEVE",AND(Tabla1[[#This Row],[Porcentaje de muertes]]&gt;0.35,Tabla1[[#This Row],[Porcentaje de muertes]]&lt;0.65),"MEDIO",Tabla1[[#This Row],[Porcentaje de muertes]]&gt;0.65,"GRAVE")</f>
        <v>GRAVE</v>
      </c>
    </row>
    <row r="4829" spans="2:24" x14ac:dyDescent="0.3">
      <c r="B4829" s="9">
        <v>4830</v>
      </c>
      <c r="C4829" s="49">
        <v>41100</v>
      </c>
      <c r="D4829" s="9">
        <f>YEAR(Tabla1[[#This Row],[Date]])</f>
        <v>2012</v>
      </c>
      <c r="E4829" s="9" t="str" cm="1">
        <f t="array" ref="E4829">IFERROR(_xlfn.IFS(AND(D4829&lt;1980,D4829&gt;=1970),"70",AND(D4829&lt;1990,D4829&gt;=1980),"80",AND(D4829&lt;2000,D4829&gt;=1990),"90",AND(D4829&lt;2010,D4829&gt;=2000),"00",AND(D4829&lt;=2019,D4829&gt;=2010),"10"),"1908-1970")</f>
        <v>10</v>
      </c>
      <c r="F4829" s="3">
        <v>0.6777777777777777</v>
      </c>
      <c r="G4829" t="s">
        <v>27361</v>
      </c>
      <c r="H4829" t="s">
        <v>27362</v>
      </c>
      <c r="I4829">
        <v>107</v>
      </c>
      <c r="J4829" t="s">
        <v>27363</v>
      </c>
      <c r="K4829" t="s">
        <v>23168</v>
      </c>
      <c r="L4829" s="7" t="s">
        <v>27364</v>
      </c>
      <c r="M4829">
        <v>82</v>
      </c>
      <c r="N4829">
        <v>4</v>
      </c>
      <c r="O4829">
        <v>3</v>
      </c>
      <c r="P4829">
        <v>1</v>
      </c>
      <c r="Q4829">
        <v>3</v>
      </c>
      <c r="R4829">
        <v>2</v>
      </c>
      <c r="S4829">
        <v>1</v>
      </c>
      <c r="T4829">
        <v>0</v>
      </c>
      <c r="U4829" t="s">
        <v>27365</v>
      </c>
      <c r="V4829">
        <f>Tabla1[[#This Row],[Aboard]]-Tabla1[[#This Row],[Fatalities]]</f>
        <v>1</v>
      </c>
      <c r="W4829" s="50">
        <f>IFERROR(Tabla1[[#This Row],[Fatalities]]/Tabla1[[#This Row],[Aboard]],0)</f>
        <v>0.75</v>
      </c>
      <c r="X4829" s="51" t="str" cm="1">
        <f t="array" ref="X4829">_xlfn.IFS(Tabla1[[#This Row],[Porcentaje de muertes]]&lt;0.35,"LEVE",AND(Tabla1[[#This Row],[Porcentaje de muertes]]&gt;0.35,Tabla1[[#This Row],[Porcentaje de muertes]]&lt;0.65),"MEDIO",Tabla1[[#This Row],[Porcentaje de muertes]]&gt;0.65,"GRAVE")</f>
        <v>GRAVE</v>
      </c>
    </row>
    <row r="4830" spans="2:24" x14ac:dyDescent="0.3">
      <c r="B4830" s="9">
        <v>4831</v>
      </c>
      <c r="C4830" s="49">
        <v>41234</v>
      </c>
      <c r="D4830" s="9">
        <f>YEAR(Tabla1[[#This Row],[Date]])</f>
        <v>2012</v>
      </c>
      <c r="E4830" s="9" t="str" cm="1">
        <f t="array" ref="E4830">IFERROR(_xlfn.IFS(AND(D4830&lt;1980,D4830&gt;=1970),"70",AND(D4830&lt;1990,D4830&gt;=1980),"80",AND(D4830&lt;2000,D4830&gt;=1990),"90",AND(D4830&lt;2010,D4830&gt;=2000),"00",AND(D4830&lt;=2019,D4830&gt;=2010),"10"),"1908-1970")</f>
        <v>10</v>
      </c>
      <c r="F4830" s="3" t="s">
        <v>28931</v>
      </c>
      <c r="G4830" t="s">
        <v>27366</v>
      </c>
      <c r="H4830" t="s">
        <v>27367</v>
      </c>
      <c r="I4830" t="s">
        <v>28931</v>
      </c>
      <c r="J4830" t="s">
        <v>6190</v>
      </c>
      <c r="K4830" t="s">
        <v>16446</v>
      </c>
      <c r="L4830" s="7">
        <v>420</v>
      </c>
      <c r="M4830" t="s">
        <v>28931</v>
      </c>
      <c r="N4830">
        <v>10</v>
      </c>
      <c r="O4830">
        <v>0</v>
      </c>
      <c r="P4830">
        <v>10</v>
      </c>
      <c r="Q4830">
        <v>10</v>
      </c>
      <c r="R4830">
        <v>0</v>
      </c>
      <c r="S4830">
        <v>10</v>
      </c>
      <c r="T4830">
        <v>0</v>
      </c>
      <c r="U4830" t="s">
        <v>27368</v>
      </c>
      <c r="V4830">
        <f>Tabla1[[#This Row],[Aboard]]-Tabla1[[#This Row],[Fatalities]]</f>
        <v>0</v>
      </c>
      <c r="W4830" s="50">
        <f>IFERROR(Tabla1[[#This Row],[Fatalities]]/Tabla1[[#This Row],[Aboard]],0)</f>
        <v>1</v>
      </c>
      <c r="X4830" s="51" t="str" cm="1">
        <f t="array" ref="X4830">_xlfn.IFS(Tabla1[[#This Row],[Porcentaje de muertes]]&lt;0.35,"LEVE",AND(Tabla1[[#This Row],[Porcentaje de muertes]]&gt;0.35,Tabla1[[#This Row],[Porcentaje de muertes]]&lt;0.65),"MEDIO",Tabla1[[#This Row],[Porcentaje de muertes]]&gt;0.65,"GRAVE")</f>
        <v>GRAVE</v>
      </c>
    </row>
    <row r="4831" spans="2:24" x14ac:dyDescent="0.3">
      <c r="B4831" s="9">
        <v>4832</v>
      </c>
      <c r="C4831" s="49">
        <v>41243</v>
      </c>
      <c r="D4831" s="9">
        <f>YEAR(Tabla1[[#This Row],[Date]])</f>
        <v>2012</v>
      </c>
      <c r="E4831" s="9" t="str" cm="1">
        <f t="array" ref="E4831">IFERROR(_xlfn.IFS(AND(D4831&lt;1980,D4831&gt;=1970),"70",AND(D4831&lt;1990,D4831&gt;=1980),"80",AND(D4831&lt;2000,D4831&gt;=1990),"90",AND(D4831&lt;2010,D4831&gt;=2000),"00",AND(D4831&lt;=2019,D4831&gt;=2010),"10"),"1908-1970")</f>
        <v>10</v>
      </c>
      <c r="F4831" s="3">
        <v>0.74305555555555547</v>
      </c>
      <c r="G4831" t="s">
        <v>25924</v>
      </c>
      <c r="H4831" t="s">
        <v>26930</v>
      </c>
      <c r="I4831" t="s">
        <v>28931</v>
      </c>
      <c r="J4831" t="s">
        <v>26789</v>
      </c>
      <c r="K4831" t="s">
        <v>27369</v>
      </c>
      <c r="L4831" s="7" t="s">
        <v>27370</v>
      </c>
      <c r="M4831">
        <v>83410300</v>
      </c>
      <c r="N4831">
        <v>7</v>
      </c>
      <c r="O4831">
        <v>0</v>
      </c>
      <c r="P4831">
        <v>7</v>
      </c>
      <c r="Q4831">
        <v>7</v>
      </c>
      <c r="R4831">
        <v>0</v>
      </c>
      <c r="S4831">
        <v>7</v>
      </c>
      <c r="T4831">
        <v>25</v>
      </c>
      <c r="U4831" t="s">
        <v>27371</v>
      </c>
      <c r="V4831">
        <f>Tabla1[[#This Row],[Aboard]]-Tabla1[[#This Row],[Fatalities]]</f>
        <v>0</v>
      </c>
      <c r="W4831" s="50">
        <f>IFERROR(Tabla1[[#This Row],[Fatalities]]/Tabla1[[#This Row],[Aboard]],0)</f>
        <v>1</v>
      </c>
      <c r="X4831" s="51" t="str" cm="1">
        <f t="array" ref="X4831">_xlfn.IFS(Tabla1[[#This Row],[Porcentaje de muertes]]&lt;0.35,"LEVE",AND(Tabla1[[#This Row],[Porcentaje de muertes]]&gt;0.35,Tabla1[[#This Row],[Porcentaje de muertes]]&lt;0.65),"MEDIO",Tabla1[[#This Row],[Porcentaje de muertes]]&gt;0.65,"GRAVE")</f>
        <v>GRAVE</v>
      </c>
    </row>
    <row r="4832" spans="2:24" x14ac:dyDescent="0.3">
      <c r="B4832" s="9">
        <v>4833</v>
      </c>
      <c r="C4832" s="49">
        <v>41041</v>
      </c>
      <c r="D4832" s="9">
        <f>YEAR(Tabla1[[#This Row],[Date]])</f>
        <v>2012</v>
      </c>
      <c r="E4832" s="9" t="str" cm="1">
        <f t="array" ref="E4832">IFERROR(_xlfn.IFS(AND(D4832&lt;1980,D4832&gt;=1970),"70",AND(D4832&lt;1990,D4832&gt;=1980),"80",AND(D4832&lt;2000,D4832&gt;=1990),"90",AND(D4832&lt;2010,D4832&gt;=2000),"00",AND(D4832&lt;=2019,D4832&gt;=2010),"10"),"1908-1970")</f>
        <v>10</v>
      </c>
      <c r="F4832" s="3">
        <v>0.40625</v>
      </c>
      <c r="G4832" t="s">
        <v>27372</v>
      </c>
      <c r="H4832" t="s">
        <v>8387</v>
      </c>
      <c r="I4832" t="s">
        <v>28931</v>
      </c>
      <c r="J4832" t="s">
        <v>27373</v>
      </c>
      <c r="K4832" t="s">
        <v>27374</v>
      </c>
      <c r="L4832" s="7">
        <v>6840</v>
      </c>
      <c r="M4832" t="s">
        <v>27375</v>
      </c>
      <c r="N4832">
        <v>11</v>
      </c>
      <c r="O4832">
        <v>5</v>
      </c>
      <c r="P4832">
        <v>6</v>
      </c>
      <c r="Q4832">
        <v>11</v>
      </c>
      <c r="R4832">
        <v>5</v>
      </c>
      <c r="S4832">
        <v>6</v>
      </c>
      <c r="T4832">
        <v>0</v>
      </c>
      <c r="U4832" t="s">
        <v>27376</v>
      </c>
      <c r="V4832">
        <f>Tabla1[[#This Row],[Aboard]]-Tabla1[[#This Row],[Fatalities]]</f>
        <v>0</v>
      </c>
      <c r="W4832" s="50">
        <f>IFERROR(Tabla1[[#This Row],[Fatalities]]/Tabla1[[#This Row],[Aboard]],0)</f>
        <v>1</v>
      </c>
      <c r="X4832" s="51" t="str" cm="1">
        <f t="array" ref="X4832">_xlfn.IFS(Tabla1[[#This Row],[Porcentaje de muertes]]&lt;0.35,"LEVE",AND(Tabla1[[#This Row],[Porcentaje de muertes]]&gt;0.35,Tabla1[[#This Row],[Porcentaje de muertes]]&lt;0.65),"MEDIO",Tabla1[[#This Row],[Porcentaje de muertes]]&gt;0.65,"GRAVE")</f>
        <v>GRAVE</v>
      </c>
    </row>
    <row r="4833" spans="2:24" x14ac:dyDescent="0.3">
      <c r="B4833" s="9">
        <v>4834</v>
      </c>
      <c r="C4833" s="49">
        <v>41164</v>
      </c>
      <c r="D4833" s="9">
        <f>YEAR(Tabla1[[#This Row],[Date]])</f>
        <v>2012</v>
      </c>
      <c r="E4833" s="9" t="str" cm="1">
        <f t="array" ref="E4833">IFERROR(_xlfn.IFS(AND(D4833&lt;1980,D4833&gt;=1970),"70",AND(D4833&lt;1990,D4833&gt;=1980),"80",AND(D4833&lt;2000,D4833&gt;=1990),"90",AND(D4833&lt;2010,D4833&gt;=2000),"00",AND(D4833&lt;=2019,D4833&gt;=2010),"10"),"1908-1970")</f>
        <v>10</v>
      </c>
      <c r="F4833" s="3">
        <v>0.14583333333333334</v>
      </c>
      <c r="G4833" t="s">
        <v>27377</v>
      </c>
      <c r="H4833" t="s">
        <v>27378</v>
      </c>
      <c r="I4833" t="s">
        <v>28931</v>
      </c>
      <c r="J4833" t="s">
        <v>27379</v>
      </c>
      <c r="K4833" t="s">
        <v>19326</v>
      </c>
      <c r="L4833" s="7" t="s">
        <v>27380</v>
      </c>
      <c r="M4833" t="s">
        <v>27381</v>
      </c>
      <c r="N4833">
        <v>7</v>
      </c>
      <c r="O4833">
        <v>5</v>
      </c>
      <c r="P4833">
        <v>2</v>
      </c>
      <c r="Q4833">
        <v>7</v>
      </c>
      <c r="R4833">
        <v>5</v>
      </c>
      <c r="S4833">
        <v>2</v>
      </c>
      <c r="T4833">
        <v>0</v>
      </c>
      <c r="U4833" t="s">
        <v>27382</v>
      </c>
      <c r="V4833">
        <f>Tabla1[[#This Row],[Aboard]]-Tabla1[[#This Row],[Fatalities]]</f>
        <v>0</v>
      </c>
      <c r="W4833" s="50">
        <f>IFERROR(Tabla1[[#This Row],[Fatalities]]/Tabla1[[#This Row],[Aboard]],0)</f>
        <v>1</v>
      </c>
      <c r="X4833" s="51" t="str" cm="1">
        <f t="array" ref="X4833">_xlfn.IFS(Tabla1[[#This Row],[Porcentaje de muertes]]&lt;0.35,"LEVE",AND(Tabla1[[#This Row],[Porcentaje de muertes]]&gt;0.35,Tabla1[[#This Row],[Porcentaje de muertes]]&lt;0.65),"MEDIO",Tabla1[[#This Row],[Porcentaje de muertes]]&gt;0.65,"GRAVE")</f>
        <v>GRAVE</v>
      </c>
    </row>
    <row r="4834" spans="2:24" x14ac:dyDescent="0.3">
      <c r="B4834" s="9">
        <v>4835</v>
      </c>
      <c r="C4834" s="49">
        <v>41268</v>
      </c>
      <c r="D4834" s="9">
        <f>YEAR(Tabla1[[#This Row],[Date]])</f>
        <v>2012</v>
      </c>
      <c r="E4834" s="9" t="str" cm="1">
        <f t="array" ref="E4834">IFERROR(_xlfn.IFS(AND(D4834&lt;1980,D4834&gt;=1970),"70",AND(D4834&lt;1990,D4834&gt;=1980),"80",AND(D4834&lt;2000,D4834&gt;=1990),"90",AND(D4834&lt;2010,D4834&gt;=2000),"00",AND(D4834&lt;=2019,D4834&gt;=2010),"10"),"1908-1970")</f>
        <v>10</v>
      </c>
      <c r="F4834" s="3">
        <v>0.78819444444444453</v>
      </c>
      <c r="G4834" t="s">
        <v>27383</v>
      </c>
      <c r="H4834" t="s">
        <v>27384</v>
      </c>
      <c r="I4834" t="s">
        <v>28931</v>
      </c>
      <c r="J4834" t="s">
        <v>27385</v>
      </c>
      <c r="K4834" t="s">
        <v>27386</v>
      </c>
      <c r="L4834" s="7" t="s">
        <v>27387</v>
      </c>
      <c r="M4834">
        <v>36576092859</v>
      </c>
      <c r="N4834">
        <v>27</v>
      </c>
      <c r="O4834">
        <v>20</v>
      </c>
      <c r="P4834">
        <v>7</v>
      </c>
      <c r="Q4834">
        <v>27</v>
      </c>
      <c r="R4834">
        <v>20</v>
      </c>
      <c r="S4834">
        <v>7</v>
      </c>
      <c r="T4834">
        <v>0</v>
      </c>
      <c r="U4834" t="s">
        <v>27388</v>
      </c>
      <c r="V4834">
        <f>Tabla1[[#This Row],[Aboard]]-Tabla1[[#This Row],[Fatalities]]</f>
        <v>0</v>
      </c>
      <c r="W4834" s="50">
        <f>IFERROR(Tabla1[[#This Row],[Fatalities]]/Tabla1[[#This Row],[Aboard]],0)</f>
        <v>1</v>
      </c>
      <c r="X4834" s="51" t="str" cm="1">
        <f t="array" ref="X4834">_xlfn.IFS(Tabla1[[#This Row],[Porcentaje de muertes]]&lt;0.35,"LEVE",AND(Tabla1[[#This Row],[Porcentaje de muertes]]&gt;0.35,Tabla1[[#This Row],[Porcentaje de muertes]]&lt;0.65),"MEDIO",Tabla1[[#This Row],[Porcentaje de muertes]]&gt;0.65,"GRAVE")</f>
        <v>GRAVE</v>
      </c>
    </row>
    <row r="4835" spans="2:24" x14ac:dyDescent="0.3">
      <c r="B4835" s="9">
        <v>4836</v>
      </c>
      <c r="C4835" s="49">
        <v>41268</v>
      </c>
      <c r="D4835" s="9">
        <f>YEAR(Tabla1[[#This Row],[Date]])</f>
        <v>2012</v>
      </c>
      <c r="E4835" s="9" t="str" cm="1">
        <f t="array" ref="E4835">IFERROR(_xlfn.IFS(AND(D4835&lt;1980,D4835&gt;=1970),"70",AND(D4835&lt;1990,D4835&gt;=1980),"80",AND(D4835&lt;2000,D4835&gt;=1990),"90",AND(D4835&lt;2010,D4835&gt;=2000),"00",AND(D4835&lt;=2019,D4835&gt;=2010),"10"),"1908-1970")</f>
        <v>10</v>
      </c>
      <c r="F4835" s="3">
        <v>0.36805555555555558</v>
      </c>
      <c r="G4835" t="s">
        <v>27389</v>
      </c>
      <c r="H4835" t="s">
        <v>27390</v>
      </c>
      <c r="I4835" t="s">
        <v>27391</v>
      </c>
      <c r="J4835" t="s">
        <v>27392</v>
      </c>
      <c r="K4835" t="s">
        <v>22186</v>
      </c>
      <c r="L4835" s="7" t="s">
        <v>27393</v>
      </c>
      <c r="M4835">
        <v>11327</v>
      </c>
      <c r="N4835">
        <v>71</v>
      </c>
      <c r="O4835">
        <v>65</v>
      </c>
      <c r="P4835">
        <v>6</v>
      </c>
      <c r="Q4835">
        <v>1</v>
      </c>
      <c r="R4835">
        <v>0</v>
      </c>
      <c r="S4835">
        <v>1</v>
      </c>
      <c r="T4835">
        <v>1</v>
      </c>
      <c r="U4835" t="s">
        <v>27394</v>
      </c>
      <c r="V4835">
        <f>Tabla1[[#This Row],[Aboard]]-Tabla1[[#This Row],[Fatalities]]</f>
        <v>70</v>
      </c>
      <c r="W4835" s="50">
        <f>IFERROR(Tabla1[[#This Row],[Fatalities]]/Tabla1[[#This Row],[Aboard]],0)</f>
        <v>1.4084507042253521E-2</v>
      </c>
      <c r="X4835" s="51" t="str" cm="1">
        <f t="array" ref="X4835">_xlfn.IFS(Tabla1[[#This Row],[Porcentaje de muertes]]&lt;0.35,"LEVE",AND(Tabla1[[#This Row],[Porcentaje de muertes]]&gt;0.35,Tabla1[[#This Row],[Porcentaje de muertes]]&lt;0.65),"MEDIO",Tabla1[[#This Row],[Porcentaje de muertes]]&gt;0.65,"GRAVE")</f>
        <v>LEVE</v>
      </c>
    </row>
    <row r="4836" spans="2:24" x14ac:dyDescent="0.3">
      <c r="B4836" s="9">
        <v>4837</v>
      </c>
      <c r="C4836" s="49">
        <v>41272</v>
      </c>
      <c r="D4836" s="9">
        <f>YEAR(Tabla1[[#This Row],[Date]])</f>
        <v>2012</v>
      </c>
      <c r="E4836" s="9" t="str" cm="1">
        <f t="array" ref="E4836">IFERROR(_xlfn.IFS(AND(D4836&lt;1980,D4836&gt;=1970),"70",AND(D4836&lt;1990,D4836&gt;=1980),"80",AND(D4836&lt;2000,D4836&gt;=1990),"90",AND(D4836&lt;2010,D4836&gt;=2000),"00",AND(D4836&lt;=2019,D4836&gt;=2010),"10"),"1908-1970")</f>
        <v>10</v>
      </c>
      <c r="F4836" s="3">
        <v>0.68958333333333333</v>
      </c>
      <c r="G4836" t="s">
        <v>10681</v>
      </c>
      <c r="H4836" t="s">
        <v>27395</v>
      </c>
      <c r="I4836">
        <v>9268</v>
      </c>
      <c r="J4836" t="s">
        <v>27396</v>
      </c>
      <c r="K4836" t="s">
        <v>27397</v>
      </c>
      <c r="L4836" s="7" t="s">
        <v>27398</v>
      </c>
      <c r="M4836">
        <v>1450744864047</v>
      </c>
      <c r="N4836">
        <v>8</v>
      </c>
      <c r="O4836">
        <v>0</v>
      </c>
      <c r="P4836">
        <v>8</v>
      </c>
      <c r="Q4836">
        <v>5</v>
      </c>
      <c r="R4836">
        <v>0</v>
      </c>
      <c r="S4836">
        <v>5</v>
      </c>
      <c r="T4836">
        <v>0</v>
      </c>
      <c r="U4836" t="s">
        <v>27399</v>
      </c>
      <c r="V4836">
        <f>Tabla1[[#This Row],[Aboard]]-Tabla1[[#This Row],[Fatalities]]</f>
        <v>3</v>
      </c>
      <c r="W4836" s="50">
        <f>IFERROR(Tabla1[[#This Row],[Fatalities]]/Tabla1[[#This Row],[Aboard]],0)</f>
        <v>0.625</v>
      </c>
      <c r="X4836" s="51" t="str" cm="1">
        <f t="array" ref="X4836">_xlfn.IFS(Tabla1[[#This Row],[Porcentaje de muertes]]&lt;0.35,"LEVE",AND(Tabla1[[#This Row],[Porcentaje de muertes]]&gt;0.35,Tabla1[[#This Row],[Porcentaje de muertes]]&lt;0.65),"MEDIO",Tabla1[[#This Row],[Porcentaje de muertes]]&gt;0.65,"GRAVE")</f>
        <v>MEDIO</v>
      </c>
    </row>
    <row r="4837" spans="2:24" x14ac:dyDescent="0.3">
      <c r="B4837" s="9">
        <v>4838</v>
      </c>
      <c r="C4837" s="49">
        <v>41306</v>
      </c>
      <c r="D4837" s="9">
        <f>YEAR(Tabla1[[#This Row],[Date]])</f>
        <v>2013</v>
      </c>
      <c r="E4837" s="9" t="str" cm="1">
        <f t="array" ref="E4837">IFERROR(_xlfn.IFS(AND(D4837&lt;1980,D4837&gt;=1970),"70",AND(D4837&lt;1990,D4837&gt;=1980),"80",AND(D4837&lt;2000,D4837&gt;=1990),"90",AND(D4837&lt;2010,D4837&gt;=2000),"00",AND(D4837&lt;=2019,D4837&gt;=2010),"10"),"1908-1970")</f>
        <v>10</v>
      </c>
      <c r="F4837" s="3">
        <v>0.87291666666666667</v>
      </c>
      <c r="G4837" t="s">
        <v>27400</v>
      </c>
      <c r="H4837" t="s">
        <v>27401</v>
      </c>
      <c r="I4837" t="s">
        <v>28931</v>
      </c>
      <c r="J4837" t="s">
        <v>27402</v>
      </c>
      <c r="K4837" t="s">
        <v>25510</v>
      </c>
      <c r="L4837" s="7" t="s">
        <v>27403</v>
      </c>
      <c r="M4837">
        <v>53959</v>
      </c>
      <c r="N4837">
        <v>3</v>
      </c>
      <c r="O4837">
        <v>2</v>
      </c>
      <c r="P4837">
        <v>1</v>
      </c>
      <c r="Q4837">
        <v>3</v>
      </c>
      <c r="R4837">
        <v>2</v>
      </c>
      <c r="S4837">
        <v>1</v>
      </c>
      <c r="T4837">
        <v>0</v>
      </c>
      <c r="U4837" t="s">
        <v>27404</v>
      </c>
      <c r="V4837">
        <f>Tabla1[[#This Row],[Aboard]]-Tabla1[[#This Row],[Fatalities]]</f>
        <v>0</v>
      </c>
      <c r="W4837" s="50">
        <f>IFERROR(Tabla1[[#This Row],[Fatalities]]/Tabla1[[#This Row],[Aboard]],0)</f>
        <v>1</v>
      </c>
      <c r="X4837" s="51" t="str" cm="1">
        <f t="array" ref="X4837">_xlfn.IFS(Tabla1[[#This Row],[Porcentaje de muertes]]&lt;0.35,"LEVE",AND(Tabla1[[#This Row],[Porcentaje de muertes]]&gt;0.35,Tabla1[[#This Row],[Porcentaje de muertes]]&lt;0.65),"MEDIO",Tabla1[[#This Row],[Porcentaje de muertes]]&gt;0.65,"GRAVE")</f>
        <v>GRAVE</v>
      </c>
    </row>
    <row r="4838" spans="2:24" x14ac:dyDescent="0.3">
      <c r="B4838" s="9">
        <v>4839</v>
      </c>
      <c r="C4838" s="49">
        <v>41365</v>
      </c>
      <c r="D4838" s="9">
        <f>YEAR(Tabla1[[#This Row],[Date]])</f>
        <v>2013</v>
      </c>
      <c r="E4838" s="9" t="str" cm="1">
        <f t="array" ref="E4838">IFERROR(_xlfn.IFS(AND(D4838&lt;1980,D4838&gt;=1970),"70",AND(D4838&lt;1990,D4838&gt;=1980),"80",AND(D4838&lt;2000,D4838&gt;=1990),"90",AND(D4838&lt;2010,D4838&gt;=2000),"00",AND(D4838&lt;=2019,D4838&gt;=2010),"10"),"1908-1970")</f>
        <v>10</v>
      </c>
      <c r="F4838" s="3">
        <v>0.4861111111111111</v>
      </c>
      <c r="G4838" t="s">
        <v>27405</v>
      </c>
      <c r="H4838" t="s">
        <v>27406</v>
      </c>
      <c r="I4838" t="s">
        <v>28931</v>
      </c>
      <c r="J4838" t="s">
        <v>27407</v>
      </c>
      <c r="K4838" t="s">
        <v>27408</v>
      </c>
      <c r="L4838" s="7" t="s">
        <v>27409</v>
      </c>
      <c r="M4838">
        <v>20</v>
      </c>
      <c r="N4838">
        <v>6</v>
      </c>
      <c r="O4838">
        <v>5</v>
      </c>
      <c r="P4838">
        <v>1</v>
      </c>
      <c r="Q4838">
        <v>6</v>
      </c>
      <c r="R4838">
        <v>5</v>
      </c>
      <c r="S4838">
        <v>1</v>
      </c>
      <c r="T4838">
        <v>0</v>
      </c>
      <c r="U4838" t="s">
        <v>27410</v>
      </c>
      <c r="V4838">
        <f>Tabla1[[#This Row],[Aboard]]-Tabla1[[#This Row],[Fatalities]]</f>
        <v>0</v>
      </c>
      <c r="W4838" s="50">
        <f>IFERROR(Tabla1[[#This Row],[Fatalities]]/Tabla1[[#This Row],[Aboard]],0)</f>
        <v>1</v>
      </c>
      <c r="X4838" s="51" t="str" cm="1">
        <f t="array" ref="X4838">_xlfn.IFS(Tabla1[[#This Row],[Porcentaje de muertes]]&lt;0.35,"LEVE",AND(Tabla1[[#This Row],[Porcentaje de muertes]]&gt;0.35,Tabla1[[#This Row],[Porcentaje de muertes]]&lt;0.65),"MEDIO",Tabla1[[#This Row],[Porcentaje de muertes]]&gt;0.65,"GRAVE")</f>
        <v>GRAVE</v>
      </c>
    </row>
    <row r="4839" spans="2:24" x14ac:dyDescent="0.3">
      <c r="B4839" s="9">
        <v>4840</v>
      </c>
      <c r="C4839" s="49">
        <v>41303</v>
      </c>
      <c r="D4839" s="9">
        <f>YEAR(Tabla1[[#This Row],[Date]])</f>
        <v>2013</v>
      </c>
      <c r="E4839" s="9" t="str" cm="1">
        <f t="array" ref="E4839">IFERROR(_xlfn.IFS(AND(D4839&lt;1980,D4839&gt;=1970),"70",AND(D4839&lt;1990,D4839&gt;=1980),"80",AND(D4839&lt;2000,D4839&gt;=1990),"90",AND(D4839&lt;2010,D4839&gt;=2000),"00",AND(D4839&lt;=2019,D4839&gt;=2010),"10"),"1908-1970")</f>
        <v>10</v>
      </c>
      <c r="F4839" s="3">
        <v>0.55069444444444449</v>
      </c>
      <c r="G4839" t="s">
        <v>27411</v>
      </c>
      <c r="H4839" t="s">
        <v>27412</v>
      </c>
      <c r="I4839">
        <v>760</v>
      </c>
      <c r="J4839" t="s">
        <v>27413</v>
      </c>
      <c r="K4839" t="s">
        <v>26089</v>
      </c>
      <c r="L4839" s="7" t="s">
        <v>27414</v>
      </c>
      <c r="M4839">
        <v>7431</v>
      </c>
      <c r="N4839">
        <v>21</v>
      </c>
      <c r="O4839">
        <v>16</v>
      </c>
      <c r="P4839">
        <v>5</v>
      </c>
      <c r="Q4839">
        <v>21</v>
      </c>
      <c r="R4839">
        <v>16</v>
      </c>
      <c r="S4839">
        <v>5</v>
      </c>
      <c r="T4839">
        <v>0</v>
      </c>
      <c r="U4839" t="s">
        <v>27415</v>
      </c>
      <c r="V4839">
        <f>Tabla1[[#This Row],[Aboard]]-Tabla1[[#This Row],[Fatalities]]</f>
        <v>0</v>
      </c>
      <c r="W4839" s="50">
        <f>IFERROR(Tabla1[[#This Row],[Fatalities]]/Tabla1[[#This Row],[Aboard]],0)</f>
        <v>1</v>
      </c>
      <c r="X4839" s="51" t="str" cm="1">
        <f t="array" ref="X4839">_xlfn.IFS(Tabla1[[#This Row],[Porcentaje de muertes]]&lt;0.35,"LEVE",AND(Tabla1[[#This Row],[Porcentaje de muertes]]&gt;0.35,Tabla1[[#This Row],[Porcentaje de muertes]]&lt;0.65),"MEDIO",Tabla1[[#This Row],[Porcentaje de muertes]]&gt;0.65,"GRAVE")</f>
        <v>GRAVE</v>
      </c>
    </row>
    <row r="4840" spans="2:24" x14ac:dyDescent="0.3">
      <c r="B4840" s="9">
        <v>4841</v>
      </c>
      <c r="C4840" s="49">
        <v>41318</v>
      </c>
      <c r="D4840" s="9">
        <f>YEAR(Tabla1[[#This Row],[Date]])</f>
        <v>2013</v>
      </c>
      <c r="E4840" s="9" t="str" cm="1">
        <f t="array" ref="E4840">IFERROR(_xlfn.IFS(AND(D4840&lt;1980,D4840&gt;=1970),"70",AND(D4840&lt;1990,D4840&gt;=1980),"80",AND(D4840&lt;2000,D4840&gt;=1990),"90",AND(D4840&lt;2010,D4840&gt;=2000),"00",AND(D4840&lt;=2019,D4840&gt;=2010),"10"),"1908-1970")</f>
        <v>10</v>
      </c>
      <c r="F4840" s="3">
        <v>0.75624999999999998</v>
      </c>
      <c r="G4840" t="s">
        <v>27416</v>
      </c>
      <c r="H4840" t="s">
        <v>27417</v>
      </c>
      <c r="I4840">
        <v>8971</v>
      </c>
      <c r="J4840" t="s">
        <v>27418</v>
      </c>
      <c r="K4840" t="s">
        <v>17266</v>
      </c>
      <c r="L4840" s="7" t="s">
        <v>27419</v>
      </c>
      <c r="M4840">
        <v>37308709</v>
      </c>
      <c r="N4840">
        <v>45</v>
      </c>
      <c r="O4840">
        <v>41</v>
      </c>
      <c r="P4840">
        <v>4</v>
      </c>
      <c r="Q4840">
        <v>5</v>
      </c>
      <c r="R4840">
        <v>5</v>
      </c>
      <c r="S4840">
        <v>0</v>
      </c>
      <c r="T4840">
        <v>0</v>
      </c>
      <c r="U4840" t="s">
        <v>27420</v>
      </c>
      <c r="V4840">
        <f>Tabla1[[#This Row],[Aboard]]-Tabla1[[#This Row],[Fatalities]]</f>
        <v>40</v>
      </c>
      <c r="W4840" s="50">
        <f>IFERROR(Tabla1[[#This Row],[Fatalities]]/Tabla1[[#This Row],[Aboard]],0)</f>
        <v>0.1111111111111111</v>
      </c>
      <c r="X4840" s="51" t="str" cm="1">
        <f t="array" ref="X4840">_xlfn.IFS(Tabla1[[#This Row],[Porcentaje de muertes]]&lt;0.35,"LEVE",AND(Tabla1[[#This Row],[Porcentaje de muertes]]&gt;0.35,Tabla1[[#This Row],[Porcentaje de muertes]]&lt;0.65),"MEDIO",Tabla1[[#This Row],[Porcentaje de muertes]]&gt;0.65,"GRAVE")</f>
        <v>LEVE</v>
      </c>
    </row>
    <row r="4841" spans="2:24" x14ac:dyDescent="0.3">
      <c r="B4841" s="9">
        <v>4842</v>
      </c>
      <c r="C4841" s="49">
        <v>41367</v>
      </c>
      <c r="D4841" s="9">
        <f>YEAR(Tabla1[[#This Row],[Date]])</f>
        <v>2013</v>
      </c>
      <c r="E4841" s="9" t="str" cm="1">
        <f t="array" ref="E4841">IFERROR(_xlfn.IFS(AND(D4841&lt;1980,D4841&gt;=1970),"70",AND(D4841&lt;1990,D4841&gt;=1980),"80",AND(D4841&lt;2000,D4841&gt;=1990),"90",AND(D4841&lt;2010,D4841&gt;=2000),"00",AND(D4841&lt;=2019,D4841&gt;=2010),"10"),"1908-1970")</f>
        <v>10</v>
      </c>
      <c r="F4841" s="3">
        <v>0.74652777777777779</v>
      </c>
      <c r="G4841" t="s">
        <v>22115</v>
      </c>
      <c r="H4841" t="s">
        <v>27421</v>
      </c>
      <c r="I4841" t="s">
        <v>28931</v>
      </c>
      <c r="J4841" t="s">
        <v>27422</v>
      </c>
      <c r="K4841" t="s">
        <v>22957</v>
      </c>
      <c r="L4841" s="7" t="s">
        <v>27423</v>
      </c>
      <c r="M4841" t="s">
        <v>27424</v>
      </c>
      <c r="N4841">
        <v>10</v>
      </c>
      <c r="O4841">
        <v>4</v>
      </c>
      <c r="P4841">
        <v>6</v>
      </c>
      <c r="Q4841">
        <v>7</v>
      </c>
      <c r="R4841">
        <v>1</v>
      </c>
      <c r="S4841">
        <v>6</v>
      </c>
      <c r="T4841">
        <v>0</v>
      </c>
      <c r="U4841" t="s">
        <v>27425</v>
      </c>
      <c r="V4841">
        <f>Tabla1[[#This Row],[Aboard]]-Tabla1[[#This Row],[Fatalities]]</f>
        <v>3</v>
      </c>
      <c r="W4841" s="50">
        <f>IFERROR(Tabla1[[#This Row],[Fatalities]]/Tabla1[[#This Row],[Aboard]],0)</f>
        <v>0.7</v>
      </c>
      <c r="X4841" s="51" t="str" cm="1">
        <f t="array" ref="X4841">_xlfn.IFS(Tabla1[[#This Row],[Porcentaje de muertes]]&lt;0.35,"LEVE",AND(Tabla1[[#This Row],[Porcentaje de muertes]]&gt;0.35,Tabla1[[#This Row],[Porcentaje de muertes]]&lt;0.65),"MEDIO",Tabla1[[#This Row],[Porcentaje de muertes]]&gt;0.65,"GRAVE")</f>
        <v>GRAVE</v>
      </c>
    </row>
    <row r="4842" spans="2:24" x14ac:dyDescent="0.3">
      <c r="B4842" s="9">
        <v>4843</v>
      </c>
      <c r="C4842" s="49">
        <v>41489</v>
      </c>
      <c r="D4842" s="9">
        <f>YEAR(Tabla1[[#This Row],[Date]])</f>
        <v>2013</v>
      </c>
      <c r="E4842" s="9" t="str" cm="1">
        <f t="array" ref="E4842">IFERROR(_xlfn.IFS(AND(D4842&lt;1980,D4842&gt;=1970),"70",AND(D4842&lt;1990,D4842&gt;=1980),"80",AND(D4842&lt;2000,D4842&gt;=1990),"90",AND(D4842&lt;2010,D4842&gt;=2000),"00",AND(D4842&lt;=2019,D4842&gt;=2010),"10"),"1908-1970")</f>
        <v>10</v>
      </c>
      <c r="F4842" s="3">
        <v>0.34375</v>
      </c>
      <c r="G4842" t="s">
        <v>26968</v>
      </c>
      <c r="H4842" t="s">
        <v>27426</v>
      </c>
      <c r="I4842">
        <v>51</v>
      </c>
      <c r="J4842" t="s">
        <v>27427</v>
      </c>
      <c r="K4842" t="s">
        <v>20435</v>
      </c>
      <c r="L4842" s="7" t="s">
        <v>27428</v>
      </c>
      <c r="M4842" t="s">
        <v>27429</v>
      </c>
      <c r="N4842">
        <v>2</v>
      </c>
      <c r="O4842">
        <v>0</v>
      </c>
      <c r="P4842">
        <v>2</v>
      </c>
      <c r="Q4842">
        <v>2</v>
      </c>
      <c r="R4842">
        <v>0</v>
      </c>
      <c r="S4842">
        <v>2</v>
      </c>
      <c r="T4842">
        <v>0</v>
      </c>
      <c r="U4842" t="s">
        <v>27430</v>
      </c>
      <c r="V4842">
        <f>Tabla1[[#This Row],[Aboard]]-Tabla1[[#This Row],[Fatalities]]</f>
        <v>0</v>
      </c>
      <c r="W4842" s="50">
        <f>IFERROR(Tabla1[[#This Row],[Fatalities]]/Tabla1[[#This Row],[Aboard]],0)</f>
        <v>1</v>
      </c>
      <c r="X4842" s="51" t="str" cm="1">
        <f t="array" ref="X4842">_xlfn.IFS(Tabla1[[#This Row],[Porcentaje de muertes]]&lt;0.35,"LEVE",AND(Tabla1[[#This Row],[Porcentaje de muertes]]&gt;0.35,Tabla1[[#This Row],[Porcentaje de muertes]]&lt;0.65),"MEDIO",Tabla1[[#This Row],[Porcentaje de muertes]]&gt;0.65,"GRAVE")</f>
        <v>GRAVE</v>
      </c>
    </row>
    <row r="4843" spans="2:24" x14ac:dyDescent="0.3">
      <c r="B4843" s="9">
        <v>4844</v>
      </c>
      <c r="C4843" s="49">
        <v>41377</v>
      </c>
      <c r="D4843" s="9">
        <f>YEAR(Tabla1[[#This Row],[Date]])</f>
        <v>2013</v>
      </c>
      <c r="E4843" s="9" t="str" cm="1">
        <f t="array" ref="E4843">IFERROR(_xlfn.IFS(AND(D4843&lt;1980,D4843&gt;=1970),"70",AND(D4843&lt;1990,D4843&gt;=1980),"80",AND(D4843&lt;2000,D4843&gt;=1990),"90",AND(D4843&lt;2010,D4843&gt;=2000),"00",AND(D4843&lt;=2019,D4843&gt;=2010),"10"),"1908-1970")</f>
        <v>10</v>
      </c>
      <c r="F4843" s="3">
        <v>0.64930555555555558</v>
      </c>
      <c r="G4843" t="s">
        <v>7495</v>
      </c>
      <c r="H4843" t="s">
        <v>25707</v>
      </c>
      <c r="I4843">
        <v>904</v>
      </c>
      <c r="J4843" t="s">
        <v>27431</v>
      </c>
      <c r="K4843" t="s">
        <v>27432</v>
      </c>
      <c r="L4843" s="7" t="s">
        <v>27433</v>
      </c>
      <c r="M4843" t="s">
        <v>27434</v>
      </c>
      <c r="N4843">
        <v>108</v>
      </c>
      <c r="O4843">
        <v>101</v>
      </c>
      <c r="P4843">
        <v>7</v>
      </c>
      <c r="Q4843">
        <v>0</v>
      </c>
      <c r="R4843">
        <v>0</v>
      </c>
      <c r="S4843">
        <v>0</v>
      </c>
      <c r="T4843">
        <v>0</v>
      </c>
      <c r="U4843" t="s">
        <v>27435</v>
      </c>
      <c r="V4843">
        <f>Tabla1[[#This Row],[Aboard]]-Tabla1[[#This Row],[Fatalities]]</f>
        <v>108</v>
      </c>
      <c r="W4843" s="50">
        <f>IFERROR(Tabla1[[#This Row],[Fatalities]]/Tabla1[[#This Row],[Aboard]],0)</f>
        <v>0</v>
      </c>
      <c r="X4843" s="51" t="str" cm="1">
        <f t="array" ref="X4843">_xlfn.IFS(Tabla1[[#This Row],[Porcentaje de muertes]]&lt;0.35,"LEVE",AND(Tabla1[[#This Row],[Porcentaje de muertes]]&gt;0.35,Tabla1[[#This Row],[Porcentaje de muertes]]&lt;0.65),"MEDIO",Tabla1[[#This Row],[Porcentaje de muertes]]&gt;0.65,"GRAVE")</f>
        <v>LEVE</v>
      </c>
    </row>
    <row r="4844" spans="2:24" x14ac:dyDescent="0.3">
      <c r="B4844" s="9">
        <v>4845</v>
      </c>
      <c r="C4844" s="49">
        <v>41393</v>
      </c>
      <c r="D4844" s="9">
        <f>YEAR(Tabla1[[#This Row],[Date]])</f>
        <v>2013</v>
      </c>
      <c r="E4844" s="9" t="str" cm="1">
        <f t="array" ref="E4844">IFERROR(_xlfn.IFS(AND(D4844&lt;1980,D4844&gt;=1970),"70",AND(D4844&lt;1990,D4844&gt;=1980),"80",AND(D4844&lt;2000,D4844&gt;=1990),"90",AND(D4844&lt;2010,D4844&gt;=2000),"00",AND(D4844&lt;=2019,D4844&gt;=2010),"10"),"1908-1970")</f>
        <v>10</v>
      </c>
      <c r="F4844" s="3">
        <v>0.64236111111111105</v>
      </c>
      <c r="G4844" t="s">
        <v>27436</v>
      </c>
      <c r="H4844" t="s">
        <v>27035</v>
      </c>
      <c r="I4844">
        <v>102</v>
      </c>
      <c r="J4844" t="s">
        <v>27437</v>
      </c>
      <c r="K4844" t="s">
        <v>27438</v>
      </c>
      <c r="L4844" s="7" t="s">
        <v>27439</v>
      </c>
      <c r="M4844" t="s">
        <v>27440</v>
      </c>
      <c r="N4844">
        <v>7</v>
      </c>
      <c r="O4844">
        <v>0</v>
      </c>
      <c r="P4844">
        <v>7</v>
      </c>
      <c r="Q4844">
        <v>7</v>
      </c>
      <c r="R4844">
        <v>0</v>
      </c>
      <c r="S4844">
        <v>7</v>
      </c>
      <c r="T4844">
        <v>0</v>
      </c>
      <c r="U4844" t="s">
        <v>27441</v>
      </c>
      <c r="V4844">
        <f>Tabla1[[#This Row],[Aboard]]-Tabla1[[#This Row],[Fatalities]]</f>
        <v>0</v>
      </c>
      <c r="W4844" s="50">
        <f>IFERROR(Tabla1[[#This Row],[Fatalities]]/Tabla1[[#This Row],[Aboard]],0)</f>
        <v>1</v>
      </c>
      <c r="X4844" s="51" t="str" cm="1">
        <f t="array" ref="X4844">_xlfn.IFS(Tabla1[[#This Row],[Porcentaje de muertes]]&lt;0.35,"LEVE",AND(Tabla1[[#This Row],[Porcentaje de muertes]]&gt;0.35,Tabla1[[#This Row],[Porcentaje de muertes]]&lt;0.65),"MEDIO",Tabla1[[#This Row],[Porcentaje de muertes]]&gt;0.65,"GRAVE")</f>
        <v>GRAVE</v>
      </c>
    </row>
    <row r="4845" spans="2:24" x14ac:dyDescent="0.3">
      <c r="B4845" s="9">
        <v>4846</v>
      </c>
      <c r="C4845" s="49">
        <v>41425</v>
      </c>
      <c r="D4845" s="9">
        <f>YEAR(Tabla1[[#This Row],[Date]])</f>
        <v>2013</v>
      </c>
      <c r="E4845" s="9" t="str" cm="1">
        <f t="array" ref="E4845">IFERROR(_xlfn.IFS(AND(D4845&lt;1980,D4845&gt;=1970),"70",AND(D4845&lt;1990,D4845&gt;=1980),"80",AND(D4845&lt;2000,D4845&gt;=1990),"90",AND(D4845&lt;2010,D4845&gt;=2000),"00",AND(D4845&lt;=2019,D4845&gt;=2010),"10"),"1908-1970")</f>
        <v>10</v>
      </c>
      <c r="F4845" s="3">
        <v>0.50763888888888886</v>
      </c>
      <c r="G4845" t="s">
        <v>27442</v>
      </c>
      <c r="H4845" t="s">
        <v>27443</v>
      </c>
      <c r="I4845" t="s">
        <v>28931</v>
      </c>
      <c r="J4845" t="s">
        <v>27444</v>
      </c>
      <c r="K4845" t="s">
        <v>18655</v>
      </c>
      <c r="L4845" s="7" t="s">
        <v>28931</v>
      </c>
      <c r="M4845" t="s">
        <v>28931</v>
      </c>
      <c r="N4845">
        <v>4</v>
      </c>
      <c r="O4845">
        <v>2</v>
      </c>
      <c r="P4845">
        <v>2</v>
      </c>
      <c r="Q4845">
        <v>4</v>
      </c>
      <c r="R4845">
        <v>2</v>
      </c>
      <c r="S4845">
        <v>2</v>
      </c>
      <c r="T4845">
        <v>0</v>
      </c>
      <c r="U4845" t="s">
        <v>27445</v>
      </c>
      <c r="V4845">
        <f>Tabla1[[#This Row],[Aboard]]-Tabla1[[#This Row],[Fatalities]]</f>
        <v>0</v>
      </c>
      <c r="W4845" s="50">
        <f>IFERROR(Tabla1[[#This Row],[Fatalities]]/Tabla1[[#This Row],[Aboard]],0)</f>
        <v>1</v>
      </c>
      <c r="X4845" s="51" t="str" cm="1">
        <f t="array" ref="X4845">_xlfn.IFS(Tabla1[[#This Row],[Porcentaje de muertes]]&lt;0.35,"LEVE",AND(Tabla1[[#This Row],[Porcentaje de muertes]]&gt;0.35,Tabla1[[#This Row],[Porcentaje de muertes]]&lt;0.65),"MEDIO",Tabla1[[#This Row],[Porcentaje de muertes]]&gt;0.65,"GRAVE")</f>
        <v>GRAVE</v>
      </c>
    </row>
    <row r="4846" spans="2:24" x14ac:dyDescent="0.3">
      <c r="B4846" s="9">
        <v>4847</v>
      </c>
      <c r="C4846" s="49">
        <v>41450</v>
      </c>
      <c r="D4846" s="9">
        <f>YEAR(Tabla1[[#This Row],[Date]])</f>
        <v>2013</v>
      </c>
      <c r="E4846" s="9" t="str" cm="1">
        <f t="array" ref="E4846">IFERROR(_xlfn.IFS(AND(D4846&lt;1980,D4846&gt;=1970),"70",AND(D4846&lt;1990,D4846&gt;=1980),"80",AND(D4846&lt;2000,D4846&gt;=1990),"90",AND(D4846&lt;2010,D4846&gt;=2000),"00",AND(D4846&lt;=2019,D4846&gt;=2010),"10"),"1908-1970")</f>
        <v>10</v>
      </c>
      <c r="F4846" s="3" t="s">
        <v>28931</v>
      </c>
      <c r="G4846" t="s">
        <v>27446</v>
      </c>
      <c r="H4846" t="s">
        <v>6544</v>
      </c>
      <c r="I4846" t="s">
        <v>28931</v>
      </c>
      <c r="J4846" t="s">
        <v>27447</v>
      </c>
      <c r="K4846" t="s">
        <v>27448</v>
      </c>
      <c r="L4846" s="7" t="s">
        <v>28931</v>
      </c>
      <c r="M4846" t="s">
        <v>28931</v>
      </c>
      <c r="N4846">
        <v>20</v>
      </c>
      <c r="O4846">
        <v>15</v>
      </c>
      <c r="P4846">
        <v>5</v>
      </c>
      <c r="Q4846">
        <v>20</v>
      </c>
      <c r="R4846">
        <v>15</v>
      </c>
      <c r="S4846">
        <v>5</v>
      </c>
      <c r="T4846">
        <v>0</v>
      </c>
      <c r="U4846" t="s">
        <v>27449</v>
      </c>
      <c r="V4846">
        <f>Tabla1[[#This Row],[Aboard]]-Tabla1[[#This Row],[Fatalities]]</f>
        <v>0</v>
      </c>
      <c r="W4846" s="50">
        <f>IFERROR(Tabla1[[#This Row],[Fatalities]]/Tabla1[[#This Row],[Aboard]],0)</f>
        <v>1</v>
      </c>
      <c r="X4846" s="51" t="str" cm="1">
        <f t="array" ref="X4846">_xlfn.IFS(Tabla1[[#This Row],[Porcentaje de muertes]]&lt;0.35,"LEVE",AND(Tabla1[[#This Row],[Porcentaje de muertes]]&gt;0.35,Tabla1[[#This Row],[Porcentaje de muertes]]&lt;0.65),"MEDIO",Tabla1[[#This Row],[Porcentaje de muertes]]&gt;0.65,"GRAVE")</f>
        <v>GRAVE</v>
      </c>
    </row>
    <row r="4847" spans="2:24" x14ac:dyDescent="0.3">
      <c r="B4847" s="9">
        <v>4848</v>
      </c>
      <c r="C4847" s="49">
        <v>41432</v>
      </c>
      <c r="D4847" s="9">
        <f>YEAR(Tabla1[[#This Row],[Date]])</f>
        <v>2013</v>
      </c>
      <c r="E4847" s="9" t="str" cm="1">
        <f t="array" ref="E4847">IFERROR(_xlfn.IFS(AND(D4847&lt;1980,D4847&gt;=1970),"70",AND(D4847&lt;1990,D4847&gt;=1980),"80",AND(D4847&lt;2000,D4847&gt;=1990),"90",AND(D4847&lt;2010,D4847&gt;=2000),"00",AND(D4847&lt;=2019,D4847&gt;=2010),"10"),"1908-1970")</f>
        <v>10</v>
      </c>
      <c r="F4847" s="3">
        <v>0.48472222222222222</v>
      </c>
      <c r="G4847" t="s">
        <v>13788</v>
      </c>
      <c r="H4847" t="s">
        <v>22290</v>
      </c>
      <c r="I4847">
        <v>214</v>
      </c>
      <c r="J4847" t="s">
        <v>27450</v>
      </c>
      <c r="K4847" t="s">
        <v>27451</v>
      </c>
      <c r="L4847" s="7" t="s">
        <v>27452</v>
      </c>
      <c r="M4847" t="s">
        <v>27453</v>
      </c>
      <c r="N4847">
        <v>307</v>
      </c>
      <c r="O4847">
        <v>291</v>
      </c>
      <c r="P4847">
        <v>16</v>
      </c>
      <c r="Q4847">
        <v>3</v>
      </c>
      <c r="R4847">
        <v>3</v>
      </c>
      <c r="S4847">
        <v>0</v>
      </c>
      <c r="T4847">
        <v>0</v>
      </c>
      <c r="U4847" t="s">
        <v>27454</v>
      </c>
      <c r="V4847">
        <f>Tabla1[[#This Row],[Aboard]]-Tabla1[[#This Row],[Fatalities]]</f>
        <v>304</v>
      </c>
      <c r="W4847" s="50">
        <f>IFERROR(Tabla1[[#This Row],[Fatalities]]/Tabla1[[#This Row],[Aboard]],0)</f>
        <v>9.7719869706840382E-3</v>
      </c>
      <c r="X4847" s="51" t="str" cm="1">
        <f t="array" ref="X4847">_xlfn.IFS(Tabla1[[#This Row],[Porcentaje de muertes]]&lt;0.35,"LEVE",AND(Tabla1[[#This Row],[Porcentaje de muertes]]&gt;0.35,Tabla1[[#This Row],[Porcentaje de muertes]]&lt;0.65),"MEDIO",Tabla1[[#This Row],[Porcentaje de muertes]]&gt;0.65,"GRAVE")</f>
        <v>LEVE</v>
      </c>
    </row>
    <row r="4848" spans="2:24" x14ac:dyDescent="0.3">
      <c r="B4848" s="9">
        <v>4849</v>
      </c>
      <c r="C4848" s="49">
        <v>41462</v>
      </c>
      <c r="D4848" s="9">
        <f>YEAR(Tabla1[[#This Row],[Date]])</f>
        <v>2013</v>
      </c>
      <c r="E4848" s="9" t="str" cm="1">
        <f t="array" ref="E4848">IFERROR(_xlfn.IFS(AND(D4848&lt;1980,D4848&gt;=1970),"70",AND(D4848&lt;1990,D4848&gt;=1980),"80",AND(D4848&lt;2000,D4848&gt;=1990),"90",AND(D4848&lt;2010,D4848&gt;=2000),"00",AND(D4848&lt;=2019,D4848&gt;=2010),"10"),"1908-1970")</f>
        <v>10</v>
      </c>
      <c r="F4848" s="3">
        <v>0.47222222222222227</v>
      </c>
      <c r="G4848" t="s">
        <v>27455</v>
      </c>
      <c r="H4848" t="s">
        <v>27456</v>
      </c>
      <c r="I4848" t="s">
        <v>28931</v>
      </c>
      <c r="J4848" t="s">
        <v>27457</v>
      </c>
      <c r="K4848" t="s">
        <v>27458</v>
      </c>
      <c r="L4848" s="7" t="s">
        <v>27459</v>
      </c>
      <c r="M4848">
        <v>280</v>
      </c>
      <c r="N4848">
        <v>10</v>
      </c>
      <c r="O4848">
        <v>9</v>
      </c>
      <c r="P4848">
        <v>1</v>
      </c>
      <c r="Q4848">
        <v>10</v>
      </c>
      <c r="R4848">
        <v>9</v>
      </c>
      <c r="S4848">
        <v>1</v>
      </c>
      <c r="T4848">
        <v>0</v>
      </c>
      <c r="U4848" t="s">
        <v>27460</v>
      </c>
      <c r="V4848">
        <f>Tabla1[[#This Row],[Aboard]]-Tabla1[[#This Row],[Fatalities]]</f>
        <v>0</v>
      </c>
      <c r="W4848" s="50">
        <f>IFERROR(Tabla1[[#This Row],[Fatalities]]/Tabla1[[#This Row],[Aboard]],0)</f>
        <v>1</v>
      </c>
      <c r="X4848" s="51" t="str" cm="1">
        <f t="array" ref="X4848">_xlfn.IFS(Tabla1[[#This Row],[Porcentaje de muertes]]&lt;0.35,"LEVE",AND(Tabla1[[#This Row],[Porcentaje de muertes]]&gt;0.35,Tabla1[[#This Row],[Porcentaje de muertes]]&lt;0.65),"MEDIO",Tabla1[[#This Row],[Porcentaje de muertes]]&gt;0.65,"GRAVE")</f>
        <v>GRAVE</v>
      </c>
    </row>
    <row r="4849" spans="2:24" x14ac:dyDescent="0.3">
      <c r="B4849" s="9">
        <v>4850</v>
      </c>
      <c r="C4849" s="49">
        <v>41525</v>
      </c>
      <c r="D4849" s="9">
        <f>YEAR(Tabla1[[#This Row],[Date]])</f>
        <v>2013</v>
      </c>
      <c r="E4849" s="9" t="str" cm="1">
        <f t="array" ref="E4849">IFERROR(_xlfn.IFS(AND(D4849&lt;1980,D4849&gt;=1970),"70",AND(D4849&lt;1990,D4849&gt;=1980),"80",AND(D4849&lt;2000,D4849&gt;=1990),"90",AND(D4849&lt;2010,D4849&gt;=2000),"00",AND(D4849&lt;=2019,D4849&gt;=2010),"10"),"1908-1970")</f>
        <v>10</v>
      </c>
      <c r="F4849" s="3">
        <v>0.33333333333333331</v>
      </c>
      <c r="G4849" t="s">
        <v>15859</v>
      </c>
      <c r="H4849" t="s">
        <v>19061</v>
      </c>
      <c r="I4849" t="s">
        <v>28931</v>
      </c>
      <c r="J4849" t="s">
        <v>27461</v>
      </c>
      <c r="K4849" t="s">
        <v>18274</v>
      </c>
      <c r="L4849" s="7" t="s">
        <v>28931</v>
      </c>
      <c r="M4849" t="s">
        <v>28931</v>
      </c>
      <c r="N4849">
        <v>6</v>
      </c>
      <c r="O4849">
        <v>0</v>
      </c>
      <c r="P4849">
        <v>6</v>
      </c>
      <c r="Q4849">
        <v>4</v>
      </c>
      <c r="R4849">
        <v>0</v>
      </c>
      <c r="S4849">
        <v>4</v>
      </c>
      <c r="T4849">
        <v>0</v>
      </c>
      <c r="U4849" t="s">
        <v>27462</v>
      </c>
      <c r="V4849">
        <f>Tabla1[[#This Row],[Aboard]]-Tabla1[[#This Row],[Fatalities]]</f>
        <v>2</v>
      </c>
      <c r="W4849" s="50">
        <f>IFERROR(Tabla1[[#This Row],[Fatalities]]/Tabla1[[#This Row],[Aboard]],0)</f>
        <v>0.66666666666666663</v>
      </c>
      <c r="X4849" s="51" t="str" cm="1">
        <f t="array" ref="X4849">_xlfn.IFS(Tabla1[[#This Row],[Porcentaje de muertes]]&lt;0.35,"LEVE",AND(Tabla1[[#This Row],[Porcentaje de muertes]]&gt;0.35,Tabla1[[#This Row],[Porcentaje de muertes]]&lt;0.65),"MEDIO",Tabla1[[#This Row],[Porcentaje de muertes]]&gt;0.65,"GRAVE")</f>
        <v>GRAVE</v>
      </c>
    </row>
    <row r="4850" spans="2:24" x14ac:dyDescent="0.3">
      <c r="B4850" s="9">
        <v>4851</v>
      </c>
      <c r="C4850" s="49">
        <v>41500</v>
      </c>
      <c r="D4850" s="9">
        <f>YEAR(Tabla1[[#This Row],[Date]])</f>
        <v>2013</v>
      </c>
      <c r="E4850" s="9" t="str" cm="1">
        <f t="array" ref="E4850">IFERROR(_xlfn.IFS(AND(D4850&lt;1980,D4850&gt;=1970),"70",AND(D4850&lt;1990,D4850&gt;=1980),"80",AND(D4850&lt;2000,D4850&gt;=1990),"90",AND(D4850&lt;2010,D4850&gt;=2000),"00",AND(D4850&lt;=2019,D4850&gt;=2010),"10"),"1908-1970")</f>
        <v>10</v>
      </c>
      <c r="F4850" s="3">
        <v>0.20069444444444443</v>
      </c>
      <c r="G4850" t="s">
        <v>8561</v>
      </c>
      <c r="H4850" t="s">
        <v>27463</v>
      </c>
      <c r="I4850">
        <v>1354</v>
      </c>
      <c r="J4850" t="s">
        <v>27464</v>
      </c>
      <c r="K4850" t="s">
        <v>27465</v>
      </c>
      <c r="L4850" s="7" t="s">
        <v>27466</v>
      </c>
      <c r="M4850">
        <v>841</v>
      </c>
      <c r="N4850">
        <v>2</v>
      </c>
      <c r="O4850">
        <v>0</v>
      </c>
      <c r="P4850">
        <v>2</v>
      </c>
      <c r="Q4850">
        <v>2</v>
      </c>
      <c r="R4850">
        <v>0</v>
      </c>
      <c r="S4850">
        <v>2</v>
      </c>
      <c r="T4850">
        <v>0</v>
      </c>
      <c r="U4850" t="s">
        <v>27467</v>
      </c>
      <c r="V4850">
        <f>Tabla1[[#This Row],[Aboard]]-Tabla1[[#This Row],[Fatalities]]</f>
        <v>0</v>
      </c>
      <c r="W4850" s="50">
        <f>IFERROR(Tabla1[[#This Row],[Fatalities]]/Tabla1[[#This Row],[Aboard]],0)</f>
        <v>1</v>
      </c>
      <c r="X4850" s="51" t="str" cm="1">
        <f t="array" ref="X4850">_xlfn.IFS(Tabla1[[#This Row],[Porcentaje de muertes]]&lt;0.35,"LEVE",AND(Tabla1[[#This Row],[Porcentaje de muertes]]&gt;0.35,Tabla1[[#This Row],[Porcentaje de muertes]]&lt;0.65),"MEDIO",Tabla1[[#This Row],[Porcentaje de muertes]]&gt;0.65,"GRAVE")</f>
        <v>GRAVE</v>
      </c>
    </row>
    <row r="4851" spans="2:24" x14ac:dyDescent="0.3">
      <c r="B4851" s="9">
        <v>4852</v>
      </c>
      <c r="C4851" s="49">
        <v>41343</v>
      </c>
      <c r="D4851" s="9">
        <f>YEAR(Tabla1[[#This Row],[Date]])</f>
        <v>2013</v>
      </c>
      <c r="E4851" s="9" t="str" cm="1">
        <f t="array" ref="E4851">IFERROR(_xlfn.IFS(AND(D4851&lt;1980,D4851&gt;=1970),"70",AND(D4851&lt;1990,D4851&gt;=1980),"80",AND(D4851&lt;2000,D4851&gt;=1990),"90",AND(D4851&lt;2010,D4851&gt;=2000),"00",AND(D4851&lt;=2019,D4851&gt;=2010),"10"),"1908-1970")</f>
        <v>10</v>
      </c>
      <c r="F4851" s="3">
        <v>0.3972222222222222</v>
      </c>
      <c r="G4851" t="s">
        <v>22797</v>
      </c>
      <c r="H4851" t="s">
        <v>27468</v>
      </c>
      <c r="I4851">
        <v>361</v>
      </c>
      <c r="J4851" t="s">
        <v>27469</v>
      </c>
      <c r="K4851" t="s">
        <v>20169</v>
      </c>
      <c r="L4851" s="7" t="s">
        <v>27470</v>
      </c>
      <c r="M4851" t="s">
        <v>27471</v>
      </c>
      <c r="N4851">
        <v>20</v>
      </c>
      <c r="O4851">
        <v>13</v>
      </c>
      <c r="P4851">
        <v>7</v>
      </c>
      <c r="Q4851">
        <v>16</v>
      </c>
      <c r="R4851">
        <v>11</v>
      </c>
      <c r="S4851">
        <v>5</v>
      </c>
      <c r="T4851">
        <v>0</v>
      </c>
      <c r="U4851" t="s">
        <v>27472</v>
      </c>
      <c r="V4851">
        <f>Tabla1[[#This Row],[Aboard]]-Tabla1[[#This Row],[Fatalities]]</f>
        <v>4</v>
      </c>
      <c r="W4851" s="50">
        <f>IFERROR(Tabla1[[#This Row],[Fatalities]]/Tabla1[[#This Row],[Aboard]],0)</f>
        <v>0.8</v>
      </c>
      <c r="X4851" s="51" t="str" cm="1">
        <f t="array" ref="X4851">_xlfn.IFS(Tabla1[[#This Row],[Porcentaje de muertes]]&lt;0.35,"LEVE",AND(Tabla1[[#This Row],[Porcentaje de muertes]]&gt;0.35,Tabla1[[#This Row],[Porcentaje de muertes]]&lt;0.65),"MEDIO",Tabla1[[#This Row],[Porcentaje de muertes]]&gt;0.65,"GRAVE")</f>
        <v>GRAVE</v>
      </c>
    </row>
    <row r="4852" spans="2:24" x14ac:dyDescent="0.3">
      <c r="B4852" s="9">
        <v>4853</v>
      </c>
      <c r="C4852" s="49">
        <v>41557</v>
      </c>
      <c r="D4852" s="9">
        <f>YEAR(Tabla1[[#This Row],[Date]])</f>
        <v>2013</v>
      </c>
      <c r="E4852" s="9" t="str" cm="1">
        <f t="array" ref="E4852">IFERROR(_xlfn.IFS(AND(D4852&lt;1980,D4852&gt;=1970),"70",AND(D4852&lt;1990,D4852&gt;=1980),"80",AND(D4852&lt;2000,D4852&gt;=1990),"90",AND(D4852&lt;2010,D4852&gt;=2000),"00",AND(D4852&lt;=2019,D4852&gt;=2010),"10"),"1908-1970")</f>
        <v>10</v>
      </c>
      <c r="F4852" s="3">
        <v>0.61805555555555558</v>
      </c>
      <c r="G4852" t="s">
        <v>27473</v>
      </c>
      <c r="H4852" t="s">
        <v>27474</v>
      </c>
      <c r="I4852">
        <v>3002</v>
      </c>
      <c r="J4852" t="s">
        <v>27475</v>
      </c>
      <c r="K4852" t="s">
        <v>19268</v>
      </c>
      <c r="L4852" s="7" t="s">
        <v>27476</v>
      </c>
      <c r="M4852">
        <v>804</v>
      </c>
      <c r="N4852">
        <v>16</v>
      </c>
      <c r="O4852">
        <v>14</v>
      </c>
      <c r="P4852">
        <v>2</v>
      </c>
      <c r="Q4852">
        <v>2</v>
      </c>
      <c r="R4852">
        <v>1</v>
      </c>
      <c r="S4852">
        <v>1</v>
      </c>
      <c r="T4852">
        <v>0</v>
      </c>
      <c r="U4852" t="s">
        <v>27477</v>
      </c>
      <c r="V4852">
        <f>Tabla1[[#This Row],[Aboard]]-Tabla1[[#This Row],[Fatalities]]</f>
        <v>14</v>
      </c>
      <c r="W4852" s="50">
        <f>IFERROR(Tabla1[[#This Row],[Fatalities]]/Tabla1[[#This Row],[Aboard]],0)</f>
        <v>0.125</v>
      </c>
      <c r="X4852" s="51" t="str" cm="1">
        <f t="array" ref="X4852">_xlfn.IFS(Tabla1[[#This Row],[Porcentaje de muertes]]&lt;0.35,"LEVE",AND(Tabla1[[#This Row],[Porcentaje de muertes]]&gt;0.35,Tabla1[[#This Row],[Porcentaje de muertes]]&lt;0.65),"MEDIO",Tabla1[[#This Row],[Porcentaje de muertes]]&gt;0.65,"GRAVE")</f>
        <v>LEVE</v>
      </c>
    </row>
    <row r="4853" spans="2:24" x14ac:dyDescent="0.3">
      <c r="B4853" s="9">
        <v>4854</v>
      </c>
      <c r="C4853" s="49">
        <v>41563</v>
      </c>
      <c r="D4853" s="9">
        <f>YEAR(Tabla1[[#This Row],[Date]])</f>
        <v>2013</v>
      </c>
      <c r="E4853" s="9" t="str" cm="1">
        <f t="array" ref="E4853">IFERROR(_xlfn.IFS(AND(D4853&lt;1980,D4853&gt;=1970),"70",AND(D4853&lt;1990,D4853&gt;=1980),"80",AND(D4853&lt;2000,D4853&gt;=1990),"90",AND(D4853&lt;2010,D4853&gt;=2000),"00",AND(D4853&lt;=2019,D4853&gt;=2010),"10"),"1908-1970")</f>
        <v>10</v>
      </c>
      <c r="F4853" s="3">
        <v>0.67361111111111116</v>
      </c>
      <c r="G4853" t="s">
        <v>11338</v>
      </c>
      <c r="H4853" t="s">
        <v>27478</v>
      </c>
      <c r="I4853">
        <v>301</v>
      </c>
      <c r="J4853" t="s">
        <v>27479</v>
      </c>
      <c r="K4853" t="s">
        <v>27480</v>
      </c>
      <c r="L4853" s="7" t="s">
        <v>27481</v>
      </c>
      <c r="M4853">
        <v>1071</v>
      </c>
      <c r="N4853">
        <v>49</v>
      </c>
      <c r="O4853">
        <v>44</v>
      </c>
      <c r="P4853">
        <v>5</v>
      </c>
      <c r="Q4853">
        <v>49</v>
      </c>
      <c r="R4853">
        <v>44</v>
      </c>
      <c r="S4853">
        <v>5</v>
      </c>
      <c r="T4853">
        <v>0</v>
      </c>
      <c r="U4853" t="s">
        <v>27482</v>
      </c>
      <c r="V4853">
        <f>Tabla1[[#This Row],[Aboard]]-Tabla1[[#This Row],[Fatalities]]</f>
        <v>0</v>
      </c>
      <c r="W4853" s="50">
        <f>IFERROR(Tabla1[[#This Row],[Fatalities]]/Tabla1[[#This Row],[Aboard]],0)</f>
        <v>1</v>
      </c>
      <c r="X4853" s="51" t="str" cm="1">
        <f t="array" ref="X4853">_xlfn.IFS(Tabla1[[#This Row],[Porcentaje de muertes]]&lt;0.35,"LEVE",AND(Tabla1[[#This Row],[Porcentaje de muertes]]&gt;0.35,Tabla1[[#This Row],[Porcentaje de muertes]]&lt;0.65),"MEDIO",Tabla1[[#This Row],[Porcentaje de muertes]]&gt;0.65,"GRAVE")</f>
        <v>GRAVE</v>
      </c>
    </row>
    <row r="4854" spans="2:24" x14ac:dyDescent="0.3">
      <c r="B4854" s="9">
        <v>4855</v>
      </c>
      <c r="C4854" s="49">
        <v>41344</v>
      </c>
      <c r="D4854" s="9">
        <f>YEAR(Tabla1[[#This Row],[Date]])</f>
        <v>2013</v>
      </c>
      <c r="E4854" s="9" t="str" cm="1">
        <f t="array" ref="E4854">IFERROR(_xlfn.IFS(AND(D4854&lt;1980,D4854&gt;=1970),"70",AND(D4854&lt;1990,D4854&gt;=1980),"80",AND(D4854&lt;2000,D4854&gt;=1990),"90",AND(D4854&lt;2010,D4854&gt;=2000),"00",AND(D4854&lt;=2019,D4854&gt;=2010),"10"),"1908-1970")</f>
        <v>10</v>
      </c>
      <c r="F4854" s="3">
        <v>0.66666666666666663</v>
      </c>
      <c r="G4854" t="s">
        <v>27483</v>
      </c>
      <c r="H4854" t="s">
        <v>27200</v>
      </c>
      <c r="I4854" t="s">
        <v>28931</v>
      </c>
      <c r="J4854" t="s">
        <v>27484</v>
      </c>
      <c r="K4854" t="s">
        <v>27485</v>
      </c>
      <c r="L4854" s="7" t="s">
        <v>27486</v>
      </c>
      <c r="M4854" t="s">
        <v>27487</v>
      </c>
      <c r="N4854">
        <v>18</v>
      </c>
      <c r="O4854">
        <v>16</v>
      </c>
      <c r="P4854">
        <v>2</v>
      </c>
      <c r="Q4854">
        <v>8</v>
      </c>
      <c r="R4854">
        <v>8</v>
      </c>
      <c r="S4854">
        <v>0</v>
      </c>
      <c r="T4854">
        <v>0</v>
      </c>
      <c r="U4854" t="s">
        <v>27488</v>
      </c>
      <c r="V4854">
        <f>Tabla1[[#This Row],[Aboard]]-Tabla1[[#This Row],[Fatalities]]</f>
        <v>10</v>
      </c>
      <c r="W4854" s="50">
        <f>IFERROR(Tabla1[[#This Row],[Fatalities]]/Tabla1[[#This Row],[Aboard]],0)</f>
        <v>0.44444444444444442</v>
      </c>
      <c r="X4854" s="51" t="str" cm="1">
        <f t="array" ref="X4854">_xlfn.IFS(Tabla1[[#This Row],[Porcentaje de muertes]]&lt;0.35,"LEVE",AND(Tabla1[[#This Row],[Porcentaje de muertes]]&gt;0.35,Tabla1[[#This Row],[Porcentaje de muertes]]&lt;0.65),"MEDIO",Tabla1[[#This Row],[Porcentaje de muertes]]&gt;0.65,"GRAVE")</f>
        <v>MEDIO</v>
      </c>
    </row>
    <row r="4855" spans="2:24" x14ac:dyDescent="0.3">
      <c r="B4855" s="9">
        <v>4856</v>
      </c>
      <c r="C4855" s="49">
        <v>41528</v>
      </c>
      <c r="D4855" s="9">
        <f>YEAR(Tabla1[[#This Row],[Date]])</f>
        <v>2013</v>
      </c>
      <c r="E4855" s="9" t="str" cm="1">
        <f t="array" ref="E4855">IFERROR(_xlfn.IFS(AND(D4855&lt;1980,D4855&gt;=1970),"70",AND(D4855&lt;1990,D4855&gt;=1980),"80",AND(D4855&lt;2000,D4855&gt;=1990),"90",AND(D4855&lt;2010,D4855&gt;=2000),"00",AND(D4855&lt;=2019,D4855&gt;=2010),"10"),"1908-1970")</f>
        <v>10</v>
      </c>
      <c r="F4855" s="3">
        <v>0.4375</v>
      </c>
      <c r="G4855" t="s">
        <v>27489</v>
      </c>
      <c r="H4855" t="s">
        <v>27490</v>
      </c>
      <c r="I4855" t="s">
        <v>28931</v>
      </c>
      <c r="J4855" t="s">
        <v>27491</v>
      </c>
      <c r="K4855" t="s">
        <v>27492</v>
      </c>
      <c r="L4855" s="7" t="s">
        <v>28931</v>
      </c>
      <c r="M4855" t="s">
        <v>28931</v>
      </c>
      <c r="N4855">
        <v>21</v>
      </c>
      <c r="O4855">
        <v>13</v>
      </c>
      <c r="P4855">
        <v>8</v>
      </c>
      <c r="Q4855">
        <v>13</v>
      </c>
      <c r="R4855">
        <v>7</v>
      </c>
      <c r="S4855">
        <v>6</v>
      </c>
      <c r="T4855">
        <v>0</v>
      </c>
      <c r="U4855" t="s">
        <v>27493</v>
      </c>
      <c r="V4855">
        <f>Tabla1[[#This Row],[Aboard]]-Tabla1[[#This Row],[Fatalities]]</f>
        <v>8</v>
      </c>
      <c r="W4855" s="50">
        <f>IFERROR(Tabla1[[#This Row],[Fatalities]]/Tabla1[[#This Row],[Aboard]],0)</f>
        <v>0.61904761904761907</v>
      </c>
      <c r="X4855" s="51" t="str" cm="1">
        <f t="array" ref="X4855">_xlfn.IFS(Tabla1[[#This Row],[Porcentaje de muertes]]&lt;0.35,"LEVE",AND(Tabla1[[#This Row],[Porcentaje de muertes]]&gt;0.35,Tabla1[[#This Row],[Porcentaje de muertes]]&lt;0.65),"MEDIO",Tabla1[[#This Row],[Porcentaje de muertes]]&gt;0.65,"GRAVE")</f>
        <v>MEDIO</v>
      </c>
    </row>
    <row r="4856" spans="2:24" x14ac:dyDescent="0.3">
      <c r="B4856" s="9">
        <v>4857</v>
      </c>
      <c r="C4856" s="49">
        <v>41558</v>
      </c>
      <c r="D4856" s="9">
        <f>YEAR(Tabla1[[#This Row],[Date]])</f>
        <v>2013</v>
      </c>
      <c r="E4856" s="9" t="str" cm="1">
        <f t="array" ref="E4856">IFERROR(_xlfn.IFS(AND(D4856&lt;1980,D4856&gt;=1970),"70",AND(D4856&lt;1990,D4856&gt;=1980),"80",AND(D4856&lt;2000,D4856&gt;=1990),"90",AND(D4856&lt;2010,D4856&gt;=2000),"00",AND(D4856&lt;=2019,D4856&gt;=2010),"10"),"1908-1970")</f>
        <v>10</v>
      </c>
      <c r="F4856" s="3">
        <v>0.77361111111111114</v>
      </c>
      <c r="G4856" t="s">
        <v>27494</v>
      </c>
      <c r="H4856" t="s">
        <v>27495</v>
      </c>
      <c r="I4856" t="s">
        <v>28931</v>
      </c>
      <c r="J4856" t="s">
        <v>27496</v>
      </c>
      <c r="K4856" t="s">
        <v>27497</v>
      </c>
      <c r="L4856" s="7" t="s">
        <v>27498</v>
      </c>
      <c r="M4856" t="s">
        <v>27499</v>
      </c>
      <c r="N4856">
        <v>7</v>
      </c>
      <c r="O4856">
        <v>5</v>
      </c>
      <c r="P4856">
        <v>2</v>
      </c>
      <c r="Q4856">
        <v>5</v>
      </c>
      <c r="R4856">
        <v>3</v>
      </c>
      <c r="S4856">
        <v>2</v>
      </c>
      <c r="T4856">
        <v>0</v>
      </c>
      <c r="U4856" t="s">
        <v>27500</v>
      </c>
      <c r="V4856">
        <f>Tabla1[[#This Row],[Aboard]]-Tabla1[[#This Row],[Fatalities]]</f>
        <v>2</v>
      </c>
      <c r="W4856" s="50">
        <f>IFERROR(Tabla1[[#This Row],[Fatalities]]/Tabla1[[#This Row],[Aboard]],0)</f>
        <v>0.7142857142857143</v>
      </c>
      <c r="X4856" s="51" t="str" cm="1">
        <f t="array" ref="X4856">_xlfn.IFS(Tabla1[[#This Row],[Porcentaje de muertes]]&lt;0.35,"LEVE",AND(Tabla1[[#This Row],[Porcentaje de muertes]]&gt;0.35,Tabla1[[#This Row],[Porcentaje de muertes]]&lt;0.65),"MEDIO",Tabla1[[#This Row],[Porcentaje de muertes]]&gt;0.65,"GRAVE")</f>
        <v>GRAVE</v>
      </c>
    </row>
    <row r="4857" spans="2:24" x14ac:dyDescent="0.3">
      <c r="B4857" s="9">
        <v>4858</v>
      </c>
      <c r="C4857" s="49">
        <v>41595</v>
      </c>
      <c r="D4857" s="9">
        <f>YEAR(Tabla1[[#This Row],[Date]])</f>
        <v>2013</v>
      </c>
      <c r="E4857" s="9" t="str" cm="1">
        <f t="array" ref="E4857">IFERROR(_xlfn.IFS(AND(D4857&lt;1980,D4857&gt;=1970),"70",AND(D4857&lt;1990,D4857&gt;=1980),"80",AND(D4857&lt;2000,D4857&gt;=1990),"90",AND(D4857&lt;2010,D4857&gt;=2000),"00",AND(D4857&lt;=2019,D4857&gt;=2010),"10"),"1908-1970")</f>
        <v>10</v>
      </c>
      <c r="F4857" s="3">
        <v>0.80555555555555547</v>
      </c>
      <c r="G4857" t="s">
        <v>27501</v>
      </c>
      <c r="H4857" t="s">
        <v>27502</v>
      </c>
      <c r="I4857">
        <v>363</v>
      </c>
      <c r="J4857" t="s">
        <v>27503</v>
      </c>
      <c r="K4857" t="s">
        <v>27504</v>
      </c>
      <c r="L4857" s="7" t="s">
        <v>27505</v>
      </c>
      <c r="M4857" t="s">
        <v>27506</v>
      </c>
      <c r="N4857">
        <v>50</v>
      </c>
      <c r="O4857">
        <v>44</v>
      </c>
      <c r="P4857">
        <v>6</v>
      </c>
      <c r="Q4857">
        <v>50</v>
      </c>
      <c r="R4857">
        <v>44</v>
      </c>
      <c r="S4857">
        <v>6</v>
      </c>
      <c r="T4857">
        <v>0</v>
      </c>
      <c r="U4857" t="s">
        <v>27507</v>
      </c>
      <c r="V4857">
        <f>Tabla1[[#This Row],[Aboard]]-Tabla1[[#This Row],[Fatalities]]</f>
        <v>0</v>
      </c>
      <c r="W4857" s="50">
        <f>IFERROR(Tabla1[[#This Row],[Fatalities]]/Tabla1[[#This Row],[Aboard]],0)</f>
        <v>1</v>
      </c>
      <c r="X4857" s="51" t="str" cm="1">
        <f t="array" ref="X4857">_xlfn.IFS(Tabla1[[#This Row],[Porcentaje de muertes]]&lt;0.35,"LEVE",AND(Tabla1[[#This Row],[Porcentaje de muertes]]&gt;0.35,Tabla1[[#This Row],[Porcentaje de muertes]]&lt;0.65),"MEDIO",Tabla1[[#This Row],[Porcentaje de muertes]]&gt;0.65,"GRAVE")</f>
        <v>GRAVE</v>
      </c>
    </row>
    <row r="4858" spans="2:24" x14ac:dyDescent="0.3">
      <c r="B4858" s="9">
        <v>4859</v>
      </c>
      <c r="C4858" s="49">
        <v>41607</v>
      </c>
      <c r="D4858" s="9">
        <f>YEAR(Tabla1[[#This Row],[Date]])</f>
        <v>2013</v>
      </c>
      <c r="E4858" s="9" t="str" cm="1">
        <f t="array" ref="E4858">IFERROR(_xlfn.IFS(AND(D4858&lt;1980,D4858&gt;=1970),"70",AND(D4858&lt;1990,D4858&gt;=1980),"80",AND(D4858&lt;2000,D4858&gt;=1990),"90",AND(D4858&lt;2010,D4858&gt;=2000),"00",AND(D4858&lt;=2019,D4858&gt;=2010),"10"),"1908-1970")</f>
        <v>10</v>
      </c>
      <c r="F4858" s="3">
        <v>0.85069444444444453</v>
      </c>
      <c r="G4858" t="s">
        <v>27508</v>
      </c>
      <c r="H4858" t="s">
        <v>27509</v>
      </c>
      <c r="I4858" t="s">
        <v>28931</v>
      </c>
      <c r="J4858" t="s">
        <v>28931</v>
      </c>
      <c r="K4858" t="s">
        <v>27510</v>
      </c>
      <c r="L4858" s="7" t="s">
        <v>27511</v>
      </c>
      <c r="M4858">
        <v>546</v>
      </c>
      <c r="N4858">
        <v>3</v>
      </c>
      <c r="O4858">
        <v>2</v>
      </c>
      <c r="P4858">
        <v>1</v>
      </c>
      <c r="Q4858">
        <v>3</v>
      </c>
      <c r="R4858">
        <v>2</v>
      </c>
      <c r="S4858">
        <v>1</v>
      </c>
      <c r="T4858">
        <v>5</v>
      </c>
      <c r="U4858" t="s">
        <v>27512</v>
      </c>
      <c r="V4858">
        <f>Tabla1[[#This Row],[Aboard]]-Tabla1[[#This Row],[Fatalities]]</f>
        <v>0</v>
      </c>
      <c r="W4858" s="50">
        <f>IFERROR(Tabla1[[#This Row],[Fatalities]]/Tabla1[[#This Row],[Aboard]],0)</f>
        <v>1</v>
      </c>
      <c r="X4858" s="51" t="str" cm="1">
        <f t="array" ref="X4858">_xlfn.IFS(Tabla1[[#This Row],[Porcentaje de muertes]]&lt;0.35,"LEVE",AND(Tabla1[[#This Row],[Porcentaje de muertes]]&gt;0.35,Tabla1[[#This Row],[Porcentaje de muertes]]&lt;0.65),"MEDIO",Tabla1[[#This Row],[Porcentaje de muertes]]&gt;0.65,"GRAVE")</f>
        <v>GRAVE</v>
      </c>
    </row>
    <row r="4859" spans="2:24" x14ac:dyDescent="0.3">
      <c r="B4859" s="9">
        <v>4860</v>
      </c>
      <c r="C4859" s="49">
        <v>41607</v>
      </c>
      <c r="D4859" s="9">
        <f>YEAR(Tabla1[[#This Row],[Date]])</f>
        <v>2013</v>
      </c>
      <c r="E4859" s="9" t="str" cm="1">
        <f t="array" ref="E4859">IFERROR(_xlfn.IFS(AND(D4859&lt;1980,D4859&gt;=1970),"70",AND(D4859&lt;1990,D4859&gt;=1980),"80",AND(D4859&lt;2000,D4859&gt;=1990),"90",AND(D4859&lt;2010,D4859&gt;=2000),"00",AND(D4859&lt;=2019,D4859&gt;=2010),"10"),"1908-1970")</f>
        <v>10</v>
      </c>
      <c r="F4859" s="3">
        <v>0.5625</v>
      </c>
      <c r="G4859" t="s">
        <v>27513</v>
      </c>
      <c r="H4859" t="s">
        <v>27514</v>
      </c>
      <c r="I4859">
        <v>470</v>
      </c>
      <c r="J4859" t="s">
        <v>27515</v>
      </c>
      <c r="K4859" t="s">
        <v>27516</v>
      </c>
      <c r="L4859" s="7" t="s">
        <v>27517</v>
      </c>
      <c r="M4859">
        <v>19000581</v>
      </c>
      <c r="N4859">
        <v>33</v>
      </c>
      <c r="O4859">
        <v>27</v>
      </c>
      <c r="P4859">
        <v>6</v>
      </c>
      <c r="Q4859">
        <v>33</v>
      </c>
      <c r="R4859">
        <v>27</v>
      </c>
      <c r="S4859">
        <v>6</v>
      </c>
      <c r="T4859">
        <v>0</v>
      </c>
      <c r="U4859" t="s">
        <v>27518</v>
      </c>
      <c r="V4859">
        <f>Tabla1[[#This Row],[Aboard]]-Tabla1[[#This Row],[Fatalities]]</f>
        <v>0</v>
      </c>
      <c r="W4859" s="50">
        <f>IFERROR(Tabla1[[#This Row],[Fatalities]]/Tabla1[[#This Row],[Aboard]],0)</f>
        <v>1</v>
      </c>
      <c r="X4859" s="51" t="str" cm="1">
        <f t="array" ref="X4859">_xlfn.IFS(Tabla1[[#This Row],[Porcentaje de muertes]]&lt;0.35,"LEVE",AND(Tabla1[[#This Row],[Porcentaje de muertes]]&gt;0.35,Tabla1[[#This Row],[Porcentaje de muertes]]&lt;0.65),"MEDIO",Tabla1[[#This Row],[Porcentaje de muertes]]&gt;0.65,"GRAVE")</f>
        <v>GRAVE</v>
      </c>
    </row>
    <row r="4860" spans="2:24" x14ac:dyDescent="0.3">
      <c r="B4860" s="9">
        <v>4861</v>
      </c>
      <c r="C4860" s="49">
        <v>41406</v>
      </c>
      <c r="D4860" s="9">
        <f>YEAR(Tabla1[[#This Row],[Date]])</f>
        <v>2013</v>
      </c>
      <c r="E4860" s="9" t="str" cm="1">
        <f t="array" ref="E4860">IFERROR(_xlfn.IFS(AND(D4860&lt;1980,D4860&gt;=1970),"70",AND(D4860&lt;1990,D4860&gt;=1980),"80",AND(D4860&lt;2000,D4860&gt;=1990),"90",AND(D4860&lt;2010,D4860&gt;=2000),"00",AND(D4860&lt;=2019,D4860&gt;=2010),"10"),"1908-1970")</f>
        <v>10</v>
      </c>
      <c r="F4860" s="3" t="s">
        <v>28931</v>
      </c>
      <c r="G4860" t="s">
        <v>27519</v>
      </c>
      <c r="H4860" t="s">
        <v>27520</v>
      </c>
      <c r="I4860" t="s">
        <v>28931</v>
      </c>
      <c r="J4860" t="s">
        <v>27521</v>
      </c>
      <c r="K4860" t="s">
        <v>27522</v>
      </c>
      <c r="L4860" s="7" t="s">
        <v>27523</v>
      </c>
      <c r="M4860">
        <v>314</v>
      </c>
      <c r="N4860">
        <v>5</v>
      </c>
      <c r="O4860">
        <v>3</v>
      </c>
      <c r="P4860">
        <v>2</v>
      </c>
      <c r="Q4860">
        <v>5</v>
      </c>
      <c r="R4860">
        <v>3</v>
      </c>
      <c r="S4860">
        <v>2</v>
      </c>
      <c r="T4860">
        <v>0</v>
      </c>
      <c r="U4860" t="s">
        <v>27524</v>
      </c>
      <c r="V4860">
        <f>Tabla1[[#This Row],[Aboard]]-Tabla1[[#This Row],[Fatalities]]</f>
        <v>0</v>
      </c>
      <c r="W4860" s="50">
        <f>IFERROR(Tabla1[[#This Row],[Fatalities]]/Tabla1[[#This Row],[Aboard]],0)</f>
        <v>1</v>
      </c>
      <c r="X4860" s="51" t="str" cm="1">
        <f t="array" ref="X4860">_xlfn.IFS(Tabla1[[#This Row],[Porcentaje de muertes]]&lt;0.35,"LEVE",AND(Tabla1[[#This Row],[Porcentaje de muertes]]&gt;0.35,Tabla1[[#This Row],[Porcentaje de muertes]]&lt;0.65),"MEDIO",Tabla1[[#This Row],[Porcentaje de muertes]]&gt;0.65,"GRAVE")</f>
        <v>GRAVE</v>
      </c>
    </row>
    <row r="4861" spans="2:24" x14ac:dyDescent="0.3">
      <c r="B4861" s="9">
        <v>4862</v>
      </c>
      <c r="C4861" s="49">
        <v>41634</v>
      </c>
      <c r="D4861" s="9">
        <f>YEAR(Tabla1[[#This Row],[Date]])</f>
        <v>2013</v>
      </c>
      <c r="E4861" s="9" t="str" cm="1">
        <f t="array" ref="E4861">IFERROR(_xlfn.IFS(AND(D4861&lt;1980,D4861&gt;=1970),"70",AND(D4861&lt;1990,D4861&gt;=1980),"80",AND(D4861&lt;2000,D4861&gt;=1990),"90",AND(D4861&lt;2010,D4861&gt;=2000),"00",AND(D4861&lt;=2019,D4861&gt;=2010),"10"),"1908-1970")</f>
        <v>10</v>
      </c>
      <c r="F4861" s="3">
        <v>0.90208333333333324</v>
      </c>
      <c r="G4861" t="s">
        <v>11429</v>
      </c>
      <c r="H4861" t="s">
        <v>27525</v>
      </c>
      <c r="I4861" t="s">
        <v>28931</v>
      </c>
      <c r="J4861" t="s">
        <v>27526</v>
      </c>
      <c r="K4861" t="s">
        <v>23935</v>
      </c>
      <c r="L4861" s="7">
        <v>12162</v>
      </c>
      <c r="M4861">
        <v>3341509</v>
      </c>
      <c r="N4861">
        <v>9</v>
      </c>
      <c r="O4861">
        <v>3</v>
      </c>
      <c r="P4861">
        <v>6</v>
      </c>
      <c r="Q4861">
        <v>9</v>
      </c>
      <c r="R4861">
        <v>3</v>
      </c>
      <c r="S4861">
        <v>6</v>
      </c>
      <c r="T4861">
        <v>0</v>
      </c>
      <c r="U4861" t="s">
        <v>27527</v>
      </c>
      <c r="V4861">
        <f>Tabla1[[#This Row],[Aboard]]-Tabla1[[#This Row],[Fatalities]]</f>
        <v>0</v>
      </c>
      <c r="W4861" s="50">
        <f>IFERROR(Tabla1[[#This Row],[Fatalities]]/Tabla1[[#This Row],[Aboard]],0)</f>
        <v>1</v>
      </c>
      <c r="X4861" s="51" t="str" cm="1">
        <f t="array" ref="X4861">_xlfn.IFS(Tabla1[[#This Row],[Porcentaje de muertes]]&lt;0.35,"LEVE",AND(Tabla1[[#This Row],[Porcentaje de muertes]]&gt;0.35,Tabla1[[#This Row],[Porcentaje de muertes]]&lt;0.65),"MEDIO",Tabla1[[#This Row],[Porcentaje de muertes]]&gt;0.65,"GRAVE")</f>
        <v>GRAVE</v>
      </c>
    </row>
    <row r="4862" spans="2:24" x14ac:dyDescent="0.3">
      <c r="B4862" s="9">
        <v>4863</v>
      </c>
      <c r="C4862" s="49">
        <v>41659</v>
      </c>
      <c r="D4862" s="9">
        <f>YEAR(Tabla1[[#This Row],[Date]])</f>
        <v>2014</v>
      </c>
      <c r="E4862" s="9" t="str" cm="1">
        <f t="array" ref="E4862">IFERROR(_xlfn.IFS(AND(D4862&lt;1980,D4862&gt;=1970),"70",AND(D4862&lt;1990,D4862&gt;=1980),"80",AND(D4862&lt;2000,D4862&gt;=1990),"90",AND(D4862&lt;2010,D4862&gt;=2000),"00",AND(D4862&lt;=2019,D4862&gt;=2010),"10"),"1908-1970")</f>
        <v>10</v>
      </c>
      <c r="F4862" s="3">
        <v>0.69027777777777777</v>
      </c>
      <c r="G4862" t="s">
        <v>27528</v>
      </c>
      <c r="H4862" t="s">
        <v>27529</v>
      </c>
      <c r="I4862" t="s">
        <v>28931</v>
      </c>
      <c r="J4862" t="s">
        <v>15767</v>
      </c>
      <c r="K4862" t="s">
        <v>27408</v>
      </c>
      <c r="L4862" s="7" t="s">
        <v>27530</v>
      </c>
      <c r="M4862">
        <v>822</v>
      </c>
      <c r="N4862">
        <v>7</v>
      </c>
      <c r="O4862">
        <v>5</v>
      </c>
      <c r="P4862">
        <v>2</v>
      </c>
      <c r="Q4862">
        <v>2</v>
      </c>
      <c r="R4862">
        <v>1</v>
      </c>
      <c r="S4862">
        <v>1</v>
      </c>
      <c r="T4862">
        <v>0</v>
      </c>
      <c r="U4862" t="s">
        <v>27531</v>
      </c>
      <c r="V4862">
        <f>Tabla1[[#This Row],[Aboard]]-Tabla1[[#This Row],[Fatalities]]</f>
        <v>5</v>
      </c>
      <c r="W4862" s="50">
        <f>IFERROR(Tabla1[[#This Row],[Fatalities]]/Tabla1[[#This Row],[Aboard]],0)</f>
        <v>0.2857142857142857</v>
      </c>
      <c r="X4862" s="51" t="str" cm="1">
        <f t="array" ref="X4862">_xlfn.IFS(Tabla1[[#This Row],[Porcentaje de muertes]]&lt;0.35,"LEVE",AND(Tabla1[[#This Row],[Porcentaje de muertes]]&gt;0.35,Tabla1[[#This Row],[Porcentaje de muertes]]&lt;0.65),"MEDIO",Tabla1[[#This Row],[Porcentaje de muertes]]&gt;0.65,"GRAVE")</f>
        <v>LEVE</v>
      </c>
    </row>
    <row r="4863" spans="2:24" x14ac:dyDescent="0.3">
      <c r="B4863" s="9">
        <v>4864</v>
      </c>
      <c r="C4863" s="49">
        <v>41945</v>
      </c>
      <c r="D4863" s="9">
        <f>YEAR(Tabla1[[#This Row],[Date]])</f>
        <v>2014</v>
      </c>
      <c r="E4863" s="9" t="str" cm="1">
        <f t="array" ref="E4863">IFERROR(_xlfn.IFS(AND(D4863&lt;1980,D4863&gt;=1970),"70",AND(D4863&lt;1990,D4863&gt;=1980),"80",AND(D4863&lt;2000,D4863&gt;=1990),"90",AND(D4863&lt;2010,D4863&gt;=2000),"00",AND(D4863&lt;=2019,D4863&gt;=2010),"10"),"1908-1970")</f>
        <v>10</v>
      </c>
      <c r="F4863" s="3">
        <v>0.4993055555555555</v>
      </c>
      <c r="G4863" t="s">
        <v>27532</v>
      </c>
      <c r="H4863" t="s">
        <v>25303</v>
      </c>
      <c r="I4863" t="s">
        <v>28931</v>
      </c>
      <c r="J4863" t="s">
        <v>27533</v>
      </c>
      <c r="K4863" t="s">
        <v>27534</v>
      </c>
      <c r="L4863" s="7" t="s">
        <v>27535</v>
      </c>
      <c r="M4863">
        <v>4919</v>
      </c>
      <c r="N4863">
        <v>77</v>
      </c>
      <c r="O4863">
        <v>73</v>
      </c>
      <c r="P4863">
        <v>4</v>
      </c>
      <c r="Q4863">
        <v>76</v>
      </c>
      <c r="R4863">
        <v>72</v>
      </c>
      <c r="S4863">
        <v>4</v>
      </c>
      <c r="T4863">
        <v>0</v>
      </c>
      <c r="U4863" t="s">
        <v>27536</v>
      </c>
      <c r="V4863">
        <f>Tabla1[[#This Row],[Aboard]]-Tabla1[[#This Row],[Fatalities]]</f>
        <v>1</v>
      </c>
      <c r="W4863" s="50">
        <f>IFERROR(Tabla1[[#This Row],[Fatalities]]/Tabla1[[#This Row],[Aboard]],0)</f>
        <v>0.98701298701298701</v>
      </c>
      <c r="X4863" s="51" t="str" cm="1">
        <f t="array" ref="X4863">_xlfn.IFS(Tabla1[[#This Row],[Porcentaje de muertes]]&lt;0.35,"LEVE",AND(Tabla1[[#This Row],[Porcentaje de muertes]]&gt;0.35,Tabla1[[#This Row],[Porcentaje de muertes]]&lt;0.65),"MEDIO",Tabla1[[#This Row],[Porcentaje de muertes]]&gt;0.65,"GRAVE")</f>
        <v>GRAVE</v>
      </c>
    </row>
    <row r="4864" spans="2:24" x14ac:dyDescent="0.3">
      <c r="B4864" s="9">
        <v>4865</v>
      </c>
      <c r="C4864" s="49">
        <v>41686</v>
      </c>
      <c r="D4864" s="9">
        <f>YEAR(Tabla1[[#This Row],[Date]])</f>
        <v>2014</v>
      </c>
      <c r="E4864" s="9" t="str" cm="1">
        <f t="array" ref="E4864">IFERROR(_xlfn.IFS(AND(D4864&lt;1980,D4864&gt;=1970),"70",AND(D4864&lt;1990,D4864&gt;=1980),"80",AND(D4864&lt;2000,D4864&gt;=1990),"90",AND(D4864&lt;2010,D4864&gt;=2000),"00",AND(D4864&lt;=2019,D4864&gt;=2010),"10"),"1908-1970")</f>
        <v>10</v>
      </c>
      <c r="F4864" s="3">
        <v>0.55208333333333337</v>
      </c>
      <c r="G4864" t="s">
        <v>27537</v>
      </c>
      <c r="H4864" t="s">
        <v>27538</v>
      </c>
      <c r="I4864">
        <v>183</v>
      </c>
      <c r="J4864" t="s">
        <v>27539</v>
      </c>
      <c r="K4864" t="s">
        <v>16680</v>
      </c>
      <c r="L4864" s="7" t="s">
        <v>27540</v>
      </c>
      <c r="M4864">
        <v>302</v>
      </c>
      <c r="N4864">
        <v>18</v>
      </c>
      <c r="O4864">
        <v>15</v>
      </c>
      <c r="P4864">
        <v>3</v>
      </c>
      <c r="Q4864">
        <v>18</v>
      </c>
      <c r="R4864">
        <v>15</v>
      </c>
      <c r="S4864">
        <v>3</v>
      </c>
      <c r="T4864">
        <v>0</v>
      </c>
      <c r="U4864" t="s">
        <v>27541</v>
      </c>
      <c r="V4864">
        <f>Tabla1[[#This Row],[Aboard]]-Tabla1[[#This Row],[Fatalities]]</f>
        <v>0</v>
      </c>
      <c r="W4864" s="50">
        <f>IFERROR(Tabla1[[#This Row],[Fatalities]]/Tabla1[[#This Row],[Aboard]],0)</f>
        <v>1</v>
      </c>
      <c r="X4864" s="51" t="str" cm="1">
        <f t="array" ref="X4864">_xlfn.IFS(Tabla1[[#This Row],[Porcentaje de muertes]]&lt;0.35,"LEVE",AND(Tabla1[[#This Row],[Porcentaje de muertes]]&gt;0.35,Tabla1[[#This Row],[Porcentaje de muertes]]&lt;0.65),"MEDIO",Tabla1[[#This Row],[Porcentaje de muertes]]&gt;0.65,"GRAVE")</f>
        <v>GRAVE</v>
      </c>
    </row>
    <row r="4865" spans="2:24" x14ac:dyDescent="0.3">
      <c r="B4865" s="9">
        <v>4866</v>
      </c>
      <c r="C4865" s="49">
        <v>41691</v>
      </c>
      <c r="D4865" s="9">
        <f>YEAR(Tabla1[[#This Row],[Date]])</f>
        <v>2014</v>
      </c>
      <c r="E4865" s="9" t="str" cm="1">
        <f t="array" ref="E4865">IFERROR(_xlfn.IFS(AND(D4865&lt;1980,D4865&gt;=1970),"70",AND(D4865&lt;1990,D4865&gt;=1980),"80",AND(D4865&lt;2000,D4865&gt;=1990),"90",AND(D4865&lt;2010,D4865&gt;=2000),"00",AND(D4865&lt;=2019,D4865&gt;=2010),"10"),"1908-1970")</f>
        <v>10</v>
      </c>
      <c r="F4865" s="3">
        <v>7.2916666666666671E-2</v>
      </c>
      <c r="G4865" t="s">
        <v>27542</v>
      </c>
      <c r="H4865" t="s">
        <v>27543</v>
      </c>
      <c r="I4865" t="s">
        <v>28931</v>
      </c>
      <c r="J4865" t="s">
        <v>27544</v>
      </c>
      <c r="K4865" t="s">
        <v>27545</v>
      </c>
      <c r="L4865" s="7" t="s">
        <v>27546</v>
      </c>
      <c r="M4865">
        <v>11809</v>
      </c>
      <c r="N4865">
        <v>11</v>
      </c>
      <c r="O4865">
        <v>6</v>
      </c>
      <c r="P4865">
        <v>5</v>
      </c>
      <c r="Q4865">
        <v>11</v>
      </c>
      <c r="R4865">
        <v>6</v>
      </c>
      <c r="S4865">
        <v>5</v>
      </c>
      <c r="T4865">
        <v>0</v>
      </c>
      <c r="U4865" t="s">
        <v>27547</v>
      </c>
      <c r="V4865">
        <f>Tabla1[[#This Row],[Aboard]]-Tabla1[[#This Row],[Fatalities]]</f>
        <v>0</v>
      </c>
      <c r="W4865" s="50">
        <f>IFERROR(Tabla1[[#This Row],[Fatalities]]/Tabla1[[#This Row],[Aboard]],0)</f>
        <v>1</v>
      </c>
      <c r="X4865" s="51" t="str" cm="1">
        <f t="array" ref="X4865">_xlfn.IFS(Tabla1[[#This Row],[Porcentaje de muertes]]&lt;0.35,"LEVE",AND(Tabla1[[#This Row],[Porcentaje de muertes]]&gt;0.35,Tabla1[[#This Row],[Porcentaje de muertes]]&lt;0.65),"MEDIO",Tabla1[[#This Row],[Porcentaje de muertes]]&gt;0.65,"GRAVE")</f>
        <v>GRAVE</v>
      </c>
    </row>
    <row r="4866" spans="2:24" x14ac:dyDescent="0.3">
      <c r="B4866" s="9">
        <v>4867</v>
      </c>
      <c r="C4866" s="49">
        <v>41854</v>
      </c>
      <c r="D4866" s="9">
        <f>YEAR(Tabla1[[#This Row],[Date]])</f>
        <v>2014</v>
      </c>
      <c r="E4866" s="9" t="str" cm="1">
        <f t="array" ref="E4866">IFERROR(_xlfn.IFS(AND(D4866&lt;1980,D4866&gt;=1970),"70",AND(D4866&lt;1990,D4866&gt;=1980),"80",AND(D4866&lt;2000,D4866&gt;=1990),"90",AND(D4866&lt;2010,D4866&gt;=2000),"00",AND(D4866&lt;=2019,D4866&gt;=2010),"10"),"1908-1970")</f>
        <v>10</v>
      </c>
      <c r="F4866" s="3">
        <v>0.11180555555555556</v>
      </c>
      <c r="G4866" t="s">
        <v>27548</v>
      </c>
      <c r="H4866" t="s">
        <v>18020</v>
      </c>
      <c r="I4866">
        <v>370</v>
      </c>
      <c r="J4866" t="s">
        <v>27549</v>
      </c>
      <c r="K4866" t="s">
        <v>27550</v>
      </c>
      <c r="L4866" s="7" t="s">
        <v>27551</v>
      </c>
      <c r="M4866" t="s">
        <v>27552</v>
      </c>
      <c r="N4866">
        <v>239</v>
      </c>
      <c r="O4866">
        <v>227</v>
      </c>
      <c r="P4866">
        <v>12</v>
      </c>
      <c r="Q4866">
        <v>239</v>
      </c>
      <c r="R4866">
        <v>227</v>
      </c>
      <c r="S4866">
        <v>12</v>
      </c>
      <c r="T4866">
        <v>0</v>
      </c>
      <c r="U4866" t="s">
        <v>27553</v>
      </c>
      <c r="V4866">
        <f>Tabla1[[#This Row],[Aboard]]-Tabla1[[#This Row],[Fatalities]]</f>
        <v>0</v>
      </c>
      <c r="W4866" s="50">
        <f>IFERROR(Tabla1[[#This Row],[Fatalities]]/Tabla1[[#This Row],[Aboard]],0)</f>
        <v>1</v>
      </c>
      <c r="X4866" s="51" t="str" cm="1">
        <f t="array" ref="X4866">_xlfn.IFS(Tabla1[[#This Row],[Porcentaje de muertes]]&lt;0.35,"LEVE",AND(Tabla1[[#This Row],[Porcentaje de muertes]]&gt;0.35,Tabla1[[#This Row],[Porcentaje de muertes]]&lt;0.65),"MEDIO",Tabla1[[#This Row],[Porcentaje de muertes]]&gt;0.65,"GRAVE")</f>
        <v>GRAVE</v>
      </c>
    </row>
    <row r="4867" spans="2:24" x14ac:dyDescent="0.3">
      <c r="B4867" s="9">
        <v>4868</v>
      </c>
      <c r="C4867" s="49">
        <v>41716</v>
      </c>
      <c r="D4867" s="9">
        <f>YEAR(Tabla1[[#This Row],[Date]])</f>
        <v>2014</v>
      </c>
      <c r="E4867" s="9" t="str" cm="1">
        <f t="array" ref="E4867">IFERROR(_xlfn.IFS(AND(D4867&lt;1980,D4867&gt;=1970),"70",AND(D4867&lt;1990,D4867&gt;=1980),"80",AND(D4867&lt;2000,D4867&gt;=1990),"90",AND(D4867&lt;2010,D4867&gt;=2000),"00",AND(D4867&lt;=2019,D4867&gt;=2010),"10"),"1908-1970")</f>
        <v>10</v>
      </c>
      <c r="F4867" s="3">
        <v>0.32777777777777778</v>
      </c>
      <c r="G4867" t="s">
        <v>7915</v>
      </c>
      <c r="H4867" t="s">
        <v>27554</v>
      </c>
      <c r="I4867" t="s">
        <v>28931</v>
      </c>
      <c r="J4867" t="s">
        <v>27555</v>
      </c>
      <c r="K4867" t="s">
        <v>27556</v>
      </c>
      <c r="L4867" s="7" t="s">
        <v>27557</v>
      </c>
      <c r="M4867">
        <v>3669</v>
      </c>
      <c r="N4867">
        <v>2</v>
      </c>
      <c r="O4867">
        <v>1</v>
      </c>
      <c r="P4867">
        <v>1</v>
      </c>
      <c r="Q4867">
        <v>2</v>
      </c>
      <c r="R4867">
        <v>1</v>
      </c>
      <c r="S4867">
        <v>1</v>
      </c>
      <c r="T4867">
        <v>0</v>
      </c>
      <c r="U4867" t="s">
        <v>27558</v>
      </c>
      <c r="V4867">
        <f>Tabla1[[#This Row],[Aboard]]-Tabla1[[#This Row],[Fatalities]]</f>
        <v>0</v>
      </c>
      <c r="W4867" s="50">
        <f>IFERROR(Tabla1[[#This Row],[Fatalities]]/Tabla1[[#This Row],[Aboard]],0)</f>
        <v>1</v>
      </c>
      <c r="X4867" s="51" t="str" cm="1">
        <f t="array" ref="X4867">_xlfn.IFS(Tabla1[[#This Row],[Porcentaje de muertes]]&lt;0.35,"LEVE",AND(Tabla1[[#This Row],[Porcentaje de muertes]]&gt;0.35,Tabla1[[#This Row],[Porcentaje de muertes]]&lt;0.65),"MEDIO",Tabla1[[#This Row],[Porcentaje de muertes]]&gt;0.65,"GRAVE")</f>
        <v>GRAVE</v>
      </c>
    </row>
    <row r="4868" spans="2:24" x14ac:dyDescent="0.3">
      <c r="B4868" s="9">
        <v>4869</v>
      </c>
      <c r="C4868" s="49">
        <v>41748</v>
      </c>
      <c r="D4868" s="9">
        <f>YEAR(Tabla1[[#This Row],[Date]])</f>
        <v>2014</v>
      </c>
      <c r="E4868" s="9" t="str" cm="1">
        <f t="array" ref="E4868">IFERROR(_xlfn.IFS(AND(D4868&lt;1980,D4868&gt;=1970),"70",AND(D4868&lt;1990,D4868&gt;=1980),"80",AND(D4868&lt;2000,D4868&gt;=1990),"90",AND(D4868&lt;2010,D4868&gt;=2000),"00",AND(D4868&lt;=2019,D4868&gt;=2010),"10"),"1908-1970")</f>
        <v>10</v>
      </c>
      <c r="F4868" s="3">
        <v>0.82291666666666663</v>
      </c>
      <c r="G4868" t="s">
        <v>27559</v>
      </c>
      <c r="H4868" t="s">
        <v>27560</v>
      </c>
      <c r="I4868" t="s">
        <v>28931</v>
      </c>
      <c r="J4868" t="s">
        <v>27561</v>
      </c>
      <c r="K4868" t="s">
        <v>27562</v>
      </c>
      <c r="L4868" s="7" t="s">
        <v>27563</v>
      </c>
      <c r="M4868">
        <v>25719</v>
      </c>
      <c r="N4868">
        <v>8</v>
      </c>
      <c r="O4868">
        <v>6</v>
      </c>
      <c r="P4868">
        <v>2</v>
      </c>
      <c r="Q4868">
        <v>8</v>
      </c>
      <c r="R4868">
        <v>6</v>
      </c>
      <c r="S4868">
        <v>2</v>
      </c>
      <c r="T4868">
        <v>0</v>
      </c>
      <c r="U4868" t="s">
        <v>27564</v>
      </c>
      <c r="V4868">
        <f>Tabla1[[#This Row],[Aboard]]-Tabla1[[#This Row],[Fatalities]]</f>
        <v>0</v>
      </c>
      <c r="W4868" s="50">
        <f>IFERROR(Tabla1[[#This Row],[Fatalities]]/Tabla1[[#This Row],[Aboard]],0)</f>
        <v>1</v>
      </c>
      <c r="X4868" s="51" t="str" cm="1">
        <f t="array" ref="X4868">_xlfn.IFS(Tabla1[[#This Row],[Porcentaje de muertes]]&lt;0.35,"LEVE",AND(Tabla1[[#This Row],[Porcentaje de muertes]]&gt;0.35,Tabla1[[#This Row],[Porcentaje de muertes]]&lt;0.65),"MEDIO",Tabla1[[#This Row],[Porcentaje de muertes]]&gt;0.65,"GRAVE")</f>
        <v>GRAVE</v>
      </c>
    </row>
    <row r="4869" spans="2:24" x14ac:dyDescent="0.3">
      <c r="B4869" s="9">
        <v>4870</v>
      </c>
      <c r="C4869" s="49">
        <v>41749</v>
      </c>
      <c r="D4869" s="9">
        <f>YEAR(Tabla1[[#This Row],[Date]])</f>
        <v>2014</v>
      </c>
      <c r="E4869" s="9" t="str" cm="1">
        <f t="array" ref="E4869">IFERROR(_xlfn.IFS(AND(D4869&lt;1980,D4869&gt;=1970),"70",AND(D4869&lt;1990,D4869&gt;=1980),"80",AND(D4869&lt;2000,D4869&gt;=1990),"90",AND(D4869&lt;2010,D4869&gt;=2000),"00",AND(D4869&lt;=2019,D4869&gt;=2010),"10"),"1908-1970")</f>
        <v>10</v>
      </c>
      <c r="F4869" s="3">
        <v>0.64583333333333337</v>
      </c>
      <c r="G4869" t="s">
        <v>27565</v>
      </c>
      <c r="H4869" t="s">
        <v>27566</v>
      </c>
      <c r="I4869" t="s">
        <v>28931</v>
      </c>
      <c r="J4869" t="s">
        <v>25219</v>
      </c>
      <c r="K4869" t="s">
        <v>27567</v>
      </c>
      <c r="L4869" s="7" t="s">
        <v>27568</v>
      </c>
      <c r="M4869" t="s">
        <v>28931</v>
      </c>
      <c r="N4869">
        <v>8</v>
      </c>
      <c r="O4869">
        <v>7</v>
      </c>
      <c r="P4869">
        <v>1</v>
      </c>
      <c r="Q4869">
        <v>8</v>
      </c>
      <c r="R4869">
        <v>7</v>
      </c>
      <c r="S4869">
        <v>1</v>
      </c>
      <c r="T4869">
        <v>0</v>
      </c>
      <c r="U4869" t="s">
        <v>27569</v>
      </c>
      <c r="V4869">
        <f>Tabla1[[#This Row],[Aboard]]-Tabla1[[#This Row],[Fatalities]]</f>
        <v>0</v>
      </c>
      <c r="W4869" s="50">
        <f>IFERROR(Tabla1[[#This Row],[Fatalities]]/Tabla1[[#This Row],[Aboard]],0)</f>
        <v>1</v>
      </c>
      <c r="X4869" s="51" t="str" cm="1">
        <f t="array" ref="X4869">_xlfn.IFS(Tabla1[[#This Row],[Porcentaje de muertes]]&lt;0.35,"LEVE",AND(Tabla1[[#This Row],[Porcentaje de muertes]]&gt;0.35,Tabla1[[#This Row],[Porcentaje de muertes]]&lt;0.65),"MEDIO",Tabla1[[#This Row],[Porcentaje de muertes]]&gt;0.65,"GRAVE")</f>
        <v>GRAVE</v>
      </c>
    </row>
    <row r="4870" spans="2:24" x14ac:dyDescent="0.3">
      <c r="B4870" s="9">
        <v>4871</v>
      </c>
      <c r="C4870" s="49">
        <v>41856</v>
      </c>
      <c r="D4870" s="9">
        <f>YEAR(Tabla1[[#This Row],[Date]])</f>
        <v>2014</v>
      </c>
      <c r="E4870" s="9" t="str" cm="1">
        <f t="array" ref="E4870">IFERROR(_xlfn.IFS(AND(D4870&lt;1980,D4870&gt;=1970),"70",AND(D4870&lt;1990,D4870&gt;=1980),"80",AND(D4870&lt;2000,D4870&gt;=1990),"90",AND(D4870&lt;2010,D4870&gt;=2000),"00",AND(D4870&lt;=2019,D4870&gt;=2010),"10"),"1908-1970")</f>
        <v>10</v>
      </c>
      <c r="F4870" s="3">
        <v>0.53125</v>
      </c>
      <c r="G4870" t="s">
        <v>27570</v>
      </c>
      <c r="H4870" t="s">
        <v>27571</v>
      </c>
      <c r="I4870" t="s">
        <v>28931</v>
      </c>
      <c r="J4870" t="s">
        <v>27572</v>
      </c>
      <c r="K4870" t="s">
        <v>9005</v>
      </c>
      <c r="L4870" s="7" t="s">
        <v>27573</v>
      </c>
      <c r="M4870">
        <v>9700</v>
      </c>
      <c r="N4870">
        <v>6</v>
      </c>
      <c r="O4870">
        <v>0</v>
      </c>
      <c r="P4870">
        <v>6</v>
      </c>
      <c r="Q4870">
        <v>6</v>
      </c>
      <c r="R4870">
        <v>0</v>
      </c>
      <c r="S4870">
        <v>6</v>
      </c>
      <c r="T4870">
        <v>0</v>
      </c>
      <c r="U4870" t="s">
        <v>27574</v>
      </c>
      <c r="V4870">
        <f>Tabla1[[#This Row],[Aboard]]-Tabla1[[#This Row],[Fatalities]]</f>
        <v>0</v>
      </c>
      <c r="W4870" s="50">
        <f>IFERROR(Tabla1[[#This Row],[Fatalities]]/Tabla1[[#This Row],[Aboard]],0)</f>
        <v>1</v>
      </c>
      <c r="X4870" s="51" t="str" cm="1">
        <f t="array" ref="X4870">_xlfn.IFS(Tabla1[[#This Row],[Porcentaje de muertes]]&lt;0.35,"LEVE",AND(Tabla1[[#This Row],[Porcentaje de muertes]]&gt;0.35,Tabla1[[#This Row],[Porcentaje de muertes]]&lt;0.65),"MEDIO",Tabla1[[#This Row],[Porcentaje de muertes]]&gt;0.65,"GRAVE")</f>
        <v>GRAVE</v>
      </c>
    </row>
    <row r="4871" spans="2:24" x14ac:dyDescent="0.3">
      <c r="B4871" s="9">
        <v>4872</v>
      </c>
      <c r="C4871" s="49">
        <v>41776</v>
      </c>
      <c r="D4871" s="9">
        <f>YEAR(Tabla1[[#This Row],[Date]])</f>
        <v>2014</v>
      </c>
      <c r="E4871" s="9" t="str" cm="1">
        <f t="array" ref="E4871">IFERROR(_xlfn.IFS(AND(D4871&lt;1980,D4871&gt;=1970),"70",AND(D4871&lt;1990,D4871&gt;=1980),"80",AND(D4871&lt;2000,D4871&gt;=1990),"90",AND(D4871&lt;2010,D4871&gt;=2000),"00",AND(D4871&lt;=2019,D4871&gt;=2010),"10"),"1908-1970")</f>
        <v>10</v>
      </c>
      <c r="F4871" s="3">
        <v>0.33333333333333331</v>
      </c>
      <c r="G4871" t="s">
        <v>27575</v>
      </c>
      <c r="H4871" t="s">
        <v>27576</v>
      </c>
      <c r="I4871" t="s">
        <v>28931</v>
      </c>
      <c r="J4871" t="s">
        <v>27577</v>
      </c>
      <c r="K4871" t="s">
        <v>27578</v>
      </c>
      <c r="L4871" s="7" t="s">
        <v>27579</v>
      </c>
      <c r="M4871">
        <v>36547098982</v>
      </c>
      <c r="N4871">
        <v>17</v>
      </c>
      <c r="O4871">
        <v>11</v>
      </c>
      <c r="P4871">
        <v>6</v>
      </c>
      <c r="Q4871">
        <v>16</v>
      </c>
      <c r="R4871">
        <v>10</v>
      </c>
      <c r="S4871">
        <v>6</v>
      </c>
      <c r="T4871">
        <v>0</v>
      </c>
      <c r="U4871" t="s">
        <v>27580</v>
      </c>
      <c r="V4871">
        <f>Tabla1[[#This Row],[Aboard]]-Tabla1[[#This Row],[Fatalities]]</f>
        <v>1</v>
      </c>
      <c r="W4871" s="50">
        <f>IFERROR(Tabla1[[#This Row],[Fatalities]]/Tabla1[[#This Row],[Aboard]],0)</f>
        <v>0.94117647058823528</v>
      </c>
      <c r="X4871" s="51" t="str" cm="1">
        <f t="array" ref="X4871">_xlfn.IFS(Tabla1[[#This Row],[Porcentaje de muertes]]&lt;0.35,"LEVE",AND(Tabla1[[#This Row],[Porcentaje de muertes]]&gt;0.35,Tabla1[[#This Row],[Porcentaje de muertes]]&lt;0.65),"MEDIO",Tabla1[[#This Row],[Porcentaje de muertes]]&gt;0.65,"GRAVE")</f>
        <v>GRAVE</v>
      </c>
    </row>
    <row r="4872" spans="2:24" x14ac:dyDescent="0.3">
      <c r="B4872" s="9">
        <v>4873</v>
      </c>
      <c r="C4872" s="49">
        <v>41804</v>
      </c>
      <c r="D4872" s="9">
        <f>YEAR(Tabla1[[#This Row],[Date]])</f>
        <v>2014</v>
      </c>
      <c r="E4872" s="9" t="str" cm="1">
        <f t="array" ref="E4872">IFERROR(_xlfn.IFS(AND(D4872&lt;1980,D4872&gt;=1970),"70",AND(D4872&lt;1990,D4872&gt;=1980),"80",AND(D4872&lt;2000,D4872&gt;=1990),"90",AND(D4872&lt;2010,D4872&gt;=2000),"00",AND(D4872&lt;=2019,D4872&gt;=2010),"10"),"1908-1970")</f>
        <v>10</v>
      </c>
      <c r="F4872" s="3">
        <v>3.4722222222222224E-2</v>
      </c>
      <c r="G4872" t="s">
        <v>27581</v>
      </c>
      <c r="H4872" t="s">
        <v>25047</v>
      </c>
      <c r="I4872" t="s">
        <v>28931</v>
      </c>
      <c r="J4872" t="s">
        <v>27582</v>
      </c>
      <c r="K4872" t="s">
        <v>23173</v>
      </c>
      <c r="L4872" s="7">
        <v>76777</v>
      </c>
      <c r="M4872">
        <v>83482490</v>
      </c>
      <c r="N4872">
        <v>49</v>
      </c>
      <c r="O4872">
        <v>40</v>
      </c>
      <c r="P4872">
        <v>9</v>
      </c>
      <c r="Q4872">
        <v>49</v>
      </c>
      <c r="R4872">
        <v>40</v>
      </c>
      <c r="S4872">
        <v>9</v>
      </c>
      <c r="T4872">
        <v>0</v>
      </c>
      <c r="U4872" t="s">
        <v>27583</v>
      </c>
      <c r="V4872">
        <f>Tabla1[[#This Row],[Aboard]]-Tabla1[[#This Row],[Fatalities]]</f>
        <v>0</v>
      </c>
      <c r="W4872" s="50">
        <f>IFERROR(Tabla1[[#This Row],[Fatalities]]/Tabla1[[#This Row],[Aboard]],0)</f>
        <v>1</v>
      </c>
      <c r="X4872" s="51" t="str" cm="1">
        <f t="array" ref="X4872">_xlfn.IFS(Tabla1[[#This Row],[Porcentaje de muertes]]&lt;0.35,"LEVE",AND(Tabla1[[#This Row],[Porcentaje de muertes]]&gt;0.35,Tabla1[[#This Row],[Porcentaje de muertes]]&lt;0.65),"MEDIO",Tabla1[[#This Row],[Porcentaje de muertes]]&gt;0.65,"GRAVE")</f>
        <v>GRAVE</v>
      </c>
    </row>
    <row r="4873" spans="2:24" x14ac:dyDescent="0.3">
      <c r="B4873" s="9">
        <v>4874</v>
      </c>
      <c r="C4873" s="49">
        <v>41677</v>
      </c>
      <c r="D4873" s="9">
        <f>YEAR(Tabla1[[#This Row],[Date]])</f>
        <v>2014</v>
      </c>
      <c r="E4873" s="9" t="str" cm="1">
        <f t="array" ref="E4873">IFERROR(_xlfn.IFS(AND(D4873&lt;1980,D4873&gt;=1970),"70",AND(D4873&lt;1990,D4873&gt;=1980),"80",AND(D4873&lt;2000,D4873&gt;=1990),"90",AND(D4873&lt;2010,D4873&gt;=2000),"00",AND(D4873&lt;=2019,D4873&gt;=2010),"10"),"1908-1970")</f>
        <v>10</v>
      </c>
      <c r="F4873" s="3" t="s">
        <v>28931</v>
      </c>
      <c r="G4873" t="s">
        <v>13538</v>
      </c>
      <c r="H4873" t="s">
        <v>27584</v>
      </c>
      <c r="I4873" t="s">
        <v>28931</v>
      </c>
      <c r="J4873" t="s">
        <v>27585</v>
      </c>
      <c r="K4873" t="s">
        <v>22957</v>
      </c>
      <c r="L4873" s="7" t="s">
        <v>27586</v>
      </c>
      <c r="M4873">
        <v>20262</v>
      </c>
      <c r="N4873">
        <v>4</v>
      </c>
      <c r="O4873">
        <v>0</v>
      </c>
      <c r="P4873">
        <v>4</v>
      </c>
      <c r="Q4873">
        <v>4</v>
      </c>
      <c r="R4873">
        <v>0</v>
      </c>
      <c r="S4873">
        <v>4</v>
      </c>
      <c r="T4873">
        <v>0</v>
      </c>
      <c r="U4873" t="s">
        <v>27587</v>
      </c>
      <c r="V4873">
        <f>Tabla1[[#This Row],[Aboard]]-Tabla1[[#This Row],[Fatalities]]</f>
        <v>0</v>
      </c>
      <c r="W4873" s="50">
        <f>IFERROR(Tabla1[[#This Row],[Fatalities]]/Tabla1[[#This Row],[Aboard]],0)</f>
        <v>1</v>
      </c>
      <c r="X4873" s="51" t="str" cm="1">
        <f t="array" ref="X4873">_xlfn.IFS(Tabla1[[#This Row],[Porcentaje de muertes]]&lt;0.35,"LEVE",AND(Tabla1[[#This Row],[Porcentaje de muertes]]&gt;0.35,Tabla1[[#This Row],[Porcentaje de muertes]]&lt;0.65),"MEDIO",Tabla1[[#This Row],[Porcentaje de muertes]]&gt;0.65,"GRAVE")</f>
        <v>GRAVE</v>
      </c>
    </row>
    <row r="4874" spans="2:24" x14ac:dyDescent="0.3">
      <c r="B4874" s="9">
        <v>4875</v>
      </c>
      <c r="C4874" s="49">
        <v>41827</v>
      </c>
      <c r="D4874" s="9">
        <f>YEAR(Tabla1[[#This Row],[Date]])</f>
        <v>2014</v>
      </c>
      <c r="E4874" s="9" t="str" cm="1">
        <f t="array" ref="E4874">IFERROR(_xlfn.IFS(AND(D4874&lt;1980,D4874&gt;=1970),"70",AND(D4874&lt;1990,D4874&gt;=1980),"80",AND(D4874&lt;2000,D4874&gt;=1990),"90",AND(D4874&lt;2010,D4874&gt;=2000),"00",AND(D4874&lt;=2019,D4874&gt;=2010),"10"),"1908-1970")</f>
        <v>10</v>
      </c>
      <c r="F4874" s="3">
        <v>0.3263888888888889</v>
      </c>
      <c r="G4874" t="s">
        <v>27588</v>
      </c>
      <c r="H4874" t="s">
        <v>27589</v>
      </c>
      <c r="I4874" t="s">
        <v>28931</v>
      </c>
      <c r="J4874" t="s">
        <v>6190</v>
      </c>
      <c r="K4874" t="s">
        <v>27590</v>
      </c>
      <c r="L4874" s="7" t="s">
        <v>28931</v>
      </c>
      <c r="M4874" t="s">
        <v>28931</v>
      </c>
      <c r="N4874">
        <v>19</v>
      </c>
      <c r="O4874">
        <v>21</v>
      </c>
      <c r="P4874">
        <v>2</v>
      </c>
      <c r="Q4874">
        <v>18</v>
      </c>
      <c r="R4874" t="s">
        <v>5038</v>
      </c>
      <c r="S4874" t="s">
        <v>5038</v>
      </c>
      <c r="T4874">
        <v>0</v>
      </c>
      <c r="U4874" t="s">
        <v>27591</v>
      </c>
      <c r="V4874">
        <f>Tabla1[[#This Row],[Aboard]]-Tabla1[[#This Row],[Fatalities]]</f>
        <v>1</v>
      </c>
      <c r="W4874" s="50">
        <f>IFERROR(Tabla1[[#This Row],[Fatalities]]/Tabla1[[#This Row],[Aboard]],0)</f>
        <v>0.94736842105263153</v>
      </c>
      <c r="X4874" s="51" t="str" cm="1">
        <f t="array" ref="X4874">_xlfn.IFS(Tabla1[[#This Row],[Porcentaje de muertes]]&lt;0.35,"LEVE",AND(Tabla1[[#This Row],[Porcentaje de muertes]]&gt;0.35,Tabla1[[#This Row],[Porcentaje de muertes]]&lt;0.65),"MEDIO",Tabla1[[#This Row],[Porcentaje de muertes]]&gt;0.65,"GRAVE")</f>
        <v>GRAVE</v>
      </c>
    </row>
    <row r="4875" spans="2:24" x14ac:dyDescent="0.3">
      <c r="B4875" s="9">
        <v>4876</v>
      </c>
      <c r="C4875" s="49">
        <v>41837</v>
      </c>
      <c r="D4875" s="9">
        <f>YEAR(Tabla1[[#This Row],[Date]])</f>
        <v>2014</v>
      </c>
      <c r="E4875" s="9" t="str" cm="1">
        <f t="array" ref="E4875">IFERROR(_xlfn.IFS(AND(D4875&lt;1980,D4875&gt;=1970),"70",AND(D4875&lt;1990,D4875&gt;=1980),"80",AND(D4875&lt;2000,D4875&gt;=1990),"90",AND(D4875&lt;2010,D4875&gt;=2000),"00",AND(D4875&lt;=2019,D4875&gt;=2010),"10"),"1908-1970")</f>
        <v>10</v>
      </c>
      <c r="F4875" s="3">
        <v>0.67986111111111114</v>
      </c>
      <c r="G4875" t="s">
        <v>27592</v>
      </c>
      <c r="H4875" t="s">
        <v>18020</v>
      </c>
      <c r="I4875">
        <v>17</v>
      </c>
      <c r="J4875" t="s">
        <v>27593</v>
      </c>
      <c r="K4875" t="s">
        <v>27594</v>
      </c>
      <c r="L4875" s="7" t="s">
        <v>27595</v>
      </c>
      <c r="M4875" t="s">
        <v>27596</v>
      </c>
      <c r="N4875">
        <v>298</v>
      </c>
      <c r="O4875">
        <v>283</v>
      </c>
      <c r="P4875">
        <v>15</v>
      </c>
      <c r="Q4875">
        <v>298</v>
      </c>
      <c r="R4875">
        <v>283</v>
      </c>
      <c r="S4875">
        <v>15</v>
      </c>
      <c r="T4875">
        <v>0</v>
      </c>
      <c r="U4875" t="s">
        <v>27597</v>
      </c>
      <c r="V4875">
        <f>Tabla1[[#This Row],[Aboard]]-Tabla1[[#This Row],[Fatalities]]</f>
        <v>0</v>
      </c>
      <c r="W4875" s="50">
        <f>IFERROR(Tabla1[[#This Row],[Fatalities]]/Tabla1[[#This Row],[Aboard]],0)</f>
        <v>1</v>
      </c>
      <c r="X4875" s="51" t="str" cm="1">
        <f t="array" ref="X4875">_xlfn.IFS(Tabla1[[#This Row],[Porcentaje de muertes]]&lt;0.35,"LEVE",AND(Tabla1[[#This Row],[Porcentaje de muertes]]&gt;0.35,Tabla1[[#This Row],[Porcentaje de muertes]]&lt;0.65),"MEDIO",Tabla1[[#This Row],[Porcentaje de muertes]]&gt;0.65,"GRAVE")</f>
        <v>GRAVE</v>
      </c>
    </row>
    <row r="4876" spans="2:24" x14ac:dyDescent="0.3">
      <c r="B4876" s="9">
        <v>4877</v>
      </c>
      <c r="C4876" s="49">
        <v>41843</v>
      </c>
      <c r="D4876" s="9">
        <f>YEAR(Tabla1[[#This Row],[Date]])</f>
        <v>2014</v>
      </c>
      <c r="E4876" s="9" t="str" cm="1">
        <f t="array" ref="E4876">IFERROR(_xlfn.IFS(AND(D4876&lt;1980,D4876&gt;=1970),"70",AND(D4876&lt;1990,D4876&gt;=1980),"80",AND(D4876&lt;2000,D4876&gt;=1990),"90",AND(D4876&lt;2010,D4876&gt;=2000),"00",AND(D4876&lt;=2019,D4876&gt;=2010),"10"),"1908-1970")</f>
        <v>10</v>
      </c>
      <c r="F4876" s="3">
        <v>0.79583333333333339</v>
      </c>
      <c r="G4876" t="s">
        <v>27598</v>
      </c>
      <c r="H4876" t="s">
        <v>27599</v>
      </c>
      <c r="I4876">
        <v>222</v>
      </c>
      <c r="J4876" t="s">
        <v>27600</v>
      </c>
      <c r="K4876" t="s">
        <v>27601</v>
      </c>
      <c r="L4876" s="7" t="s">
        <v>27602</v>
      </c>
      <c r="M4876">
        <v>642</v>
      </c>
      <c r="N4876">
        <v>58</v>
      </c>
      <c r="O4876">
        <v>54</v>
      </c>
      <c r="P4876">
        <v>4</v>
      </c>
      <c r="Q4876">
        <v>48</v>
      </c>
      <c r="R4876">
        <v>44</v>
      </c>
      <c r="S4876">
        <v>4</v>
      </c>
      <c r="T4876">
        <v>0</v>
      </c>
      <c r="U4876" t="s">
        <v>27603</v>
      </c>
      <c r="V4876">
        <f>Tabla1[[#This Row],[Aboard]]-Tabla1[[#This Row],[Fatalities]]</f>
        <v>10</v>
      </c>
      <c r="W4876" s="50">
        <f>IFERROR(Tabla1[[#This Row],[Fatalities]]/Tabla1[[#This Row],[Aboard]],0)</f>
        <v>0.82758620689655171</v>
      </c>
      <c r="X4876" s="51" t="str" cm="1">
        <f t="array" ref="X4876">_xlfn.IFS(Tabla1[[#This Row],[Porcentaje de muertes]]&lt;0.35,"LEVE",AND(Tabla1[[#This Row],[Porcentaje de muertes]]&gt;0.35,Tabla1[[#This Row],[Porcentaje de muertes]]&lt;0.65),"MEDIO",Tabla1[[#This Row],[Porcentaje de muertes]]&gt;0.65,"GRAVE")</f>
        <v>GRAVE</v>
      </c>
    </row>
    <row r="4877" spans="2:24" x14ac:dyDescent="0.3">
      <c r="B4877" s="9">
        <v>4878</v>
      </c>
      <c r="C4877" s="49">
        <v>41844</v>
      </c>
      <c r="D4877" s="9">
        <f>YEAR(Tabla1[[#This Row],[Date]])</f>
        <v>2014</v>
      </c>
      <c r="E4877" s="9" t="str" cm="1">
        <f t="array" ref="E4877">IFERROR(_xlfn.IFS(AND(D4877&lt;1980,D4877&gt;=1970),"70",AND(D4877&lt;1990,D4877&gt;=1980),"80",AND(D4877&lt;2000,D4877&gt;=1990),"90",AND(D4877&lt;2010,D4877&gt;=2000),"00",AND(D4877&lt;=2019,D4877&gt;=2010),"10"),"1908-1970")</f>
        <v>10</v>
      </c>
      <c r="F4877" s="3">
        <v>7.4305555555555555E-2</v>
      </c>
      <c r="G4877" t="s">
        <v>27604</v>
      </c>
      <c r="H4877" t="s">
        <v>14912</v>
      </c>
      <c r="I4877" t="s">
        <v>27605</v>
      </c>
      <c r="J4877" t="s">
        <v>27606</v>
      </c>
      <c r="K4877" t="s">
        <v>27607</v>
      </c>
      <c r="L4877" s="7" t="s">
        <v>27608</v>
      </c>
      <c r="M4877" t="s">
        <v>27609</v>
      </c>
      <c r="N4877">
        <v>116</v>
      </c>
      <c r="O4877">
        <v>110</v>
      </c>
      <c r="P4877">
        <v>6</v>
      </c>
      <c r="Q4877">
        <v>116</v>
      </c>
      <c r="R4877">
        <v>110</v>
      </c>
      <c r="S4877">
        <v>6</v>
      </c>
      <c r="T4877">
        <v>0</v>
      </c>
      <c r="U4877" t="s">
        <v>27610</v>
      </c>
      <c r="V4877">
        <f>Tabla1[[#This Row],[Aboard]]-Tabla1[[#This Row],[Fatalities]]</f>
        <v>0</v>
      </c>
      <c r="W4877" s="50">
        <f>IFERROR(Tabla1[[#This Row],[Fatalities]]/Tabla1[[#This Row],[Aboard]],0)</f>
        <v>1</v>
      </c>
      <c r="X4877" s="51" t="str" cm="1">
        <f t="array" ref="X4877">_xlfn.IFS(Tabla1[[#This Row],[Porcentaje de muertes]]&lt;0.35,"LEVE",AND(Tabla1[[#This Row],[Porcentaje de muertes]]&gt;0.35,Tabla1[[#This Row],[Porcentaje de muertes]]&lt;0.65),"MEDIO",Tabla1[[#This Row],[Porcentaje de muertes]]&gt;0.65,"GRAVE")</f>
        <v>GRAVE</v>
      </c>
    </row>
    <row r="4878" spans="2:24" x14ac:dyDescent="0.3">
      <c r="B4878" s="9">
        <v>4879</v>
      </c>
      <c r="C4878" s="49">
        <v>41920</v>
      </c>
      <c r="D4878" s="9">
        <f>YEAR(Tabla1[[#This Row],[Date]])</f>
        <v>2014</v>
      </c>
      <c r="E4878" s="9" t="str" cm="1">
        <f t="array" ref="E4878">IFERROR(_xlfn.IFS(AND(D4878&lt;1980,D4878&gt;=1970),"70",AND(D4878&lt;1990,D4878&gt;=1980),"80",AND(D4878&lt;2000,D4878&gt;=1990),"90",AND(D4878&lt;2010,D4878&gt;=2000),"00",AND(D4878&lt;=2019,D4878&gt;=2010),"10"),"1908-1970")</f>
        <v>10</v>
      </c>
      <c r="F4878" s="3">
        <v>0.38750000000000001</v>
      </c>
      <c r="G4878" t="s">
        <v>10175</v>
      </c>
      <c r="H4878" t="s">
        <v>27611</v>
      </c>
      <c r="I4878">
        <v>5915</v>
      </c>
      <c r="J4878" t="s">
        <v>27612</v>
      </c>
      <c r="K4878" t="s">
        <v>27613</v>
      </c>
      <c r="L4878" s="7" t="s">
        <v>27614</v>
      </c>
      <c r="M4878">
        <v>9005</v>
      </c>
      <c r="N4878">
        <v>48</v>
      </c>
      <c r="O4878">
        <v>40</v>
      </c>
      <c r="P4878">
        <v>8</v>
      </c>
      <c r="Q4878">
        <v>39</v>
      </c>
      <c r="R4878">
        <v>31</v>
      </c>
      <c r="S4878">
        <v>8</v>
      </c>
      <c r="T4878">
        <v>0</v>
      </c>
      <c r="U4878" t="s">
        <v>27615</v>
      </c>
      <c r="V4878">
        <f>Tabla1[[#This Row],[Aboard]]-Tabla1[[#This Row],[Fatalities]]</f>
        <v>9</v>
      </c>
      <c r="W4878" s="50">
        <f>IFERROR(Tabla1[[#This Row],[Fatalities]]/Tabla1[[#This Row],[Aboard]],0)</f>
        <v>0.8125</v>
      </c>
      <c r="X4878" s="51" t="str" cm="1">
        <f t="array" ref="X4878">_xlfn.IFS(Tabla1[[#This Row],[Porcentaje de muertes]]&lt;0.35,"LEVE",AND(Tabla1[[#This Row],[Porcentaje de muertes]]&gt;0.35,Tabla1[[#This Row],[Porcentaje de muertes]]&lt;0.65),"MEDIO",Tabla1[[#This Row],[Porcentaje de muertes]]&gt;0.65,"GRAVE")</f>
        <v>GRAVE</v>
      </c>
    </row>
    <row r="4879" spans="2:24" x14ac:dyDescent="0.3">
      <c r="B4879" s="9">
        <v>4880</v>
      </c>
      <c r="C4879" s="49">
        <v>41881</v>
      </c>
      <c r="D4879" s="9">
        <f>YEAR(Tabla1[[#This Row],[Date]])</f>
        <v>2014</v>
      </c>
      <c r="E4879" s="9" t="str" cm="1">
        <f t="array" ref="E4879">IFERROR(_xlfn.IFS(AND(D4879&lt;1980,D4879&gt;=1970),"70",AND(D4879&lt;1990,D4879&gt;=1980),"80",AND(D4879&lt;2000,D4879&gt;=1990),"90",AND(D4879&lt;2010,D4879&gt;=2000),"00",AND(D4879&lt;=2019,D4879&gt;=2010),"10"),"1908-1970")</f>
        <v>10</v>
      </c>
      <c r="F4879" s="3">
        <v>0.11388888888888889</v>
      </c>
      <c r="G4879" t="s">
        <v>27616</v>
      </c>
      <c r="H4879" t="s">
        <v>27617</v>
      </c>
      <c r="I4879" t="s">
        <v>28931</v>
      </c>
      <c r="J4879" t="s">
        <v>27618</v>
      </c>
      <c r="K4879" t="s">
        <v>26790</v>
      </c>
      <c r="L4879" s="7" t="s">
        <v>27619</v>
      </c>
      <c r="M4879">
        <v>8345802</v>
      </c>
      <c r="N4879">
        <v>7</v>
      </c>
      <c r="O4879">
        <v>5</v>
      </c>
      <c r="P4879">
        <v>2</v>
      </c>
      <c r="Q4879">
        <v>7</v>
      </c>
      <c r="R4879">
        <v>5</v>
      </c>
      <c r="S4879">
        <v>2</v>
      </c>
      <c r="T4879">
        <v>0</v>
      </c>
      <c r="U4879" t="s">
        <v>27620</v>
      </c>
      <c r="V4879">
        <f>Tabla1[[#This Row],[Aboard]]-Tabla1[[#This Row],[Fatalities]]</f>
        <v>0</v>
      </c>
      <c r="W4879" s="50">
        <f>IFERROR(Tabla1[[#This Row],[Fatalities]]/Tabla1[[#This Row],[Aboard]],0)</f>
        <v>1</v>
      </c>
      <c r="X4879" s="51" t="str" cm="1">
        <f t="array" ref="X4879">_xlfn.IFS(Tabla1[[#This Row],[Porcentaje de muertes]]&lt;0.35,"LEVE",AND(Tabla1[[#This Row],[Porcentaje de muertes]]&gt;0.35,Tabla1[[#This Row],[Porcentaje de muertes]]&lt;0.65),"MEDIO",Tabla1[[#This Row],[Porcentaje de muertes]]&gt;0.65,"GRAVE")</f>
        <v>GRAVE</v>
      </c>
    </row>
    <row r="4880" spans="2:24" x14ac:dyDescent="0.3">
      <c r="B4880" s="9">
        <v>4881</v>
      </c>
      <c r="C4880" s="49">
        <v>41882</v>
      </c>
      <c r="D4880" s="9">
        <f>YEAR(Tabla1[[#This Row],[Date]])</f>
        <v>2014</v>
      </c>
      <c r="E4880" s="9" t="str" cm="1">
        <f t="array" ref="E4880">IFERROR(_xlfn.IFS(AND(D4880&lt;1980,D4880&gt;=1970),"70",AND(D4880&lt;1990,D4880&gt;=1980),"80",AND(D4880&lt;2000,D4880&gt;=1990),"90",AND(D4880&lt;2010,D4880&gt;=2000),"00",AND(D4880&lt;=2019,D4880&gt;=2010),"10"),"1908-1970")</f>
        <v>10</v>
      </c>
      <c r="F4880" s="3">
        <v>0.82291666666666663</v>
      </c>
      <c r="G4880" t="s">
        <v>27621</v>
      </c>
      <c r="H4880" t="s">
        <v>27622</v>
      </c>
      <c r="I4880" t="s">
        <v>28931</v>
      </c>
      <c r="J4880" t="s">
        <v>27623</v>
      </c>
      <c r="K4880" t="s">
        <v>27624</v>
      </c>
      <c r="L4880" s="7" t="s">
        <v>27625</v>
      </c>
      <c r="M4880">
        <v>10681</v>
      </c>
      <c r="N4880">
        <v>3</v>
      </c>
      <c r="O4880">
        <v>1</v>
      </c>
      <c r="P4880">
        <v>2</v>
      </c>
      <c r="Q4880">
        <v>3</v>
      </c>
      <c r="R4880">
        <v>1</v>
      </c>
      <c r="S4880">
        <v>2</v>
      </c>
      <c r="T4880">
        <v>0</v>
      </c>
      <c r="U4880" t="s">
        <v>27626</v>
      </c>
      <c r="V4880">
        <f>Tabla1[[#This Row],[Aboard]]-Tabla1[[#This Row],[Fatalities]]</f>
        <v>0</v>
      </c>
      <c r="W4880" s="50">
        <f>IFERROR(Tabla1[[#This Row],[Fatalities]]/Tabla1[[#This Row],[Aboard]],0)</f>
        <v>1</v>
      </c>
      <c r="X4880" s="51" t="str" cm="1">
        <f t="array" ref="X4880">_xlfn.IFS(Tabla1[[#This Row],[Porcentaje de muertes]]&lt;0.35,"LEVE",AND(Tabla1[[#This Row],[Porcentaje de muertes]]&gt;0.35,Tabla1[[#This Row],[Porcentaje de muertes]]&lt;0.65),"MEDIO",Tabla1[[#This Row],[Porcentaje de muertes]]&gt;0.65,"GRAVE")</f>
        <v>GRAVE</v>
      </c>
    </row>
    <row r="4881" spans="2:24" x14ac:dyDescent="0.3">
      <c r="B4881" s="9">
        <v>4882</v>
      </c>
      <c r="C4881" s="49">
        <v>41902</v>
      </c>
      <c r="D4881" s="9">
        <f>YEAR(Tabla1[[#This Row],[Date]])</f>
        <v>2014</v>
      </c>
      <c r="E4881" s="9" t="str" cm="1">
        <f t="array" ref="E4881">IFERROR(_xlfn.IFS(AND(D4881&lt;1980,D4881&gt;=1970),"70",AND(D4881&lt;1990,D4881&gt;=1980),"80",AND(D4881&lt;2000,D4881&gt;=1990),"90",AND(D4881&lt;2010,D4881&gt;=2000),"00",AND(D4881&lt;=2019,D4881&gt;=2010),"10"),"1908-1970")</f>
        <v>10</v>
      </c>
      <c r="F4881" s="3">
        <v>0.39930555555555558</v>
      </c>
      <c r="G4881" t="s">
        <v>26782</v>
      </c>
      <c r="H4881" t="s">
        <v>27627</v>
      </c>
      <c r="I4881" t="s">
        <v>28931</v>
      </c>
      <c r="J4881" t="s">
        <v>27628</v>
      </c>
      <c r="K4881" t="s">
        <v>16680</v>
      </c>
      <c r="L4881" s="7" t="s">
        <v>27629</v>
      </c>
      <c r="M4881">
        <v>528</v>
      </c>
      <c r="N4881">
        <v>9</v>
      </c>
      <c r="O4881">
        <v>7</v>
      </c>
      <c r="P4881">
        <v>2</v>
      </c>
      <c r="Q4881">
        <v>4</v>
      </c>
      <c r="R4881">
        <v>2</v>
      </c>
      <c r="S4881">
        <v>2</v>
      </c>
      <c r="T4881">
        <v>0</v>
      </c>
      <c r="U4881" t="s">
        <v>27630</v>
      </c>
      <c r="V4881">
        <f>Tabla1[[#This Row],[Aboard]]-Tabla1[[#This Row],[Fatalities]]</f>
        <v>5</v>
      </c>
      <c r="W4881" s="50">
        <f>IFERROR(Tabla1[[#This Row],[Fatalities]]/Tabla1[[#This Row],[Aboard]],0)</f>
        <v>0.44444444444444442</v>
      </c>
      <c r="X4881" s="51" t="str" cm="1">
        <f t="array" ref="X4881">_xlfn.IFS(Tabla1[[#This Row],[Porcentaje de muertes]]&lt;0.35,"LEVE",AND(Tabla1[[#This Row],[Porcentaje de muertes]]&gt;0.35,Tabla1[[#This Row],[Porcentaje de muertes]]&lt;0.65),"MEDIO",Tabla1[[#This Row],[Porcentaje de muertes]]&gt;0.65,"GRAVE")</f>
        <v>MEDIO</v>
      </c>
    </row>
    <row r="4882" spans="2:24" x14ac:dyDescent="0.3">
      <c r="B4882" s="9">
        <v>4883</v>
      </c>
      <c r="C4882" s="49">
        <v>41739</v>
      </c>
      <c r="D4882" s="9">
        <f>YEAR(Tabla1[[#This Row],[Date]])</f>
        <v>2014</v>
      </c>
      <c r="E4882" s="9" t="str" cm="1">
        <f t="array" ref="E4882">IFERROR(_xlfn.IFS(AND(D4882&lt;1980,D4882&gt;=1970),"70",AND(D4882&lt;1990,D4882&gt;=1980),"80",AND(D4882&lt;2000,D4882&gt;=1990),"90",AND(D4882&lt;2010,D4882&gt;=2000),"00",AND(D4882&lt;=2019,D4882&gt;=2010),"10"),"1908-1970")</f>
        <v>10</v>
      </c>
      <c r="F4882" s="3">
        <v>8.0555555555555561E-2</v>
      </c>
      <c r="G4882" t="s">
        <v>27631</v>
      </c>
      <c r="H4882" t="s">
        <v>27632</v>
      </c>
      <c r="I4882" t="s">
        <v>28931</v>
      </c>
      <c r="J4882" t="s">
        <v>27633</v>
      </c>
      <c r="K4882" t="s">
        <v>24817</v>
      </c>
      <c r="L4882" s="7" t="s">
        <v>28931</v>
      </c>
      <c r="M4882" t="s">
        <v>28931</v>
      </c>
      <c r="N4882">
        <v>4</v>
      </c>
      <c r="O4882">
        <v>1</v>
      </c>
      <c r="P4882">
        <v>3</v>
      </c>
      <c r="Q4882">
        <v>2</v>
      </c>
      <c r="R4882">
        <v>1</v>
      </c>
      <c r="S4882">
        <v>1</v>
      </c>
      <c r="T4882">
        <v>0</v>
      </c>
      <c r="U4882" t="s">
        <v>27634</v>
      </c>
      <c r="V4882">
        <f>Tabla1[[#This Row],[Aboard]]-Tabla1[[#This Row],[Fatalities]]</f>
        <v>2</v>
      </c>
      <c r="W4882" s="50">
        <f>IFERROR(Tabla1[[#This Row],[Fatalities]]/Tabla1[[#This Row],[Aboard]],0)</f>
        <v>0.5</v>
      </c>
      <c r="X4882" s="51" t="str" cm="1">
        <f t="array" ref="X4882">_xlfn.IFS(Tabla1[[#This Row],[Porcentaje de muertes]]&lt;0.35,"LEVE",AND(Tabla1[[#This Row],[Porcentaje de muertes]]&gt;0.35,Tabla1[[#This Row],[Porcentaje de muertes]]&lt;0.65),"MEDIO",Tabla1[[#This Row],[Porcentaje de muertes]]&gt;0.65,"GRAVE")</f>
        <v>MEDIO</v>
      </c>
    </row>
    <row r="4883" spans="2:24" x14ac:dyDescent="0.3">
      <c r="B4883" s="9">
        <v>4884</v>
      </c>
      <c r="C4883" s="49">
        <v>42001</v>
      </c>
      <c r="D4883" s="9">
        <f>YEAR(Tabla1[[#This Row],[Date]])</f>
        <v>2014</v>
      </c>
      <c r="E4883" s="9" t="str" cm="1">
        <f t="array" ref="E4883">IFERROR(_xlfn.IFS(AND(D4883&lt;1980,D4883&gt;=1970),"70",AND(D4883&lt;1990,D4883&gt;=1980),"80",AND(D4883&lt;2000,D4883&gt;=1990),"90",AND(D4883&lt;2010,D4883&gt;=2000),"00",AND(D4883&lt;=2019,D4883&gt;=2010),"10"),"1908-1970")</f>
        <v>10</v>
      </c>
      <c r="F4883" s="3">
        <v>0.125</v>
      </c>
      <c r="G4883" t="s">
        <v>27635</v>
      </c>
      <c r="H4883" t="s">
        <v>27636</v>
      </c>
      <c r="I4883">
        <v>902</v>
      </c>
      <c r="J4883" t="s">
        <v>27637</v>
      </c>
      <c r="K4883" t="s">
        <v>16446</v>
      </c>
      <c r="L4883" s="7" t="s">
        <v>27638</v>
      </c>
      <c r="M4883">
        <v>8606</v>
      </c>
      <c r="N4883">
        <v>6</v>
      </c>
      <c r="O4883">
        <v>0</v>
      </c>
      <c r="P4883">
        <v>6</v>
      </c>
      <c r="Q4883">
        <v>6</v>
      </c>
      <c r="R4883">
        <v>0</v>
      </c>
      <c r="S4883">
        <v>6</v>
      </c>
      <c r="T4883">
        <v>0</v>
      </c>
      <c r="U4883" t="s">
        <v>27639</v>
      </c>
      <c r="V4883">
        <f>Tabla1[[#This Row],[Aboard]]-Tabla1[[#This Row],[Fatalities]]</f>
        <v>0</v>
      </c>
      <c r="W4883" s="50">
        <f>IFERROR(Tabla1[[#This Row],[Fatalities]]/Tabla1[[#This Row],[Aboard]],0)</f>
        <v>1</v>
      </c>
      <c r="X4883" s="51" t="str" cm="1">
        <f t="array" ref="X4883">_xlfn.IFS(Tabla1[[#This Row],[Porcentaje de muertes]]&lt;0.35,"LEVE",AND(Tabla1[[#This Row],[Porcentaje de muertes]]&gt;0.35,Tabla1[[#This Row],[Porcentaje de muertes]]&lt;0.65),"MEDIO",Tabla1[[#This Row],[Porcentaje de muertes]]&gt;0.65,"GRAVE")</f>
        <v>GRAVE</v>
      </c>
    </row>
    <row r="4884" spans="2:24" x14ac:dyDescent="0.3">
      <c r="B4884" s="9">
        <v>4885</v>
      </c>
      <c r="C4884" s="49">
        <v>42001</v>
      </c>
      <c r="D4884" s="9">
        <f>YEAR(Tabla1[[#This Row],[Date]])</f>
        <v>2014</v>
      </c>
      <c r="E4884" s="9" t="str" cm="1">
        <f t="array" ref="E4884">IFERROR(_xlfn.IFS(AND(D4884&lt;1980,D4884&gt;=1970),"70",AND(D4884&lt;1990,D4884&gt;=1980),"80",AND(D4884&lt;2000,D4884&gt;=1990),"90",AND(D4884&lt;2010,D4884&gt;=2000),"00",AND(D4884&lt;=2019,D4884&gt;=2010),"10"),"1908-1970")</f>
        <v>10</v>
      </c>
      <c r="F4884" s="3">
        <v>0.26250000000000001</v>
      </c>
      <c r="G4884" t="s">
        <v>27640</v>
      </c>
      <c r="H4884" t="s">
        <v>27641</v>
      </c>
      <c r="I4884">
        <v>8501</v>
      </c>
      <c r="J4884" t="s">
        <v>27642</v>
      </c>
      <c r="K4884" t="s">
        <v>27643</v>
      </c>
      <c r="L4884" s="7" t="s">
        <v>27644</v>
      </c>
      <c r="M4884">
        <v>3648</v>
      </c>
      <c r="N4884">
        <v>162</v>
      </c>
      <c r="O4884">
        <v>155</v>
      </c>
      <c r="P4884">
        <v>7</v>
      </c>
      <c r="Q4884">
        <v>162</v>
      </c>
      <c r="R4884">
        <v>155</v>
      </c>
      <c r="S4884">
        <v>7</v>
      </c>
      <c r="T4884">
        <v>0</v>
      </c>
      <c r="U4884" t="s">
        <v>27645</v>
      </c>
      <c r="V4884">
        <f>Tabla1[[#This Row],[Aboard]]-Tabla1[[#This Row],[Fatalities]]</f>
        <v>0</v>
      </c>
      <c r="W4884" s="50">
        <f>IFERROR(Tabla1[[#This Row],[Fatalities]]/Tabla1[[#This Row],[Aboard]],0)</f>
        <v>1</v>
      </c>
      <c r="X4884" s="51" t="str" cm="1">
        <f t="array" ref="X4884">_xlfn.IFS(Tabla1[[#This Row],[Porcentaje de muertes]]&lt;0.35,"LEVE",AND(Tabla1[[#This Row],[Porcentaje de muertes]]&gt;0.35,Tabla1[[#This Row],[Porcentaje de muertes]]&lt;0.65),"MEDIO",Tabla1[[#This Row],[Porcentaje de muertes]]&gt;0.65,"GRAVE")</f>
        <v>GRAVE</v>
      </c>
    </row>
    <row r="4885" spans="2:24" x14ac:dyDescent="0.3">
      <c r="B4885" s="9">
        <v>4886</v>
      </c>
      <c r="C4885" s="49">
        <v>42022</v>
      </c>
      <c r="D4885" s="9">
        <f>YEAR(Tabla1[[#This Row],[Date]])</f>
        <v>2015</v>
      </c>
      <c r="E4885" s="9" t="str" cm="1">
        <f t="array" ref="E4885">IFERROR(_xlfn.IFS(AND(D4885&lt;1980,D4885&gt;=1970),"70",AND(D4885&lt;1990,D4885&gt;=1980),"80",AND(D4885&lt;2000,D4885&gt;=1990),"90",AND(D4885&lt;2010,D4885&gt;=2000),"00",AND(D4885&lt;=2019,D4885&gt;=2010),"10"),"1908-1970")</f>
        <v>10</v>
      </c>
      <c r="F4885" s="3" t="s">
        <v>28931</v>
      </c>
      <c r="G4885" t="s">
        <v>27646</v>
      </c>
      <c r="H4885" t="s">
        <v>27647</v>
      </c>
      <c r="I4885" t="s">
        <v>28931</v>
      </c>
      <c r="J4885" t="s">
        <v>27648</v>
      </c>
      <c r="K4885" t="s">
        <v>16446</v>
      </c>
      <c r="L4885" s="7" t="s">
        <v>28931</v>
      </c>
      <c r="M4885" t="s">
        <v>28931</v>
      </c>
      <c r="N4885">
        <v>37</v>
      </c>
      <c r="O4885">
        <v>35</v>
      </c>
      <c r="P4885">
        <v>2</v>
      </c>
      <c r="Q4885">
        <v>37</v>
      </c>
      <c r="R4885">
        <v>35</v>
      </c>
      <c r="S4885">
        <v>2</v>
      </c>
      <c r="T4885">
        <v>0</v>
      </c>
      <c r="U4885" t="s">
        <v>27649</v>
      </c>
      <c r="V4885">
        <f>Tabla1[[#This Row],[Aboard]]-Tabla1[[#This Row],[Fatalities]]</f>
        <v>0</v>
      </c>
      <c r="W4885" s="50">
        <f>IFERROR(Tabla1[[#This Row],[Fatalities]]/Tabla1[[#This Row],[Aboard]],0)</f>
        <v>1</v>
      </c>
      <c r="X4885" s="51" t="str" cm="1">
        <f t="array" ref="X4885">_xlfn.IFS(Tabla1[[#This Row],[Porcentaje de muertes]]&lt;0.35,"LEVE",AND(Tabla1[[#This Row],[Porcentaje de muertes]]&gt;0.35,Tabla1[[#This Row],[Porcentaje de muertes]]&lt;0.65),"MEDIO",Tabla1[[#This Row],[Porcentaje de muertes]]&gt;0.65,"GRAVE")</f>
        <v>GRAVE</v>
      </c>
    </row>
    <row r="4886" spans="2:24" x14ac:dyDescent="0.3">
      <c r="B4886" s="9">
        <v>4887</v>
      </c>
      <c r="C4886" s="49">
        <v>42096</v>
      </c>
      <c r="D4886" s="9">
        <f>YEAR(Tabla1[[#This Row],[Date]])</f>
        <v>2015</v>
      </c>
      <c r="E4886" s="9" t="str" cm="1">
        <f t="array" ref="E4886">IFERROR(_xlfn.IFS(AND(D4886&lt;1980,D4886&gt;=1970),"70",AND(D4886&lt;1990,D4886&gt;=1980),"80",AND(D4886&lt;2000,D4886&gt;=1990),"90",AND(D4886&lt;2010,D4886&gt;=2000),"00",AND(D4886&lt;=2019,D4886&gt;=2010),"10"),"1908-1970")</f>
        <v>10</v>
      </c>
      <c r="F4886" s="3">
        <v>0.4548611111111111</v>
      </c>
      <c r="G4886" t="s">
        <v>9664</v>
      </c>
      <c r="H4886" t="s">
        <v>27650</v>
      </c>
      <c r="I4886">
        <v>235</v>
      </c>
      <c r="J4886" t="s">
        <v>27651</v>
      </c>
      <c r="K4886" t="s">
        <v>27652</v>
      </c>
      <c r="L4886" s="7" t="s">
        <v>27653</v>
      </c>
      <c r="M4886">
        <v>1141</v>
      </c>
      <c r="N4886">
        <v>58</v>
      </c>
      <c r="O4886">
        <v>53</v>
      </c>
      <c r="P4886">
        <v>5</v>
      </c>
      <c r="Q4886">
        <v>43</v>
      </c>
      <c r="R4886">
        <v>39</v>
      </c>
      <c r="S4886">
        <v>4</v>
      </c>
      <c r="T4886">
        <v>0</v>
      </c>
      <c r="U4886" t="s">
        <v>27654</v>
      </c>
      <c r="V4886">
        <f>Tabla1[[#This Row],[Aboard]]-Tabla1[[#This Row],[Fatalities]]</f>
        <v>15</v>
      </c>
      <c r="W4886" s="50">
        <f>IFERROR(Tabla1[[#This Row],[Fatalities]]/Tabla1[[#This Row],[Aboard]],0)</f>
        <v>0.74137931034482762</v>
      </c>
      <c r="X4886" s="51" t="str" cm="1">
        <f t="array" ref="X4886">_xlfn.IFS(Tabla1[[#This Row],[Porcentaje de muertes]]&lt;0.35,"LEVE",AND(Tabla1[[#This Row],[Porcentaje de muertes]]&gt;0.35,Tabla1[[#This Row],[Porcentaje de muertes]]&lt;0.65),"MEDIO",Tabla1[[#This Row],[Porcentaje de muertes]]&gt;0.65,"GRAVE")</f>
        <v>GRAVE</v>
      </c>
    </row>
    <row r="4887" spans="2:24" x14ac:dyDescent="0.3">
      <c r="B4887" s="9">
        <v>4888</v>
      </c>
      <c r="C4887" s="49">
        <v>42280</v>
      </c>
      <c r="D4887" s="9">
        <f>YEAR(Tabla1[[#This Row],[Date]])</f>
        <v>2015</v>
      </c>
      <c r="E4887" s="9" t="str" cm="1">
        <f t="array" ref="E4887">IFERROR(_xlfn.IFS(AND(D4887&lt;1980,D4887&gt;=1970),"70",AND(D4887&lt;1990,D4887&gt;=1980),"80",AND(D4887&lt;2000,D4887&gt;=1990),"90",AND(D4887&lt;2010,D4887&gt;=2000),"00",AND(D4887&lt;=2019,D4887&gt;=2010),"10"),"1908-1970")</f>
        <v>10</v>
      </c>
      <c r="F4887" s="3" t="s">
        <v>28931</v>
      </c>
      <c r="G4887" t="s">
        <v>27655</v>
      </c>
      <c r="H4887" t="s">
        <v>5032</v>
      </c>
      <c r="I4887" t="s">
        <v>28931</v>
      </c>
      <c r="J4887" t="s">
        <v>28931</v>
      </c>
      <c r="K4887" t="s">
        <v>5038</v>
      </c>
      <c r="L4887" s="7" t="s">
        <v>28931</v>
      </c>
      <c r="M4887" t="s">
        <v>28931</v>
      </c>
      <c r="N4887">
        <v>10</v>
      </c>
      <c r="O4887">
        <v>8</v>
      </c>
      <c r="P4887">
        <v>2</v>
      </c>
      <c r="Q4887">
        <v>10</v>
      </c>
      <c r="R4887">
        <v>8</v>
      </c>
      <c r="S4887">
        <v>2</v>
      </c>
      <c r="T4887">
        <v>0</v>
      </c>
      <c r="U4887" t="s">
        <v>27656</v>
      </c>
      <c r="V4887">
        <f>Tabla1[[#This Row],[Aboard]]-Tabla1[[#This Row],[Fatalities]]</f>
        <v>0</v>
      </c>
      <c r="W4887" s="50">
        <f>IFERROR(Tabla1[[#This Row],[Fatalities]]/Tabla1[[#This Row],[Aboard]],0)</f>
        <v>1</v>
      </c>
      <c r="X4887" s="51" t="str" cm="1">
        <f t="array" ref="X4887">_xlfn.IFS(Tabla1[[#This Row],[Porcentaje de muertes]]&lt;0.35,"LEVE",AND(Tabla1[[#This Row],[Porcentaje de muertes]]&gt;0.35,Tabla1[[#This Row],[Porcentaje de muertes]]&lt;0.65),"MEDIO",Tabla1[[#This Row],[Porcentaje de muertes]]&gt;0.65,"GRAVE")</f>
        <v>GRAVE</v>
      </c>
    </row>
    <row r="4888" spans="2:24" x14ac:dyDescent="0.3">
      <c r="B4888" s="9">
        <v>4889</v>
      </c>
      <c r="C4888" s="49">
        <v>42087</v>
      </c>
      <c r="D4888" s="9">
        <f>YEAR(Tabla1[[#This Row],[Date]])</f>
        <v>2015</v>
      </c>
      <c r="E4888" s="9" t="str" cm="1">
        <f t="array" ref="E4888">IFERROR(_xlfn.IFS(AND(D4888&lt;1980,D4888&gt;=1970),"70",AND(D4888&lt;1990,D4888&gt;=1980),"80",AND(D4888&lt;2000,D4888&gt;=1990),"90",AND(D4888&lt;2010,D4888&gt;=2000),"00",AND(D4888&lt;=2019,D4888&gt;=2010),"10"),"1908-1970")</f>
        <v>10</v>
      </c>
      <c r="F4888" s="3">
        <v>0.45347222222222222</v>
      </c>
      <c r="G4888" t="s">
        <v>27657</v>
      </c>
      <c r="H4888" t="s">
        <v>27658</v>
      </c>
      <c r="I4888">
        <v>9525</v>
      </c>
      <c r="J4888" t="s">
        <v>27659</v>
      </c>
      <c r="K4888" t="s">
        <v>22324</v>
      </c>
      <c r="L4888" s="7" t="s">
        <v>27660</v>
      </c>
      <c r="M4888">
        <v>147</v>
      </c>
      <c r="N4888">
        <v>150</v>
      </c>
      <c r="O4888">
        <v>144</v>
      </c>
      <c r="P4888">
        <v>6</v>
      </c>
      <c r="Q4888">
        <v>150</v>
      </c>
      <c r="R4888">
        <v>144</v>
      </c>
      <c r="S4888">
        <v>6</v>
      </c>
      <c r="T4888">
        <v>0</v>
      </c>
      <c r="U4888" t="s">
        <v>27661</v>
      </c>
      <c r="V4888">
        <f>Tabla1[[#This Row],[Aboard]]-Tabla1[[#This Row],[Fatalities]]</f>
        <v>0</v>
      </c>
      <c r="W4888" s="50">
        <f>IFERROR(Tabla1[[#This Row],[Fatalities]]/Tabla1[[#This Row],[Aboard]],0)</f>
        <v>1</v>
      </c>
      <c r="X4888" s="51" t="str" cm="1">
        <f t="array" ref="X4888">_xlfn.IFS(Tabla1[[#This Row],[Porcentaje de muertes]]&lt;0.35,"LEVE",AND(Tabla1[[#This Row],[Porcentaje de muertes]]&gt;0.35,Tabla1[[#This Row],[Porcentaje de muertes]]&lt;0.65),"MEDIO",Tabla1[[#This Row],[Porcentaje de muertes]]&gt;0.65,"GRAVE")</f>
        <v>GRAVE</v>
      </c>
    </row>
    <row r="4889" spans="2:24" x14ac:dyDescent="0.3">
      <c r="B4889" s="9">
        <v>4890</v>
      </c>
      <c r="C4889" s="49">
        <v>42180</v>
      </c>
      <c r="D4889" s="9">
        <f>YEAR(Tabla1[[#This Row],[Date]])</f>
        <v>2015</v>
      </c>
      <c r="E4889" s="9" t="str" cm="1">
        <f t="array" ref="E4889">IFERROR(_xlfn.IFS(AND(D4889&lt;1980,D4889&gt;=1970),"70",AND(D4889&lt;1990,D4889&gt;=1980),"80",AND(D4889&lt;2000,D4889&gt;=1990),"90",AND(D4889&lt;2010,D4889&gt;=2000),"00",AND(D4889&lt;=2019,D4889&gt;=2010),"10"),"1908-1970")</f>
        <v>10</v>
      </c>
      <c r="F4889" s="3">
        <v>0.57152777777777775</v>
      </c>
      <c r="G4889" t="s">
        <v>27662</v>
      </c>
      <c r="H4889" t="s">
        <v>27663</v>
      </c>
      <c r="I4889" t="s">
        <v>28931</v>
      </c>
      <c r="J4889" t="s">
        <v>5494</v>
      </c>
      <c r="K4889" t="s">
        <v>27664</v>
      </c>
      <c r="L4889" s="7" t="s">
        <v>27665</v>
      </c>
      <c r="M4889">
        <v>270</v>
      </c>
      <c r="N4889">
        <v>9</v>
      </c>
      <c r="O4889">
        <v>8</v>
      </c>
      <c r="P4889">
        <v>1</v>
      </c>
      <c r="Q4889">
        <v>9</v>
      </c>
      <c r="R4889">
        <v>8</v>
      </c>
      <c r="S4889">
        <v>1</v>
      </c>
      <c r="T4889">
        <v>0</v>
      </c>
      <c r="U4889" t="s">
        <v>27666</v>
      </c>
      <c r="V4889">
        <f>Tabla1[[#This Row],[Aboard]]-Tabla1[[#This Row],[Fatalities]]</f>
        <v>0</v>
      </c>
      <c r="W4889" s="50">
        <f>IFERROR(Tabla1[[#This Row],[Fatalities]]/Tabla1[[#This Row],[Aboard]],0)</f>
        <v>1</v>
      </c>
      <c r="X4889" s="51" t="str" cm="1">
        <f t="array" ref="X4889">_xlfn.IFS(Tabla1[[#This Row],[Porcentaje de muertes]]&lt;0.35,"LEVE",AND(Tabla1[[#This Row],[Porcentaje de muertes]]&gt;0.35,Tabla1[[#This Row],[Porcentaje de muertes]]&lt;0.65),"MEDIO",Tabla1[[#This Row],[Porcentaje de muertes]]&gt;0.65,"GRAVE")</f>
        <v>GRAVE</v>
      </c>
    </row>
    <row r="4890" spans="2:24" x14ac:dyDescent="0.3">
      <c r="B4890" s="9">
        <v>4891</v>
      </c>
      <c r="C4890" s="49">
        <v>42185</v>
      </c>
      <c r="D4890" s="9">
        <f>YEAR(Tabla1[[#This Row],[Date]])</f>
        <v>2015</v>
      </c>
      <c r="E4890" s="9" t="str" cm="1">
        <f t="array" ref="E4890">IFERROR(_xlfn.IFS(AND(D4890&lt;1980,D4890&gt;=1970),"70",AND(D4890&lt;1990,D4890&gt;=1980),"80",AND(D4890&lt;2000,D4890&gt;=1990),"90",AND(D4890&lt;2010,D4890&gt;=2000),"00",AND(D4890&lt;=2019,D4890&gt;=2010),"10"),"1908-1970")</f>
        <v>10</v>
      </c>
      <c r="F4890" s="3">
        <v>0.4916666666666667</v>
      </c>
      <c r="G4890" t="s">
        <v>25913</v>
      </c>
      <c r="H4890" t="s">
        <v>19984</v>
      </c>
      <c r="I4890" t="s">
        <v>28931</v>
      </c>
      <c r="J4890" t="s">
        <v>27667</v>
      </c>
      <c r="K4890" t="s">
        <v>27668</v>
      </c>
      <c r="L4890" s="7" t="s">
        <v>27669</v>
      </c>
      <c r="M4890">
        <v>3616</v>
      </c>
      <c r="N4890">
        <v>122</v>
      </c>
      <c r="O4890">
        <v>110</v>
      </c>
      <c r="P4890">
        <v>12</v>
      </c>
      <c r="Q4890">
        <v>122</v>
      </c>
      <c r="R4890">
        <v>110</v>
      </c>
      <c r="S4890">
        <v>12</v>
      </c>
      <c r="T4890">
        <v>19</v>
      </c>
      <c r="U4890" t="s">
        <v>27670</v>
      </c>
      <c r="V4890">
        <f>Tabla1[[#This Row],[Aboard]]-Tabla1[[#This Row],[Fatalities]]</f>
        <v>0</v>
      </c>
      <c r="W4890" s="50">
        <f>IFERROR(Tabla1[[#This Row],[Fatalities]]/Tabla1[[#This Row],[Aboard]],0)</f>
        <v>1</v>
      </c>
      <c r="X4890" s="51" t="str" cm="1">
        <f t="array" ref="X4890">_xlfn.IFS(Tabla1[[#This Row],[Porcentaje de muertes]]&lt;0.35,"LEVE",AND(Tabla1[[#This Row],[Porcentaje de muertes]]&gt;0.35,Tabla1[[#This Row],[Porcentaje de muertes]]&lt;0.65),"MEDIO",Tabla1[[#This Row],[Porcentaje de muertes]]&gt;0.65,"GRAVE")</f>
        <v>GRAVE</v>
      </c>
    </row>
    <row r="4891" spans="2:24" x14ac:dyDescent="0.3">
      <c r="B4891" s="9">
        <v>4892</v>
      </c>
      <c r="C4891" s="49">
        <v>42216</v>
      </c>
      <c r="D4891" s="9">
        <f>YEAR(Tabla1[[#This Row],[Date]])</f>
        <v>2015</v>
      </c>
      <c r="E4891" s="9" t="str" cm="1">
        <f t="array" ref="E4891">IFERROR(_xlfn.IFS(AND(D4891&lt;1980,D4891&gt;=1970),"70",AND(D4891&lt;1990,D4891&gt;=1980),"80",AND(D4891&lt;2000,D4891&gt;=1990),"90",AND(D4891&lt;2010,D4891&gt;=2000),"00",AND(D4891&lt;=2019,D4891&gt;=2010),"10"),"1908-1970")</f>
        <v>10</v>
      </c>
      <c r="F4891" s="3" t="s">
        <v>28931</v>
      </c>
      <c r="G4891" t="s">
        <v>27671</v>
      </c>
      <c r="H4891" t="s">
        <v>27672</v>
      </c>
      <c r="I4891" t="s">
        <v>28931</v>
      </c>
      <c r="J4891" t="s">
        <v>27673</v>
      </c>
      <c r="K4891" t="s">
        <v>27674</v>
      </c>
      <c r="L4891" s="7" t="s">
        <v>27675</v>
      </c>
      <c r="M4891" t="s">
        <v>27676</v>
      </c>
      <c r="N4891">
        <v>11</v>
      </c>
      <c r="O4891">
        <v>0</v>
      </c>
      <c r="P4891">
        <v>11</v>
      </c>
      <c r="Q4891">
        <v>11</v>
      </c>
      <c r="R4891">
        <v>0</v>
      </c>
      <c r="S4891">
        <v>11</v>
      </c>
      <c r="T4891">
        <v>0</v>
      </c>
      <c r="U4891" t="s">
        <v>27677</v>
      </c>
      <c r="V4891">
        <f>Tabla1[[#This Row],[Aboard]]-Tabla1[[#This Row],[Fatalities]]</f>
        <v>0</v>
      </c>
      <c r="W4891" s="50">
        <f>IFERROR(Tabla1[[#This Row],[Fatalities]]/Tabla1[[#This Row],[Aboard]],0)</f>
        <v>1</v>
      </c>
      <c r="X4891" s="51" t="str" cm="1">
        <f t="array" ref="X4891">_xlfn.IFS(Tabla1[[#This Row],[Porcentaje de muertes]]&lt;0.35,"LEVE",AND(Tabla1[[#This Row],[Porcentaje de muertes]]&gt;0.35,Tabla1[[#This Row],[Porcentaje de muertes]]&lt;0.65),"MEDIO",Tabla1[[#This Row],[Porcentaje de muertes]]&gt;0.65,"GRAVE")</f>
        <v>GRAVE</v>
      </c>
    </row>
    <row r="4892" spans="2:24" x14ac:dyDescent="0.3">
      <c r="B4892" s="9">
        <v>4893</v>
      </c>
      <c r="C4892" s="49">
        <v>42346</v>
      </c>
      <c r="D4892" s="9">
        <f>YEAR(Tabla1[[#This Row],[Date]])</f>
        <v>2015</v>
      </c>
      <c r="E4892" s="9" t="str" cm="1">
        <f t="array" ref="E4892">IFERROR(_xlfn.IFS(AND(D4892&lt;1980,D4892&gt;=1970),"70",AND(D4892&lt;1990,D4892&gt;=1980),"80",AND(D4892&lt;2000,D4892&gt;=1990),"90",AND(D4892&lt;2010,D4892&gt;=2000),"00",AND(D4892&lt;=2019,D4892&gt;=2010),"10"),"1908-1970")</f>
        <v>10</v>
      </c>
      <c r="F4892" s="3">
        <v>0.36458333333333331</v>
      </c>
      <c r="G4892" t="s">
        <v>27678</v>
      </c>
      <c r="H4892" t="s">
        <v>27679</v>
      </c>
      <c r="I4892" t="s">
        <v>28931</v>
      </c>
      <c r="J4892" t="s">
        <v>27680</v>
      </c>
      <c r="K4892" t="s">
        <v>27681</v>
      </c>
      <c r="L4892" s="7" t="s">
        <v>27682</v>
      </c>
      <c r="M4892" t="s">
        <v>27683</v>
      </c>
      <c r="N4892">
        <v>6</v>
      </c>
      <c r="O4892">
        <v>4</v>
      </c>
      <c r="P4892">
        <v>2</v>
      </c>
      <c r="Q4892">
        <v>1</v>
      </c>
      <c r="R4892">
        <v>0</v>
      </c>
      <c r="S4892">
        <v>1</v>
      </c>
      <c r="T4892">
        <v>0</v>
      </c>
      <c r="U4892" t="s">
        <v>27684</v>
      </c>
      <c r="V4892">
        <f>Tabla1[[#This Row],[Aboard]]-Tabla1[[#This Row],[Fatalities]]</f>
        <v>5</v>
      </c>
      <c r="W4892" s="50">
        <f>IFERROR(Tabla1[[#This Row],[Fatalities]]/Tabla1[[#This Row],[Aboard]],0)</f>
        <v>0.16666666666666666</v>
      </c>
      <c r="X4892" s="51" t="str" cm="1">
        <f t="array" ref="X4892">_xlfn.IFS(Tabla1[[#This Row],[Porcentaje de muertes]]&lt;0.35,"LEVE",AND(Tabla1[[#This Row],[Porcentaje de muertes]]&gt;0.35,Tabla1[[#This Row],[Porcentaje de muertes]]&lt;0.65),"MEDIO",Tabla1[[#This Row],[Porcentaje de muertes]]&gt;0.65,"GRAVE")</f>
        <v>LEVE</v>
      </c>
    </row>
    <row r="4893" spans="2:24" x14ac:dyDescent="0.3">
      <c r="B4893" s="9">
        <v>4894</v>
      </c>
      <c r="C4893" s="49">
        <v>42232</v>
      </c>
      <c r="D4893" s="9">
        <f>YEAR(Tabla1[[#This Row],[Date]])</f>
        <v>2015</v>
      </c>
      <c r="E4893" s="9" t="str" cm="1">
        <f t="array" ref="E4893">IFERROR(_xlfn.IFS(AND(D4893&lt;1980,D4893&gt;=1970),"70",AND(D4893&lt;1990,D4893&gt;=1980),"80",AND(D4893&lt;2000,D4893&gt;=1990),"90",AND(D4893&lt;2010,D4893&gt;=2000),"00",AND(D4893&lt;=2019,D4893&gt;=2010),"10"),"1908-1970")</f>
        <v>10</v>
      </c>
      <c r="F4893" s="3">
        <v>0.62152777777777779</v>
      </c>
      <c r="G4893" t="s">
        <v>27685</v>
      </c>
      <c r="H4893" t="s">
        <v>22692</v>
      </c>
      <c r="I4893">
        <v>267</v>
      </c>
      <c r="J4893" t="s">
        <v>27686</v>
      </c>
      <c r="K4893" t="s">
        <v>25087</v>
      </c>
      <c r="L4893" s="7" t="s">
        <v>27687</v>
      </c>
      <c r="M4893">
        <v>102</v>
      </c>
      <c r="N4893">
        <v>54</v>
      </c>
      <c r="O4893">
        <v>49</v>
      </c>
      <c r="P4893">
        <v>5</v>
      </c>
      <c r="Q4893">
        <v>54</v>
      </c>
      <c r="R4893">
        <v>49</v>
      </c>
      <c r="S4893">
        <v>5</v>
      </c>
      <c r="T4893">
        <v>0</v>
      </c>
      <c r="U4893" t="s">
        <v>27688</v>
      </c>
      <c r="V4893">
        <f>Tabla1[[#This Row],[Aboard]]-Tabla1[[#This Row],[Fatalities]]</f>
        <v>0</v>
      </c>
      <c r="W4893" s="50">
        <f>IFERROR(Tabla1[[#This Row],[Fatalities]]/Tabla1[[#This Row],[Aboard]],0)</f>
        <v>1</v>
      </c>
      <c r="X4893" s="51" t="str" cm="1">
        <f t="array" ref="X4893">_xlfn.IFS(Tabla1[[#This Row],[Porcentaje de muertes]]&lt;0.35,"LEVE",AND(Tabla1[[#This Row],[Porcentaje de muertes]]&gt;0.35,Tabla1[[#This Row],[Porcentaje de muertes]]&lt;0.65),"MEDIO",Tabla1[[#This Row],[Porcentaje de muertes]]&gt;0.65,"GRAVE")</f>
        <v>GRAVE</v>
      </c>
    </row>
    <row r="4894" spans="2:24" x14ac:dyDescent="0.3">
      <c r="B4894" s="9">
        <v>4895</v>
      </c>
      <c r="C4894" s="49">
        <v>42133</v>
      </c>
      <c r="D4894" s="9">
        <f>YEAR(Tabla1[[#This Row],[Date]])</f>
        <v>2015</v>
      </c>
      <c r="E4894" s="9" t="str" cm="1">
        <f t="array" ref="E4894">IFERROR(_xlfn.IFS(AND(D4894&lt;1980,D4894&gt;=1970),"70",AND(D4894&lt;1990,D4894&gt;=1980),"80",AND(D4894&lt;2000,D4894&gt;=1990),"90",AND(D4894&lt;2010,D4894&gt;=2000),"00",AND(D4894&lt;=2019,D4894&gt;=2010),"10"),"1908-1970")</f>
        <v>10</v>
      </c>
      <c r="F4894" s="3">
        <v>0.79722222222222217</v>
      </c>
      <c r="G4894" t="s">
        <v>27689</v>
      </c>
      <c r="H4894" t="s">
        <v>22839</v>
      </c>
      <c r="I4894">
        <v>71</v>
      </c>
      <c r="J4894" t="s">
        <v>27690</v>
      </c>
      <c r="K4894" t="s">
        <v>24095</v>
      </c>
      <c r="L4894" s="7" t="s">
        <v>27691</v>
      </c>
      <c r="M4894">
        <v>257062</v>
      </c>
      <c r="N4894">
        <v>7</v>
      </c>
      <c r="O4894">
        <v>5</v>
      </c>
      <c r="P4894">
        <v>2</v>
      </c>
      <c r="Q4894">
        <v>7</v>
      </c>
      <c r="R4894">
        <v>2</v>
      </c>
      <c r="S4894">
        <v>5</v>
      </c>
      <c r="T4894">
        <v>0</v>
      </c>
      <c r="U4894" t="s">
        <v>27692</v>
      </c>
      <c r="V4894">
        <f>Tabla1[[#This Row],[Aboard]]-Tabla1[[#This Row],[Fatalities]]</f>
        <v>0</v>
      </c>
      <c r="W4894" s="50">
        <f>IFERROR(Tabla1[[#This Row],[Fatalities]]/Tabla1[[#This Row],[Aboard]],0)</f>
        <v>1</v>
      </c>
      <c r="X4894" s="51" t="str" cm="1">
        <f t="array" ref="X4894">_xlfn.IFS(Tabla1[[#This Row],[Porcentaje de muertes]]&lt;0.35,"LEVE",AND(Tabla1[[#This Row],[Porcentaje de muertes]]&gt;0.35,Tabla1[[#This Row],[Porcentaje de muertes]]&lt;0.65),"MEDIO",Tabla1[[#This Row],[Porcentaje de muertes]]&gt;0.65,"GRAVE")</f>
        <v>GRAVE</v>
      </c>
    </row>
    <row r="4895" spans="2:24" x14ac:dyDescent="0.3">
      <c r="B4895" s="9">
        <v>4896</v>
      </c>
      <c r="C4895" s="49">
        <v>42262</v>
      </c>
      <c r="D4895" s="9">
        <f>YEAR(Tabla1[[#This Row],[Date]])</f>
        <v>2015</v>
      </c>
      <c r="E4895" s="9" t="str" cm="1">
        <f t="array" ref="E4895">IFERROR(_xlfn.IFS(AND(D4895&lt;1980,D4895&gt;=1970),"70",AND(D4895&lt;1990,D4895&gt;=1980),"80",AND(D4895&lt;2000,D4895&gt;=1990),"90",AND(D4895&lt;2010,D4895&gt;=2000),"00",AND(D4895&lt;=2019,D4895&gt;=2010),"10"),"1908-1970")</f>
        <v>10</v>
      </c>
      <c r="F4895" s="3">
        <v>0.26666666666666666</v>
      </c>
      <c r="G4895" t="s">
        <v>27693</v>
      </c>
      <c r="H4895" t="s">
        <v>27694</v>
      </c>
      <c r="I4895" t="s">
        <v>28931</v>
      </c>
      <c r="J4895" t="s">
        <v>27695</v>
      </c>
      <c r="K4895" t="s">
        <v>27696</v>
      </c>
      <c r="L4895" s="7" t="s">
        <v>27697</v>
      </c>
      <c r="M4895">
        <v>61</v>
      </c>
      <c r="N4895">
        <v>7</v>
      </c>
      <c r="O4895">
        <v>6</v>
      </c>
      <c r="P4895">
        <v>1</v>
      </c>
      <c r="Q4895">
        <v>3</v>
      </c>
      <c r="R4895">
        <v>3</v>
      </c>
      <c r="S4895">
        <v>0</v>
      </c>
      <c r="T4895">
        <v>0</v>
      </c>
      <c r="U4895" t="s">
        <v>27698</v>
      </c>
      <c r="V4895">
        <f>Tabla1[[#This Row],[Aboard]]-Tabla1[[#This Row],[Fatalities]]</f>
        <v>4</v>
      </c>
      <c r="W4895" s="50">
        <f>IFERROR(Tabla1[[#This Row],[Fatalities]]/Tabla1[[#This Row],[Aboard]],0)</f>
        <v>0.42857142857142855</v>
      </c>
      <c r="X4895" s="51" t="str" cm="1">
        <f t="array" ref="X4895">_xlfn.IFS(Tabla1[[#This Row],[Porcentaje de muertes]]&lt;0.35,"LEVE",AND(Tabla1[[#This Row],[Porcentaje de muertes]]&gt;0.35,Tabla1[[#This Row],[Porcentaje de muertes]]&lt;0.65),"MEDIO",Tabla1[[#This Row],[Porcentaje de muertes]]&gt;0.65,"GRAVE")</f>
        <v>MEDIO</v>
      </c>
    </row>
    <row r="4896" spans="2:24" x14ac:dyDescent="0.3">
      <c r="B4896" s="9">
        <v>4897</v>
      </c>
      <c r="C4896" s="49">
        <v>42045</v>
      </c>
      <c r="D4896" s="9">
        <f>YEAR(Tabla1[[#This Row],[Date]])</f>
        <v>2015</v>
      </c>
      <c r="E4896" s="9" t="str" cm="1">
        <f t="array" ref="E4896">IFERROR(_xlfn.IFS(AND(D4896&lt;1980,D4896&gt;=1970),"70",AND(D4896&lt;1990,D4896&gt;=1980),"80",AND(D4896&lt;2000,D4896&gt;=1990),"90",AND(D4896&lt;2010,D4896&gt;=2000),"00",AND(D4896&lt;=2019,D4896&gt;=2010),"10"),"1908-1970")</f>
        <v>10</v>
      </c>
      <c r="F4896" s="3">
        <v>1.3194444444444444E-2</v>
      </c>
      <c r="G4896" t="s">
        <v>22947</v>
      </c>
      <c r="H4896" t="s">
        <v>5017</v>
      </c>
      <c r="I4896" t="s">
        <v>28931</v>
      </c>
      <c r="J4896" t="s">
        <v>27699</v>
      </c>
      <c r="K4896" t="s">
        <v>27700</v>
      </c>
      <c r="L4896" s="8">
        <v>465533</v>
      </c>
      <c r="M4896">
        <v>5648</v>
      </c>
      <c r="N4896">
        <v>11</v>
      </c>
      <c r="O4896">
        <v>5</v>
      </c>
      <c r="P4896">
        <v>6</v>
      </c>
      <c r="Q4896">
        <v>11</v>
      </c>
      <c r="R4896">
        <v>5</v>
      </c>
      <c r="S4896">
        <v>6</v>
      </c>
      <c r="T4896">
        <v>2</v>
      </c>
      <c r="U4896" t="s">
        <v>27701</v>
      </c>
      <c r="V4896">
        <f>Tabla1[[#This Row],[Aboard]]-Tabla1[[#This Row],[Fatalities]]</f>
        <v>0</v>
      </c>
      <c r="W4896" s="50">
        <f>IFERROR(Tabla1[[#This Row],[Fatalities]]/Tabla1[[#This Row],[Aboard]],0)</f>
        <v>1</v>
      </c>
      <c r="X4896" s="51" t="str" cm="1">
        <f t="array" ref="X4896">_xlfn.IFS(Tabla1[[#This Row],[Porcentaje de muertes]]&lt;0.35,"LEVE",AND(Tabla1[[#This Row],[Porcentaje de muertes]]&gt;0.35,Tabla1[[#This Row],[Porcentaje de muertes]]&lt;0.65),"MEDIO",Tabla1[[#This Row],[Porcentaje de muertes]]&gt;0.65,"GRAVE")</f>
        <v>GRAVE</v>
      </c>
    </row>
    <row r="4897" spans="2:24" x14ac:dyDescent="0.3">
      <c r="B4897" s="9">
        <v>4898</v>
      </c>
      <c r="C4897" s="49">
        <v>42045</v>
      </c>
      <c r="D4897" s="9">
        <f>YEAR(Tabla1[[#This Row],[Date]])</f>
        <v>2015</v>
      </c>
      <c r="E4897" s="9" t="str" cm="1">
        <f t="array" ref="E4897">IFERROR(_xlfn.IFS(AND(D4897&lt;1980,D4897&gt;=1970),"70",AND(D4897&lt;1990,D4897&gt;=1980),"80",AND(D4897&lt;2000,D4897&gt;=1990),"90",AND(D4897&lt;2010,D4897&gt;=2000),"00",AND(D4897&lt;=2019,D4897&gt;=2010),"10"),"1908-1970")</f>
        <v>10</v>
      </c>
      <c r="F4897" s="3">
        <v>0.60347222222222219</v>
      </c>
      <c r="G4897" t="s">
        <v>27702</v>
      </c>
      <c r="H4897" t="s">
        <v>27703</v>
      </c>
      <c r="I4897">
        <v>7503</v>
      </c>
      <c r="J4897" t="s">
        <v>27704</v>
      </c>
      <c r="K4897" t="s">
        <v>27705</v>
      </c>
      <c r="L4897" s="7" t="s">
        <v>27706</v>
      </c>
      <c r="M4897">
        <v>741</v>
      </c>
      <c r="N4897">
        <v>10</v>
      </c>
      <c r="O4897">
        <v>7</v>
      </c>
      <c r="P4897">
        <v>3</v>
      </c>
      <c r="Q4897">
        <v>10</v>
      </c>
      <c r="R4897">
        <v>7</v>
      </c>
      <c r="S4897">
        <v>3</v>
      </c>
      <c r="T4897">
        <v>0</v>
      </c>
      <c r="U4897" t="s">
        <v>27707</v>
      </c>
      <c r="V4897">
        <f>Tabla1[[#This Row],[Aboard]]-Tabla1[[#This Row],[Fatalities]]</f>
        <v>0</v>
      </c>
      <c r="W4897" s="50">
        <f>IFERROR(Tabla1[[#This Row],[Fatalities]]/Tabla1[[#This Row],[Aboard]],0)</f>
        <v>1</v>
      </c>
      <c r="X4897" s="51" t="str" cm="1">
        <f t="array" ref="X4897">_xlfn.IFS(Tabla1[[#This Row],[Porcentaje de muertes]]&lt;0.35,"LEVE",AND(Tabla1[[#This Row],[Porcentaje de muertes]]&gt;0.35,Tabla1[[#This Row],[Porcentaje de muertes]]&lt;0.65),"MEDIO",Tabla1[[#This Row],[Porcentaje de muertes]]&gt;0.65,"GRAVE")</f>
        <v>GRAVE</v>
      </c>
    </row>
    <row r="4898" spans="2:24" x14ac:dyDescent="0.3">
      <c r="B4898" s="9">
        <v>4899</v>
      </c>
      <c r="C4898" s="49">
        <v>42308</v>
      </c>
      <c r="D4898" s="9">
        <f>YEAR(Tabla1[[#This Row],[Date]])</f>
        <v>2015</v>
      </c>
      <c r="E4898" s="9" t="str" cm="1">
        <f t="array" ref="E4898">IFERROR(_xlfn.IFS(AND(D4898&lt;1980,D4898&gt;=1970),"70",AND(D4898&lt;1990,D4898&gt;=1980),"80",AND(D4898&lt;2000,D4898&gt;=1990),"90",AND(D4898&lt;2010,D4898&gt;=2000),"00",AND(D4898&lt;=2019,D4898&gt;=2010),"10"),"1908-1970")</f>
        <v>10</v>
      </c>
      <c r="F4898" s="3">
        <v>0.35416666666666669</v>
      </c>
      <c r="G4898" t="s">
        <v>27708</v>
      </c>
      <c r="H4898" t="s">
        <v>22692</v>
      </c>
      <c r="I4898" t="s">
        <v>28931</v>
      </c>
      <c r="J4898" t="s">
        <v>27709</v>
      </c>
      <c r="K4898" t="s">
        <v>27710</v>
      </c>
      <c r="L4898" s="7" t="s">
        <v>27711</v>
      </c>
      <c r="M4898">
        <v>303</v>
      </c>
      <c r="N4898">
        <v>4</v>
      </c>
      <c r="O4898">
        <v>0</v>
      </c>
      <c r="P4898">
        <v>4</v>
      </c>
      <c r="Q4898">
        <v>4</v>
      </c>
      <c r="R4898">
        <v>0</v>
      </c>
      <c r="S4898">
        <v>4</v>
      </c>
      <c r="T4898">
        <v>0</v>
      </c>
      <c r="U4898" t="s">
        <v>27712</v>
      </c>
      <c r="V4898">
        <f>Tabla1[[#This Row],[Aboard]]-Tabla1[[#This Row],[Fatalities]]</f>
        <v>0</v>
      </c>
      <c r="W4898" s="50">
        <f>IFERROR(Tabla1[[#This Row],[Fatalities]]/Tabla1[[#This Row],[Aboard]],0)</f>
        <v>1</v>
      </c>
      <c r="X4898" s="51" t="str" cm="1">
        <f t="array" ref="X4898">_xlfn.IFS(Tabla1[[#This Row],[Porcentaje de muertes]]&lt;0.35,"LEVE",AND(Tabla1[[#This Row],[Porcentaje de muertes]]&gt;0.35,Tabla1[[#This Row],[Porcentaje de muertes]]&lt;0.65),"MEDIO",Tabla1[[#This Row],[Porcentaje de muertes]]&gt;0.65,"GRAVE")</f>
        <v>GRAVE</v>
      </c>
    </row>
    <row r="4899" spans="2:24" x14ac:dyDescent="0.3">
      <c r="B4899" s="9">
        <v>4900</v>
      </c>
      <c r="C4899" s="49">
        <v>42308</v>
      </c>
      <c r="D4899" s="9">
        <f>YEAR(Tabla1[[#This Row],[Date]])</f>
        <v>2015</v>
      </c>
      <c r="E4899" s="9" t="str" cm="1">
        <f t="array" ref="E4899">IFERROR(_xlfn.IFS(AND(D4899&lt;1980,D4899&gt;=1970),"70",AND(D4899&lt;1990,D4899&gt;=1980),"80",AND(D4899&lt;2000,D4899&gt;=1990),"90",AND(D4899&lt;2010,D4899&gt;=2000),"00",AND(D4899&lt;=2019,D4899&gt;=2010),"10"),"1908-1970")</f>
        <v>10</v>
      </c>
      <c r="F4899" s="3">
        <v>0.2590277777777778</v>
      </c>
      <c r="G4899" t="s">
        <v>27713</v>
      </c>
      <c r="H4899" t="s">
        <v>27714</v>
      </c>
      <c r="I4899">
        <v>9268</v>
      </c>
      <c r="J4899" t="s">
        <v>27715</v>
      </c>
      <c r="K4899" t="s">
        <v>26948</v>
      </c>
      <c r="L4899" s="7" t="s">
        <v>27716</v>
      </c>
      <c r="M4899">
        <v>663</v>
      </c>
      <c r="N4899">
        <v>224</v>
      </c>
      <c r="O4899">
        <v>217</v>
      </c>
      <c r="P4899">
        <v>7</v>
      </c>
      <c r="Q4899">
        <v>224</v>
      </c>
      <c r="R4899">
        <v>217</v>
      </c>
      <c r="S4899">
        <v>7</v>
      </c>
      <c r="T4899">
        <v>0</v>
      </c>
      <c r="U4899" t="s">
        <v>27717</v>
      </c>
      <c r="V4899">
        <f>Tabla1[[#This Row],[Aboard]]-Tabla1[[#This Row],[Fatalities]]</f>
        <v>0</v>
      </c>
      <c r="W4899" s="50">
        <f>IFERROR(Tabla1[[#This Row],[Fatalities]]/Tabla1[[#This Row],[Aboard]],0)</f>
        <v>1</v>
      </c>
      <c r="X4899" s="51" t="str" cm="1">
        <f t="array" ref="X4899">_xlfn.IFS(Tabla1[[#This Row],[Porcentaje de muertes]]&lt;0.35,"LEVE",AND(Tabla1[[#This Row],[Porcentaje de muertes]]&gt;0.35,Tabla1[[#This Row],[Porcentaje de muertes]]&lt;0.65),"MEDIO",Tabla1[[#This Row],[Porcentaje de muertes]]&gt;0.65,"GRAVE")</f>
        <v>GRAVE</v>
      </c>
    </row>
    <row r="4900" spans="2:24" x14ac:dyDescent="0.3">
      <c r="B4900" s="9">
        <v>4901</v>
      </c>
      <c r="C4900" s="49">
        <v>42105</v>
      </c>
      <c r="D4900" s="9">
        <f>YEAR(Tabla1[[#This Row],[Date]])</f>
        <v>2015</v>
      </c>
      <c r="E4900" s="9" t="str" cm="1">
        <f t="array" ref="E4900">IFERROR(_xlfn.IFS(AND(D4900&lt;1980,D4900&gt;=1970),"70",AND(D4900&lt;1990,D4900&gt;=1980),"80",AND(D4900&lt;2000,D4900&gt;=1990),"90",AND(D4900&lt;2010,D4900&gt;=2000),"00",AND(D4900&lt;=2019,D4900&gt;=2010),"10"),"1908-1970")</f>
        <v>10</v>
      </c>
      <c r="F4900" s="3">
        <v>0.375</v>
      </c>
      <c r="G4900" t="s">
        <v>27718</v>
      </c>
      <c r="H4900" t="s">
        <v>27719</v>
      </c>
      <c r="I4900" t="s">
        <v>28931</v>
      </c>
      <c r="J4900" t="s">
        <v>27720</v>
      </c>
      <c r="K4900" t="s">
        <v>21945</v>
      </c>
      <c r="L4900" s="7" t="s">
        <v>27721</v>
      </c>
      <c r="M4900">
        <v>1347704</v>
      </c>
      <c r="N4900">
        <v>43</v>
      </c>
      <c r="O4900">
        <v>38</v>
      </c>
      <c r="P4900">
        <v>5</v>
      </c>
      <c r="Q4900">
        <v>41</v>
      </c>
      <c r="R4900">
        <v>37</v>
      </c>
      <c r="S4900">
        <v>4</v>
      </c>
      <c r="T4900">
        <v>0</v>
      </c>
      <c r="U4900" t="s">
        <v>27722</v>
      </c>
      <c r="V4900">
        <f>Tabla1[[#This Row],[Aboard]]-Tabla1[[#This Row],[Fatalities]]</f>
        <v>2</v>
      </c>
      <c r="W4900" s="50">
        <f>IFERROR(Tabla1[[#This Row],[Fatalities]]/Tabla1[[#This Row],[Aboard]],0)</f>
        <v>0.95348837209302328</v>
      </c>
      <c r="X4900" s="51" t="str" cm="1">
        <f t="array" ref="X4900">_xlfn.IFS(Tabla1[[#This Row],[Porcentaje de muertes]]&lt;0.35,"LEVE",AND(Tabla1[[#This Row],[Porcentaje de muertes]]&gt;0.35,Tabla1[[#This Row],[Porcentaje de muertes]]&lt;0.65),"MEDIO",Tabla1[[#This Row],[Porcentaje de muertes]]&gt;0.65,"GRAVE")</f>
        <v>GRAVE</v>
      </c>
    </row>
    <row r="4901" spans="2:24" x14ac:dyDescent="0.3">
      <c r="B4901" s="9">
        <v>4902</v>
      </c>
      <c r="C4901" s="49">
        <v>42329</v>
      </c>
      <c r="D4901" s="9">
        <f>YEAR(Tabla1[[#This Row],[Date]])</f>
        <v>2015</v>
      </c>
      <c r="E4901" s="9" t="str" cm="1">
        <f t="array" ref="E4901">IFERROR(_xlfn.IFS(AND(D4901&lt;1980,D4901&gt;=1970),"70",AND(D4901&lt;1990,D4901&gt;=1980),"80",AND(D4901&lt;2000,D4901&gt;=1990),"90",AND(D4901&lt;2010,D4901&gt;=2000),"00",AND(D4901&lt;=2019,D4901&gt;=2010),"10"),"1908-1970")</f>
        <v>10</v>
      </c>
      <c r="F4901" s="3">
        <v>0.49652777777777773</v>
      </c>
      <c r="G4901" t="s">
        <v>27723</v>
      </c>
      <c r="H4901" t="s">
        <v>27724</v>
      </c>
      <c r="I4901" t="s">
        <v>28931</v>
      </c>
      <c r="J4901" t="s">
        <v>5494</v>
      </c>
      <c r="K4901" t="s">
        <v>27725</v>
      </c>
      <c r="L4901" s="7" t="s">
        <v>27726</v>
      </c>
      <c r="M4901">
        <v>1132</v>
      </c>
      <c r="N4901">
        <v>7</v>
      </c>
      <c r="O4901">
        <v>6</v>
      </c>
      <c r="P4901">
        <v>1</v>
      </c>
      <c r="Q4901">
        <v>7</v>
      </c>
      <c r="R4901">
        <v>6</v>
      </c>
      <c r="S4901">
        <v>1</v>
      </c>
      <c r="T4901">
        <v>0</v>
      </c>
      <c r="U4901" t="s">
        <v>27727</v>
      </c>
      <c r="V4901">
        <f>Tabla1[[#This Row],[Aboard]]-Tabla1[[#This Row],[Fatalities]]</f>
        <v>0</v>
      </c>
      <c r="W4901" s="50">
        <f>IFERROR(Tabla1[[#This Row],[Fatalities]]/Tabla1[[#This Row],[Aboard]],0)</f>
        <v>1</v>
      </c>
      <c r="X4901" s="51" t="str" cm="1">
        <f t="array" ref="X4901">_xlfn.IFS(Tabla1[[#This Row],[Porcentaje de muertes]]&lt;0.35,"LEVE",AND(Tabla1[[#This Row],[Porcentaje de muertes]]&gt;0.35,Tabla1[[#This Row],[Porcentaje de muertes]]&lt;0.65),"MEDIO",Tabla1[[#This Row],[Porcentaje de muertes]]&gt;0.65,"GRAVE")</f>
        <v>GRAVE</v>
      </c>
    </row>
    <row r="4902" spans="2:24" x14ac:dyDescent="0.3">
      <c r="B4902" s="9">
        <v>4903</v>
      </c>
      <c r="C4902" s="49">
        <v>42332</v>
      </c>
      <c r="D4902" s="9">
        <f>YEAR(Tabla1[[#This Row],[Date]])</f>
        <v>2015</v>
      </c>
      <c r="E4902" s="9" t="str" cm="1">
        <f t="array" ref="E4902">IFERROR(_xlfn.IFS(AND(D4902&lt;1980,D4902&gt;=1970),"70",AND(D4902&lt;1990,D4902&gt;=1980),"80",AND(D4902&lt;2000,D4902&gt;=1990),"90",AND(D4902&lt;2010,D4902&gt;=2000),"00",AND(D4902&lt;=2019,D4902&gt;=2010),"10"),"1908-1970")</f>
        <v>10</v>
      </c>
      <c r="F4902" s="3">
        <v>0.42708333333333331</v>
      </c>
      <c r="G4902" t="s">
        <v>27728</v>
      </c>
      <c r="H4902" t="s">
        <v>27729</v>
      </c>
      <c r="I4902" t="s">
        <v>28931</v>
      </c>
      <c r="J4902" t="s">
        <v>27730</v>
      </c>
      <c r="K4902" t="s">
        <v>27731</v>
      </c>
      <c r="L4902" s="7" t="s">
        <v>27732</v>
      </c>
      <c r="M4902" t="s">
        <v>27733</v>
      </c>
      <c r="N4902">
        <v>26</v>
      </c>
      <c r="O4902">
        <v>22</v>
      </c>
      <c r="P4902">
        <v>4</v>
      </c>
      <c r="Q4902">
        <v>15</v>
      </c>
      <c r="R4902">
        <v>13</v>
      </c>
      <c r="S4902">
        <v>2</v>
      </c>
      <c r="T4902">
        <v>0</v>
      </c>
      <c r="U4902" t="s">
        <v>27734</v>
      </c>
      <c r="V4902">
        <f>Tabla1[[#This Row],[Aboard]]-Tabla1[[#This Row],[Fatalities]]</f>
        <v>11</v>
      </c>
      <c r="W4902" s="50">
        <f>IFERROR(Tabla1[[#This Row],[Fatalities]]/Tabla1[[#This Row],[Aboard]],0)</f>
        <v>0.57692307692307687</v>
      </c>
      <c r="X4902" s="51" t="str" cm="1">
        <f t="array" ref="X4902">_xlfn.IFS(Tabla1[[#This Row],[Porcentaje de muertes]]&lt;0.35,"LEVE",AND(Tabla1[[#This Row],[Porcentaje de muertes]]&gt;0.35,Tabla1[[#This Row],[Porcentaje de muertes]]&lt;0.65),"MEDIO",Tabla1[[#This Row],[Porcentaje de muertes]]&gt;0.65,"GRAVE")</f>
        <v>MEDIO</v>
      </c>
    </row>
    <row r="4903" spans="2:24" x14ac:dyDescent="0.3">
      <c r="B4903" s="9">
        <v>4904</v>
      </c>
      <c r="C4903" s="49">
        <v>42583</v>
      </c>
      <c r="D4903" s="9">
        <f>YEAR(Tabla1[[#This Row],[Date]])</f>
        <v>2016</v>
      </c>
      <c r="E4903" s="9" t="str" cm="1">
        <f t="array" ref="E4903">IFERROR(_xlfn.IFS(AND(D4903&lt;1980,D4903&gt;=1970),"70",AND(D4903&lt;1990,D4903&gt;=1980),"80",AND(D4903&lt;2000,D4903&gt;=1990),"90",AND(D4903&lt;2010,D4903&gt;=2000),"00",AND(D4903&lt;=2019,D4903&gt;=2010),"10"),"1908-1970")</f>
        <v>10</v>
      </c>
      <c r="F4903" s="3">
        <v>1.3888888888888888E-2</v>
      </c>
      <c r="G4903" t="s">
        <v>27735</v>
      </c>
      <c r="H4903" t="s">
        <v>27736</v>
      </c>
      <c r="I4903">
        <v>294</v>
      </c>
      <c r="J4903" t="s">
        <v>27737</v>
      </c>
      <c r="K4903" t="s">
        <v>27738</v>
      </c>
      <c r="L4903" s="7" t="s">
        <v>27739</v>
      </c>
      <c r="M4903">
        <v>7010</v>
      </c>
      <c r="N4903">
        <v>2</v>
      </c>
      <c r="O4903">
        <v>0</v>
      </c>
      <c r="P4903">
        <v>2</v>
      </c>
      <c r="Q4903">
        <v>2</v>
      </c>
      <c r="R4903">
        <v>0</v>
      </c>
      <c r="S4903">
        <v>2</v>
      </c>
      <c r="T4903">
        <v>0</v>
      </c>
      <c r="U4903" t="s">
        <v>27740</v>
      </c>
      <c r="V4903">
        <f>Tabla1[[#This Row],[Aboard]]-Tabla1[[#This Row],[Fatalities]]</f>
        <v>0</v>
      </c>
      <c r="W4903" s="50">
        <f>IFERROR(Tabla1[[#This Row],[Fatalities]]/Tabla1[[#This Row],[Aboard]],0)</f>
        <v>1</v>
      </c>
      <c r="X4903" s="51" t="str" cm="1">
        <f t="array" ref="X4903">_xlfn.IFS(Tabla1[[#This Row],[Porcentaje de muertes]]&lt;0.35,"LEVE",AND(Tabla1[[#This Row],[Porcentaje de muertes]]&gt;0.35,Tabla1[[#This Row],[Porcentaje de muertes]]&lt;0.65),"MEDIO",Tabla1[[#This Row],[Porcentaje de muertes]]&gt;0.65,"GRAVE")</f>
        <v>GRAVE</v>
      </c>
    </row>
    <row r="4904" spans="2:24" x14ac:dyDescent="0.3">
      <c r="B4904" s="9">
        <v>4905</v>
      </c>
      <c r="C4904" s="49">
        <v>42402</v>
      </c>
      <c r="D4904" s="9">
        <f>YEAR(Tabla1[[#This Row],[Date]])</f>
        <v>2016</v>
      </c>
      <c r="E4904" s="9" t="str" cm="1">
        <f t="array" ref="E4904">IFERROR(_xlfn.IFS(AND(D4904&lt;1980,D4904&gt;=1970),"70",AND(D4904&lt;1990,D4904&gt;=1980),"80",AND(D4904&lt;2000,D4904&gt;=1990),"90",AND(D4904&lt;2010,D4904&gt;=2000),"00",AND(D4904&lt;=2019,D4904&gt;=2010),"10"),"1908-1970")</f>
        <v>10</v>
      </c>
      <c r="F4904" s="3" t="s">
        <v>28931</v>
      </c>
      <c r="G4904" t="s">
        <v>27741</v>
      </c>
      <c r="H4904" t="s">
        <v>27742</v>
      </c>
      <c r="I4904">
        <v>3159</v>
      </c>
      <c r="J4904" t="s">
        <v>26204</v>
      </c>
      <c r="K4904" t="s">
        <v>27743</v>
      </c>
      <c r="L4904" s="7" t="s">
        <v>27744</v>
      </c>
      <c r="M4904">
        <v>642</v>
      </c>
      <c r="N4904">
        <v>72</v>
      </c>
      <c r="O4904">
        <v>72</v>
      </c>
      <c r="P4904" t="s">
        <v>5038</v>
      </c>
      <c r="Q4904">
        <v>1</v>
      </c>
      <c r="R4904">
        <v>1</v>
      </c>
      <c r="S4904" t="s">
        <v>5038</v>
      </c>
      <c r="T4904">
        <v>0</v>
      </c>
      <c r="U4904" t="s">
        <v>27745</v>
      </c>
      <c r="V4904">
        <f>Tabla1[[#This Row],[Aboard]]-Tabla1[[#This Row],[Fatalities]]</f>
        <v>71</v>
      </c>
      <c r="W4904" s="50">
        <f>IFERROR(Tabla1[[#This Row],[Fatalities]]/Tabla1[[#This Row],[Aboard]],0)</f>
        <v>1.3888888888888888E-2</v>
      </c>
      <c r="X4904" s="51" t="str" cm="1">
        <f t="array" ref="X4904">_xlfn.IFS(Tabla1[[#This Row],[Porcentaje de muertes]]&lt;0.35,"LEVE",AND(Tabla1[[#This Row],[Porcentaje de muertes]]&gt;0.35,Tabla1[[#This Row],[Porcentaje de muertes]]&lt;0.65),"MEDIO",Tabla1[[#This Row],[Porcentaje de muertes]]&gt;0.65,"GRAVE")</f>
        <v>LEVE</v>
      </c>
    </row>
    <row r="4905" spans="2:24" x14ac:dyDescent="0.3">
      <c r="B4905" s="9">
        <v>4906</v>
      </c>
      <c r="C4905" s="49">
        <v>42424</v>
      </c>
      <c r="D4905" s="9">
        <f>YEAR(Tabla1[[#This Row],[Date]])</f>
        <v>2016</v>
      </c>
      <c r="E4905" s="9" t="str" cm="1">
        <f t="array" ref="E4905">IFERROR(_xlfn.IFS(AND(D4905&lt;1980,D4905&gt;=1970),"70",AND(D4905&lt;1990,D4905&gt;=1980),"80",AND(D4905&lt;2000,D4905&gt;=1990),"90",AND(D4905&lt;2010,D4905&gt;=2000),"00",AND(D4905&lt;=2019,D4905&gt;=2010),"10"),"1908-1970")</f>
        <v>10</v>
      </c>
      <c r="F4905" s="3">
        <v>0.34375</v>
      </c>
      <c r="G4905" t="s">
        <v>27746</v>
      </c>
      <c r="H4905" t="s">
        <v>27747</v>
      </c>
      <c r="I4905">
        <v>193</v>
      </c>
      <c r="J4905" t="s">
        <v>27748</v>
      </c>
      <c r="K4905" t="s">
        <v>27749</v>
      </c>
      <c r="L4905" s="7" t="s">
        <v>27750</v>
      </c>
      <c r="M4905">
        <v>926</v>
      </c>
      <c r="N4905">
        <v>23</v>
      </c>
      <c r="O4905">
        <v>20</v>
      </c>
      <c r="P4905">
        <v>3</v>
      </c>
      <c r="Q4905">
        <v>23</v>
      </c>
      <c r="R4905">
        <v>20</v>
      </c>
      <c r="S4905">
        <v>3</v>
      </c>
      <c r="T4905">
        <v>0</v>
      </c>
      <c r="U4905" t="s">
        <v>27751</v>
      </c>
      <c r="V4905">
        <f>Tabla1[[#This Row],[Aboard]]-Tabla1[[#This Row],[Fatalities]]</f>
        <v>0</v>
      </c>
      <c r="W4905" s="50">
        <f>IFERROR(Tabla1[[#This Row],[Fatalities]]/Tabla1[[#This Row],[Aboard]],0)</f>
        <v>1</v>
      </c>
      <c r="X4905" s="51" t="str" cm="1">
        <f t="array" ref="X4905">_xlfn.IFS(Tabla1[[#This Row],[Porcentaje de muertes]]&lt;0.35,"LEVE",AND(Tabla1[[#This Row],[Porcentaje de muertes]]&gt;0.35,Tabla1[[#This Row],[Porcentaje de muertes]]&lt;0.65),"MEDIO",Tabla1[[#This Row],[Porcentaje de muertes]]&gt;0.65,"GRAVE")</f>
        <v>GRAVE</v>
      </c>
    </row>
    <row r="4906" spans="2:24" x14ac:dyDescent="0.3">
      <c r="B4906" s="9">
        <v>4907</v>
      </c>
      <c r="C4906" s="49">
        <v>42426</v>
      </c>
      <c r="D4906" s="9">
        <f>YEAR(Tabla1[[#This Row],[Date]])</f>
        <v>2016</v>
      </c>
      <c r="E4906" s="9" t="str" cm="1">
        <f t="array" ref="E4906">IFERROR(_xlfn.IFS(AND(D4906&lt;1980,D4906&gt;=1970),"70",AND(D4906&lt;1990,D4906&gt;=1980),"80",AND(D4906&lt;2000,D4906&gt;=1990),"90",AND(D4906&lt;2010,D4906&gt;=2000),"00",AND(D4906&lt;=2019,D4906&gt;=2010),"10"),"1908-1970")</f>
        <v>10</v>
      </c>
      <c r="F4906" s="3" t="s">
        <v>28931</v>
      </c>
      <c r="G4906" t="s">
        <v>27752</v>
      </c>
      <c r="H4906" t="s">
        <v>27753</v>
      </c>
      <c r="I4906" t="s">
        <v>28931</v>
      </c>
      <c r="J4906" t="s">
        <v>27754</v>
      </c>
      <c r="K4906" t="s">
        <v>27755</v>
      </c>
      <c r="L4906" s="7" t="s">
        <v>27756</v>
      </c>
      <c r="M4906">
        <v>160</v>
      </c>
      <c r="N4906">
        <v>11</v>
      </c>
      <c r="O4906">
        <v>9</v>
      </c>
      <c r="P4906">
        <v>2</v>
      </c>
      <c r="Q4906">
        <v>2</v>
      </c>
      <c r="R4906">
        <v>0</v>
      </c>
      <c r="S4906">
        <v>2</v>
      </c>
      <c r="T4906">
        <v>0</v>
      </c>
      <c r="U4906" t="s">
        <v>27757</v>
      </c>
      <c r="V4906">
        <f>Tabla1[[#This Row],[Aboard]]-Tabla1[[#This Row],[Fatalities]]</f>
        <v>9</v>
      </c>
      <c r="W4906" s="50">
        <f>IFERROR(Tabla1[[#This Row],[Fatalities]]/Tabla1[[#This Row],[Aboard]],0)</f>
        <v>0.18181818181818182</v>
      </c>
      <c r="X4906" s="51" t="str" cm="1">
        <f t="array" ref="X4906">_xlfn.IFS(Tabla1[[#This Row],[Porcentaje de muertes]]&lt;0.35,"LEVE",AND(Tabla1[[#This Row],[Porcentaje de muertes]]&gt;0.35,Tabla1[[#This Row],[Porcentaje de muertes]]&lt;0.65),"MEDIO",Tabla1[[#This Row],[Porcentaje de muertes]]&gt;0.65,"GRAVE")</f>
        <v>LEVE</v>
      </c>
    </row>
    <row r="4907" spans="2:24" x14ac:dyDescent="0.3">
      <c r="B4907" s="9">
        <v>4908</v>
      </c>
      <c r="C4907" s="49">
        <v>42616</v>
      </c>
      <c r="D4907" s="9">
        <f>YEAR(Tabla1[[#This Row],[Date]])</f>
        <v>2016</v>
      </c>
      <c r="E4907" s="9" t="str" cm="1">
        <f t="array" ref="E4907">IFERROR(_xlfn.IFS(AND(D4907&lt;1980,D4907&gt;=1970),"70",AND(D4907&lt;1990,D4907&gt;=1980),"80",AND(D4907&lt;2000,D4907&gt;=1990),"90",AND(D4907&lt;2010,D4907&gt;=2000),"00",AND(D4907&lt;=2019,D4907&gt;=2010),"10"),"1908-1970")</f>
        <v>10</v>
      </c>
      <c r="F4907" s="3">
        <v>0.37847222222222227</v>
      </c>
      <c r="G4907" t="s">
        <v>27758</v>
      </c>
      <c r="H4907" t="s">
        <v>27759</v>
      </c>
      <c r="I4907" t="s">
        <v>28931</v>
      </c>
      <c r="J4907" t="s">
        <v>27760</v>
      </c>
      <c r="K4907" t="s">
        <v>27761</v>
      </c>
      <c r="L4907" s="7" t="s">
        <v>27762</v>
      </c>
      <c r="M4907">
        <v>13408</v>
      </c>
      <c r="N4907">
        <v>4</v>
      </c>
      <c r="O4907">
        <v>0</v>
      </c>
      <c r="P4907">
        <v>4</v>
      </c>
      <c r="Q4907">
        <v>3</v>
      </c>
      <c r="R4907">
        <v>0</v>
      </c>
      <c r="S4907">
        <v>3</v>
      </c>
      <c r="T4907">
        <v>0</v>
      </c>
      <c r="U4907" t="s">
        <v>27763</v>
      </c>
      <c r="V4907">
        <f>Tabla1[[#This Row],[Aboard]]-Tabla1[[#This Row],[Fatalities]]</f>
        <v>1</v>
      </c>
      <c r="W4907" s="50">
        <f>IFERROR(Tabla1[[#This Row],[Fatalities]]/Tabla1[[#This Row],[Aboard]],0)</f>
        <v>0.75</v>
      </c>
      <c r="X4907" s="51" t="str" cm="1">
        <f t="array" ref="X4907">_xlfn.IFS(Tabla1[[#This Row],[Porcentaje de muertes]]&lt;0.35,"LEVE",AND(Tabla1[[#This Row],[Porcentaje de muertes]]&gt;0.35,Tabla1[[#This Row],[Porcentaje de muertes]]&lt;0.65),"MEDIO",Tabla1[[#This Row],[Porcentaje de muertes]]&gt;0.65,"GRAVE")</f>
        <v>GRAVE</v>
      </c>
    </row>
    <row r="4908" spans="2:24" x14ac:dyDescent="0.3">
      <c r="B4908" s="9">
        <v>4909</v>
      </c>
      <c r="C4908" s="49">
        <v>42444</v>
      </c>
      <c r="D4908" s="9">
        <f>YEAR(Tabla1[[#This Row],[Date]])</f>
        <v>2016</v>
      </c>
      <c r="E4908" s="9" t="str" cm="1">
        <f t="array" ref="E4908">IFERROR(_xlfn.IFS(AND(D4908&lt;1980,D4908&gt;=1970),"70",AND(D4908&lt;1990,D4908&gt;=1980),"80",AND(D4908&lt;2000,D4908&gt;=1990),"90",AND(D4908&lt;2010,D4908&gt;=2000),"00",AND(D4908&lt;=2019,D4908&gt;=2010),"10"),"1908-1970")</f>
        <v>10</v>
      </c>
      <c r="F4908" s="3">
        <v>0.60416666666666663</v>
      </c>
      <c r="G4908" t="s">
        <v>27764</v>
      </c>
      <c r="H4908" t="s">
        <v>27765</v>
      </c>
      <c r="I4908" t="s">
        <v>28931</v>
      </c>
      <c r="J4908" t="s">
        <v>6190</v>
      </c>
      <c r="K4908" t="s">
        <v>27766</v>
      </c>
      <c r="L4908" s="7" t="s">
        <v>27767</v>
      </c>
      <c r="M4908">
        <v>90</v>
      </c>
      <c r="N4908">
        <v>22</v>
      </c>
      <c r="O4908">
        <v>19</v>
      </c>
      <c r="P4908">
        <v>3</v>
      </c>
      <c r="Q4908">
        <v>22</v>
      </c>
      <c r="R4908">
        <v>19</v>
      </c>
      <c r="S4908">
        <v>3</v>
      </c>
      <c r="T4908">
        <v>0</v>
      </c>
      <c r="U4908" t="s">
        <v>27768</v>
      </c>
      <c r="V4908">
        <f>Tabla1[[#This Row],[Aboard]]-Tabla1[[#This Row],[Fatalities]]</f>
        <v>0</v>
      </c>
      <c r="W4908" s="50">
        <f>IFERROR(Tabla1[[#This Row],[Fatalities]]/Tabla1[[#This Row],[Aboard]],0)</f>
        <v>1</v>
      </c>
      <c r="X4908" s="51" t="str" cm="1">
        <f t="array" ref="X4908">_xlfn.IFS(Tabla1[[#This Row],[Porcentaje de muertes]]&lt;0.35,"LEVE",AND(Tabla1[[#This Row],[Porcentaje de muertes]]&gt;0.35,Tabla1[[#This Row],[Porcentaje de muertes]]&lt;0.65),"MEDIO",Tabla1[[#This Row],[Porcentaje de muertes]]&gt;0.65,"GRAVE")</f>
        <v>GRAVE</v>
      </c>
    </row>
    <row r="4909" spans="2:24" x14ac:dyDescent="0.3">
      <c r="B4909" s="9">
        <v>4910</v>
      </c>
      <c r="C4909" s="49">
        <v>42448</v>
      </c>
      <c r="D4909" s="9">
        <f>YEAR(Tabla1[[#This Row],[Date]])</f>
        <v>2016</v>
      </c>
      <c r="E4909" s="9" t="str" cm="1">
        <f t="array" ref="E4909">IFERROR(_xlfn.IFS(AND(D4909&lt;1980,D4909&gt;=1970),"70",AND(D4909&lt;1990,D4909&gt;=1980),"80",AND(D4909&lt;2000,D4909&gt;=1990),"90",AND(D4909&lt;2010,D4909&gt;=2000),"00",AND(D4909&lt;=2019,D4909&gt;=2010),"10"),"1908-1970")</f>
        <v>10</v>
      </c>
      <c r="F4909" s="3">
        <v>0.15347222222222223</v>
      </c>
      <c r="G4909" t="s">
        <v>27769</v>
      </c>
      <c r="H4909" t="s">
        <v>27770</v>
      </c>
      <c r="I4909">
        <v>981</v>
      </c>
      <c r="J4909" t="s">
        <v>27771</v>
      </c>
      <c r="K4909" t="s">
        <v>27772</v>
      </c>
      <c r="L4909" s="7" t="s">
        <v>27773</v>
      </c>
      <c r="M4909" t="s">
        <v>27774</v>
      </c>
      <c r="N4909">
        <v>62</v>
      </c>
      <c r="O4909">
        <v>55</v>
      </c>
      <c r="P4909">
        <v>7</v>
      </c>
      <c r="Q4909">
        <v>62</v>
      </c>
      <c r="R4909">
        <v>55</v>
      </c>
      <c r="S4909">
        <v>7</v>
      </c>
      <c r="T4909">
        <v>0</v>
      </c>
      <c r="U4909" t="s">
        <v>27775</v>
      </c>
      <c r="V4909">
        <f>Tabla1[[#This Row],[Aboard]]-Tabla1[[#This Row],[Fatalities]]</f>
        <v>0</v>
      </c>
      <c r="W4909" s="50">
        <f>IFERROR(Tabla1[[#This Row],[Fatalities]]/Tabla1[[#This Row],[Aboard]],0)</f>
        <v>1</v>
      </c>
      <c r="X4909" s="51" t="str" cm="1">
        <f t="array" ref="X4909">_xlfn.IFS(Tabla1[[#This Row],[Porcentaje de muertes]]&lt;0.35,"LEVE",AND(Tabla1[[#This Row],[Porcentaje de muertes]]&gt;0.35,Tabla1[[#This Row],[Porcentaje de muertes]]&lt;0.65),"MEDIO",Tabla1[[#This Row],[Porcentaje de muertes]]&gt;0.65,"GRAVE")</f>
        <v>GRAVE</v>
      </c>
    </row>
    <row r="4910" spans="2:24" x14ac:dyDescent="0.3">
      <c r="B4910" s="9">
        <v>4911</v>
      </c>
      <c r="C4910" s="49">
        <v>42458</v>
      </c>
      <c r="D4910" s="9">
        <f>YEAR(Tabla1[[#This Row],[Date]])</f>
        <v>2016</v>
      </c>
      <c r="E4910" s="9" t="str" cm="1">
        <f t="array" ref="E4910">IFERROR(_xlfn.IFS(AND(D4910&lt;1980,D4910&gt;=1970),"70",AND(D4910&lt;1990,D4910&gt;=1980),"80",AND(D4910&lt;2000,D4910&gt;=1990),"90",AND(D4910&lt;2010,D4910&gt;=2000),"00",AND(D4910&lt;=2019,D4910&gt;=2010),"10"),"1908-1970")</f>
        <v>10</v>
      </c>
      <c r="F4910" s="3">
        <v>0.4861111111111111</v>
      </c>
      <c r="G4910" t="s">
        <v>27776</v>
      </c>
      <c r="H4910" t="s">
        <v>27777</v>
      </c>
      <c r="I4910" t="s">
        <v>28931</v>
      </c>
      <c r="J4910" t="s">
        <v>27778</v>
      </c>
      <c r="K4910" t="s">
        <v>27779</v>
      </c>
      <c r="L4910" s="7" t="s">
        <v>27780</v>
      </c>
      <c r="M4910" t="s">
        <v>27781</v>
      </c>
      <c r="N4910">
        <v>7</v>
      </c>
      <c r="O4910">
        <v>5</v>
      </c>
      <c r="P4910">
        <v>2</v>
      </c>
      <c r="Q4910">
        <v>7</v>
      </c>
      <c r="R4910">
        <v>5</v>
      </c>
      <c r="S4910">
        <v>2</v>
      </c>
      <c r="T4910">
        <v>0</v>
      </c>
      <c r="U4910" t="s">
        <v>27782</v>
      </c>
      <c r="V4910">
        <f>Tabla1[[#This Row],[Aboard]]-Tabla1[[#This Row],[Fatalities]]</f>
        <v>0</v>
      </c>
      <c r="W4910" s="50">
        <f>IFERROR(Tabla1[[#This Row],[Fatalities]]/Tabla1[[#This Row],[Aboard]],0)</f>
        <v>1</v>
      </c>
      <c r="X4910" s="51" t="str" cm="1">
        <f t="array" ref="X4910">_xlfn.IFS(Tabla1[[#This Row],[Porcentaje de muertes]]&lt;0.35,"LEVE",AND(Tabla1[[#This Row],[Porcentaje de muertes]]&gt;0.35,Tabla1[[#This Row],[Porcentaje de muertes]]&lt;0.65),"MEDIO",Tabla1[[#This Row],[Porcentaje de muertes]]&gt;0.65,"GRAVE")</f>
        <v>GRAVE</v>
      </c>
    </row>
    <row r="4911" spans="2:24" x14ac:dyDescent="0.3">
      <c r="B4911" s="9">
        <v>4912</v>
      </c>
      <c r="C4911" s="49">
        <v>42464</v>
      </c>
      <c r="D4911" s="9">
        <f>YEAR(Tabla1[[#This Row],[Date]])</f>
        <v>2016</v>
      </c>
      <c r="E4911" s="9" t="str" cm="1">
        <f t="array" ref="E4911">IFERROR(_xlfn.IFS(AND(D4911&lt;1980,D4911&gt;=1970),"70",AND(D4911&lt;1990,D4911&gt;=1980),"80",AND(D4911&lt;2000,D4911&gt;=1990),"90",AND(D4911&lt;2010,D4911&gt;=2000),"00",AND(D4911&lt;=2019,D4911&gt;=2010),"10"),"1908-1970")</f>
        <v>10</v>
      </c>
      <c r="F4911" s="3">
        <v>0.64583333333333337</v>
      </c>
      <c r="G4911" t="s">
        <v>27783</v>
      </c>
      <c r="H4911" t="s">
        <v>27784</v>
      </c>
      <c r="I4911" t="s">
        <v>28931</v>
      </c>
      <c r="J4911" t="s">
        <v>5494</v>
      </c>
      <c r="K4911" t="s">
        <v>24817</v>
      </c>
      <c r="L4911" s="7" t="s">
        <v>27785</v>
      </c>
      <c r="M4911">
        <v>45081</v>
      </c>
      <c r="N4911">
        <v>5</v>
      </c>
      <c r="O4911">
        <v>4</v>
      </c>
      <c r="P4911">
        <v>1</v>
      </c>
      <c r="Q4911">
        <v>5</v>
      </c>
      <c r="R4911">
        <v>4</v>
      </c>
      <c r="S4911">
        <v>1</v>
      </c>
      <c r="T4911">
        <v>0</v>
      </c>
      <c r="U4911" t="s">
        <v>27786</v>
      </c>
      <c r="V4911">
        <f>Tabla1[[#This Row],[Aboard]]-Tabla1[[#This Row],[Fatalities]]</f>
        <v>0</v>
      </c>
      <c r="W4911" s="50">
        <f>IFERROR(Tabla1[[#This Row],[Fatalities]]/Tabla1[[#This Row],[Aboard]],0)</f>
        <v>1</v>
      </c>
      <c r="X4911" s="51" t="str" cm="1">
        <f t="array" ref="X4911">_xlfn.IFS(Tabla1[[#This Row],[Porcentaje de muertes]]&lt;0.35,"LEVE",AND(Tabla1[[#This Row],[Porcentaje de muertes]]&gt;0.35,Tabla1[[#This Row],[Porcentaje de muertes]]&lt;0.65),"MEDIO",Tabla1[[#This Row],[Porcentaje de muertes]]&gt;0.65,"GRAVE")</f>
        <v>GRAVE</v>
      </c>
    </row>
    <row r="4912" spans="2:24" x14ac:dyDescent="0.3">
      <c r="B4912" s="9">
        <v>4913</v>
      </c>
      <c r="C4912" s="49">
        <v>42473</v>
      </c>
      <c r="D4912" s="9">
        <f>YEAR(Tabla1[[#This Row],[Date]])</f>
        <v>2016</v>
      </c>
      <c r="E4912" s="9" t="str" cm="1">
        <f t="array" ref="E4912">IFERROR(_xlfn.IFS(AND(D4912&lt;1980,D4912&gt;=1970),"70",AND(D4912&lt;1990,D4912&gt;=1980),"80",AND(D4912&lt;2000,D4912&gt;=1990),"90",AND(D4912&lt;2010,D4912&gt;=2000),"00",AND(D4912&lt;=2019,D4912&gt;=2010),"10"),"1908-1970")</f>
        <v>10</v>
      </c>
      <c r="F4912" s="3">
        <v>0.59722222222222221</v>
      </c>
      <c r="G4912" t="s">
        <v>22874</v>
      </c>
      <c r="H4912" t="s">
        <v>27787</v>
      </c>
      <c r="I4912" t="s">
        <v>28931</v>
      </c>
      <c r="J4912" t="s">
        <v>27788</v>
      </c>
      <c r="K4912" t="s">
        <v>27789</v>
      </c>
      <c r="L4912" s="7" t="s">
        <v>27790</v>
      </c>
      <c r="M4912">
        <v>3010</v>
      </c>
      <c r="N4912">
        <v>12</v>
      </c>
      <c r="O4912">
        <v>11</v>
      </c>
      <c r="P4912">
        <v>1</v>
      </c>
      <c r="Q4912">
        <v>12</v>
      </c>
      <c r="R4912">
        <v>11</v>
      </c>
      <c r="S4912">
        <v>1</v>
      </c>
      <c r="T4912">
        <v>0</v>
      </c>
      <c r="U4912" t="s">
        <v>27791</v>
      </c>
      <c r="V4912">
        <f>Tabla1[[#This Row],[Aboard]]-Tabla1[[#This Row],[Fatalities]]</f>
        <v>0</v>
      </c>
      <c r="W4912" s="50">
        <f>IFERROR(Tabla1[[#This Row],[Fatalities]]/Tabla1[[#This Row],[Aboard]],0)</f>
        <v>1</v>
      </c>
      <c r="X4912" s="51" t="str" cm="1">
        <f t="array" ref="X4912">_xlfn.IFS(Tabla1[[#This Row],[Porcentaje de muertes]]&lt;0.35,"LEVE",AND(Tabla1[[#This Row],[Porcentaje de muertes]]&gt;0.35,Tabla1[[#This Row],[Porcentaje de muertes]]&lt;0.65),"MEDIO",Tabla1[[#This Row],[Porcentaje de muertes]]&gt;0.65,"GRAVE")</f>
        <v>GRAVE</v>
      </c>
    </row>
    <row r="4913" spans="2:24" x14ac:dyDescent="0.3">
      <c r="B4913" s="9">
        <v>4914</v>
      </c>
      <c r="C4913" s="49">
        <v>42489</v>
      </c>
      <c r="D4913" s="9">
        <f>YEAR(Tabla1[[#This Row],[Date]])</f>
        <v>2016</v>
      </c>
      <c r="E4913" s="9" t="str" cm="1">
        <f t="array" ref="E4913">IFERROR(_xlfn.IFS(AND(D4913&lt;1980,D4913&gt;=1970),"70",AND(D4913&lt;1990,D4913&gt;=1980),"80",AND(D4913&lt;2000,D4913&gt;=1990),"90",AND(D4913&lt;2010,D4913&gt;=2000),"00",AND(D4913&lt;=2019,D4913&gt;=2010),"10"),"1908-1970")</f>
        <v>10</v>
      </c>
      <c r="F4913" s="3">
        <v>0.49305555555555558</v>
      </c>
      <c r="G4913" t="s">
        <v>27792</v>
      </c>
      <c r="H4913" t="s">
        <v>27793</v>
      </c>
      <c r="I4913" t="s">
        <v>28931</v>
      </c>
      <c r="J4913" t="s">
        <v>27794</v>
      </c>
      <c r="K4913" t="s">
        <v>27795</v>
      </c>
      <c r="L4913" s="7" t="s">
        <v>27796</v>
      </c>
      <c r="M4913">
        <v>2721</v>
      </c>
      <c r="N4913">
        <v>13</v>
      </c>
      <c r="O4913">
        <v>11</v>
      </c>
      <c r="P4913">
        <v>2</v>
      </c>
      <c r="Q4913">
        <v>13</v>
      </c>
      <c r="R4913">
        <v>11</v>
      </c>
      <c r="S4913">
        <v>2</v>
      </c>
      <c r="T4913">
        <v>0</v>
      </c>
      <c r="U4913" t="s">
        <v>27797</v>
      </c>
      <c r="V4913">
        <f>Tabla1[[#This Row],[Aboard]]-Tabla1[[#This Row],[Fatalities]]</f>
        <v>0</v>
      </c>
      <c r="W4913" s="50">
        <f>IFERROR(Tabla1[[#This Row],[Fatalities]]/Tabla1[[#This Row],[Aboard]],0)</f>
        <v>1</v>
      </c>
      <c r="X4913" s="51" t="str" cm="1">
        <f t="array" ref="X4913">_xlfn.IFS(Tabla1[[#This Row],[Porcentaje de muertes]]&lt;0.35,"LEVE",AND(Tabla1[[#This Row],[Porcentaje de muertes]]&gt;0.35,Tabla1[[#This Row],[Porcentaje de muertes]]&lt;0.65),"MEDIO",Tabla1[[#This Row],[Porcentaje de muertes]]&gt;0.65,"GRAVE")</f>
        <v>GRAVE</v>
      </c>
    </row>
    <row r="4914" spans="2:24" x14ac:dyDescent="0.3">
      <c r="B4914" s="9">
        <v>4915</v>
      </c>
      <c r="C4914" s="49">
        <v>42509</v>
      </c>
      <c r="D4914" s="9">
        <f>YEAR(Tabla1[[#This Row],[Date]])</f>
        <v>2016</v>
      </c>
      <c r="E4914" s="9" t="str" cm="1">
        <f t="array" ref="E4914">IFERROR(_xlfn.IFS(AND(D4914&lt;1980,D4914&gt;=1970),"70",AND(D4914&lt;1990,D4914&gt;=1980),"80",AND(D4914&lt;2000,D4914&gt;=1990),"90",AND(D4914&lt;2010,D4914&gt;=2000),"00",AND(D4914&lt;=2019,D4914&gt;=2010),"10"),"1908-1970")</f>
        <v>10</v>
      </c>
      <c r="F4914" s="3">
        <v>0.1173611111111111</v>
      </c>
      <c r="G4914" t="s">
        <v>27798</v>
      </c>
      <c r="H4914" t="s">
        <v>17763</v>
      </c>
      <c r="I4914">
        <v>804</v>
      </c>
      <c r="J4914" t="s">
        <v>8842</v>
      </c>
      <c r="K4914" t="s">
        <v>26608</v>
      </c>
      <c r="L4914" s="7" t="s">
        <v>27799</v>
      </c>
      <c r="M4914">
        <v>2088</v>
      </c>
      <c r="N4914">
        <v>66</v>
      </c>
      <c r="O4914">
        <v>56</v>
      </c>
      <c r="P4914">
        <v>10</v>
      </c>
      <c r="Q4914">
        <v>66</v>
      </c>
      <c r="R4914">
        <v>56</v>
      </c>
      <c r="S4914">
        <v>10</v>
      </c>
      <c r="T4914">
        <v>0</v>
      </c>
      <c r="U4914" t="s">
        <v>27800</v>
      </c>
      <c r="V4914">
        <f>Tabla1[[#This Row],[Aboard]]-Tabla1[[#This Row],[Fatalities]]</f>
        <v>0</v>
      </c>
      <c r="W4914" s="50">
        <f>IFERROR(Tabla1[[#This Row],[Fatalities]]/Tabla1[[#This Row],[Aboard]],0)</f>
        <v>1</v>
      </c>
      <c r="X4914" s="51" t="str" cm="1">
        <f t="array" ref="X4914">_xlfn.IFS(Tabla1[[#This Row],[Porcentaje de muertes]]&lt;0.35,"LEVE",AND(Tabla1[[#This Row],[Porcentaje de muertes]]&gt;0.35,Tabla1[[#This Row],[Porcentaje de muertes]]&lt;0.65),"MEDIO",Tabla1[[#This Row],[Porcentaje de muertes]]&gt;0.65,"GRAVE")</f>
        <v>GRAVE</v>
      </c>
    </row>
    <row r="4915" spans="2:24" x14ac:dyDescent="0.3">
      <c r="B4915" s="9">
        <v>4916</v>
      </c>
      <c r="C4915" s="49">
        <v>42573</v>
      </c>
      <c r="D4915" s="9">
        <f>YEAR(Tabla1[[#This Row],[Date]])</f>
        <v>2016</v>
      </c>
      <c r="E4915" s="9" t="str" cm="1">
        <f t="array" ref="E4915">IFERROR(_xlfn.IFS(AND(D4915&lt;1980,D4915&gt;=1970),"70",AND(D4915&lt;1990,D4915&gt;=1980),"80",AND(D4915&lt;2000,D4915&gt;=1990),"90",AND(D4915&lt;2010,D4915&gt;=2000),"00",AND(D4915&lt;=2019,D4915&gt;=2010),"10"),"1908-1970")</f>
        <v>10</v>
      </c>
      <c r="F4915" s="3" t="s">
        <v>28931</v>
      </c>
      <c r="G4915" t="s">
        <v>27801</v>
      </c>
      <c r="H4915" t="s">
        <v>6544</v>
      </c>
      <c r="I4915" t="s">
        <v>28931</v>
      </c>
      <c r="J4915" t="s">
        <v>27802</v>
      </c>
      <c r="K4915" t="s">
        <v>22059</v>
      </c>
      <c r="L4915" s="7" t="s">
        <v>27803</v>
      </c>
      <c r="M4915">
        <v>809</v>
      </c>
      <c r="N4915">
        <v>29</v>
      </c>
      <c r="O4915">
        <v>23</v>
      </c>
      <c r="P4915">
        <v>6</v>
      </c>
      <c r="Q4915">
        <v>29</v>
      </c>
      <c r="R4915">
        <v>23</v>
      </c>
      <c r="S4915">
        <v>6</v>
      </c>
      <c r="T4915">
        <v>0</v>
      </c>
      <c r="U4915" t="s">
        <v>27804</v>
      </c>
      <c r="V4915">
        <f>Tabla1[[#This Row],[Aboard]]-Tabla1[[#This Row],[Fatalities]]</f>
        <v>0</v>
      </c>
      <c r="W4915" s="50">
        <f>IFERROR(Tabla1[[#This Row],[Fatalities]]/Tabla1[[#This Row],[Aboard]],0)</f>
        <v>1</v>
      </c>
      <c r="X4915" s="51" t="str" cm="1">
        <f t="array" ref="X4915">_xlfn.IFS(Tabla1[[#This Row],[Porcentaje de muertes]]&lt;0.35,"LEVE",AND(Tabla1[[#This Row],[Porcentaje de muertes]]&gt;0.35,Tabla1[[#This Row],[Porcentaje de muertes]]&lt;0.65),"MEDIO",Tabla1[[#This Row],[Porcentaje de muertes]]&gt;0.65,"GRAVE")</f>
        <v>GRAVE</v>
      </c>
    </row>
    <row r="4916" spans="2:24" x14ac:dyDescent="0.3">
      <c r="B4916" s="9">
        <v>4917</v>
      </c>
      <c r="C4916" s="49">
        <v>42581</v>
      </c>
      <c r="D4916" s="9">
        <f>YEAR(Tabla1[[#This Row],[Date]])</f>
        <v>2016</v>
      </c>
      <c r="E4916" s="9" t="str" cm="1">
        <f t="array" ref="E4916">IFERROR(_xlfn.IFS(AND(D4916&lt;1980,D4916&gt;=1970),"70",AND(D4916&lt;1990,D4916&gt;=1980),"80",AND(D4916&lt;2000,D4916&gt;=1990),"90",AND(D4916&lt;2010,D4916&gt;=2000),"00",AND(D4916&lt;=2019,D4916&gt;=2010),"10"),"1908-1970")</f>
        <v>10</v>
      </c>
      <c r="F4916" s="3">
        <v>0.32083333333333336</v>
      </c>
      <c r="G4916" t="s">
        <v>27805</v>
      </c>
      <c r="H4916" t="s">
        <v>27806</v>
      </c>
      <c r="I4916" t="s">
        <v>28931</v>
      </c>
      <c r="J4916" t="s">
        <v>27807</v>
      </c>
      <c r="K4916" t="s">
        <v>28941</v>
      </c>
      <c r="L4916" s="7" t="s">
        <v>27808</v>
      </c>
      <c r="M4916" t="s">
        <v>28931</v>
      </c>
      <c r="N4916">
        <v>16</v>
      </c>
      <c r="O4916">
        <v>15</v>
      </c>
      <c r="P4916">
        <v>1</v>
      </c>
      <c r="Q4916">
        <v>16</v>
      </c>
      <c r="R4916">
        <v>15</v>
      </c>
      <c r="S4916">
        <v>1</v>
      </c>
      <c r="T4916" t="s">
        <v>5038</v>
      </c>
      <c r="U4916" t="s">
        <v>27809</v>
      </c>
      <c r="V4916">
        <f>Tabla1[[#This Row],[Aboard]]-Tabla1[[#This Row],[Fatalities]]</f>
        <v>0</v>
      </c>
      <c r="W4916" s="50">
        <f>IFERROR(Tabla1[[#This Row],[Fatalities]]/Tabla1[[#This Row],[Aboard]],0)</f>
        <v>1</v>
      </c>
      <c r="X4916" s="51" t="str" cm="1">
        <f t="array" ref="X4916">_xlfn.IFS(Tabla1[[#This Row],[Porcentaje de muertes]]&lt;0.35,"LEVE",AND(Tabla1[[#This Row],[Porcentaje de muertes]]&gt;0.35,Tabla1[[#This Row],[Porcentaje de muertes]]&lt;0.65),"MEDIO",Tabla1[[#This Row],[Porcentaje de muertes]]&gt;0.65,"GRAVE")</f>
        <v>GRAVE</v>
      </c>
    </row>
    <row r="4917" spans="2:24" x14ac:dyDescent="0.3">
      <c r="B4917" s="9">
        <v>4918</v>
      </c>
      <c r="C4917" s="49">
        <v>42498</v>
      </c>
      <c r="D4917" s="9">
        <f>YEAR(Tabla1[[#This Row],[Date]])</f>
        <v>2016</v>
      </c>
      <c r="E4917" s="9" t="str" cm="1">
        <f t="array" ref="E4917">IFERROR(_xlfn.IFS(AND(D4917&lt;1980,D4917&gt;=1970),"70",AND(D4917&lt;1990,D4917&gt;=1980),"80",AND(D4917&lt;2000,D4917&gt;=1990),"90",AND(D4917&lt;2010,D4917&gt;=2000),"00",AND(D4917&lt;=2019,D4917&gt;=2010),"10"),"1908-1970")</f>
        <v>10</v>
      </c>
      <c r="F4917" s="3">
        <v>0.52638888888888891</v>
      </c>
      <c r="G4917" t="s">
        <v>27008</v>
      </c>
      <c r="H4917" t="s">
        <v>27810</v>
      </c>
      <c r="I4917">
        <v>521</v>
      </c>
      <c r="J4917" t="s">
        <v>27811</v>
      </c>
      <c r="K4917" t="s">
        <v>27812</v>
      </c>
      <c r="L4917" s="7" t="s">
        <v>27813</v>
      </c>
      <c r="M4917" t="s">
        <v>27814</v>
      </c>
      <c r="N4917">
        <v>300</v>
      </c>
      <c r="O4917">
        <v>282</v>
      </c>
      <c r="P4917">
        <v>18</v>
      </c>
      <c r="Q4917">
        <v>0</v>
      </c>
      <c r="R4917">
        <v>0</v>
      </c>
      <c r="S4917">
        <v>0</v>
      </c>
      <c r="T4917">
        <v>1</v>
      </c>
      <c r="U4917" t="s">
        <v>27815</v>
      </c>
      <c r="V4917">
        <f>Tabla1[[#This Row],[Aboard]]-Tabla1[[#This Row],[Fatalities]]</f>
        <v>300</v>
      </c>
      <c r="W4917" s="50">
        <f>IFERROR(Tabla1[[#This Row],[Fatalities]]/Tabla1[[#This Row],[Aboard]],0)</f>
        <v>0</v>
      </c>
      <c r="X4917" s="51" t="str" cm="1">
        <f t="array" ref="X4917">_xlfn.IFS(Tabla1[[#This Row],[Porcentaje de muertes]]&lt;0.35,"LEVE",AND(Tabla1[[#This Row],[Porcentaje de muertes]]&gt;0.35,Tabla1[[#This Row],[Porcentaje de muertes]]&lt;0.65),"MEDIO",Tabla1[[#This Row],[Porcentaje de muertes]]&gt;0.65,"GRAVE")</f>
        <v>LEVE</v>
      </c>
    </row>
    <row r="4918" spans="2:24" x14ac:dyDescent="0.3">
      <c r="B4918" s="9">
        <v>4919</v>
      </c>
      <c r="C4918" s="49">
        <v>42613</v>
      </c>
      <c r="D4918" s="9">
        <f>YEAR(Tabla1[[#This Row],[Date]])</f>
        <v>2016</v>
      </c>
      <c r="E4918" s="9" t="str" cm="1">
        <f t="array" ref="E4918">IFERROR(_xlfn.IFS(AND(D4918&lt;1980,D4918&gt;=1970),"70",AND(D4918&lt;1990,D4918&gt;=1980),"80",AND(D4918&lt;2000,D4918&gt;=1990),"90",AND(D4918&lt;2010,D4918&gt;=2000),"00",AND(D4918&lt;=2019,D4918&gt;=2010),"10"),"1908-1970")</f>
        <v>10</v>
      </c>
      <c r="F4918" s="3">
        <v>0.45833333333333331</v>
      </c>
      <c r="G4918" t="s">
        <v>27816</v>
      </c>
      <c r="H4918" t="s">
        <v>27817</v>
      </c>
      <c r="I4918">
        <v>3190</v>
      </c>
      <c r="J4918" t="s">
        <v>27818</v>
      </c>
      <c r="K4918" t="s">
        <v>27819</v>
      </c>
      <c r="L4918" s="7" t="s">
        <v>27820</v>
      </c>
      <c r="M4918" t="s">
        <v>27821</v>
      </c>
      <c r="N4918">
        <v>5</v>
      </c>
      <c r="O4918">
        <v>4</v>
      </c>
      <c r="P4918">
        <v>1</v>
      </c>
      <c r="Q4918">
        <v>5</v>
      </c>
      <c r="R4918">
        <v>4</v>
      </c>
      <c r="S4918">
        <v>1</v>
      </c>
      <c r="T4918">
        <v>0</v>
      </c>
      <c r="U4918" t="s">
        <v>27822</v>
      </c>
      <c r="V4918">
        <f>Tabla1[[#This Row],[Aboard]]-Tabla1[[#This Row],[Fatalities]]</f>
        <v>0</v>
      </c>
      <c r="W4918" s="50">
        <f>IFERROR(Tabla1[[#This Row],[Fatalities]]/Tabla1[[#This Row],[Aboard]],0)</f>
        <v>1</v>
      </c>
      <c r="X4918" s="51" t="str" cm="1">
        <f t="array" ref="X4918">_xlfn.IFS(Tabla1[[#This Row],[Porcentaje de muertes]]&lt;0.35,"LEVE",AND(Tabla1[[#This Row],[Porcentaje de muertes]]&gt;0.35,Tabla1[[#This Row],[Porcentaje de muertes]]&lt;0.65),"MEDIO",Tabla1[[#This Row],[Porcentaje de muertes]]&gt;0.65,"GRAVE")</f>
        <v>GRAVE</v>
      </c>
    </row>
    <row r="4919" spans="2:24" x14ac:dyDescent="0.3">
      <c r="B4919" s="9">
        <v>4920</v>
      </c>
      <c r="C4919" s="49">
        <v>42667</v>
      </c>
      <c r="D4919" s="9">
        <f>YEAR(Tabla1[[#This Row],[Date]])</f>
        <v>2016</v>
      </c>
      <c r="E4919" s="9" t="str" cm="1">
        <f t="array" ref="E4919">IFERROR(_xlfn.IFS(AND(D4919&lt;1980,D4919&gt;=1970),"70",AND(D4919&lt;1990,D4919&gt;=1980),"80",AND(D4919&lt;2000,D4919&gt;=1990),"90",AND(D4919&lt;2010,D4919&gt;=2000),"00",AND(D4919&lt;=2019,D4919&gt;=2010),"10"),"1908-1970")</f>
        <v>10</v>
      </c>
      <c r="F4919" s="3">
        <v>0.30555555555555552</v>
      </c>
      <c r="G4919" t="s">
        <v>27823</v>
      </c>
      <c r="H4919" t="s">
        <v>27824</v>
      </c>
      <c r="I4919" t="s">
        <v>28931</v>
      </c>
      <c r="J4919" t="s">
        <v>27825</v>
      </c>
      <c r="K4919" t="s">
        <v>27826</v>
      </c>
      <c r="L4919" s="7" t="s">
        <v>27827</v>
      </c>
      <c r="M4919" t="s">
        <v>27828</v>
      </c>
      <c r="N4919">
        <v>5</v>
      </c>
      <c r="O4919">
        <v>3</v>
      </c>
      <c r="P4919">
        <v>2</v>
      </c>
      <c r="Q4919">
        <v>5</v>
      </c>
      <c r="R4919">
        <v>3</v>
      </c>
      <c r="S4919">
        <v>2</v>
      </c>
      <c r="T4919">
        <v>0</v>
      </c>
      <c r="U4919" t="s">
        <v>27829</v>
      </c>
      <c r="V4919">
        <f>Tabla1[[#This Row],[Aboard]]-Tabla1[[#This Row],[Fatalities]]</f>
        <v>0</v>
      </c>
      <c r="W4919" s="50">
        <f>IFERROR(Tabla1[[#This Row],[Fatalities]]/Tabla1[[#This Row],[Aboard]],0)</f>
        <v>1</v>
      </c>
      <c r="X4919" s="51" t="str" cm="1">
        <f t="array" ref="X4919">_xlfn.IFS(Tabla1[[#This Row],[Porcentaje de muertes]]&lt;0.35,"LEVE",AND(Tabla1[[#This Row],[Porcentaje de muertes]]&gt;0.35,Tabla1[[#This Row],[Porcentaje de muertes]]&lt;0.65),"MEDIO",Tabla1[[#This Row],[Porcentaje de muertes]]&gt;0.65,"GRAVE")</f>
        <v>GRAVE</v>
      </c>
    </row>
    <row r="4920" spans="2:24" x14ac:dyDescent="0.3">
      <c r="B4920" s="9">
        <v>4921</v>
      </c>
      <c r="C4920" s="49">
        <v>42702</v>
      </c>
      <c r="D4920" s="9">
        <f>YEAR(Tabla1[[#This Row],[Date]])</f>
        <v>2016</v>
      </c>
      <c r="E4920" s="9" t="str" cm="1">
        <f t="array" ref="E4920">IFERROR(_xlfn.IFS(AND(D4920&lt;1980,D4920&gt;=1970),"70",AND(D4920&lt;1990,D4920&gt;=1980),"80",AND(D4920&lt;2000,D4920&gt;=1990),"90",AND(D4920&lt;2010,D4920&gt;=2000),"00",AND(D4920&lt;=2019,D4920&gt;=2010),"10"),"1908-1970")</f>
        <v>10</v>
      </c>
      <c r="F4920" s="3">
        <v>0.91666666666666663</v>
      </c>
      <c r="G4920" t="s">
        <v>27830</v>
      </c>
      <c r="H4920" t="s">
        <v>27831</v>
      </c>
      <c r="I4920">
        <v>2933</v>
      </c>
      <c r="J4920" t="s">
        <v>27832</v>
      </c>
      <c r="K4920" t="s">
        <v>27833</v>
      </c>
      <c r="L4920" s="7" t="s">
        <v>27834</v>
      </c>
      <c r="M4920" t="s">
        <v>27835</v>
      </c>
      <c r="N4920">
        <v>77</v>
      </c>
      <c r="O4920">
        <v>68</v>
      </c>
      <c r="P4920">
        <v>9</v>
      </c>
      <c r="Q4920">
        <v>71</v>
      </c>
      <c r="R4920">
        <v>64</v>
      </c>
      <c r="S4920">
        <v>7</v>
      </c>
      <c r="T4920">
        <v>0</v>
      </c>
      <c r="U4920" t="s">
        <v>27836</v>
      </c>
      <c r="V4920">
        <f>Tabla1[[#This Row],[Aboard]]-Tabla1[[#This Row],[Fatalities]]</f>
        <v>6</v>
      </c>
      <c r="W4920" s="50">
        <f>IFERROR(Tabla1[[#This Row],[Fatalities]]/Tabla1[[#This Row],[Aboard]],0)</f>
        <v>0.92207792207792205</v>
      </c>
      <c r="X4920" s="51" t="str" cm="1">
        <f t="array" ref="X4920">_xlfn.IFS(Tabla1[[#This Row],[Porcentaje de muertes]]&lt;0.35,"LEVE",AND(Tabla1[[#This Row],[Porcentaje de muertes]]&gt;0.35,Tabla1[[#This Row],[Porcentaje de muertes]]&lt;0.65),"MEDIO",Tabla1[[#This Row],[Porcentaje de muertes]]&gt;0.65,"GRAVE")</f>
        <v>GRAVE</v>
      </c>
    </row>
    <row r="4921" spans="2:24" x14ac:dyDescent="0.3">
      <c r="B4921" s="9">
        <v>4922</v>
      </c>
      <c r="C4921" s="49">
        <v>42441</v>
      </c>
      <c r="D4921" s="9">
        <f>YEAR(Tabla1[[#This Row],[Date]])</f>
        <v>2016</v>
      </c>
      <c r="E4921" s="9" t="str" cm="1">
        <f t="array" ref="E4921">IFERROR(_xlfn.IFS(AND(D4921&lt;1980,D4921&gt;=1970),"70",AND(D4921&lt;1990,D4921&gt;=1980),"80",AND(D4921&lt;2000,D4921&gt;=1990),"90",AND(D4921&lt;2010,D4921&gt;=2000),"00",AND(D4921&lt;=2019,D4921&gt;=2010),"10"),"1908-1970")</f>
        <v>10</v>
      </c>
      <c r="F4921" s="3">
        <v>0.47361111111111115</v>
      </c>
      <c r="G4921" t="s">
        <v>27837</v>
      </c>
      <c r="H4921" t="s">
        <v>27838</v>
      </c>
      <c r="I4921" t="s">
        <v>28931</v>
      </c>
      <c r="J4921" t="s">
        <v>27839</v>
      </c>
      <c r="K4921" t="s">
        <v>27840</v>
      </c>
      <c r="L4921" s="7" t="s">
        <v>27841</v>
      </c>
      <c r="M4921" t="s">
        <v>28931</v>
      </c>
      <c r="N4921">
        <v>13</v>
      </c>
      <c r="O4921">
        <v>8</v>
      </c>
      <c r="P4921">
        <v>5</v>
      </c>
      <c r="Q4921">
        <v>13</v>
      </c>
      <c r="R4921">
        <v>8</v>
      </c>
      <c r="S4921">
        <v>5</v>
      </c>
      <c r="T4921">
        <v>0</v>
      </c>
      <c r="U4921" t="s">
        <v>27842</v>
      </c>
      <c r="V4921">
        <f>Tabla1[[#This Row],[Aboard]]-Tabla1[[#This Row],[Fatalities]]</f>
        <v>0</v>
      </c>
      <c r="W4921" s="50">
        <f>IFERROR(Tabla1[[#This Row],[Fatalities]]/Tabla1[[#This Row],[Aboard]],0)</f>
        <v>1</v>
      </c>
      <c r="X4921" s="51" t="str" cm="1">
        <f t="array" ref="X4921">_xlfn.IFS(Tabla1[[#This Row],[Porcentaje de muertes]]&lt;0.35,"LEVE",AND(Tabla1[[#This Row],[Porcentaje de muertes]]&gt;0.35,Tabla1[[#This Row],[Porcentaje de muertes]]&lt;0.65),"MEDIO",Tabla1[[#This Row],[Porcentaje de muertes]]&gt;0.65,"GRAVE")</f>
        <v>GRAVE</v>
      </c>
    </row>
    <row r="4922" spans="2:24" x14ac:dyDescent="0.3">
      <c r="B4922" s="9">
        <v>4923</v>
      </c>
      <c r="C4922" s="49">
        <v>42563</v>
      </c>
      <c r="D4922" s="9">
        <f>YEAR(Tabla1[[#This Row],[Date]])</f>
        <v>2016</v>
      </c>
      <c r="E4922" s="9" t="str" cm="1">
        <f t="array" ref="E4922">IFERROR(_xlfn.IFS(AND(D4922&lt;1980,D4922&gt;=1970),"70",AND(D4922&lt;1990,D4922&gt;=1980),"80",AND(D4922&lt;2000,D4922&gt;=1990),"90",AND(D4922&lt;2010,D4922&gt;=2000),"00",AND(D4922&lt;=2019,D4922&gt;=2010),"10"),"1908-1970")</f>
        <v>10</v>
      </c>
      <c r="F4922" s="3">
        <v>0.68055555555555547</v>
      </c>
      <c r="G4922" t="s">
        <v>27843</v>
      </c>
      <c r="H4922" t="s">
        <v>11736</v>
      </c>
      <c r="I4922">
        <v>661</v>
      </c>
      <c r="J4922" t="s">
        <v>27844</v>
      </c>
      <c r="K4922" t="s">
        <v>27845</v>
      </c>
      <c r="L4922" s="7" t="s">
        <v>27846</v>
      </c>
      <c r="M4922">
        <v>663</v>
      </c>
      <c r="N4922">
        <v>48</v>
      </c>
      <c r="O4922">
        <v>42</v>
      </c>
      <c r="P4922">
        <v>6</v>
      </c>
      <c r="Q4922">
        <v>48</v>
      </c>
      <c r="R4922">
        <v>42</v>
      </c>
      <c r="S4922">
        <v>6</v>
      </c>
      <c r="T4922">
        <v>0</v>
      </c>
      <c r="U4922" t="s">
        <v>27847</v>
      </c>
      <c r="V4922">
        <f>Tabla1[[#This Row],[Aboard]]-Tabla1[[#This Row],[Fatalities]]</f>
        <v>0</v>
      </c>
      <c r="W4922" s="50">
        <f>IFERROR(Tabla1[[#This Row],[Fatalities]]/Tabla1[[#This Row],[Aboard]],0)</f>
        <v>1</v>
      </c>
      <c r="X4922" s="51" t="str" cm="1">
        <f t="array" ref="X4922">_xlfn.IFS(Tabla1[[#This Row],[Porcentaje de muertes]]&lt;0.35,"LEVE",AND(Tabla1[[#This Row],[Porcentaje de muertes]]&gt;0.35,Tabla1[[#This Row],[Porcentaje de muertes]]&lt;0.65),"MEDIO",Tabla1[[#This Row],[Porcentaje de muertes]]&gt;0.65,"GRAVE")</f>
        <v>GRAVE</v>
      </c>
    </row>
    <row r="4923" spans="2:24" x14ac:dyDescent="0.3">
      <c r="B4923" s="9">
        <v>4924</v>
      </c>
      <c r="C4923" s="49">
        <v>42722</v>
      </c>
      <c r="D4923" s="9">
        <f>YEAR(Tabla1[[#This Row],[Date]])</f>
        <v>2016</v>
      </c>
      <c r="E4923" s="9" t="str" cm="1">
        <f t="array" ref="E4923">IFERROR(_xlfn.IFS(AND(D4923&lt;1980,D4923&gt;=1970),"70",AND(D4923&lt;1990,D4923&gt;=1980),"80",AND(D4923&lt;2000,D4923&gt;=1990),"90",AND(D4923&lt;2010,D4923&gt;=2000),"00",AND(D4923&lt;=2019,D4923&gt;=2010),"10"),"1908-1970")</f>
        <v>10</v>
      </c>
      <c r="F4923" s="3">
        <v>0.25694444444444448</v>
      </c>
      <c r="G4923" t="s">
        <v>27848</v>
      </c>
      <c r="H4923" t="s">
        <v>27849</v>
      </c>
      <c r="I4923" t="s">
        <v>28931</v>
      </c>
      <c r="J4923" t="s">
        <v>27850</v>
      </c>
      <c r="K4923" t="s">
        <v>28962</v>
      </c>
      <c r="L4923" s="7" t="s">
        <v>27851</v>
      </c>
      <c r="M4923">
        <v>4785</v>
      </c>
      <c r="N4923">
        <v>13</v>
      </c>
      <c r="O4923">
        <v>10</v>
      </c>
      <c r="P4923">
        <v>3</v>
      </c>
      <c r="Q4923">
        <v>13</v>
      </c>
      <c r="R4923">
        <v>10</v>
      </c>
      <c r="S4923">
        <v>3</v>
      </c>
      <c r="T4923">
        <v>0</v>
      </c>
      <c r="U4923" t="s">
        <v>27852</v>
      </c>
      <c r="V4923">
        <f>Tabla1[[#This Row],[Aboard]]-Tabla1[[#This Row],[Fatalities]]</f>
        <v>0</v>
      </c>
      <c r="W4923" s="50">
        <f>IFERROR(Tabla1[[#This Row],[Fatalities]]/Tabla1[[#This Row],[Aboard]],0)</f>
        <v>1</v>
      </c>
      <c r="X4923" s="51" t="str" cm="1">
        <f t="array" ref="X4923">_xlfn.IFS(Tabla1[[#This Row],[Porcentaje de muertes]]&lt;0.35,"LEVE",AND(Tabla1[[#This Row],[Porcentaje de muertes]]&gt;0.35,Tabla1[[#This Row],[Porcentaje de muertes]]&lt;0.65),"MEDIO",Tabla1[[#This Row],[Porcentaje de muertes]]&gt;0.65,"GRAVE")</f>
        <v>GRAVE</v>
      </c>
    </row>
    <row r="4924" spans="2:24" x14ac:dyDescent="0.3">
      <c r="B4924" s="9">
        <v>4925</v>
      </c>
      <c r="C4924" s="49">
        <v>42724</v>
      </c>
      <c r="D4924" s="9">
        <f>YEAR(Tabla1[[#This Row],[Date]])</f>
        <v>2016</v>
      </c>
      <c r="E4924" s="9" t="str" cm="1">
        <f t="array" ref="E4924">IFERROR(_xlfn.IFS(AND(D4924&lt;1980,D4924&gt;=1970),"70",AND(D4924&lt;1990,D4924&gt;=1980),"80",AND(D4924&lt;2000,D4924&gt;=1990),"90",AND(D4924&lt;2010,D4924&gt;=2000),"00",AND(D4924&lt;=2019,D4924&gt;=2010),"10"),"1908-1970")</f>
        <v>10</v>
      </c>
      <c r="F4924" s="3">
        <v>0.72430555555555554</v>
      </c>
      <c r="G4924" t="s">
        <v>27853</v>
      </c>
      <c r="H4924" t="s">
        <v>19560</v>
      </c>
      <c r="I4924" t="s">
        <v>28931</v>
      </c>
      <c r="J4924" t="s">
        <v>27854</v>
      </c>
      <c r="K4924" t="s">
        <v>27855</v>
      </c>
      <c r="L4924" s="7" t="s">
        <v>27856</v>
      </c>
      <c r="M4924" t="s">
        <v>27857</v>
      </c>
      <c r="N4924">
        <v>6</v>
      </c>
      <c r="O4924">
        <v>0</v>
      </c>
      <c r="P4924">
        <v>6</v>
      </c>
      <c r="Q4924">
        <v>5</v>
      </c>
      <c r="R4924">
        <v>0</v>
      </c>
      <c r="S4924">
        <v>5</v>
      </c>
      <c r="T4924">
        <v>0</v>
      </c>
      <c r="U4924" t="s">
        <v>27858</v>
      </c>
      <c r="V4924">
        <f>Tabla1[[#This Row],[Aboard]]-Tabla1[[#This Row],[Fatalities]]</f>
        <v>1</v>
      </c>
      <c r="W4924" s="50">
        <f>IFERROR(Tabla1[[#This Row],[Fatalities]]/Tabla1[[#This Row],[Aboard]],0)</f>
        <v>0.83333333333333337</v>
      </c>
      <c r="X4924" s="51" t="str" cm="1">
        <f t="array" ref="X4924">_xlfn.IFS(Tabla1[[#This Row],[Porcentaje de muertes]]&lt;0.35,"LEVE",AND(Tabla1[[#This Row],[Porcentaje de muertes]]&gt;0.35,Tabla1[[#This Row],[Porcentaje de muertes]]&lt;0.65),"MEDIO",Tabla1[[#This Row],[Porcentaje de muertes]]&gt;0.65,"GRAVE")</f>
        <v>GRAVE</v>
      </c>
    </row>
    <row r="4925" spans="2:24" x14ac:dyDescent="0.3">
      <c r="B4925" s="9">
        <v>4926</v>
      </c>
      <c r="C4925" s="49">
        <v>42729</v>
      </c>
      <c r="D4925" s="9">
        <f>YEAR(Tabla1[[#This Row],[Date]])</f>
        <v>2016</v>
      </c>
      <c r="E4925" s="9" t="str" cm="1">
        <f t="array" ref="E4925">IFERROR(_xlfn.IFS(AND(D4925&lt;1980,D4925&gt;=1970),"70",AND(D4925&lt;1990,D4925&gt;=1980),"80",AND(D4925&lt;2000,D4925&gt;=1990),"90",AND(D4925&lt;2010,D4925&gt;=2000),"00",AND(D4925&lt;=2019,D4925&gt;=2010),"10"),"1908-1970")</f>
        <v>10</v>
      </c>
      <c r="F4925" s="3">
        <v>0.22708333333333333</v>
      </c>
      <c r="G4925" t="s">
        <v>27859</v>
      </c>
      <c r="H4925" t="s">
        <v>27860</v>
      </c>
      <c r="I4925" t="s">
        <v>28931</v>
      </c>
      <c r="J4925" t="s">
        <v>27861</v>
      </c>
      <c r="K4925" t="s">
        <v>25602</v>
      </c>
      <c r="L4925" s="7" t="s">
        <v>27862</v>
      </c>
      <c r="M4925" t="s">
        <v>27863</v>
      </c>
      <c r="N4925">
        <v>92</v>
      </c>
      <c r="O4925">
        <v>84</v>
      </c>
      <c r="P4925">
        <v>8</v>
      </c>
      <c r="Q4925">
        <v>92</v>
      </c>
      <c r="R4925">
        <v>84</v>
      </c>
      <c r="S4925">
        <v>8</v>
      </c>
      <c r="T4925">
        <v>0</v>
      </c>
      <c r="U4925" t="s">
        <v>27864</v>
      </c>
      <c r="V4925">
        <f>Tabla1[[#This Row],[Aboard]]-Tabla1[[#This Row],[Fatalities]]</f>
        <v>0</v>
      </c>
      <c r="W4925" s="50">
        <f>IFERROR(Tabla1[[#This Row],[Fatalities]]/Tabla1[[#This Row],[Aboard]],0)</f>
        <v>1</v>
      </c>
      <c r="X4925" s="51" t="str" cm="1">
        <f t="array" ref="X4925">_xlfn.IFS(Tabla1[[#This Row],[Porcentaje de muertes]]&lt;0.35,"LEVE",AND(Tabla1[[#This Row],[Porcentaje de muertes]]&gt;0.35,Tabla1[[#This Row],[Porcentaje de muertes]]&lt;0.65),"MEDIO",Tabla1[[#This Row],[Porcentaje de muertes]]&gt;0.65,"GRAVE")</f>
        <v>GRAVE</v>
      </c>
    </row>
    <row r="4926" spans="2:24" x14ac:dyDescent="0.3">
      <c r="B4926" s="9">
        <v>4927</v>
      </c>
      <c r="C4926" s="49">
        <v>42751</v>
      </c>
      <c r="D4926" s="9">
        <f>YEAR(Tabla1[[#This Row],[Date]])</f>
        <v>2017</v>
      </c>
      <c r="E4926" s="9" t="str" cm="1">
        <f t="array" ref="E4926">IFERROR(_xlfn.IFS(AND(D4926&lt;1980,D4926&gt;=1970),"70",AND(D4926&lt;1990,D4926&gt;=1980),"80",AND(D4926&lt;2000,D4926&gt;=1990),"90",AND(D4926&lt;2010,D4926&gt;=2000),"00",AND(D4926&lt;=2019,D4926&gt;=2010),"10"),"1908-1970")</f>
        <v>10</v>
      </c>
      <c r="F4926" s="3">
        <v>0.30486111111111108</v>
      </c>
      <c r="G4926" t="s">
        <v>26548</v>
      </c>
      <c r="H4926" t="s">
        <v>27865</v>
      </c>
      <c r="I4926">
        <v>6491</v>
      </c>
      <c r="J4926" t="s">
        <v>27866</v>
      </c>
      <c r="K4926" t="s">
        <v>27867</v>
      </c>
      <c r="L4926" s="7" t="s">
        <v>27868</v>
      </c>
      <c r="M4926" t="s">
        <v>27869</v>
      </c>
      <c r="N4926">
        <v>4</v>
      </c>
      <c r="O4926">
        <v>0</v>
      </c>
      <c r="P4926">
        <v>4</v>
      </c>
      <c r="Q4926">
        <v>4</v>
      </c>
      <c r="R4926">
        <v>0</v>
      </c>
      <c r="S4926">
        <v>4</v>
      </c>
      <c r="T4926">
        <v>35</v>
      </c>
      <c r="U4926" t="s">
        <v>27870</v>
      </c>
      <c r="V4926">
        <f>Tabla1[[#This Row],[Aboard]]-Tabla1[[#This Row],[Fatalities]]</f>
        <v>0</v>
      </c>
      <c r="W4926" s="50">
        <f>IFERROR(Tabla1[[#This Row],[Fatalities]]/Tabla1[[#This Row],[Aboard]],0)</f>
        <v>1</v>
      </c>
      <c r="X4926" s="51" t="str" cm="1">
        <f t="array" ref="X4926">_xlfn.IFS(Tabla1[[#This Row],[Porcentaje de muertes]]&lt;0.35,"LEVE",AND(Tabla1[[#This Row],[Porcentaje de muertes]]&gt;0.35,Tabla1[[#This Row],[Porcentaje de muertes]]&lt;0.65),"MEDIO",Tabla1[[#This Row],[Porcentaje de muertes]]&gt;0.65,"GRAVE")</f>
        <v>GRAVE</v>
      </c>
    </row>
    <row r="4927" spans="2:24" x14ac:dyDescent="0.3">
      <c r="B4927" s="9">
        <v>4928</v>
      </c>
      <c r="C4927" s="49">
        <v>42787</v>
      </c>
      <c r="D4927" s="9">
        <f>YEAR(Tabla1[[#This Row],[Date]])</f>
        <v>2017</v>
      </c>
      <c r="E4927" s="9" t="str" cm="1">
        <f t="array" ref="E4927">IFERROR(_xlfn.IFS(AND(D4927&lt;1980,D4927&gt;=1970),"70",AND(D4927&lt;1990,D4927&gt;=1980),"80",AND(D4927&lt;2000,D4927&gt;=1990),"90",AND(D4927&lt;2010,D4927&gt;=2000),"00",AND(D4927&lt;=2019,D4927&gt;=2010),"10"),"1908-1970")</f>
        <v>10</v>
      </c>
      <c r="F4927" s="3">
        <v>0.375</v>
      </c>
      <c r="G4927" t="s">
        <v>27871</v>
      </c>
      <c r="H4927" t="s">
        <v>27872</v>
      </c>
      <c r="I4927" t="s">
        <v>28931</v>
      </c>
      <c r="J4927" t="s">
        <v>27873</v>
      </c>
      <c r="K4927" t="s">
        <v>27874</v>
      </c>
      <c r="L4927" s="7" t="s">
        <v>27875</v>
      </c>
      <c r="M4927" t="s">
        <v>27876</v>
      </c>
      <c r="N4927">
        <v>5</v>
      </c>
      <c r="O4927">
        <v>4</v>
      </c>
      <c r="P4927">
        <v>1</v>
      </c>
      <c r="Q4927">
        <v>5</v>
      </c>
      <c r="R4927">
        <v>4</v>
      </c>
      <c r="S4927">
        <v>1</v>
      </c>
      <c r="T4927">
        <v>0</v>
      </c>
      <c r="U4927" t="s">
        <v>27877</v>
      </c>
      <c r="V4927">
        <f>Tabla1[[#This Row],[Aboard]]-Tabla1[[#This Row],[Fatalities]]</f>
        <v>0</v>
      </c>
      <c r="W4927" s="50">
        <f>IFERROR(Tabla1[[#This Row],[Fatalities]]/Tabla1[[#This Row],[Aboard]],0)</f>
        <v>1</v>
      </c>
      <c r="X4927" s="51" t="str" cm="1">
        <f t="array" ref="X4927">_xlfn.IFS(Tabla1[[#This Row],[Porcentaje de muertes]]&lt;0.35,"LEVE",AND(Tabla1[[#This Row],[Porcentaje de muertes]]&gt;0.35,Tabla1[[#This Row],[Porcentaje de muertes]]&lt;0.65),"MEDIO",Tabla1[[#This Row],[Porcentaje de muertes]]&gt;0.65,"GRAVE")</f>
        <v>GRAVE</v>
      </c>
    </row>
    <row r="4928" spans="2:24" x14ac:dyDescent="0.3">
      <c r="B4928" s="9">
        <v>4929</v>
      </c>
      <c r="C4928" s="49">
        <v>43011</v>
      </c>
      <c r="D4928" s="9">
        <f>YEAR(Tabla1[[#This Row],[Date]])</f>
        <v>2017</v>
      </c>
      <c r="E4928" s="9" t="str" cm="1">
        <f t="array" ref="E4928">IFERROR(_xlfn.IFS(AND(D4928&lt;1980,D4928&gt;=1970),"70",AND(D4928&lt;1990,D4928&gt;=1980),"80",AND(D4928&lt;2000,D4928&gt;=1990),"90",AND(D4928&lt;2010,D4928&gt;=2000),"00",AND(D4928&lt;=2019,D4928&gt;=2010),"10"),"1908-1970")</f>
        <v>10</v>
      </c>
      <c r="F4928" s="3">
        <v>0.47222222222222227</v>
      </c>
      <c r="G4928" t="s">
        <v>17296</v>
      </c>
      <c r="H4928" t="s">
        <v>27878</v>
      </c>
      <c r="I4928" t="s">
        <v>28931</v>
      </c>
      <c r="J4928" t="s">
        <v>27879</v>
      </c>
      <c r="K4928" t="s">
        <v>25891</v>
      </c>
      <c r="L4928" s="7" t="s">
        <v>27880</v>
      </c>
      <c r="M4928">
        <v>760717</v>
      </c>
      <c r="N4928">
        <v>7</v>
      </c>
      <c r="O4928">
        <v>5</v>
      </c>
      <c r="P4928">
        <v>2</v>
      </c>
      <c r="Q4928">
        <v>7</v>
      </c>
      <c r="R4928">
        <v>5</v>
      </c>
      <c r="S4928">
        <v>2</v>
      </c>
      <c r="T4928">
        <v>0</v>
      </c>
      <c r="U4928" t="s">
        <v>27881</v>
      </c>
      <c r="V4928">
        <f>Tabla1[[#This Row],[Aboard]]-Tabla1[[#This Row],[Fatalities]]</f>
        <v>0</v>
      </c>
      <c r="W4928" s="50">
        <f>IFERROR(Tabla1[[#This Row],[Fatalities]]/Tabla1[[#This Row],[Aboard]],0)</f>
        <v>1</v>
      </c>
      <c r="X4928" s="51" t="str" cm="1">
        <f t="array" ref="X4928">_xlfn.IFS(Tabla1[[#This Row],[Porcentaje de muertes]]&lt;0.35,"LEVE",AND(Tabla1[[#This Row],[Porcentaje de muertes]]&gt;0.35,Tabla1[[#This Row],[Porcentaje de muertes]]&lt;0.65),"MEDIO",Tabla1[[#This Row],[Porcentaje de muertes]]&gt;0.65,"GRAVE")</f>
        <v>GRAVE</v>
      </c>
    </row>
    <row r="4929" spans="2:24" x14ac:dyDescent="0.3">
      <c r="B4929" s="9">
        <v>4930</v>
      </c>
      <c r="C4929" s="49">
        <v>42821</v>
      </c>
      <c r="D4929" s="9">
        <f>YEAR(Tabla1[[#This Row],[Date]])</f>
        <v>2017</v>
      </c>
      <c r="E4929" s="9" t="str" cm="1">
        <f t="array" ref="E4929">IFERROR(_xlfn.IFS(AND(D4929&lt;1980,D4929&gt;=1970),"70",AND(D4929&lt;1990,D4929&gt;=1980),"80",AND(D4929&lt;2000,D4929&gt;=1990),"90",AND(D4929&lt;2010,D4929&gt;=2000),"00",AND(D4929&lt;=2019,D4929&gt;=2010),"10"),"1908-1970")</f>
        <v>10</v>
      </c>
      <c r="F4929" s="3">
        <v>0.34375</v>
      </c>
      <c r="G4929" t="s">
        <v>27882</v>
      </c>
      <c r="H4929" t="s">
        <v>27883</v>
      </c>
      <c r="I4929" t="s">
        <v>28931</v>
      </c>
      <c r="J4929" t="s">
        <v>27884</v>
      </c>
      <c r="K4929" t="s">
        <v>27885</v>
      </c>
      <c r="L4929" s="7" t="s">
        <v>27886</v>
      </c>
      <c r="M4929">
        <v>24</v>
      </c>
      <c r="N4929">
        <v>6</v>
      </c>
      <c r="O4929">
        <v>4</v>
      </c>
      <c r="P4929">
        <v>2</v>
      </c>
      <c r="Q4929">
        <v>6</v>
      </c>
      <c r="R4929">
        <v>4</v>
      </c>
      <c r="S4929">
        <v>2</v>
      </c>
      <c r="T4929">
        <v>0</v>
      </c>
      <c r="U4929" t="s">
        <v>27887</v>
      </c>
      <c r="V4929">
        <f>Tabla1[[#This Row],[Aboard]]-Tabla1[[#This Row],[Fatalities]]</f>
        <v>0</v>
      </c>
      <c r="W4929" s="50">
        <f>IFERROR(Tabla1[[#This Row],[Fatalities]]/Tabla1[[#This Row],[Aboard]],0)</f>
        <v>1</v>
      </c>
      <c r="X4929" s="51" t="str" cm="1">
        <f t="array" ref="X4929">_xlfn.IFS(Tabla1[[#This Row],[Porcentaje de muertes]]&lt;0.35,"LEVE",AND(Tabla1[[#This Row],[Porcentaje de muertes]]&gt;0.35,Tabla1[[#This Row],[Porcentaje de muertes]]&lt;0.65),"MEDIO",Tabla1[[#This Row],[Porcentaje de muertes]]&gt;0.65,"GRAVE")</f>
        <v>GRAVE</v>
      </c>
    </row>
    <row r="4930" spans="2:24" x14ac:dyDescent="0.3">
      <c r="B4930" s="9">
        <v>4931</v>
      </c>
      <c r="C4930" s="49">
        <v>42860</v>
      </c>
      <c r="D4930" s="9">
        <f>YEAR(Tabla1[[#This Row],[Date]])</f>
        <v>2017</v>
      </c>
      <c r="E4930" s="9" t="str" cm="1">
        <f t="array" ref="E4930">IFERROR(_xlfn.IFS(AND(D4930&lt;1980,D4930&gt;=1970),"70",AND(D4930&lt;1990,D4930&gt;=1980),"80",AND(D4930&lt;2000,D4930&gt;=1990),"90",AND(D4930&lt;2010,D4930&gt;=2000),"00",AND(D4930&lt;=2019,D4930&gt;=2010),"10"),"1908-1970")</f>
        <v>10</v>
      </c>
      <c r="F4930" s="3">
        <v>0.28680555555555554</v>
      </c>
      <c r="G4930" t="s">
        <v>12670</v>
      </c>
      <c r="H4930" t="s">
        <v>25994</v>
      </c>
      <c r="I4930" t="s">
        <v>28931</v>
      </c>
      <c r="J4930" t="s">
        <v>27888</v>
      </c>
      <c r="K4930" t="s">
        <v>27889</v>
      </c>
      <c r="L4930" s="7" t="s">
        <v>27890</v>
      </c>
      <c r="M4930" t="s">
        <v>27891</v>
      </c>
      <c r="N4930">
        <v>2</v>
      </c>
      <c r="O4930">
        <v>0</v>
      </c>
      <c r="P4930">
        <v>2</v>
      </c>
      <c r="Q4930">
        <v>2</v>
      </c>
      <c r="R4930">
        <v>0</v>
      </c>
      <c r="S4930">
        <v>2</v>
      </c>
      <c r="T4930">
        <v>0</v>
      </c>
      <c r="U4930" t="s">
        <v>27892</v>
      </c>
      <c r="V4930">
        <f>Tabla1[[#This Row],[Aboard]]-Tabla1[[#This Row],[Fatalities]]</f>
        <v>0</v>
      </c>
      <c r="W4930" s="50">
        <f>IFERROR(Tabla1[[#This Row],[Fatalities]]/Tabla1[[#This Row],[Aboard]],0)</f>
        <v>1</v>
      </c>
      <c r="X4930" s="51" t="str" cm="1">
        <f t="array" ref="X4930">_xlfn.IFS(Tabla1[[#This Row],[Porcentaje de muertes]]&lt;0.35,"LEVE",AND(Tabla1[[#This Row],[Porcentaje de muertes]]&gt;0.35,Tabla1[[#This Row],[Porcentaje de muertes]]&lt;0.65),"MEDIO",Tabla1[[#This Row],[Porcentaje de muertes]]&gt;0.65,"GRAVE")</f>
        <v>GRAVE</v>
      </c>
    </row>
    <row r="4931" spans="2:24" x14ac:dyDescent="0.3">
      <c r="B4931" s="9">
        <v>4932</v>
      </c>
      <c r="C4931" s="49">
        <v>42882</v>
      </c>
      <c r="D4931" s="9">
        <f>YEAR(Tabla1[[#This Row],[Date]])</f>
        <v>2017</v>
      </c>
      <c r="E4931" s="9" t="str" cm="1">
        <f t="array" ref="E4931">IFERROR(_xlfn.IFS(AND(D4931&lt;1980,D4931&gt;=1970),"70",AND(D4931&lt;1990,D4931&gt;=1980),"80",AND(D4931&lt;2000,D4931&gt;=1990),"90",AND(D4931&lt;2010,D4931&gt;=2000),"00",AND(D4931&lt;=2019,D4931&gt;=2010),"10"),"1908-1970")</f>
        <v>10</v>
      </c>
      <c r="F4931" s="3">
        <v>0.58472222222222225</v>
      </c>
      <c r="G4931" t="s">
        <v>27893</v>
      </c>
      <c r="H4931" t="s">
        <v>27894</v>
      </c>
      <c r="I4931">
        <v>409</v>
      </c>
      <c r="J4931" t="s">
        <v>28931</v>
      </c>
      <c r="K4931" t="s">
        <v>27895</v>
      </c>
      <c r="L4931" s="7" t="s">
        <v>27896</v>
      </c>
      <c r="M4931">
        <v>2917</v>
      </c>
      <c r="N4931">
        <v>3</v>
      </c>
      <c r="O4931">
        <v>0</v>
      </c>
      <c r="P4931">
        <v>3</v>
      </c>
      <c r="Q4931">
        <v>2</v>
      </c>
      <c r="R4931">
        <v>0</v>
      </c>
      <c r="S4931">
        <v>2</v>
      </c>
      <c r="T4931">
        <v>0</v>
      </c>
      <c r="U4931" t="s">
        <v>27897</v>
      </c>
      <c r="V4931">
        <f>Tabla1[[#This Row],[Aboard]]-Tabla1[[#This Row],[Fatalities]]</f>
        <v>1</v>
      </c>
      <c r="W4931" s="50">
        <f>IFERROR(Tabla1[[#This Row],[Fatalities]]/Tabla1[[#This Row],[Aboard]],0)</f>
        <v>0.66666666666666663</v>
      </c>
      <c r="X4931" s="51" t="str" cm="1">
        <f t="array" ref="X4931">_xlfn.IFS(Tabla1[[#This Row],[Porcentaje de muertes]]&lt;0.35,"LEVE",AND(Tabla1[[#This Row],[Porcentaje de muertes]]&gt;0.35,Tabla1[[#This Row],[Porcentaje de muertes]]&lt;0.65),"MEDIO",Tabla1[[#This Row],[Porcentaje de muertes]]&gt;0.65,"GRAVE")</f>
        <v>GRAVE</v>
      </c>
    </row>
    <row r="4932" spans="2:24" x14ac:dyDescent="0.3">
      <c r="B4932" s="9">
        <v>4933</v>
      </c>
      <c r="C4932" s="49">
        <v>42922</v>
      </c>
      <c r="D4932" s="9">
        <f>YEAR(Tabla1[[#This Row],[Date]])</f>
        <v>2017</v>
      </c>
      <c r="E4932" s="9" t="str" cm="1">
        <f t="array" ref="E4932">IFERROR(_xlfn.IFS(AND(D4932&lt;1980,D4932&gt;=1970),"70",AND(D4932&lt;1990,D4932&gt;=1980),"80",AND(D4932&lt;2000,D4932&gt;=1990),"90",AND(D4932&lt;2010,D4932&gt;=2000),"00",AND(D4932&lt;=2019,D4932&gt;=2010),"10"),"1908-1970")</f>
        <v>10</v>
      </c>
      <c r="F4932" s="3">
        <v>0.56597222222222221</v>
      </c>
      <c r="G4932" t="s">
        <v>27898</v>
      </c>
      <c r="H4932" t="s">
        <v>27899</v>
      </c>
      <c r="I4932" t="s">
        <v>28931</v>
      </c>
      <c r="J4932" t="s">
        <v>27900</v>
      </c>
      <c r="K4932" t="s">
        <v>27901</v>
      </c>
      <c r="L4932" s="7">
        <v>5820</v>
      </c>
      <c r="M4932" t="s">
        <v>28931</v>
      </c>
      <c r="N4932">
        <v>122</v>
      </c>
      <c r="O4932">
        <v>108</v>
      </c>
      <c r="P4932">
        <v>14</v>
      </c>
      <c r="Q4932">
        <v>122</v>
      </c>
      <c r="R4932">
        <v>108</v>
      </c>
      <c r="S4932">
        <v>14</v>
      </c>
      <c r="T4932">
        <v>0</v>
      </c>
      <c r="U4932" t="s">
        <v>27902</v>
      </c>
      <c r="V4932">
        <f>Tabla1[[#This Row],[Aboard]]-Tabla1[[#This Row],[Fatalities]]</f>
        <v>0</v>
      </c>
      <c r="W4932" s="50">
        <f>IFERROR(Tabla1[[#This Row],[Fatalities]]/Tabla1[[#This Row],[Aboard]],0)</f>
        <v>1</v>
      </c>
      <c r="X4932" s="51" t="str" cm="1">
        <f t="array" ref="X4932">_xlfn.IFS(Tabla1[[#This Row],[Porcentaje de muertes]]&lt;0.35,"LEVE",AND(Tabla1[[#This Row],[Porcentaje de muertes]]&gt;0.35,Tabla1[[#This Row],[Porcentaje de muertes]]&lt;0.65),"MEDIO",Tabla1[[#This Row],[Porcentaje de muertes]]&gt;0.65,"GRAVE")</f>
        <v>GRAVE</v>
      </c>
    </row>
    <row r="4933" spans="2:24" x14ac:dyDescent="0.3">
      <c r="B4933" s="9">
        <v>4934</v>
      </c>
      <c r="C4933" s="49">
        <v>42914</v>
      </c>
      <c r="D4933" s="9">
        <f>YEAR(Tabla1[[#This Row],[Date]])</f>
        <v>2017</v>
      </c>
      <c r="E4933" s="9" t="str" cm="1">
        <f t="array" ref="E4933">IFERROR(_xlfn.IFS(AND(D4933&lt;1980,D4933&gt;=1970),"70",AND(D4933&lt;1990,D4933&gt;=1980),"80",AND(D4933&lt;2000,D4933&gt;=1990),"90",AND(D4933&lt;2010,D4933&gt;=2000),"00",AND(D4933&lt;=2019,D4933&gt;=2010),"10"),"1908-1970")</f>
        <v>10</v>
      </c>
      <c r="F4933" s="3">
        <v>0.42708333333333331</v>
      </c>
      <c r="G4933" t="s">
        <v>27903</v>
      </c>
      <c r="H4933" t="s">
        <v>27904</v>
      </c>
      <c r="I4933" t="s">
        <v>28931</v>
      </c>
      <c r="J4933" t="s">
        <v>27905</v>
      </c>
      <c r="K4933" t="s">
        <v>27906</v>
      </c>
      <c r="L4933" s="7" t="s">
        <v>27907</v>
      </c>
      <c r="M4933">
        <v>1518</v>
      </c>
      <c r="N4933">
        <v>3</v>
      </c>
      <c r="O4933">
        <v>2</v>
      </c>
      <c r="P4933">
        <v>1</v>
      </c>
      <c r="Q4933">
        <v>3</v>
      </c>
      <c r="R4933">
        <v>2</v>
      </c>
      <c r="S4933">
        <v>1</v>
      </c>
      <c r="T4933">
        <v>0</v>
      </c>
      <c r="U4933" t="s">
        <v>27908</v>
      </c>
      <c r="V4933">
        <f>Tabla1[[#This Row],[Aboard]]-Tabla1[[#This Row],[Fatalities]]</f>
        <v>0</v>
      </c>
      <c r="W4933" s="50">
        <f>IFERROR(Tabla1[[#This Row],[Fatalities]]/Tabla1[[#This Row],[Aboard]],0)</f>
        <v>1</v>
      </c>
      <c r="X4933" s="51" t="str" cm="1">
        <f t="array" ref="X4933">_xlfn.IFS(Tabla1[[#This Row],[Porcentaje de muertes]]&lt;0.35,"LEVE",AND(Tabla1[[#This Row],[Porcentaje de muertes]]&gt;0.35,Tabla1[[#This Row],[Porcentaje de muertes]]&lt;0.65),"MEDIO",Tabla1[[#This Row],[Porcentaje de muertes]]&gt;0.65,"GRAVE")</f>
        <v>GRAVE</v>
      </c>
    </row>
    <row r="4934" spans="2:24" x14ac:dyDescent="0.3">
      <c r="B4934" s="9">
        <v>4935</v>
      </c>
      <c r="C4934" s="49">
        <v>43015</v>
      </c>
      <c r="D4934" s="9">
        <f>YEAR(Tabla1[[#This Row],[Date]])</f>
        <v>2017</v>
      </c>
      <c r="E4934" s="9" t="str" cm="1">
        <f t="array" ref="E4934">IFERROR(_xlfn.IFS(AND(D4934&lt;1980,D4934&gt;=1970),"70",AND(D4934&lt;1990,D4934&gt;=1980),"80",AND(D4934&lt;2000,D4934&gt;=1990),"90",AND(D4934&lt;2010,D4934&gt;=2000),"00",AND(D4934&lt;=2019,D4934&gt;=2010),"10"),"1908-1970")</f>
        <v>10</v>
      </c>
      <c r="F4934" s="3">
        <v>0.66666666666666663</v>
      </c>
      <c r="G4934" t="s">
        <v>27909</v>
      </c>
      <c r="H4934" t="s">
        <v>27910</v>
      </c>
      <c r="I4934" t="s">
        <v>28931</v>
      </c>
      <c r="J4934" t="s">
        <v>27911</v>
      </c>
      <c r="K4934" t="s">
        <v>27912</v>
      </c>
      <c r="L4934" s="7">
        <v>165000</v>
      </c>
      <c r="M4934" t="s">
        <v>27913</v>
      </c>
      <c r="N4934">
        <v>16</v>
      </c>
      <c r="O4934">
        <v>14</v>
      </c>
      <c r="P4934">
        <v>2</v>
      </c>
      <c r="Q4934">
        <v>16</v>
      </c>
      <c r="R4934">
        <v>14</v>
      </c>
      <c r="S4934">
        <v>2</v>
      </c>
      <c r="T4934">
        <v>0</v>
      </c>
      <c r="U4934" t="s">
        <v>27914</v>
      </c>
      <c r="V4934">
        <f>Tabla1[[#This Row],[Aboard]]-Tabla1[[#This Row],[Fatalities]]</f>
        <v>0</v>
      </c>
      <c r="W4934" s="50">
        <f>IFERROR(Tabla1[[#This Row],[Fatalities]]/Tabla1[[#This Row],[Aboard]],0)</f>
        <v>1</v>
      </c>
      <c r="X4934" s="51" t="str" cm="1">
        <f t="array" ref="X4934">_xlfn.IFS(Tabla1[[#This Row],[Porcentaje de muertes]]&lt;0.35,"LEVE",AND(Tabla1[[#This Row],[Porcentaje de muertes]]&gt;0.35,Tabla1[[#This Row],[Porcentaje de muertes]]&lt;0.65),"MEDIO",Tabla1[[#This Row],[Porcentaje de muertes]]&gt;0.65,"GRAVE")</f>
        <v>GRAVE</v>
      </c>
    </row>
    <row r="4935" spans="2:24" x14ac:dyDescent="0.3">
      <c r="B4935" s="9">
        <v>4936</v>
      </c>
      <c r="C4935" s="49">
        <v>43008</v>
      </c>
      <c r="D4935" s="9">
        <f>YEAR(Tabla1[[#This Row],[Date]])</f>
        <v>2017</v>
      </c>
      <c r="E4935" s="9" t="str" cm="1">
        <f t="array" ref="E4935">IFERROR(_xlfn.IFS(AND(D4935&lt;1980,D4935&gt;=1970),"70",AND(D4935&lt;1990,D4935&gt;=1980),"80",AND(D4935&lt;2000,D4935&gt;=1990),"90",AND(D4935&lt;2010,D4935&gt;=2000),"00",AND(D4935&lt;=2019,D4935&gt;=2010),"10"),"1908-1970")</f>
        <v>10</v>
      </c>
      <c r="F4935" s="3">
        <v>0.3125</v>
      </c>
      <c r="G4935" t="s">
        <v>25239</v>
      </c>
      <c r="H4935" t="s">
        <v>27915</v>
      </c>
      <c r="I4935" t="s">
        <v>28931</v>
      </c>
      <c r="J4935" t="s">
        <v>27916</v>
      </c>
      <c r="K4935" t="s">
        <v>20416</v>
      </c>
      <c r="L4935" s="7" t="s">
        <v>27917</v>
      </c>
      <c r="M4935">
        <v>5343606</v>
      </c>
      <c r="N4935">
        <v>8</v>
      </c>
      <c r="O4935">
        <v>5</v>
      </c>
      <c r="P4935">
        <v>3</v>
      </c>
      <c r="Q4935">
        <v>8</v>
      </c>
      <c r="R4935">
        <v>5</v>
      </c>
      <c r="S4935">
        <v>3</v>
      </c>
      <c r="T4935">
        <v>0</v>
      </c>
      <c r="U4935" t="s">
        <v>27918</v>
      </c>
      <c r="V4935">
        <f>Tabla1[[#This Row],[Aboard]]-Tabla1[[#This Row],[Fatalities]]</f>
        <v>0</v>
      </c>
      <c r="W4935" s="50">
        <f>IFERROR(Tabla1[[#This Row],[Fatalities]]/Tabla1[[#This Row],[Aboard]],0)</f>
        <v>1</v>
      </c>
      <c r="X4935" s="51" t="str" cm="1">
        <f t="array" ref="X4935">_xlfn.IFS(Tabla1[[#This Row],[Porcentaje de muertes]]&lt;0.35,"LEVE",AND(Tabla1[[#This Row],[Porcentaje de muertes]]&gt;0.35,Tabla1[[#This Row],[Porcentaje de muertes]]&lt;0.65),"MEDIO",Tabla1[[#This Row],[Porcentaje de muertes]]&gt;0.65,"GRAVE")</f>
        <v>GRAVE</v>
      </c>
    </row>
    <row r="4936" spans="2:24" x14ac:dyDescent="0.3">
      <c r="B4936" s="9">
        <v>4937</v>
      </c>
      <c r="C4936" s="49">
        <v>43079</v>
      </c>
      <c r="D4936" s="9">
        <f>YEAR(Tabla1[[#This Row],[Date]])</f>
        <v>2017</v>
      </c>
      <c r="E4936" s="9" t="str" cm="1">
        <f t="array" ref="E4936">IFERROR(_xlfn.IFS(AND(D4936&lt;1980,D4936&gt;=1970),"70",AND(D4936&lt;1990,D4936&gt;=1980),"80",AND(D4936&lt;2000,D4936&gt;=1990),"90",AND(D4936&lt;2010,D4936&gt;=2000),"00",AND(D4936&lt;=2019,D4936&gt;=2010),"10"),"1908-1970")</f>
        <v>10</v>
      </c>
      <c r="F4936" s="3">
        <v>0.71875</v>
      </c>
      <c r="G4936" t="s">
        <v>27919</v>
      </c>
      <c r="H4936" t="s">
        <v>27920</v>
      </c>
      <c r="I4936" t="s">
        <v>28931</v>
      </c>
      <c r="J4936" t="s">
        <v>27921</v>
      </c>
      <c r="K4936" t="s">
        <v>27922</v>
      </c>
      <c r="L4936" s="7" t="s">
        <v>27923</v>
      </c>
      <c r="M4936">
        <v>120082</v>
      </c>
      <c r="N4936">
        <v>7</v>
      </c>
      <c r="O4936">
        <v>4</v>
      </c>
      <c r="P4936">
        <v>3</v>
      </c>
      <c r="Q4936">
        <v>7</v>
      </c>
      <c r="R4936">
        <v>4</v>
      </c>
      <c r="S4936">
        <v>3</v>
      </c>
      <c r="T4936">
        <v>0</v>
      </c>
      <c r="U4936" t="s">
        <v>27924</v>
      </c>
      <c r="V4936">
        <f>Tabla1[[#This Row],[Aboard]]-Tabla1[[#This Row],[Fatalities]]</f>
        <v>0</v>
      </c>
      <c r="W4936" s="50">
        <f>IFERROR(Tabla1[[#This Row],[Fatalities]]/Tabla1[[#This Row],[Aboard]],0)</f>
        <v>1</v>
      </c>
      <c r="X4936" s="51" t="str" cm="1">
        <f t="array" ref="X4936">_xlfn.IFS(Tabla1[[#This Row],[Porcentaje de muertes]]&lt;0.35,"LEVE",AND(Tabla1[[#This Row],[Porcentaje de muertes]]&gt;0.35,Tabla1[[#This Row],[Porcentaje de muertes]]&lt;0.65),"MEDIO",Tabla1[[#This Row],[Porcentaje de muertes]]&gt;0.65,"GRAVE")</f>
        <v>GRAVE</v>
      </c>
    </row>
    <row r="4937" spans="2:24" x14ac:dyDescent="0.3">
      <c r="B4937" s="9">
        <v>4938</v>
      </c>
      <c r="C4937" s="49">
        <v>43022</v>
      </c>
      <c r="D4937" s="9">
        <f>YEAR(Tabla1[[#This Row],[Date]])</f>
        <v>2017</v>
      </c>
      <c r="E4937" s="9" t="str" cm="1">
        <f t="array" ref="E4937">IFERROR(_xlfn.IFS(AND(D4937&lt;1980,D4937&gt;=1970),"70",AND(D4937&lt;1990,D4937&gt;=1980),"80",AND(D4937&lt;2000,D4937&gt;=1990),"90",AND(D4937&lt;2010,D4937&gt;=2000),"00",AND(D4937&lt;=2019,D4937&gt;=2010),"10"),"1908-1970")</f>
        <v>10</v>
      </c>
      <c r="F4937" s="3">
        <v>0.35416666666666669</v>
      </c>
      <c r="G4937" t="s">
        <v>20246</v>
      </c>
      <c r="H4937" t="s">
        <v>27925</v>
      </c>
      <c r="I4937" t="s">
        <v>28931</v>
      </c>
      <c r="J4937" t="s">
        <v>27926</v>
      </c>
      <c r="K4937" t="s">
        <v>27927</v>
      </c>
      <c r="L4937" s="7" t="s">
        <v>27928</v>
      </c>
      <c r="M4937">
        <v>3204</v>
      </c>
      <c r="N4937">
        <v>10</v>
      </c>
      <c r="O4937">
        <v>4</v>
      </c>
      <c r="P4937">
        <v>6</v>
      </c>
      <c r="Q4937">
        <v>4</v>
      </c>
      <c r="R4937">
        <v>4</v>
      </c>
      <c r="S4937">
        <v>0</v>
      </c>
      <c r="T4937">
        <v>0</v>
      </c>
      <c r="U4937" t="s">
        <v>27929</v>
      </c>
      <c r="V4937">
        <f>Tabla1[[#This Row],[Aboard]]-Tabla1[[#This Row],[Fatalities]]</f>
        <v>6</v>
      </c>
      <c r="W4937" s="50">
        <f>IFERROR(Tabla1[[#This Row],[Fatalities]]/Tabla1[[#This Row],[Aboard]],0)</f>
        <v>0.4</v>
      </c>
      <c r="X4937" s="51" t="str" cm="1">
        <f t="array" ref="X4937">_xlfn.IFS(Tabla1[[#This Row],[Porcentaje de muertes]]&lt;0.35,"LEVE",AND(Tabla1[[#This Row],[Porcentaje de muertes]]&gt;0.35,Tabla1[[#This Row],[Porcentaje de muertes]]&lt;0.65),"MEDIO",Tabla1[[#This Row],[Porcentaje de muertes]]&gt;0.65,"GRAVE")</f>
        <v>MEDIO</v>
      </c>
    </row>
    <row r="4938" spans="2:24" x14ac:dyDescent="0.3">
      <c r="B4938" s="9">
        <v>4939</v>
      </c>
      <c r="C4938" s="49">
        <v>43054</v>
      </c>
      <c r="D4938" s="9">
        <f>YEAR(Tabla1[[#This Row],[Date]])</f>
        <v>2017</v>
      </c>
      <c r="E4938" s="9" t="str" cm="1">
        <f t="array" ref="E4938">IFERROR(_xlfn.IFS(AND(D4938&lt;1980,D4938&gt;=1970),"70",AND(D4938&lt;1990,D4938&gt;=1980),"80",AND(D4938&lt;2000,D4938&gt;=1990),"90",AND(D4938&lt;2010,D4938&gt;=2000),"00",AND(D4938&lt;=2019,D4938&gt;=2010),"10"),"1908-1970")</f>
        <v>10</v>
      </c>
      <c r="F4938" s="3">
        <v>0.33333333333333331</v>
      </c>
      <c r="G4938" t="s">
        <v>27930</v>
      </c>
      <c r="H4938" t="s">
        <v>27931</v>
      </c>
      <c r="I4938" t="s">
        <v>28931</v>
      </c>
      <c r="J4938" t="s">
        <v>27932</v>
      </c>
      <c r="K4938" t="s">
        <v>25298</v>
      </c>
      <c r="L4938" s="7" t="s">
        <v>27933</v>
      </c>
      <c r="M4938" t="s">
        <v>27934</v>
      </c>
      <c r="N4938">
        <v>11</v>
      </c>
      <c r="O4938">
        <v>10</v>
      </c>
      <c r="P4938">
        <v>1</v>
      </c>
      <c r="Q4938">
        <v>11</v>
      </c>
      <c r="R4938">
        <v>10</v>
      </c>
      <c r="S4938">
        <v>1</v>
      </c>
      <c r="T4938">
        <v>0</v>
      </c>
      <c r="U4938" t="s">
        <v>27935</v>
      </c>
      <c r="V4938">
        <f>Tabla1[[#This Row],[Aboard]]-Tabla1[[#This Row],[Fatalities]]</f>
        <v>0</v>
      </c>
      <c r="W4938" s="50">
        <f>IFERROR(Tabla1[[#This Row],[Fatalities]]/Tabla1[[#This Row],[Aboard]],0)</f>
        <v>1</v>
      </c>
      <c r="X4938" s="51" t="str" cm="1">
        <f t="array" ref="X4938">_xlfn.IFS(Tabla1[[#This Row],[Porcentaje de muertes]]&lt;0.35,"LEVE",AND(Tabla1[[#This Row],[Porcentaje de muertes]]&gt;0.35,Tabla1[[#This Row],[Porcentaje de muertes]]&lt;0.65),"MEDIO",Tabla1[[#This Row],[Porcentaje de muertes]]&gt;0.65,"GRAVE")</f>
        <v>GRAVE</v>
      </c>
    </row>
    <row r="4939" spans="2:24" x14ac:dyDescent="0.3">
      <c r="B4939" s="9">
        <v>4940</v>
      </c>
      <c r="C4939" s="49">
        <v>43082</v>
      </c>
      <c r="D4939" s="9">
        <f>YEAR(Tabla1[[#This Row],[Date]])</f>
        <v>2017</v>
      </c>
      <c r="E4939" s="9" t="str" cm="1">
        <f t="array" ref="E4939">IFERROR(_xlfn.IFS(AND(D4939&lt;1980,D4939&gt;=1970),"70",AND(D4939&lt;1990,D4939&gt;=1980),"80",AND(D4939&lt;2000,D4939&gt;=1990),"90",AND(D4939&lt;2010,D4939&gt;=2000),"00",AND(D4939&lt;=2019,D4939&gt;=2010),"10"),"1908-1970")</f>
        <v>10</v>
      </c>
      <c r="F4939" s="3">
        <v>0.76041666666666663</v>
      </c>
      <c r="G4939" t="s">
        <v>27936</v>
      </c>
      <c r="H4939" t="s">
        <v>27937</v>
      </c>
      <c r="I4939" t="s">
        <v>28931</v>
      </c>
      <c r="J4939" t="s">
        <v>27938</v>
      </c>
      <c r="K4939" t="s">
        <v>27939</v>
      </c>
      <c r="L4939" s="7" t="s">
        <v>27940</v>
      </c>
      <c r="M4939">
        <v>240</v>
      </c>
      <c r="N4939">
        <v>25</v>
      </c>
      <c r="O4939">
        <v>22</v>
      </c>
      <c r="P4939">
        <v>3</v>
      </c>
      <c r="Q4939">
        <v>1</v>
      </c>
      <c r="R4939">
        <v>1</v>
      </c>
      <c r="S4939">
        <v>0</v>
      </c>
      <c r="T4939">
        <v>0</v>
      </c>
      <c r="U4939" t="s">
        <v>27941</v>
      </c>
      <c r="V4939">
        <f>Tabla1[[#This Row],[Aboard]]-Tabla1[[#This Row],[Fatalities]]</f>
        <v>24</v>
      </c>
      <c r="W4939" s="50">
        <f>IFERROR(Tabla1[[#This Row],[Fatalities]]/Tabla1[[#This Row],[Aboard]],0)</f>
        <v>0.04</v>
      </c>
      <c r="X4939" s="51" t="str" cm="1">
        <f t="array" ref="X4939">_xlfn.IFS(Tabla1[[#This Row],[Porcentaje de muertes]]&lt;0.35,"LEVE",AND(Tabla1[[#This Row],[Porcentaje de muertes]]&gt;0.35,Tabla1[[#This Row],[Porcentaje de muertes]]&lt;0.65),"MEDIO",Tabla1[[#This Row],[Porcentaje de muertes]]&gt;0.65,"GRAVE")</f>
        <v>LEVE</v>
      </c>
    </row>
    <row r="4940" spans="2:24" x14ac:dyDescent="0.3">
      <c r="B4940" s="9">
        <v>4941</v>
      </c>
      <c r="C4940" s="49">
        <v>43100</v>
      </c>
      <c r="D4940" s="9">
        <f>YEAR(Tabla1[[#This Row],[Date]])</f>
        <v>2017</v>
      </c>
      <c r="E4940" s="9" t="str" cm="1">
        <f t="array" ref="E4940">IFERROR(_xlfn.IFS(AND(D4940&lt;1980,D4940&gt;=1970),"70",AND(D4940&lt;1990,D4940&gt;=1980),"80",AND(D4940&lt;2000,D4940&gt;=1990),"90",AND(D4940&lt;2010,D4940&gt;=2000),"00",AND(D4940&lt;=2019,D4940&gt;=2010),"10"),"1908-1970")</f>
        <v>10</v>
      </c>
      <c r="F4940" s="3">
        <v>0.51111111111111118</v>
      </c>
      <c r="G4940" t="s">
        <v>27942</v>
      </c>
      <c r="H4940" t="s">
        <v>27943</v>
      </c>
      <c r="I4940" t="s">
        <v>28931</v>
      </c>
      <c r="J4940" t="s">
        <v>27944</v>
      </c>
      <c r="K4940" t="s">
        <v>25298</v>
      </c>
      <c r="L4940" s="7" t="s">
        <v>27945</v>
      </c>
      <c r="M4940" t="s">
        <v>27946</v>
      </c>
      <c r="N4940">
        <v>12</v>
      </c>
      <c r="O4940">
        <v>10</v>
      </c>
      <c r="P4940">
        <v>2</v>
      </c>
      <c r="Q4940">
        <v>12</v>
      </c>
      <c r="R4940">
        <v>10</v>
      </c>
      <c r="S4940">
        <v>2</v>
      </c>
      <c r="T4940">
        <v>0</v>
      </c>
      <c r="U4940" t="s">
        <v>27947</v>
      </c>
      <c r="V4940">
        <f>Tabla1[[#This Row],[Aboard]]-Tabla1[[#This Row],[Fatalities]]</f>
        <v>0</v>
      </c>
      <c r="W4940" s="50">
        <f>IFERROR(Tabla1[[#This Row],[Fatalities]]/Tabla1[[#This Row],[Aboard]],0)</f>
        <v>1</v>
      </c>
      <c r="X4940" s="51" t="str" cm="1">
        <f t="array" ref="X4940">_xlfn.IFS(Tabla1[[#This Row],[Porcentaje de muertes]]&lt;0.35,"LEVE",AND(Tabla1[[#This Row],[Porcentaje de muertes]]&gt;0.35,Tabla1[[#This Row],[Porcentaje de muertes]]&lt;0.65),"MEDIO",Tabla1[[#This Row],[Porcentaje de muertes]]&gt;0.65,"GRAVE")</f>
        <v>GRAVE</v>
      </c>
    </row>
    <row r="4941" spans="2:24" x14ac:dyDescent="0.3">
      <c r="B4941" s="9">
        <v>4942</v>
      </c>
      <c r="C4941" s="49">
        <v>43129</v>
      </c>
      <c r="D4941" s="9">
        <f>YEAR(Tabla1[[#This Row],[Date]])</f>
        <v>2018</v>
      </c>
      <c r="E4941" s="9" t="str" cm="1">
        <f t="array" ref="E4941">IFERROR(_xlfn.IFS(AND(D4941&lt;1980,D4941&gt;=1970),"70",AND(D4941&lt;1990,D4941&gt;=1980),"80",AND(D4941&lt;2000,D4941&gt;=1990),"90",AND(D4941&lt;2010,D4941&gt;=2000),"00",AND(D4941&lt;=2019,D4941&gt;=2010),"10"),"1908-1970")</f>
        <v>10</v>
      </c>
      <c r="F4941" s="3" t="s">
        <v>28931</v>
      </c>
      <c r="G4941" t="s">
        <v>27948</v>
      </c>
      <c r="H4941" t="s">
        <v>27949</v>
      </c>
      <c r="I4941" t="s">
        <v>28931</v>
      </c>
      <c r="J4941" t="s">
        <v>6190</v>
      </c>
      <c r="K4941" t="s">
        <v>27950</v>
      </c>
      <c r="L4941" s="7">
        <v>30513</v>
      </c>
      <c r="M4941" t="s">
        <v>28931</v>
      </c>
      <c r="N4941">
        <v>12</v>
      </c>
      <c r="O4941">
        <v>7</v>
      </c>
      <c r="P4941">
        <v>5</v>
      </c>
      <c r="Q4941">
        <v>12</v>
      </c>
      <c r="R4941">
        <v>7</v>
      </c>
      <c r="S4941">
        <v>5</v>
      </c>
      <c r="T4941">
        <v>0</v>
      </c>
      <c r="U4941" t="s">
        <v>27951</v>
      </c>
      <c r="V4941">
        <f>Tabla1[[#This Row],[Aboard]]-Tabla1[[#This Row],[Fatalities]]</f>
        <v>0</v>
      </c>
      <c r="W4941" s="50">
        <f>IFERROR(Tabla1[[#This Row],[Fatalities]]/Tabla1[[#This Row],[Aboard]],0)</f>
        <v>1</v>
      </c>
      <c r="X4941" s="51" t="str" cm="1">
        <f t="array" ref="X4941">_xlfn.IFS(Tabla1[[#This Row],[Porcentaje de muertes]]&lt;0.35,"LEVE",AND(Tabla1[[#This Row],[Porcentaje de muertes]]&gt;0.35,Tabla1[[#This Row],[Porcentaje de muertes]]&lt;0.65),"MEDIO",Tabla1[[#This Row],[Porcentaje de muertes]]&gt;0.65,"GRAVE")</f>
        <v>GRAVE</v>
      </c>
    </row>
    <row r="4942" spans="2:24" x14ac:dyDescent="0.3">
      <c r="B4942" s="9">
        <v>4943</v>
      </c>
      <c r="C4942" s="49">
        <v>43375</v>
      </c>
      <c r="D4942" s="9">
        <f>YEAR(Tabla1[[#This Row],[Date]])</f>
        <v>2018</v>
      </c>
      <c r="E4942" s="9" t="str" cm="1">
        <f t="array" ref="E4942">IFERROR(_xlfn.IFS(AND(D4942&lt;1980,D4942&gt;=1970),"70",AND(D4942&lt;1990,D4942&gt;=1980),"80",AND(D4942&lt;2000,D4942&gt;=1990),"90",AND(D4942&lt;2010,D4942&gt;=2000),"00",AND(D4942&lt;=2019,D4942&gt;=2010),"10"),"1908-1970")</f>
        <v>10</v>
      </c>
      <c r="F4942" s="3">
        <v>0.72986111111111107</v>
      </c>
      <c r="G4942" t="s">
        <v>11807</v>
      </c>
      <c r="H4942" t="s">
        <v>27952</v>
      </c>
      <c r="I4942" t="s">
        <v>28931</v>
      </c>
      <c r="J4942" t="s">
        <v>5494</v>
      </c>
      <c r="K4942" t="s">
        <v>27953</v>
      </c>
      <c r="L4942" s="7" t="s">
        <v>27954</v>
      </c>
      <c r="M4942">
        <v>7091</v>
      </c>
      <c r="N4942">
        <v>7</v>
      </c>
      <c r="O4942">
        <v>6</v>
      </c>
      <c r="P4942">
        <v>1</v>
      </c>
      <c r="Q4942">
        <v>3</v>
      </c>
      <c r="R4942">
        <v>3</v>
      </c>
      <c r="S4942">
        <v>0</v>
      </c>
      <c r="T4942">
        <v>0</v>
      </c>
      <c r="U4942" t="s">
        <v>27955</v>
      </c>
      <c r="V4942">
        <f>Tabla1[[#This Row],[Aboard]]-Tabla1[[#This Row],[Fatalities]]</f>
        <v>4</v>
      </c>
      <c r="W4942" s="50">
        <f>IFERROR(Tabla1[[#This Row],[Fatalities]]/Tabla1[[#This Row],[Aboard]],0)</f>
        <v>0.42857142857142855</v>
      </c>
      <c r="X4942" s="51" t="str" cm="1">
        <f t="array" ref="X4942">_xlfn.IFS(Tabla1[[#This Row],[Porcentaje de muertes]]&lt;0.35,"LEVE",AND(Tabla1[[#This Row],[Porcentaje de muertes]]&gt;0.35,Tabla1[[#This Row],[Porcentaje de muertes]]&lt;0.65),"MEDIO",Tabla1[[#This Row],[Porcentaje de muertes]]&gt;0.65,"GRAVE")</f>
        <v>MEDIO</v>
      </c>
    </row>
    <row r="4943" spans="2:24" x14ac:dyDescent="0.3">
      <c r="B4943" s="9">
        <v>4944</v>
      </c>
      <c r="C4943" s="49">
        <v>43406</v>
      </c>
      <c r="D4943" s="9">
        <f>YEAR(Tabla1[[#This Row],[Date]])</f>
        <v>2018</v>
      </c>
      <c r="E4943" s="9" t="str" cm="1">
        <f t="array" ref="E4943">IFERROR(_xlfn.IFS(AND(D4943&lt;1980,D4943&gt;=1970),"70",AND(D4943&lt;1990,D4943&gt;=1980),"80",AND(D4943&lt;2000,D4943&gt;=1990),"90",AND(D4943&lt;2010,D4943&gt;=2000),"00",AND(D4943&lt;=2019,D4943&gt;=2010),"10"),"1908-1970")</f>
        <v>10</v>
      </c>
      <c r="F4943" s="3">
        <v>0.60486111111111118</v>
      </c>
      <c r="G4943" t="s">
        <v>27956</v>
      </c>
      <c r="H4943" t="s">
        <v>27957</v>
      </c>
      <c r="I4943">
        <v>703</v>
      </c>
      <c r="J4943" t="s">
        <v>27958</v>
      </c>
      <c r="K4943" t="s">
        <v>27959</v>
      </c>
      <c r="L4943" s="7" t="s">
        <v>27960</v>
      </c>
      <c r="M4943">
        <v>27015040004</v>
      </c>
      <c r="N4943">
        <v>71</v>
      </c>
      <c r="O4943">
        <v>65</v>
      </c>
      <c r="P4943">
        <v>6</v>
      </c>
      <c r="Q4943">
        <v>71</v>
      </c>
      <c r="R4943">
        <v>65</v>
      </c>
      <c r="S4943">
        <v>6</v>
      </c>
      <c r="T4943">
        <v>0</v>
      </c>
      <c r="U4943" t="s">
        <v>27961</v>
      </c>
      <c r="V4943">
        <f>Tabla1[[#This Row],[Aboard]]-Tabla1[[#This Row],[Fatalities]]</f>
        <v>0</v>
      </c>
      <c r="W4943" s="50">
        <f>IFERROR(Tabla1[[#This Row],[Fatalities]]/Tabla1[[#This Row],[Aboard]],0)</f>
        <v>1</v>
      </c>
      <c r="X4943" s="51" t="str" cm="1">
        <f t="array" ref="X4943">_xlfn.IFS(Tabla1[[#This Row],[Porcentaje de muertes]]&lt;0.35,"LEVE",AND(Tabla1[[#This Row],[Porcentaje de muertes]]&gt;0.35,Tabla1[[#This Row],[Porcentaje de muertes]]&lt;0.65),"MEDIO",Tabla1[[#This Row],[Porcentaje de muertes]]&gt;0.65,"GRAVE")</f>
        <v>GRAVE</v>
      </c>
    </row>
    <row r="4944" spans="2:24" x14ac:dyDescent="0.3">
      <c r="B4944" s="9">
        <v>4945</v>
      </c>
      <c r="C4944" s="49">
        <v>43149</v>
      </c>
      <c r="D4944" s="9">
        <f>YEAR(Tabla1[[#This Row],[Date]])</f>
        <v>2018</v>
      </c>
      <c r="E4944" s="9" t="str" cm="1">
        <f t="array" ref="E4944">IFERROR(_xlfn.IFS(AND(D4944&lt;1980,D4944&gt;=1970),"70",AND(D4944&lt;1990,D4944&gt;=1980),"80",AND(D4944&lt;2000,D4944&gt;=1990),"90",AND(D4944&lt;2010,D4944&gt;=2000),"00",AND(D4944&lt;=2019,D4944&gt;=2010),"10"),"1908-1970")</f>
        <v>10</v>
      </c>
      <c r="F4944" s="3">
        <v>0.3972222222222222</v>
      </c>
      <c r="G4944" t="s">
        <v>27962</v>
      </c>
      <c r="H4944" t="s">
        <v>27963</v>
      </c>
      <c r="I4944" t="s">
        <v>27964</v>
      </c>
      <c r="J4944" t="s">
        <v>27965</v>
      </c>
      <c r="K4944" t="s">
        <v>27966</v>
      </c>
      <c r="L4944" s="7" t="s">
        <v>27967</v>
      </c>
      <c r="M4944">
        <v>391</v>
      </c>
      <c r="N4944">
        <v>66</v>
      </c>
      <c r="O4944">
        <v>60</v>
      </c>
      <c r="P4944">
        <v>6</v>
      </c>
      <c r="Q4944">
        <v>66</v>
      </c>
      <c r="R4944">
        <v>60</v>
      </c>
      <c r="S4944">
        <v>6</v>
      </c>
      <c r="T4944">
        <v>0</v>
      </c>
      <c r="U4944" t="s">
        <v>27968</v>
      </c>
      <c r="V4944">
        <f>Tabla1[[#This Row],[Aboard]]-Tabla1[[#This Row],[Fatalities]]</f>
        <v>0</v>
      </c>
      <c r="W4944" s="50">
        <f>IFERROR(Tabla1[[#This Row],[Fatalities]]/Tabla1[[#This Row],[Aboard]],0)</f>
        <v>1</v>
      </c>
      <c r="X4944" s="51" t="str" cm="1">
        <f t="array" ref="X4944">_xlfn.IFS(Tabla1[[#This Row],[Porcentaje de muertes]]&lt;0.35,"LEVE",AND(Tabla1[[#This Row],[Porcentaje de muertes]]&gt;0.35,Tabla1[[#This Row],[Porcentaje de muertes]]&lt;0.65),"MEDIO",Tabla1[[#This Row],[Porcentaje de muertes]]&gt;0.65,"GRAVE")</f>
        <v>GRAVE</v>
      </c>
    </row>
    <row r="4945" spans="2:24" x14ac:dyDescent="0.3">
      <c r="B4945" s="9">
        <v>4946</v>
      </c>
      <c r="C4945" s="49">
        <v>43254</v>
      </c>
      <c r="D4945" s="9">
        <f>YEAR(Tabla1[[#This Row],[Date]])</f>
        <v>2018</v>
      </c>
      <c r="E4945" s="9" t="str" cm="1">
        <f t="array" ref="E4945">IFERROR(_xlfn.IFS(AND(D4945&lt;1980,D4945&gt;=1970),"70",AND(D4945&lt;1990,D4945&gt;=1980),"80",AND(D4945&lt;2000,D4945&gt;=1990),"90",AND(D4945&lt;2010,D4945&gt;=2000),"00",AND(D4945&lt;=2019,D4945&gt;=2010),"10"),"1908-1970")</f>
        <v>10</v>
      </c>
      <c r="F4945" s="3">
        <v>0.61875000000000002</v>
      </c>
      <c r="G4945" t="s">
        <v>27969</v>
      </c>
      <c r="H4945" t="s">
        <v>15187</v>
      </c>
      <c r="I4945" t="s">
        <v>28931</v>
      </c>
      <c r="J4945" t="s">
        <v>27970</v>
      </c>
      <c r="K4945" t="s">
        <v>16446</v>
      </c>
      <c r="L4945" s="7" t="s">
        <v>27971</v>
      </c>
      <c r="M4945">
        <v>10107</v>
      </c>
      <c r="N4945">
        <v>39</v>
      </c>
      <c r="O4945">
        <v>33</v>
      </c>
      <c r="P4945">
        <v>6</v>
      </c>
      <c r="Q4945">
        <v>39</v>
      </c>
      <c r="R4945">
        <v>33</v>
      </c>
      <c r="S4945">
        <v>6</v>
      </c>
      <c r="T4945">
        <v>0</v>
      </c>
      <c r="U4945" t="s">
        <v>27972</v>
      </c>
      <c r="V4945">
        <f>Tabla1[[#This Row],[Aboard]]-Tabla1[[#This Row],[Fatalities]]</f>
        <v>0</v>
      </c>
      <c r="W4945" s="50">
        <f>IFERROR(Tabla1[[#This Row],[Fatalities]]/Tabla1[[#This Row],[Aboard]],0)</f>
        <v>1</v>
      </c>
      <c r="X4945" s="51" t="str" cm="1">
        <f t="array" ref="X4945">_xlfn.IFS(Tabla1[[#This Row],[Porcentaje de muertes]]&lt;0.35,"LEVE",AND(Tabla1[[#This Row],[Porcentaje de muertes]]&gt;0.35,Tabla1[[#This Row],[Porcentaje de muertes]]&lt;0.65),"MEDIO",Tabla1[[#This Row],[Porcentaje de muertes]]&gt;0.65,"GRAVE")</f>
        <v>GRAVE</v>
      </c>
    </row>
    <row r="4946" spans="2:24" x14ac:dyDescent="0.3">
      <c r="B4946" s="9">
        <v>4947</v>
      </c>
      <c r="C4946" s="49">
        <v>43407</v>
      </c>
      <c r="D4946" s="9">
        <f>YEAR(Tabla1[[#This Row],[Date]])</f>
        <v>2018</v>
      </c>
      <c r="E4946" s="9" t="str" cm="1">
        <f t="array" ref="E4946">IFERROR(_xlfn.IFS(AND(D4946&lt;1980,D4946&gt;=1970),"70",AND(D4946&lt;1990,D4946&gt;=1980),"80",AND(D4946&lt;2000,D4946&gt;=1990),"90",AND(D4946&lt;2010,D4946&gt;=2000),"00",AND(D4946&lt;=2019,D4946&gt;=2010),"10"),"1908-1970")</f>
        <v>10</v>
      </c>
      <c r="F4946" s="3">
        <v>0.79722222222222217</v>
      </c>
      <c r="G4946" t="s">
        <v>5425</v>
      </c>
      <c r="H4946" t="s">
        <v>27973</v>
      </c>
      <c r="I4946" t="s">
        <v>28931</v>
      </c>
      <c r="J4946" t="s">
        <v>5494</v>
      </c>
      <c r="K4946" t="s">
        <v>27974</v>
      </c>
      <c r="L4946" s="7" t="s">
        <v>27975</v>
      </c>
      <c r="M4946">
        <v>7654</v>
      </c>
      <c r="N4946">
        <v>6</v>
      </c>
      <c r="O4946">
        <v>5</v>
      </c>
      <c r="P4946">
        <v>1</v>
      </c>
      <c r="Q4946">
        <v>5</v>
      </c>
      <c r="R4946">
        <v>5</v>
      </c>
      <c r="S4946">
        <v>0</v>
      </c>
      <c r="T4946">
        <v>0</v>
      </c>
      <c r="U4946" t="s">
        <v>27976</v>
      </c>
      <c r="V4946">
        <f>Tabla1[[#This Row],[Aboard]]-Tabla1[[#This Row],[Fatalities]]</f>
        <v>1</v>
      </c>
      <c r="W4946" s="50">
        <f>IFERROR(Tabla1[[#This Row],[Fatalities]]/Tabla1[[#This Row],[Aboard]],0)</f>
        <v>0.83333333333333337</v>
      </c>
      <c r="X4946" s="51" t="str" cm="1">
        <f t="array" ref="X4946">_xlfn.IFS(Tabla1[[#This Row],[Porcentaje de muertes]]&lt;0.35,"LEVE",AND(Tabla1[[#This Row],[Porcentaje de muertes]]&gt;0.35,Tabla1[[#This Row],[Porcentaje de muertes]]&lt;0.65),"MEDIO",Tabla1[[#This Row],[Porcentaje de muertes]]&gt;0.65,"GRAVE")</f>
        <v>GRAVE</v>
      </c>
    </row>
    <row r="4947" spans="2:24" x14ac:dyDescent="0.3">
      <c r="B4947" s="9">
        <v>4948</v>
      </c>
      <c r="C4947" s="49">
        <v>43437</v>
      </c>
      <c r="D4947" s="9">
        <f>YEAR(Tabla1[[#This Row],[Date]])</f>
        <v>2018</v>
      </c>
      <c r="E4947" s="9" t="str" cm="1">
        <f t="array" ref="E4947">IFERROR(_xlfn.IFS(AND(D4947&lt;1980,D4947&gt;=1970),"70",AND(D4947&lt;1990,D4947&gt;=1980),"80",AND(D4947&lt;2000,D4947&gt;=1990),"90",AND(D4947&lt;2010,D4947&gt;=2000),"00",AND(D4947&lt;=2019,D4947&gt;=2010),"10"),"1908-1970")</f>
        <v>10</v>
      </c>
      <c r="F4947" s="3">
        <v>0.59375</v>
      </c>
      <c r="G4947" t="s">
        <v>11781</v>
      </c>
      <c r="H4947" t="s">
        <v>27977</v>
      </c>
      <c r="I4947">
        <v>221</v>
      </c>
      <c r="J4947" t="s">
        <v>27978</v>
      </c>
      <c r="K4947" t="s">
        <v>27979</v>
      </c>
      <c r="L4947" s="7" t="s">
        <v>27980</v>
      </c>
      <c r="M4947" t="s">
        <v>27981</v>
      </c>
      <c r="N4947">
        <v>71</v>
      </c>
      <c r="O4947">
        <v>67</v>
      </c>
      <c r="P4947">
        <v>4</v>
      </c>
      <c r="Q4947">
        <v>51</v>
      </c>
      <c r="R4947">
        <v>47</v>
      </c>
      <c r="S4947">
        <v>4</v>
      </c>
      <c r="T4947">
        <v>0</v>
      </c>
      <c r="U4947" t="s">
        <v>27982</v>
      </c>
      <c r="V4947">
        <f>Tabla1[[#This Row],[Aboard]]-Tabla1[[#This Row],[Fatalities]]</f>
        <v>20</v>
      </c>
      <c r="W4947" s="50">
        <f>IFERROR(Tabla1[[#This Row],[Fatalities]]/Tabla1[[#This Row],[Aboard]],0)</f>
        <v>0.71830985915492962</v>
      </c>
      <c r="X4947" s="51" t="str" cm="1">
        <f t="array" ref="X4947">_xlfn.IFS(Tabla1[[#This Row],[Porcentaje de muertes]]&lt;0.35,"LEVE",AND(Tabla1[[#This Row],[Porcentaje de muertes]]&gt;0.35,Tabla1[[#This Row],[Porcentaje de muertes]]&lt;0.65),"MEDIO",Tabla1[[#This Row],[Porcentaje de muertes]]&gt;0.65,"GRAVE")</f>
        <v>GRAVE</v>
      </c>
    </row>
    <row r="4948" spans="2:24" x14ac:dyDescent="0.3">
      <c r="B4948" s="9">
        <v>4949</v>
      </c>
      <c r="C4948" s="49">
        <v>43408</v>
      </c>
      <c r="D4948" s="9">
        <f>YEAR(Tabla1[[#This Row],[Date]])</f>
        <v>2018</v>
      </c>
      <c r="E4948" s="9" t="str" cm="1">
        <f t="array" ref="E4948">IFERROR(_xlfn.IFS(AND(D4948&lt;1980,D4948&gt;=1970),"70",AND(D4948&lt;1990,D4948&gt;=1980),"80",AND(D4948&lt;2000,D4948&gt;=1990),"90",AND(D4948&lt;2010,D4948&gt;=2000),"00",AND(D4948&lt;=2019,D4948&gt;=2010),"10"),"1908-1970")</f>
        <v>10</v>
      </c>
      <c r="F4948" s="3">
        <v>0.33333333333333331</v>
      </c>
      <c r="G4948" t="s">
        <v>27983</v>
      </c>
      <c r="H4948" t="s">
        <v>25303</v>
      </c>
      <c r="I4948" t="s">
        <v>28931</v>
      </c>
      <c r="J4948" t="s">
        <v>27984</v>
      </c>
      <c r="K4948" t="s">
        <v>27985</v>
      </c>
      <c r="L4948" s="7" t="s">
        <v>27986</v>
      </c>
      <c r="M4948">
        <v>1043419636</v>
      </c>
      <c r="N4948">
        <v>257</v>
      </c>
      <c r="O4948">
        <v>247</v>
      </c>
      <c r="P4948">
        <v>10</v>
      </c>
      <c r="Q4948">
        <v>257</v>
      </c>
      <c r="R4948">
        <v>247</v>
      </c>
      <c r="S4948">
        <v>10</v>
      </c>
      <c r="T4948">
        <v>0</v>
      </c>
      <c r="U4948" t="s">
        <v>27987</v>
      </c>
      <c r="V4948">
        <f>Tabla1[[#This Row],[Aboard]]-Tabla1[[#This Row],[Fatalities]]</f>
        <v>0</v>
      </c>
      <c r="W4948" s="50">
        <f>IFERROR(Tabla1[[#This Row],[Fatalities]]/Tabla1[[#This Row],[Aboard]],0)</f>
        <v>1</v>
      </c>
      <c r="X4948" s="51" t="str" cm="1">
        <f t="array" ref="X4948">_xlfn.IFS(Tabla1[[#This Row],[Porcentaje de muertes]]&lt;0.35,"LEVE",AND(Tabla1[[#This Row],[Porcentaje de muertes]]&gt;0.35,Tabla1[[#This Row],[Porcentaje de muertes]]&lt;0.65),"MEDIO",Tabla1[[#This Row],[Porcentaje de muertes]]&gt;0.65,"GRAVE")</f>
        <v>GRAVE</v>
      </c>
    </row>
    <row r="4949" spans="2:24" x14ac:dyDescent="0.3">
      <c r="B4949" s="9">
        <v>4950</v>
      </c>
      <c r="C4949" s="49">
        <v>43207</v>
      </c>
      <c r="D4949" s="9">
        <f>YEAR(Tabla1[[#This Row],[Date]])</f>
        <v>2018</v>
      </c>
      <c r="E4949" s="9" t="str" cm="1">
        <f t="array" ref="E4949">IFERROR(_xlfn.IFS(AND(D4949&lt;1980,D4949&gt;=1970),"70",AND(D4949&lt;1990,D4949&gt;=1980),"80",AND(D4949&lt;2000,D4949&gt;=1990),"90",AND(D4949&lt;2010,D4949&gt;=2000),"00",AND(D4949&lt;=2019,D4949&gt;=2010),"10"),"1908-1970")</f>
        <v>10</v>
      </c>
      <c r="F4949" s="3">
        <v>0.41944444444444445</v>
      </c>
      <c r="G4949" t="s">
        <v>27988</v>
      </c>
      <c r="H4949" t="s">
        <v>24279</v>
      </c>
      <c r="I4949">
        <v>1380</v>
      </c>
      <c r="J4949" t="s">
        <v>27989</v>
      </c>
      <c r="K4949" t="s">
        <v>27990</v>
      </c>
      <c r="L4949" s="7" t="s">
        <v>27991</v>
      </c>
      <c r="M4949" t="s">
        <v>27992</v>
      </c>
      <c r="N4949">
        <v>149</v>
      </c>
      <c r="O4949">
        <v>144</v>
      </c>
      <c r="P4949">
        <v>5</v>
      </c>
      <c r="Q4949">
        <v>1</v>
      </c>
      <c r="R4949">
        <v>1</v>
      </c>
      <c r="S4949">
        <v>0</v>
      </c>
      <c r="T4949">
        <v>0</v>
      </c>
      <c r="U4949" t="s">
        <v>27993</v>
      </c>
      <c r="V4949">
        <f>Tabla1[[#This Row],[Aboard]]-Tabla1[[#This Row],[Fatalities]]</f>
        <v>148</v>
      </c>
      <c r="W4949" s="50">
        <f>IFERROR(Tabla1[[#This Row],[Fatalities]]/Tabla1[[#This Row],[Aboard]],0)</f>
        <v>6.7114093959731542E-3</v>
      </c>
      <c r="X4949" s="51" t="str" cm="1">
        <f t="array" ref="X4949">_xlfn.IFS(Tabla1[[#This Row],[Porcentaje de muertes]]&lt;0.35,"LEVE",AND(Tabla1[[#This Row],[Porcentaje de muertes]]&gt;0.35,Tabla1[[#This Row],[Porcentaje de muertes]]&lt;0.65),"MEDIO",Tabla1[[#This Row],[Porcentaje de muertes]]&gt;0.65,"GRAVE")</f>
        <v>LEVE</v>
      </c>
    </row>
    <row r="4950" spans="2:24" x14ac:dyDescent="0.3">
      <c r="B4950" s="9">
        <v>4951</v>
      </c>
      <c r="C4950" s="49">
        <v>43136</v>
      </c>
      <c r="D4950" s="9">
        <f>YEAR(Tabla1[[#This Row],[Date]])</f>
        <v>2018</v>
      </c>
      <c r="E4950" s="9" t="str" cm="1">
        <f t="array" ref="E4950">IFERROR(_xlfn.IFS(AND(D4950&lt;1980,D4950&gt;=1970),"70",AND(D4950&lt;1990,D4950&gt;=1980),"80",AND(D4950&lt;2000,D4950&gt;=1990),"90",AND(D4950&lt;2010,D4950&gt;=2000),"00",AND(D4950&lt;=2019,D4950&gt;=2010),"10"),"1908-1970")</f>
        <v>10</v>
      </c>
      <c r="F4950" s="3">
        <v>0.47916666666666669</v>
      </c>
      <c r="G4950" t="s">
        <v>27994</v>
      </c>
      <c r="H4950" t="s">
        <v>10504</v>
      </c>
      <c r="I4950" t="s">
        <v>28931</v>
      </c>
      <c r="J4950" t="s">
        <v>27995</v>
      </c>
      <c r="K4950" t="s">
        <v>27996</v>
      </c>
      <c r="L4950" s="7" t="s">
        <v>27997</v>
      </c>
      <c r="M4950" t="s">
        <v>27998</v>
      </c>
      <c r="N4950">
        <v>9</v>
      </c>
      <c r="O4950">
        <v>0</v>
      </c>
      <c r="P4950">
        <v>9</v>
      </c>
      <c r="Q4950">
        <v>9</v>
      </c>
      <c r="R4950">
        <v>0</v>
      </c>
      <c r="S4950">
        <v>9</v>
      </c>
      <c r="T4950">
        <v>0</v>
      </c>
      <c r="U4950" t="s">
        <v>27999</v>
      </c>
      <c r="V4950">
        <f>Tabla1[[#This Row],[Aboard]]-Tabla1[[#This Row],[Fatalities]]</f>
        <v>0</v>
      </c>
      <c r="W4950" s="50">
        <f>IFERROR(Tabla1[[#This Row],[Fatalities]]/Tabla1[[#This Row],[Aboard]],0)</f>
        <v>1</v>
      </c>
      <c r="X4950" s="51" t="str" cm="1">
        <f t="array" ref="X4950">_xlfn.IFS(Tabla1[[#This Row],[Porcentaje de muertes]]&lt;0.35,"LEVE",AND(Tabla1[[#This Row],[Porcentaje de muertes]]&gt;0.35,Tabla1[[#This Row],[Porcentaje de muertes]]&lt;0.65),"MEDIO",Tabla1[[#This Row],[Porcentaje de muertes]]&gt;0.65,"GRAVE")</f>
        <v>GRAVE</v>
      </c>
    </row>
    <row r="4951" spans="2:24" x14ac:dyDescent="0.3">
      <c r="B4951" s="9">
        <v>4952</v>
      </c>
      <c r="C4951" s="49">
        <v>43238</v>
      </c>
      <c r="D4951" s="9">
        <f>YEAR(Tabla1[[#This Row],[Date]])</f>
        <v>2018</v>
      </c>
      <c r="E4951" s="9" t="str" cm="1">
        <f t="array" ref="E4951">IFERROR(_xlfn.IFS(AND(D4951&lt;1980,D4951&gt;=1970),"70",AND(D4951&lt;1990,D4951&gt;=1980),"80",AND(D4951&lt;2000,D4951&gt;=1990),"90",AND(D4951&lt;2010,D4951&gt;=2000),"00",AND(D4951&lt;=2019,D4951&gt;=2010),"10"),"1908-1970")</f>
        <v>10</v>
      </c>
      <c r="F4951" s="3">
        <v>0.50555555555555554</v>
      </c>
      <c r="G4951" t="s">
        <v>17876</v>
      </c>
      <c r="H4951" t="s">
        <v>28000</v>
      </c>
      <c r="I4951">
        <v>972</v>
      </c>
      <c r="J4951" t="s">
        <v>28001</v>
      </c>
      <c r="K4951" t="s">
        <v>28002</v>
      </c>
      <c r="L4951" s="7" t="s">
        <v>28003</v>
      </c>
      <c r="M4951" t="s">
        <v>28004</v>
      </c>
      <c r="N4951">
        <v>113</v>
      </c>
      <c r="O4951">
        <v>107</v>
      </c>
      <c r="P4951">
        <v>6</v>
      </c>
      <c r="Q4951">
        <v>112</v>
      </c>
      <c r="R4951">
        <v>106</v>
      </c>
      <c r="S4951">
        <v>6</v>
      </c>
      <c r="T4951">
        <v>0</v>
      </c>
      <c r="U4951" t="s">
        <v>28005</v>
      </c>
      <c r="V4951">
        <f>Tabla1[[#This Row],[Aboard]]-Tabla1[[#This Row],[Fatalities]]</f>
        <v>1</v>
      </c>
      <c r="W4951" s="50">
        <f>IFERROR(Tabla1[[#This Row],[Fatalities]]/Tabla1[[#This Row],[Aboard]],0)</f>
        <v>0.99115044247787609</v>
      </c>
      <c r="X4951" s="51" t="str" cm="1">
        <f t="array" ref="X4951">_xlfn.IFS(Tabla1[[#This Row],[Porcentaje de muertes]]&lt;0.35,"LEVE",AND(Tabla1[[#This Row],[Porcentaje de muertes]]&gt;0.35,Tabla1[[#This Row],[Porcentaje de muertes]]&lt;0.65),"MEDIO",Tabla1[[#This Row],[Porcentaje de muertes]]&gt;0.65,"GRAVE")</f>
        <v>GRAVE</v>
      </c>
    </row>
    <row r="4952" spans="2:24" x14ac:dyDescent="0.3">
      <c r="B4952" s="9">
        <v>4953</v>
      </c>
      <c r="C4952" s="49">
        <v>43380</v>
      </c>
      <c r="D4952" s="9">
        <f>YEAR(Tabla1[[#This Row],[Date]])</f>
        <v>2018</v>
      </c>
      <c r="E4952" s="9" t="str" cm="1">
        <f t="array" ref="E4952">IFERROR(_xlfn.IFS(AND(D4952&lt;1980,D4952&gt;=1970),"70",AND(D4952&lt;1990,D4952&gt;=1980),"80",AND(D4952&lt;2000,D4952&gt;=1990),"90",AND(D4952&lt;2010,D4952&gt;=2000),"00",AND(D4952&lt;=2019,D4952&gt;=2010),"10"),"1908-1970")</f>
        <v>10</v>
      </c>
      <c r="F4952" s="3">
        <v>0.32222222222222224</v>
      </c>
      <c r="G4952" t="s">
        <v>23838</v>
      </c>
      <c r="H4952" t="s">
        <v>28006</v>
      </c>
      <c r="I4952" t="s">
        <v>28931</v>
      </c>
      <c r="J4952" t="s">
        <v>9797</v>
      </c>
      <c r="K4952" t="s">
        <v>11455</v>
      </c>
      <c r="L4952" s="7" t="s">
        <v>28007</v>
      </c>
      <c r="M4952">
        <v>215</v>
      </c>
      <c r="N4952">
        <v>19</v>
      </c>
      <c r="O4952">
        <v>16</v>
      </c>
      <c r="P4952">
        <v>3</v>
      </c>
      <c r="Q4952">
        <v>1</v>
      </c>
      <c r="R4952">
        <v>0</v>
      </c>
      <c r="S4952">
        <v>1</v>
      </c>
      <c r="T4952">
        <v>1</v>
      </c>
      <c r="U4952" t="s">
        <v>28008</v>
      </c>
      <c r="V4952">
        <f>Tabla1[[#This Row],[Aboard]]-Tabla1[[#This Row],[Fatalities]]</f>
        <v>18</v>
      </c>
      <c r="W4952" s="50">
        <f>IFERROR(Tabla1[[#This Row],[Fatalities]]/Tabla1[[#This Row],[Aboard]],0)</f>
        <v>5.2631578947368418E-2</v>
      </c>
      <c r="X4952" s="51" t="str" cm="1">
        <f t="array" ref="X4952">_xlfn.IFS(Tabla1[[#This Row],[Porcentaje de muertes]]&lt;0.35,"LEVE",AND(Tabla1[[#This Row],[Porcentaje de muertes]]&gt;0.35,Tabla1[[#This Row],[Porcentaje de muertes]]&lt;0.65),"MEDIO",Tabla1[[#This Row],[Porcentaje de muertes]]&gt;0.65,"GRAVE")</f>
        <v>LEVE</v>
      </c>
    </row>
    <row r="4953" spans="2:24" x14ac:dyDescent="0.3">
      <c r="B4953" s="9">
        <v>4954</v>
      </c>
      <c r="C4953" s="49">
        <v>43198</v>
      </c>
      <c r="D4953" s="9">
        <f>YEAR(Tabla1[[#This Row],[Date]])</f>
        <v>2018</v>
      </c>
      <c r="E4953" s="9" t="str" cm="1">
        <f t="array" ref="E4953">IFERROR(_xlfn.IFS(AND(D4953&lt;1980,D4953&gt;=1970),"70",AND(D4953&lt;1990,D4953&gt;=1980),"80",AND(D4953&lt;2000,D4953&gt;=1990),"90",AND(D4953&lt;2010,D4953&gt;=2000),"00",AND(D4953&lt;=2019,D4953&gt;=2010),"10"),"1908-1970")</f>
        <v>10</v>
      </c>
      <c r="F4953" s="3">
        <v>0.70486111111111116</v>
      </c>
      <c r="G4953" t="s">
        <v>28009</v>
      </c>
      <c r="H4953" t="s">
        <v>28010</v>
      </c>
      <c r="I4953" t="s">
        <v>28931</v>
      </c>
      <c r="J4953" t="s">
        <v>28011</v>
      </c>
      <c r="K4953" t="s">
        <v>6742</v>
      </c>
      <c r="L4953" s="7" t="s">
        <v>28012</v>
      </c>
      <c r="M4953">
        <v>6595</v>
      </c>
      <c r="N4953">
        <v>20</v>
      </c>
      <c r="O4953">
        <v>17</v>
      </c>
      <c r="P4953">
        <v>3</v>
      </c>
      <c r="Q4953">
        <v>20</v>
      </c>
      <c r="R4953">
        <v>17</v>
      </c>
      <c r="S4953">
        <v>3</v>
      </c>
      <c r="T4953">
        <v>1</v>
      </c>
      <c r="U4953" t="s">
        <v>28013</v>
      </c>
      <c r="V4953">
        <f>Tabla1[[#This Row],[Aboard]]-Tabla1[[#This Row],[Fatalities]]</f>
        <v>0</v>
      </c>
      <c r="W4953" s="50">
        <f>IFERROR(Tabla1[[#This Row],[Fatalities]]/Tabla1[[#This Row],[Aboard]],0)</f>
        <v>1</v>
      </c>
      <c r="X4953" s="51" t="str" cm="1">
        <f t="array" ref="X4953">_xlfn.IFS(Tabla1[[#This Row],[Porcentaje de muertes]]&lt;0.35,"LEVE",AND(Tabla1[[#This Row],[Porcentaje de muertes]]&gt;0.35,Tabla1[[#This Row],[Porcentaje de muertes]]&lt;0.65),"MEDIO",Tabla1[[#This Row],[Porcentaje de muertes]]&gt;0.65,"GRAVE")</f>
        <v>GRAVE</v>
      </c>
    </row>
    <row r="4954" spans="2:24" x14ac:dyDescent="0.3">
      <c r="B4954" s="9">
        <v>4955</v>
      </c>
      <c r="C4954" s="49">
        <v>43371</v>
      </c>
      <c r="D4954" s="9">
        <f>YEAR(Tabla1[[#This Row],[Date]])</f>
        <v>2018</v>
      </c>
      <c r="E4954" s="9" t="str" cm="1">
        <f t="array" ref="E4954">IFERROR(_xlfn.IFS(AND(D4954&lt;1980,D4954&gt;=1970),"70",AND(D4954&lt;1990,D4954&gt;=1980),"80",AND(D4954&lt;2000,D4954&gt;=1990),"90",AND(D4954&lt;2010,D4954&gt;=2000),"00",AND(D4954&lt;=2019,D4954&gt;=2010),"10"),"1908-1970")</f>
        <v>10</v>
      </c>
      <c r="F4954" s="3">
        <v>0.4236111111111111</v>
      </c>
      <c r="G4954" t="s">
        <v>28014</v>
      </c>
      <c r="H4954" t="s">
        <v>28015</v>
      </c>
      <c r="I4954" t="s">
        <v>28931</v>
      </c>
      <c r="J4954" t="s">
        <v>28016</v>
      </c>
      <c r="K4954" t="s">
        <v>28017</v>
      </c>
      <c r="L4954" s="7" t="s">
        <v>28018</v>
      </c>
      <c r="M4954" t="s">
        <v>28019</v>
      </c>
      <c r="N4954">
        <v>47</v>
      </c>
      <c r="O4954">
        <v>35</v>
      </c>
      <c r="P4954">
        <v>12</v>
      </c>
      <c r="Q4954">
        <v>1</v>
      </c>
      <c r="R4954">
        <v>1</v>
      </c>
      <c r="S4954">
        <v>0</v>
      </c>
      <c r="T4954">
        <v>0</v>
      </c>
      <c r="U4954" t="s">
        <v>28020</v>
      </c>
      <c r="V4954">
        <f>Tabla1[[#This Row],[Aboard]]-Tabla1[[#This Row],[Fatalities]]</f>
        <v>46</v>
      </c>
      <c r="W4954" s="50">
        <f>IFERROR(Tabla1[[#This Row],[Fatalities]]/Tabla1[[#This Row],[Aboard]],0)</f>
        <v>2.1276595744680851E-2</v>
      </c>
      <c r="X4954" s="51" t="str" cm="1">
        <f t="array" ref="X4954">_xlfn.IFS(Tabla1[[#This Row],[Porcentaje de muertes]]&lt;0.35,"LEVE",AND(Tabla1[[#This Row],[Porcentaje de muertes]]&gt;0.35,Tabla1[[#This Row],[Porcentaje de muertes]]&lt;0.65),"MEDIO",Tabla1[[#This Row],[Porcentaje de muertes]]&gt;0.65,"GRAVE")</f>
        <v>LEVE</v>
      </c>
    </row>
    <row r="4955" spans="2:24" x14ac:dyDescent="0.3">
      <c r="B4955" s="9">
        <v>4956</v>
      </c>
      <c r="C4955" s="49">
        <v>43402</v>
      </c>
      <c r="D4955" s="9">
        <f>YEAR(Tabla1[[#This Row],[Date]])</f>
        <v>2018</v>
      </c>
      <c r="E4955" s="9" t="str" cm="1">
        <f t="array" ref="E4955">IFERROR(_xlfn.IFS(AND(D4955&lt;1980,D4955&gt;=1970),"70",AND(D4955&lt;1990,D4955&gt;=1980),"80",AND(D4955&lt;2000,D4955&gt;=1990),"90",AND(D4955&lt;2010,D4955&gt;=2000),"00",AND(D4955&lt;=2019,D4955&gt;=2010),"10"),"1908-1970")</f>
        <v>10</v>
      </c>
      <c r="F4955" s="3">
        <v>0.27152777777777776</v>
      </c>
      <c r="G4955" t="s">
        <v>28021</v>
      </c>
      <c r="H4955" t="s">
        <v>25707</v>
      </c>
      <c r="I4955">
        <v>610</v>
      </c>
      <c r="J4955" t="s">
        <v>28022</v>
      </c>
      <c r="K4955" t="s">
        <v>28023</v>
      </c>
      <c r="L4955" s="7" t="s">
        <v>28024</v>
      </c>
      <c r="M4955" t="s">
        <v>28025</v>
      </c>
      <c r="N4955">
        <v>189</v>
      </c>
      <c r="O4955">
        <v>181</v>
      </c>
      <c r="P4955">
        <v>8</v>
      </c>
      <c r="Q4955">
        <v>189</v>
      </c>
      <c r="R4955">
        <v>181</v>
      </c>
      <c r="S4955">
        <v>8</v>
      </c>
      <c r="T4955">
        <v>0</v>
      </c>
      <c r="U4955" t="s">
        <v>28026</v>
      </c>
      <c r="V4955">
        <f>Tabla1[[#This Row],[Aboard]]-Tabla1[[#This Row],[Fatalities]]</f>
        <v>0</v>
      </c>
      <c r="W4955" s="50">
        <f>IFERROR(Tabla1[[#This Row],[Fatalities]]/Tabla1[[#This Row],[Aboard]],0)</f>
        <v>1</v>
      </c>
      <c r="X4955" s="51" t="str" cm="1">
        <f t="array" ref="X4955">_xlfn.IFS(Tabla1[[#This Row],[Porcentaje de muertes]]&lt;0.35,"LEVE",AND(Tabla1[[#This Row],[Porcentaje de muertes]]&gt;0.35,Tabla1[[#This Row],[Porcentaje de muertes]]&lt;0.65),"MEDIO",Tabla1[[#This Row],[Porcentaje de muertes]]&gt;0.65,"GRAVE")</f>
        <v>GRAVE</v>
      </c>
    </row>
    <row r="4956" spans="2:24" x14ac:dyDescent="0.3">
      <c r="B4956" s="9">
        <v>4957</v>
      </c>
      <c r="C4956" s="49">
        <v>43262</v>
      </c>
      <c r="D4956" s="9">
        <f>YEAR(Tabla1[[#This Row],[Date]])</f>
        <v>2018</v>
      </c>
      <c r="E4956" s="9" t="str" cm="1">
        <f t="array" ref="E4956">IFERROR(_xlfn.IFS(AND(D4956&lt;1980,D4956&gt;=1970),"70",AND(D4956&lt;1990,D4956&gt;=1980),"80",AND(D4956&lt;2000,D4956&gt;=1990),"90",AND(D4956&lt;2010,D4956&gt;=2000),"00",AND(D4956&lt;=2019,D4956&gt;=2010),"10"),"1908-1970")</f>
        <v>10</v>
      </c>
      <c r="F4956" s="3">
        <v>0.12013888888888889</v>
      </c>
      <c r="G4956" t="s">
        <v>28027</v>
      </c>
      <c r="H4956" t="s">
        <v>28028</v>
      </c>
      <c r="I4956" t="s">
        <v>28931</v>
      </c>
      <c r="J4956" t="s">
        <v>28029</v>
      </c>
      <c r="K4956" t="s">
        <v>28030</v>
      </c>
      <c r="L4956" s="7" t="s">
        <v>28031</v>
      </c>
      <c r="M4956" t="s">
        <v>28032</v>
      </c>
      <c r="N4956">
        <v>128</v>
      </c>
      <c r="O4956">
        <v>120</v>
      </c>
      <c r="P4956">
        <v>8</v>
      </c>
      <c r="Q4956">
        <v>1</v>
      </c>
      <c r="R4956">
        <v>1</v>
      </c>
      <c r="S4956">
        <v>0</v>
      </c>
      <c r="T4956">
        <v>0</v>
      </c>
      <c r="U4956" t="s">
        <v>28033</v>
      </c>
      <c r="V4956">
        <f>Tabla1[[#This Row],[Aboard]]-Tabla1[[#This Row],[Fatalities]]</f>
        <v>127</v>
      </c>
      <c r="W4956" s="50">
        <f>IFERROR(Tabla1[[#This Row],[Fatalities]]/Tabla1[[#This Row],[Aboard]],0)</f>
        <v>7.8125E-3</v>
      </c>
      <c r="X4956" s="51" t="str" cm="1">
        <f t="array" ref="X4956">_xlfn.IFS(Tabla1[[#This Row],[Porcentaje de muertes]]&lt;0.35,"LEVE",AND(Tabla1[[#This Row],[Porcentaje de muertes]]&gt;0.35,Tabla1[[#This Row],[Porcentaje de muertes]]&lt;0.65),"MEDIO",Tabla1[[#This Row],[Porcentaje de muertes]]&gt;0.65,"GRAVE")</f>
        <v>LEVE</v>
      </c>
    </row>
    <row r="4957" spans="2:24" x14ac:dyDescent="0.3">
      <c r="B4957" s="9">
        <v>4958</v>
      </c>
      <c r="C4957" s="49">
        <v>43479</v>
      </c>
      <c r="D4957" s="9">
        <f>YEAR(Tabla1[[#This Row],[Date]])</f>
        <v>2019</v>
      </c>
      <c r="E4957" s="9" t="str" cm="1">
        <f t="array" ref="E4957">IFERROR(_xlfn.IFS(AND(D4957&lt;1980,D4957&gt;=1970),"70",AND(D4957&lt;1990,D4957&gt;=1980),"80",AND(D4957&lt;2000,D4957&gt;=1990),"90",AND(D4957&lt;2010,D4957&gt;=2000),"00",AND(D4957&lt;=2019,D4957&gt;=2010),"10"),"1908-1970")</f>
        <v>10</v>
      </c>
      <c r="F4957" s="3">
        <v>0.35416666666666669</v>
      </c>
      <c r="G4957" t="s">
        <v>28034</v>
      </c>
      <c r="H4957" t="s">
        <v>28035</v>
      </c>
      <c r="I4957" t="s">
        <v>28931</v>
      </c>
      <c r="J4957" t="s">
        <v>28036</v>
      </c>
      <c r="K4957" t="s">
        <v>28037</v>
      </c>
      <c r="L4957" s="7" t="s">
        <v>28038</v>
      </c>
      <c r="M4957" t="s">
        <v>28039</v>
      </c>
      <c r="N4957">
        <v>16</v>
      </c>
      <c r="O4957">
        <v>13</v>
      </c>
      <c r="P4957">
        <v>3</v>
      </c>
      <c r="Q4957">
        <v>15</v>
      </c>
      <c r="R4957">
        <v>13</v>
      </c>
      <c r="S4957">
        <v>2</v>
      </c>
      <c r="T4957">
        <v>0</v>
      </c>
      <c r="U4957" t="s">
        <v>28040</v>
      </c>
      <c r="V4957">
        <f>Tabla1[[#This Row],[Aboard]]-Tabla1[[#This Row],[Fatalities]]</f>
        <v>1</v>
      </c>
      <c r="W4957" s="50">
        <f>IFERROR(Tabla1[[#This Row],[Fatalities]]/Tabla1[[#This Row],[Aboard]],0)</f>
        <v>0.9375</v>
      </c>
      <c r="X4957" s="51" t="str" cm="1">
        <f t="array" ref="X4957">_xlfn.IFS(Tabla1[[#This Row],[Porcentaje de muertes]]&lt;0.35,"LEVE",AND(Tabla1[[#This Row],[Porcentaje de muertes]]&gt;0.35,Tabla1[[#This Row],[Porcentaje de muertes]]&lt;0.65),"MEDIO",Tabla1[[#This Row],[Porcentaje de muertes]]&gt;0.65,"GRAVE")</f>
        <v>GRAVE</v>
      </c>
    </row>
    <row r="4958" spans="2:24" x14ac:dyDescent="0.3">
      <c r="B4958" s="9">
        <v>4959</v>
      </c>
      <c r="C4958" s="49">
        <v>43519</v>
      </c>
      <c r="D4958" s="9">
        <f>YEAR(Tabla1[[#This Row],[Date]])</f>
        <v>2019</v>
      </c>
      <c r="E4958" s="9" t="str" cm="1">
        <f t="array" ref="E4958">IFERROR(_xlfn.IFS(AND(D4958&lt;1980,D4958&gt;=1970),"70",AND(D4958&lt;1990,D4958&gt;=1980),"80",AND(D4958&lt;2000,D4958&gt;=1990),"90",AND(D4958&lt;2010,D4958&gt;=2000),"00",AND(D4958&lt;=2019,D4958&gt;=2010),"10"),"1908-1970")</f>
        <v>10</v>
      </c>
      <c r="F4958" s="3">
        <v>0.53125</v>
      </c>
      <c r="G4958" t="s">
        <v>17305</v>
      </c>
      <c r="H4958" t="s">
        <v>28041</v>
      </c>
      <c r="I4958">
        <v>3591</v>
      </c>
      <c r="J4958" t="s">
        <v>28042</v>
      </c>
      <c r="K4958" t="s">
        <v>28043</v>
      </c>
      <c r="L4958" s="7" t="s">
        <v>28044</v>
      </c>
      <c r="M4958">
        <v>25865</v>
      </c>
      <c r="N4958">
        <v>3</v>
      </c>
      <c r="O4958">
        <v>0</v>
      </c>
      <c r="P4958">
        <v>3</v>
      </c>
      <c r="Q4958">
        <v>3</v>
      </c>
      <c r="R4958">
        <v>0</v>
      </c>
      <c r="S4958">
        <v>3</v>
      </c>
      <c r="T4958">
        <v>0</v>
      </c>
      <c r="U4958" t="s">
        <v>28045</v>
      </c>
      <c r="V4958">
        <f>Tabla1[[#This Row],[Aboard]]-Tabla1[[#This Row],[Fatalities]]</f>
        <v>0</v>
      </c>
      <c r="W4958" s="50">
        <f>IFERROR(Tabla1[[#This Row],[Fatalities]]/Tabla1[[#This Row],[Aboard]],0)</f>
        <v>1</v>
      </c>
      <c r="X4958" s="51" t="str" cm="1">
        <f t="array" ref="X4958">_xlfn.IFS(Tabla1[[#This Row],[Porcentaje de muertes]]&lt;0.35,"LEVE",AND(Tabla1[[#This Row],[Porcentaje de muertes]]&gt;0.35,Tabla1[[#This Row],[Porcentaje de muertes]]&lt;0.65),"MEDIO",Tabla1[[#This Row],[Porcentaje de muertes]]&gt;0.65,"GRAVE")</f>
        <v>GRAVE</v>
      </c>
    </row>
    <row r="4959" spans="2:24" x14ac:dyDescent="0.3">
      <c r="B4959" s="9">
        <v>4960</v>
      </c>
      <c r="C4959" s="49">
        <v>43711</v>
      </c>
      <c r="D4959" s="9">
        <f>YEAR(Tabla1[[#This Row],[Date]])</f>
        <v>2019</v>
      </c>
      <c r="E4959" s="9" t="str" cm="1">
        <f t="array" ref="E4959">IFERROR(_xlfn.IFS(AND(D4959&lt;1980,D4959&gt;=1970),"70",AND(D4959&lt;1990,D4959&gt;=1980),"80",AND(D4959&lt;2000,D4959&gt;=1990),"90",AND(D4959&lt;2010,D4959&gt;=2000),"00",AND(D4959&lt;=2019,D4959&gt;=2010),"10"),"1908-1970")</f>
        <v>10</v>
      </c>
      <c r="F4959" s="3">
        <v>0.44444444444444442</v>
      </c>
      <c r="G4959" t="s">
        <v>28046</v>
      </c>
      <c r="H4959" t="s">
        <v>28047</v>
      </c>
      <c r="I4959" t="s">
        <v>28931</v>
      </c>
      <c r="J4959" t="s">
        <v>22505</v>
      </c>
      <c r="K4959" t="s">
        <v>7057</v>
      </c>
      <c r="L4959" s="7" t="s">
        <v>28048</v>
      </c>
      <c r="M4959" t="s">
        <v>28049</v>
      </c>
      <c r="N4959">
        <v>14</v>
      </c>
      <c r="O4959">
        <v>11</v>
      </c>
      <c r="P4959">
        <v>3</v>
      </c>
      <c r="Q4959">
        <v>14</v>
      </c>
      <c r="R4959">
        <v>11</v>
      </c>
      <c r="S4959">
        <v>3</v>
      </c>
      <c r="T4959">
        <v>0</v>
      </c>
      <c r="U4959" t="s">
        <v>28050</v>
      </c>
      <c r="V4959">
        <f>Tabla1[[#This Row],[Aboard]]-Tabla1[[#This Row],[Fatalities]]</f>
        <v>0</v>
      </c>
      <c r="W4959" s="50">
        <f>IFERROR(Tabla1[[#This Row],[Fatalities]]/Tabla1[[#This Row],[Aboard]],0)</f>
        <v>1</v>
      </c>
      <c r="X4959" s="51" t="str" cm="1">
        <f t="array" ref="X4959">_xlfn.IFS(Tabla1[[#This Row],[Porcentaje de muertes]]&lt;0.35,"LEVE",AND(Tabla1[[#This Row],[Porcentaje de muertes]]&gt;0.35,Tabla1[[#This Row],[Porcentaje de muertes]]&lt;0.65),"MEDIO",Tabla1[[#This Row],[Porcentaje de muertes]]&gt;0.65,"GRAVE")</f>
        <v>GRAVE</v>
      </c>
    </row>
    <row r="4960" spans="2:24" x14ac:dyDescent="0.3">
      <c r="B4960" s="9">
        <v>4961</v>
      </c>
      <c r="C4960" s="49">
        <v>43741</v>
      </c>
      <c r="D4960" s="9">
        <f>YEAR(Tabla1[[#This Row],[Date]])</f>
        <v>2019</v>
      </c>
      <c r="E4960" s="9" t="str" cm="1">
        <f t="array" ref="E4960">IFERROR(_xlfn.IFS(AND(D4960&lt;1980,D4960&gt;=1970),"70",AND(D4960&lt;1990,D4960&gt;=1980),"80",AND(D4960&lt;2000,D4960&gt;=1990),"90",AND(D4960&lt;2010,D4960&gt;=2000),"00",AND(D4960&lt;=2019,D4960&gt;=2010),"10"),"1908-1970")</f>
        <v>10</v>
      </c>
      <c r="F4960" s="3">
        <v>0.36388888888888887</v>
      </c>
      <c r="G4960" t="s">
        <v>28051</v>
      </c>
      <c r="H4960" t="s">
        <v>13000</v>
      </c>
      <c r="I4960">
        <v>302</v>
      </c>
      <c r="J4960" t="s">
        <v>23350</v>
      </c>
      <c r="K4960" t="s">
        <v>28052</v>
      </c>
      <c r="L4960" s="7" t="s">
        <v>28053</v>
      </c>
      <c r="M4960" t="s">
        <v>28054</v>
      </c>
      <c r="N4960">
        <v>157</v>
      </c>
      <c r="O4960">
        <v>149</v>
      </c>
      <c r="P4960">
        <v>8</v>
      </c>
      <c r="Q4960">
        <v>157</v>
      </c>
      <c r="R4960">
        <v>149</v>
      </c>
      <c r="S4960">
        <v>8</v>
      </c>
      <c r="T4960">
        <v>0</v>
      </c>
      <c r="U4960" t="s">
        <v>28055</v>
      </c>
      <c r="V4960">
        <f>Tabla1[[#This Row],[Aboard]]-Tabla1[[#This Row],[Fatalities]]</f>
        <v>0</v>
      </c>
      <c r="W4960" s="50">
        <f>IFERROR(Tabla1[[#This Row],[Fatalities]]/Tabla1[[#This Row],[Aboard]],0)</f>
        <v>1</v>
      </c>
      <c r="X4960" s="51" t="str" cm="1">
        <f t="array" ref="X4960">_xlfn.IFS(Tabla1[[#This Row],[Porcentaje de muertes]]&lt;0.35,"LEVE",AND(Tabla1[[#This Row],[Porcentaje de muertes]]&gt;0.35,Tabla1[[#This Row],[Porcentaje de muertes]]&lt;0.65),"MEDIO",Tabla1[[#This Row],[Porcentaje de muertes]]&gt;0.65,"GRAVE")</f>
        <v>GRAVE</v>
      </c>
    </row>
    <row r="4961" spans="2:24" x14ac:dyDescent="0.3">
      <c r="B4961" s="9">
        <v>4962</v>
      </c>
      <c r="C4961" s="49">
        <v>43571</v>
      </c>
      <c r="D4961" s="9">
        <f>YEAR(Tabla1[[#This Row],[Date]])</f>
        <v>2019</v>
      </c>
      <c r="E4961" s="9" t="str" cm="1">
        <f t="array" ref="E4961">IFERROR(_xlfn.IFS(AND(D4961&lt;1980,D4961&gt;=1970),"70",AND(D4961&lt;1990,D4961&gt;=1980),"80",AND(D4961&lt;2000,D4961&gt;=1990),"90",AND(D4961&lt;2010,D4961&gt;=2000),"00",AND(D4961&lt;=2019,D4961&gt;=2010),"10"),"1908-1970")</f>
        <v>10</v>
      </c>
      <c r="F4961" s="3">
        <v>0.45833333333333331</v>
      </c>
      <c r="G4961" t="s">
        <v>24455</v>
      </c>
      <c r="H4961" t="s">
        <v>28056</v>
      </c>
      <c r="I4961" t="s">
        <v>28931</v>
      </c>
      <c r="J4961" t="s">
        <v>28057</v>
      </c>
      <c r="K4961" t="s">
        <v>28058</v>
      </c>
      <c r="L4961" s="7" t="s">
        <v>28059</v>
      </c>
      <c r="M4961">
        <v>2169</v>
      </c>
      <c r="N4961">
        <v>6</v>
      </c>
      <c r="O4961">
        <v>5</v>
      </c>
      <c r="P4961">
        <v>1</v>
      </c>
      <c r="Q4961">
        <v>6</v>
      </c>
      <c r="R4961">
        <v>5</v>
      </c>
      <c r="S4961">
        <v>1</v>
      </c>
      <c r="T4961">
        <v>0</v>
      </c>
      <c r="U4961" t="s">
        <v>28060</v>
      </c>
      <c r="V4961">
        <f>Tabla1[[#This Row],[Aboard]]-Tabla1[[#This Row],[Fatalities]]</f>
        <v>0</v>
      </c>
      <c r="W4961" s="50">
        <f>IFERROR(Tabla1[[#This Row],[Fatalities]]/Tabla1[[#This Row],[Aboard]],0)</f>
        <v>1</v>
      </c>
      <c r="X4961" s="51" t="str" cm="1">
        <f t="array" ref="X4961">_xlfn.IFS(Tabla1[[#This Row],[Porcentaje de muertes]]&lt;0.35,"LEVE",AND(Tabla1[[#This Row],[Porcentaje de muertes]]&gt;0.35,Tabla1[[#This Row],[Porcentaje de muertes]]&lt;0.65),"MEDIO",Tabla1[[#This Row],[Porcentaje de muertes]]&gt;0.65,"GRAVE")</f>
        <v>GRAVE</v>
      </c>
    </row>
    <row r="4962" spans="2:24" x14ac:dyDescent="0.3">
      <c r="B4962" s="9">
        <v>4963</v>
      </c>
      <c r="C4962" s="49">
        <v>43590</v>
      </c>
      <c r="D4962" s="9">
        <f>YEAR(Tabla1[[#This Row],[Date]])</f>
        <v>2019</v>
      </c>
      <c r="E4962" s="9" t="str" cm="1">
        <f t="array" ref="E4962">IFERROR(_xlfn.IFS(AND(D4962&lt;1980,D4962&gt;=1970),"70",AND(D4962&lt;1990,D4962&gt;=1980),"80",AND(D4962&lt;2000,D4962&gt;=1990),"90",AND(D4962&lt;2010,D4962&gt;=2000),"00",AND(D4962&lt;=2019,D4962&gt;=2010),"10"),"1908-1970")</f>
        <v>10</v>
      </c>
      <c r="F4962" s="3">
        <v>0.77083333333333337</v>
      </c>
      <c r="G4962" t="s">
        <v>28061</v>
      </c>
      <c r="H4962" t="s">
        <v>28062</v>
      </c>
      <c r="I4962" t="s">
        <v>28931</v>
      </c>
      <c r="J4962" t="s">
        <v>28063</v>
      </c>
      <c r="K4962" t="s">
        <v>28064</v>
      </c>
      <c r="L4962" s="7" t="s">
        <v>28065</v>
      </c>
      <c r="M4962">
        <v>5043</v>
      </c>
      <c r="N4962">
        <v>13</v>
      </c>
      <c r="O4962">
        <v>11</v>
      </c>
      <c r="P4962">
        <v>2</v>
      </c>
      <c r="Q4962">
        <v>13</v>
      </c>
      <c r="R4962">
        <v>11</v>
      </c>
      <c r="S4962">
        <v>2</v>
      </c>
      <c r="T4962">
        <v>0</v>
      </c>
      <c r="U4962" t="s">
        <v>28066</v>
      </c>
      <c r="V4962">
        <f>Tabla1[[#This Row],[Aboard]]-Tabla1[[#This Row],[Fatalities]]</f>
        <v>0</v>
      </c>
      <c r="W4962" s="50">
        <f>IFERROR(Tabla1[[#This Row],[Fatalities]]/Tabla1[[#This Row],[Aboard]],0)</f>
        <v>1</v>
      </c>
      <c r="X4962" s="51" t="str" cm="1">
        <f t="array" ref="X4962">_xlfn.IFS(Tabla1[[#This Row],[Porcentaje de muertes]]&lt;0.35,"LEVE",AND(Tabla1[[#This Row],[Porcentaje de muertes]]&gt;0.35,Tabla1[[#This Row],[Porcentaje de muertes]]&lt;0.65),"MEDIO",Tabla1[[#This Row],[Porcentaje de muertes]]&gt;0.65,"GRAVE")</f>
        <v>GRAVE</v>
      </c>
    </row>
    <row r="4963" spans="2:24" x14ac:dyDescent="0.3">
      <c r="B4963" s="9">
        <v>4964</v>
      </c>
      <c r="C4963" s="49">
        <v>43590</v>
      </c>
      <c r="D4963" s="9">
        <f>YEAR(Tabla1[[#This Row],[Date]])</f>
        <v>2019</v>
      </c>
      <c r="E4963" s="9" t="str" cm="1">
        <f t="array" ref="E4963">IFERROR(_xlfn.IFS(AND(D4963&lt;1980,D4963&gt;=1970),"70",AND(D4963&lt;1990,D4963&gt;=1980),"80",AND(D4963&lt;2000,D4963&gt;=1990),"90",AND(D4963&lt;2010,D4963&gt;=2000),"00",AND(D4963&lt;=2019,D4963&gt;=2010),"10"),"1908-1970")</f>
        <v>10</v>
      </c>
      <c r="F4963" s="3">
        <v>0.77083333333333337</v>
      </c>
      <c r="G4963" t="s">
        <v>10681</v>
      </c>
      <c r="H4963" t="s">
        <v>28067</v>
      </c>
      <c r="I4963" t="s">
        <v>28931</v>
      </c>
      <c r="J4963" t="s">
        <v>7140</v>
      </c>
      <c r="K4963" t="s">
        <v>28068</v>
      </c>
      <c r="L4963" s="7" t="s">
        <v>28069</v>
      </c>
      <c r="M4963">
        <v>95135</v>
      </c>
      <c r="N4963">
        <v>78</v>
      </c>
      <c r="O4963">
        <v>73</v>
      </c>
      <c r="P4963">
        <v>5</v>
      </c>
      <c r="Q4963">
        <v>41</v>
      </c>
      <c r="R4963">
        <v>40</v>
      </c>
      <c r="S4963">
        <v>1</v>
      </c>
      <c r="T4963">
        <v>0</v>
      </c>
      <c r="U4963" t="s">
        <v>28070</v>
      </c>
      <c r="V4963">
        <f>Tabla1[[#This Row],[Aboard]]-Tabla1[[#This Row],[Fatalities]]</f>
        <v>37</v>
      </c>
      <c r="W4963" s="50">
        <f>IFERROR(Tabla1[[#This Row],[Fatalities]]/Tabla1[[#This Row],[Aboard]],0)</f>
        <v>0.52564102564102566</v>
      </c>
      <c r="X4963" s="51" t="str" cm="1">
        <f t="array" ref="X4963">_xlfn.IFS(Tabla1[[#This Row],[Porcentaje de muertes]]&lt;0.35,"LEVE",AND(Tabla1[[#This Row],[Porcentaje de muertes]]&gt;0.35,Tabla1[[#This Row],[Porcentaje de muertes]]&lt;0.65),"MEDIO",Tabla1[[#This Row],[Porcentaje de muertes]]&gt;0.65,"GRAVE")</f>
        <v>MEDIO</v>
      </c>
    </row>
    <row r="4964" spans="2:24" x14ac:dyDescent="0.3">
      <c r="B4964" s="9">
        <v>4965</v>
      </c>
      <c r="C4964" s="49">
        <v>43530</v>
      </c>
      <c r="D4964" s="9">
        <f>YEAR(Tabla1[[#This Row],[Date]])</f>
        <v>2019</v>
      </c>
      <c r="E4964" s="9" t="str" cm="1">
        <f t="array" ref="E4964">IFERROR(_xlfn.IFS(AND(D4964&lt;1980,D4964&gt;=1970),"70",AND(D4964&lt;1990,D4964&gt;=1980),"80",AND(D4964&lt;2000,D4964&gt;=1990),"90",AND(D4964&lt;2010,D4964&gt;=2000),"00",AND(D4964&lt;=2019,D4964&gt;=2010),"10"),"1908-1970")</f>
        <v>10</v>
      </c>
      <c r="F4964" s="3">
        <v>0.54166666666666663</v>
      </c>
      <c r="G4964" t="s">
        <v>28071</v>
      </c>
      <c r="H4964" t="s">
        <v>8036</v>
      </c>
      <c r="I4964" t="s">
        <v>28931</v>
      </c>
      <c r="J4964" t="s">
        <v>28072</v>
      </c>
      <c r="K4964" t="s">
        <v>21061</v>
      </c>
      <c r="L4964" s="7" t="s">
        <v>28073</v>
      </c>
      <c r="M4964">
        <v>1009</v>
      </c>
      <c r="N4964">
        <v>13</v>
      </c>
      <c r="O4964">
        <v>5</v>
      </c>
      <c r="P4964">
        <v>8</v>
      </c>
      <c r="Q4964">
        <v>13</v>
      </c>
      <c r="R4964">
        <v>5</v>
      </c>
      <c r="S4964">
        <v>8</v>
      </c>
      <c r="T4964">
        <v>0</v>
      </c>
      <c r="U4964" t="s">
        <v>28074</v>
      </c>
      <c r="V4964">
        <f>Tabla1[[#This Row],[Aboard]]-Tabla1[[#This Row],[Fatalities]]</f>
        <v>0</v>
      </c>
      <c r="W4964" s="50">
        <f>IFERROR(Tabla1[[#This Row],[Fatalities]]/Tabla1[[#This Row],[Aboard]],0)</f>
        <v>1</v>
      </c>
      <c r="X4964" s="51" t="str" cm="1">
        <f t="array" ref="X4964">_xlfn.IFS(Tabla1[[#This Row],[Porcentaje de muertes]]&lt;0.35,"LEVE",AND(Tabla1[[#This Row],[Porcentaje de muertes]]&gt;0.35,Tabla1[[#This Row],[Porcentaje de muertes]]&lt;0.65),"MEDIO",Tabla1[[#This Row],[Porcentaje de muertes]]&gt;0.65,"GRAVE")</f>
        <v>GRAVE</v>
      </c>
    </row>
    <row r="4965" spans="2:24" x14ac:dyDescent="0.3">
      <c r="B4965" s="9">
        <v>4966</v>
      </c>
      <c r="C4965" s="49">
        <v>43676</v>
      </c>
      <c r="D4965" s="9">
        <f>YEAR(Tabla1[[#This Row],[Date]])</f>
        <v>2019</v>
      </c>
      <c r="E4965" s="9" t="str" cm="1">
        <f t="array" ref="E4965">IFERROR(_xlfn.IFS(AND(D4965&lt;1980,D4965&gt;=1970),"70",AND(D4965&lt;1990,D4965&gt;=1980),"80",AND(D4965&lt;2000,D4965&gt;=1990),"90",AND(D4965&lt;2010,D4965&gt;=2000),"00",AND(D4965&lt;=2019,D4965&gt;=2010),"10"),"1908-1970")</f>
        <v>10</v>
      </c>
      <c r="F4965" s="3">
        <v>8.3333333333333329E-2</v>
      </c>
      <c r="G4965" t="s">
        <v>28075</v>
      </c>
      <c r="H4965" t="s">
        <v>26747</v>
      </c>
      <c r="I4965" t="s">
        <v>28931</v>
      </c>
      <c r="J4965" t="s">
        <v>6190</v>
      </c>
      <c r="K4965" t="s">
        <v>28076</v>
      </c>
      <c r="L4965" s="7">
        <v>766</v>
      </c>
      <c r="M4965" t="s">
        <v>28077</v>
      </c>
      <c r="N4965">
        <v>5</v>
      </c>
      <c r="O4965">
        <v>0</v>
      </c>
      <c r="P4965">
        <v>5</v>
      </c>
      <c r="Q4965">
        <v>5</v>
      </c>
      <c r="R4965">
        <v>0</v>
      </c>
      <c r="S4965">
        <v>5</v>
      </c>
      <c r="T4965">
        <v>14</v>
      </c>
      <c r="U4965" t="s">
        <v>28078</v>
      </c>
      <c r="V4965">
        <f>Tabla1[[#This Row],[Aboard]]-Tabla1[[#This Row],[Fatalities]]</f>
        <v>0</v>
      </c>
      <c r="W4965" s="50">
        <f>IFERROR(Tabla1[[#This Row],[Fatalities]]/Tabla1[[#This Row],[Aboard]],0)</f>
        <v>1</v>
      </c>
      <c r="X4965" s="51" t="str" cm="1">
        <f t="array" ref="X4965">_xlfn.IFS(Tabla1[[#This Row],[Porcentaje de muertes]]&lt;0.35,"LEVE",AND(Tabla1[[#This Row],[Porcentaje de muertes]]&gt;0.35,Tabla1[[#This Row],[Porcentaje de muertes]]&lt;0.65),"MEDIO",Tabla1[[#This Row],[Porcentaje de muertes]]&gt;0.65,"GRAVE")</f>
        <v>GRAVE</v>
      </c>
    </row>
    <row r="4966" spans="2:24" ht="18" x14ac:dyDescent="0.35">
      <c r="B4966" s="2" t="s">
        <v>28926</v>
      </c>
      <c r="C4966" s="25">
        <f>SUBTOTAL(103,Tabla1[Date])</f>
        <v>4963</v>
      </c>
      <c r="D4966" s="25"/>
      <c r="E4966" s="25"/>
      <c r="F4966" s="27">
        <f>SUBTOTAL(101,Tabla1[Time])</f>
        <v>0.5463240499404709</v>
      </c>
      <c r="L4966" s="7"/>
      <c r="N4966" s="26">
        <f>SUBTOTAL(109,Tabla1[Aboard])</f>
        <v>153754</v>
      </c>
      <c r="O4966" s="26">
        <f>SUBTOTAL(109,Tabla1[Aboard Passangers])</f>
        <v>127357</v>
      </c>
      <c r="P4966" s="26">
        <f>SUBTOTAL(109,Tabla1[Aboard Crew])</f>
        <v>21225</v>
      </c>
      <c r="Q4966" s="26">
        <f>SUBTOTAL(109,Tabla1[Fatalities])</f>
        <v>110707</v>
      </c>
      <c r="R4966" s="26">
        <f>SUBTOTAL(109,Tabla1[Fatalities Passangers])</f>
        <v>89802</v>
      </c>
      <c r="S4966" s="26">
        <f>SUBTOTAL(109,Tabla1[Fatalities Crew])</f>
        <v>16904</v>
      </c>
      <c r="T4966" s="26">
        <f>SUBTOTAL(109,Tabla1[Ground])</f>
        <v>8513</v>
      </c>
      <c r="U4966">
        <f>SUBTOTAL(103,Tabla1[Summary])</f>
        <v>4963</v>
      </c>
      <c r="V4966" s="26">
        <f>SUBTOTAL(109,Tabla1[Survived])</f>
        <v>43130</v>
      </c>
      <c r="W4966" s="26"/>
      <c r="X4966" s="26"/>
    </row>
    <row r="4987" spans="8:8" x14ac:dyDescent="0.3">
      <c r="H4987" s="4"/>
    </row>
    <row r="4988" spans="8:8" x14ac:dyDescent="0.3">
      <c r="H4988" s="4"/>
    </row>
    <row r="4989" spans="8:8" x14ac:dyDescent="0.3">
      <c r="H4989" s="4"/>
    </row>
    <row r="4990" spans="8:8" x14ac:dyDescent="0.3">
      <c r="H4990" s="4"/>
    </row>
    <row r="4991" spans="8:8" x14ac:dyDescent="0.3">
      <c r="H4991" s="4"/>
    </row>
    <row r="4992" spans="8:8" x14ac:dyDescent="0.3">
      <c r="H4992" s="4"/>
    </row>
    <row r="4993" spans="8:8" x14ac:dyDescent="0.3">
      <c r="H4993" s="4"/>
    </row>
    <row r="4994" spans="8:8" x14ac:dyDescent="0.3">
      <c r="H4994" s="4"/>
    </row>
    <row r="4995" spans="8:8" x14ac:dyDescent="0.3">
      <c r="H4995" s="4"/>
    </row>
    <row r="4996" spans="8:8" x14ac:dyDescent="0.3">
      <c r="H4996" s="4"/>
    </row>
    <row r="4997" spans="8:8" x14ac:dyDescent="0.3">
      <c r="H4997" s="4"/>
    </row>
    <row r="4998" spans="8:8" x14ac:dyDescent="0.3">
      <c r="H4998" s="4"/>
    </row>
    <row r="4999" spans="8:8" x14ac:dyDescent="0.3">
      <c r="H4999" s="4"/>
    </row>
    <row r="5000" spans="8:8" x14ac:dyDescent="0.3">
      <c r="H5000" s="4"/>
    </row>
    <row r="5001" spans="8:8" x14ac:dyDescent="0.3">
      <c r="H5001" s="4"/>
    </row>
    <row r="5002" spans="8:8" x14ac:dyDescent="0.3">
      <c r="H5002" s="4"/>
    </row>
    <row r="5003" spans="8:8" x14ac:dyDescent="0.3">
      <c r="H5003" s="4"/>
    </row>
    <row r="5004" spans="8:8" x14ac:dyDescent="0.3">
      <c r="H5004" s="4"/>
    </row>
    <row r="5005" spans="8:8" x14ac:dyDescent="0.3">
      <c r="H5005" s="4"/>
    </row>
    <row r="5006" spans="8:8" x14ac:dyDescent="0.3">
      <c r="H5006" s="4"/>
    </row>
    <row r="5007" spans="8:8" x14ac:dyDescent="0.3">
      <c r="H5007" s="4"/>
    </row>
    <row r="5008" spans="8:8" x14ac:dyDescent="0.3">
      <c r="H5008" s="4"/>
    </row>
    <row r="5009" spans="8:8" x14ac:dyDescent="0.3">
      <c r="H5009" s="4"/>
    </row>
    <row r="5010" spans="8:8" x14ac:dyDescent="0.3">
      <c r="H5010" s="4"/>
    </row>
    <row r="5011" spans="8:8" x14ac:dyDescent="0.3">
      <c r="H5011" s="4"/>
    </row>
    <row r="5012" spans="8:8" x14ac:dyDescent="0.3">
      <c r="H5012" s="4"/>
    </row>
    <row r="5013" spans="8:8" x14ac:dyDescent="0.3">
      <c r="H5013" s="4"/>
    </row>
    <row r="5014" spans="8:8" x14ac:dyDescent="0.3">
      <c r="H5014" s="4"/>
    </row>
    <row r="5015" spans="8:8" x14ac:dyDescent="0.3">
      <c r="H5015" s="4"/>
    </row>
    <row r="5016" spans="8:8" x14ac:dyDescent="0.3">
      <c r="H5016" s="4"/>
    </row>
    <row r="5017" spans="8:8" x14ac:dyDescent="0.3">
      <c r="H5017" s="4"/>
    </row>
    <row r="5018" spans="8:8" x14ac:dyDescent="0.3">
      <c r="H5018" s="4"/>
    </row>
    <row r="5019" spans="8:8" x14ac:dyDescent="0.3">
      <c r="H5019" s="4"/>
    </row>
    <row r="5020" spans="8:8" x14ac:dyDescent="0.3">
      <c r="H5020" s="4"/>
    </row>
    <row r="5021" spans="8:8" x14ac:dyDescent="0.3">
      <c r="H5021" s="4"/>
    </row>
    <row r="5022" spans="8:8" x14ac:dyDescent="0.3">
      <c r="H5022" s="4"/>
    </row>
    <row r="5023" spans="8:8" x14ac:dyDescent="0.3">
      <c r="H5023" s="4"/>
    </row>
    <row r="5024" spans="8:8" x14ac:dyDescent="0.3">
      <c r="H5024" s="4"/>
    </row>
    <row r="5025" spans="8:8" x14ac:dyDescent="0.3">
      <c r="H5025" s="4"/>
    </row>
    <row r="5026" spans="8:8" x14ac:dyDescent="0.3">
      <c r="H5026" s="4"/>
    </row>
    <row r="5027" spans="8:8" x14ac:dyDescent="0.3">
      <c r="H5027" s="4"/>
    </row>
    <row r="5028" spans="8:8" x14ac:dyDescent="0.3">
      <c r="H5028" s="4"/>
    </row>
    <row r="5029" spans="8:8" x14ac:dyDescent="0.3">
      <c r="H5029" s="4"/>
    </row>
    <row r="5030" spans="8:8" x14ac:dyDescent="0.3">
      <c r="H5030" s="4"/>
    </row>
    <row r="5031" spans="8:8" x14ac:dyDescent="0.3">
      <c r="H5031" s="4"/>
    </row>
    <row r="5032" spans="8:8" x14ac:dyDescent="0.3">
      <c r="H5032" s="4"/>
    </row>
    <row r="5033" spans="8:8" x14ac:dyDescent="0.3">
      <c r="H5033" s="4"/>
    </row>
    <row r="5034" spans="8:8" x14ac:dyDescent="0.3">
      <c r="H5034" s="4"/>
    </row>
    <row r="5035" spans="8:8" x14ac:dyDescent="0.3">
      <c r="H5035" s="4"/>
    </row>
    <row r="5036" spans="8:8" x14ac:dyDescent="0.3">
      <c r="H5036" s="4"/>
    </row>
    <row r="5037" spans="8:8" x14ac:dyDescent="0.3">
      <c r="H5037" s="4"/>
    </row>
    <row r="5038" spans="8:8" x14ac:dyDescent="0.3">
      <c r="H5038" s="4"/>
    </row>
    <row r="5039" spans="8:8" x14ac:dyDescent="0.3">
      <c r="H5039" s="4"/>
    </row>
    <row r="5040" spans="8:8" x14ac:dyDescent="0.3">
      <c r="H5040" s="4"/>
    </row>
    <row r="5041" spans="8:8" x14ac:dyDescent="0.3">
      <c r="H5041" s="4"/>
    </row>
    <row r="5042" spans="8:8" x14ac:dyDescent="0.3">
      <c r="H5042" s="4"/>
    </row>
    <row r="5043" spans="8:8" x14ac:dyDescent="0.3">
      <c r="H5043" s="4"/>
    </row>
    <row r="5044" spans="8:8" x14ac:dyDescent="0.3">
      <c r="H5044" s="4"/>
    </row>
    <row r="5045" spans="8:8" x14ac:dyDescent="0.3">
      <c r="H5045" s="4"/>
    </row>
    <row r="5046" spans="8:8" x14ac:dyDescent="0.3">
      <c r="H5046" s="4"/>
    </row>
    <row r="5047" spans="8:8" x14ac:dyDescent="0.3">
      <c r="H5047" s="4"/>
    </row>
    <row r="5048" spans="8:8" x14ac:dyDescent="0.3">
      <c r="H5048" s="4"/>
    </row>
    <row r="5049" spans="8:8" x14ac:dyDescent="0.3">
      <c r="H5049" s="4"/>
    </row>
    <row r="5050" spans="8:8" x14ac:dyDescent="0.3">
      <c r="H5050" s="4"/>
    </row>
    <row r="5051" spans="8:8" x14ac:dyDescent="0.3">
      <c r="H5051" s="4"/>
    </row>
    <row r="5052" spans="8:8" x14ac:dyDescent="0.3">
      <c r="H5052" s="4"/>
    </row>
    <row r="5053" spans="8:8" x14ac:dyDescent="0.3">
      <c r="H5053" s="4"/>
    </row>
    <row r="5054" spans="8:8" x14ac:dyDescent="0.3">
      <c r="H5054" s="4"/>
    </row>
    <row r="5055" spans="8:8" x14ac:dyDescent="0.3">
      <c r="H5055" s="4"/>
    </row>
    <row r="5056" spans="8:8" x14ac:dyDescent="0.3">
      <c r="H5056" s="4"/>
    </row>
    <row r="5057" spans="8:8" x14ac:dyDescent="0.3">
      <c r="H5057" s="4"/>
    </row>
    <row r="5058" spans="8:8" x14ac:dyDescent="0.3">
      <c r="H5058" s="4"/>
    </row>
    <row r="5059" spans="8:8" x14ac:dyDescent="0.3">
      <c r="H5059" s="4"/>
    </row>
    <row r="5060" spans="8:8" x14ac:dyDescent="0.3">
      <c r="H5060" s="4"/>
    </row>
    <row r="5061" spans="8:8" x14ac:dyDescent="0.3">
      <c r="H5061" s="4"/>
    </row>
    <row r="5062" spans="8:8" x14ac:dyDescent="0.3">
      <c r="H5062" s="4"/>
    </row>
    <row r="5063" spans="8:8" x14ac:dyDescent="0.3">
      <c r="H5063" s="4"/>
    </row>
    <row r="5064" spans="8:8" x14ac:dyDescent="0.3">
      <c r="H5064" s="4"/>
    </row>
    <row r="5065" spans="8:8" x14ac:dyDescent="0.3">
      <c r="H5065" s="4"/>
    </row>
    <row r="5066" spans="8:8" x14ac:dyDescent="0.3">
      <c r="H5066" s="4"/>
    </row>
    <row r="5067" spans="8:8" x14ac:dyDescent="0.3">
      <c r="H5067" s="4"/>
    </row>
    <row r="5068" spans="8:8" x14ac:dyDescent="0.3">
      <c r="H5068" s="4"/>
    </row>
    <row r="5069" spans="8:8" x14ac:dyDescent="0.3">
      <c r="H5069" s="4"/>
    </row>
    <row r="5070" spans="8:8" x14ac:dyDescent="0.3">
      <c r="H5070" s="4"/>
    </row>
    <row r="5071" spans="8:8" x14ac:dyDescent="0.3">
      <c r="H5071" s="4"/>
    </row>
    <row r="5072" spans="8:8" x14ac:dyDescent="0.3">
      <c r="H5072" s="4"/>
    </row>
    <row r="5073" spans="8:8" x14ac:dyDescent="0.3">
      <c r="H5073" s="4"/>
    </row>
    <row r="5074" spans="8:8" x14ac:dyDescent="0.3">
      <c r="H5074" s="4"/>
    </row>
    <row r="5075" spans="8:8" x14ac:dyDescent="0.3">
      <c r="H5075" s="4"/>
    </row>
    <row r="5076" spans="8:8" x14ac:dyDescent="0.3">
      <c r="H5076" s="4"/>
    </row>
    <row r="5077" spans="8:8" x14ac:dyDescent="0.3">
      <c r="H5077" s="4"/>
    </row>
    <row r="5078" spans="8:8" x14ac:dyDescent="0.3">
      <c r="H5078" s="4"/>
    </row>
    <row r="5079" spans="8:8" x14ac:dyDescent="0.3">
      <c r="H5079" s="4"/>
    </row>
    <row r="5080" spans="8:8" x14ac:dyDescent="0.3">
      <c r="H5080" s="4"/>
    </row>
    <row r="5081" spans="8:8" x14ac:dyDescent="0.3">
      <c r="H5081" s="4"/>
    </row>
    <row r="5082" spans="8:8" x14ac:dyDescent="0.3">
      <c r="H5082" s="4"/>
    </row>
    <row r="5083" spans="8:8" x14ac:dyDescent="0.3">
      <c r="H5083" s="4"/>
    </row>
    <row r="5084" spans="8:8" x14ac:dyDescent="0.3">
      <c r="H5084" s="4"/>
    </row>
    <row r="5085" spans="8:8" x14ac:dyDescent="0.3">
      <c r="H5085" s="4"/>
    </row>
    <row r="5086" spans="8:8" x14ac:dyDescent="0.3">
      <c r="H5086" s="4"/>
    </row>
    <row r="5087" spans="8:8" x14ac:dyDescent="0.3">
      <c r="H5087" s="4"/>
    </row>
    <row r="5088" spans="8:8" x14ac:dyDescent="0.3">
      <c r="H5088" s="4"/>
    </row>
    <row r="5089" spans="8:8" x14ac:dyDescent="0.3">
      <c r="H5089" s="4"/>
    </row>
    <row r="5090" spans="8:8" x14ac:dyDescent="0.3">
      <c r="H5090" s="4"/>
    </row>
    <row r="5091" spans="8:8" x14ac:dyDescent="0.3">
      <c r="H5091" s="4"/>
    </row>
    <row r="5092" spans="8:8" x14ac:dyDescent="0.3">
      <c r="H5092" s="4"/>
    </row>
    <row r="5093" spans="8:8" x14ac:dyDescent="0.3">
      <c r="H5093" s="4"/>
    </row>
    <row r="5094" spans="8:8" x14ac:dyDescent="0.3">
      <c r="H5094" s="4"/>
    </row>
    <row r="5095" spans="8:8" x14ac:dyDescent="0.3">
      <c r="H5095" s="4"/>
    </row>
    <row r="5096" spans="8:8" x14ac:dyDescent="0.3">
      <c r="H5096" s="4"/>
    </row>
    <row r="5097" spans="8:8" x14ac:dyDescent="0.3">
      <c r="H5097" s="4"/>
    </row>
    <row r="5098" spans="8:8" x14ac:dyDescent="0.3">
      <c r="H5098" s="4"/>
    </row>
    <row r="5099" spans="8:8" x14ac:dyDescent="0.3">
      <c r="H5099" s="4"/>
    </row>
    <row r="5100" spans="8:8" x14ac:dyDescent="0.3">
      <c r="H5100" s="4"/>
    </row>
    <row r="5101" spans="8:8" x14ac:dyDescent="0.3">
      <c r="H5101" s="4"/>
    </row>
    <row r="5102" spans="8:8" x14ac:dyDescent="0.3">
      <c r="H5102" s="4"/>
    </row>
    <row r="5103" spans="8:8" x14ac:dyDescent="0.3">
      <c r="H5103" s="4"/>
    </row>
    <row r="5104" spans="8:8" x14ac:dyDescent="0.3">
      <c r="H5104" s="4"/>
    </row>
    <row r="5105" spans="8:8" x14ac:dyDescent="0.3">
      <c r="H5105" s="4"/>
    </row>
    <row r="5106" spans="8:8" x14ac:dyDescent="0.3">
      <c r="H5106" s="4"/>
    </row>
    <row r="5107" spans="8:8" x14ac:dyDescent="0.3">
      <c r="H5107" s="4"/>
    </row>
    <row r="5108" spans="8:8" x14ac:dyDescent="0.3">
      <c r="H5108" s="4"/>
    </row>
    <row r="5109" spans="8:8" x14ac:dyDescent="0.3">
      <c r="H5109" s="4"/>
    </row>
    <row r="5110" spans="8:8" x14ac:dyDescent="0.3">
      <c r="H5110" s="4"/>
    </row>
    <row r="5111" spans="8:8" x14ac:dyDescent="0.3">
      <c r="H5111" s="4"/>
    </row>
    <row r="5112" spans="8:8" x14ac:dyDescent="0.3">
      <c r="H5112" s="4"/>
    </row>
    <row r="5113" spans="8:8" x14ac:dyDescent="0.3">
      <c r="H5113" s="4"/>
    </row>
    <row r="5114" spans="8:8" x14ac:dyDescent="0.3">
      <c r="H5114" s="4"/>
    </row>
    <row r="5115" spans="8:8" x14ac:dyDescent="0.3">
      <c r="H5115" s="4"/>
    </row>
    <row r="5116" spans="8:8" x14ac:dyDescent="0.3">
      <c r="H5116" s="4"/>
    </row>
    <row r="5117" spans="8:8" x14ac:dyDescent="0.3">
      <c r="H5117" s="4"/>
    </row>
    <row r="5118" spans="8:8" x14ac:dyDescent="0.3">
      <c r="H5118" s="4"/>
    </row>
    <row r="5119" spans="8:8" x14ac:dyDescent="0.3">
      <c r="H5119" s="4"/>
    </row>
    <row r="5120" spans="8:8" x14ac:dyDescent="0.3">
      <c r="H5120" s="4"/>
    </row>
    <row r="5121" spans="8:8" x14ac:dyDescent="0.3">
      <c r="H5121" s="4"/>
    </row>
    <row r="5122" spans="8:8" x14ac:dyDescent="0.3">
      <c r="H5122" s="4"/>
    </row>
    <row r="5123" spans="8:8" x14ac:dyDescent="0.3">
      <c r="H5123" s="4"/>
    </row>
    <row r="5124" spans="8:8" x14ac:dyDescent="0.3">
      <c r="H5124" s="4"/>
    </row>
    <row r="5125" spans="8:8" x14ac:dyDescent="0.3">
      <c r="H5125" s="4"/>
    </row>
    <row r="5126" spans="8:8" x14ac:dyDescent="0.3">
      <c r="H5126" s="4"/>
    </row>
    <row r="5127" spans="8:8" x14ac:dyDescent="0.3">
      <c r="H5127" s="4"/>
    </row>
    <row r="5128" spans="8:8" x14ac:dyDescent="0.3">
      <c r="H5128" s="4"/>
    </row>
    <row r="5129" spans="8:8" x14ac:dyDescent="0.3">
      <c r="H5129" s="4"/>
    </row>
    <row r="5130" spans="8:8" x14ac:dyDescent="0.3">
      <c r="H5130" s="4"/>
    </row>
    <row r="5131" spans="8:8" x14ac:dyDescent="0.3">
      <c r="H5131" s="4"/>
    </row>
    <row r="5132" spans="8:8" x14ac:dyDescent="0.3">
      <c r="H5132" s="4"/>
    </row>
    <row r="5133" spans="8:8" x14ac:dyDescent="0.3">
      <c r="H5133" s="4"/>
    </row>
    <row r="5134" spans="8:8" x14ac:dyDescent="0.3">
      <c r="H5134" s="4"/>
    </row>
    <row r="5135" spans="8:8" x14ac:dyDescent="0.3">
      <c r="H5135" s="4"/>
    </row>
    <row r="5136" spans="8:8" x14ac:dyDescent="0.3">
      <c r="H5136" s="4"/>
    </row>
    <row r="5137" spans="8:8" x14ac:dyDescent="0.3">
      <c r="H5137" s="4"/>
    </row>
    <row r="5138" spans="8:8" x14ac:dyDescent="0.3">
      <c r="H5138" s="4"/>
    </row>
    <row r="5139" spans="8:8" x14ac:dyDescent="0.3">
      <c r="H5139" s="4"/>
    </row>
    <row r="5140" spans="8:8" x14ac:dyDescent="0.3">
      <c r="H5140" s="4"/>
    </row>
    <row r="5141" spans="8:8" x14ac:dyDescent="0.3">
      <c r="H5141" s="4"/>
    </row>
    <row r="5142" spans="8:8" x14ac:dyDescent="0.3">
      <c r="H5142" s="4"/>
    </row>
    <row r="5143" spans="8:8" x14ac:dyDescent="0.3">
      <c r="H5143" s="4"/>
    </row>
    <row r="5144" spans="8:8" x14ac:dyDescent="0.3">
      <c r="H5144" s="4"/>
    </row>
    <row r="5145" spans="8:8" x14ac:dyDescent="0.3">
      <c r="H5145" s="4"/>
    </row>
    <row r="5146" spans="8:8" x14ac:dyDescent="0.3">
      <c r="H5146" s="4"/>
    </row>
    <row r="5147" spans="8:8" x14ac:dyDescent="0.3">
      <c r="H5147" s="4"/>
    </row>
    <row r="5148" spans="8:8" x14ac:dyDescent="0.3">
      <c r="H5148" s="4"/>
    </row>
    <row r="5149" spans="8:8" x14ac:dyDescent="0.3">
      <c r="H5149" s="4"/>
    </row>
    <row r="5150" spans="8:8" x14ac:dyDescent="0.3">
      <c r="H5150" s="4"/>
    </row>
    <row r="5151" spans="8:8" x14ac:dyDescent="0.3">
      <c r="H5151" s="4"/>
    </row>
    <row r="5152" spans="8:8" x14ac:dyDescent="0.3">
      <c r="H5152" s="4"/>
    </row>
    <row r="5153" spans="8:8" x14ac:dyDescent="0.3">
      <c r="H5153" s="4"/>
    </row>
    <row r="5154" spans="8:8" x14ac:dyDescent="0.3">
      <c r="H5154" s="4"/>
    </row>
    <row r="5155" spans="8:8" x14ac:dyDescent="0.3">
      <c r="H5155" s="4"/>
    </row>
    <row r="5156" spans="8:8" x14ac:dyDescent="0.3">
      <c r="H5156" s="4"/>
    </row>
    <row r="5157" spans="8:8" x14ac:dyDescent="0.3">
      <c r="H5157" s="4"/>
    </row>
    <row r="5158" spans="8:8" x14ac:dyDescent="0.3">
      <c r="H5158" s="4"/>
    </row>
    <row r="5159" spans="8:8" x14ac:dyDescent="0.3">
      <c r="H5159" s="4"/>
    </row>
    <row r="5160" spans="8:8" x14ac:dyDescent="0.3">
      <c r="H5160" s="4"/>
    </row>
    <row r="5161" spans="8:8" x14ac:dyDescent="0.3">
      <c r="H5161" s="4"/>
    </row>
    <row r="5162" spans="8:8" x14ac:dyDescent="0.3">
      <c r="H5162" s="4"/>
    </row>
    <row r="5163" spans="8:8" x14ac:dyDescent="0.3">
      <c r="H5163" s="4"/>
    </row>
    <row r="5164" spans="8:8" x14ac:dyDescent="0.3">
      <c r="H5164" s="4"/>
    </row>
    <row r="5165" spans="8:8" x14ac:dyDescent="0.3">
      <c r="H5165" s="4"/>
    </row>
    <row r="5166" spans="8:8" x14ac:dyDescent="0.3">
      <c r="H5166" s="4"/>
    </row>
    <row r="5167" spans="8:8" x14ac:dyDescent="0.3">
      <c r="H5167" s="4"/>
    </row>
    <row r="5168" spans="8:8" x14ac:dyDescent="0.3">
      <c r="H5168" s="4"/>
    </row>
    <row r="5169" spans="8:8" x14ac:dyDescent="0.3">
      <c r="H5169" s="4"/>
    </row>
    <row r="5170" spans="8:8" x14ac:dyDescent="0.3">
      <c r="H5170" s="4"/>
    </row>
    <row r="5171" spans="8:8" x14ac:dyDescent="0.3">
      <c r="H5171" s="4"/>
    </row>
    <row r="5172" spans="8:8" x14ac:dyDescent="0.3">
      <c r="H5172" s="4"/>
    </row>
    <row r="5173" spans="8:8" x14ac:dyDescent="0.3">
      <c r="H5173" s="4"/>
    </row>
    <row r="5174" spans="8:8" x14ac:dyDescent="0.3">
      <c r="H5174" s="4"/>
    </row>
    <row r="5175" spans="8:8" x14ac:dyDescent="0.3">
      <c r="H5175" s="4"/>
    </row>
    <row r="5176" spans="8:8" x14ac:dyDescent="0.3">
      <c r="H5176" s="4"/>
    </row>
    <row r="5177" spans="8:8" x14ac:dyDescent="0.3">
      <c r="H5177" s="4"/>
    </row>
    <row r="5178" spans="8:8" x14ac:dyDescent="0.3">
      <c r="H5178" s="4"/>
    </row>
    <row r="5179" spans="8:8" x14ac:dyDescent="0.3">
      <c r="H5179" s="4"/>
    </row>
    <row r="5180" spans="8:8" x14ac:dyDescent="0.3">
      <c r="H5180" s="4"/>
    </row>
    <row r="5181" spans="8:8" x14ac:dyDescent="0.3">
      <c r="H5181" s="4"/>
    </row>
    <row r="5182" spans="8:8" x14ac:dyDescent="0.3">
      <c r="H5182" s="4"/>
    </row>
    <row r="5183" spans="8:8" x14ac:dyDescent="0.3">
      <c r="H5183" s="4"/>
    </row>
    <row r="5184" spans="8:8" x14ac:dyDescent="0.3">
      <c r="H5184" s="4"/>
    </row>
    <row r="5185" spans="8:8" x14ac:dyDescent="0.3">
      <c r="H5185" s="4"/>
    </row>
    <row r="5186" spans="8:8" x14ac:dyDescent="0.3">
      <c r="H5186" s="4"/>
    </row>
    <row r="5187" spans="8:8" x14ac:dyDescent="0.3">
      <c r="H5187" s="4"/>
    </row>
    <row r="5188" spans="8:8" x14ac:dyDescent="0.3">
      <c r="H5188" s="4"/>
    </row>
    <row r="5189" spans="8:8" x14ac:dyDescent="0.3">
      <c r="H5189" s="4"/>
    </row>
    <row r="5190" spans="8:8" x14ac:dyDescent="0.3">
      <c r="H5190" s="4"/>
    </row>
    <row r="5191" spans="8:8" x14ac:dyDescent="0.3">
      <c r="H5191" s="4"/>
    </row>
    <row r="5192" spans="8:8" x14ac:dyDescent="0.3">
      <c r="H5192" s="4"/>
    </row>
    <row r="5193" spans="8:8" x14ac:dyDescent="0.3">
      <c r="H5193" s="4"/>
    </row>
    <row r="5194" spans="8:8" x14ac:dyDescent="0.3">
      <c r="H5194" s="4"/>
    </row>
    <row r="5195" spans="8:8" x14ac:dyDescent="0.3">
      <c r="H5195" s="4"/>
    </row>
    <row r="5196" spans="8:8" x14ac:dyDescent="0.3">
      <c r="H5196" s="4"/>
    </row>
    <row r="5197" spans="8:8" x14ac:dyDescent="0.3">
      <c r="H5197" s="4"/>
    </row>
    <row r="5198" spans="8:8" x14ac:dyDescent="0.3">
      <c r="H5198" s="4"/>
    </row>
    <row r="5199" spans="8:8" x14ac:dyDescent="0.3">
      <c r="H5199" s="4"/>
    </row>
    <row r="5200" spans="8:8" x14ac:dyDescent="0.3">
      <c r="H5200" s="4"/>
    </row>
    <row r="5201" spans="8:8" x14ac:dyDescent="0.3">
      <c r="H5201" s="4"/>
    </row>
    <row r="5202" spans="8:8" x14ac:dyDescent="0.3">
      <c r="H5202" s="4"/>
    </row>
    <row r="5203" spans="8:8" x14ac:dyDescent="0.3">
      <c r="H5203" s="4"/>
    </row>
    <row r="5204" spans="8:8" x14ac:dyDescent="0.3">
      <c r="H5204" s="4"/>
    </row>
    <row r="5205" spans="8:8" x14ac:dyDescent="0.3">
      <c r="H5205" s="4"/>
    </row>
    <row r="5206" spans="8:8" x14ac:dyDescent="0.3">
      <c r="H5206" s="4"/>
    </row>
    <row r="5207" spans="8:8" x14ac:dyDescent="0.3">
      <c r="H5207" s="4"/>
    </row>
    <row r="5208" spans="8:8" x14ac:dyDescent="0.3">
      <c r="H5208" s="4"/>
    </row>
    <row r="5209" spans="8:8" x14ac:dyDescent="0.3">
      <c r="H5209" s="4"/>
    </row>
    <row r="5210" spans="8:8" x14ac:dyDescent="0.3">
      <c r="H5210" s="4"/>
    </row>
    <row r="5211" spans="8:8" x14ac:dyDescent="0.3">
      <c r="H5211" s="4"/>
    </row>
    <row r="5212" spans="8:8" x14ac:dyDescent="0.3">
      <c r="H5212" s="4"/>
    </row>
    <row r="5213" spans="8:8" x14ac:dyDescent="0.3">
      <c r="H5213" s="4"/>
    </row>
    <row r="5214" spans="8:8" x14ac:dyDescent="0.3">
      <c r="H5214" s="4"/>
    </row>
    <row r="5215" spans="8:8" x14ac:dyDescent="0.3">
      <c r="H5215" s="4"/>
    </row>
    <row r="5216" spans="8:8" x14ac:dyDescent="0.3">
      <c r="H5216" s="4"/>
    </row>
    <row r="5217" spans="8:8" x14ac:dyDescent="0.3">
      <c r="H5217" s="4"/>
    </row>
    <row r="5218" spans="8:8" x14ac:dyDescent="0.3">
      <c r="H5218" s="4"/>
    </row>
    <row r="5219" spans="8:8" x14ac:dyDescent="0.3">
      <c r="H5219" s="4"/>
    </row>
    <row r="5220" spans="8:8" x14ac:dyDescent="0.3">
      <c r="H5220" s="4"/>
    </row>
    <row r="5221" spans="8:8" x14ac:dyDescent="0.3">
      <c r="H5221" s="4"/>
    </row>
    <row r="5222" spans="8:8" x14ac:dyDescent="0.3">
      <c r="H5222" s="4"/>
    </row>
    <row r="5223" spans="8:8" x14ac:dyDescent="0.3">
      <c r="H5223" s="4"/>
    </row>
    <row r="5224" spans="8:8" x14ac:dyDescent="0.3">
      <c r="H5224" s="4"/>
    </row>
    <row r="5225" spans="8:8" x14ac:dyDescent="0.3">
      <c r="H5225" s="4"/>
    </row>
    <row r="5226" spans="8:8" x14ac:dyDescent="0.3">
      <c r="H5226" s="4"/>
    </row>
    <row r="5227" spans="8:8" x14ac:dyDescent="0.3">
      <c r="H5227" s="4"/>
    </row>
    <row r="5228" spans="8:8" x14ac:dyDescent="0.3">
      <c r="H5228" s="4"/>
    </row>
    <row r="5229" spans="8:8" x14ac:dyDescent="0.3">
      <c r="H5229" s="4"/>
    </row>
    <row r="5230" spans="8:8" x14ac:dyDescent="0.3">
      <c r="H5230" s="4"/>
    </row>
    <row r="5231" spans="8:8" x14ac:dyDescent="0.3">
      <c r="H5231" s="4"/>
    </row>
    <row r="5232" spans="8:8" x14ac:dyDescent="0.3">
      <c r="H5232" s="4"/>
    </row>
    <row r="5233" spans="8:8" x14ac:dyDescent="0.3">
      <c r="H5233" s="4"/>
    </row>
    <row r="5234" spans="8:8" x14ac:dyDescent="0.3">
      <c r="H5234" s="4"/>
    </row>
    <row r="5235" spans="8:8" x14ac:dyDescent="0.3">
      <c r="H5235" s="4"/>
    </row>
    <row r="5236" spans="8:8" x14ac:dyDescent="0.3">
      <c r="H5236" s="4"/>
    </row>
    <row r="5237" spans="8:8" x14ac:dyDescent="0.3">
      <c r="H5237" s="4"/>
    </row>
    <row r="5238" spans="8:8" x14ac:dyDescent="0.3">
      <c r="H5238" s="4"/>
    </row>
    <row r="5239" spans="8:8" x14ac:dyDescent="0.3">
      <c r="H5239" s="4"/>
    </row>
    <row r="5240" spans="8:8" x14ac:dyDescent="0.3">
      <c r="H5240" s="4"/>
    </row>
    <row r="5241" spans="8:8" x14ac:dyDescent="0.3">
      <c r="H5241" s="4"/>
    </row>
    <row r="5242" spans="8:8" x14ac:dyDescent="0.3">
      <c r="H5242" s="4"/>
    </row>
    <row r="5243" spans="8:8" x14ac:dyDescent="0.3">
      <c r="H5243" s="4"/>
    </row>
    <row r="5244" spans="8:8" x14ac:dyDescent="0.3">
      <c r="H5244" s="4"/>
    </row>
    <row r="5245" spans="8:8" x14ac:dyDescent="0.3">
      <c r="H5245" s="4"/>
    </row>
    <row r="5246" spans="8:8" x14ac:dyDescent="0.3">
      <c r="H5246" s="4"/>
    </row>
    <row r="5247" spans="8:8" x14ac:dyDescent="0.3">
      <c r="H5247" s="4"/>
    </row>
    <row r="5248" spans="8:8" x14ac:dyDescent="0.3">
      <c r="H5248" s="4"/>
    </row>
    <row r="5249" spans="8:8" x14ac:dyDescent="0.3">
      <c r="H5249" s="4"/>
    </row>
    <row r="5250" spans="8:8" x14ac:dyDescent="0.3">
      <c r="H5250" s="4"/>
    </row>
    <row r="5251" spans="8:8" x14ac:dyDescent="0.3">
      <c r="H5251" s="4"/>
    </row>
    <row r="5252" spans="8:8" x14ac:dyDescent="0.3">
      <c r="H5252" s="4"/>
    </row>
    <row r="5253" spans="8:8" x14ac:dyDescent="0.3">
      <c r="H5253" s="4"/>
    </row>
    <row r="5254" spans="8:8" x14ac:dyDescent="0.3">
      <c r="H5254" s="4"/>
    </row>
    <row r="5255" spans="8:8" x14ac:dyDescent="0.3">
      <c r="H5255" s="4"/>
    </row>
    <row r="5256" spans="8:8" x14ac:dyDescent="0.3">
      <c r="H5256" s="4"/>
    </row>
    <row r="5257" spans="8:8" x14ac:dyDescent="0.3">
      <c r="H5257" s="4"/>
    </row>
    <row r="5258" spans="8:8" x14ac:dyDescent="0.3">
      <c r="H5258" s="4"/>
    </row>
    <row r="5259" spans="8:8" x14ac:dyDescent="0.3">
      <c r="H5259" s="4"/>
    </row>
    <row r="5260" spans="8:8" x14ac:dyDescent="0.3">
      <c r="H5260" s="4"/>
    </row>
    <row r="5261" spans="8:8" x14ac:dyDescent="0.3">
      <c r="H5261" s="4"/>
    </row>
    <row r="5262" spans="8:8" x14ac:dyDescent="0.3">
      <c r="H5262" s="4"/>
    </row>
    <row r="5263" spans="8:8" x14ac:dyDescent="0.3">
      <c r="H5263" s="4"/>
    </row>
    <row r="5264" spans="8:8" x14ac:dyDescent="0.3">
      <c r="H5264" s="4"/>
    </row>
    <row r="5265" spans="8:8" x14ac:dyDescent="0.3">
      <c r="H5265" s="4"/>
    </row>
    <row r="5266" spans="8:8" x14ac:dyDescent="0.3">
      <c r="H5266" s="4"/>
    </row>
    <row r="5267" spans="8:8" x14ac:dyDescent="0.3">
      <c r="H5267" s="4"/>
    </row>
    <row r="5268" spans="8:8" x14ac:dyDescent="0.3">
      <c r="H5268" s="4"/>
    </row>
    <row r="5269" spans="8:8" x14ac:dyDescent="0.3">
      <c r="H5269" s="4"/>
    </row>
    <row r="5270" spans="8:8" x14ac:dyDescent="0.3">
      <c r="H5270" s="4"/>
    </row>
    <row r="5271" spans="8:8" x14ac:dyDescent="0.3">
      <c r="H5271" s="4"/>
    </row>
    <row r="5272" spans="8:8" x14ac:dyDescent="0.3">
      <c r="H5272" s="4"/>
    </row>
    <row r="5273" spans="8:8" x14ac:dyDescent="0.3">
      <c r="H5273" s="4"/>
    </row>
    <row r="5274" spans="8:8" x14ac:dyDescent="0.3">
      <c r="H5274" s="4"/>
    </row>
    <row r="5275" spans="8:8" x14ac:dyDescent="0.3">
      <c r="H5275" s="4"/>
    </row>
    <row r="5276" spans="8:8" x14ac:dyDescent="0.3">
      <c r="H5276" s="4"/>
    </row>
    <row r="5277" spans="8:8" x14ac:dyDescent="0.3">
      <c r="H5277" s="4"/>
    </row>
    <row r="5278" spans="8:8" x14ac:dyDescent="0.3">
      <c r="H5278" s="4"/>
    </row>
    <row r="5279" spans="8:8" x14ac:dyDescent="0.3">
      <c r="H5279" s="4"/>
    </row>
    <row r="5280" spans="8:8" x14ac:dyDescent="0.3">
      <c r="H5280" s="4"/>
    </row>
    <row r="5281" spans="8:8" x14ac:dyDescent="0.3">
      <c r="H5281" s="4"/>
    </row>
    <row r="5282" spans="8:8" x14ac:dyDescent="0.3">
      <c r="H5282" s="4"/>
    </row>
    <row r="5283" spans="8:8" x14ac:dyDescent="0.3">
      <c r="H5283" s="4"/>
    </row>
    <row r="5284" spans="8:8" x14ac:dyDescent="0.3">
      <c r="H5284" s="4"/>
    </row>
    <row r="5285" spans="8:8" x14ac:dyDescent="0.3">
      <c r="H5285" s="4"/>
    </row>
    <row r="5286" spans="8:8" x14ac:dyDescent="0.3">
      <c r="H5286" s="4"/>
    </row>
    <row r="5287" spans="8:8" x14ac:dyDescent="0.3">
      <c r="H5287" s="4"/>
    </row>
    <row r="5288" spans="8:8" x14ac:dyDescent="0.3">
      <c r="H5288" s="4"/>
    </row>
    <row r="5289" spans="8:8" x14ac:dyDescent="0.3">
      <c r="H5289" s="4"/>
    </row>
    <row r="5290" spans="8:8" x14ac:dyDescent="0.3">
      <c r="H5290" s="4"/>
    </row>
    <row r="5291" spans="8:8" x14ac:dyDescent="0.3">
      <c r="H5291" s="4"/>
    </row>
    <row r="5292" spans="8:8" x14ac:dyDescent="0.3">
      <c r="H5292" s="4"/>
    </row>
    <row r="5293" spans="8:8" x14ac:dyDescent="0.3">
      <c r="H5293" s="4"/>
    </row>
    <row r="5294" spans="8:8" x14ac:dyDescent="0.3">
      <c r="H5294" s="4"/>
    </row>
    <row r="5295" spans="8:8" x14ac:dyDescent="0.3">
      <c r="H5295" s="4"/>
    </row>
    <row r="5296" spans="8:8" x14ac:dyDescent="0.3">
      <c r="H5296" s="4"/>
    </row>
    <row r="5297" spans="8:8" x14ac:dyDescent="0.3">
      <c r="H5297" s="4"/>
    </row>
    <row r="5298" spans="8:8" x14ac:dyDescent="0.3">
      <c r="H5298" s="4"/>
    </row>
    <row r="5299" spans="8:8" x14ac:dyDescent="0.3">
      <c r="H5299" s="4"/>
    </row>
    <row r="5300" spans="8:8" x14ac:dyDescent="0.3">
      <c r="H5300" s="4"/>
    </row>
    <row r="5301" spans="8:8" x14ac:dyDescent="0.3">
      <c r="H5301" s="4"/>
    </row>
    <row r="5302" spans="8:8" x14ac:dyDescent="0.3">
      <c r="H5302" s="4"/>
    </row>
    <row r="5303" spans="8:8" x14ac:dyDescent="0.3">
      <c r="H5303" s="4"/>
    </row>
    <row r="5304" spans="8:8" x14ac:dyDescent="0.3">
      <c r="H5304" s="4"/>
    </row>
    <row r="5305" spans="8:8" x14ac:dyDescent="0.3">
      <c r="H5305" s="4"/>
    </row>
    <row r="5306" spans="8:8" x14ac:dyDescent="0.3">
      <c r="H5306" s="4"/>
    </row>
    <row r="5307" spans="8:8" x14ac:dyDescent="0.3">
      <c r="H5307" s="4"/>
    </row>
    <row r="5308" spans="8:8" x14ac:dyDescent="0.3">
      <c r="H5308" s="4"/>
    </row>
    <row r="5309" spans="8:8" x14ac:dyDescent="0.3">
      <c r="H5309" s="4"/>
    </row>
    <row r="5310" spans="8:8" x14ac:dyDescent="0.3">
      <c r="H5310" s="4"/>
    </row>
    <row r="5311" spans="8:8" x14ac:dyDescent="0.3">
      <c r="H5311" s="4"/>
    </row>
    <row r="5312" spans="8:8" x14ac:dyDescent="0.3">
      <c r="H5312" s="4"/>
    </row>
    <row r="5313" spans="8:8" x14ac:dyDescent="0.3">
      <c r="H5313" s="4"/>
    </row>
    <row r="5314" spans="8:8" x14ac:dyDescent="0.3">
      <c r="H5314" s="4"/>
    </row>
    <row r="5315" spans="8:8" x14ac:dyDescent="0.3">
      <c r="H5315" s="4"/>
    </row>
    <row r="5316" spans="8:8" x14ac:dyDescent="0.3">
      <c r="H5316" s="4"/>
    </row>
    <row r="5317" spans="8:8" x14ac:dyDescent="0.3">
      <c r="H5317" s="4"/>
    </row>
    <row r="5318" spans="8:8" x14ac:dyDescent="0.3">
      <c r="H5318" s="4"/>
    </row>
    <row r="5319" spans="8:8" x14ac:dyDescent="0.3">
      <c r="H5319" s="4"/>
    </row>
    <row r="5320" spans="8:8" x14ac:dyDescent="0.3">
      <c r="H5320" s="4"/>
    </row>
    <row r="5321" spans="8:8" x14ac:dyDescent="0.3">
      <c r="H5321" s="4"/>
    </row>
    <row r="5322" spans="8:8" x14ac:dyDescent="0.3">
      <c r="H5322" s="4"/>
    </row>
    <row r="5323" spans="8:8" x14ac:dyDescent="0.3">
      <c r="H5323" s="4"/>
    </row>
    <row r="5324" spans="8:8" x14ac:dyDescent="0.3">
      <c r="H5324" s="4"/>
    </row>
    <row r="5325" spans="8:8" x14ac:dyDescent="0.3">
      <c r="H5325" s="4"/>
    </row>
    <row r="5326" spans="8:8" x14ac:dyDescent="0.3">
      <c r="H5326" s="4"/>
    </row>
    <row r="5327" spans="8:8" x14ac:dyDescent="0.3">
      <c r="H5327" s="4"/>
    </row>
    <row r="5328" spans="8:8" x14ac:dyDescent="0.3">
      <c r="H5328" s="4"/>
    </row>
    <row r="5329" spans="8:8" x14ac:dyDescent="0.3">
      <c r="H5329" s="4"/>
    </row>
    <row r="5330" spans="8:8" x14ac:dyDescent="0.3">
      <c r="H5330" s="4"/>
    </row>
    <row r="5331" spans="8:8" x14ac:dyDescent="0.3">
      <c r="H5331" s="4"/>
    </row>
    <row r="5332" spans="8:8" x14ac:dyDescent="0.3">
      <c r="H5332" s="4"/>
    </row>
    <row r="5333" spans="8:8" x14ac:dyDescent="0.3">
      <c r="H5333" s="4"/>
    </row>
    <row r="5334" spans="8:8" x14ac:dyDescent="0.3">
      <c r="H5334" s="4"/>
    </row>
    <row r="5335" spans="8:8" x14ac:dyDescent="0.3">
      <c r="H5335" s="4"/>
    </row>
    <row r="5336" spans="8:8" x14ac:dyDescent="0.3">
      <c r="H5336" s="4"/>
    </row>
    <row r="5337" spans="8:8" x14ac:dyDescent="0.3">
      <c r="H5337" s="4"/>
    </row>
    <row r="5338" spans="8:8" x14ac:dyDescent="0.3">
      <c r="H5338" s="4"/>
    </row>
    <row r="5339" spans="8:8" x14ac:dyDescent="0.3">
      <c r="H5339" s="4"/>
    </row>
    <row r="5340" spans="8:8" x14ac:dyDescent="0.3">
      <c r="H5340" s="4"/>
    </row>
    <row r="5341" spans="8:8" x14ac:dyDescent="0.3">
      <c r="H5341" s="4"/>
    </row>
    <row r="5342" spans="8:8" x14ac:dyDescent="0.3">
      <c r="H5342" s="4"/>
    </row>
    <row r="5343" spans="8:8" x14ac:dyDescent="0.3">
      <c r="H5343" s="4"/>
    </row>
    <row r="5344" spans="8:8" x14ac:dyDescent="0.3">
      <c r="H5344" s="4"/>
    </row>
    <row r="5345" spans="8:8" x14ac:dyDescent="0.3">
      <c r="H5345" s="4"/>
    </row>
    <row r="5346" spans="8:8" x14ac:dyDescent="0.3">
      <c r="H5346" s="4"/>
    </row>
    <row r="5347" spans="8:8" x14ac:dyDescent="0.3">
      <c r="H5347" s="4"/>
    </row>
    <row r="5348" spans="8:8" x14ac:dyDescent="0.3">
      <c r="H5348" s="4"/>
    </row>
    <row r="5349" spans="8:8" x14ac:dyDescent="0.3">
      <c r="H5349" s="4"/>
    </row>
    <row r="5350" spans="8:8" x14ac:dyDescent="0.3">
      <c r="H5350" s="4"/>
    </row>
    <row r="5351" spans="8:8" x14ac:dyDescent="0.3">
      <c r="H5351" s="4"/>
    </row>
    <row r="5352" spans="8:8" x14ac:dyDescent="0.3">
      <c r="H5352" s="4"/>
    </row>
    <row r="5353" spans="8:8" x14ac:dyDescent="0.3">
      <c r="H5353" s="4"/>
    </row>
    <row r="5354" spans="8:8" x14ac:dyDescent="0.3">
      <c r="H5354" s="4"/>
    </row>
    <row r="5355" spans="8:8" x14ac:dyDescent="0.3">
      <c r="H5355" s="4"/>
    </row>
    <row r="5356" spans="8:8" x14ac:dyDescent="0.3">
      <c r="H5356" s="4"/>
    </row>
    <row r="5357" spans="8:8" x14ac:dyDescent="0.3">
      <c r="H5357" s="4"/>
    </row>
    <row r="5358" spans="8:8" x14ac:dyDescent="0.3">
      <c r="H5358" s="4"/>
    </row>
    <row r="5359" spans="8:8" x14ac:dyDescent="0.3">
      <c r="H5359" s="4"/>
    </row>
    <row r="5360" spans="8:8" x14ac:dyDescent="0.3">
      <c r="H5360" s="4"/>
    </row>
    <row r="5361" spans="8:8" x14ac:dyDescent="0.3">
      <c r="H5361" s="4"/>
    </row>
    <row r="5362" spans="8:8" x14ac:dyDescent="0.3">
      <c r="H5362" s="4"/>
    </row>
    <row r="5363" spans="8:8" x14ac:dyDescent="0.3">
      <c r="H5363" s="4"/>
    </row>
    <row r="5364" spans="8:8" x14ac:dyDescent="0.3">
      <c r="H5364" s="4"/>
    </row>
    <row r="5365" spans="8:8" x14ac:dyDescent="0.3">
      <c r="H5365" s="4"/>
    </row>
    <row r="5366" spans="8:8" x14ac:dyDescent="0.3">
      <c r="H5366" s="4"/>
    </row>
    <row r="5367" spans="8:8" x14ac:dyDescent="0.3">
      <c r="H5367" s="4"/>
    </row>
    <row r="5368" spans="8:8" x14ac:dyDescent="0.3">
      <c r="H5368" s="4"/>
    </row>
    <row r="5369" spans="8:8" x14ac:dyDescent="0.3">
      <c r="H5369" s="4"/>
    </row>
    <row r="5370" spans="8:8" x14ac:dyDescent="0.3">
      <c r="H5370" s="4"/>
    </row>
    <row r="5371" spans="8:8" x14ac:dyDescent="0.3">
      <c r="H5371" s="4"/>
    </row>
    <row r="5372" spans="8:8" x14ac:dyDescent="0.3">
      <c r="H5372" s="4"/>
    </row>
    <row r="5373" spans="8:8" x14ac:dyDescent="0.3">
      <c r="H5373" s="4"/>
    </row>
    <row r="5374" spans="8:8" x14ac:dyDescent="0.3">
      <c r="H5374" s="4"/>
    </row>
    <row r="5375" spans="8:8" x14ac:dyDescent="0.3">
      <c r="H5375" s="4"/>
    </row>
    <row r="5376" spans="8:8" x14ac:dyDescent="0.3">
      <c r="H5376" s="4"/>
    </row>
    <row r="5377" spans="8:8" x14ac:dyDescent="0.3">
      <c r="H5377" s="4"/>
    </row>
    <row r="5378" spans="8:8" x14ac:dyDescent="0.3">
      <c r="H5378" s="4"/>
    </row>
    <row r="5379" spans="8:8" x14ac:dyDescent="0.3">
      <c r="H5379" s="4"/>
    </row>
    <row r="5380" spans="8:8" x14ac:dyDescent="0.3">
      <c r="H5380" s="4"/>
    </row>
    <row r="5381" spans="8:8" x14ac:dyDescent="0.3">
      <c r="H5381" s="4"/>
    </row>
    <row r="5382" spans="8:8" x14ac:dyDescent="0.3">
      <c r="H5382" s="4"/>
    </row>
    <row r="5383" spans="8:8" x14ac:dyDescent="0.3">
      <c r="H5383" s="4"/>
    </row>
    <row r="5384" spans="8:8" x14ac:dyDescent="0.3">
      <c r="H5384" s="4"/>
    </row>
    <row r="5385" spans="8:8" x14ac:dyDescent="0.3">
      <c r="H5385" s="4"/>
    </row>
    <row r="5386" spans="8:8" x14ac:dyDescent="0.3">
      <c r="H5386" s="4"/>
    </row>
    <row r="5387" spans="8:8" x14ac:dyDescent="0.3">
      <c r="H5387" s="4"/>
    </row>
    <row r="5388" spans="8:8" x14ac:dyDescent="0.3">
      <c r="H5388" s="4"/>
    </row>
    <row r="5389" spans="8:8" x14ac:dyDescent="0.3">
      <c r="H5389" s="4"/>
    </row>
    <row r="5390" spans="8:8" x14ac:dyDescent="0.3">
      <c r="H5390" s="4"/>
    </row>
    <row r="5391" spans="8:8" x14ac:dyDescent="0.3">
      <c r="H5391" s="4"/>
    </row>
    <row r="5392" spans="8:8" x14ac:dyDescent="0.3">
      <c r="H5392" s="4"/>
    </row>
    <row r="5393" spans="8:8" x14ac:dyDescent="0.3">
      <c r="H5393" s="4"/>
    </row>
    <row r="5394" spans="8:8" x14ac:dyDescent="0.3">
      <c r="H5394" s="4"/>
    </row>
    <row r="5395" spans="8:8" x14ac:dyDescent="0.3">
      <c r="H5395" s="4"/>
    </row>
    <row r="5396" spans="8:8" x14ac:dyDescent="0.3">
      <c r="H5396" s="4"/>
    </row>
    <row r="5397" spans="8:8" x14ac:dyDescent="0.3">
      <c r="H5397" s="4"/>
    </row>
    <row r="5398" spans="8:8" x14ac:dyDescent="0.3">
      <c r="H5398" s="4"/>
    </row>
    <row r="5399" spans="8:8" x14ac:dyDescent="0.3">
      <c r="H5399" s="4"/>
    </row>
    <row r="5400" spans="8:8" x14ac:dyDescent="0.3">
      <c r="H5400" s="4"/>
    </row>
    <row r="5401" spans="8:8" x14ac:dyDescent="0.3">
      <c r="H5401" s="4"/>
    </row>
    <row r="5402" spans="8:8" x14ac:dyDescent="0.3">
      <c r="H5402" s="4"/>
    </row>
    <row r="5403" spans="8:8" x14ac:dyDescent="0.3">
      <c r="H5403" s="4"/>
    </row>
    <row r="5404" spans="8:8" x14ac:dyDescent="0.3">
      <c r="H5404" s="4"/>
    </row>
    <row r="5405" spans="8:8" x14ac:dyDescent="0.3">
      <c r="H5405" s="4"/>
    </row>
    <row r="5406" spans="8:8" x14ac:dyDescent="0.3">
      <c r="H5406" s="4"/>
    </row>
    <row r="5407" spans="8:8" x14ac:dyDescent="0.3">
      <c r="H5407" s="4"/>
    </row>
    <row r="5408" spans="8:8" x14ac:dyDescent="0.3">
      <c r="H5408" s="4"/>
    </row>
    <row r="5409" spans="8:8" x14ac:dyDescent="0.3">
      <c r="H5409" s="4"/>
    </row>
    <row r="5410" spans="8:8" x14ac:dyDescent="0.3">
      <c r="H5410" s="4"/>
    </row>
    <row r="5411" spans="8:8" x14ac:dyDescent="0.3">
      <c r="H5411" s="4"/>
    </row>
    <row r="5412" spans="8:8" x14ac:dyDescent="0.3">
      <c r="H5412" s="4"/>
    </row>
    <row r="5413" spans="8:8" x14ac:dyDescent="0.3">
      <c r="H5413" s="4"/>
    </row>
    <row r="5414" spans="8:8" x14ac:dyDescent="0.3">
      <c r="H5414" s="4"/>
    </row>
    <row r="5415" spans="8:8" x14ac:dyDescent="0.3">
      <c r="H5415" s="4"/>
    </row>
    <row r="5416" spans="8:8" x14ac:dyDescent="0.3">
      <c r="H5416" s="4"/>
    </row>
    <row r="5417" spans="8:8" x14ac:dyDescent="0.3">
      <c r="H5417" s="4"/>
    </row>
    <row r="5418" spans="8:8" x14ac:dyDescent="0.3">
      <c r="H5418" s="4"/>
    </row>
    <row r="5419" spans="8:8" x14ac:dyDescent="0.3">
      <c r="H5419" s="4"/>
    </row>
    <row r="5420" spans="8:8" x14ac:dyDescent="0.3">
      <c r="H5420" s="4"/>
    </row>
    <row r="5421" spans="8:8" x14ac:dyDescent="0.3">
      <c r="H5421" s="4"/>
    </row>
    <row r="5422" spans="8:8" x14ac:dyDescent="0.3">
      <c r="H5422" s="4"/>
    </row>
    <row r="5423" spans="8:8" x14ac:dyDescent="0.3">
      <c r="H5423" s="4"/>
    </row>
    <row r="5424" spans="8:8" x14ac:dyDescent="0.3">
      <c r="H5424" s="4"/>
    </row>
    <row r="5425" spans="8:8" x14ac:dyDescent="0.3">
      <c r="H5425" s="4"/>
    </row>
    <row r="5426" spans="8:8" x14ac:dyDescent="0.3">
      <c r="H5426" s="4"/>
    </row>
    <row r="5427" spans="8:8" x14ac:dyDescent="0.3">
      <c r="H5427" s="4"/>
    </row>
    <row r="5428" spans="8:8" x14ac:dyDescent="0.3">
      <c r="H5428" s="4"/>
    </row>
    <row r="5429" spans="8:8" x14ac:dyDescent="0.3">
      <c r="H5429" s="4"/>
    </row>
    <row r="5430" spans="8:8" x14ac:dyDescent="0.3">
      <c r="H5430" s="4"/>
    </row>
    <row r="5431" spans="8:8" x14ac:dyDescent="0.3">
      <c r="H5431" s="4"/>
    </row>
    <row r="5432" spans="8:8" x14ac:dyDescent="0.3">
      <c r="H5432" s="4"/>
    </row>
    <row r="5433" spans="8:8" x14ac:dyDescent="0.3">
      <c r="H5433" s="4"/>
    </row>
    <row r="5434" spans="8:8" x14ac:dyDescent="0.3">
      <c r="H5434" s="4"/>
    </row>
    <row r="5435" spans="8:8" x14ac:dyDescent="0.3">
      <c r="H5435" s="4"/>
    </row>
    <row r="5436" spans="8:8" x14ac:dyDescent="0.3">
      <c r="H5436" s="4"/>
    </row>
    <row r="5437" spans="8:8" x14ac:dyDescent="0.3">
      <c r="H5437" s="4"/>
    </row>
    <row r="5438" spans="8:8" x14ac:dyDescent="0.3">
      <c r="H5438" s="4"/>
    </row>
    <row r="5439" spans="8:8" x14ac:dyDescent="0.3">
      <c r="H5439" s="4"/>
    </row>
    <row r="5440" spans="8:8" x14ac:dyDescent="0.3">
      <c r="H5440" s="4"/>
    </row>
    <row r="5441" spans="8:8" x14ac:dyDescent="0.3">
      <c r="H5441" s="4"/>
    </row>
    <row r="5442" spans="8:8" x14ac:dyDescent="0.3">
      <c r="H5442" s="4"/>
    </row>
    <row r="5443" spans="8:8" x14ac:dyDescent="0.3">
      <c r="H5443" s="4"/>
    </row>
    <row r="5444" spans="8:8" x14ac:dyDescent="0.3">
      <c r="H5444" s="4"/>
    </row>
    <row r="5445" spans="8:8" x14ac:dyDescent="0.3">
      <c r="H5445" s="4"/>
    </row>
    <row r="5446" spans="8:8" x14ac:dyDescent="0.3">
      <c r="H5446" s="4"/>
    </row>
    <row r="5447" spans="8:8" x14ac:dyDescent="0.3">
      <c r="H5447" s="4"/>
    </row>
    <row r="5448" spans="8:8" x14ac:dyDescent="0.3">
      <c r="H5448" s="4"/>
    </row>
    <row r="5449" spans="8:8" x14ac:dyDescent="0.3">
      <c r="H5449" s="4"/>
    </row>
    <row r="5450" spans="8:8" x14ac:dyDescent="0.3">
      <c r="H5450" s="4"/>
    </row>
    <row r="5451" spans="8:8" x14ac:dyDescent="0.3">
      <c r="H5451" s="4"/>
    </row>
    <row r="5452" spans="8:8" x14ac:dyDescent="0.3">
      <c r="H5452" s="4"/>
    </row>
    <row r="5453" spans="8:8" x14ac:dyDescent="0.3">
      <c r="H5453" s="4"/>
    </row>
    <row r="5454" spans="8:8" x14ac:dyDescent="0.3">
      <c r="H5454" s="4"/>
    </row>
    <row r="5455" spans="8:8" x14ac:dyDescent="0.3">
      <c r="H5455" s="4"/>
    </row>
    <row r="5456" spans="8:8" x14ac:dyDescent="0.3">
      <c r="H5456" s="4"/>
    </row>
    <row r="5457" spans="8:8" x14ac:dyDescent="0.3">
      <c r="H5457" s="4"/>
    </row>
    <row r="5458" spans="8:8" x14ac:dyDescent="0.3">
      <c r="H5458" s="4"/>
    </row>
    <row r="5459" spans="8:8" x14ac:dyDescent="0.3">
      <c r="H5459" s="4"/>
    </row>
    <row r="5460" spans="8:8" x14ac:dyDescent="0.3">
      <c r="H5460" s="4"/>
    </row>
    <row r="5461" spans="8:8" x14ac:dyDescent="0.3">
      <c r="H5461" s="4"/>
    </row>
    <row r="5462" spans="8:8" x14ac:dyDescent="0.3">
      <c r="H5462" s="4"/>
    </row>
    <row r="5463" spans="8:8" x14ac:dyDescent="0.3">
      <c r="H5463" s="4"/>
    </row>
    <row r="5464" spans="8:8" x14ac:dyDescent="0.3">
      <c r="H5464" s="4"/>
    </row>
    <row r="5465" spans="8:8" x14ac:dyDescent="0.3">
      <c r="H5465" s="4"/>
    </row>
    <row r="5466" spans="8:8" x14ac:dyDescent="0.3">
      <c r="H5466" s="4"/>
    </row>
    <row r="5467" spans="8:8" x14ac:dyDescent="0.3">
      <c r="H5467" s="4"/>
    </row>
    <row r="5468" spans="8:8" x14ac:dyDescent="0.3">
      <c r="H5468" s="4"/>
    </row>
    <row r="5469" spans="8:8" x14ac:dyDescent="0.3">
      <c r="H5469" s="4"/>
    </row>
    <row r="5470" spans="8:8" x14ac:dyDescent="0.3">
      <c r="H5470" s="4"/>
    </row>
    <row r="5471" spans="8:8" x14ac:dyDescent="0.3">
      <c r="H5471" s="4"/>
    </row>
    <row r="5472" spans="8:8" x14ac:dyDescent="0.3">
      <c r="H5472" s="4"/>
    </row>
    <row r="5473" spans="8:8" x14ac:dyDescent="0.3">
      <c r="H5473" s="4"/>
    </row>
    <row r="5474" spans="8:8" x14ac:dyDescent="0.3">
      <c r="H5474" s="4"/>
    </row>
    <row r="5475" spans="8:8" x14ac:dyDescent="0.3">
      <c r="H5475" s="4"/>
    </row>
    <row r="5476" spans="8:8" x14ac:dyDescent="0.3">
      <c r="H5476" s="4"/>
    </row>
    <row r="5477" spans="8:8" x14ac:dyDescent="0.3">
      <c r="H5477" s="4"/>
    </row>
    <row r="5478" spans="8:8" x14ac:dyDescent="0.3">
      <c r="H5478" s="4"/>
    </row>
    <row r="5479" spans="8:8" x14ac:dyDescent="0.3">
      <c r="H5479" s="4"/>
    </row>
    <row r="5480" spans="8:8" x14ac:dyDescent="0.3">
      <c r="H5480" s="4"/>
    </row>
    <row r="5481" spans="8:8" x14ac:dyDescent="0.3">
      <c r="H5481" s="4"/>
    </row>
    <row r="5482" spans="8:8" x14ac:dyDescent="0.3">
      <c r="H5482" s="4"/>
    </row>
    <row r="5483" spans="8:8" x14ac:dyDescent="0.3">
      <c r="H5483" s="4"/>
    </row>
    <row r="5484" spans="8:8" x14ac:dyDescent="0.3">
      <c r="H5484" s="4"/>
    </row>
    <row r="5485" spans="8:8" x14ac:dyDescent="0.3">
      <c r="H5485" s="4"/>
    </row>
    <row r="5486" spans="8:8" x14ac:dyDescent="0.3">
      <c r="H5486" s="4"/>
    </row>
    <row r="5487" spans="8:8" x14ac:dyDescent="0.3">
      <c r="H5487" s="4"/>
    </row>
    <row r="5488" spans="8:8" x14ac:dyDescent="0.3">
      <c r="H5488" s="4"/>
    </row>
    <row r="5489" spans="8:8" x14ac:dyDescent="0.3">
      <c r="H5489" s="4"/>
    </row>
    <row r="5490" spans="8:8" x14ac:dyDescent="0.3">
      <c r="H5490" s="4"/>
    </row>
    <row r="5491" spans="8:8" x14ac:dyDescent="0.3">
      <c r="H5491" s="4"/>
    </row>
    <row r="5492" spans="8:8" x14ac:dyDescent="0.3">
      <c r="H5492" s="4"/>
    </row>
    <row r="5493" spans="8:8" x14ac:dyDescent="0.3">
      <c r="H5493" s="4"/>
    </row>
    <row r="5494" spans="8:8" x14ac:dyDescent="0.3">
      <c r="H5494" s="4"/>
    </row>
    <row r="5495" spans="8:8" x14ac:dyDescent="0.3">
      <c r="H5495" s="4"/>
    </row>
    <row r="5496" spans="8:8" x14ac:dyDescent="0.3">
      <c r="H5496" s="4"/>
    </row>
    <row r="5497" spans="8:8" x14ac:dyDescent="0.3">
      <c r="H5497" s="4"/>
    </row>
    <row r="5498" spans="8:8" x14ac:dyDescent="0.3">
      <c r="H5498" s="4"/>
    </row>
    <row r="5499" spans="8:8" x14ac:dyDescent="0.3">
      <c r="H5499" s="4"/>
    </row>
    <row r="5500" spans="8:8" x14ac:dyDescent="0.3">
      <c r="H5500" s="4"/>
    </row>
    <row r="5501" spans="8:8" x14ac:dyDescent="0.3">
      <c r="H5501" s="4"/>
    </row>
    <row r="5502" spans="8:8" x14ac:dyDescent="0.3">
      <c r="H5502" s="4"/>
    </row>
    <row r="5503" spans="8:8" x14ac:dyDescent="0.3">
      <c r="H5503" s="4"/>
    </row>
    <row r="5504" spans="8:8" x14ac:dyDescent="0.3">
      <c r="H5504" s="4"/>
    </row>
    <row r="5505" spans="8:8" x14ac:dyDescent="0.3">
      <c r="H5505" s="4"/>
    </row>
    <row r="5506" spans="8:8" x14ac:dyDescent="0.3">
      <c r="H5506" s="4"/>
    </row>
    <row r="5507" spans="8:8" x14ac:dyDescent="0.3">
      <c r="H5507" s="4"/>
    </row>
    <row r="5508" spans="8:8" x14ac:dyDescent="0.3">
      <c r="H5508" s="4"/>
    </row>
    <row r="5509" spans="8:8" x14ac:dyDescent="0.3">
      <c r="H5509" s="4"/>
    </row>
    <row r="5510" spans="8:8" x14ac:dyDescent="0.3">
      <c r="H5510" s="4"/>
    </row>
    <row r="5511" spans="8:8" x14ac:dyDescent="0.3">
      <c r="H5511" s="4"/>
    </row>
    <row r="5512" spans="8:8" x14ac:dyDescent="0.3">
      <c r="H5512" s="4"/>
    </row>
    <row r="5513" spans="8:8" x14ac:dyDescent="0.3">
      <c r="H5513" s="4"/>
    </row>
    <row r="5514" spans="8:8" x14ac:dyDescent="0.3">
      <c r="H5514" s="4"/>
    </row>
    <row r="5515" spans="8:8" x14ac:dyDescent="0.3">
      <c r="H5515" s="4"/>
    </row>
    <row r="5516" spans="8:8" x14ac:dyDescent="0.3">
      <c r="H5516" s="4"/>
    </row>
    <row r="5517" spans="8:8" x14ac:dyDescent="0.3">
      <c r="H5517" s="4"/>
    </row>
    <row r="5518" spans="8:8" x14ac:dyDescent="0.3">
      <c r="H5518" s="4"/>
    </row>
    <row r="5519" spans="8:8" x14ac:dyDescent="0.3">
      <c r="H5519" s="4"/>
    </row>
    <row r="5520" spans="8:8" x14ac:dyDescent="0.3">
      <c r="H5520" s="4"/>
    </row>
    <row r="5521" spans="8:8" x14ac:dyDescent="0.3">
      <c r="H5521" s="4"/>
    </row>
    <row r="5522" spans="8:8" x14ac:dyDescent="0.3">
      <c r="H5522" s="4"/>
    </row>
    <row r="5523" spans="8:8" x14ac:dyDescent="0.3">
      <c r="H5523" s="4"/>
    </row>
    <row r="5524" spans="8:8" x14ac:dyDescent="0.3">
      <c r="H5524" s="4"/>
    </row>
    <row r="5525" spans="8:8" x14ac:dyDescent="0.3">
      <c r="H5525" s="4"/>
    </row>
    <row r="5526" spans="8:8" x14ac:dyDescent="0.3">
      <c r="H5526" s="4"/>
    </row>
    <row r="5527" spans="8:8" x14ac:dyDescent="0.3">
      <c r="H5527" s="4"/>
    </row>
    <row r="5528" spans="8:8" x14ac:dyDescent="0.3">
      <c r="H5528" s="4"/>
    </row>
    <row r="5529" spans="8:8" x14ac:dyDescent="0.3">
      <c r="H5529" s="4"/>
    </row>
    <row r="5530" spans="8:8" x14ac:dyDescent="0.3">
      <c r="H5530" s="4"/>
    </row>
    <row r="5531" spans="8:8" x14ac:dyDescent="0.3">
      <c r="H5531" s="4"/>
    </row>
    <row r="5532" spans="8:8" x14ac:dyDescent="0.3">
      <c r="H5532" s="4"/>
    </row>
    <row r="5533" spans="8:8" x14ac:dyDescent="0.3">
      <c r="H5533" s="4"/>
    </row>
    <row r="5534" spans="8:8" x14ac:dyDescent="0.3">
      <c r="H5534" s="4"/>
    </row>
    <row r="5535" spans="8:8" x14ac:dyDescent="0.3">
      <c r="H5535" s="4"/>
    </row>
    <row r="5536" spans="8:8" x14ac:dyDescent="0.3">
      <c r="H5536" s="4"/>
    </row>
    <row r="5537" spans="8:8" x14ac:dyDescent="0.3">
      <c r="H5537" s="4"/>
    </row>
    <row r="5538" spans="8:8" x14ac:dyDescent="0.3">
      <c r="H5538" s="4"/>
    </row>
    <row r="5539" spans="8:8" x14ac:dyDescent="0.3">
      <c r="H5539" s="4"/>
    </row>
    <row r="5540" spans="8:8" x14ac:dyDescent="0.3">
      <c r="H5540" s="4"/>
    </row>
    <row r="5541" spans="8:8" x14ac:dyDescent="0.3">
      <c r="H5541" s="4"/>
    </row>
    <row r="5542" spans="8:8" x14ac:dyDescent="0.3">
      <c r="H5542" s="4"/>
    </row>
    <row r="5543" spans="8:8" x14ac:dyDescent="0.3">
      <c r="H5543" s="4"/>
    </row>
    <row r="5544" spans="8:8" x14ac:dyDescent="0.3">
      <c r="H5544" s="4"/>
    </row>
    <row r="5545" spans="8:8" x14ac:dyDescent="0.3">
      <c r="H5545" s="4"/>
    </row>
    <row r="5546" spans="8:8" x14ac:dyDescent="0.3">
      <c r="H5546" s="4"/>
    </row>
    <row r="5547" spans="8:8" x14ac:dyDescent="0.3">
      <c r="H5547" s="4"/>
    </row>
    <row r="5548" spans="8:8" x14ac:dyDescent="0.3">
      <c r="H5548" s="4"/>
    </row>
    <row r="5549" spans="8:8" x14ac:dyDescent="0.3">
      <c r="H5549" s="4"/>
    </row>
    <row r="5550" spans="8:8" x14ac:dyDescent="0.3">
      <c r="H5550" s="4"/>
    </row>
    <row r="5551" spans="8:8" x14ac:dyDescent="0.3">
      <c r="H5551" s="4"/>
    </row>
    <row r="5552" spans="8:8" x14ac:dyDescent="0.3">
      <c r="H5552" s="4"/>
    </row>
    <row r="5553" spans="8:8" x14ac:dyDescent="0.3">
      <c r="H5553" s="4"/>
    </row>
    <row r="5554" spans="8:8" x14ac:dyDescent="0.3">
      <c r="H5554" s="4"/>
    </row>
    <row r="5555" spans="8:8" x14ac:dyDescent="0.3">
      <c r="H5555" s="4"/>
    </row>
    <row r="5556" spans="8:8" x14ac:dyDescent="0.3">
      <c r="H5556" s="4"/>
    </row>
    <row r="5557" spans="8:8" x14ac:dyDescent="0.3">
      <c r="H5557" s="4"/>
    </row>
    <row r="5558" spans="8:8" x14ac:dyDescent="0.3">
      <c r="H5558" s="4"/>
    </row>
    <row r="5559" spans="8:8" x14ac:dyDescent="0.3">
      <c r="H5559" s="4"/>
    </row>
    <row r="5560" spans="8:8" x14ac:dyDescent="0.3">
      <c r="H5560" s="4"/>
    </row>
    <row r="5561" spans="8:8" x14ac:dyDescent="0.3">
      <c r="H5561" s="4"/>
    </row>
    <row r="5562" spans="8:8" x14ac:dyDescent="0.3">
      <c r="H5562" s="4"/>
    </row>
    <row r="5563" spans="8:8" x14ac:dyDescent="0.3">
      <c r="H5563" s="4"/>
    </row>
    <row r="5564" spans="8:8" x14ac:dyDescent="0.3">
      <c r="H5564" s="4"/>
    </row>
    <row r="5565" spans="8:8" x14ac:dyDescent="0.3">
      <c r="H5565" s="4"/>
    </row>
    <row r="5566" spans="8:8" x14ac:dyDescent="0.3">
      <c r="H5566" s="4"/>
    </row>
    <row r="5567" spans="8:8" x14ac:dyDescent="0.3">
      <c r="H5567" s="4"/>
    </row>
    <row r="5568" spans="8:8" x14ac:dyDescent="0.3">
      <c r="H5568" s="4"/>
    </row>
    <row r="5569" spans="8:8" x14ac:dyDescent="0.3">
      <c r="H5569" s="4"/>
    </row>
    <row r="5570" spans="8:8" x14ac:dyDescent="0.3">
      <c r="H5570" s="4"/>
    </row>
    <row r="5571" spans="8:8" x14ac:dyDescent="0.3">
      <c r="H5571" s="4"/>
    </row>
    <row r="5572" spans="8:8" x14ac:dyDescent="0.3">
      <c r="H5572" s="4"/>
    </row>
    <row r="5573" spans="8:8" x14ac:dyDescent="0.3">
      <c r="H5573" s="4"/>
    </row>
    <row r="5574" spans="8:8" x14ac:dyDescent="0.3">
      <c r="H5574" s="4"/>
    </row>
    <row r="5575" spans="8:8" x14ac:dyDescent="0.3">
      <c r="H5575" s="4"/>
    </row>
    <row r="5576" spans="8:8" x14ac:dyDescent="0.3">
      <c r="H5576" s="4"/>
    </row>
    <row r="5577" spans="8:8" x14ac:dyDescent="0.3">
      <c r="H5577" s="4"/>
    </row>
    <row r="5578" spans="8:8" x14ac:dyDescent="0.3">
      <c r="H5578" s="4"/>
    </row>
    <row r="5579" spans="8:8" x14ac:dyDescent="0.3">
      <c r="H5579" s="4"/>
    </row>
    <row r="5580" spans="8:8" x14ac:dyDescent="0.3">
      <c r="H5580" s="4"/>
    </row>
    <row r="5581" spans="8:8" x14ac:dyDescent="0.3">
      <c r="H5581" s="4"/>
    </row>
    <row r="5582" spans="8:8" x14ac:dyDescent="0.3">
      <c r="H5582" s="4"/>
    </row>
    <row r="5583" spans="8:8" x14ac:dyDescent="0.3">
      <c r="H5583" s="4"/>
    </row>
    <row r="5584" spans="8:8" x14ac:dyDescent="0.3">
      <c r="H5584" s="4"/>
    </row>
    <row r="5585" spans="8:8" x14ac:dyDescent="0.3">
      <c r="H5585" s="4"/>
    </row>
    <row r="5586" spans="8:8" x14ac:dyDescent="0.3">
      <c r="H5586" s="4"/>
    </row>
    <row r="5587" spans="8:8" x14ac:dyDescent="0.3">
      <c r="H5587" s="4"/>
    </row>
    <row r="5588" spans="8:8" x14ac:dyDescent="0.3">
      <c r="H5588" s="4"/>
    </row>
    <row r="5589" spans="8:8" x14ac:dyDescent="0.3">
      <c r="H5589" s="4"/>
    </row>
    <row r="5590" spans="8:8" x14ac:dyDescent="0.3">
      <c r="H5590" s="4"/>
    </row>
    <row r="5591" spans="8:8" x14ac:dyDescent="0.3">
      <c r="H5591" s="4"/>
    </row>
    <row r="5592" spans="8:8" x14ac:dyDescent="0.3">
      <c r="H5592" s="4"/>
    </row>
    <row r="5593" spans="8:8" x14ac:dyDescent="0.3">
      <c r="H5593" s="4"/>
    </row>
    <row r="5594" spans="8:8" x14ac:dyDescent="0.3">
      <c r="H5594" s="4"/>
    </row>
    <row r="5595" spans="8:8" x14ac:dyDescent="0.3">
      <c r="H5595" s="4"/>
    </row>
    <row r="5596" spans="8:8" x14ac:dyDescent="0.3">
      <c r="H5596" s="4"/>
    </row>
    <row r="5597" spans="8:8" x14ac:dyDescent="0.3">
      <c r="H5597" s="4"/>
    </row>
    <row r="5598" spans="8:8" x14ac:dyDescent="0.3">
      <c r="H5598" s="4"/>
    </row>
    <row r="5599" spans="8:8" x14ac:dyDescent="0.3">
      <c r="H5599" s="4"/>
    </row>
    <row r="5600" spans="8:8" x14ac:dyDescent="0.3">
      <c r="H5600" s="4"/>
    </row>
    <row r="5601" spans="8:8" x14ac:dyDescent="0.3">
      <c r="H5601" s="4"/>
    </row>
    <row r="5602" spans="8:8" x14ac:dyDescent="0.3">
      <c r="H5602" s="4"/>
    </row>
    <row r="5603" spans="8:8" x14ac:dyDescent="0.3">
      <c r="H5603" s="4"/>
    </row>
    <row r="5604" spans="8:8" x14ac:dyDescent="0.3">
      <c r="H5604" s="4"/>
    </row>
    <row r="5605" spans="8:8" x14ac:dyDescent="0.3">
      <c r="H5605" s="4"/>
    </row>
    <row r="5606" spans="8:8" x14ac:dyDescent="0.3">
      <c r="H5606" s="4"/>
    </row>
    <row r="5607" spans="8:8" x14ac:dyDescent="0.3">
      <c r="H5607" s="4"/>
    </row>
    <row r="5608" spans="8:8" x14ac:dyDescent="0.3">
      <c r="H5608" s="4"/>
    </row>
    <row r="5609" spans="8:8" x14ac:dyDescent="0.3">
      <c r="H5609" s="4"/>
    </row>
    <row r="5610" spans="8:8" x14ac:dyDescent="0.3">
      <c r="H5610" s="4"/>
    </row>
    <row r="5611" spans="8:8" x14ac:dyDescent="0.3">
      <c r="H5611" s="4"/>
    </row>
    <row r="5612" spans="8:8" x14ac:dyDescent="0.3">
      <c r="H5612" s="4"/>
    </row>
    <row r="5613" spans="8:8" x14ac:dyDescent="0.3">
      <c r="H5613" s="4"/>
    </row>
    <row r="5614" spans="8:8" x14ac:dyDescent="0.3">
      <c r="H5614" s="4"/>
    </row>
    <row r="5615" spans="8:8" x14ac:dyDescent="0.3">
      <c r="H5615" s="4"/>
    </row>
    <row r="5616" spans="8:8" x14ac:dyDescent="0.3">
      <c r="H5616" s="4"/>
    </row>
    <row r="5617" spans="8:8" x14ac:dyDescent="0.3">
      <c r="H5617" s="4"/>
    </row>
    <row r="5618" spans="8:8" x14ac:dyDescent="0.3">
      <c r="H5618" s="4"/>
    </row>
    <row r="5619" spans="8:8" x14ac:dyDescent="0.3">
      <c r="H5619" s="4"/>
    </row>
    <row r="5620" spans="8:8" x14ac:dyDescent="0.3">
      <c r="H5620" s="4"/>
    </row>
    <row r="5621" spans="8:8" x14ac:dyDescent="0.3">
      <c r="H5621" s="4"/>
    </row>
    <row r="5622" spans="8:8" x14ac:dyDescent="0.3">
      <c r="H5622" s="4"/>
    </row>
    <row r="5623" spans="8:8" x14ac:dyDescent="0.3">
      <c r="H5623" s="4"/>
    </row>
    <row r="5624" spans="8:8" x14ac:dyDescent="0.3">
      <c r="H5624" s="4"/>
    </row>
    <row r="5625" spans="8:8" x14ac:dyDescent="0.3">
      <c r="H5625" s="4"/>
    </row>
    <row r="5626" spans="8:8" x14ac:dyDescent="0.3">
      <c r="H5626" s="4"/>
    </row>
    <row r="5627" spans="8:8" x14ac:dyDescent="0.3">
      <c r="H5627" s="4"/>
    </row>
    <row r="5628" spans="8:8" x14ac:dyDescent="0.3">
      <c r="H5628" s="4"/>
    </row>
    <row r="5629" spans="8:8" x14ac:dyDescent="0.3">
      <c r="H5629" s="4"/>
    </row>
    <row r="5630" spans="8:8" x14ac:dyDescent="0.3">
      <c r="H5630" s="4"/>
    </row>
    <row r="5631" spans="8:8" x14ac:dyDescent="0.3">
      <c r="H5631" s="4"/>
    </row>
    <row r="5632" spans="8:8" x14ac:dyDescent="0.3">
      <c r="H5632" s="4"/>
    </row>
    <row r="5633" spans="8:8" x14ac:dyDescent="0.3">
      <c r="H5633" s="4"/>
    </row>
    <row r="5634" spans="8:8" x14ac:dyDescent="0.3">
      <c r="H5634" s="4"/>
    </row>
    <row r="5635" spans="8:8" x14ac:dyDescent="0.3">
      <c r="H5635" s="4"/>
    </row>
    <row r="5636" spans="8:8" x14ac:dyDescent="0.3">
      <c r="H5636" s="4"/>
    </row>
    <row r="5637" spans="8:8" x14ac:dyDescent="0.3">
      <c r="H5637" s="4"/>
    </row>
    <row r="5638" spans="8:8" x14ac:dyDescent="0.3">
      <c r="H5638" s="4"/>
    </row>
    <row r="5639" spans="8:8" x14ac:dyDescent="0.3">
      <c r="H5639" s="4"/>
    </row>
    <row r="5640" spans="8:8" x14ac:dyDescent="0.3">
      <c r="H5640" s="4"/>
    </row>
    <row r="5641" spans="8:8" x14ac:dyDescent="0.3">
      <c r="H5641" s="4"/>
    </row>
    <row r="5642" spans="8:8" x14ac:dyDescent="0.3">
      <c r="H5642" s="4"/>
    </row>
    <row r="5643" spans="8:8" x14ac:dyDescent="0.3">
      <c r="H5643" s="4"/>
    </row>
    <row r="5644" spans="8:8" x14ac:dyDescent="0.3">
      <c r="H5644" s="4"/>
    </row>
    <row r="5645" spans="8:8" x14ac:dyDescent="0.3">
      <c r="H5645" s="4"/>
    </row>
    <row r="5646" spans="8:8" x14ac:dyDescent="0.3">
      <c r="H5646" s="4"/>
    </row>
    <row r="5647" spans="8:8" x14ac:dyDescent="0.3">
      <c r="H5647" s="4"/>
    </row>
    <row r="5648" spans="8:8" x14ac:dyDescent="0.3">
      <c r="H5648" s="4"/>
    </row>
    <row r="5649" spans="8:8" x14ac:dyDescent="0.3">
      <c r="H5649" s="4"/>
    </row>
    <row r="5650" spans="8:8" x14ac:dyDescent="0.3">
      <c r="H5650" s="4"/>
    </row>
    <row r="5651" spans="8:8" x14ac:dyDescent="0.3">
      <c r="H5651" s="4"/>
    </row>
    <row r="5652" spans="8:8" x14ac:dyDescent="0.3">
      <c r="H5652" s="4"/>
    </row>
    <row r="5653" spans="8:8" x14ac:dyDescent="0.3">
      <c r="H5653" s="4"/>
    </row>
    <row r="5654" spans="8:8" x14ac:dyDescent="0.3">
      <c r="H5654" s="4"/>
    </row>
    <row r="5655" spans="8:8" x14ac:dyDescent="0.3">
      <c r="H5655" s="4"/>
    </row>
    <row r="5656" spans="8:8" x14ac:dyDescent="0.3">
      <c r="H5656" s="4"/>
    </row>
    <row r="5657" spans="8:8" x14ac:dyDescent="0.3">
      <c r="H5657" s="4"/>
    </row>
    <row r="5658" spans="8:8" x14ac:dyDescent="0.3">
      <c r="H5658" s="4"/>
    </row>
    <row r="5659" spans="8:8" x14ac:dyDescent="0.3">
      <c r="H5659" s="4"/>
    </row>
    <row r="5660" spans="8:8" x14ac:dyDescent="0.3">
      <c r="H5660" s="4"/>
    </row>
    <row r="5661" spans="8:8" x14ac:dyDescent="0.3">
      <c r="H5661" s="4"/>
    </row>
    <row r="5662" spans="8:8" x14ac:dyDescent="0.3">
      <c r="H5662" s="4"/>
    </row>
    <row r="5663" spans="8:8" x14ac:dyDescent="0.3">
      <c r="H5663" s="4"/>
    </row>
    <row r="5664" spans="8:8" x14ac:dyDescent="0.3">
      <c r="H5664" s="4"/>
    </row>
    <row r="5665" spans="8:8" x14ac:dyDescent="0.3">
      <c r="H5665" s="4"/>
    </row>
    <row r="5666" spans="8:8" x14ac:dyDescent="0.3">
      <c r="H5666" s="4"/>
    </row>
    <row r="5667" spans="8:8" x14ac:dyDescent="0.3">
      <c r="H5667" s="4"/>
    </row>
    <row r="5668" spans="8:8" x14ac:dyDescent="0.3">
      <c r="H5668" s="4"/>
    </row>
    <row r="5669" spans="8:8" x14ac:dyDescent="0.3">
      <c r="H5669" s="4"/>
    </row>
    <row r="5670" spans="8:8" x14ac:dyDescent="0.3">
      <c r="H5670" s="4"/>
    </row>
    <row r="5671" spans="8:8" x14ac:dyDescent="0.3">
      <c r="H5671" s="4"/>
    </row>
    <row r="5672" spans="8:8" x14ac:dyDescent="0.3">
      <c r="H5672" s="4"/>
    </row>
    <row r="5673" spans="8:8" x14ac:dyDescent="0.3">
      <c r="H5673" s="4"/>
    </row>
    <row r="5674" spans="8:8" x14ac:dyDescent="0.3">
      <c r="H5674" s="4"/>
    </row>
    <row r="5675" spans="8:8" x14ac:dyDescent="0.3">
      <c r="H5675" s="4"/>
    </row>
    <row r="5676" spans="8:8" x14ac:dyDescent="0.3">
      <c r="H5676" s="4"/>
    </row>
    <row r="5677" spans="8:8" x14ac:dyDescent="0.3">
      <c r="H5677" s="4"/>
    </row>
    <row r="5678" spans="8:8" x14ac:dyDescent="0.3">
      <c r="H5678" s="4"/>
    </row>
    <row r="5679" spans="8:8" x14ac:dyDescent="0.3">
      <c r="H5679" s="4"/>
    </row>
    <row r="5680" spans="8:8" x14ac:dyDescent="0.3">
      <c r="H5680" s="4"/>
    </row>
    <row r="5681" spans="8:8" x14ac:dyDescent="0.3">
      <c r="H5681" s="4"/>
    </row>
    <row r="5682" spans="8:8" x14ac:dyDescent="0.3">
      <c r="H5682" s="4"/>
    </row>
    <row r="5683" spans="8:8" x14ac:dyDescent="0.3">
      <c r="H5683" s="4"/>
    </row>
    <row r="5684" spans="8:8" x14ac:dyDescent="0.3">
      <c r="H5684" s="4"/>
    </row>
    <row r="5685" spans="8:8" x14ac:dyDescent="0.3">
      <c r="H5685" s="4"/>
    </row>
    <row r="5686" spans="8:8" x14ac:dyDescent="0.3">
      <c r="H5686" s="4"/>
    </row>
    <row r="5687" spans="8:8" x14ac:dyDescent="0.3">
      <c r="H5687" s="4"/>
    </row>
    <row r="5688" spans="8:8" x14ac:dyDescent="0.3">
      <c r="H5688" s="4"/>
    </row>
    <row r="5689" spans="8:8" x14ac:dyDescent="0.3">
      <c r="H5689" s="4"/>
    </row>
    <row r="5690" spans="8:8" x14ac:dyDescent="0.3">
      <c r="H5690" s="4"/>
    </row>
    <row r="5691" spans="8:8" x14ac:dyDescent="0.3">
      <c r="H5691" s="4"/>
    </row>
    <row r="5692" spans="8:8" x14ac:dyDescent="0.3">
      <c r="H5692" s="4"/>
    </row>
    <row r="5693" spans="8:8" x14ac:dyDescent="0.3">
      <c r="H5693" s="4"/>
    </row>
    <row r="5694" spans="8:8" x14ac:dyDescent="0.3">
      <c r="H5694" s="4"/>
    </row>
    <row r="5695" spans="8:8" x14ac:dyDescent="0.3">
      <c r="H5695" s="4"/>
    </row>
    <row r="5696" spans="8:8" x14ac:dyDescent="0.3">
      <c r="H5696" s="4"/>
    </row>
    <row r="5697" spans="8:8" x14ac:dyDescent="0.3">
      <c r="H5697" s="4"/>
    </row>
    <row r="5698" spans="8:8" x14ac:dyDescent="0.3">
      <c r="H5698" s="4"/>
    </row>
    <row r="5699" spans="8:8" x14ac:dyDescent="0.3">
      <c r="H5699" s="4"/>
    </row>
    <row r="5700" spans="8:8" x14ac:dyDescent="0.3">
      <c r="H5700" s="4"/>
    </row>
    <row r="5701" spans="8:8" x14ac:dyDescent="0.3">
      <c r="H5701" s="4"/>
    </row>
    <row r="5702" spans="8:8" x14ac:dyDescent="0.3">
      <c r="H5702" s="4"/>
    </row>
    <row r="5703" spans="8:8" x14ac:dyDescent="0.3">
      <c r="H5703" s="4"/>
    </row>
    <row r="5704" spans="8:8" x14ac:dyDescent="0.3">
      <c r="H5704" s="4"/>
    </row>
    <row r="5705" spans="8:8" x14ac:dyDescent="0.3">
      <c r="H5705" s="4"/>
    </row>
    <row r="5706" spans="8:8" x14ac:dyDescent="0.3">
      <c r="H5706" s="4"/>
    </row>
    <row r="5707" spans="8:8" x14ac:dyDescent="0.3">
      <c r="H5707" s="4"/>
    </row>
    <row r="5708" spans="8:8" x14ac:dyDescent="0.3">
      <c r="H5708" s="4"/>
    </row>
    <row r="5709" spans="8:8" x14ac:dyDescent="0.3">
      <c r="H5709" s="4"/>
    </row>
    <row r="5710" spans="8:8" x14ac:dyDescent="0.3">
      <c r="H5710" s="4"/>
    </row>
    <row r="5711" spans="8:8" x14ac:dyDescent="0.3">
      <c r="H5711" s="4"/>
    </row>
    <row r="5712" spans="8:8" x14ac:dyDescent="0.3">
      <c r="H5712" s="4"/>
    </row>
    <row r="5713" spans="8:8" x14ac:dyDescent="0.3">
      <c r="H5713" s="4"/>
    </row>
    <row r="5714" spans="8:8" x14ac:dyDescent="0.3">
      <c r="H5714" s="4"/>
    </row>
    <row r="5715" spans="8:8" x14ac:dyDescent="0.3">
      <c r="H5715" s="4"/>
    </row>
    <row r="5716" spans="8:8" x14ac:dyDescent="0.3">
      <c r="H5716" s="4"/>
    </row>
    <row r="5717" spans="8:8" x14ac:dyDescent="0.3">
      <c r="H5717" s="4"/>
    </row>
    <row r="5718" spans="8:8" x14ac:dyDescent="0.3">
      <c r="H5718" s="4"/>
    </row>
    <row r="5719" spans="8:8" x14ac:dyDescent="0.3">
      <c r="H5719" s="4"/>
    </row>
    <row r="5720" spans="8:8" x14ac:dyDescent="0.3">
      <c r="H5720" s="4"/>
    </row>
    <row r="5721" spans="8:8" x14ac:dyDescent="0.3">
      <c r="H5721" s="4"/>
    </row>
    <row r="5722" spans="8:8" x14ac:dyDescent="0.3">
      <c r="H5722" s="4"/>
    </row>
    <row r="5723" spans="8:8" x14ac:dyDescent="0.3">
      <c r="H5723" s="4"/>
    </row>
    <row r="5724" spans="8:8" x14ac:dyDescent="0.3">
      <c r="H5724" s="4"/>
    </row>
    <row r="5725" spans="8:8" x14ac:dyDescent="0.3">
      <c r="H5725" s="4"/>
    </row>
    <row r="5726" spans="8:8" x14ac:dyDescent="0.3">
      <c r="H5726" s="4"/>
    </row>
    <row r="5727" spans="8:8" x14ac:dyDescent="0.3">
      <c r="H5727" s="4"/>
    </row>
    <row r="5728" spans="8:8" x14ac:dyDescent="0.3">
      <c r="H5728" s="4"/>
    </row>
    <row r="5729" spans="8:8" x14ac:dyDescent="0.3">
      <c r="H5729" s="4"/>
    </row>
    <row r="5730" spans="8:8" x14ac:dyDescent="0.3">
      <c r="H5730" s="4"/>
    </row>
    <row r="5731" spans="8:8" x14ac:dyDescent="0.3">
      <c r="H5731" s="4"/>
    </row>
    <row r="5732" spans="8:8" x14ac:dyDescent="0.3">
      <c r="H5732" s="4"/>
    </row>
    <row r="5733" spans="8:8" x14ac:dyDescent="0.3">
      <c r="H5733" s="4"/>
    </row>
    <row r="5734" spans="8:8" x14ac:dyDescent="0.3">
      <c r="H5734" s="4"/>
    </row>
    <row r="5735" spans="8:8" x14ac:dyDescent="0.3">
      <c r="H5735" s="4"/>
    </row>
    <row r="5736" spans="8:8" x14ac:dyDescent="0.3">
      <c r="H5736" s="4"/>
    </row>
    <row r="5737" spans="8:8" x14ac:dyDescent="0.3">
      <c r="H5737" s="4"/>
    </row>
    <row r="5738" spans="8:8" x14ac:dyDescent="0.3">
      <c r="H5738" s="4"/>
    </row>
    <row r="5739" spans="8:8" x14ac:dyDescent="0.3">
      <c r="H5739" s="4"/>
    </row>
    <row r="5740" spans="8:8" x14ac:dyDescent="0.3">
      <c r="H5740" s="4"/>
    </row>
    <row r="5741" spans="8:8" x14ac:dyDescent="0.3">
      <c r="H5741" s="4"/>
    </row>
    <row r="5742" spans="8:8" x14ac:dyDescent="0.3">
      <c r="H5742" s="4"/>
    </row>
    <row r="5743" spans="8:8" x14ac:dyDescent="0.3">
      <c r="H5743" s="4"/>
    </row>
    <row r="5744" spans="8:8" x14ac:dyDescent="0.3">
      <c r="H5744" s="4"/>
    </row>
    <row r="5745" spans="8:8" x14ac:dyDescent="0.3">
      <c r="H5745" s="4"/>
    </row>
    <row r="5746" spans="8:8" x14ac:dyDescent="0.3">
      <c r="H5746" s="4"/>
    </row>
    <row r="5747" spans="8:8" x14ac:dyDescent="0.3">
      <c r="H5747" s="4"/>
    </row>
    <row r="5748" spans="8:8" x14ac:dyDescent="0.3">
      <c r="H5748" s="4"/>
    </row>
    <row r="5749" spans="8:8" x14ac:dyDescent="0.3">
      <c r="H5749" s="4"/>
    </row>
    <row r="5750" spans="8:8" x14ac:dyDescent="0.3">
      <c r="H5750" s="4"/>
    </row>
    <row r="5751" spans="8:8" x14ac:dyDescent="0.3">
      <c r="H5751" s="4"/>
    </row>
    <row r="5752" spans="8:8" x14ac:dyDescent="0.3">
      <c r="H5752" s="4"/>
    </row>
    <row r="5753" spans="8:8" x14ac:dyDescent="0.3">
      <c r="H5753" s="4"/>
    </row>
    <row r="5754" spans="8:8" x14ac:dyDescent="0.3">
      <c r="H5754" s="4"/>
    </row>
    <row r="5755" spans="8:8" x14ac:dyDescent="0.3">
      <c r="H5755" s="4"/>
    </row>
    <row r="5756" spans="8:8" x14ac:dyDescent="0.3">
      <c r="H5756" s="4"/>
    </row>
    <row r="5757" spans="8:8" x14ac:dyDescent="0.3">
      <c r="H5757" s="4"/>
    </row>
    <row r="5758" spans="8:8" x14ac:dyDescent="0.3">
      <c r="H5758" s="4"/>
    </row>
    <row r="5759" spans="8:8" x14ac:dyDescent="0.3">
      <c r="H5759" s="4"/>
    </row>
    <row r="5760" spans="8:8" x14ac:dyDescent="0.3">
      <c r="H5760" s="4"/>
    </row>
    <row r="5761" spans="8:8" x14ac:dyDescent="0.3">
      <c r="H5761" s="4"/>
    </row>
    <row r="5762" spans="8:8" x14ac:dyDescent="0.3">
      <c r="H5762" s="4"/>
    </row>
    <row r="5763" spans="8:8" x14ac:dyDescent="0.3">
      <c r="H5763" s="4"/>
    </row>
    <row r="5764" spans="8:8" x14ac:dyDescent="0.3">
      <c r="H5764" s="4"/>
    </row>
    <row r="5765" spans="8:8" x14ac:dyDescent="0.3">
      <c r="H5765" s="4"/>
    </row>
    <row r="5766" spans="8:8" x14ac:dyDescent="0.3">
      <c r="H5766" s="4"/>
    </row>
    <row r="5767" spans="8:8" x14ac:dyDescent="0.3">
      <c r="H5767" s="4"/>
    </row>
    <row r="5768" spans="8:8" x14ac:dyDescent="0.3">
      <c r="H5768" s="4"/>
    </row>
    <row r="5769" spans="8:8" x14ac:dyDescent="0.3">
      <c r="H5769" s="4"/>
    </row>
    <row r="5770" spans="8:8" x14ac:dyDescent="0.3">
      <c r="H5770" s="4"/>
    </row>
    <row r="5771" spans="8:8" x14ac:dyDescent="0.3">
      <c r="H5771" s="4"/>
    </row>
    <row r="5772" spans="8:8" x14ac:dyDescent="0.3">
      <c r="H5772" s="4"/>
    </row>
    <row r="5773" spans="8:8" x14ac:dyDescent="0.3">
      <c r="H5773" s="4"/>
    </row>
    <row r="5774" spans="8:8" x14ac:dyDescent="0.3">
      <c r="H5774" s="4"/>
    </row>
    <row r="5775" spans="8:8" x14ac:dyDescent="0.3">
      <c r="H5775" s="4"/>
    </row>
    <row r="5776" spans="8:8" x14ac:dyDescent="0.3">
      <c r="H5776" s="4"/>
    </row>
    <row r="5777" spans="8:8" x14ac:dyDescent="0.3">
      <c r="H5777" s="4"/>
    </row>
    <row r="5778" spans="8:8" x14ac:dyDescent="0.3">
      <c r="H5778" s="4"/>
    </row>
    <row r="5779" spans="8:8" x14ac:dyDescent="0.3">
      <c r="H5779" s="4"/>
    </row>
    <row r="5780" spans="8:8" x14ac:dyDescent="0.3">
      <c r="H5780" s="4"/>
    </row>
    <row r="5781" spans="8:8" x14ac:dyDescent="0.3">
      <c r="H5781" s="4"/>
    </row>
    <row r="5782" spans="8:8" x14ac:dyDescent="0.3">
      <c r="H5782" s="4"/>
    </row>
    <row r="5783" spans="8:8" x14ac:dyDescent="0.3">
      <c r="H5783" s="4"/>
    </row>
    <row r="5784" spans="8:8" x14ac:dyDescent="0.3">
      <c r="H5784" s="4"/>
    </row>
    <row r="5785" spans="8:8" x14ac:dyDescent="0.3">
      <c r="H5785" s="4"/>
    </row>
    <row r="5786" spans="8:8" x14ac:dyDescent="0.3">
      <c r="H5786" s="4"/>
    </row>
    <row r="5787" spans="8:8" x14ac:dyDescent="0.3">
      <c r="H5787" s="4"/>
    </row>
    <row r="5788" spans="8:8" x14ac:dyDescent="0.3">
      <c r="H5788" s="4"/>
    </row>
    <row r="5789" spans="8:8" x14ac:dyDescent="0.3">
      <c r="H5789" s="4"/>
    </row>
    <row r="5790" spans="8:8" x14ac:dyDescent="0.3">
      <c r="H5790" s="4"/>
    </row>
    <row r="5791" spans="8:8" x14ac:dyDescent="0.3">
      <c r="H5791" s="4"/>
    </row>
    <row r="5792" spans="8:8" x14ac:dyDescent="0.3">
      <c r="H5792" s="4"/>
    </row>
    <row r="5793" spans="8:8" x14ac:dyDescent="0.3">
      <c r="H5793" s="4"/>
    </row>
    <row r="5794" spans="8:8" x14ac:dyDescent="0.3">
      <c r="H5794" s="4"/>
    </row>
    <row r="5795" spans="8:8" x14ac:dyDescent="0.3">
      <c r="H5795" s="4"/>
    </row>
    <row r="5796" spans="8:8" x14ac:dyDescent="0.3">
      <c r="H5796" s="4"/>
    </row>
    <row r="5797" spans="8:8" x14ac:dyDescent="0.3">
      <c r="H5797" s="4"/>
    </row>
    <row r="5798" spans="8:8" x14ac:dyDescent="0.3">
      <c r="H5798" s="4"/>
    </row>
    <row r="5799" spans="8:8" x14ac:dyDescent="0.3">
      <c r="H5799" s="4"/>
    </row>
    <row r="5800" spans="8:8" x14ac:dyDescent="0.3">
      <c r="H5800" s="4"/>
    </row>
    <row r="5801" spans="8:8" x14ac:dyDescent="0.3">
      <c r="H5801" s="4"/>
    </row>
    <row r="5802" spans="8:8" x14ac:dyDescent="0.3">
      <c r="H5802" s="4"/>
    </row>
    <row r="5803" spans="8:8" x14ac:dyDescent="0.3">
      <c r="H5803" s="4"/>
    </row>
    <row r="5804" spans="8:8" x14ac:dyDescent="0.3">
      <c r="H5804" s="4"/>
    </row>
    <row r="5805" spans="8:8" x14ac:dyDescent="0.3">
      <c r="H5805" s="4"/>
    </row>
    <row r="5806" spans="8:8" x14ac:dyDescent="0.3">
      <c r="H5806" s="4"/>
    </row>
    <row r="5807" spans="8:8" x14ac:dyDescent="0.3">
      <c r="H5807" s="4"/>
    </row>
    <row r="5808" spans="8:8" x14ac:dyDescent="0.3">
      <c r="H5808" s="4"/>
    </row>
    <row r="5809" spans="8:8" x14ac:dyDescent="0.3">
      <c r="H5809" s="4"/>
    </row>
    <row r="5810" spans="8:8" x14ac:dyDescent="0.3">
      <c r="H5810" s="4"/>
    </row>
    <row r="5811" spans="8:8" x14ac:dyDescent="0.3">
      <c r="H5811" s="4"/>
    </row>
    <row r="5812" spans="8:8" x14ac:dyDescent="0.3">
      <c r="H5812" s="4"/>
    </row>
    <row r="5813" spans="8:8" x14ac:dyDescent="0.3">
      <c r="H5813" s="4"/>
    </row>
    <row r="5814" spans="8:8" x14ac:dyDescent="0.3">
      <c r="H5814" s="4"/>
    </row>
    <row r="5815" spans="8:8" x14ac:dyDescent="0.3">
      <c r="H5815" s="4"/>
    </row>
    <row r="5816" spans="8:8" x14ac:dyDescent="0.3">
      <c r="H5816" s="4"/>
    </row>
    <row r="5817" spans="8:8" x14ac:dyDescent="0.3">
      <c r="H5817" s="4"/>
    </row>
    <row r="5818" spans="8:8" x14ac:dyDescent="0.3">
      <c r="H5818" s="4"/>
    </row>
    <row r="5819" spans="8:8" x14ac:dyDescent="0.3">
      <c r="H5819" s="4"/>
    </row>
    <row r="5820" spans="8:8" x14ac:dyDescent="0.3">
      <c r="H5820" s="4"/>
    </row>
    <row r="5821" spans="8:8" x14ac:dyDescent="0.3">
      <c r="H5821" s="4"/>
    </row>
    <row r="5822" spans="8:8" x14ac:dyDescent="0.3">
      <c r="H5822" s="4"/>
    </row>
    <row r="5823" spans="8:8" x14ac:dyDescent="0.3">
      <c r="H5823" s="4"/>
    </row>
    <row r="5824" spans="8:8" x14ac:dyDescent="0.3">
      <c r="H5824" s="4"/>
    </row>
    <row r="5825" spans="8:8" x14ac:dyDescent="0.3">
      <c r="H5825" s="4"/>
    </row>
    <row r="5826" spans="8:8" x14ac:dyDescent="0.3">
      <c r="H5826" s="4"/>
    </row>
    <row r="5827" spans="8:8" x14ac:dyDescent="0.3">
      <c r="H5827" s="4"/>
    </row>
    <row r="5828" spans="8:8" x14ac:dyDescent="0.3">
      <c r="H5828" s="4"/>
    </row>
    <row r="5829" spans="8:8" x14ac:dyDescent="0.3">
      <c r="H5829" s="4"/>
    </row>
    <row r="5830" spans="8:8" x14ac:dyDescent="0.3">
      <c r="H5830" s="4"/>
    </row>
    <row r="5831" spans="8:8" x14ac:dyDescent="0.3">
      <c r="H5831" s="4"/>
    </row>
    <row r="5832" spans="8:8" x14ac:dyDescent="0.3">
      <c r="H5832" s="4"/>
    </row>
    <row r="5833" spans="8:8" x14ac:dyDescent="0.3">
      <c r="H5833" s="4"/>
    </row>
    <row r="5834" spans="8:8" x14ac:dyDescent="0.3">
      <c r="H5834" s="4"/>
    </row>
    <row r="5835" spans="8:8" x14ac:dyDescent="0.3">
      <c r="H5835" s="4"/>
    </row>
    <row r="5836" spans="8:8" x14ac:dyDescent="0.3">
      <c r="H5836" s="4"/>
    </row>
    <row r="5837" spans="8:8" x14ac:dyDescent="0.3">
      <c r="H5837" s="4"/>
    </row>
    <row r="5838" spans="8:8" x14ac:dyDescent="0.3">
      <c r="H5838" s="4"/>
    </row>
    <row r="5839" spans="8:8" x14ac:dyDescent="0.3">
      <c r="H5839" s="4"/>
    </row>
    <row r="5840" spans="8:8" x14ac:dyDescent="0.3">
      <c r="H5840" s="4"/>
    </row>
    <row r="5841" spans="8:8" x14ac:dyDescent="0.3">
      <c r="H5841" s="4"/>
    </row>
    <row r="5842" spans="8:8" x14ac:dyDescent="0.3">
      <c r="H5842" s="4"/>
    </row>
    <row r="5843" spans="8:8" x14ac:dyDescent="0.3">
      <c r="H5843" s="4"/>
    </row>
    <row r="5844" spans="8:8" x14ac:dyDescent="0.3">
      <c r="H5844" s="4"/>
    </row>
    <row r="5845" spans="8:8" x14ac:dyDescent="0.3">
      <c r="H5845" s="4"/>
    </row>
    <row r="5846" spans="8:8" x14ac:dyDescent="0.3">
      <c r="H5846" s="4"/>
    </row>
    <row r="5847" spans="8:8" x14ac:dyDescent="0.3">
      <c r="H5847" s="4"/>
    </row>
    <row r="5848" spans="8:8" x14ac:dyDescent="0.3">
      <c r="H5848" s="4"/>
    </row>
    <row r="5849" spans="8:8" x14ac:dyDescent="0.3">
      <c r="H5849" s="4"/>
    </row>
    <row r="5850" spans="8:8" x14ac:dyDescent="0.3">
      <c r="H5850" s="4"/>
    </row>
    <row r="5851" spans="8:8" x14ac:dyDescent="0.3">
      <c r="H5851" s="4"/>
    </row>
    <row r="5852" spans="8:8" x14ac:dyDescent="0.3">
      <c r="H5852" s="4"/>
    </row>
    <row r="5853" spans="8:8" x14ac:dyDescent="0.3">
      <c r="H5853" s="4"/>
    </row>
    <row r="5854" spans="8:8" x14ac:dyDescent="0.3">
      <c r="H5854" s="4"/>
    </row>
    <row r="5855" spans="8:8" x14ac:dyDescent="0.3">
      <c r="H5855" s="4"/>
    </row>
    <row r="5856" spans="8:8" x14ac:dyDescent="0.3">
      <c r="H5856" s="4"/>
    </row>
    <row r="5857" spans="8:8" x14ac:dyDescent="0.3">
      <c r="H5857" s="4"/>
    </row>
    <row r="5858" spans="8:8" x14ac:dyDescent="0.3">
      <c r="H5858" s="4"/>
    </row>
    <row r="5859" spans="8:8" x14ac:dyDescent="0.3">
      <c r="H5859" s="4"/>
    </row>
    <row r="5860" spans="8:8" x14ac:dyDescent="0.3">
      <c r="H5860" s="4"/>
    </row>
    <row r="5861" spans="8:8" x14ac:dyDescent="0.3">
      <c r="H5861" s="4"/>
    </row>
    <row r="5862" spans="8:8" x14ac:dyDescent="0.3">
      <c r="H5862" s="4"/>
    </row>
    <row r="5863" spans="8:8" x14ac:dyDescent="0.3">
      <c r="H5863" s="4"/>
    </row>
    <row r="5864" spans="8:8" x14ac:dyDescent="0.3">
      <c r="H5864" s="4"/>
    </row>
    <row r="5865" spans="8:8" x14ac:dyDescent="0.3">
      <c r="H5865" s="4"/>
    </row>
    <row r="5866" spans="8:8" x14ac:dyDescent="0.3">
      <c r="H5866" s="4"/>
    </row>
    <row r="5867" spans="8:8" x14ac:dyDescent="0.3">
      <c r="H5867" s="4"/>
    </row>
    <row r="5868" spans="8:8" x14ac:dyDescent="0.3">
      <c r="H5868" s="4"/>
    </row>
    <row r="5869" spans="8:8" x14ac:dyDescent="0.3">
      <c r="H5869" s="4"/>
    </row>
    <row r="5870" spans="8:8" x14ac:dyDescent="0.3">
      <c r="H5870" s="4"/>
    </row>
    <row r="5871" spans="8:8" x14ac:dyDescent="0.3">
      <c r="H5871" s="4"/>
    </row>
    <row r="5872" spans="8:8" x14ac:dyDescent="0.3">
      <c r="H5872" s="4"/>
    </row>
    <row r="5873" spans="8:8" x14ac:dyDescent="0.3">
      <c r="H5873" s="4"/>
    </row>
    <row r="5874" spans="8:8" x14ac:dyDescent="0.3">
      <c r="H5874" s="4"/>
    </row>
    <row r="5875" spans="8:8" x14ac:dyDescent="0.3">
      <c r="H5875" s="4"/>
    </row>
    <row r="5876" spans="8:8" x14ac:dyDescent="0.3">
      <c r="H5876" s="4"/>
    </row>
    <row r="5877" spans="8:8" x14ac:dyDescent="0.3">
      <c r="H5877" s="4"/>
    </row>
    <row r="5878" spans="8:8" x14ac:dyDescent="0.3">
      <c r="H5878" s="4"/>
    </row>
    <row r="5879" spans="8:8" x14ac:dyDescent="0.3">
      <c r="H5879" s="4"/>
    </row>
    <row r="5880" spans="8:8" x14ac:dyDescent="0.3">
      <c r="H5880" s="4"/>
    </row>
    <row r="5881" spans="8:8" x14ac:dyDescent="0.3">
      <c r="H5881" s="4"/>
    </row>
    <row r="5882" spans="8:8" x14ac:dyDescent="0.3">
      <c r="H5882" s="4"/>
    </row>
    <row r="5883" spans="8:8" x14ac:dyDescent="0.3">
      <c r="H5883" s="4"/>
    </row>
    <row r="5884" spans="8:8" x14ac:dyDescent="0.3">
      <c r="H5884" s="4"/>
    </row>
    <row r="5885" spans="8:8" x14ac:dyDescent="0.3">
      <c r="H5885" s="4"/>
    </row>
    <row r="5886" spans="8:8" x14ac:dyDescent="0.3">
      <c r="H5886" s="4"/>
    </row>
    <row r="5887" spans="8:8" x14ac:dyDescent="0.3">
      <c r="H5887" s="4"/>
    </row>
    <row r="5888" spans="8:8" x14ac:dyDescent="0.3">
      <c r="H5888" s="4"/>
    </row>
    <row r="5889" spans="8:8" x14ac:dyDescent="0.3">
      <c r="H5889" s="4"/>
    </row>
    <row r="5890" spans="8:8" x14ac:dyDescent="0.3">
      <c r="H5890" s="4"/>
    </row>
    <row r="5891" spans="8:8" x14ac:dyDescent="0.3">
      <c r="H5891" s="4"/>
    </row>
    <row r="5892" spans="8:8" x14ac:dyDescent="0.3">
      <c r="H5892" s="4"/>
    </row>
    <row r="5893" spans="8:8" x14ac:dyDescent="0.3">
      <c r="H5893" s="4"/>
    </row>
    <row r="5894" spans="8:8" x14ac:dyDescent="0.3">
      <c r="H5894" s="4"/>
    </row>
    <row r="5895" spans="8:8" x14ac:dyDescent="0.3">
      <c r="H5895" s="4"/>
    </row>
    <row r="5896" spans="8:8" x14ac:dyDescent="0.3">
      <c r="H5896" s="4"/>
    </row>
    <row r="5897" spans="8:8" x14ac:dyDescent="0.3">
      <c r="H5897" s="4"/>
    </row>
    <row r="5898" spans="8:8" x14ac:dyDescent="0.3">
      <c r="H5898" s="4"/>
    </row>
    <row r="5899" spans="8:8" x14ac:dyDescent="0.3">
      <c r="H5899" s="4"/>
    </row>
    <row r="5900" spans="8:8" x14ac:dyDescent="0.3">
      <c r="H5900" s="4"/>
    </row>
    <row r="5901" spans="8:8" x14ac:dyDescent="0.3">
      <c r="H5901" s="4"/>
    </row>
    <row r="5902" spans="8:8" x14ac:dyDescent="0.3">
      <c r="H5902" s="4"/>
    </row>
    <row r="5903" spans="8:8" x14ac:dyDescent="0.3">
      <c r="H5903" s="4"/>
    </row>
    <row r="5904" spans="8:8" x14ac:dyDescent="0.3">
      <c r="H5904" s="4"/>
    </row>
    <row r="5905" spans="8:8" x14ac:dyDescent="0.3">
      <c r="H5905" s="4"/>
    </row>
    <row r="5906" spans="8:8" x14ac:dyDescent="0.3">
      <c r="H5906" s="4"/>
    </row>
    <row r="5907" spans="8:8" x14ac:dyDescent="0.3">
      <c r="H5907" s="4"/>
    </row>
    <row r="5908" spans="8:8" x14ac:dyDescent="0.3">
      <c r="H5908" s="4"/>
    </row>
    <row r="5909" spans="8:8" x14ac:dyDescent="0.3">
      <c r="H5909" s="4"/>
    </row>
    <row r="5910" spans="8:8" x14ac:dyDescent="0.3">
      <c r="H5910" s="4"/>
    </row>
    <row r="5911" spans="8:8" x14ac:dyDescent="0.3">
      <c r="H5911" s="4"/>
    </row>
    <row r="5912" spans="8:8" x14ac:dyDescent="0.3">
      <c r="H5912" s="4"/>
    </row>
    <row r="5913" spans="8:8" x14ac:dyDescent="0.3">
      <c r="H5913" s="4"/>
    </row>
    <row r="5914" spans="8:8" x14ac:dyDescent="0.3">
      <c r="H5914" s="4"/>
    </row>
    <row r="5915" spans="8:8" x14ac:dyDescent="0.3">
      <c r="H5915" s="4"/>
    </row>
    <row r="5916" spans="8:8" x14ac:dyDescent="0.3">
      <c r="H5916" s="4"/>
    </row>
    <row r="5917" spans="8:8" x14ac:dyDescent="0.3">
      <c r="H5917" s="4"/>
    </row>
    <row r="5918" spans="8:8" x14ac:dyDescent="0.3">
      <c r="H5918" s="4"/>
    </row>
    <row r="5919" spans="8:8" x14ac:dyDescent="0.3">
      <c r="H5919" s="4"/>
    </row>
    <row r="5920" spans="8:8" x14ac:dyDescent="0.3">
      <c r="H5920" s="4"/>
    </row>
    <row r="5921" spans="8:8" x14ac:dyDescent="0.3">
      <c r="H5921" s="4"/>
    </row>
    <row r="5922" spans="8:8" x14ac:dyDescent="0.3">
      <c r="H5922" s="4"/>
    </row>
    <row r="5923" spans="8:8" x14ac:dyDescent="0.3">
      <c r="H5923" s="4"/>
    </row>
    <row r="5924" spans="8:8" x14ac:dyDescent="0.3">
      <c r="H5924" s="4"/>
    </row>
    <row r="5925" spans="8:8" x14ac:dyDescent="0.3">
      <c r="H5925" s="4"/>
    </row>
    <row r="5926" spans="8:8" x14ac:dyDescent="0.3">
      <c r="H5926" s="4"/>
    </row>
    <row r="5927" spans="8:8" x14ac:dyDescent="0.3">
      <c r="H5927" s="4"/>
    </row>
    <row r="5928" spans="8:8" x14ac:dyDescent="0.3">
      <c r="H5928" s="4"/>
    </row>
    <row r="5929" spans="8:8" x14ac:dyDescent="0.3">
      <c r="H5929" s="4"/>
    </row>
    <row r="5930" spans="8:8" x14ac:dyDescent="0.3">
      <c r="H5930" s="4"/>
    </row>
    <row r="5931" spans="8:8" x14ac:dyDescent="0.3">
      <c r="H5931" s="4"/>
    </row>
    <row r="5932" spans="8:8" x14ac:dyDescent="0.3">
      <c r="H5932" s="4"/>
    </row>
    <row r="5933" spans="8:8" x14ac:dyDescent="0.3">
      <c r="H5933" s="4"/>
    </row>
    <row r="5934" spans="8:8" x14ac:dyDescent="0.3">
      <c r="H5934" s="4"/>
    </row>
    <row r="5935" spans="8:8" x14ac:dyDescent="0.3">
      <c r="H5935" s="4"/>
    </row>
    <row r="5936" spans="8:8" x14ac:dyDescent="0.3">
      <c r="H5936" s="4"/>
    </row>
    <row r="5937" spans="8:8" x14ac:dyDescent="0.3">
      <c r="H5937" s="4"/>
    </row>
    <row r="5938" spans="8:8" x14ac:dyDescent="0.3">
      <c r="H5938" s="4"/>
    </row>
    <row r="5939" spans="8:8" x14ac:dyDescent="0.3">
      <c r="H5939" s="4"/>
    </row>
    <row r="5940" spans="8:8" x14ac:dyDescent="0.3">
      <c r="H5940" s="4"/>
    </row>
    <row r="5941" spans="8:8" x14ac:dyDescent="0.3">
      <c r="H5941" s="4"/>
    </row>
    <row r="5942" spans="8:8" x14ac:dyDescent="0.3">
      <c r="H5942" s="4"/>
    </row>
    <row r="5943" spans="8:8" x14ac:dyDescent="0.3">
      <c r="H5943" s="4"/>
    </row>
    <row r="5944" spans="8:8" x14ac:dyDescent="0.3">
      <c r="H5944" s="4"/>
    </row>
    <row r="5945" spans="8:8" x14ac:dyDescent="0.3">
      <c r="H5945" s="4"/>
    </row>
    <row r="5946" spans="8:8" x14ac:dyDescent="0.3">
      <c r="H5946" s="4"/>
    </row>
    <row r="5947" spans="8:8" x14ac:dyDescent="0.3">
      <c r="H5947" s="4"/>
    </row>
    <row r="5948" spans="8:8" x14ac:dyDescent="0.3">
      <c r="H5948" s="4"/>
    </row>
    <row r="5949" spans="8:8" x14ac:dyDescent="0.3">
      <c r="H5949" s="4"/>
    </row>
    <row r="5950" spans="8:8" x14ac:dyDescent="0.3">
      <c r="H5950" s="4"/>
    </row>
    <row r="5951" spans="8:8" x14ac:dyDescent="0.3">
      <c r="H5951" s="4"/>
    </row>
    <row r="5952" spans="8:8" x14ac:dyDescent="0.3">
      <c r="H5952" s="4"/>
    </row>
    <row r="5953" spans="8:8" x14ac:dyDescent="0.3">
      <c r="H5953" s="4"/>
    </row>
    <row r="5954" spans="8:8" x14ac:dyDescent="0.3">
      <c r="H5954" s="4"/>
    </row>
    <row r="5955" spans="8:8" x14ac:dyDescent="0.3">
      <c r="H5955" s="4"/>
    </row>
    <row r="5956" spans="8:8" x14ac:dyDescent="0.3">
      <c r="H5956" s="4"/>
    </row>
    <row r="5957" spans="8:8" x14ac:dyDescent="0.3">
      <c r="H5957" s="4"/>
    </row>
    <row r="5958" spans="8:8" x14ac:dyDescent="0.3">
      <c r="H5958" s="4"/>
    </row>
    <row r="5959" spans="8:8" x14ac:dyDescent="0.3">
      <c r="H5959" s="4"/>
    </row>
    <row r="5960" spans="8:8" x14ac:dyDescent="0.3">
      <c r="H5960" s="4"/>
    </row>
    <row r="5961" spans="8:8" x14ac:dyDescent="0.3">
      <c r="H5961" s="4"/>
    </row>
    <row r="5962" spans="8:8" x14ac:dyDescent="0.3">
      <c r="H5962" s="4"/>
    </row>
    <row r="5963" spans="8:8" x14ac:dyDescent="0.3">
      <c r="H5963" s="4"/>
    </row>
    <row r="5964" spans="8:8" x14ac:dyDescent="0.3">
      <c r="H5964" s="4"/>
    </row>
    <row r="5965" spans="8:8" x14ac:dyDescent="0.3">
      <c r="H5965" s="4"/>
    </row>
    <row r="5966" spans="8:8" x14ac:dyDescent="0.3">
      <c r="H5966" s="4"/>
    </row>
    <row r="5967" spans="8:8" x14ac:dyDescent="0.3">
      <c r="H5967" s="4"/>
    </row>
    <row r="5968" spans="8:8" x14ac:dyDescent="0.3">
      <c r="H5968" s="4"/>
    </row>
    <row r="5969" spans="8:8" x14ac:dyDescent="0.3">
      <c r="H5969" s="4"/>
    </row>
    <row r="5970" spans="8:8" x14ac:dyDescent="0.3">
      <c r="H5970" s="4"/>
    </row>
    <row r="5971" spans="8:8" x14ac:dyDescent="0.3">
      <c r="H5971" s="4"/>
    </row>
    <row r="5972" spans="8:8" x14ac:dyDescent="0.3">
      <c r="H5972" s="4"/>
    </row>
    <row r="5973" spans="8:8" x14ac:dyDescent="0.3">
      <c r="H5973" s="4"/>
    </row>
    <row r="5974" spans="8:8" x14ac:dyDescent="0.3">
      <c r="H5974" s="4"/>
    </row>
    <row r="5975" spans="8:8" x14ac:dyDescent="0.3">
      <c r="H5975" s="4"/>
    </row>
    <row r="5976" spans="8:8" x14ac:dyDescent="0.3">
      <c r="H5976" s="4"/>
    </row>
    <row r="5977" spans="8:8" x14ac:dyDescent="0.3">
      <c r="H5977" s="4"/>
    </row>
    <row r="5978" spans="8:8" x14ac:dyDescent="0.3">
      <c r="H5978" s="4"/>
    </row>
    <row r="5979" spans="8:8" x14ac:dyDescent="0.3">
      <c r="H5979" s="4"/>
    </row>
    <row r="5980" spans="8:8" x14ac:dyDescent="0.3">
      <c r="H5980" s="4"/>
    </row>
    <row r="5981" spans="8:8" x14ac:dyDescent="0.3">
      <c r="H5981" s="4"/>
    </row>
    <row r="5982" spans="8:8" x14ac:dyDescent="0.3">
      <c r="H5982" s="4"/>
    </row>
    <row r="5983" spans="8:8" x14ac:dyDescent="0.3">
      <c r="H5983" s="4"/>
    </row>
    <row r="5984" spans="8:8" x14ac:dyDescent="0.3">
      <c r="H5984" s="4"/>
    </row>
    <row r="5985" spans="8:8" x14ac:dyDescent="0.3">
      <c r="H5985" s="4"/>
    </row>
    <row r="5986" spans="8:8" x14ac:dyDescent="0.3">
      <c r="H5986" s="4"/>
    </row>
    <row r="5987" spans="8:8" x14ac:dyDescent="0.3">
      <c r="H5987" s="4"/>
    </row>
    <row r="5988" spans="8:8" x14ac:dyDescent="0.3">
      <c r="H5988" s="4"/>
    </row>
    <row r="5989" spans="8:8" x14ac:dyDescent="0.3">
      <c r="H5989" s="4"/>
    </row>
    <row r="5990" spans="8:8" x14ac:dyDescent="0.3">
      <c r="H5990" s="4"/>
    </row>
    <row r="5991" spans="8:8" x14ac:dyDescent="0.3">
      <c r="H5991" s="4"/>
    </row>
    <row r="5992" spans="8:8" x14ac:dyDescent="0.3">
      <c r="H5992" s="4"/>
    </row>
    <row r="5993" spans="8:8" x14ac:dyDescent="0.3">
      <c r="H5993" s="4"/>
    </row>
    <row r="5994" spans="8:8" x14ac:dyDescent="0.3">
      <c r="H5994" s="4"/>
    </row>
    <row r="5995" spans="8:8" x14ac:dyDescent="0.3">
      <c r="H5995" s="4"/>
    </row>
    <row r="5996" spans="8:8" x14ac:dyDescent="0.3">
      <c r="H5996" s="4"/>
    </row>
    <row r="5997" spans="8:8" x14ac:dyDescent="0.3">
      <c r="H5997" s="4"/>
    </row>
    <row r="5998" spans="8:8" x14ac:dyDescent="0.3">
      <c r="H5998" s="4"/>
    </row>
    <row r="5999" spans="8:8" x14ac:dyDescent="0.3">
      <c r="H5999" s="4"/>
    </row>
    <row r="6000" spans="8:8" x14ac:dyDescent="0.3">
      <c r="H6000" s="4"/>
    </row>
    <row r="6001" spans="8:8" x14ac:dyDescent="0.3">
      <c r="H6001" s="4"/>
    </row>
    <row r="6002" spans="8:8" x14ac:dyDescent="0.3">
      <c r="H6002" s="4"/>
    </row>
    <row r="6003" spans="8:8" x14ac:dyDescent="0.3">
      <c r="H6003" s="4"/>
    </row>
    <row r="6004" spans="8:8" x14ac:dyDescent="0.3">
      <c r="H6004" s="4"/>
    </row>
    <row r="6005" spans="8:8" x14ac:dyDescent="0.3">
      <c r="H6005" s="4"/>
    </row>
    <row r="6006" spans="8:8" x14ac:dyDescent="0.3">
      <c r="H6006" s="4"/>
    </row>
    <row r="6007" spans="8:8" x14ac:dyDescent="0.3">
      <c r="H6007" s="4"/>
    </row>
    <row r="6008" spans="8:8" x14ac:dyDescent="0.3">
      <c r="H6008" s="4"/>
    </row>
    <row r="6009" spans="8:8" x14ac:dyDescent="0.3">
      <c r="H6009" s="4"/>
    </row>
    <row r="6010" spans="8:8" x14ac:dyDescent="0.3">
      <c r="H6010" s="4"/>
    </row>
    <row r="6011" spans="8:8" x14ac:dyDescent="0.3">
      <c r="H6011" s="4"/>
    </row>
    <row r="6012" spans="8:8" x14ac:dyDescent="0.3">
      <c r="H6012" s="4"/>
    </row>
    <row r="6013" spans="8:8" x14ac:dyDescent="0.3">
      <c r="H6013" s="4"/>
    </row>
    <row r="6014" spans="8:8" x14ac:dyDescent="0.3">
      <c r="H6014" s="4"/>
    </row>
    <row r="6015" spans="8:8" x14ac:dyDescent="0.3">
      <c r="H6015" s="4"/>
    </row>
    <row r="6016" spans="8:8" x14ac:dyDescent="0.3">
      <c r="H6016" s="4"/>
    </row>
    <row r="6017" spans="8:8" x14ac:dyDescent="0.3">
      <c r="H6017" s="4"/>
    </row>
    <row r="6018" spans="8:8" x14ac:dyDescent="0.3">
      <c r="H6018" s="4"/>
    </row>
    <row r="6019" spans="8:8" x14ac:dyDescent="0.3">
      <c r="H6019" s="4"/>
    </row>
    <row r="6020" spans="8:8" x14ac:dyDescent="0.3">
      <c r="H6020" s="4"/>
    </row>
    <row r="6021" spans="8:8" x14ac:dyDescent="0.3">
      <c r="H6021" s="4"/>
    </row>
    <row r="6022" spans="8:8" x14ac:dyDescent="0.3">
      <c r="H6022" s="4"/>
    </row>
    <row r="6023" spans="8:8" x14ac:dyDescent="0.3">
      <c r="H6023" s="4"/>
    </row>
    <row r="6024" spans="8:8" x14ac:dyDescent="0.3">
      <c r="H6024" s="4"/>
    </row>
    <row r="6025" spans="8:8" x14ac:dyDescent="0.3">
      <c r="H6025" s="4"/>
    </row>
    <row r="6026" spans="8:8" x14ac:dyDescent="0.3">
      <c r="H6026" s="4"/>
    </row>
    <row r="6027" spans="8:8" x14ac:dyDescent="0.3">
      <c r="H6027" s="4"/>
    </row>
    <row r="6028" spans="8:8" x14ac:dyDescent="0.3">
      <c r="H6028" s="4"/>
    </row>
    <row r="6029" spans="8:8" x14ac:dyDescent="0.3">
      <c r="H6029" s="4"/>
    </row>
    <row r="6030" spans="8:8" x14ac:dyDescent="0.3">
      <c r="H6030" s="4"/>
    </row>
    <row r="6031" spans="8:8" x14ac:dyDescent="0.3">
      <c r="H6031" s="4"/>
    </row>
    <row r="6032" spans="8:8" x14ac:dyDescent="0.3">
      <c r="H6032" s="4"/>
    </row>
    <row r="6033" spans="8:8" x14ac:dyDescent="0.3">
      <c r="H6033" s="4"/>
    </row>
    <row r="6034" spans="8:8" x14ac:dyDescent="0.3">
      <c r="H6034" s="4"/>
    </row>
    <row r="6035" spans="8:8" x14ac:dyDescent="0.3">
      <c r="H6035" s="4"/>
    </row>
    <row r="6036" spans="8:8" x14ac:dyDescent="0.3">
      <c r="H6036" s="4"/>
    </row>
    <row r="6037" spans="8:8" x14ac:dyDescent="0.3">
      <c r="H6037" s="4"/>
    </row>
    <row r="6038" spans="8:8" x14ac:dyDescent="0.3">
      <c r="H6038" s="4"/>
    </row>
    <row r="6039" spans="8:8" x14ac:dyDescent="0.3">
      <c r="H6039" s="4"/>
    </row>
    <row r="6040" spans="8:8" x14ac:dyDescent="0.3">
      <c r="H6040" s="4"/>
    </row>
    <row r="6041" spans="8:8" x14ac:dyDescent="0.3">
      <c r="H6041" s="4"/>
    </row>
    <row r="6042" spans="8:8" x14ac:dyDescent="0.3">
      <c r="H6042" s="4"/>
    </row>
    <row r="6043" spans="8:8" x14ac:dyDescent="0.3">
      <c r="H6043" s="4"/>
    </row>
    <row r="6044" spans="8:8" x14ac:dyDescent="0.3">
      <c r="H6044" s="4"/>
    </row>
    <row r="6045" spans="8:8" x14ac:dyDescent="0.3">
      <c r="H6045" s="4"/>
    </row>
    <row r="6046" spans="8:8" x14ac:dyDescent="0.3">
      <c r="H6046" s="4"/>
    </row>
    <row r="6047" spans="8:8" x14ac:dyDescent="0.3">
      <c r="H6047" s="4"/>
    </row>
    <row r="6048" spans="8:8" x14ac:dyDescent="0.3">
      <c r="H6048" s="4"/>
    </row>
    <row r="6049" spans="8:8" x14ac:dyDescent="0.3">
      <c r="H6049" s="4"/>
    </row>
    <row r="6050" spans="8:8" x14ac:dyDescent="0.3">
      <c r="H6050" s="4"/>
    </row>
    <row r="6051" spans="8:8" x14ac:dyDescent="0.3">
      <c r="H6051" s="4"/>
    </row>
    <row r="6052" spans="8:8" x14ac:dyDescent="0.3">
      <c r="H6052" s="4"/>
    </row>
    <row r="6053" spans="8:8" x14ac:dyDescent="0.3">
      <c r="H6053" s="4"/>
    </row>
    <row r="6054" spans="8:8" x14ac:dyDescent="0.3">
      <c r="H6054" s="4"/>
    </row>
    <row r="6055" spans="8:8" x14ac:dyDescent="0.3">
      <c r="H6055" s="4"/>
    </row>
    <row r="6056" spans="8:8" x14ac:dyDescent="0.3">
      <c r="H6056" s="4"/>
    </row>
    <row r="6057" spans="8:8" x14ac:dyDescent="0.3">
      <c r="H6057" s="4"/>
    </row>
    <row r="6058" spans="8:8" x14ac:dyDescent="0.3">
      <c r="H6058" s="4"/>
    </row>
    <row r="6059" spans="8:8" x14ac:dyDescent="0.3">
      <c r="H6059" s="4"/>
    </row>
    <row r="6060" spans="8:8" x14ac:dyDescent="0.3">
      <c r="H6060" s="4"/>
    </row>
    <row r="6061" spans="8:8" x14ac:dyDescent="0.3">
      <c r="H6061" s="4"/>
    </row>
    <row r="6062" spans="8:8" x14ac:dyDescent="0.3">
      <c r="H6062" s="4"/>
    </row>
    <row r="6063" spans="8:8" x14ac:dyDescent="0.3">
      <c r="H6063" s="4"/>
    </row>
    <row r="6064" spans="8:8" x14ac:dyDescent="0.3">
      <c r="H6064" s="4"/>
    </row>
    <row r="6065" spans="8:8" x14ac:dyDescent="0.3">
      <c r="H6065" s="4"/>
    </row>
    <row r="6066" spans="8:8" x14ac:dyDescent="0.3">
      <c r="H6066" s="4"/>
    </row>
    <row r="6067" spans="8:8" x14ac:dyDescent="0.3">
      <c r="H6067" s="4"/>
    </row>
    <row r="6068" spans="8:8" x14ac:dyDescent="0.3">
      <c r="H6068" s="4"/>
    </row>
    <row r="6069" spans="8:8" x14ac:dyDescent="0.3">
      <c r="H6069" s="4"/>
    </row>
    <row r="6070" spans="8:8" x14ac:dyDescent="0.3">
      <c r="H6070" s="4"/>
    </row>
    <row r="6071" spans="8:8" x14ac:dyDescent="0.3">
      <c r="H6071" s="4"/>
    </row>
    <row r="6072" spans="8:8" x14ac:dyDescent="0.3">
      <c r="H6072" s="4"/>
    </row>
    <row r="6073" spans="8:8" x14ac:dyDescent="0.3">
      <c r="H6073" s="4"/>
    </row>
    <row r="6074" spans="8:8" x14ac:dyDescent="0.3">
      <c r="H6074" s="4"/>
    </row>
    <row r="6075" spans="8:8" x14ac:dyDescent="0.3">
      <c r="H6075" s="4"/>
    </row>
    <row r="6076" spans="8:8" x14ac:dyDescent="0.3">
      <c r="H6076" s="4"/>
    </row>
    <row r="6077" spans="8:8" x14ac:dyDescent="0.3">
      <c r="H6077" s="4"/>
    </row>
    <row r="6078" spans="8:8" x14ac:dyDescent="0.3">
      <c r="H6078" s="4"/>
    </row>
    <row r="6079" spans="8:8" x14ac:dyDescent="0.3">
      <c r="H6079" s="4"/>
    </row>
    <row r="6080" spans="8:8" x14ac:dyDescent="0.3">
      <c r="H6080" s="4"/>
    </row>
    <row r="6081" spans="8:8" x14ac:dyDescent="0.3">
      <c r="H6081" s="4"/>
    </row>
    <row r="6082" spans="8:8" x14ac:dyDescent="0.3">
      <c r="H6082" s="4"/>
    </row>
    <row r="6083" spans="8:8" x14ac:dyDescent="0.3">
      <c r="H6083" s="4"/>
    </row>
    <row r="6084" spans="8:8" x14ac:dyDescent="0.3">
      <c r="H6084" s="4"/>
    </row>
    <row r="6085" spans="8:8" x14ac:dyDescent="0.3">
      <c r="H6085" s="4"/>
    </row>
    <row r="6086" spans="8:8" x14ac:dyDescent="0.3">
      <c r="H6086" s="4"/>
    </row>
    <row r="6087" spans="8:8" x14ac:dyDescent="0.3">
      <c r="H6087" s="4"/>
    </row>
    <row r="6088" spans="8:8" x14ac:dyDescent="0.3">
      <c r="H6088" s="4"/>
    </row>
    <row r="6089" spans="8:8" x14ac:dyDescent="0.3">
      <c r="H6089" s="4"/>
    </row>
    <row r="6090" spans="8:8" x14ac:dyDescent="0.3">
      <c r="H6090" s="4"/>
    </row>
    <row r="6091" spans="8:8" x14ac:dyDescent="0.3">
      <c r="H6091" s="4"/>
    </row>
    <row r="6092" spans="8:8" x14ac:dyDescent="0.3">
      <c r="H6092" s="4"/>
    </row>
    <row r="6093" spans="8:8" x14ac:dyDescent="0.3">
      <c r="H6093" s="4"/>
    </row>
    <row r="6094" spans="8:8" x14ac:dyDescent="0.3">
      <c r="H6094" s="4"/>
    </row>
    <row r="6095" spans="8:8" x14ac:dyDescent="0.3">
      <c r="H6095" s="4"/>
    </row>
    <row r="6096" spans="8:8" x14ac:dyDescent="0.3">
      <c r="H6096" s="4"/>
    </row>
    <row r="6097" spans="8:8" x14ac:dyDescent="0.3">
      <c r="H6097" s="4"/>
    </row>
    <row r="6098" spans="8:8" x14ac:dyDescent="0.3">
      <c r="H6098" s="4"/>
    </row>
    <row r="6099" spans="8:8" x14ac:dyDescent="0.3">
      <c r="H6099" s="4"/>
    </row>
    <row r="6100" spans="8:8" x14ac:dyDescent="0.3">
      <c r="H6100" s="4"/>
    </row>
    <row r="6101" spans="8:8" x14ac:dyDescent="0.3">
      <c r="H6101" s="4"/>
    </row>
    <row r="6102" spans="8:8" x14ac:dyDescent="0.3">
      <c r="H6102" s="4"/>
    </row>
    <row r="6103" spans="8:8" x14ac:dyDescent="0.3">
      <c r="H6103" s="4"/>
    </row>
    <row r="6104" spans="8:8" x14ac:dyDescent="0.3">
      <c r="H6104" s="4"/>
    </row>
    <row r="6105" spans="8:8" x14ac:dyDescent="0.3">
      <c r="H6105" s="4"/>
    </row>
    <row r="6106" spans="8:8" x14ac:dyDescent="0.3">
      <c r="H6106" s="4"/>
    </row>
    <row r="6107" spans="8:8" x14ac:dyDescent="0.3">
      <c r="H6107" s="4"/>
    </row>
    <row r="6108" spans="8:8" x14ac:dyDescent="0.3">
      <c r="H6108" s="4"/>
    </row>
    <row r="6109" spans="8:8" x14ac:dyDescent="0.3">
      <c r="H6109" s="4"/>
    </row>
    <row r="6110" spans="8:8" x14ac:dyDescent="0.3">
      <c r="H6110" s="4"/>
    </row>
    <row r="6111" spans="8:8" x14ac:dyDescent="0.3">
      <c r="H6111" s="4"/>
    </row>
    <row r="6112" spans="8:8" x14ac:dyDescent="0.3">
      <c r="H6112" s="4"/>
    </row>
    <row r="6113" spans="8:8" x14ac:dyDescent="0.3">
      <c r="H6113" s="4"/>
    </row>
    <row r="6114" spans="8:8" x14ac:dyDescent="0.3">
      <c r="H6114" s="4"/>
    </row>
    <row r="6115" spans="8:8" x14ac:dyDescent="0.3">
      <c r="H6115" s="4"/>
    </row>
    <row r="6116" spans="8:8" x14ac:dyDescent="0.3">
      <c r="H6116" s="4"/>
    </row>
    <row r="6117" spans="8:8" x14ac:dyDescent="0.3">
      <c r="H6117" s="4"/>
    </row>
    <row r="6118" spans="8:8" x14ac:dyDescent="0.3">
      <c r="H6118" s="4"/>
    </row>
    <row r="6119" spans="8:8" x14ac:dyDescent="0.3">
      <c r="H6119" s="4"/>
    </row>
    <row r="6120" spans="8:8" x14ac:dyDescent="0.3">
      <c r="H6120" s="4"/>
    </row>
    <row r="6121" spans="8:8" x14ac:dyDescent="0.3">
      <c r="H6121" s="4"/>
    </row>
    <row r="6122" spans="8:8" x14ac:dyDescent="0.3">
      <c r="H6122" s="4"/>
    </row>
    <row r="6123" spans="8:8" x14ac:dyDescent="0.3">
      <c r="H6123" s="4"/>
    </row>
    <row r="6124" spans="8:8" x14ac:dyDescent="0.3">
      <c r="H6124" s="4"/>
    </row>
    <row r="6125" spans="8:8" x14ac:dyDescent="0.3">
      <c r="H6125" s="4"/>
    </row>
    <row r="6126" spans="8:8" x14ac:dyDescent="0.3">
      <c r="H6126" s="4"/>
    </row>
    <row r="6127" spans="8:8" x14ac:dyDescent="0.3">
      <c r="H6127" s="4"/>
    </row>
    <row r="6128" spans="8:8" x14ac:dyDescent="0.3">
      <c r="H6128" s="4"/>
    </row>
    <row r="6129" spans="8:8" x14ac:dyDescent="0.3">
      <c r="H6129" s="4"/>
    </row>
    <row r="6130" spans="8:8" x14ac:dyDescent="0.3">
      <c r="H6130" s="4"/>
    </row>
    <row r="6131" spans="8:8" x14ac:dyDescent="0.3">
      <c r="H6131" s="4"/>
    </row>
    <row r="6132" spans="8:8" x14ac:dyDescent="0.3">
      <c r="H6132" s="4"/>
    </row>
    <row r="6133" spans="8:8" x14ac:dyDescent="0.3">
      <c r="H6133" s="4"/>
    </row>
    <row r="6134" spans="8:8" x14ac:dyDescent="0.3">
      <c r="H6134" s="4"/>
    </row>
    <row r="6135" spans="8:8" x14ac:dyDescent="0.3">
      <c r="H6135" s="4"/>
    </row>
    <row r="6136" spans="8:8" x14ac:dyDescent="0.3">
      <c r="H6136" s="4"/>
    </row>
    <row r="6137" spans="8:8" x14ac:dyDescent="0.3">
      <c r="H6137" s="4"/>
    </row>
    <row r="6138" spans="8:8" x14ac:dyDescent="0.3">
      <c r="H6138" s="4"/>
    </row>
    <row r="6139" spans="8:8" x14ac:dyDescent="0.3">
      <c r="H6139" s="4"/>
    </row>
    <row r="6140" spans="8:8" x14ac:dyDescent="0.3">
      <c r="H6140" s="4"/>
    </row>
    <row r="6141" spans="8:8" x14ac:dyDescent="0.3">
      <c r="H6141" s="4"/>
    </row>
    <row r="6142" spans="8:8" x14ac:dyDescent="0.3">
      <c r="H6142" s="4"/>
    </row>
    <row r="6143" spans="8:8" x14ac:dyDescent="0.3">
      <c r="H6143" s="4"/>
    </row>
    <row r="6144" spans="8:8" x14ac:dyDescent="0.3">
      <c r="H6144" s="4"/>
    </row>
    <row r="6145" spans="8:8" x14ac:dyDescent="0.3">
      <c r="H6145" s="4"/>
    </row>
    <row r="6146" spans="8:8" x14ac:dyDescent="0.3">
      <c r="H6146" s="4"/>
    </row>
    <row r="6147" spans="8:8" x14ac:dyDescent="0.3">
      <c r="H6147" s="4"/>
    </row>
    <row r="6148" spans="8:8" x14ac:dyDescent="0.3">
      <c r="H6148" s="4"/>
    </row>
    <row r="6149" spans="8:8" x14ac:dyDescent="0.3">
      <c r="H6149" s="4"/>
    </row>
    <row r="6150" spans="8:8" x14ac:dyDescent="0.3">
      <c r="H6150" s="4"/>
    </row>
    <row r="6151" spans="8:8" x14ac:dyDescent="0.3">
      <c r="H6151" s="4"/>
    </row>
    <row r="6152" spans="8:8" x14ac:dyDescent="0.3">
      <c r="H6152" s="4"/>
    </row>
    <row r="6153" spans="8:8" x14ac:dyDescent="0.3">
      <c r="H6153" s="4"/>
    </row>
    <row r="6154" spans="8:8" x14ac:dyDescent="0.3">
      <c r="H6154" s="4"/>
    </row>
    <row r="6155" spans="8:8" x14ac:dyDescent="0.3">
      <c r="H6155" s="4"/>
    </row>
    <row r="6156" spans="8:8" x14ac:dyDescent="0.3">
      <c r="H6156" s="4"/>
    </row>
    <row r="6157" spans="8:8" x14ac:dyDescent="0.3">
      <c r="H6157" s="4"/>
    </row>
    <row r="6158" spans="8:8" x14ac:dyDescent="0.3">
      <c r="H6158" s="4"/>
    </row>
    <row r="6159" spans="8:8" x14ac:dyDescent="0.3">
      <c r="H6159" s="4"/>
    </row>
    <row r="6160" spans="8:8" x14ac:dyDescent="0.3">
      <c r="H6160" s="4"/>
    </row>
    <row r="6161" spans="8:8" x14ac:dyDescent="0.3">
      <c r="H6161" s="4"/>
    </row>
    <row r="6162" spans="8:8" x14ac:dyDescent="0.3">
      <c r="H6162" s="4"/>
    </row>
    <row r="6163" spans="8:8" x14ac:dyDescent="0.3">
      <c r="H6163" s="4"/>
    </row>
    <row r="6164" spans="8:8" x14ac:dyDescent="0.3">
      <c r="H6164" s="4"/>
    </row>
    <row r="6165" spans="8:8" x14ac:dyDescent="0.3">
      <c r="H6165" s="4"/>
    </row>
    <row r="6166" spans="8:8" x14ac:dyDescent="0.3">
      <c r="H6166" s="4"/>
    </row>
    <row r="6167" spans="8:8" x14ac:dyDescent="0.3">
      <c r="H6167" s="4"/>
    </row>
    <row r="6168" spans="8:8" x14ac:dyDescent="0.3">
      <c r="H6168" s="4"/>
    </row>
    <row r="6169" spans="8:8" x14ac:dyDescent="0.3">
      <c r="H6169" s="4"/>
    </row>
    <row r="6170" spans="8:8" x14ac:dyDescent="0.3">
      <c r="H6170" s="4"/>
    </row>
    <row r="6171" spans="8:8" x14ac:dyDescent="0.3">
      <c r="H6171" s="4"/>
    </row>
    <row r="6172" spans="8:8" x14ac:dyDescent="0.3">
      <c r="H6172" s="4"/>
    </row>
    <row r="6173" spans="8:8" x14ac:dyDescent="0.3">
      <c r="H6173" s="4"/>
    </row>
    <row r="6174" spans="8:8" x14ac:dyDescent="0.3">
      <c r="H6174" s="4"/>
    </row>
    <row r="6175" spans="8:8" x14ac:dyDescent="0.3">
      <c r="H6175" s="4"/>
    </row>
    <row r="6176" spans="8:8" x14ac:dyDescent="0.3">
      <c r="H6176" s="4"/>
    </row>
    <row r="6177" spans="8:8" x14ac:dyDescent="0.3">
      <c r="H6177" s="4"/>
    </row>
    <row r="6178" spans="8:8" x14ac:dyDescent="0.3">
      <c r="H6178" s="4"/>
    </row>
    <row r="6179" spans="8:8" x14ac:dyDescent="0.3">
      <c r="H6179" s="4"/>
    </row>
    <row r="6180" spans="8:8" x14ac:dyDescent="0.3">
      <c r="H6180" s="4"/>
    </row>
    <row r="6181" spans="8:8" x14ac:dyDescent="0.3">
      <c r="H6181" s="4"/>
    </row>
    <row r="6182" spans="8:8" x14ac:dyDescent="0.3">
      <c r="H6182" s="4"/>
    </row>
    <row r="6183" spans="8:8" x14ac:dyDescent="0.3">
      <c r="H6183" s="4"/>
    </row>
    <row r="6184" spans="8:8" x14ac:dyDescent="0.3">
      <c r="H6184" s="4"/>
    </row>
    <row r="6185" spans="8:8" x14ac:dyDescent="0.3">
      <c r="H6185" s="4"/>
    </row>
    <row r="6186" spans="8:8" x14ac:dyDescent="0.3">
      <c r="H6186" s="4"/>
    </row>
    <row r="6187" spans="8:8" x14ac:dyDescent="0.3">
      <c r="H6187" s="4"/>
    </row>
    <row r="6188" spans="8:8" x14ac:dyDescent="0.3">
      <c r="H6188" s="4"/>
    </row>
    <row r="6189" spans="8:8" x14ac:dyDescent="0.3">
      <c r="H6189" s="4"/>
    </row>
    <row r="6190" spans="8:8" x14ac:dyDescent="0.3">
      <c r="H6190" s="4"/>
    </row>
    <row r="6191" spans="8:8" x14ac:dyDescent="0.3">
      <c r="H6191" s="4"/>
    </row>
    <row r="6192" spans="8:8" x14ac:dyDescent="0.3">
      <c r="H6192" s="4"/>
    </row>
    <row r="6193" spans="8:8" x14ac:dyDescent="0.3">
      <c r="H6193" s="4"/>
    </row>
    <row r="6194" spans="8:8" x14ac:dyDescent="0.3">
      <c r="H6194" s="4"/>
    </row>
    <row r="6195" spans="8:8" x14ac:dyDescent="0.3">
      <c r="H6195" s="4"/>
    </row>
    <row r="6196" spans="8:8" x14ac:dyDescent="0.3">
      <c r="H6196" s="4"/>
    </row>
    <row r="6197" spans="8:8" x14ac:dyDescent="0.3">
      <c r="H6197" s="4"/>
    </row>
    <row r="6198" spans="8:8" x14ac:dyDescent="0.3">
      <c r="H6198" s="4"/>
    </row>
    <row r="6199" spans="8:8" x14ac:dyDescent="0.3">
      <c r="H6199" s="4"/>
    </row>
    <row r="6200" spans="8:8" x14ac:dyDescent="0.3">
      <c r="H6200" s="4"/>
    </row>
    <row r="6201" spans="8:8" x14ac:dyDescent="0.3">
      <c r="H6201" s="4"/>
    </row>
    <row r="6202" spans="8:8" x14ac:dyDescent="0.3">
      <c r="H6202" s="4"/>
    </row>
    <row r="6203" spans="8:8" x14ac:dyDescent="0.3">
      <c r="H6203" s="4"/>
    </row>
    <row r="6204" spans="8:8" x14ac:dyDescent="0.3">
      <c r="H6204" s="4"/>
    </row>
    <row r="6205" spans="8:8" x14ac:dyDescent="0.3">
      <c r="H6205" s="4"/>
    </row>
    <row r="6206" spans="8:8" x14ac:dyDescent="0.3">
      <c r="H6206" s="4"/>
    </row>
    <row r="6207" spans="8:8" x14ac:dyDescent="0.3">
      <c r="H6207" s="4"/>
    </row>
    <row r="6208" spans="8:8" x14ac:dyDescent="0.3">
      <c r="H6208" s="4"/>
    </row>
    <row r="6209" spans="8:8" x14ac:dyDescent="0.3">
      <c r="H6209" s="4"/>
    </row>
    <row r="6210" spans="8:8" x14ac:dyDescent="0.3">
      <c r="H6210" s="4"/>
    </row>
    <row r="6211" spans="8:8" x14ac:dyDescent="0.3">
      <c r="H6211" s="4"/>
    </row>
    <row r="6212" spans="8:8" x14ac:dyDescent="0.3">
      <c r="H6212" s="4"/>
    </row>
    <row r="6213" spans="8:8" x14ac:dyDescent="0.3">
      <c r="H6213" s="4"/>
    </row>
    <row r="6214" spans="8:8" x14ac:dyDescent="0.3">
      <c r="H6214" s="4"/>
    </row>
    <row r="6215" spans="8:8" x14ac:dyDescent="0.3">
      <c r="H6215" s="4"/>
    </row>
    <row r="6216" spans="8:8" x14ac:dyDescent="0.3">
      <c r="H6216" s="4"/>
    </row>
    <row r="6217" spans="8:8" x14ac:dyDescent="0.3">
      <c r="H6217" s="4"/>
    </row>
    <row r="6218" spans="8:8" x14ac:dyDescent="0.3">
      <c r="H6218" s="4"/>
    </row>
    <row r="6219" spans="8:8" x14ac:dyDescent="0.3">
      <c r="H6219" s="4"/>
    </row>
    <row r="6220" spans="8:8" x14ac:dyDescent="0.3">
      <c r="H6220" s="4"/>
    </row>
    <row r="6221" spans="8:8" x14ac:dyDescent="0.3">
      <c r="H6221" s="4"/>
    </row>
    <row r="6222" spans="8:8" x14ac:dyDescent="0.3">
      <c r="H6222" s="4"/>
    </row>
    <row r="6223" spans="8:8" x14ac:dyDescent="0.3">
      <c r="H6223" s="4"/>
    </row>
    <row r="6224" spans="8:8" x14ac:dyDescent="0.3">
      <c r="H6224" s="4"/>
    </row>
    <row r="6225" spans="8:8" x14ac:dyDescent="0.3">
      <c r="H6225" s="4"/>
    </row>
    <row r="6226" spans="8:8" x14ac:dyDescent="0.3">
      <c r="H6226" s="4"/>
    </row>
    <row r="6227" spans="8:8" x14ac:dyDescent="0.3">
      <c r="H6227" s="4"/>
    </row>
    <row r="6228" spans="8:8" x14ac:dyDescent="0.3">
      <c r="H6228" s="4"/>
    </row>
    <row r="6229" spans="8:8" x14ac:dyDescent="0.3">
      <c r="H6229" s="4"/>
    </row>
    <row r="6230" spans="8:8" x14ac:dyDescent="0.3">
      <c r="H6230" s="4"/>
    </row>
    <row r="6231" spans="8:8" x14ac:dyDescent="0.3">
      <c r="H6231" s="4"/>
    </row>
    <row r="6232" spans="8:8" x14ac:dyDescent="0.3">
      <c r="H6232" s="4"/>
    </row>
    <row r="6233" spans="8:8" x14ac:dyDescent="0.3">
      <c r="H6233" s="4"/>
    </row>
    <row r="6234" spans="8:8" x14ac:dyDescent="0.3">
      <c r="H6234" s="4"/>
    </row>
    <row r="6235" spans="8:8" x14ac:dyDescent="0.3">
      <c r="H6235" s="4"/>
    </row>
    <row r="6236" spans="8:8" x14ac:dyDescent="0.3">
      <c r="H6236" s="4"/>
    </row>
    <row r="6237" spans="8:8" x14ac:dyDescent="0.3">
      <c r="H6237" s="4"/>
    </row>
    <row r="6238" spans="8:8" x14ac:dyDescent="0.3">
      <c r="H6238" s="4"/>
    </row>
    <row r="6239" spans="8:8" x14ac:dyDescent="0.3">
      <c r="H6239" s="4"/>
    </row>
    <row r="6240" spans="8:8" x14ac:dyDescent="0.3">
      <c r="H6240" s="4"/>
    </row>
    <row r="6241" spans="8:8" x14ac:dyDescent="0.3">
      <c r="H6241" s="4"/>
    </row>
    <row r="6242" spans="8:8" x14ac:dyDescent="0.3">
      <c r="H6242" s="4"/>
    </row>
    <row r="6243" spans="8:8" x14ac:dyDescent="0.3">
      <c r="H6243" s="4"/>
    </row>
    <row r="6244" spans="8:8" x14ac:dyDescent="0.3">
      <c r="H6244" s="4"/>
    </row>
    <row r="6245" spans="8:8" x14ac:dyDescent="0.3">
      <c r="H6245" s="4"/>
    </row>
    <row r="6246" spans="8:8" x14ac:dyDescent="0.3">
      <c r="H6246" s="4"/>
    </row>
    <row r="6247" spans="8:8" x14ac:dyDescent="0.3">
      <c r="H6247" s="4"/>
    </row>
    <row r="6248" spans="8:8" x14ac:dyDescent="0.3">
      <c r="H6248" s="4"/>
    </row>
    <row r="6249" spans="8:8" x14ac:dyDescent="0.3">
      <c r="H6249" s="4"/>
    </row>
    <row r="6250" spans="8:8" x14ac:dyDescent="0.3">
      <c r="H6250" s="4"/>
    </row>
    <row r="6251" spans="8:8" x14ac:dyDescent="0.3">
      <c r="H6251" s="4"/>
    </row>
    <row r="6252" spans="8:8" x14ac:dyDescent="0.3">
      <c r="H6252" s="4"/>
    </row>
    <row r="6253" spans="8:8" x14ac:dyDescent="0.3">
      <c r="H6253" s="4"/>
    </row>
    <row r="6254" spans="8:8" x14ac:dyDescent="0.3">
      <c r="H6254" s="4"/>
    </row>
    <row r="6255" spans="8:8" x14ac:dyDescent="0.3">
      <c r="H6255" s="4"/>
    </row>
    <row r="6256" spans="8:8" x14ac:dyDescent="0.3">
      <c r="H6256" s="4"/>
    </row>
    <row r="6257" spans="8:8" x14ac:dyDescent="0.3">
      <c r="H6257" s="4"/>
    </row>
    <row r="6258" spans="8:8" x14ac:dyDescent="0.3">
      <c r="H6258" s="4"/>
    </row>
    <row r="6259" spans="8:8" x14ac:dyDescent="0.3">
      <c r="H6259" s="4"/>
    </row>
    <row r="6260" spans="8:8" x14ac:dyDescent="0.3">
      <c r="H6260" s="4"/>
    </row>
    <row r="6261" spans="8:8" x14ac:dyDescent="0.3">
      <c r="H6261" s="4"/>
    </row>
    <row r="6262" spans="8:8" x14ac:dyDescent="0.3">
      <c r="H6262" s="4"/>
    </row>
    <row r="6263" spans="8:8" x14ac:dyDescent="0.3">
      <c r="H6263" s="4"/>
    </row>
    <row r="6264" spans="8:8" x14ac:dyDescent="0.3">
      <c r="H6264" s="4"/>
    </row>
    <row r="6265" spans="8:8" x14ac:dyDescent="0.3">
      <c r="H6265" s="4"/>
    </row>
    <row r="6266" spans="8:8" x14ac:dyDescent="0.3">
      <c r="H6266" s="4"/>
    </row>
    <row r="6267" spans="8:8" x14ac:dyDescent="0.3">
      <c r="H6267" s="4"/>
    </row>
    <row r="6268" spans="8:8" x14ac:dyDescent="0.3">
      <c r="H6268" s="4"/>
    </row>
    <row r="6269" spans="8:8" x14ac:dyDescent="0.3">
      <c r="H6269" s="4"/>
    </row>
    <row r="6270" spans="8:8" x14ac:dyDescent="0.3">
      <c r="H6270" s="4"/>
    </row>
    <row r="6271" spans="8:8" x14ac:dyDescent="0.3">
      <c r="H6271" s="4"/>
    </row>
    <row r="6272" spans="8:8" x14ac:dyDescent="0.3">
      <c r="H6272" s="4"/>
    </row>
    <row r="6273" spans="8:8" x14ac:dyDescent="0.3">
      <c r="H6273" s="4"/>
    </row>
    <row r="6274" spans="8:8" x14ac:dyDescent="0.3">
      <c r="H6274" s="4"/>
    </row>
    <row r="6275" spans="8:8" x14ac:dyDescent="0.3">
      <c r="H6275" s="4"/>
    </row>
    <row r="6276" spans="8:8" x14ac:dyDescent="0.3">
      <c r="H6276" s="4"/>
    </row>
    <row r="6277" spans="8:8" x14ac:dyDescent="0.3">
      <c r="H6277" s="4"/>
    </row>
    <row r="6278" spans="8:8" x14ac:dyDescent="0.3">
      <c r="H6278" s="4"/>
    </row>
    <row r="6279" spans="8:8" x14ac:dyDescent="0.3">
      <c r="H6279" s="4"/>
    </row>
    <row r="6280" spans="8:8" x14ac:dyDescent="0.3">
      <c r="H6280" s="4"/>
    </row>
    <row r="6281" spans="8:8" x14ac:dyDescent="0.3">
      <c r="H6281" s="4"/>
    </row>
    <row r="6282" spans="8:8" x14ac:dyDescent="0.3">
      <c r="H6282" s="4"/>
    </row>
    <row r="6283" spans="8:8" x14ac:dyDescent="0.3">
      <c r="H6283" s="4"/>
    </row>
    <row r="6284" spans="8:8" x14ac:dyDescent="0.3">
      <c r="H6284" s="4"/>
    </row>
    <row r="6285" spans="8:8" x14ac:dyDescent="0.3">
      <c r="H6285" s="4"/>
    </row>
    <row r="6286" spans="8:8" x14ac:dyDescent="0.3">
      <c r="H6286" s="4"/>
    </row>
    <row r="6287" spans="8:8" x14ac:dyDescent="0.3">
      <c r="H6287" s="4"/>
    </row>
    <row r="6288" spans="8:8" x14ac:dyDescent="0.3">
      <c r="H6288" s="4"/>
    </row>
    <row r="6289" spans="8:8" x14ac:dyDescent="0.3">
      <c r="H6289" s="4"/>
    </row>
    <row r="6290" spans="8:8" x14ac:dyDescent="0.3">
      <c r="H6290" s="4"/>
    </row>
    <row r="6291" spans="8:8" x14ac:dyDescent="0.3">
      <c r="H6291" s="4"/>
    </row>
    <row r="6292" spans="8:8" x14ac:dyDescent="0.3">
      <c r="H6292" s="4"/>
    </row>
    <row r="6293" spans="8:8" x14ac:dyDescent="0.3">
      <c r="H6293" s="4"/>
    </row>
    <row r="6294" spans="8:8" x14ac:dyDescent="0.3">
      <c r="H6294" s="4"/>
    </row>
    <row r="6295" spans="8:8" x14ac:dyDescent="0.3">
      <c r="H6295" s="4"/>
    </row>
    <row r="6296" spans="8:8" x14ac:dyDescent="0.3">
      <c r="H6296" s="4"/>
    </row>
    <row r="6297" spans="8:8" x14ac:dyDescent="0.3">
      <c r="H6297" s="4"/>
    </row>
    <row r="6298" spans="8:8" x14ac:dyDescent="0.3">
      <c r="H6298" s="4"/>
    </row>
    <row r="6299" spans="8:8" x14ac:dyDescent="0.3">
      <c r="H6299" s="4"/>
    </row>
    <row r="6300" spans="8:8" x14ac:dyDescent="0.3">
      <c r="H6300" s="4"/>
    </row>
    <row r="6301" spans="8:8" x14ac:dyDescent="0.3">
      <c r="H6301" s="4"/>
    </row>
    <row r="6302" spans="8:8" x14ac:dyDescent="0.3">
      <c r="H6302" s="4"/>
    </row>
    <row r="6303" spans="8:8" x14ac:dyDescent="0.3">
      <c r="H6303" s="4"/>
    </row>
    <row r="6304" spans="8:8" x14ac:dyDescent="0.3">
      <c r="H6304" s="4"/>
    </row>
    <row r="6305" spans="8:8" x14ac:dyDescent="0.3">
      <c r="H6305" s="4"/>
    </row>
    <row r="6306" spans="8:8" x14ac:dyDescent="0.3">
      <c r="H6306" s="4"/>
    </row>
    <row r="6307" spans="8:8" x14ac:dyDescent="0.3">
      <c r="H6307" s="4"/>
    </row>
    <row r="6308" spans="8:8" x14ac:dyDescent="0.3">
      <c r="H6308" s="4"/>
    </row>
    <row r="6309" spans="8:8" x14ac:dyDescent="0.3">
      <c r="H6309" s="4"/>
    </row>
    <row r="6310" spans="8:8" x14ac:dyDescent="0.3">
      <c r="H6310" s="4"/>
    </row>
    <row r="6311" spans="8:8" x14ac:dyDescent="0.3">
      <c r="H6311" s="4"/>
    </row>
    <row r="6312" spans="8:8" x14ac:dyDescent="0.3">
      <c r="H6312" s="4"/>
    </row>
    <row r="6313" spans="8:8" x14ac:dyDescent="0.3">
      <c r="H6313" s="4"/>
    </row>
    <row r="6314" spans="8:8" x14ac:dyDescent="0.3">
      <c r="H6314" s="4"/>
    </row>
    <row r="6315" spans="8:8" x14ac:dyDescent="0.3">
      <c r="H6315" s="4"/>
    </row>
    <row r="6316" spans="8:8" x14ac:dyDescent="0.3">
      <c r="H6316" s="4"/>
    </row>
    <row r="6317" spans="8:8" x14ac:dyDescent="0.3">
      <c r="H6317" s="4"/>
    </row>
    <row r="6318" spans="8:8" x14ac:dyDescent="0.3">
      <c r="H6318" s="4"/>
    </row>
    <row r="6319" spans="8:8" x14ac:dyDescent="0.3">
      <c r="H6319" s="4"/>
    </row>
    <row r="6320" spans="8:8" x14ac:dyDescent="0.3">
      <c r="H6320" s="4"/>
    </row>
    <row r="6321" spans="8:8" x14ac:dyDescent="0.3">
      <c r="H6321" s="4"/>
    </row>
    <row r="6322" spans="8:8" x14ac:dyDescent="0.3">
      <c r="H6322" s="4"/>
    </row>
    <row r="6323" spans="8:8" x14ac:dyDescent="0.3">
      <c r="H6323" s="4"/>
    </row>
    <row r="6324" spans="8:8" x14ac:dyDescent="0.3">
      <c r="H6324" s="4"/>
    </row>
    <row r="6325" spans="8:8" x14ac:dyDescent="0.3">
      <c r="H6325" s="4"/>
    </row>
    <row r="6326" spans="8:8" x14ac:dyDescent="0.3">
      <c r="H6326" s="4"/>
    </row>
    <row r="6327" spans="8:8" x14ac:dyDescent="0.3">
      <c r="H6327" s="4"/>
    </row>
    <row r="6328" spans="8:8" x14ac:dyDescent="0.3">
      <c r="H6328" s="4"/>
    </row>
    <row r="6329" spans="8:8" x14ac:dyDescent="0.3">
      <c r="H6329" s="4"/>
    </row>
    <row r="6330" spans="8:8" x14ac:dyDescent="0.3">
      <c r="H6330" s="4"/>
    </row>
    <row r="6331" spans="8:8" x14ac:dyDescent="0.3">
      <c r="H6331" s="4"/>
    </row>
    <row r="6332" spans="8:8" x14ac:dyDescent="0.3">
      <c r="H6332" s="4"/>
    </row>
    <row r="6333" spans="8:8" x14ac:dyDescent="0.3">
      <c r="H6333" s="4"/>
    </row>
    <row r="6334" spans="8:8" x14ac:dyDescent="0.3">
      <c r="H6334" s="4"/>
    </row>
    <row r="6335" spans="8:8" x14ac:dyDescent="0.3">
      <c r="H6335" s="4"/>
    </row>
    <row r="6336" spans="8:8" x14ac:dyDescent="0.3">
      <c r="H6336" s="4"/>
    </row>
    <row r="6337" spans="8:8" x14ac:dyDescent="0.3">
      <c r="H6337" s="4"/>
    </row>
    <row r="6338" spans="8:8" x14ac:dyDescent="0.3">
      <c r="H6338" s="4"/>
    </row>
    <row r="6339" spans="8:8" x14ac:dyDescent="0.3">
      <c r="H6339" s="4"/>
    </row>
    <row r="6340" spans="8:8" x14ac:dyDescent="0.3">
      <c r="H6340" s="4"/>
    </row>
    <row r="6341" spans="8:8" x14ac:dyDescent="0.3">
      <c r="H6341" s="4"/>
    </row>
    <row r="6342" spans="8:8" x14ac:dyDescent="0.3">
      <c r="H6342" s="4"/>
    </row>
    <row r="6343" spans="8:8" x14ac:dyDescent="0.3">
      <c r="H6343" s="4"/>
    </row>
    <row r="6344" spans="8:8" x14ac:dyDescent="0.3">
      <c r="H6344" s="4"/>
    </row>
    <row r="6345" spans="8:8" x14ac:dyDescent="0.3">
      <c r="H6345" s="4"/>
    </row>
    <row r="6346" spans="8:8" x14ac:dyDescent="0.3">
      <c r="H6346" s="4"/>
    </row>
    <row r="6347" spans="8:8" x14ac:dyDescent="0.3">
      <c r="H6347" s="4"/>
    </row>
    <row r="6348" spans="8:8" x14ac:dyDescent="0.3">
      <c r="H6348" s="4"/>
    </row>
    <row r="6349" spans="8:8" x14ac:dyDescent="0.3">
      <c r="H6349" s="4"/>
    </row>
    <row r="6350" spans="8:8" x14ac:dyDescent="0.3">
      <c r="H6350" s="4"/>
    </row>
    <row r="6351" spans="8:8" x14ac:dyDescent="0.3">
      <c r="H6351" s="4"/>
    </row>
    <row r="6352" spans="8:8" x14ac:dyDescent="0.3">
      <c r="H6352" s="4"/>
    </row>
    <row r="6353" spans="8:8" x14ac:dyDescent="0.3">
      <c r="H6353" s="4"/>
    </row>
    <row r="6354" spans="8:8" x14ac:dyDescent="0.3">
      <c r="H6354" s="4"/>
    </row>
    <row r="6355" spans="8:8" x14ac:dyDescent="0.3">
      <c r="H6355" s="4"/>
    </row>
    <row r="6356" spans="8:8" x14ac:dyDescent="0.3">
      <c r="H6356" s="4"/>
    </row>
    <row r="6357" spans="8:8" x14ac:dyDescent="0.3">
      <c r="H6357" s="4"/>
    </row>
    <row r="6358" spans="8:8" x14ac:dyDescent="0.3">
      <c r="H6358" s="4"/>
    </row>
    <row r="6359" spans="8:8" x14ac:dyDescent="0.3">
      <c r="H6359" s="4"/>
    </row>
    <row r="6360" spans="8:8" x14ac:dyDescent="0.3">
      <c r="H6360" s="4"/>
    </row>
    <row r="6361" spans="8:8" x14ac:dyDescent="0.3">
      <c r="H6361" s="4"/>
    </row>
    <row r="6362" spans="8:8" x14ac:dyDescent="0.3">
      <c r="H6362" s="4"/>
    </row>
    <row r="6363" spans="8:8" x14ac:dyDescent="0.3">
      <c r="H6363" s="4"/>
    </row>
    <row r="6364" spans="8:8" x14ac:dyDescent="0.3">
      <c r="H6364" s="4"/>
    </row>
    <row r="6365" spans="8:8" x14ac:dyDescent="0.3">
      <c r="H6365" s="4"/>
    </row>
    <row r="6366" spans="8:8" x14ac:dyDescent="0.3">
      <c r="H6366" s="4"/>
    </row>
    <row r="6367" spans="8:8" x14ac:dyDescent="0.3">
      <c r="H6367" s="4"/>
    </row>
    <row r="6368" spans="8:8" x14ac:dyDescent="0.3">
      <c r="H6368" s="4"/>
    </row>
    <row r="6369" spans="8:8" x14ac:dyDescent="0.3">
      <c r="H6369" s="4"/>
    </row>
    <row r="6370" spans="8:8" x14ac:dyDescent="0.3">
      <c r="H6370" s="4"/>
    </row>
    <row r="6371" spans="8:8" x14ac:dyDescent="0.3">
      <c r="H6371" s="4"/>
    </row>
    <row r="6372" spans="8:8" x14ac:dyDescent="0.3">
      <c r="H6372" s="4"/>
    </row>
    <row r="6373" spans="8:8" x14ac:dyDescent="0.3">
      <c r="H6373" s="4"/>
    </row>
    <row r="6374" spans="8:8" x14ac:dyDescent="0.3">
      <c r="H6374" s="4"/>
    </row>
    <row r="6375" spans="8:8" x14ac:dyDescent="0.3">
      <c r="H6375" s="4"/>
    </row>
    <row r="6376" spans="8:8" x14ac:dyDescent="0.3">
      <c r="H6376" s="4"/>
    </row>
    <row r="6377" spans="8:8" x14ac:dyDescent="0.3">
      <c r="H6377" s="4"/>
    </row>
    <row r="6378" spans="8:8" x14ac:dyDescent="0.3">
      <c r="H6378" s="4"/>
    </row>
    <row r="6379" spans="8:8" x14ac:dyDescent="0.3">
      <c r="H6379" s="4"/>
    </row>
    <row r="6380" spans="8:8" x14ac:dyDescent="0.3">
      <c r="H6380" s="4"/>
    </row>
    <row r="6381" spans="8:8" x14ac:dyDescent="0.3">
      <c r="H6381" s="4"/>
    </row>
    <row r="6382" spans="8:8" x14ac:dyDescent="0.3">
      <c r="H6382" s="4"/>
    </row>
    <row r="6383" spans="8:8" x14ac:dyDescent="0.3">
      <c r="H6383" s="4"/>
    </row>
    <row r="6384" spans="8:8" x14ac:dyDescent="0.3">
      <c r="H6384" s="4"/>
    </row>
    <row r="6385" spans="8:8" x14ac:dyDescent="0.3">
      <c r="H6385" s="4"/>
    </row>
    <row r="6386" spans="8:8" x14ac:dyDescent="0.3">
      <c r="H6386" s="4"/>
    </row>
    <row r="6387" spans="8:8" x14ac:dyDescent="0.3">
      <c r="H6387" s="4"/>
    </row>
    <row r="6388" spans="8:8" x14ac:dyDescent="0.3">
      <c r="H6388" s="4"/>
    </row>
    <row r="6389" spans="8:8" x14ac:dyDescent="0.3">
      <c r="H6389" s="4"/>
    </row>
    <row r="6390" spans="8:8" x14ac:dyDescent="0.3">
      <c r="H6390" s="4"/>
    </row>
    <row r="6391" spans="8:8" x14ac:dyDescent="0.3">
      <c r="H6391" s="4"/>
    </row>
    <row r="6392" spans="8:8" x14ac:dyDescent="0.3">
      <c r="H6392" s="4"/>
    </row>
    <row r="6393" spans="8:8" x14ac:dyDescent="0.3">
      <c r="H6393" s="4"/>
    </row>
    <row r="6394" spans="8:8" x14ac:dyDescent="0.3">
      <c r="H6394" s="4"/>
    </row>
    <row r="6395" spans="8:8" x14ac:dyDescent="0.3">
      <c r="H6395" s="4"/>
    </row>
    <row r="6396" spans="8:8" x14ac:dyDescent="0.3">
      <c r="H6396" s="4"/>
    </row>
    <row r="6397" spans="8:8" x14ac:dyDescent="0.3">
      <c r="H6397" s="4"/>
    </row>
    <row r="6398" spans="8:8" x14ac:dyDescent="0.3">
      <c r="H6398" s="4"/>
    </row>
    <row r="6399" spans="8:8" x14ac:dyDescent="0.3">
      <c r="H6399" s="4"/>
    </row>
    <row r="6400" spans="8:8" x14ac:dyDescent="0.3">
      <c r="H6400" s="4"/>
    </row>
    <row r="6401" spans="8:8" x14ac:dyDescent="0.3">
      <c r="H6401" s="4"/>
    </row>
    <row r="6402" spans="8:8" x14ac:dyDescent="0.3">
      <c r="H6402" s="4"/>
    </row>
    <row r="6403" spans="8:8" x14ac:dyDescent="0.3">
      <c r="H6403" s="4"/>
    </row>
    <row r="6404" spans="8:8" x14ac:dyDescent="0.3">
      <c r="H6404" s="4"/>
    </row>
    <row r="6405" spans="8:8" x14ac:dyDescent="0.3">
      <c r="H6405" s="4"/>
    </row>
    <row r="6406" spans="8:8" x14ac:dyDescent="0.3">
      <c r="H6406" s="4"/>
    </row>
    <row r="6407" spans="8:8" x14ac:dyDescent="0.3">
      <c r="H6407" s="4"/>
    </row>
    <row r="6408" spans="8:8" x14ac:dyDescent="0.3">
      <c r="H6408" s="4"/>
    </row>
    <row r="6409" spans="8:8" x14ac:dyDescent="0.3">
      <c r="H6409" s="4"/>
    </row>
    <row r="6410" spans="8:8" x14ac:dyDescent="0.3">
      <c r="H6410" s="4"/>
    </row>
    <row r="6411" spans="8:8" x14ac:dyDescent="0.3">
      <c r="H6411" s="4"/>
    </row>
    <row r="6412" spans="8:8" x14ac:dyDescent="0.3">
      <c r="H6412" s="4"/>
    </row>
    <row r="6413" spans="8:8" x14ac:dyDescent="0.3">
      <c r="H6413" s="4"/>
    </row>
    <row r="6414" spans="8:8" x14ac:dyDescent="0.3">
      <c r="H6414" s="4"/>
    </row>
    <row r="6415" spans="8:8" x14ac:dyDescent="0.3">
      <c r="H6415" s="4"/>
    </row>
    <row r="6416" spans="8:8" x14ac:dyDescent="0.3">
      <c r="H6416" s="4"/>
    </row>
    <row r="6417" spans="8:8" x14ac:dyDescent="0.3">
      <c r="H6417" s="4"/>
    </row>
    <row r="6418" spans="8:8" x14ac:dyDescent="0.3">
      <c r="H6418" s="4"/>
    </row>
    <row r="6419" spans="8:8" x14ac:dyDescent="0.3">
      <c r="H6419" s="4"/>
    </row>
    <row r="6420" spans="8:8" x14ac:dyDescent="0.3">
      <c r="H6420" s="4"/>
    </row>
    <row r="6421" spans="8:8" x14ac:dyDescent="0.3">
      <c r="H6421" s="4"/>
    </row>
    <row r="6422" spans="8:8" x14ac:dyDescent="0.3">
      <c r="H6422" s="4"/>
    </row>
    <row r="6423" spans="8:8" x14ac:dyDescent="0.3">
      <c r="H6423" s="4"/>
    </row>
    <row r="6424" spans="8:8" x14ac:dyDescent="0.3">
      <c r="H6424" s="4"/>
    </row>
    <row r="6425" spans="8:8" x14ac:dyDescent="0.3">
      <c r="H6425" s="4"/>
    </row>
    <row r="6426" spans="8:8" x14ac:dyDescent="0.3">
      <c r="H6426" s="4"/>
    </row>
    <row r="6427" spans="8:8" x14ac:dyDescent="0.3">
      <c r="H6427" s="4"/>
    </row>
    <row r="6428" spans="8:8" x14ac:dyDescent="0.3">
      <c r="H6428" s="4"/>
    </row>
    <row r="6429" spans="8:8" x14ac:dyDescent="0.3">
      <c r="H6429" s="4"/>
    </row>
    <row r="6430" spans="8:8" x14ac:dyDescent="0.3">
      <c r="H6430" s="4"/>
    </row>
    <row r="6431" spans="8:8" x14ac:dyDescent="0.3">
      <c r="H6431" s="4"/>
    </row>
    <row r="6432" spans="8:8" x14ac:dyDescent="0.3">
      <c r="H6432" s="4"/>
    </row>
    <row r="6433" spans="8:8" x14ac:dyDescent="0.3">
      <c r="H6433" s="4"/>
    </row>
    <row r="6434" spans="8:8" x14ac:dyDescent="0.3">
      <c r="H6434" s="4"/>
    </row>
    <row r="6435" spans="8:8" x14ac:dyDescent="0.3">
      <c r="H6435" s="4"/>
    </row>
    <row r="6436" spans="8:8" x14ac:dyDescent="0.3">
      <c r="H6436" s="4"/>
    </row>
    <row r="6437" spans="8:8" x14ac:dyDescent="0.3">
      <c r="H6437" s="4"/>
    </row>
    <row r="6438" spans="8:8" x14ac:dyDescent="0.3">
      <c r="H6438" s="4"/>
    </row>
    <row r="6439" spans="8:8" x14ac:dyDescent="0.3">
      <c r="H6439" s="4"/>
    </row>
    <row r="6440" spans="8:8" x14ac:dyDescent="0.3">
      <c r="H6440" s="4"/>
    </row>
    <row r="6441" spans="8:8" x14ac:dyDescent="0.3">
      <c r="H6441" s="4"/>
    </row>
    <row r="6442" spans="8:8" x14ac:dyDescent="0.3">
      <c r="H6442" s="4"/>
    </row>
    <row r="6443" spans="8:8" x14ac:dyDescent="0.3">
      <c r="H6443" s="4"/>
    </row>
    <row r="6444" spans="8:8" x14ac:dyDescent="0.3">
      <c r="H6444" s="4"/>
    </row>
    <row r="6445" spans="8:8" x14ac:dyDescent="0.3">
      <c r="H6445" s="4"/>
    </row>
    <row r="6446" spans="8:8" x14ac:dyDescent="0.3">
      <c r="H6446" s="4"/>
    </row>
    <row r="6447" spans="8:8" x14ac:dyDescent="0.3">
      <c r="H6447" s="4"/>
    </row>
    <row r="6448" spans="8:8" x14ac:dyDescent="0.3">
      <c r="H6448" s="4"/>
    </row>
    <row r="6449" spans="8:8" x14ac:dyDescent="0.3">
      <c r="H6449" s="4"/>
    </row>
    <row r="6450" spans="8:8" x14ac:dyDescent="0.3">
      <c r="H6450" s="4"/>
    </row>
    <row r="6451" spans="8:8" x14ac:dyDescent="0.3">
      <c r="H6451" s="4"/>
    </row>
    <row r="6452" spans="8:8" x14ac:dyDescent="0.3">
      <c r="H6452" s="4"/>
    </row>
    <row r="6453" spans="8:8" x14ac:dyDescent="0.3">
      <c r="H6453" s="4"/>
    </row>
    <row r="6454" spans="8:8" x14ac:dyDescent="0.3">
      <c r="H6454" s="4"/>
    </row>
    <row r="6455" spans="8:8" x14ac:dyDescent="0.3">
      <c r="H6455" s="4"/>
    </row>
    <row r="6456" spans="8:8" x14ac:dyDescent="0.3">
      <c r="H6456" s="4"/>
    </row>
    <row r="6457" spans="8:8" x14ac:dyDescent="0.3">
      <c r="H6457" s="4"/>
    </row>
    <row r="6458" spans="8:8" x14ac:dyDescent="0.3">
      <c r="H6458" s="4"/>
    </row>
    <row r="6459" spans="8:8" x14ac:dyDescent="0.3">
      <c r="H6459" s="4"/>
    </row>
    <row r="6460" spans="8:8" x14ac:dyDescent="0.3">
      <c r="H6460" s="4"/>
    </row>
    <row r="6461" spans="8:8" x14ac:dyDescent="0.3">
      <c r="H6461" s="4"/>
    </row>
    <row r="6462" spans="8:8" x14ac:dyDescent="0.3">
      <c r="H6462" s="4"/>
    </row>
    <row r="6463" spans="8:8" x14ac:dyDescent="0.3">
      <c r="H6463" s="4"/>
    </row>
    <row r="6464" spans="8:8" x14ac:dyDescent="0.3">
      <c r="H6464" s="4"/>
    </row>
    <row r="6465" spans="8:8" x14ac:dyDescent="0.3">
      <c r="H6465" s="4"/>
    </row>
    <row r="6466" spans="8:8" x14ac:dyDescent="0.3">
      <c r="H6466" s="4"/>
    </row>
    <row r="6467" spans="8:8" x14ac:dyDescent="0.3">
      <c r="H6467" s="4"/>
    </row>
    <row r="6468" spans="8:8" x14ac:dyDescent="0.3">
      <c r="H6468" s="4"/>
    </row>
    <row r="6469" spans="8:8" x14ac:dyDescent="0.3">
      <c r="H6469" s="4"/>
    </row>
    <row r="6470" spans="8:8" x14ac:dyDescent="0.3">
      <c r="H6470" s="4"/>
    </row>
    <row r="6471" spans="8:8" x14ac:dyDescent="0.3">
      <c r="H6471" s="4"/>
    </row>
    <row r="6472" spans="8:8" x14ac:dyDescent="0.3">
      <c r="H6472" s="4"/>
    </row>
    <row r="6473" spans="8:8" x14ac:dyDescent="0.3">
      <c r="H6473" s="4"/>
    </row>
    <row r="6474" spans="8:8" x14ac:dyDescent="0.3">
      <c r="H6474" s="4"/>
    </row>
    <row r="6475" spans="8:8" x14ac:dyDescent="0.3">
      <c r="H6475" s="4"/>
    </row>
    <row r="6476" spans="8:8" x14ac:dyDescent="0.3">
      <c r="H6476" s="4"/>
    </row>
    <row r="6477" spans="8:8" x14ac:dyDescent="0.3">
      <c r="H6477" s="4"/>
    </row>
    <row r="6478" spans="8:8" x14ac:dyDescent="0.3">
      <c r="H6478" s="4"/>
    </row>
    <row r="6479" spans="8:8" x14ac:dyDescent="0.3">
      <c r="H6479" s="4"/>
    </row>
    <row r="6480" spans="8:8" x14ac:dyDescent="0.3">
      <c r="H6480" s="4"/>
    </row>
    <row r="6481" spans="8:8" x14ac:dyDescent="0.3">
      <c r="H6481" s="4"/>
    </row>
    <row r="6482" spans="8:8" x14ac:dyDescent="0.3">
      <c r="H6482" s="4"/>
    </row>
    <row r="6483" spans="8:8" x14ac:dyDescent="0.3">
      <c r="H6483" s="4"/>
    </row>
    <row r="6484" spans="8:8" x14ac:dyDescent="0.3">
      <c r="H6484" s="4"/>
    </row>
    <row r="6485" spans="8:8" x14ac:dyDescent="0.3">
      <c r="H6485" s="4"/>
    </row>
    <row r="6486" spans="8:8" x14ac:dyDescent="0.3">
      <c r="H6486" s="4"/>
    </row>
    <row r="6487" spans="8:8" x14ac:dyDescent="0.3">
      <c r="H6487" s="4"/>
    </row>
    <row r="6488" spans="8:8" x14ac:dyDescent="0.3">
      <c r="H6488" s="4"/>
    </row>
    <row r="6489" spans="8:8" x14ac:dyDescent="0.3">
      <c r="H6489" s="4"/>
    </row>
    <row r="6490" spans="8:8" x14ac:dyDescent="0.3">
      <c r="H6490" s="4"/>
    </row>
    <row r="6491" spans="8:8" x14ac:dyDescent="0.3">
      <c r="H6491" s="4"/>
    </row>
    <row r="6492" spans="8:8" x14ac:dyDescent="0.3">
      <c r="H6492" s="4"/>
    </row>
    <row r="6493" spans="8:8" x14ac:dyDescent="0.3">
      <c r="H6493" s="4"/>
    </row>
    <row r="6494" spans="8:8" x14ac:dyDescent="0.3">
      <c r="H6494" s="4"/>
    </row>
    <row r="6495" spans="8:8" x14ac:dyDescent="0.3">
      <c r="H6495" s="4"/>
    </row>
    <row r="6496" spans="8:8" x14ac:dyDescent="0.3">
      <c r="H6496" s="4"/>
    </row>
    <row r="6497" spans="8:8" x14ac:dyDescent="0.3">
      <c r="H6497" s="4"/>
    </row>
    <row r="6498" spans="8:8" x14ac:dyDescent="0.3">
      <c r="H6498" s="4"/>
    </row>
    <row r="6499" spans="8:8" x14ac:dyDescent="0.3">
      <c r="H6499" s="4"/>
    </row>
    <row r="6500" spans="8:8" x14ac:dyDescent="0.3">
      <c r="H6500" s="4"/>
    </row>
    <row r="6501" spans="8:8" x14ac:dyDescent="0.3">
      <c r="H6501" s="4"/>
    </row>
    <row r="6502" spans="8:8" x14ac:dyDescent="0.3">
      <c r="H6502" s="4"/>
    </row>
    <row r="6503" spans="8:8" x14ac:dyDescent="0.3">
      <c r="H6503" s="4"/>
    </row>
    <row r="6504" spans="8:8" x14ac:dyDescent="0.3">
      <c r="H6504" s="4"/>
    </row>
    <row r="6505" spans="8:8" x14ac:dyDescent="0.3">
      <c r="H6505" s="4"/>
    </row>
    <row r="6506" spans="8:8" x14ac:dyDescent="0.3">
      <c r="H6506" s="4"/>
    </row>
    <row r="6507" spans="8:8" x14ac:dyDescent="0.3">
      <c r="H6507" s="4"/>
    </row>
    <row r="6508" spans="8:8" x14ac:dyDescent="0.3">
      <c r="H6508" s="4"/>
    </row>
    <row r="6509" spans="8:8" x14ac:dyDescent="0.3">
      <c r="H6509" s="4"/>
    </row>
    <row r="6510" spans="8:8" x14ac:dyDescent="0.3">
      <c r="H6510" s="4"/>
    </row>
    <row r="6511" spans="8:8" x14ac:dyDescent="0.3">
      <c r="H6511" s="4"/>
    </row>
    <row r="6512" spans="8:8" x14ac:dyDescent="0.3">
      <c r="H6512" s="4"/>
    </row>
    <row r="6513" spans="8:8" x14ac:dyDescent="0.3">
      <c r="H6513" s="4"/>
    </row>
    <row r="6514" spans="8:8" x14ac:dyDescent="0.3">
      <c r="H6514" s="4"/>
    </row>
    <row r="6515" spans="8:8" x14ac:dyDescent="0.3">
      <c r="H6515" s="4"/>
    </row>
    <row r="6516" spans="8:8" x14ac:dyDescent="0.3">
      <c r="H6516" s="4"/>
    </row>
    <row r="6517" spans="8:8" x14ac:dyDescent="0.3">
      <c r="H6517" s="4"/>
    </row>
    <row r="6518" spans="8:8" x14ac:dyDescent="0.3">
      <c r="H6518" s="4"/>
    </row>
    <row r="6519" spans="8:8" x14ac:dyDescent="0.3">
      <c r="H6519" s="4"/>
    </row>
    <row r="6520" spans="8:8" x14ac:dyDescent="0.3">
      <c r="H6520" s="4"/>
    </row>
    <row r="6521" spans="8:8" x14ac:dyDescent="0.3">
      <c r="H6521" s="4"/>
    </row>
    <row r="6522" spans="8:8" x14ac:dyDescent="0.3">
      <c r="H6522" s="4"/>
    </row>
    <row r="6523" spans="8:8" x14ac:dyDescent="0.3">
      <c r="H6523" s="4"/>
    </row>
    <row r="6524" spans="8:8" x14ac:dyDescent="0.3">
      <c r="H6524" s="4"/>
    </row>
    <row r="6525" spans="8:8" x14ac:dyDescent="0.3">
      <c r="H6525" s="4"/>
    </row>
    <row r="6526" spans="8:8" x14ac:dyDescent="0.3">
      <c r="H6526" s="4"/>
    </row>
    <row r="6527" spans="8:8" x14ac:dyDescent="0.3">
      <c r="H6527" s="4"/>
    </row>
    <row r="6528" spans="8:8" x14ac:dyDescent="0.3">
      <c r="H6528" s="4"/>
    </row>
    <row r="6529" spans="8:8" x14ac:dyDescent="0.3">
      <c r="H6529" s="4"/>
    </row>
    <row r="6530" spans="8:8" x14ac:dyDescent="0.3">
      <c r="H6530" s="4"/>
    </row>
    <row r="6531" spans="8:8" x14ac:dyDescent="0.3">
      <c r="H6531" s="4"/>
    </row>
    <row r="6532" spans="8:8" x14ac:dyDescent="0.3">
      <c r="H6532" s="4"/>
    </row>
    <row r="6533" spans="8:8" x14ac:dyDescent="0.3">
      <c r="H6533" s="4"/>
    </row>
    <row r="6534" spans="8:8" x14ac:dyDescent="0.3">
      <c r="H6534" s="4"/>
    </row>
    <row r="6535" spans="8:8" x14ac:dyDescent="0.3">
      <c r="H6535" s="4"/>
    </row>
    <row r="6536" spans="8:8" x14ac:dyDescent="0.3">
      <c r="H6536" s="4"/>
    </row>
    <row r="6537" spans="8:8" x14ac:dyDescent="0.3">
      <c r="H6537" s="4"/>
    </row>
    <row r="6538" spans="8:8" x14ac:dyDescent="0.3">
      <c r="H6538" s="4"/>
    </row>
    <row r="6539" spans="8:8" x14ac:dyDescent="0.3">
      <c r="H6539" s="4"/>
    </row>
    <row r="6540" spans="8:8" x14ac:dyDescent="0.3">
      <c r="H6540" s="4"/>
    </row>
    <row r="6541" spans="8:8" x14ac:dyDescent="0.3">
      <c r="H6541" s="4"/>
    </row>
    <row r="6542" spans="8:8" x14ac:dyDescent="0.3">
      <c r="H6542" s="4"/>
    </row>
    <row r="6543" spans="8:8" x14ac:dyDescent="0.3">
      <c r="H6543" s="4"/>
    </row>
    <row r="6544" spans="8:8" x14ac:dyDescent="0.3">
      <c r="H6544" s="4"/>
    </row>
    <row r="6545" spans="8:8" x14ac:dyDescent="0.3">
      <c r="H6545" s="4"/>
    </row>
    <row r="6546" spans="8:8" x14ac:dyDescent="0.3">
      <c r="H6546" s="4"/>
    </row>
    <row r="6547" spans="8:8" x14ac:dyDescent="0.3">
      <c r="H6547" s="4"/>
    </row>
    <row r="6548" spans="8:8" x14ac:dyDescent="0.3">
      <c r="H6548" s="4"/>
    </row>
    <row r="6549" spans="8:8" x14ac:dyDescent="0.3">
      <c r="H6549" s="4"/>
    </row>
    <row r="6550" spans="8:8" x14ac:dyDescent="0.3">
      <c r="H6550" s="4"/>
    </row>
    <row r="6551" spans="8:8" x14ac:dyDescent="0.3">
      <c r="H6551" s="4"/>
    </row>
    <row r="6552" spans="8:8" x14ac:dyDescent="0.3">
      <c r="H6552" s="4"/>
    </row>
    <row r="6553" spans="8:8" x14ac:dyDescent="0.3">
      <c r="H6553" s="4"/>
    </row>
    <row r="6554" spans="8:8" x14ac:dyDescent="0.3">
      <c r="H6554" s="4"/>
    </row>
    <row r="6555" spans="8:8" x14ac:dyDescent="0.3">
      <c r="H6555" s="4"/>
    </row>
    <row r="6556" spans="8:8" x14ac:dyDescent="0.3">
      <c r="H6556" s="4"/>
    </row>
    <row r="6557" spans="8:8" x14ac:dyDescent="0.3">
      <c r="H6557" s="4"/>
    </row>
    <row r="6558" spans="8:8" x14ac:dyDescent="0.3">
      <c r="H6558" s="4"/>
    </row>
    <row r="6559" spans="8:8" x14ac:dyDescent="0.3">
      <c r="H6559" s="4"/>
    </row>
    <row r="6560" spans="8:8" x14ac:dyDescent="0.3">
      <c r="H6560" s="4"/>
    </row>
    <row r="6561" spans="8:8" x14ac:dyDescent="0.3">
      <c r="H6561" s="4"/>
    </row>
    <row r="6562" spans="8:8" x14ac:dyDescent="0.3">
      <c r="H6562" s="4"/>
    </row>
    <row r="6563" spans="8:8" x14ac:dyDescent="0.3">
      <c r="H6563" s="4"/>
    </row>
    <row r="6564" spans="8:8" x14ac:dyDescent="0.3">
      <c r="H6564" s="4"/>
    </row>
    <row r="6565" spans="8:8" x14ac:dyDescent="0.3">
      <c r="H6565" s="4"/>
    </row>
    <row r="6566" spans="8:8" x14ac:dyDescent="0.3">
      <c r="H6566" s="4"/>
    </row>
    <row r="6567" spans="8:8" x14ac:dyDescent="0.3">
      <c r="H6567" s="4"/>
    </row>
    <row r="6568" spans="8:8" x14ac:dyDescent="0.3">
      <c r="H6568" s="4"/>
    </row>
    <row r="6569" spans="8:8" x14ac:dyDescent="0.3">
      <c r="H6569" s="4"/>
    </row>
    <row r="6570" spans="8:8" x14ac:dyDescent="0.3">
      <c r="H6570" s="4"/>
    </row>
    <row r="6571" spans="8:8" x14ac:dyDescent="0.3">
      <c r="H6571" s="4"/>
    </row>
    <row r="6572" spans="8:8" x14ac:dyDescent="0.3">
      <c r="H6572" s="4"/>
    </row>
    <row r="6573" spans="8:8" x14ac:dyDescent="0.3">
      <c r="H6573" s="4"/>
    </row>
    <row r="6574" spans="8:8" x14ac:dyDescent="0.3">
      <c r="H6574" s="4"/>
    </row>
    <row r="6575" spans="8:8" x14ac:dyDescent="0.3">
      <c r="H6575" s="4"/>
    </row>
    <row r="6576" spans="8:8" x14ac:dyDescent="0.3">
      <c r="H6576" s="4"/>
    </row>
    <row r="6577" spans="8:8" x14ac:dyDescent="0.3">
      <c r="H6577" s="4"/>
    </row>
    <row r="6578" spans="8:8" x14ac:dyDescent="0.3">
      <c r="H6578" s="4"/>
    </row>
    <row r="6579" spans="8:8" x14ac:dyDescent="0.3">
      <c r="H6579" s="4"/>
    </row>
    <row r="6580" spans="8:8" x14ac:dyDescent="0.3">
      <c r="H6580" s="4"/>
    </row>
    <row r="6581" spans="8:8" x14ac:dyDescent="0.3">
      <c r="H6581" s="4"/>
    </row>
    <row r="6582" spans="8:8" x14ac:dyDescent="0.3">
      <c r="H6582" s="4"/>
    </row>
    <row r="6583" spans="8:8" x14ac:dyDescent="0.3">
      <c r="H6583" s="4"/>
    </row>
    <row r="6584" spans="8:8" x14ac:dyDescent="0.3">
      <c r="H6584" s="4"/>
    </row>
    <row r="6585" spans="8:8" x14ac:dyDescent="0.3">
      <c r="H6585" s="4"/>
    </row>
    <row r="6586" spans="8:8" x14ac:dyDescent="0.3">
      <c r="H6586" s="4"/>
    </row>
    <row r="6587" spans="8:8" x14ac:dyDescent="0.3">
      <c r="H6587" s="4"/>
    </row>
    <row r="6588" spans="8:8" x14ac:dyDescent="0.3">
      <c r="H6588" s="4"/>
    </row>
    <row r="6589" spans="8:8" x14ac:dyDescent="0.3">
      <c r="H6589" s="4"/>
    </row>
    <row r="6590" spans="8:8" x14ac:dyDescent="0.3">
      <c r="H6590" s="4"/>
    </row>
    <row r="6591" spans="8:8" x14ac:dyDescent="0.3">
      <c r="H6591" s="4"/>
    </row>
    <row r="6592" spans="8:8" x14ac:dyDescent="0.3">
      <c r="H6592" s="4"/>
    </row>
    <row r="6593" spans="8:8" x14ac:dyDescent="0.3">
      <c r="H6593" s="4"/>
    </row>
    <row r="6594" spans="8:8" x14ac:dyDescent="0.3">
      <c r="H6594" s="4"/>
    </row>
    <row r="6595" spans="8:8" x14ac:dyDescent="0.3">
      <c r="H6595" s="4"/>
    </row>
    <row r="6596" spans="8:8" x14ac:dyDescent="0.3">
      <c r="H6596" s="4"/>
    </row>
    <row r="6597" spans="8:8" x14ac:dyDescent="0.3">
      <c r="H6597" s="4"/>
    </row>
    <row r="6598" spans="8:8" x14ac:dyDescent="0.3">
      <c r="H6598" s="4"/>
    </row>
    <row r="6599" spans="8:8" x14ac:dyDescent="0.3">
      <c r="H6599" s="4"/>
    </row>
    <row r="6600" spans="8:8" x14ac:dyDescent="0.3">
      <c r="H6600" s="4"/>
    </row>
    <row r="6601" spans="8:8" x14ac:dyDescent="0.3">
      <c r="H6601" s="4"/>
    </row>
    <row r="6602" spans="8:8" x14ac:dyDescent="0.3">
      <c r="H6602" s="4"/>
    </row>
    <row r="6603" spans="8:8" x14ac:dyDescent="0.3">
      <c r="H6603" s="4"/>
    </row>
    <row r="6604" spans="8:8" x14ac:dyDescent="0.3">
      <c r="H6604" s="4"/>
    </row>
    <row r="6605" spans="8:8" x14ac:dyDescent="0.3">
      <c r="H6605" s="4"/>
    </row>
    <row r="6606" spans="8:8" x14ac:dyDescent="0.3">
      <c r="H6606" s="4"/>
    </row>
    <row r="6607" spans="8:8" x14ac:dyDescent="0.3">
      <c r="H6607" s="4"/>
    </row>
    <row r="6608" spans="8:8" x14ac:dyDescent="0.3">
      <c r="H6608" s="4"/>
    </row>
    <row r="6609" spans="8:8" x14ac:dyDescent="0.3">
      <c r="H6609" s="4"/>
    </row>
    <row r="6610" spans="8:8" x14ac:dyDescent="0.3">
      <c r="H6610" s="4"/>
    </row>
    <row r="6611" spans="8:8" x14ac:dyDescent="0.3">
      <c r="H6611" s="4"/>
    </row>
    <row r="6612" spans="8:8" x14ac:dyDescent="0.3">
      <c r="H6612" s="4"/>
    </row>
    <row r="6613" spans="8:8" x14ac:dyDescent="0.3">
      <c r="H6613" s="4"/>
    </row>
    <row r="6614" spans="8:8" x14ac:dyDescent="0.3">
      <c r="H6614" s="4"/>
    </row>
    <row r="6615" spans="8:8" x14ac:dyDescent="0.3">
      <c r="H6615" s="4"/>
    </row>
    <row r="6616" spans="8:8" x14ac:dyDescent="0.3">
      <c r="H6616" s="4"/>
    </row>
    <row r="6617" spans="8:8" x14ac:dyDescent="0.3">
      <c r="H6617" s="4"/>
    </row>
    <row r="6618" spans="8:8" x14ac:dyDescent="0.3">
      <c r="H6618" s="4"/>
    </row>
    <row r="6619" spans="8:8" x14ac:dyDescent="0.3">
      <c r="H6619" s="4"/>
    </row>
    <row r="6620" spans="8:8" x14ac:dyDescent="0.3">
      <c r="H6620" s="4"/>
    </row>
    <row r="6621" spans="8:8" x14ac:dyDescent="0.3">
      <c r="H6621" s="4"/>
    </row>
    <row r="6622" spans="8:8" x14ac:dyDescent="0.3">
      <c r="H6622" s="4"/>
    </row>
    <row r="6623" spans="8:8" x14ac:dyDescent="0.3">
      <c r="H6623" s="4"/>
    </row>
    <row r="6624" spans="8:8" x14ac:dyDescent="0.3">
      <c r="H6624" s="4"/>
    </row>
    <row r="6625" spans="8:8" x14ac:dyDescent="0.3">
      <c r="H6625" s="4"/>
    </row>
    <row r="6626" spans="8:8" x14ac:dyDescent="0.3">
      <c r="H6626" s="4"/>
    </row>
    <row r="6627" spans="8:8" x14ac:dyDescent="0.3">
      <c r="H6627" s="4"/>
    </row>
    <row r="6628" spans="8:8" x14ac:dyDescent="0.3">
      <c r="H6628" s="4"/>
    </row>
    <row r="6629" spans="8:8" x14ac:dyDescent="0.3">
      <c r="H6629" s="4"/>
    </row>
    <row r="6630" spans="8:8" x14ac:dyDescent="0.3">
      <c r="H6630" s="4"/>
    </row>
    <row r="6631" spans="8:8" x14ac:dyDescent="0.3">
      <c r="H6631" s="4"/>
    </row>
    <row r="6632" spans="8:8" x14ac:dyDescent="0.3">
      <c r="H6632" s="4"/>
    </row>
    <row r="6633" spans="8:8" x14ac:dyDescent="0.3">
      <c r="H6633" s="4"/>
    </row>
    <row r="6634" spans="8:8" x14ac:dyDescent="0.3">
      <c r="H6634" s="4"/>
    </row>
    <row r="6635" spans="8:8" x14ac:dyDescent="0.3">
      <c r="H6635" s="4"/>
    </row>
    <row r="6636" spans="8:8" x14ac:dyDescent="0.3">
      <c r="H6636" s="4"/>
    </row>
    <row r="6637" spans="8:8" x14ac:dyDescent="0.3">
      <c r="H6637" s="4"/>
    </row>
    <row r="6638" spans="8:8" x14ac:dyDescent="0.3">
      <c r="H6638" s="4"/>
    </row>
    <row r="6639" spans="8:8" x14ac:dyDescent="0.3">
      <c r="H6639" s="4"/>
    </row>
    <row r="6640" spans="8:8" x14ac:dyDescent="0.3">
      <c r="H6640" s="4"/>
    </row>
    <row r="6641" spans="8:8" x14ac:dyDescent="0.3">
      <c r="H6641" s="4"/>
    </row>
    <row r="6642" spans="8:8" x14ac:dyDescent="0.3">
      <c r="H6642" s="4"/>
    </row>
    <row r="6643" spans="8:8" x14ac:dyDescent="0.3">
      <c r="H6643" s="4"/>
    </row>
    <row r="6644" spans="8:8" x14ac:dyDescent="0.3">
      <c r="H6644" s="4"/>
    </row>
    <row r="6645" spans="8:8" x14ac:dyDescent="0.3">
      <c r="H6645" s="4"/>
    </row>
    <row r="6646" spans="8:8" x14ac:dyDescent="0.3">
      <c r="H6646" s="4"/>
    </row>
    <row r="6647" spans="8:8" x14ac:dyDescent="0.3">
      <c r="H6647" s="4"/>
    </row>
    <row r="6648" spans="8:8" x14ac:dyDescent="0.3">
      <c r="H6648" s="4"/>
    </row>
    <row r="6649" spans="8:8" x14ac:dyDescent="0.3">
      <c r="H6649" s="4"/>
    </row>
    <row r="6650" spans="8:8" x14ac:dyDescent="0.3">
      <c r="H6650" s="4"/>
    </row>
    <row r="6651" spans="8:8" x14ac:dyDescent="0.3">
      <c r="H6651" s="4"/>
    </row>
    <row r="6652" spans="8:8" x14ac:dyDescent="0.3">
      <c r="H6652" s="4"/>
    </row>
    <row r="6653" spans="8:8" x14ac:dyDescent="0.3">
      <c r="H6653" s="4"/>
    </row>
    <row r="6654" spans="8:8" x14ac:dyDescent="0.3">
      <c r="H6654" s="4"/>
    </row>
    <row r="6655" spans="8:8" x14ac:dyDescent="0.3">
      <c r="H6655" s="4"/>
    </row>
    <row r="6656" spans="8:8" x14ac:dyDescent="0.3">
      <c r="H6656" s="4"/>
    </row>
    <row r="6657" spans="8:8" x14ac:dyDescent="0.3">
      <c r="H6657" s="4"/>
    </row>
    <row r="6658" spans="8:8" x14ac:dyDescent="0.3">
      <c r="H6658" s="4"/>
    </row>
    <row r="6659" spans="8:8" x14ac:dyDescent="0.3">
      <c r="H6659" s="4"/>
    </row>
    <row r="6660" spans="8:8" x14ac:dyDescent="0.3">
      <c r="H6660" s="4"/>
    </row>
    <row r="6661" spans="8:8" x14ac:dyDescent="0.3">
      <c r="H6661" s="4"/>
    </row>
    <row r="6662" spans="8:8" x14ac:dyDescent="0.3">
      <c r="H6662" s="4"/>
    </row>
    <row r="6663" spans="8:8" x14ac:dyDescent="0.3">
      <c r="H6663" s="4"/>
    </row>
    <row r="6664" spans="8:8" x14ac:dyDescent="0.3">
      <c r="H6664" s="4"/>
    </row>
    <row r="6665" spans="8:8" x14ac:dyDescent="0.3">
      <c r="H6665" s="4"/>
    </row>
    <row r="6666" spans="8:8" x14ac:dyDescent="0.3">
      <c r="H6666" s="4"/>
    </row>
    <row r="6667" spans="8:8" x14ac:dyDescent="0.3">
      <c r="H6667" s="4"/>
    </row>
    <row r="6668" spans="8:8" x14ac:dyDescent="0.3">
      <c r="H6668" s="4"/>
    </row>
    <row r="6669" spans="8:8" x14ac:dyDescent="0.3">
      <c r="H6669" s="4"/>
    </row>
    <row r="6670" spans="8:8" x14ac:dyDescent="0.3">
      <c r="H6670" s="4"/>
    </row>
    <row r="6671" spans="8:8" x14ac:dyDescent="0.3">
      <c r="H6671" s="4"/>
    </row>
    <row r="6672" spans="8:8" x14ac:dyDescent="0.3">
      <c r="H6672" s="4"/>
    </row>
    <row r="6673" spans="8:8" x14ac:dyDescent="0.3">
      <c r="H6673" s="4"/>
    </row>
    <row r="6674" spans="8:8" x14ac:dyDescent="0.3">
      <c r="H6674" s="4"/>
    </row>
    <row r="6675" spans="8:8" x14ac:dyDescent="0.3">
      <c r="H6675" s="4"/>
    </row>
    <row r="6676" spans="8:8" x14ac:dyDescent="0.3">
      <c r="H6676" s="4"/>
    </row>
    <row r="6677" spans="8:8" x14ac:dyDescent="0.3">
      <c r="H6677" s="4"/>
    </row>
    <row r="6678" spans="8:8" x14ac:dyDescent="0.3">
      <c r="H6678" s="4"/>
    </row>
    <row r="6679" spans="8:8" x14ac:dyDescent="0.3">
      <c r="H6679" s="4"/>
    </row>
    <row r="6680" spans="8:8" x14ac:dyDescent="0.3">
      <c r="H6680" s="4"/>
    </row>
    <row r="6681" spans="8:8" x14ac:dyDescent="0.3">
      <c r="H6681" s="4"/>
    </row>
    <row r="6682" spans="8:8" x14ac:dyDescent="0.3">
      <c r="H6682" s="4"/>
    </row>
    <row r="6683" spans="8:8" x14ac:dyDescent="0.3">
      <c r="H6683" s="4"/>
    </row>
    <row r="6684" spans="8:8" x14ac:dyDescent="0.3">
      <c r="H6684" s="4"/>
    </row>
    <row r="6685" spans="8:8" x14ac:dyDescent="0.3">
      <c r="H6685" s="4"/>
    </row>
    <row r="6686" spans="8:8" x14ac:dyDescent="0.3">
      <c r="H6686" s="4"/>
    </row>
    <row r="6687" spans="8:8" x14ac:dyDescent="0.3">
      <c r="H6687" s="4"/>
    </row>
    <row r="6688" spans="8:8" x14ac:dyDescent="0.3">
      <c r="H6688" s="4"/>
    </row>
    <row r="6689" spans="8:8" x14ac:dyDescent="0.3">
      <c r="H6689" s="4"/>
    </row>
    <row r="6690" spans="8:8" x14ac:dyDescent="0.3">
      <c r="H6690" s="4"/>
    </row>
    <row r="6691" spans="8:8" x14ac:dyDescent="0.3">
      <c r="H6691" s="4"/>
    </row>
    <row r="6692" spans="8:8" x14ac:dyDescent="0.3">
      <c r="H6692" s="4"/>
    </row>
    <row r="6693" spans="8:8" x14ac:dyDescent="0.3">
      <c r="H6693" s="4"/>
    </row>
    <row r="6694" spans="8:8" x14ac:dyDescent="0.3">
      <c r="H6694" s="4"/>
    </row>
    <row r="6695" spans="8:8" x14ac:dyDescent="0.3">
      <c r="H6695" s="4"/>
    </row>
    <row r="6696" spans="8:8" x14ac:dyDescent="0.3">
      <c r="H6696" s="4"/>
    </row>
    <row r="6697" spans="8:8" x14ac:dyDescent="0.3">
      <c r="H6697" s="4"/>
    </row>
    <row r="6698" spans="8:8" x14ac:dyDescent="0.3">
      <c r="H6698" s="4"/>
    </row>
    <row r="6699" spans="8:8" x14ac:dyDescent="0.3">
      <c r="H6699" s="4"/>
    </row>
    <row r="6700" spans="8:8" x14ac:dyDescent="0.3">
      <c r="H6700" s="4"/>
    </row>
    <row r="6701" spans="8:8" x14ac:dyDescent="0.3">
      <c r="H6701" s="4"/>
    </row>
    <row r="6702" spans="8:8" x14ac:dyDescent="0.3">
      <c r="H6702" s="4"/>
    </row>
    <row r="6703" spans="8:8" x14ac:dyDescent="0.3">
      <c r="H6703" s="4"/>
    </row>
    <row r="6704" spans="8:8" x14ac:dyDescent="0.3">
      <c r="H6704" s="4"/>
    </row>
    <row r="6705" spans="8:8" x14ac:dyDescent="0.3">
      <c r="H6705" s="4"/>
    </row>
    <row r="6706" spans="8:8" x14ac:dyDescent="0.3">
      <c r="H6706" s="4"/>
    </row>
    <row r="6707" spans="8:8" x14ac:dyDescent="0.3">
      <c r="H6707" s="4"/>
    </row>
    <row r="6708" spans="8:8" x14ac:dyDescent="0.3">
      <c r="H6708" s="4"/>
    </row>
    <row r="6709" spans="8:8" x14ac:dyDescent="0.3">
      <c r="H6709" s="4"/>
    </row>
    <row r="6710" spans="8:8" x14ac:dyDescent="0.3">
      <c r="H6710" s="4"/>
    </row>
    <row r="6711" spans="8:8" x14ac:dyDescent="0.3">
      <c r="H6711" s="4"/>
    </row>
    <row r="6712" spans="8:8" x14ac:dyDescent="0.3">
      <c r="H6712" s="4"/>
    </row>
    <row r="6713" spans="8:8" x14ac:dyDescent="0.3">
      <c r="H6713" s="4"/>
    </row>
    <row r="6714" spans="8:8" x14ac:dyDescent="0.3">
      <c r="H6714" s="4"/>
    </row>
    <row r="6715" spans="8:8" x14ac:dyDescent="0.3">
      <c r="H6715" s="4"/>
    </row>
    <row r="6716" spans="8:8" x14ac:dyDescent="0.3">
      <c r="H6716" s="4"/>
    </row>
    <row r="6717" spans="8:8" x14ac:dyDescent="0.3">
      <c r="H6717" s="4"/>
    </row>
    <row r="6718" spans="8:8" x14ac:dyDescent="0.3">
      <c r="H6718" s="4"/>
    </row>
    <row r="6719" spans="8:8" x14ac:dyDescent="0.3">
      <c r="H6719" s="4"/>
    </row>
    <row r="6720" spans="8:8" x14ac:dyDescent="0.3">
      <c r="H6720" s="4"/>
    </row>
    <row r="6721" spans="8:8" x14ac:dyDescent="0.3">
      <c r="H6721" s="4"/>
    </row>
    <row r="6722" spans="8:8" x14ac:dyDescent="0.3">
      <c r="H6722" s="4"/>
    </row>
    <row r="6723" spans="8:8" x14ac:dyDescent="0.3">
      <c r="H6723" s="4"/>
    </row>
    <row r="6724" spans="8:8" x14ac:dyDescent="0.3">
      <c r="H6724" s="4"/>
    </row>
    <row r="6725" spans="8:8" x14ac:dyDescent="0.3">
      <c r="H6725" s="4"/>
    </row>
    <row r="6726" spans="8:8" x14ac:dyDescent="0.3">
      <c r="H6726" s="4"/>
    </row>
    <row r="6727" spans="8:8" x14ac:dyDescent="0.3">
      <c r="H6727" s="4"/>
    </row>
    <row r="6728" spans="8:8" x14ac:dyDescent="0.3">
      <c r="H6728" s="4"/>
    </row>
    <row r="6729" spans="8:8" x14ac:dyDescent="0.3">
      <c r="H6729" s="4"/>
    </row>
    <row r="6730" spans="8:8" x14ac:dyDescent="0.3">
      <c r="H6730" s="4"/>
    </row>
    <row r="6731" spans="8:8" x14ac:dyDescent="0.3">
      <c r="H6731" s="4"/>
    </row>
    <row r="6732" spans="8:8" x14ac:dyDescent="0.3">
      <c r="H6732" s="4"/>
    </row>
    <row r="6733" spans="8:8" x14ac:dyDescent="0.3">
      <c r="H6733" s="4"/>
    </row>
    <row r="6734" spans="8:8" x14ac:dyDescent="0.3">
      <c r="H6734" s="4"/>
    </row>
    <row r="6735" spans="8:8" x14ac:dyDescent="0.3">
      <c r="H6735" s="4"/>
    </row>
    <row r="6736" spans="8:8" x14ac:dyDescent="0.3">
      <c r="H6736" s="4"/>
    </row>
    <row r="6737" spans="8:8" x14ac:dyDescent="0.3">
      <c r="H6737" s="4"/>
    </row>
    <row r="6738" spans="8:8" x14ac:dyDescent="0.3">
      <c r="H6738" s="4"/>
    </row>
    <row r="6739" spans="8:8" x14ac:dyDescent="0.3">
      <c r="H6739" s="4"/>
    </row>
    <row r="6740" spans="8:8" x14ac:dyDescent="0.3">
      <c r="H6740" s="4"/>
    </row>
    <row r="6741" spans="8:8" x14ac:dyDescent="0.3">
      <c r="H6741" s="4"/>
    </row>
    <row r="6742" spans="8:8" x14ac:dyDescent="0.3">
      <c r="H6742" s="4"/>
    </row>
    <row r="6743" spans="8:8" x14ac:dyDescent="0.3">
      <c r="H6743" s="4"/>
    </row>
    <row r="6744" spans="8:8" x14ac:dyDescent="0.3">
      <c r="H6744" s="4"/>
    </row>
    <row r="6745" spans="8:8" x14ac:dyDescent="0.3">
      <c r="H6745" s="4"/>
    </row>
    <row r="6746" spans="8:8" x14ac:dyDescent="0.3">
      <c r="H6746" s="4"/>
    </row>
    <row r="6747" spans="8:8" x14ac:dyDescent="0.3">
      <c r="H6747" s="4"/>
    </row>
    <row r="6748" spans="8:8" x14ac:dyDescent="0.3">
      <c r="H6748" s="4"/>
    </row>
    <row r="6749" spans="8:8" x14ac:dyDescent="0.3">
      <c r="H6749" s="4"/>
    </row>
    <row r="6750" spans="8:8" x14ac:dyDescent="0.3">
      <c r="H6750" s="4"/>
    </row>
    <row r="6751" spans="8:8" x14ac:dyDescent="0.3">
      <c r="H6751" s="4"/>
    </row>
    <row r="6752" spans="8:8" x14ac:dyDescent="0.3">
      <c r="H6752" s="4"/>
    </row>
    <row r="6753" spans="8:8" x14ac:dyDescent="0.3">
      <c r="H6753" s="4"/>
    </row>
    <row r="6754" spans="8:8" x14ac:dyDescent="0.3">
      <c r="H6754" s="4"/>
    </row>
    <row r="6755" spans="8:8" x14ac:dyDescent="0.3">
      <c r="H6755" s="4"/>
    </row>
    <row r="6756" spans="8:8" x14ac:dyDescent="0.3">
      <c r="H6756" s="4"/>
    </row>
    <row r="6757" spans="8:8" x14ac:dyDescent="0.3">
      <c r="H6757" s="4"/>
    </row>
    <row r="6758" spans="8:8" x14ac:dyDescent="0.3">
      <c r="H6758" s="4"/>
    </row>
    <row r="6759" spans="8:8" x14ac:dyDescent="0.3">
      <c r="H6759" s="4"/>
    </row>
    <row r="6760" spans="8:8" x14ac:dyDescent="0.3">
      <c r="H6760" s="4"/>
    </row>
    <row r="6761" spans="8:8" x14ac:dyDescent="0.3">
      <c r="H6761" s="4"/>
    </row>
    <row r="6762" spans="8:8" x14ac:dyDescent="0.3">
      <c r="H6762" s="4"/>
    </row>
    <row r="6763" spans="8:8" x14ac:dyDescent="0.3">
      <c r="H6763" s="4"/>
    </row>
    <row r="6764" spans="8:8" x14ac:dyDescent="0.3">
      <c r="H6764" s="4"/>
    </row>
    <row r="6765" spans="8:8" x14ac:dyDescent="0.3">
      <c r="H6765" s="4"/>
    </row>
    <row r="6766" spans="8:8" x14ac:dyDescent="0.3">
      <c r="H6766" s="4"/>
    </row>
    <row r="6767" spans="8:8" x14ac:dyDescent="0.3">
      <c r="H6767" s="4"/>
    </row>
    <row r="6768" spans="8:8" x14ac:dyDescent="0.3">
      <c r="H6768" s="4"/>
    </row>
    <row r="6769" spans="8:8" x14ac:dyDescent="0.3">
      <c r="H6769" s="4"/>
    </row>
    <row r="6770" spans="8:8" x14ac:dyDescent="0.3">
      <c r="H6770" s="4"/>
    </row>
    <row r="6771" spans="8:8" x14ac:dyDescent="0.3">
      <c r="H6771" s="4"/>
    </row>
    <row r="6772" spans="8:8" x14ac:dyDescent="0.3">
      <c r="H6772" s="4"/>
    </row>
    <row r="6773" spans="8:8" x14ac:dyDescent="0.3">
      <c r="H6773" s="4"/>
    </row>
    <row r="6774" spans="8:8" x14ac:dyDescent="0.3">
      <c r="H6774" s="4"/>
    </row>
    <row r="6775" spans="8:8" x14ac:dyDescent="0.3">
      <c r="H6775" s="4"/>
    </row>
    <row r="6776" spans="8:8" x14ac:dyDescent="0.3">
      <c r="H6776" s="4"/>
    </row>
    <row r="6777" spans="8:8" x14ac:dyDescent="0.3">
      <c r="H6777" s="4"/>
    </row>
    <row r="6778" spans="8:8" x14ac:dyDescent="0.3">
      <c r="H6778" s="4"/>
    </row>
    <row r="6779" spans="8:8" x14ac:dyDescent="0.3">
      <c r="H6779" s="4"/>
    </row>
    <row r="6780" spans="8:8" x14ac:dyDescent="0.3">
      <c r="H6780" s="4"/>
    </row>
    <row r="6781" spans="8:8" x14ac:dyDescent="0.3">
      <c r="H6781" s="4"/>
    </row>
    <row r="6782" spans="8:8" x14ac:dyDescent="0.3">
      <c r="H6782" s="4"/>
    </row>
    <row r="6783" spans="8:8" x14ac:dyDescent="0.3">
      <c r="H6783" s="4"/>
    </row>
    <row r="6784" spans="8:8" x14ac:dyDescent="0.3">
      <c r="H6784" s="4"/>
    </row>
    <row r="6785" spans="8:8" x14ac:dyDescent="0.3">
      <c r="H6785" s="4"/>
    </row>
    <row r="6786" spans="8:8" x14ac:dyDescent="0.3">
      <c r="H6786" s="4"/>
    </row>
    <row r="6787" spans="8:8" x14ac:dyDescent="0.3">
      <c r="H6787" s="4"/>
    </row>
    <row r="6788" spans="8:8" x14ac:dyDescent="0.3">
      <c r="H6788" s="4"/>
    </row>
    <row r="6789" spans="8:8" x14ac:dyDescent="0.3">
      <c r="H6789" s="4"/>
    </row>
    <row r="6790" spans="8:8" x14ac:dyDescent="0.3">
      <c r="H6790" s="4"/>
    </row>
    <row r="6791" spans="8:8" x14ac:dyDescent="0.3">
      <c r="H6791" s="4"/>
    </row>
    <row r="6792" spans="8:8" x14ac:dyDescent="0.3">
      <c r="H6792" s="4"/>
    </row>
    <row r="6793" spans="8:8" x14ac:dyDescent="0.3">
      <c r="H6793" s="4"/>
    </row>
    <row r="6794" spans="8:8" x14ac:dyDescent="0.3">
      <c r="H6794" s="4"/>
    </row>
    <row r="6795" spans="8:8" x14ac:dyDescent="0.3">
      <c r="H6795" s="4"/>
    </row>
    <row r="6796" spans="8:8" x14ac:dyDescent="0.3">
      <c r="H6796" s="4"/>
    </row>
    <row r="6797" spans="8:8" x14ac:dyDescent="0.3">
      <c r="H6797" s="4"/>
    </row>
    <row r="6798" spans="8:8" x14ac:dyDescent="0.3">
      <c r="H6798" s="4"/>
    </row>
    <row r="6799" spans="8:8" x14ac:dyDescent="0.3">
      <c r="H6799" s="4"/>
    </row>
    <row r="6800" spans="8:8" x14ac:dyDescent="0.3">
      <c r="H6800" s="4"/>
    </row>
    <row r="6801" spans="8:8" x14ac:dyDescent="0.3">
      <c r="H6801" s="4"/>
    </row>
    <row r="6802" spans="8:8" x14ac:dyDescent="0.3">
      <c r="H6802" s="4"/>
    </row>
    <row r="6803" spans="8:8" x14ac:dyDescent="0.3">
      <c r="H6803" s="4"/>
    </row>
    <row r="6804" spans="8:8" x14ac:dyDescent="0.3">
      <c r="H6804" s="4"/>
    </row>
    <row r="6805" spans="8:8" x14ac:dyDescent="0.3">
      <c r="H6805" s="4"/>
    </row>
    <row r="6806" spans="8:8" x14ac:dyDescent="0.3">
      <c r="H6806" s="4"/>
    </row>
    <row r="6807" spans="8:8" x14ac:dyDescent="0.3">
      <c r="H6807" s="4"/>
    </row>
    <row r="6808" spans="8:8" x14ac:dyDescent="0.3">
      <c r="H6808" s="4"/>
    </row>
    <row r="6809" spans="8:8" x14ac:dyDescent="0.3">
      <c r="H6809" s="4"/>
    </row>
    <row r="6810" spans="8:8" x14ac:dyDescent="0.3">
      <c r="H6810" s="4"/>
    </row>
    <row r="6811" spans="8:8" x14ac:dyDescent="0.3">
      <c r="H6811" s="4"/>
    </row>
    <row r="6812" spans="8:8" x14ac:dyDescent="0.3">
      <c r="H6812" s="4"/>
    </row>
    <row r="6813" spans="8:8" x14ac:dyDescent="0.3">
      <c r="H6813" s="4"/>
    </row>
    <row r="6814" spans="8:8" x14ac:dyDescent="0.3">
      <c r="H6814" s="4"/>
    </row>
    <row r="6815" spans="8:8" x14ac:dyDescent="0.3">
      <c r="H6815" s="4"/>
    </row>
    <row r="6816" spans="8:8" x14ac:dyDescent="0.3">
      <c r="H6816" s="4"/>
    </row>
    <row r="6817" spans="8:8" x14ac:dyDescent="0.3">
      <c r="H6817" s="4"/>
    </row>
    <row r="6818" spans="8:8" x14ac:dyDescent="0.3">
      <c r="H6818" s="4"/>
    </row>
    <row r="6819" spans="8:8" x14ac:dyDescent="0.3">
      <c r="H6819" s="4"/>
    </row>
    <row r="6820" spans="8:8" x14ac:dyDescent="0.3">
      <c r="H6820" s="4"/>
    </row>
    <row r="6821" spans="8:8" x14ac:dyDescent="0.3">
      <c r="H6821" s="4"/>
    </row>
    <row r="6822" spans="8:8" x14ac:dyDescent="0.3">
      <c r="H6822" s="4"/>
    </row>
    <row r="6823" spans="8:8" x14ac:dyDescent="0.3">
      <c r="H6823" s="4"/>
    </row>
    <row r="6824" spans="8:8" x14ac:dyDescent="0.3">
      <c r="H6824" s="4"/>
    </row>
    <row r="6825" spans="8:8" x14ac:dyDescent="0.3">
      <c r="H6825" s="4"/>
    </row>
    <row r="6826" spans="8:8" x14ac:dyDescent="0.3">
      <c r="H6826" s="4"/>
    </row>
    <row r="6827" spans="8:8" x14ac:dyDescent="0.3">
      <c r="H6827" s="4"/>
    </row>
    <row r="6828" spans="8:8" x14ac:dyDescent="0.3">
      <c r="H6828" s="4"/>
    </row>
    <row r="6829" spans="8:8" x14ac:dyDescent="0.3">
      <c r="H6829" s="4"/>
    </row>
    <row r="6830" spans="8:8" x14ac:dyDescent="0.3">
      <c r="H6830" s="4"/>
    </row>
    <row r="6831" spans="8:8" x14ac:dyDescent="0.3">
      <c r="H6831" s="4"/>
    </row>
    <row r="6832" spans="8:8" x14ac:dyDescent="0.3">
      <c r="H6832" s="4"/>
    </row>
    <row r="6833" spans="8:8" x14ac:dyDescent="0.3">
      <c r="H6833" s="4"/>
    </row>
    <row r="6834" spans="8:8" x14ac:dyDescent="0.3">
      <c r="H6834" s="4"/>
    </row>
    <row r="6835" spans="8:8" x14ac:dyDescent="0.3">
      <c r="H6835" s="4"/>
    </row>
    <row r="6836" spans="8:8" x14ac:dyDescent="0.3">
      <c r="H6836" s="4"/>
    </row>
    <row r="6837" spans="8:8" x14ac:dyDescent="0.3">
      <c r="H6837" s="4"/>
    </row>
    <row r="6838" spans="8:8" x14ac:dyDescent="0.3">
      <c r="H6838" s="4"/>
    </row>
    <row r="6839" spans="8:8" x14ac:dyDescent="0.3">
      <c r="H6839" s="4"/>
    </row>
    <row r="6840" spans="8:8" x14ac:dyDescent="0.3">
      <c r="H6840" s="4"/>
    </row>
    <row r="6841" spans="8:8" x14ac:dyDescent="0.3">
      <c r="H6841" s="4"/>
    </row>
    <row r="6842" spans="8:8" x14ac:dyDescent="0.3">
      <c r="H6842" s="4"/>
    </row>
    <row r="6843" spans="8:8" x14ac:dyDescent="0.3">
      <c r="H6843" s="4"/>
    </row>
    <row r="6844" spans="8:8" x14ac:dyDescent="0.3">
      <c r="H6844" s="4"/>
    </row>
    <row r="6845" spans="8:8" x14ac:dyDescent="0.3">
      <c r="H6845" s="4"/>
    </row>
    <row r="6846" spans="8:8" x14ac:dyDescent="0.3">
      <c r="H6846" s="4"/>
    </row>
    <row r="6847" spans="8:8" x14ac:dyDescent="0.3">
      <c r="H6847" s="4"/>
    </row>
    <row r="6848" spans="8:8" x14ac:dyDescent="0.3">
      <c r="H6848" s="4"/>
    </row>
    <row r="6849" spans="8:8" x14ac:dyDescent="0.3">
      <c r="H6849" s="4"/>
    </row>
    <row r="6850" spans="8:8" x14ac:dyDescent="0.3">
      <c r="H6850" s="4"/>
    </row>
    <row r="6851" spans="8:8" x14ac:dyDescent="0.3">
      <c r="H6851" s="4"/>
    </row>
    <row r="6852" spans="8:8" x14ac:dyDescent="0.3">
      <c r="H6852" s="4"/>
    </row>
    <row r="6853" spans="8:8" x14ac:dyDescent="0.3">
      <c r="H6853" s="4"/>
    </row>
    <row r="6854" spans="8:8" x14ac:dyDescent="0.3">
      <c r="H6854" s="4"/>
    </row>
    <row r="6855" spans="8:8" x14ac:dyDescent="0.3">
      <c r="H6855" s="4"/>
    </row>
    <row r="6856" spans="8:8" x14ac:dyDescent="0.3">
      <c r="H6856" s="4"/>
    </row>
    <row r="6857" spans="8:8" x14ac:dyDescent="0.3">
      <c r="H6857" s="4"/>
    </row>
    <row r="6858" spans="8:8" x14ac:dyDescent="0.3">
      <c r="H6858" s="4"/>
    </row>
    <row r="6859" spans="8:8" x14ac:dyDescent="0.3">
      <c r="H6859" s="4"/>
    </row>
    <row r="6860" spans="8:8" x14ac:dyDescent="0.3">
      <c r="H6860" s="4"/>
    </row>
    <row r="6861" spans="8:8" x14ac:dyDescent="0.3">
      <c r="H6861" s="4"/>
    </row>
    <row r="6862" spans="8:8" x14ac:dyDescent="0.3">
      <c r="H6862" s="4"/>
    </row>
    <row r="6863" spans="8:8" x14ac:dyDescent="0.3">
      <c r="H6863" s="4"/>
    </row>
    <row r="6864" spans="8:8" x14ac:dyDescent="0.3">
      <c r="H6864" s="4"/>
    </row>
    <row r="6865" spans="8:8" x14ac:dyDescent="0.3">
      <c r="H6865" s="4"/>
    </row>
    <row r="6866" spans="8:8" x14ac:dyDescent="0.3">
      <c r="H6866" s="4"/>
    </row>
    <row r="6867" spans="8:8" x14ac:dyDescent="0.3">
      <c r="H6867" s="4"/>
    </row>
    <row r="6868" spans="8:8" x14ac:dyDescent="0.3">
      <c r="H6868" s="4"/>
    </row>
    <row r="6869" spans="8:8" x14ac:dyDescent="0.3">
      <c r="H6869" s="4"/>
    </row>
    <row r="6870" spans="8:8" x14ac:dyDescent="0.3">
      <c r="H6870" s="4"/>
    </row>
    <row r="6871" spans="8:8" x14ac:dyDescent="0.3">
      <c r="H6871" s="4"/>
    </row>
    <row r="6872" spans="8:8" x14ac:dyDescent="0.3">
      <c r="H6872" s="4"/>
    </row>
    <row r="6873" spans="8:8" x14ac:dyDescent="0.3">
      <c r="H6873" s="4"/>
    </row>
    <row r="6874" spans="8:8" x14ac:dyDescent="0.3">
      <c r="H6874" s="4"/>
    </row>
    <row r="6875" spans="8:8" x14ac:dyDescent="0.3">
      <c r="H6875" s="4"/>
    </row>
    <row r="6876" spans="8:8" x14ac:dyDescent="0.3">
      <c r="H6876" s="4"/>
    </row>
    <row r="6877" spans="8:8" x14ac:dyDescent="0.3">
      <c r="H6877" s="4"/>
    </row>
    <row r="6878" spans="8:8" x14ac:dyDescent="0.3">
      <c r="H6878" s="4"/>
    </row>
    <row r="6879" spans="8:8" x14ac:dyDescent="0.3">
      <c r="H6879" s="4"/>
    </row>
    <row r="6880" spans="8:8" x14ac:dyDescent="0.3">
      <c r="H6880" s="4"/>
    </row>
    <row r="6881" spans="8:8" x14ac:dyDescent="0.3">
      <c r="H6881" s="4"/>
    </row>
    <row r="6882" spans="8:8" x14ac:dyDescent="0.3">
      <c r="H6882" s="4"/>
    </row>
    <row r="6883" spans="8:8" x14ac:dyDescent="0.3">
      <c r="H6883" s="4"/>
    </row>
    <row r="6884" spans="8:8" x14ac:dyDescent="0.3">
      <c r="H6884" s="4"/>
    </row>
    <row r="6885" spans="8:8" x14ac:dyDescent="0.3">
      <c r="H6885" s="4"/>
    </row>
    <row r="6886" spans="8:8" x14ac:dyDescent="0.3">
      <c r="H6886" s="4"/>
    </row>
    <row r="6887" spans="8:8" x14ac:dyDescent="0.3">
      <c r="H6887" s="4"/>
    </row>
    <row r="6888" spans="8:8" x14ac:dyDescent="0.3">
      <c r="H6888" s="4"/>
    </row>
    <row r="6889" spans="8:8" x14ac:dyDescent="0.3">
      <c r="H6889" s="4"/>
    </row>
    <row r="6890" spans="8:8" x14ac:dyDescent="0.3">
      <c r="H6890" s="4"/>
    </row>
    <row r="6891" spans="8:8" x14ac:dyDescent="0.3">
      <c r="H6891" s="4"/>
    </row>
    <row r="6892" spans="8:8" x14ac:dyDescent="0.3">
      <c r="H6892" s="4"/>
    </row>
    <row r="6893" spans="8:8" x14ac:dyDescent="0.3">
      <c r="H6893" s="4"/>
    </row>
    <row r="6894" spans="8:8" x14ac:dyDescent="0.3">
      <c r="H6894" s="4"/>
    </row>
    <row r="6895" spans="8:8" x14ac:dyDescent="0.3">
      <c r="H6895" s="4"/>
    </row>
    <row r="6896" spans="8:8" x14ac:dyDescent="0.3">
      <c r="H6896" s="4"/>
    </row>
    <row r="6897" spans="8:8" x14ac:dyDescent="0.3">
      <c r="H6897" s="4"/>
    </row>
    <row r="6898" spans="8:8" x14ac:dyDescent="0.3">
      <c r="H6898" s="4"/>
    </row>
    <row r="6899" spans="8:8" x14ac:dyDescent="0.3">
      <c r="H6899" s="4"/>
    </row>
    <row r="6900" spans="8:8" x14ac:dyDescent="0.3">
      <c r="H6900" s="4"/>
    </row>
    <row r="6901" spans="8:8" x14ac:dyDescent="0.3">
      <c r="H6901" s="4"/>
    </row>
    <row r="6902" spans="8:8" x14ac:dyDescent="0.3">
      <c r="H6902" s="4"/>
    </row>
    <row r="6903" spans="8:8" x14ac:dyDescent="0.3">
      <c r="H6903" s="4"/>
    </row>
    <row r="6904" spans="8:8" x14ac:dyDescent="0.3">
      <c r="H6904" s="4"/>
    </row>
    <row r="6905" spans="8:8" x14ac:dyDescent="0.3">
      <c r="H6905" s="4"/>
    </row>
    <row r="6906" spans="8:8" x14ac:dyDescent="0.3">
      <c r="H6906" s="4"/>
    </row>
    <row r="6907" spans="8:8" x14ac:dyDescent="0.3">
      <c r="H6907" s="4"/>
    </row>
    <row r="6908" spans="8:8" x14ac:dyDescent="0.3">
      <c r="H6908" s="4"/>
    </row>
    <row r="6909" spans="8:8" x14ac:dyDescent="0.3">
      <c r="H6909" s="4"/>
    </row>
    <row r="6910" spans="8:8" x14ac:dyDescent="0.3">
      <c r="H6910" s="4"/>
    </row>
    <row r="6911" spans="8:8" x14ac:dyDescent="0.3">
      <c r="H6911" s="4"/>
    </row>
    <row r="6912" spans="8:8" x14ac:dyDescent="0.3">
      <c r="H6912" s="4"/>
    </row>
    <row r="6913" spans="8:8" x14ac:dyDescent="0.3">
      <c r="H6913" s="4"/>
    </row>
    <row r="6914" spans="8:8" x14ac:dyDescent="0.3">
      <c r="H6914" s="4"/>
    </row>
    <row r="6915" spans="8:8" x14ac:dyDescent="0.3">
      <c r="H6915" s="4"/>
    </row>
    <row r="6916" spans="8:8" x14ac:dyDescent="0.3">
      <c r="H6916" s="4"/>
    </row>
    <row r="6917" spans="8:8" x14ac:dyDescent="0.3">
      <c r="H6917" s="4"/>
    </row>
    <row r="6918" spans="8:8" x14ac:dyDescent="0.3">
      <c r="H6918" s="4"/>
    </row>
    <row r="6919" spans="8:8" x14ac:dyDescent="0.3">
      <c r="H6919" s="4"/>
    </row>
    <row r="6920" spans="8:8" x14ac:dyDescent="0.3">
      <c r="H6920" s="4"/>
    </row>
    <row r="6921" spans="8:8" x14ac:dyDescent="0.3">
      <c r="H6921" s="4"/>
    </row>
    <row r="6922" spans="8:8" x14ac:dyDescent="0.3">
      <c r="H6922" s="4"/>
    </row>
    <row r="6923" spans="8:8" x14ac:dyDescent="0.3">
      <c r="H6923" s="4"/>
    </row>
    <row r="6924" spans="8:8" x14ac:dyDescent="0.3">
      <c r="H6924" s="4"/>
    </row>
    <row r="6925" spans="8:8" x14ac:dyDescent="0.3">
      <c r="H6925" s="4"/>
    </row>
    <row r="6926" spans="8:8" x14ac:dyDescent="0.3">
      <c r="H6926" s="4"/>
    </row>
    <row r="6927" spans="8:8" x14ac:dyDescent="0.3">
      <c r="H6927" s="4"/>
    </row>
    <row r="6928" spans="8:8" x14ac:dyDescent="0.3">
      <c r="H6928" s="4"/>
    </row>
    <row r="6929" spans="8:8" x14ac:dyDescent="0.3">
      <c r="H6929" s="4"/>
    </row>
    <row r="6930" spans="8:8" x14ac:dyDescent="0.3">
      <c r="H6930" s="4"/>
    </row>
    <row r="6931" spans="8:8" x14ac:dyDescent="0.3">
      <c r="H6931" s="4"/>
    </row>
    <row r="6932" spans="8:8" x14ac:dyDescent="0.3">
      <c r="H6932" s="4"/>
    </row>
    <row r="6933" spans="8:8" x14ac:dyDescent="0.3">
      <c r="H6933" s="4"/>
    </row>
    <row r="6934" spans="8:8" x14ac:dyDescent="0.3">
      <c r="H6934" s="4"/>
    </row>
    <row r="6935" spans="8:8" x14ac:dyDescent="0.3">
      <c r="H6935" s="4"/>
    </row>
    <row r="6936" spans="8:8" x14ac:dyDescent="0.3">
      <c r="H6936" s="4"/>
    </row>
    <row r="6937" spans="8:8" x14ac:dyDescent="0.3">
      <c r="H6937" s="4"/>
    </row>
    <row r="6938" spans="8:8" x14ac:dyDescent="0.3">
      <c r="H6938" s="4"/>
    </row>
    <row r="6939" spans="8:8" x14ac:dyDescent="0.3">
      <c r="H6939" s="4"/>
    </row>
    <row r="6940" spans="8:8" x14ac:dyDescent="0.3">
      <c r="H6940" s="4"/>
    </row>
    <row r="6941" spans="8:8" x14ac:dyDescent="0.3">
      <c r="H6941" s="4"/>
    </row>
    <row r="6942" spans="8:8" x14ac:dyDescent="0.3">
      <c r="H6942" s="4"/>
    </row>
    <row r="6943" spans="8:8" x14ac:dyDescent="0.3">
      <c r="H6943" s="4"/>
    </row>
    <row r="6944" spans="8:8" x14ac:dyDescent="0.3">
      <c r="H6944" s="4"/>
    </row>
    <row r="6945" spans="8:8" x14ac:dyDescent="0.3">
      <c r="H6945" s="4"/>
    </row>
    <row r="6946" spans="8:8" x14ac:dyDescent="0.3">
      <c r="H6946" s="4"/>
    </row>
    <row r="6947" spans="8:8" x14ac:dyDescent="0.3">
      <c r="H6947" s="4"/>
    </row>
    <row r="6948" spans="8:8" x14ac:dyDescent="0.3">
      <c r="H6948" s="4"/>
    </row>
    <row r="6949" spans="8:8" x14ac:dyDescent="0.3">
      <c r="H6949" s="4"/>
    </row>
    <row r="6950" spans="8:8" x14ac:dyDescent="0.3">
      <c r="H6950" s="4"/>
    </row>
    <row r="6951" spans="8:8" x14ac:dyDescent="0.3">
      <c r="H6951" s="4"/>
    </row>
    <row r="6952" spans="8:8" x14ac:dyDescent="0.3">
      <c r="H6952" s="4"/>
    </row>
    <row r="6953" spans="8:8" x14ac:dyDescent="0.3">
      <c r="H6953" s="4"/>
    </row>
    <row r="6954" spans="8:8" x14ac:dyDescent="0.3">
      <c r="H6954" s="4"/>
    </row>
    <row r="6955" spans="8:8" x14ac:dyDescent="0.3">
      <c r="H6955" s="4"/>
    </row>
    <row r="6956" spans="8:8" x14ac:dyDescent="0.3">
      <c r="H6956" s="4"/>
    </row>
    <row r="6957" spans="8:8" x14ac:dyDescent="0.3">
      <c r="H6957" s="4"/>
    </row>
    <row r="6958" spans="8:8" x14ac:dyDescent="0.3">
      <c r="H6958" s="4"/>
    </row>
    <row r="6959" spans="8:8" x14ac:dyDescent="0.3">
      <c r="H6959" s="4"/>
    </row>
    <row r="6960" spans="8:8" x14ac:dyDescent="0.3">
      <c r="H6960" s="4"/>
    </row>
    <row r="6961" spans="8:8" x14ac:dyDescent="0.3">
      <c r="H6961" s="4"/>
    </row>
    <row r="6962" spans="8:8" x14ac:dyDescent="0.3">
      <c r="H6962" s="4"/>
    </row>
    <row r="6963" spans="8:8" x14ac:dyDescent="0.3">
      <c r="H6963" s="4"/>
    </row>
    <row r="6964" spans="8:8" x14ac:dyDescent="0.3">
      <c r="H6964" s="4"/>
    </row>
    <row r="6965" spans="8:8" x14ac:dyDescent="0.3">
      <c r="H6965" s="4"/>
    </row>
    <row r="6966" spans="8:8" x14ac:dyDescent="0.3">
      <c r="H6966" s="4"/>
    </row>
    <row r="6967" spans="8:8" x14ac:dyDescent="0.3">
      <c r="H6967" s="4"/>
    </row>
    <row r="6968" spans="8:8" x14ac:dyDescent="0.3">
      <c r="H6968" s="4"/>
    </row>
    <row r="6969" spans="8:8" x14ac:dyDescent="0.3">
      <c r="H6969" s="4"/>
    </row>
    <row r="6970" spans="8:8" x14ac:dyDescent="0.3">
      <c r="H6970" s="4"/>
    </row>
    <row r="6971" spans="8:8" x14ac:dyDescent="0.3">
      <c r="H6971" s="4"/>
    </row>
    <row r="6972" spans="8:8" x14ac:dyDescent="0.3">
      <c r="H6972" s="4"/>
    </row>
    <row r="6973" spans="8:8" x14ac:dyDescent="0.3">
      <c r="H6973" s="4"/>
    </row>
    <row r="6974" spans="8:8" x14ac:dyDescent="0.3">
      <c r="H6974" s="4"/>
    </row>
    <row r="6975" spans="8:8" x14ac:dyDescent="0.3">
      <c r="H6975" s="4"/>
    </row>
    <row r="6976" spans="8:8" x14ac:dyDescent="0.3">
      <c r="H6976" s="4"/>
    </row>
    <row r="6977" spans="8:8" x14ac:dyDescent="0.3">
      <c r="H6977" s="4"/>
    </row>
    <row r="6978" spans="8:8" x14ac:dyDescent="0.3">
      <c r="H6978" s="4"/>
    </row>
    <row r="6979" spans="8:8" x14ac:dyDescent="0.3">
      <c r="H6979" s="4"/>
    </row>
    <row r="6980" spans="8:8" x14ac:dyDescent="0.3">
      <c r="H6980" s="4"/>
    </row>
    <row r="6981" spans="8:8" x14ac:dyDescent="0.3">
      <c r="H6981" s="4"/>
    </row>
    <row r="6982" spans="8:8" x14ac:dyDescent="0.3">
      <c r="H6982" s="4"/>
    </row>
    <row r="6983" spans="8:8" x14ac:dyDescent="0.3">
      <c r="H6983" s="4"/>
    </row>
    <row r="6984" spans="8:8" x14ac:dyDescent="0.3">
      <c r="H6984" s="4"/>
    </row>
    <row r="6985" spans="8:8" x14ac:dyDescent="0.3">
      <c r="H6985" s="4"/>
    </row>
    <row r="6986" spans="8:8" x14ac:dyDescent="0.3">
      <c r="H6986" s="4"/>
    </row>
    <row r="6987" spans="8:8" x14ac:dyDescent="0.3">
      <c r="H6987" s="4"/>
    </row>
    <row r="6988" spans="8:8" x14ac:dyDescent="0.3">
      <c r="H6988" s="4"/>
    </row>
    <row r="6989" spans="8:8" x14ac:dyDescent="0.3">
      <c r="H6989" s="4"/>
    </row>
    <row r="6990" spans="8:8" x14ac:dyDescent="0.3">
      <c r="H6990" s="4"/>
    </row>
    <row r="6991" spans="8:8" x14ac:dyDescent="0.3">
      <c r="H6991" s="4"/>
    </row>
    <row r="6992" spans="8:8" x14ac:dyDescent="0.3">
      <c r="H6992" s="4"/>
    </row>
    <row r="6993" spans="8:8" x14ac:dyDescent="0.3">
      <c r="H6993" s="4"/>
    </row>
    <row r="6994" spans="8:8" x14ac:dyDescent="0.3">
      <c r="H6994" s="4"/>
    </row>
    <row r="6995" spans="8:8" x14ac:dyDescent="0.3">
      <c r="H6995" s="4"/>
    </row>
    <row r="6996" spans="8:8" x14ac:dyDescent="0.3">
      <c r="H6996" s="4"/>
    </row>
    <row r="6997" spans="8:8" x14ac:dyDescent="0.3">
      <c r="H6997" s="4"/>
    </row>
    <row r="6998" spans="8:8" x14ac:dyDescent="0.3">
      <c r="H6998" s="4"/>
    </row>
    <row r="6999" spans="8:8" x14ac:dyDescent="0.3">
      <c r="H6999" s="4"/>
    </row>
    <row r="7000" spans="8:8" x14ac:dyDescent="0.3">
      <c r="H7000" s="4"/>
    </row>
    <row r="7001" spans="8:8" x14ac:dyDescent="0.3">
      <c r="H7001" s="4"/>
    </row>
    <row r="7002" spans="8:8" x14ac:dyDescent="0.3">
      <c r="H7002" s="4"/>
    </row>
    <row r="7003" spans="8:8" x14ac:dyDescent="0.3">
      <c r="H7003" s="4"/>
    </row>
    <row r="7004" spans="8:8" x14ac:dyDescent="0.3">
      <c r="H7004" s="4"/>
    </row>
    <row r="7005" spans="8:8" x14ac:dyDescent="0.3">
      <c r="H7005" s="4"/>
    </row>
    <row r="7006" spans="8:8" x14ac:dyDescent="0.3">
      <c r="H7006" s="4"/>
    </row>
    <row r="7007" spans="8:8" x14ac:dyDescent="0.3">
      <c r="H7007" s="4"/>
    </row>
    <row r="7008" spans="8:8" x14ac:dyDescent="0.3">
      <c r="H7008" s="4"/>
    </row>
    <row r="7009" spans="8:8" x14ac:dyDescent="0.3">
      <c r="H7009" s="4"/>
    </row>
    <row r="7010" spans="8:8" x14ac:dyDescent="0.3">
      <c r="H7010" s="4"/>
    </row>
    <row r="7011" spans="8:8" x14ac:dyDescent="0.3">
      <c r="H7011" s="4"/>
    </row>
    <row r="7012" spans="8:8" x14ac:dyDescent="0.3">
      <c r="H7012" s="4"/>
    </row>
    <row r="7013" spans="8:8" x14ac:dyDescent="0.3">
      <c r="H7013" s="4"/>
    </row>
    <row r="7014" spans="8:8" x14ac:dyDescent="0.3">
      <c r="H7014" s="4"/>
    </row>
    <row r="7015" spans="8:8" x14ac:dyDescent="0.3">
      <c r="H7015" s="4"/>
    </row>
    <row r="7016" spans="8:8" x14ac:dyDescent="0.3">
      <c r="H7016" s="4"/>
    </row>
    <row r="7017" spans="8:8" x14ac:dyDescent="0.3">
      <c r="H7017" s="4"/>
    </row>
    <row r="7018" spans="8:8" x14ac:dyDescent="0.3">
      <c r="H7018" s="4"/>
    </row>
    <row r="7019" spans="8:8" x14ac:dyDescent="0.3">
      <c r="H7019" s="4"/>
    </row>
    <row r="7020" spans="8:8" x14ac:dyDescent="0.3">
      <c r="H7020" s="4"/>
    </row>
    <row r="7021" spans="8:8" x14ac:dyDescent="0.3">
      <c r="H7021" s="4"/>
    </row>
    <row r="7022" spans="8:8" x14ac:dyDescent="0.3">
      <c r="H7022" s="4"/>
    </row>
    <row r="7023" spans="8:8" x14ac:dyDescent="0.3">
      <c r="H7023" s="4"/>
    </row>
    <row r="7024" spans="8:8" x14ac:dyDescent="0.3">
      <c r="H7024" s="4"/>
    </row>
    <row r="7025" spans="8:8" x14ac:dyDescent="0.3">
      <c r="H7025" s="4"/>
    </row>
    <row r="7026" spans="8:8" x14ac:dyDescent="0.3">
      <c r="H7026" s="4"/>
    </row>
    <row r="7027" spans="8:8" x14ac:dyDescent="0.3">
      <c r="H7027" s="4"/>
    </row>
    <row r="7028" spans="8:8" x14ac:dyDescent="0.3">
      <c r="H7028" s="4"/>
    </row>
    <row r="7029" spans="8:8" x14ac:dyDescent="0.3">
      <c r="H7029" s="4"/>
    </row>
    <row r="7030" spans="8:8" x14ac:dyDescent="0.3">
      <c r="H7030" s="4"/>
    </row>
    <row r="7031" spans="8:8" x14ac:dyDescent="0.3">
      <c r="H7031" s="4"/>
    </row>
    <row r="7032" spans="8:8" x14ac:dyDescent="0.3">
      <c r="H7032" s="4"/>
    </row>
    <row r="7033" spans="8:8" x14ac:dyDescent="0.3">
      <c r="H7033" s="4"/>
    </row>
    <row r="7034" spans="8:8" x14ac:dyDescent="0.3">
      <c r="H7034" s="4"/>
    </row>
    <row r="7035" spans="8:8" x14ac:dyDescent="0.3">
      <c r="H7035" s="4"/>
    </row>
    <row r="7036" spans="8:8" x14ac:dyDescent="0.3">
      <c r="H7036" s="4"/>
    </row>
    <row r="7037" spans="8:8" x14ac:dyDescent="0.3">
      <c r="H7037" s="4"/>
    </row>
    <row r="7038" spans="8:8" x14ac:dyDescent="0.3">
      <c r="H7038" s="4"/>
    </row>
    <row r="7039" spans="8:8" x14ac:dyDescent="0.3">
      <c r="H7039" s="4"/>
    </row>
    <row r="7040" spans="8:8" x14ac:dyDescent="0.3">
      <c r="H7040" s="4"/>
    </row>
    <row r="7041" spans="8:8" x14ac:dyDescent="0.3">
      <c r="H7041" s="4"/>
    </row>
    <row r="7042" spans="8:8" x14ac:dyDescent="0.3">
      <c r="H7042" s="4"/>
    </row>
    <row r="7043" spans="8:8" x14ac:dyDescent="0.3">
      <c r="H7043" s="4"/>
    </row>
    <row r="7044" spans="8:8" x14ac:dyDescent="0.3">
      <c r="H7044" s="4"/>
    </row>
    <row r="7045" spans="8:8" x14ac:dyDescent="0.3">
      <c r="H7045" s="4"/>
    </row>
    <row r="7046" spans="8:8" x14ac:dyDescent="0.3">
      <c r="H7046" s="4"/>
    </row>
    <row r="7047" spans="8:8" x14ac:dyDescent="0.3">
      <c r="H7047" s="4"/>
    </row>
    <row r="7048" spans="8:8" x14ac:dyDescent="0.3">
      <c r="H7048" s="4"/>
    </row>
    <row r="7049" spans="8:8" x14ac:dyDescent="0.3">
      <c r="H7049" s="4"/>
    </row>
    <row r="7050" spans="8:8" x14ac:dyDescent="0.3">
      <c r="H7050" s="4"/>
    </row>
    <row r="7051" spans="8:8" x14ac:dyDescent="0.3">
      <c r="H7051" s="4"/>
    </row>
    <row r="7052" spans="8:8" x14ac:dyDescent="0.3">
      <c r="H7052" s="4"/>
    </row>
    <row r="7053" spans="8:8" x14ac:dyDescent="0.3">
      <c r="H7053" s="4"/>
    </row>
    <row r="7054" spans="8:8" x14ac:dyDescent="0.3">
      <c r="H7054" s="4"/>
    </row>
    <row r="7055" spans="8:8" x14ac:dyDescent="0.3">
      <c r="H7055" s="4"/>
    </row>
    <row r="7056" spans="8:8" x14ac:dyDescent="0.3">
      <c r="H7056" s="4"/>
    </row>
    <row r="7057" spans="8:8" x14ac:dyDescent="0.3">
      <c r="H7057" s="4"/>
    </row>
    <row r="7058" spans="8:8" x14ac:dyDescent="0.3">
      <c r="H7058" s="4"/>
    </row>
    <row r="7059" spans="8:8" x14ac:dyDescent="0.3">
      <c r="H7059" s="4"/>
    </row>
    <row r="7060" spans="8:8" x14ac:dyDescent="0.3">
      <c r="H7060" s="4"/>
    </row>
    <row r="7061" spans="8:8" x14ac:dyDescent="0.3">
      <c r="H7061" s="4"/>
    </row>
    <row r="7062" spans="8:8" x14ac:dyDescent="0.3">
      <c r="H7062" s="4"/>
    </row>
    <row r="7063" spans="8:8" x14ac:dyDescent="0.3">
      <c r="H7063" s="4"/>
    </row>
    <row r="7064" spans="8:8" x14ac:dyDescent="0.3">
      <c r="H7064" s="4"/>
    </row>
    <row r="7065" spans="8:8" x14ac:dyDescent="0.3">
      <c r="H7065" s="4"/>
    </row>
    <row r="7066" spans="8:8" x14ac:dyDescent="0.3">
      <c r="H7066" s="4"/>
    </row>
    <row r="7067" spans="8:8" x14ac:dyDescent="0.3">
      <c r="H7067" s="4"/>
    </row>
    <row r="7068" spans="8:8" x14ac:dyDescent="0.3">
      <c r="H7068" s="4"/>
    </row>
    <row r="7069" spans="8:8" x14ac:dyDescent="0.3">
      <c r="H7069" s="4"/>
    </row>
    <row r="7070" spans="8:8" x14ac:dyDescent="0.3">
      <c r="H7070" s="4"/>
    </row>
    <row r="7071" spans="8:8" x14ac:dyDescent="0.3">
      <c r="H7071" s="4"/>
    </row>
    <row r="7072" spans="8:8" x14ac:dyDescent="0.3">
      <c r="H7072" s="4"/>
    </row>
    <row r="7073" spans="8:8" x14ac:dyDescent="0.3">
      <c r="H7073" s="4"/>
    </row>
    <row r="7074" spans="8:8" x14ac:dyDescent="0.3">
      <c r="H7074" s="4"/>
    </row>
    <row r="7075" spans="8:8" x14ac:dyDescent="0.3">
      <c r="H7075" s="4"/>
    </row>
    <row r="7076" spans="8:8" x14ac:dyDescent="0.3">
      <c r="H7076" s="4"/>
    </row>
    <row r="7077" spans="8:8" x14ac:dyDescent="0.3">
      <c r="H7077" s="4"/>
    </row>
    <row r="7078" spans="8:8" x14ac:dyDescent="0.3">
      <c r="H7078" s="4"/>
    </row>
    <row r="7079" spans="8:8" x14ac:dyDescent="0.3">
      <c r="H7079" s="4"/>
    </row>
    <row r="7080" spans="8:8" x14ac:dyDescent="0.3">
      <c r="H7080" s="4"/>
    </row>
    <row r="7081" spans="8:8" x14ac:dyDescent="0.3">
      <c r="H7081" s="4"/>
    </row>
    <row r="7082" spans="8:8" x14ac:dyDescent="0.3">
      <c r="H7082" s="4"/>
    </row>
    <row r="7083" spans="8:8" x14ac:dyDescent="0.3">
      <c r="H7083" s="4"/>
    </row>
    <row r="7084" spans="8:8" x14ac:dyDescent="0.3">
      <c r="H7084" s="4"/>
    </row>
    <row r="7085" spans="8:8" x14ac:dyDescent="0.3">
      <c r="H7085" s="4"/>
    </row>
    <row r="7086" spans="8:8" x14ac:dyDescent="0.3">
      <c r="H7086" s="4"/>
    </row>
    <row r="7087" spans="8:8" x14ac:dyDescent="0.3">
      <c r="H7087" s="4"/>
    </row>
    <row r="7088" spans="8:8" x14ac:dyDescent="0.3">
      <c r="H7088" s="4"/>
    </row>
    <row r="7089" spans="8:8" x14ac:dyDescent="0.3">
      <c r="H7089" s="4"/>
    </row>
    <row r="7090" spans="8:8" x14ac:dyDescent="0.3">
      <c r="H7090" s="4"/>
    </row>
    <row r="7091" spans="8:8" x14ac:dyDescent="0.3">
      <c r="H7091" s="4"/>
    </row>
    <row r="7092" spans="8:8" x14ac:dyDescent="0.3">
      <c r="H7092" s="4"/>
    </row>
    <row r="7093" spans="8:8" x14ac:dyDescent="0.3">
      <c r="H7093" s="4"/>
    </row>
    <row r="7094" spans="8:8" x14ac:dyDescent="0.3">
      <c r="H7094" s="4"/>
    </row>
    <row r="7095" spans="8:8" x14ac:dyDescent="0.3">
      <c r="H7095" s="4"/>
    </row>
    <row r="7096" spans="8:8" x14ac:dyDescent="0.3">
      <c r="H7096" s="4"/>
    </row>
    <row r="7097" spans="8:8" x14ac:dyDescent="0.3">
      <c r="H7097" s="4"/>
    </row>
    <row r="7098" spans="8:8" x14ac:dyDescent="0.3">
      <c r="H7098" s="4"/>
    </row>
    <row r="7099" spans="8:8" x14ac:dyDescent="0.3">
      <c r="H7099" s="4"/>
    </row>
    <row r="7100" spans="8:8" x14ac:dyDescent="0.3">
      <c r="H7100" s="4"/>
    </row>
    <row r="7101" spans="8:8" x14ac:dyDescent="0.3">
      <c r="H7101" s="4"/>
    </row>
    <row r="7102" spans="8:8" x14ac:dyDescent="0.3">
      <c r="H7102" s="4"/>
    </row>
    <row r="7103" spans="8:8" x14ac:dyDescent="0.3">
      <c r="H7103" s="4"/>
    </row>
    <row r="7104" spans="8:8" x14ac:dyDescent="0.3">
      <c r="H7104" s="4"/>
    </row>
    <row r="7105" spans="8:8" x14ac:dyDescent="0.3">
      <c r="H7105" s="4"/>
    </row>
    <row r="7106" spans="8:8" x14ac:dyDescent="0.3">
      <c r="H7106" s="4"/>
    </row>
    <row r="7107" spans="8:8" x14ac:dyDescent="0.3">
      <c r="H7107" s="4"/>
    </row>
    <row r="7108" spans="8:8" x14ac:dyDescent="0.3">
      <c r="H7108" s="4"/>
    </row>
    <row r="7109" spans="8:8" x14ac:dyDescent="0.3">
      <c r="H7109" s="4"/>
    </row>
    <row r="7110" spans="8:8" x14ac:dyDescent="0.3">
      <c r="H7110" s="4"/>
    </row>
    <row r="7111" spans="8:8" x14ac:dyDescent="0.3">
      <c r="H7111" s="4"/>
    </row>
    <row r="7112" spans="8:8" x14ac:dyDescent="0.3">
      <c r="H7112" s="4"/>
    </row>
    <row r="7113" spans="8:8" x14ac:dyDescent="0.3">
      <c r="H7113" s="4"/>
    </row>
    <row r="7114" spans="8:8" x14ac:dyDescent="0.3">
      <c r="H7114" s="4"/>
    </row>
    <row r="7115" spans="8:8" x14ac:dyDescent="0.3">
      <c r="H7115" s="4"/>
    </row>
    <row r="7116" spans="8:8" x14ac:dyDescent="0.3">
      <c r="H7116" s="4"/>
    </row>
    <row r="7117" spans="8:8" x14ac:dyDescent="0.3">
      <c r="H7117" s="4"/>
    </row>
    <row r="7118" spans="8:8" x14ac:dyDescent="0.3">
      <c r="H7118" s="4"/>
    </row>
    <row r="7119" spans="8:8" x14ac:dyDescent="0.3">
      <c r="H7119" s="4"/>
    </row>
    <row r="7120" spans="8:8" x14ac:dyDescent="0.3">
      <c r="H7120" s="4"/>
    </row>
    <row r="7121" spans="8:8" x14ac:dyDescent="0.3">
      <c r="H7121" s="4"/>
    </row>
    <row r="7122" spans="8:8" x14ac:dyDescent="0.3">
      <c r="H7122" s="4"/>
    </row>
    <row r="7123" spans="8:8" x14ac:dyDescent="0.3">
      <c r="H7123" s="4"/>
    </row>
    <row r="7124" spans="8:8" x14ac:dyDescent="0.3">
      <c r="H7124" s="4"/>
    </row>
    <row r="7125" spans="8:8" x14ac:dyDescent="0.3">
      <c r="H7125" s="4"/>
    </row>
    <row r="7126" spans="8:8" x14ac:dyDescent="0.3">
      <c r="H7126" s="4"/>
    </row>
    <row r="7127" spans="8:8" x14ac:dyDescent="0.3">
      <c r="H7127" s="4"/>
    </row>
    <row r="7128" spans="8:8" x14ac:dyDescent="0.3">
      <c r="H7128" s="4"/>
    </row>
    <row r="7129" spans="8:8" x14ac:dyDescent="0.3">
      <c r="H7129" s="4"/>
    </row>
    <row r="7130" spans="8:8" x14ac:dyDescent="0.3">
      <c r="H7130" s="4"/>
    </row>
    <row r="7131" spans="8:8" x14ac:dyDescent="0.3">
      <c r="H7131" s="4"/>
    </row>
    <row r="7132" spans="8:8" x14ac:dyDescent="0.3">
      <c r="H7132" s="4"/>
    </row>
    <row r="7133" spans="8:8" x14ac:dyDescent="0.3">
      <c r="H7133" s="4"/>
    </row>
    <row r="7134" spans="8:8" x14ac:dyDescent="0.3">
      <c r="H7134" s="4"/>
    </row>
    <row r="7135" spans="8:8" x14ac:dyDescent="0.3">
      <c r="H7135" s="4"/>
    </row>
    <row r="7136" spans="8:8" x14ac:dyDescent="0.3">
      <c r="H7136" s="4"/>
    </row>
    <row r="7137" spans="8:8" x14ac:dyDescent="0.3">
      <c r="H7137" s="4"/>
    </row>
    <row r="7138" spans="8:8" x14ac:dyDescent="0.3">
      <c r="H7138" s="4"/>
    </row>
    <row r="7139" spans="8:8" x14ac:dyDescent="0.3">
      <c r="H7139" s="4"/>
    </row>
    <row r="7140" spans="8:8" x14ac:dyDescent="0.3">
      <c r="H7140" s="4"/>
    </row>
    <row r="7141" spans="8:8" x14ac:dyDescent="0.3">
      <c r="H7141" s="4"/>
    </row>
    <row r="7142" spans="8:8" x14ac:dyDescent="0.3">
      <c r="H7142" s="4"/>
    </row>
    <row r="7143" spans="8:8" x14ac:dyDescent="0.3">
      <c r="H7143" s="4"/>
    </row>
    <row r="7144" spans="8:8" x14ac:dyDescent="0.3">
      <c r="H7144" s="4"/>
    </row>
    <row r="7145" spans="8:8" x14ac:dyDescent="0.3">
      <c r="H7145" s="4"/>
    </row>
    <row r="7146" spans="8:8" x14ac:dyDescent="0.3">
      <c r="H7146" s="4"/>
    </row>
    <row r="7147" spans="8:8" x14ac:dyDescent="0.3">
      <c r="H7147" s="4"/>
    </row>
    <row r="7148" spans="8:8" x14ac:dyDescent="0.3">
      <c r="H7148" s="4"/>
    </row>
    <row r="7149" spans="8:8" x14ac:dyDescent="0.3">
      <c r="H7149" s="4"/>
    </row>
    <row r="7150" spans="8:8" x14ac:dyDescent="0.3">
      <c r="H7150" s="4"/>
    </row>
    <row r="7151" spans="8:8" x14ac:dyDescent="0.3">
      <c r="H7151" s="4"/>
    </row>
    <row r="7152" spans="8:8" x14ac:dyDescent="0.3">
      <c r="H7152" s="4"/>
    </row>
    <row r="7153" spans="8:8" x14ac:dyDescent="0.3">
      <c r="H7153" s="4"/>
    </row>
    <row r="7154" spans="8:8" x14ac:dyDescent="0.3">
      <c r="H7154" s="4"/>
    </row>
    <row r="7155" spans="8:8" x14ac:dyDescent="0.3">
      <c r="H7155" s="4"/>
    </row>
    <row r="7156" spans="8:8" x14ac:dyDescent="0.3">
      <c r="H7156" s="4"/>
    </row>
    <row r="7157" spans="8:8" x14ac:dyDescent="0.3">
      <c r="H7157" s="4"/>
    </row>
    <row r="7158" spans="8:8" x14ac:dyDescent="0.3">
      <c r="H7158" s="4"/>
    </row>
    <row r="7159" spans="8:8" x14ac:dyDescent="0.3">
      <c r="H7159" s="4"/>
    </row>
    <row r="7160" spans="8:8" x14ac:dyDescent="0.3">
      <c r="H7160" s="4"/>
    </row>
    <row r="7161" spans="8:8" x14ac:dyDescent="0.3">
      <c r="H7161" s="4"/>
    </row>
    <row r="7162" spans="8:8" x14ac:dyDescent="0.3">
      <c r="H7162" s="4"/>
    </row>
    <row r="7163" spans="8:8" x14ac:dyDescent="0.3">
      <c r="H7163" s="4"/>
    </row>
    <row r="7164" spans="8:8" x14ac:dyDescent="0.3">
      <c r="H7164" s="4"/>
    </row>
    <row r="7165" spans="8:8" x14ac:dyDescent="0.3">
      <c r="H7165" s="4"/>
    </row>
    <row r="7166" spans="8:8" x14ac:dyDescent="0.3">
      <c r="H7166" s="4"/>
    </row>
    <row r="7167" spans="8:8" x14ac:dyDescent="0.3">
      <c r="H7167" s="4"/>
    </row>
    <row r="7168" spans="8:8" x14ac:dyDescent="0.3">
      <c r="H7168" s="4"/>
    </row>
    <row r="7169" spans="8:8" x14ac:dyDescent="0.3">
      <c r="H7169" s="4"/>
    </row>
    <row r="7170" spans="8:8" x14ac:dyDescent="0.3">
      <c r="H7170" s="4"/>
    </row>
    <row r="7171" spans="8:8" x14ac:dyDescent="0.3">
      <c r="H7171" s="4"/>
    </row>
    <row r="7172" spans="8:8" x14ac:dyDescent="0.3">
      <c r="H7172" s="4"/>
    </row>
    <row r="7173" spans="8:8" x14ac:dyDescent="0.3">
      <c r="H7173" s="4"/>
    </row>
    <row r="7174" spans="8:8" x14ac:dyDescent="0.3">
      <c r="H7174" s="4"/>
    </row>
    <row r="7175" spans="8:8" x14ac:dyDescent="0.3">
      <c r="H7175" s="4"/>
    </row>
    <row r="7176" spans="8:8" x14ac:dyDescent="0.3">
      <c r="H7176" s="4"/>
    </row>
    <row r="7177" spans="8:8" x14ac:dyDescent="0.3">
      <c r="H7177" s="4"/>
    </row>
    <row r="7178" spans="8:8" x14ac:dyDescent="0.3">
      <c r="H7178" s="4"/>
    </row>
    <row r="7179" spans="8:8" x14ac:dyDescent="0.3">
      <c r="H7179" s="4"/>
    </row>
    <row r="7180" spans="8:8" x14ac:dyDescent="0.3">
      <c r="H7180" s="4"/>
    </row>
    <row r="7181" spans="8:8" x14ac:dyDescent="0.3">
      <c r="H7181" s="4"/>
    </row>
    <row r="7182" spans="8:8" x14ac:dyDescent="0.3">
      <c r="H7182" s="4"/>
    </row>
    <row r="7183" spans="8:8" x14ac:dyDescent="0.3">
      <c r="H7183" s="4"/>
    </row>
    <row r="7184" spans="8:8" x14ac:dyDescent="0.3">
      <c r="H7184" s="4"/>
    </row>
    <row r="7185" spans="8:8" x14ac:dyDescent="0.3">
      <c r="H7185" s="4"/>
    </row>
    <row r="7186" spans="8:8" x14ac:dyDescent="0.3">
      <c r="H7186" s="4"/>
    </row>
    <row r="7187" spans="8:8" x14ac:dyDescent="0.3">
      <c r="H7187" s="4"/>
    </row>
    <row r="7188" spans="8:8" x14ac:dyDescent="0.3">
      <c r="H7188" s="4"/>
    </row>
    <row r="7189" spans="8:8" x14ac:dyDescent="0.3">
      <c r="H7189" s="4"/>
    </row>
    <row r="7190" spans="8:8" x14ac:dyDescent="0.3">
      <c r="H7190" s="4"/>
    </row>
    <row r="7191" spans="8:8" x14ac:dyDescent="0.3">
      <c r="H7191" s="4"/>
    </row>
    <row r="7192" spans="8:8" x14ac:dyDescent="0.3">
      <c r="H7192" s="4"/>
    </row>
    <row r="7193" spans="8:8" x14ac:dyDescent="0.3">
      <c r="H7193" s="4"/>
    </row>
    <row r="7194" spans="8:8" x14ac:dyDescent="0.3">
      <c r="H7194" s="4"/>
    </row>
    <row r="7195" spans="8:8" x14ac:dyDescent="0.3">
      <c r="H7195" s="4"/>
    </row>
    <row r="7196" spans="8:8" x14ac:dyDescent="0.3">
      <c r="H7196" s="4"/>
    </row>
    <row r="7197" spans="8:8" x14ac:dyDescent="0.3">
      <c r="H7197" s="4"/>
    </row>
    <row r="7198" spans="8:8" x14ac:dyDescent="0.3">
      <c r="H7198" s="4"/>
    </row>
    <row r="7199" spans="8:8" x14ac:dyDescent="0.3">
      <c r="H7199" s="4"/>
    </row>
    <row r="7200" spans="8:8" x14ac:dyDescent="0.3">
      <c r="H7200" s="4"/>
    </row>
    <row r="7201" spans="8:8" x14ac:dyDescent="0.3">
      <c r="H7201" s="4"/>
    </row>
    <row r="7202" spans="8:8" x14ac:dyDescent="0.3">
      <c r="H7202" s="4"/>
    </row>
    <row r="7203" spans="8:8" x14ac:dyDescent="0.3">
      <c r="H7203" s="4"/>
    </row>
    <row r="7204" spans="8:8" x14ac:dyDescent="0.3">
      <c r="H7204" s="4"/>
    </row>
    <row r="7205" spans="8:8" x14ac:dyDescent="0.3">
      <c r="H7205" s="4"/>
    </row>
    <row r="7206" spans="8:8" x14ac:dyDescent="0.3">
      <c r="H7206" s="4"/>
    </row>
    <row r="7207" spans="8:8" x14ac:dyDescent="0.3">
      <c r="H7207" s="4"/>
    </row>
    <row r="7208" spans="8:8" x14ac:dyDescent="0.3">
      <c r="H7208" s="4"/>
    </row>
    <row r="7209" spans="8:8" x14ac:dyDescent="0.3">
      <c r="H7209" s="4"/>
    </row>
    <row r="7210" spans="8:8" x14ac:dyDescent="0.3">
      <c r="H7210" s="4"/>
    </row>
    <row r="7211" spans="8:8" x14ac:dyDescent="0.3">
      <c r="H7211" s="4"/>
    </row>
    <row r="7212" spans="8:8" x14ac:dyDescent="0.3">
      <c r="H7212" s="4"/>
    </row>
    <row r="7213" spans="8:8" x14ac:dyDescent="0.3">
      <c r="H7213" s="4"/>
    </row>
    <row r="7214" spans="8:8" x14ac:dyDescent="0.3">
      <c r="H7214" s="4"/>
    </row>
    <row r="7215" spans="8:8" x14ac:dyDescent="0.3">
      <c r="H7215" s="4"/>
    </row>
    <row r="7216" spans="8:8" x14ac:dyDescent="0.3">
      <c r="H7216" s="4"/>
    </row>
    <row r="7217" spans="8:8" x14ac:dyDescent="0.3">
      <c r="H7217" s="4"/>
    </row>
    <row r="7218" spans="8:8" x14ac:dyDescent="0.3">
      <c r="H7218" s="4"/>
    </row>
    <row r="7219" spans="8:8" x14ac:dyDescent="0.3">
      <c r="H7219" s="4"/>
    </row>
    <row r="7220" spans="8:8" x14ac:dyDescent="0.3">
      <c r="H7220" s="4"/>
    </row>
    <row r="7221" spans="8:8" x14ac:dyDescent="0.3">
      <c r="H7221" s="4"/>
    </row>
    <row r="7222" spans="8:8" x14ac:dyDescent="0.3">
      <c r="H7222" s="4"/>
    </row>
    <row r="7223" spans="8:8" x14ac:dyDescent="0.3">
      <c r="H7223" s="4"/>
    </row>
    <row r="7224" spans="8:8" x14ac:dyDescent="0.3">
      <c r="H7224" s="4"/>
    </row>
    <row r="7225" spans="8:8" x14ac:dyDescent="0.3">
      <c r="H7225" s="4"/>
    </row>
    <row r="7226" spans="8:8" x14ac:dyDescent="0.3">
      <c r="H7226" s="4"/>
    </row>
    <row r="7227" spans="8:8" x14ac:dyDescent="0.3">
      <c r="H7227" s="4"/>
    </row>
    <row r="7228" spans="8:8" x14ac:dyDescent="0.3">
      <c r="H7228" s="4"/>
    </row>
    <row r="7229" spans="8:8" x14ac:dyDescent="0.3">
      <c r="H7229" s="4"/>
    </row>
    <row r="7230" spans="8:8" x14ac:dyDescent="0.3">
      <c r="H7230" s="4"/>
    </row>
    <row r="7231" spans="8:8" x14ac:dyDescent="0.3">
      <c r="H7231" s="4"/>
    </row>
    <row r="7232" spans="8:8" x14ac:dyDescent="0.3">
      <c r="H7232" s="4"/>
    </row>
    <row r="7233" spans="8:8" x14ac:dyDescent="0.3">
      <c r="H7233" s="4"/>
    </row>
    <row r="7234" spans="8:8" x14ac:dyDescent="0.3">
      <c r="H7234" s="4"/>
    </row>
    <row r="7235" spans="8:8" x14ac:dyDescent="0.3">
      <c r="H7235" s="4"/>
    </row>
    <row r="7236" spans="8:8" x14ac:dyDescent="0.3">
      <c r="H7236" s="4"/>
    </row>
    <row r="7237" spans="8:8" x14ac:dyDescent="0.3">
      <c r="H7237" s="4"/>
    </row>
    <row r="7238" spans="8:8" x14ac:dyDescent="0.3">
      <c r="H7238" s="4"/>
    </row>
    <row r="7239" spans="8:8" x14ac:dyDescent="0.3">
      <c r="H7239" s="4"/>
    </row>
    <row r="7240" spans="8:8" x14ac:dyDescent="0.3">
      <c r="H7240" s="4"/>
    </row>
    <row r="7241" spans="8:8" x14ac:dyDescent="0.3">
      <c r="H7241" s="4"/>
    </row>
    <row r="7242" spans="8:8" x14ac:dyDescent="0.3">
      <c r="H7242" s="4"/>
    </row>
    <row r="7243" spans="8:8" x14ac:dyDescent="0.3">
      <c r="H7243" s="4"/>
    </row>
    <row r="7244" spans="8:8" x14ac:dyDescent="0.3">
      <c r="H7244" s="4"/>
    </row>
    <row r="7245" spans="8:8" x14ac:dyDescent="0.3">
      <c r="H7245" s="4"/>
    </row>
    <row r="7246" spans="8:8" x14ac:dyDescent="0.3">
      <c r="H7246" s="4"/>
    </row>
    <row r="7247" spans="8:8" x14ac:dyDescent="0.3">
      <c r="H7247" s="4"/>
    </row>
    <row r="7248" spans="8:8" x14ac:dyDescent="0.3">
      <c r="H7248" s="4"/>
    </row>
    <row r="7249" spans="8:8" x14ac:dyDescent="0.3">
      <c r="H7249" s="4"/>
    </row>
    <row r="7250" spans="8:8" x14ac:dyDescent="0.3">
      <c r="H7250" s="4"/>
    </row>
    <row r="7251" spans="8:8" x14ac:dyDescent="0.3">
      <c r="H7251" s="4"/>
    </row>
    <row r="7252" spans="8:8" x14ac:dyDescent="0.3">
      <c r="H7252" s="4"/>
    </row>
    <row r="7253" spans="8:8" x14ac:dyDescent="0.3">
      <c r="H7253" s="4"/>
    </row>
    <row r="7254" spans="8:8" x14ac:dyDescent="0.3">
      <c r="H7254" s="4"/>
    </row>
    <row r="7255" spans="8:8" x14ac:dyDescent="0.3">
      <c r="H7255" s="4"/>
    </row>
    <row r="7256" spans="8:8" x14ac:dyDescent="0.3">
      <c r="H7256" s="4"/>
    </row>
    <row r="7257" spans="8:8" x14ac:dyDescent="0.3">
      <c r="H7257" s="4"/>
    </row>
    <row r="7258" spans="8:8" x14ac:dyDescent="0.3">
      <c r="H7258" s="4"/>
    </row>
    <row r="7259" spans="8:8" x14ac:dyDescent="0.3">
      <c r="H7259" s="4"/>
    </row>
    <row r="7260" spans="8:8" x14ac:dyDescent="0.3">
      <c r="H7260" s="4"/>
    </row>
    <row r="7261" spans="8:8" x14ac:dyDescent="0.3">
      <c r="H7261" s="4"/>
    </row>
    <row r="7262" spans="8:8" x14ac:dyDescent="0.3">
      <c r="H7262" s="4"/>
    </row>
    <row r="7263" spans="8:8" x14ac:dyDescent="0.3">
      <c r="H7263" s="4"/>
    </row>
    <row r="7264" spans="8:8" x14ac:dyDescent="0.3">
      <c r="H7264" s="4"/>
    </row>
    <row r="7265" spans="8:8" x14ac:dyDescent="0.3">
      <c r="H7265" s="4"/>
    </row>
    <row r="7266" spans="8:8" x14ac:dyDescent="0.3">
      <c r="H7266" s="4"/>
    </row>
    <row r="7267" spans="8:8" x14ac:dyDescent="0.3">
      <c r="H7267" s="4"/>
    </row>
    <row r="7268" spans="8:8" x14ac:dyDescent="0.3">
      <c r="H7268" s="4"/>
    </row>
    <row r="7269" spans="8:8" x14ac:dyDescent="0.3">
      <c r="H7269" s="4"/>
    </row>
    <row r="7270" spans="8:8" x14ac:dyDescent="0.3">
      <c r="H7270" s="4"/>
    </row>
    <row r="7271" spans="8:8" x14ac:dyDescent="0.3">
      <c r="H7271" s="4"/>
    </row>
    <row r="7272" spans="8:8" x14ac:dyDescent="0.3">
      <c r="H7272" s="4"/>
    </row>
    <row r="7273" spans="8:8" x14ac:dyDescent="0.3">
      <c r="H7273" s="4"/>
    </row>
    <row r="7274" spans="8:8" x14ac:dyDescent="0.3">
      <c r="H7274" s="4"/>
    </row>
    <row r="7275" spans="8:8" x14ac:dyDescent="0.3">
      <c r="H7275" s="4"/>
    </row>
    <row r="7276" spans="8:8" x14ac:dyDescent="0.3">
      <c r="H7276" s="4"/>
    </row>
    <row r="7277" spans="8:8" x14ac:dyDescent="0.3">
      <c r="H7277" s="4"/>
    </row>
    <row r="7278" spans="8:8" x14ac:dyDescent="0.3">
      <c r="H7278" s="4"/>
    </row>
    <row r="7279" spans="8:8" x14ac:dyDescent="0.3">
      <c r="H7279" s="4"/>
    </row>
    <row r="7280" spans="8:8" x14ac:dyDescent="0.3">
      <c r="H7280" s="4"/>
    </row>
    <row r="7281" spans="8:8" x14ac:dyDescent="0.3">
      <c r="H7281" s="4"/>
    </row>
    <row r="7282" spans="8:8" x14ac:dyDescent="0.3">
      <c r="H7282" s="4"/>
    </row>
    <row r="7283" spans="8:8" x14ac:dyDescent="0.3">
      <c r="H7283" s="4"/>
    </row>
    <row r="7284" spans="8:8" x14ac:dyDescent="0.3">
      <c r="H7284" s="4"/>
    </row>
    <row r="7285" spans="8:8" x14ac:dyDescent="0.3">
      <c r="H7285" s="4"/>
    </row>
    <row r="7286" spans="8:8" x14ac:dyDescent="0.3">
      <c r="H7286" s="4"/>
    </row>
    <row r="7287" spans="8:8" x14ac:dyDescent="0.3">
      <c r="H7287" s="4"/>
    </row>
    <row r="7288" spans="8:8" x14ac:dyDescent="0.3">
      <c r="H7288" s="4"/>
    </row>
    <row r="7289" spans="8:8" x14ac:dyDescent="0.3">
      <c r="H7289" s="4"/>
    </row>
    <row r="7290" spans="8:8" x14ac:dyDescent="0.3">
      <c r="H7290" s="4"/>
    </row>
    <row r="7291" spans="8:8" x14ac:dyDescent="0.3">
      <c r="H7291" s="4"/>
    </row>
    <row r="7292" spans="8:8" x14ac:dyDescent="0.3">
      <c r="H7292" s="4"/>
    </row>
    <row r="7293" spans="8:8" x14ac:dyDescent="0.3">
      <c r="H7293" s="4"/>
    </row>
    <row r="7294" spans="8:8" x14ac:dyDescent="0.3">
      <c r="H7294" s="4"/>
    </row>
    <row r="7295" spans="8:8" x14ac:dyDescent="0.3">
      <c r="H7295" s="4"/>
    </row>
    <row r="7296" spans="8:8" x14ac:dyDescent="0.3">
      <c r="H7296" s="4"/>
    </row>
    <row r="7297" spans="8:8" x14ac:dyDescent="0.3">
      <c r="H7297" s="4"/>
    </row>
    <row r="7298" spans="8:8" x14ac:dyDescent="0.3">
      <c r="H7298" s="4"/>
    </row>
    <row r="7299" spans="8:8" x14ac:dyDescent="0.3">
      <c r="H7299" s="4"/>
    </row>
    <row r="7300" spans="8:8" x14ac:dyDescent="0.3">
      <c r="H7300" s="4"/>
    </row>
    <row r="7301" spans="8:8" x14ac:dyDescent="0.3">
      <c r="H7301" s="4"/>
    </row>
    <row r="7302" spans="8:8" x14ac:dyDescent="0.3">
      <c r="H7302" s="4"/>
    </row>
    <row r="7303" spans="8:8" x14ac:dyDescent="0.3">
      <c r="H7303" s="4"/>
    </row>
    <row r="7304" spans="8:8" x14ac:dyDescent="0.3">
      <c r="H7304" s="4"/>
    </row>
    <row r="7305" spans="8:8" x14ac:dyDescent="0.3">
      <c r="H7305" s="4"/>
    </row>
    <row r="7306" spans="8:8" x14ac:dyDescent="0.3">
      <c r="H7306" s="4"/>
    </row>
    <row r="7307" spans="8:8" x14ac:dyDescent="0.3">
      <c r="H7307" s="4"/>
    </row>
    <row r="7308" spans="8:8" x14ac:dyDescent="0.3">
      <c r="H7308" s="4"/>
    </row>
    <row r="7309" spans="8:8" x14ac:dyDescent="0.3">
      <c r="H7309" s="4"/>
    </row>
    <row r="7310" spans="8:8" x14ac:dyDescent="0.3">
      <c r="H7310" s="4"/>
    </row>
    <row r="7311" spans="8:8" x14ac:dyDescent="0.3">
      <c r="H7311" s="4"/>
    </row>
    <row r="7312" spans="8:8" x14ac:dyDescent="0.3">
      <c r="H7312" s="4"/>
    </row>
    <row r="7313" spans="8:8" x14ac:dyDescent="0.3">
      <c r="H7313" s="4"/>
    </row>
    <row r="7314" spans="8:8" x14ac:dyDescent="0.3">
      <c r="H7314" s="4"/>
    </row>
    <row r="7315" spans="8:8" x14ac:dyDescent="0.3">
      <c r="H7315" s="4"/>
    </row>
    <row r="7316" spans="8:8" x14ac:dyDescent="0.3">
      <c r="H7316" s="4"/>
    </row>
    <row r="7317" spans="8:8" x14ac:dyDescent="0.3">
      <c r="H7317" s="4"/>
    </row>
    <row r="7318" spans="8:8" x14ac:dyDescent="0.3">
      <c r="H7318" s="4"/>
    </row>
    <row r="7319" spans="8:8" x14ac:dyDescent="0.3">
      <c r="H7319" s="4"/>
    </row>
    <row r="7320" spans="8:8" x14ac:dyDescent="0.3">
      <c r="H7320" s="4"/>
    </row>
    <row r="7321" spans="8:8" x14ac:dyDescent="0.3">
      <c r="H7321" s="4"/>
    </row>
    <row r="7322" spans="8:8" x14ac:dyDescent="0.3">
      <c r="H7322" s="4"/>
    </row>
    <row r="7323" spans="8:8" x14ac:dyDescent="0.3">
      <c r="H7323" s="4"/>
    </row>
    <row r="7324" spans="8:8" x14ac:dyDescent="0.3">
      <c r="H7324" s="4"/>
    </row>
    <row r="7325" spans="8:8" x14ac:dyDescent="0.3">
      <c r="H7325" s="4"/>
    </row>
    <row r="7326" spans="8:8" x14ac:dyDescent="0.3">
      <c r="H7326" s="4"/>
    </row>
    <row r="7327" spans="8:8" x14ac:dyDescent="0.3">
      <c r="H7327" s="4"/>
    </row>
    <row r="7328" spans="8:8" x14ac:dyDescent="0.3">
      <c r="H7328" s="4"/>
    </row>
    <row r="7329" spans="8:8" x14ac:dyDescent="0.3">
      <c r="H7329" s="4"/>
    </row>
    <row r="7330" spans="8:8" x14ac:dyDescent="0.3">
      <c r="H7330" s="4"/>
    </row>
    <row r="7331" spans="8:8" x14ac:dyDescent="0.3">
      <c r="H7331" s="4"/>
    </row>
    <row r="7332" spans="8:8" x14ac:dyDescent="0.3">
      <c r="H7332" s="4"/>
    </row>
    <row r="7333" spans="8:8" x14ac:dyDescent="0.3">
      <c r="H7333" s="4"/>
    </row>
    <row r="7334" spans="8:8" x14ac:dyDescent="0.3">
      <c r="H7334" s="4"/>
    </row>
    <row r="7335" spans="8:8" x14ac:dyDescent="0.3">
      <c r="H7335" s="4"/>
    </row>
    <row r="7336" spans="8:8" x14ac:dyDescent="0.3">
      <c r="H7336" s="4"/>
    </row>
    <row r="7337" spans="8:8" x14ac:dyDescent="0.3">
      <c r="H7337" s="4"/>
    </row>
    <row r="7338" spans="8:8" x14ac:dyDescent="0.3">
      <c r="H7338" s="4"/>
    </row>
    <row r="7339" spans="8:8" x14ac:dyDescent="0.3">
      <c r="H7339" s="4"/>
    </row>
    <row r="7340" spans="8:8" x14ac:dyDescent="0.3">
      <c r="H7340" s="4"/>
    </row>
    <row r="7341" spans="8:8" x14ac:dyDescent="0.3">
      <c r="H7341" s="4"/>
    </row>
    <row r="7342" spans="8:8" x14ac:dyDescent="0.3">
      <c r="H7342" s="4"/>
    </row>
    <row r="7343" spans="8:8" x14ac:dyDescent="0.3">
      <c r="H7343" s="4"/>
    </row>
    <row r="7344" spans="8:8" x14ac:dyDescent="0.3">
      <c r="H7344" s="4"/>
    </row>
    <row r="7345" spans="8:8" x14ac:dyDescent="0.3">
      <c r="H7345" s="4"/>
    </row>
    <row r="7346" spans="8:8" x14ac:dyDescent="0.3">
      <c r="H7346" s="4"/>
    </row>
    <row r="7347" spans="8:8" x14ac:dyDescent="0.3">
      <c r="H7347" s="4"/>
    </row>
    <row r="7348" spans="8:8" x14ac:dyDescent="0.3">
      <c r="H7348" s="4"/>
    </row>
    <row r="7349" spans="8:8" x14ac:dyDescent="0.3">
      <c r="H7349" s="4"/>
    </row>
    <row r="7350" spans="8:8" x14ac:dyDescent="0.3">
      <c r="H7350" s="4"/>
    </row>
    <row r="7351" spans="8:8" x14ac:dyDescent="0.3">
      <c r="H7351" s="4"/>
    </row>
    <row r="7352" spans="8:8" x14ac:dyDescent="0.3">
      <c r="H7352" s="4"/>
    </row>
    <row r="7353" spans="8:8" x14ac:dyDescent="0.3">
      <c r="H7353" s="4"/>
    </row>
    <row r="7354" spans="8:8" x14ac:dyDescent="0.3">
      <c r="H7354" s="4"/>
    </row>
    <row r="7355" spans="8:8" x14ac:dyDescent="0.3">
      <c r="H7355" s="4"/>
    </row>
    <row r="7356" spans="8:8" x14ac:dyDescent="0.3">
      <c r="H7356" s="4"/>
    </row>
    <row r="7357" spans="8:8" x14ac:dyDescent="0.3">
      <c r="H7357" s="4"/>
    </row>
    <row r="7358" spans="8:8" x14ac:dyDescent="0.3">
      <c r="H7358" s="4"/>
    </row>
    <row r="7359" spans="8:8" x14ac:dyDescent="0.3">
      <c r="H7359" s="4"/>
    </row>
    <row r="7360" spans="8:8" x14ac:dyDescent="0.3">
      <c r="H7360" s="4"/>
    </row>
    <row r="7361" spans="8:8" x14ac:dyDescent="0.3">
      <c r="H7361" s="4"/>
    </row>
    <row r="7362" spans="8:8" x14ac:dyDescent="0.3">
      <c r="H7362" s="4"/>
    </row>
    <row r="7363" spans="8:8" x14ac:dyDescent="0.3">
      <c r="H7363" s="4"/>
    </row>
    <row r="7364" spans="8:8" x14ac:dyDescent="0.3">
      <c r="H7364" s="4"/>
    </row>
    <row r="7365" spans="8:8" x14ac:dyDescent="0.3">
      <c r="H7365" s="4"/>
    </row>
    <row r="7366" spans="8:8" x14ac:dyDescent="0.3">
      <c r="H7366" s="4"/>
    </row>
    <row r="7367" spans="8:8" x14ac:dyDescent="0.3">
      <c r="H7367" s="4"/>
    </row>
    <row r="7368" spans="8:8" x14ac:dyDescent="0.3">
      <c r="H7368" s="4"/>
    </row>
    <row r="7369" spans="8:8" x14ac:dyDescent="0.3">
      <c r="H7369" s="4"/>
    </row>
    <row r="7370" spans="8:8" x14ac:dyDescent="0.3">
      <c r="H7370" s="4"/>
    </row>
    <row r="7371" spans="8:8" x14ac:dyDescent="0.3">
      <c r="H7371" s="4"/>
    </row>
    <row r="7372" spans="8:8" x14ac:dyDescent="0.3">
      <c r="H7372" s="4"/>
    </row>
    <row r="7373" spans="8:8" x14ac:dyDescent="0.3">
      <c r="H7373" s="4"/>
    </row>
    <row r="7374" spans="8:8" x14ac:dyDescent="0.3">
      <c r="H7374" s="4"/>
    </row>
    <row r="7375" spans="8:8" x14ac:dyDescent="0.3">
      <c r="H7375" s="4"/>
    </row>
    <row r="7376" spans="8:8" x14ac:dyDescent="0.3">
      <c r="H7376" s="4"/>
    </row>
    <row r="7377" spans="8:8" x14ac:dyDescent="0.3">
      <c r="H7377" s="4"/>
    </row>
    <row r="7378" spans="8:8" x14ac:dyDescent="0.3">
      <c r="H7378" s="4"/>
    </row>
    <row r="7379" spans="8:8" x14ac:dyDescent="0.3">
      <c r="H7379" s="4"/>
    </row>
    <row r="7380" spans="8:8" x14ac:dyDescent="0.3">
      <c r="H7380" s="4"/>
    </row>
    <row r="7381" spans="8:8" x14ac:dyDescent="0.3">
      <c r="H7381" s="4"/>
    </row>
    <row r="7382" spans="8:8" x14ac:dyDescent="0.3">
      <c r="H7382" s="4"/>
    </row>
    <row r="7383" spans="8:8" x14ac:dyDescent="0.3">
      <c r="H7383" s="4"/>
    </row>
    <row r="7384" spans="8:8" x14ac:dyDescent="0.3">
      <c r="H7384" s="4"/>
    </row>
    <row r="7385" spans="8:8" x14ac:dyDescent="0.3">
      <c r="H7385" s="4"/>
    </row>
    <row r="7386" spans="8:8" x14ac:dyDescent="0.3">
      <c r="H7386" s="4"/>
    </row>
    <row r="7387" spans="8:8" x14ac:dyDescent="0.3">
      <c r="H7387" s="4"/>
    </row>
    <row r="7388" spans="8:8" x14ac:dyDescent="0.3">
      <c r="H7388" s="4"/>
    </row>
    <row r="7389" spans="8:8" x14ac:dyDescent="0.3">
      <c r="H7389" s="4"/>
    </row>
    <row r="7390" spans="8:8" x14ac:dyDescent="0.3">
      <c r="H7390" s="4"/>
    </row>
    <row r="7391" spans="8:8" x14ac:dyDescent="0.3">
      <c r="H7391" s="4"/>
    </row>
    <row r="7392" spans="8:8" x14ac:dyDescent="0.3">
      <c r="H7392" s="4"/>
    </row>
    <row r="7393" spans="8:8" x14ac:dyDescent="0.3">
      <c r="H7393" s="4"/>
    </row>
    <row r="7394" spans="8:8" x14ac:dyDescent="0.3">
      <c r="H7394" s="4"/>
    </row>
    <row r="7395" spans="8:8" x14ac:dyDescent="0.3">
      <c r="H7395" s="4"/>
    </row>
    <row r="7396" spans="8:8" x14ac:dyDescent="0.3">
      <c r="H7396" s="4"/>
    </row>
    <row r="7397" spans="8:8" x14ac:dyDescent="0.3">
      <c r="H7397" s="4"/>
    </row>
    <row r="7398" spans="8:8" x14ac:dyDescent="0.3">
      <c r="H7398" s="4"/>
    </row>
    <row r="7399" spans="8:8" x14ac:dyDescent="0.3">
      <c r="H7399" s="4"/>
    </row>
    <row r="7400" spans="8:8" x14ac:dyDescent="0.3">
      <c r="H7400" s="4"/>
    </row>
    <row r="7401" spans="8:8" x14ac:dyDescent="0.3">
      <c r="H7401" s="4"/>
    </row>
    <row r="7402" spans="8:8" x14ac:dyDescent="0.3">
      <c r="H7402" s="4"/>
    </row>
    <row r="7403" spans="8:8" x14ac:dyDescent="0.3">
      <c r="H7403" s="4"/>
    </row>
    <row r="7404" spans="8:8" x14ac:dyDescent="0.3">
      <c r="H7404" s="4"/>
    </row>
    <row r="7405" spans="8:8" x14ac:dyDescent="0.3">
      <c r="H7405" s="4"/>
    </row>
    <row r="7406" spans="8:8" x14ac:dyDescent="0.3">
      <c r="H7406" s="4"/>
    </row>
    <row r="7407" spans="8:8" x14ac:dyDescent="0.3">
      <c r="H7407" s="4"/>
    </row>
    <row r="7408" spans="8:8" x14ac:dyDescent="0.3">
      <c r="H7408" s="4"/>
    </row>
    <row r="7409" spans="8:8" x14ac:dyDescent="0.3">
      <c r="H7409" s="4"/>
    </row>
    <row r="7410" spans="8:8" x14ac:dyDescent="0.3">
      <c r="H7410" s="4"/>
    </row>
    <row r="7411" spans="8:8" x14ac:dyDescent="0.3">
      <c r="H7411" s="4"/>
    </row>
    <row r="7412" spans="8:8" x14ac:dyDescent="0.3">
      <c r="H7412" s="4"/>
    </row>
    <row r="7413" spans="8:8" x14ac:dyDescent="0.3">
      <c r="H7413" s="4"/>
    </row>
    <row r="7414" spans="8:8" x14ac:dyDescent="0.3">
      <c r="H7414" s="4"/>
    </row>
    <row r="7415" spans="8:8" x14ac:dyDescent="0.3">
      <c r="H7415" s="4"/>
    </row>
    <row r="7416" spans="8:8" x14ac:dyDescent="0.3">
      <c r="H7416" s="4"/>
    </row>
    <row r="7417" spans="8:8" x14ac:dyDescent="0.3">
      <c r="H7417" s="4"/>
    </row>
    <row r="7418" spans="8:8" x14ac:dyDescent="0.3">
      <c r="H7418" s="4"/>
    </row>
    <row r="7419" spans="8:8" x14ac:dyDescent="0.3">
      <c r="H7419" s="4"/>
    </row>
    <row r="7420" spans="8:8" x14ac:dyDescent="0.3">
      <c r="H7420" s="4"/>
    </row>
    <row r="7421" spans="8:8" x14ac:dyDescent="0.3">
      <c r="H7421" s="4"/>
    </row>
    <row r="7422" spans="8:8" x14ac:dyDescent="0.3">
      <c r="H7422" s="4"/>
    </row>
    <row r="7423" spans="8:8" x14ac:dyDescent="0.3">
      <c r="H7423" s="4"/>
    </row>
    <row r="7424" spans="8:8" x14ac:dyDescent="0.3">
      <c r="H7424" s="4"/>
    </row>
    <row r="7425" spans="8:8" x14ac:dyDescent="0.3">
      <c r="H7425" s="4"/>
    </row>
    <row r="7426" spans="8:8" x14ac:dyDescent="0.3">
      <c r="H7426" s="4"/>
    </row>
    <row r="7427" spans="8:8" x14ac:dyDescent="0.3">
      <c r="H7427" s="4"/>
    </row>
    <row r="7428" spans="8:8" x14ac:dyDescent="0.3">
      <c r="H7428" s="4"/>
    </row>
    <row r="7429" spans="8:8" x14ac:dyDescent="0.3">
      <c r="H7429" s="4"/>
    </row>
    <row r="7430" spans="8:8" x14ac:dyDescent="0.3">
      <c r="H7430" s="4"/>
    </row>
    <row r="7431" spans="8:8" x14ac:dyDescent="0.3">
      <c r="H7431" s="4"/>
    </row>
    <row r="7432" spans="8:8" x14ac:dyDescent="0.3">
      <c r="H7432" s="4"/>
    </row>
    <row r="7433" spans="8:8" x14ac:dyDescent="0.3">
      <c r="H7433" s="4"/>
    </row>
    <row r="7434" spans="8:8" x14ac:dyDescent="0.3">
      <c r="H7434" s="4"/>
    </row>
    <row r="7435" spans="8:8" x14ac:dyDescent="0.3">
      <c r="H7435" s="4"/>
    </row>
    <row r="7436" spans="8:8" x14ac:dyDescent="0.3">
      <c r="H7436" s="4"/>
    </row>
    <row r="7437" spans="8:8" x14ac:dyDescent="0.3">
      <c r="H7437" s="4"/>
    </row>
    <row r="7438" spans="8:8" x14ac:dyDescent="0.3">
      <c r="H7438" s="4"/>
    </row>
    <row r="7439" spans="8:8" x14ac:dyDescent="0.3">
      <c r="H7439" s="4"/>
    </row>
    <row r="7440" spans="8:8" x14ac:dyDescent="0.3">
      <c r="H7440" s="4"/>
    </row>
    <row r="7441" spans="8:8" x14ac:dyDescent="0.3">
      <c r="H7441" s="4"/>
    </row>
    <row r="7442" spans="8:8" x14ac:dyDescent="0.3">
      <c r="H7442" s="4"/>
    </row>
    <row r="7443" spans="8:8" x14ac:dyDescent="0.3">
      <c r="H7443" s="4"/>
    </row>
    <row r="7444" spans="8:8" x14ac:dyDescent="0.3">
      <c r="H7444" s="4"/>
    </row>
    <row r="7445" spans="8:8" x14ac:dyDescent="0.3">
      <c r="H7445" s="4"/>
    </row>
    <row r="7446" spans="8:8" x14ac:dyDescent="0.3">
      <c r="H7446" s="4"/>
    </row>
    <row r="7447" spans="8:8" x14ac:dyDescent="0.3">
      <c r="H7447" s="4"/>
    </row>
    <row r="7448" spans="8:8" x14ac:dyDescent="0.3">
      <c r="H7448" s="4"/>
    </row>
    <row r="7449" spans="8:8" x14ac:dyDescent="0.3">
      <c r="H7449" s="4"/>
    </row>
    <row r="7450" spans="8:8" x14ac:dyDescent="0.3">
      <c r="H7450" s="4"/>
    </row>
    <row r="7451" spans="8:8" x14ac:dyDescent="0.3">
      <c r="H7451" s="4"/>
    </row>
    <row r="7452" spans="8:8" x14ac:dyDescent="0.3">
      <c r="H7452" s="4"/>
    </row>
    <row r="7453" spans="8:8" x14ac:dyDescent="0.3">
      <c r="H7453" s="4"/>
    </row>
    <row r="7454" spans="8:8" x14ac:dyDescent="0.3">
      <c r="H7454" s="4"/>
    </row>
    <row r="7455" spans="8:8" x14ac:dyDescent="0.3">
      <c r="H7455" s="4"/>
    </row>
    <row r="7456" spans="8:8" x14ac:dyDescent="0.3">
      <c r="H7456" s="4"/>
    </row>
    <row r="7457" spans="8:8" x14ac:dyDescent="0.3">
      <c r="H7457" s="4"/>
    </row>
    <row r="7458" spans="8:8" x14ac:dyDescent="0.3">
      <c r="H7458" s="4"/>
    </row>
    <row r="7459" spans="8:8" x14ac:dyDescent="0.3">
      <c r="H7459" s="4"/>
    </row>
    <row r="7460" spans="8:8" x14ac:dyDescent="0.3">
      <c r="H7460" s="4"/>
    </row>
    <row r="7461" spans="8:8" x14ac:dyDescent="0.3">
      <c r="H7461" s="4"/>
    </row>
    <row r="7462" spans="8:8" x14ac:dyDescent="0.3">
      <c r="H7462" s="4"/>
    </row>
    <row r="7463" spans="8:8" x14ac:dyDescent="0.3">
      <c r="H7463" s="4"/>
    </row>
    <row r="7464" spans="8:8" x14ac:dyDescent="0.3">
      <c r="H7464" s="4"/>
    </row>
    <row r="7465" spans="8:8" x14ac:dyDescent="0.3">
      <c r="H7465" s="4"/>
    </row>
    <row r="7466" spans="8:8" x14ac:dyDescent="0.3">
      <c r="H7466" s="4"/>
    </row>
    <row r="7467" spans="8:8" x14ac:dyDescent="0.3">
      <c r="H7467" s="4"/>
    </row>
    <row r="7468" spans="8:8" x14ac:dyDescent="0.3">
      <c r="H7468" s="4"/>
    </row>
    <row r="7469" spans="8:8" x14ac:dyDescent="0.3">
      <c r="H7469" s="4"/>
    </row>
    <row r="7470" spans="8:8" x14ac:dyDescent="0.3">
      <c r="H7470" s="4"/>
    </row>
    <row r="7471" spans="8:8" x14ac:dyDescent="0.3">
      <c r="H7471" s="4"/>
    </row>
    <row r="7472" spans="8:8" x14ac:dyDescent="0.3">
      <c r="H7472" s="4"/>
    </row>
    <row r="7473" spans="8:8" x14ac:dyDescent="0.3">
      <c r="H7473" s="4"/>
    </row>
    <row r="7474" spans="8:8" x14ac:dyDescent="0.3">
      <c r="H7474" s="4"/>
    </row>
    <row r="7475" spans="8:8" x14ac:dyDescent="0.3">
      <c r="H7475" s="4"/>
    </row>
    <row r="7476" spans="8:8" x14ac:dyDescent="0.3">
      <c r="H7476" s="4"/>
    </row>
    <row r="7477" spans="8:8" x14ac:dyDescent="0.3">
      <c r="H7477" s="4"/>
    </row>
    <row r="7478" spans="8:8" x14ac:dyDescent="0.3">
      <c r="H7478" s="4"/>
    </row>
    <row r="7479" spans="8:8" x14ac:dyDescent="0.3">
      <c r="H7479" s="4"/>
    </row>
    <row r="7480" spans="8:8" x14ac:dyDescent="0.3">
      <c r="H7480" s="4"/>
    </row>
    <row r="7481" spans="8:8" x14ac:dyDescent="0.3">
      <c r="H7481" s="4"/>
    </row>
    <row r="7482" spans="8:8" x14ac:dyDescent="0.3">
      <c r="H7482" s="4"/>
    </row>
    <row r="7483" spans="8:8" x14ac:dyDescent="0.3">
      <c r="H7483" s="4"/>
    </row>
    <row r="7484" spans="8:8" x14ac:dyDescent="0.3">
      <c r="H7484" s="4"/>
    </row>
    <row r="7485" spans="8:8" x14ac:dyDescent="0.3">
      <c r="H7485" s="4"/>
    </row>
    <row r="7486" spans="8:8" x14ac:dyDescent="0.3">
      <c r="H7486" s="4"/>
    </row>
    <row r="7487" spans="8:8" x14ac:dyDescent="0.3">
      <c r="H7487" s="4"/>
    </row>
    <row r="7488" spans="8:8" x14ac:dyDescent="0.3">
      <c r="H7488" s="4"/>
    </row>
    <row r="7489" spans="8:8" x14ac:dyDescent="0.3">
      <c r="H7489" s="4"/>
    </row>
    <row r="7490" spans="8:8" x14ac:dyDescent="0.3">
      <c r="H7490" s="4"/>
    </row>
    <row r="7491" spans="8:8" x14ac:dyDescent="0.3">
      <c r="H7491" s="4"/>
    </row>
    <row r="7492" spans="8:8" x14ac:dyDescent="0.3">
      <c r="H7492" s="4"/>
    </row>
    <row r="7493" spans="8:8" x14ac:dyDescent="0.3">
      <c r="H7493" s="4"/>
    </row>
    <row r="7494" spans="8:8" x14ac:dyDescent="0.3">
      <c r="H7494" s="4"/>
    </row>
    <row r="7495" spans="8:8" x14ac:dyDescent="0.3">
      <c r="H7495" s="4"/>
    </row>
    <row r="7496" spans="8:8" x14ac:dyDescent="0.3">
      <c r="H7496" s="4"/>
    </row>
    <row r="7497" spans="8:8" x14ac:dyDescent="0.3">
      <c r="H7497" s="4"/>
    </row>
    <row r="7498" spans="8:8" x14ac:dyDescent="0.3">
      <c r="H7498" s="4"/>
    </row>
    <row r="7499" spans="8:8" x14ac:dyDescent="0.3">
      <c r="H7499" s="4"/>
    </row>
    <row r="7500" spans="8:8" x14ac:dyDescent="0.3">
      <c r="H7500" s="4"/>
    </row>
    <row r="7501" spans="8:8" x14ac:dyDescent="0.3">
      <c r="H7501" s="4"/>
    </row>
    <row r="7502" spans="8:8" x14ac:dyDescent="0.3">
      <c r="H7502" s="4"/>
    </row>
    <row r="7503" spans="8:8" x14ac:dyDescent="0.3">
      <c r="H7503" s="4"/>
    </row>
    <row r="7504" spans="8:8" x14ac:dyDescent="0.3">
      <c r="H7504" s="4"/>
    </row>
    <row r="7505" spans="8:8" x14ac:dyDescent="0.3">
      <c r="H7505" s="4"/>
    </row>
    <row r="7506" spans="8:8" x14ac:dyDescent="0.3">
      <c r="H7506" s="4"/>
    </row>
    <row r="7507" spans="8:8" x14ac:dyDescent="0.3">
      <c r="H7507" s="4"/>
    </row>
    <row r="7508" spans="8:8" x14ac:dyDescent="0.3">
      <c r="H7508" s="4"/>
    </row>
    <row r="7509" spans="8:8" x14ac:dyDescent="0.3">
      <c r="H7509" s="4"/>
    </row>
    <row r="7510" spans="8:8" x14ac:dyDescent="0.3">
      <c r="H7510" s="4"/>
    </row>
    <row r="7511" spans="8:8" x14ac:dyDescent="0.3">
      <c r="H7511" s="4"/>
    </row>
    <row r="7512" spans="8:8" x14ac:dyDescent="0.3">
      <c r="H7512" s="4"/>
    </row>
    <row r="7513" spans="8:8" x14ac:dyDescent="0.3">
      <c r="H7513" s="4"/>
    </row>
    <row r="7514" spans="8:8" x14ac:dyDescent="0.3">
      <c r="H7514" s="4"/>
    </row>
    <row r="7515" spans="8:8" x14ac:dyDescent="0.3">
      <c r="H7515" s="4"/>
    </row>
    <row r="7516" spans="8:8" x14ac:dyDescent="0.3">
      <c r="H7516" s="4"/>
    </row>
    <row r="7517" spans="8:8" x14ac:dyDescent="0.3">
      <c r="H7517" s="4"/>
    </row>
    <row r="7518" spans="8:8" x14ac:dyDescent="0.3">
      <c r="H7518" s="4"/>
    </row>
    <row r="7519" spans="8:8" x14ac:dyDescent="0.3">
      <c r="H7519" s="4"/>
    </row>
    <row r="7520" spans="8:8" x14ac:dyDescent="0.3">
      <c r="H7520" s="4"/>
    </row>
    <row r="7521" spans="8:8" x14ac:dyDescent="0.3">
      <c r="H7521" s="4"/>
    </row>
    <row r="7522" spans="8:8" x14ac:dyDescent="0.3">
      <c r="H7522" s="4"/>
    </row>
    <row r="7523" spans="8:8" x14ac:dyDescent="0.3">
      <c r="H7523" s="4"/>
    </row>
    <row r="7524" spans="8:8" x14ac:dyDescent="0.3">
      <c r="H7524" s="4"/>
    </row>
    <row r="7525" spans="8:8" x14ac:dyDescent="0.3">
      <c r="H7525" s="4"/>
    </row>
    <row r="7526" spans="8:8" x14ac:dyDescent="0.3">
      <c r="H7526" s="4"/>
    </row>
    <row r="7527" spans="8:8" x14ac:dyDescent="0.3">
      <c r="H7527" s="4"/>
    </row>
    <row r="7528" spans="8:8" x14ac:dyDescent="0.3">
      <c r="H7528" s="4"/>
    </row>
    <row r="7529" spans="8:8" x14ac:dyDescent="0.3">
      <c r="H7529" s="4"/>
    </row>
    <row r="7530" spans="8:8" x14ac:dyDescent="0.3">
      <c r="H7530" s="4"/>
    </row>
    <row r="7531" spans="8:8" x14ac:dyDescent="0.3">
      <c r="H7531" s="4"/>
    </row>
    <row r="7532" spans="8:8" x14ac:dyDescent="0.3">
      <c r="H7532" s="4"/>
    </row>
    <row r="7533" spans="8:8" x14ac:dyDescent="0.3">
      <c r="H7533" s="4"/>
    </row>
    <row r="7534" spans="8:8" x14ac:dyDescent="0.3">
      <c r="H7534" s="4"/>
    </row>
    <row r="7535" spans="8:8" x14ac:dyDescent="0.3">
      <c r="H7535" s="4"/>
    </row>
    <row r="7536" spans="8:8" x14ac:dyDescent="0.3">
      <c r="H7536" s="4"/>
    </row>
    <row r="7537" spans="8:8" x14ac:dyDescent="0.3">
      <c r="H7537" s="4"/>
    </row>
    <row r="7538" spans="8:8" x14ac:dyDescent="0.3">
      <c r="H7538" s="4"/>
    </row>
    <row r="7539" spans="8:8" x14ac:dyDescent="0.3">
      <c r="H7539" s="4"/>
    </row>
    <row r="7540" spans="8:8" x14ac:dyDescent="0.3">
      <c r="H7540" s="4"/>
    </row>
    <row r="7541" spans="8:8" x14ac:dyDescent="0.3">
      <c r="H7541" s="4"/>
    </row>
    <row r="7542" spans="8:8" x14ac:dyDescent="0.3">
      <c r="H7542" s="4"/>
    </row>
    <row r="7543" spans="8:8" x14ac:dyDescent="0.3">
      <c r="H7543" s="4"/>
    </row>
    <row r="7544" spans="8:8" x14ac:dyDescent="0.3">
      <c r="H7544" s="4"/>
    </row>
    <row r="7545" spans="8:8" x14ac:dyDescent="0.3">
      <c r="H7545" s="4"/>
    </row>
    <row r="7546" spans="8:8" x14ac:dyDescent="0.3">
      <c r="H7546" s="4"/>
    </row>
    <row r="7547" spans="8:8" x14ac:dyDescent="0.3">
      <c r="H7547" s="4"/>
    </row>
    <row r="7548" spans="8:8" x14ac:dyDescent="0.3">
      <c r="H7548" s="4"/>
    </row>
    <row r="7549" spans="8:8" x14ac:dyDescent="0.3">
      <c r="H7549" s="4"/>
    </row>
    <row r="7550" spans="8:8" x14ac:dyDescent="0.3">
      <c r="H7550" s="4"/>
    </row>
    <row r="7551" spans="8:8" x14ac:dyDescent="0.3">
      <c r="H7551" s="4"/>
    </row>
    <row r="7552" spans="8:8" x14ac:dyDescent="0.3">
      <c r="H7552" s="4"/>
    </row>
    <row r="7553" spans="8:8" x14ac:dyDescent="0.3">
      <c r="H7553" s="4"/>
    </row>
    <row r="7554" spans="8:8" x14ac:dyDescent="0.3">
      <c r="H7554" s="4"/>
    </row>
    <row r="7555" spans="8:8" x14ac:dyDescent="0.3">
      <c r="H7555" s="4"/>
    </row>
    <row r="7556" spans="8:8" x14ac:dyDescent="0.3">
      <c r="H7556" s="4"/>
    </row>
    <row r="7557" spans="8:8" x14ac:dyDescent="0.3">
      <c r="H7557" s="4"/>
    </row>
    <row r="7558" spans="8:8" x14ac:dyDescent="0.3">
      <c r="H7558" s="4"/>
    </row>
    <row r="7559" spans="8:8" x14ac:dyDescent="0.3">
      <c r="H7559" s="4"/>
    </row>
    <row r="7560" spans="8:8" x14ac:dyDescent="0.3">
      <c r="H7560" s="4"/>
    </row>
    <row r="7561" spans="8:8" x14ac:dyDescent="0.3">
      <c r="H7561" s="4"/>
    </row>
    <row r="7562" spans="8:8" x14ac:dyDescent="0.3">
      <c r="H7562" s="4"/>
    </row>
    <row r="7563" spans="8:8" x14ac:dyDescent="0.3">
      <c r="H7563" s="4"/>
    </row>
    <row r="7564" spans="8:8" x14ac:dyDescent="0.3">
      <c r="H7564" s="4"/>
    </row>
    <row r="7565" spans="8:8" x14ac:dyDescent="0.3">
      <c r="H7565" s="4"/>
    </row>
    <row r="7566" spans="8:8" x14ac:dyDescent="0.3">
      <c r="H7566" s="4"/>
    </row>
    <row r="7567" spans="8:8" x14ac:dyDescent="0.3">
      <c r="H7567" s="4"/>
    </row>
    <row r="7568" spans="8:8" x14ac:dyDescent="0.3">
      <c r="H7568" s="4"/>
    </row>
    <row r="7569" spans="8:8" x14ac:dyDescent="0.3">
      <c r="H7569" s="4"/>
    </row>
    <row r="7570" spans="8:8" x14ac:dyDescent="0.3">
      <c r="H7570" s="4"/>
    </row>
    <row r="7571" spans="8:8" x14ac:dyDescent="0.3">
      <c r="H7571" s="4"/>
    </row>
    <row r="7572" spans="8:8" x14ac:dyDescent="0.3">
      <c r="H7572" s="4"/>
    </row>
    <row r="7573" spans="8:8" x14ac:dyDescent="0.3">
      <c r="H7573" s="4"/>
    </row>
    <row r="7574" spans="8:8" x14ac:dyDescent="0.3">
      <c r="H7574" s="4"/>
    </row>
    <row r="7575" spans="8:8" x14ac:dyDescent="0.3">
      <c r="H7575" s="4"/>
    </row>
    <row r="7576" spans="8:8" x14ac:dyDescent="0.3">
      <c r="H7576" s="4"/>
    </row>
    <row r="7577" spans="8:8" x14ac:dyDescent="0.3">
      <c r="H7577" s="4"/>
    </row>
    <row r="7578" spans="8:8" x14ac:dyDescent="0.3">
      <c r="H7578" s="4"/>
    </row>
    <row r="7579" spans="8:8" x14ac:dyDescent="0.3">
      <c r="H7579" s="4"/>
    </row>
    <row r="7580" spans="8:8" x14ac:dyDescent="0.3">
      <c r="H7580" s="4"/>
    </row>
    <row r="7581" spans="8:8" x14ac:dyDescent="0.3">
      <c r="H7581" s="4"/>
    </row>
    <row r="7582" spans="8:8" x14ac:dyDescent="0.3">
      <c r="H7582" s="4"/>
    </row>
    <row r="7583" spans="8:8" x14ac:dyDescent="0.3">
      <c r="H7583" s="4"/>
    </row>
    <row r="7584" spans="8:8" x14ac:dyDescent="0.3">
      <c r="H7584" s="4"/>
    </row>
    <row r="7585" spans="8:8" x14ac:dyDescent="0.3">
      <c r="H7585" s="4"/>
    </row>
    <row r="7586" spans="8:8" x14ac:dyDescent="0.3">
      <c r="H7586" s="4"/>
    </row>
    <row r="7587" spans="8:8" x14ac:dyDescent="0.3">
      <c r="H7587" s="4"/>
    </row>
    <row r="7588" spans="8:8" x14ac:dyDescent="0.3">
      <c r="H7588" s="4"/>
    </row>
    <row r="7589" spans="8:8" x14ac:dyDescent="0.3">
      <c r="H7589" s="4"/>
    </row>
    <row r="7590" spans="8:8" x14ac:dyDescent="0.3">
      <c r="H7590" s="4"/>
    </row>
    <row r="7591" spans="8:8" x14ac:dyDescent="0.3">
      <c r="H7591" s="4"/>
    </row>
    <row r="7592" spans="8:8" x14ac:dyDescent="0.3">
      <c r="H7592" s="4"/>
    </row>
    <row r="7593" spans="8:8" x14ac:dyDescent="0.3">
      <c r="H7593" s="4"/>
    </row>
    <row r="7594" spans="8:8" x14ac:dyDescent="0.3">
      <c r="H7594" s="4"/>
    </row>
    <row r="7595" spans="8:8" x14ac:dyDescent="0.3">
      <c r="H7595" s="4"/>
    </row>
    <row r="7596" spans="8:8" x14ac:dyDescent="0.3">
      <c r="H7596" s="4"/>
    </row>
    <row r="7597" spans="8:8" x14ac:dyDescent="0.3">
      <c r="H7597" s="4"/>
    </row>
    <row r="7598" spans="8:8" x14ac:dyDescent="0.3">
      <c r="H7598" s="4"/>
    </row>
    <row r="7599" spans="8:8" x14ac:dyDescent="0.3">
      <c r="H7599" s="4"/>
    </row>
    <row r="7600" spans="8:8" x14ac:dyDescent="0.3">
      <c r="H7600" s="4"/>
    </row>
    <row r="7601" spans="8:8" x14ac:dyDescent="0.3">
      <c r="H7601" s="4"/>
    </row>
    <row r="7602" spans="8:8" x14ac:dyDescent="0.3">
      <c r="H7602" s="4"/>
    </row>
    <row r="7603" spans="8:8" x14ac:dyDescent="0.3">
      <c r="H7603" s="4"/>
    </row>
    <row r="7604" spans="8:8" x14ac:dyDescent="0.3">
      <c r="H7604" s="4"/>
    </row>
    <row r="7605" spans="8:8" x14ac:dyDescent="0.3">
      <c r="H7605" s="4"/>
    </row>
    <row r="7606" spans="8:8" x14ac:dyDescent="0.3">
      <c r="H7606" s="4"/>
    </row>
    <row r="7607" spans="8:8" x14ac:dyDescent="0.3">
      <c r="H7607" s="4"/>
    </row>
    <row r="7608" spans="8:8" x14ac:dyDescent="0.3">
      <c r="H7608" s="4"/>
    </row>
    <row r="7609" spans="8:8" x14ac:dyDescent="0.3">
      <c r="H7609" s="4"/>
    </row>
    <row r="7610" spans="8:8" x14ac:dyDescent="0.3">
      <c r="H7610" s="4"/>
    </row>
    <row r="7611" spans="8:8" x14ac:dyDescent="0.3">
      <c r="H7611" s="4"/>
    </row>
    <row r="7612" spans="8:8" x14ac:dyDescent="0.3">
      <c r="H7612" s="4"/>
    </row>
    <row r="7613" spans="8:8" x14ac:dyDescent="0.3">
      <c r="H7613" s="4"/>
    </row>
    <row r="7614" spans="8:8" x14ac:dyDescent="0.3">
      <c r="H7614" s="4"/>
    </row>
    <row r="7615" spans="8:8" x14ac:dyDescent="0.3">
      <c r="H7615" s="4"/>
    </row>
    <row r="7616" spans="8:8" x14ac:dyDescent="0.3">
      <c r="H7616" s="4"/>
    </row>
    <row r="7617" spans="8:8" x14ac:dyDescent="0.3">
      <c r="H7617" s="4"/>
    </row>
    <row r="7618" spans="8:8" x14ac:dyDescent="0.3">
      <c r="H7618" s="4"/>
    </row>
    <row r="7619" spans="8:8" x14ac:dyDescent="0.3">
      <c r="H7619" s="4"/>
    </row>
    <row r="7620" spans="8:8" x14ac:dyDescent="0.3">
      <c r="H7620" s="4"/>
    </row>
    <row r="7621" spans="8:8" x14ac:dyDescent="0.3">
      <c r="H7621" s="4"/>
    </row>
    <row r="7622" spans="8:8" x14ac:dyDescent="0.3">
      <c r="H7622" s="4"/>
    </row>
    <row r="7623" spans="8:8" x14ac:dyDescent="0.3">
      <c r="H7623" s="4"/>
    </row>
    <row r="7624" spans="8:8" x14ac:dyDescent="0.3">
      <c r="H7624" s="4"/>
    </row>
    <row r="7625" spans="8:8" x14ac:dyDescent="0.3">
      <c r="H7625" s="4"/>
    </row>
    <row r="7626" spans="8:8" x14ac:dyDescent="0.3">
      <c r="H7626" s="4"/>
    </row>
    <row r="7627" spans="8:8" x14ac:dyDescent="0.3">
      <c r="H7627" s="4"/>
    </row>
    <row r="7628" spans="8:8" x14ac:dyDescent="0.3">
      <c r="H7628" s="4"/>
    </row>
    <row r="7629" spans="8:8" x14ac:dyDescent="0.3">
      <c r="H7629" s="4"/>
    </row>
    <row r="7630" spans="8:8" x14ac:dyDescent="0.3">
      <c r="H7630" s="4"/>
    </row>
    <row r="7631" spans="8:8" x14ac:dyDescent="0.3">
      <c r="H7631" s="4"/>
    </row>
    <row r="7632" spans="8:8" x14ac:dyDescent="0.3">
      <c r="H7632" s="4"/>
    </row>
    <row r="7633" spans="8:8" x14ac:dyDescent="0.3">
      <c r="H7633" s="4"/>
    </row>
    <row r="7634" spans="8:8" x14ac:dyDescent="0.3">
      <c r="H7634" s="4"/>
    </row>
    <row r="7635" spans="8:8" x14ac:dyDescent="0.3">
      <c r="H7635" s="4"/>
    </row>
    <row r="7636" spans="8:8" x14ac:dyDescent="0.3">
      <c r="H7636" s="4"/>
    </row>
    <row r="7637" spans="8:8" x14ac:dyDescent="0.3">
      <c r="H7637" s="4"/>
    </row>
    <row r="7638" spans="8:8" x14ac:dyDescent="0.3">
      <c r="H7638" s="4"/>
    </row>
    <row r="7639" spans="8:8" x14ac:dyDescent="0.3">
      <c r="H7639" s="4"/>
    </row>
    <row r="7640" spans="8:8" x14ac:dyDescent="0.3">
      <c r="H7640" s="4"/>
    </row>
    <row r="7641" spans="8:8" x14ac:dyDescent="0.3">
      <c r="H7641" s="4"/>
    </row>
    <row r="7642" spans="8:8" x14ac:dyDescent="0.3">
      <c r="H7642" s="4"/>
    </row>
    <row r="7643" spans="8:8" x14ac:dyDescent="0.3">
      <c r="H7643" s="4"/>
    </row>
    <row r="7644" spans="8:8" x14ac:dyDescent="0.3">
      <c r="H7644" s="4"/>
    </row>
    <row r="7645" spans="8:8" x14ac:dyDescent="0.3">
      <c r="H7645" s="4"/>
    </row>
    <row r="7646" spans="8:8" x14ac:dyDescent="0.3">
      <c r="H7646" s="4"/>
    </row>
    <row r="7647" spans="8:8" x14ac:dyDescent="0.3">
      <c r="H7647" s="4"/>
    </row>
    <row r="7648" spans="8:8" x14ac:dyDescent="0.3">
      <c r="H7648" s="4"/>
    </row>
    <row r="7649" spans="8:8" x14ac:dyDescent="0.3">
      <c r="H7649" s="4"/>
    </row>
    <row r="7650" spans="8:8" x14ac:dyDescent="0.3">
      <c r="H7650" s="4"/>
    </row>
    <row r="7651" spans="8:8" x14ac:dyDescent="0.3">
      <c r="H7651" s="4"/>
    </row>
    <row r="7652" spans="8:8" x14ac:dyDescent="0.3">
      <c r="H7652" s="4"/>
    </row>
    <row r="7653" spans="8:8" x14ac:dyDescent="0.3">
      <c r="H7653" s="4"/>
    </row>
    <row r="7654" spans="8:8" x14ac:dyDescent="0.3">
      <c r="H7654" s="4"/>
    </row>
    <row r="7655" spans="8:8" x14ac:dyDescent="0.3">
      <c r="H7655" s="4"/>
    </row>
    <row r="7656" spans="8:8" x14ac:dyDescent="0.3">
      <c r="H7656" s="4"/>
    </row>
    <row r="7657" spans="8:8" x14ac:dyDescent="0.3">
      <c r="H7657" s="4"/>
    </row>
    <row r="7658" spans="8:8" x14ac:dyDescent="0.3">
      <c r="H7658" s="4"/>
    </row>
    <row r="7659" spans="8:8" x14ac:dyDescent="0.3">
      <c r="H7659" s="4"/>
    </row>
    <row r="7660" spans="8:8" x14ac:dyDescent="0.3">
      <c r="H7660" s="4"/>
    </row>
    <row r="7661" spans="8:8" x14ac:dyDescent="0.3">
      <c r="H7661" s="4"/>
    </row>
    <row r="7662" spans="8:8" x14ac:dyDescent="0.3">
      <c r="H7662" s="4"/>
    </row>
    <row r="7663" spans="8:8" x14ac:dyDescent="0.3">
      <c r="H7663" s="4"/>
    </row>
    <row r="7664" spans="8:8" x14ac:dyDescent="0.3">
      <c r="H7664" s="4"/>
    </row>
    <row r="7665" spans="8:8" x14ac:dyDescent="0.3">
      <c r="H7665" s="4"/>
    </row>
    <row r="7666" spans="8:8" x14ac:dyDescent="0.3">
      <c r="H7666" s="4"/>
    </row>
    <row r="7667" spans="8:8" x14ac:dyDescent="0.3">
      <c r="H7667" s="4"/>
    </row>
    <row r="7668" spans="8:8" x14ac:dyDescent="0.3">
      <c r="H7668" s="4"/>
    </row>
    <row r="7669" spans="8:8" x14ac:dyDescent="0.3">
      <c r="H7669" s="4"/>
    </row>
    <row r="7670" spans="8:8" x14ac:dyDescent="0.3">
      <c r="H7670" s="4"/>
    </row>
    <row r="7671" spans="8:8" x14ac:dyDescent="0.3">
      <c r="H7671" s="4"/>
    </row>
    <row r="7672" spans="8:8" x14ac:dyDescent="0.3">
      <c r="H7672" s="4"/>
    </row>
    <row r="7673" spans="8:8" x14ac:dyDescent="0.3">
      <c r="H7673" s="4"/>
    </row>
    <row r="7674" spans="8:8" x14ac:dyDescent="0.3">
      <c r="H7674" s="4"/>
    </row>
    <row r="7675" spans="8:8" x14ac:dyDescent="0.3">
      <c r="H7675" s="4"/>
    </row>
    <row r="7676" spans="8:8" x14ac:dyDescent="0.3">
      <c r="H7676" s="4"/>
    </row>
    <row r="7677" spans="8:8" x14ac:dyDescent="0.3">
      <c r="H7677" s="4"/>
    </row>
    <row r="7678" spans="8:8" x14ac:dyDescent="0.3">
      <c r="H7678" s="4"/>
    </row>
    <row r="7679" spans="8:8" x14ac:dyDescent="0.3">
      <c r="H7679" s="4"/>
    </row>
    <row r="7680" spans="8:8" x14ac:dyDescent="0.3">
      <c r="H7680" s="4"/>
    </row>
    <row r="7681" spans="8:8" x14ac:dyDescent="0.3">
      <c r="H7681" s="4"/>
    </row>
    <row r="7682" spans="8:8" x14ac:dyDescent="0.3">
      <c r="H7682" s="4"/>
    </row>
    <row r="7683" spans="8:8" x14ac:dyDescent="0.3">
      <c r="H7683" s="4"/>
    </row>
    <row r="7684" spans="8:8" x14ac:dyDescent="0.3">
      <c r="H7684" s="4"/>
    </row>
    <row r="7685" spans="8:8" x14ac:dyDescent="0.3">
      <c r="H7685" s="4"/>
    </row>
    <row r="7686" spans="8:8" x14ac:dyDescent="0.3">
      <c r="H7686" s="4"/>
    </row>
    <row r="7687" spans="8:8" x14ac:dyDescent="0.3">
      <c r="H7687" s="4"/>
    </row>
    <row r="7688" spans="8:8" x14ac:dyDescent="0.3">
      <c r="H7688" s="4"/>
    </row>
    <row r="7689" spans="8:8" x14ac:dyDescent="0.3">
      <c r="H7689" s="4"/>
    </row>
    <row r="7690" spans="8:8" x14ac:dyDescent="0.3">
      <c r="H7690" s="4"/>
    </row>
    <row r="7691" spans="8:8" x14ac:dyDescent="0.3">
      <c r="H7691" s="4"/>
    </row>
    <row r="7692" spans="8:8" x14ac:dyDescent="0.3">
      <c r="H7692" s="4"/>
    </row>
    <row r="7693" spans="8:8" x14ac:dyDescent="0.3">
      <c r="H7693" s="4"/>
    </row>
    <row r="7694" spans="8:8" x14ac:dyDescent="0.3">
      <c r="H7694" s="4"/>
    </row>
    <row r="7695" spans="8:8" x14ac:dyDescent="0.3">
      <c r="H7695" s="4"/>
    </row>
    <row r="7696" spans="8:8" x14ac:dyDescent="0.3">
      <c r="H7696" s="4"/>
    </row>
    <row r="7697" spans="8:8" x14ac:dyDescent="0.3">
      <c r="H7697" s="4"/>
    </row>
    <row r="7698" spans="8:8" x14ac:dyDescent="0.3">
      <c r="H7698" s="4"/>
    </row>
    <row r="7699" spans="8:8" x14ac:dyDescent="0.3">
      <c r="H7699" s="4"/>
    </row>
    <row r="7700" spans="8:8" x14ac:dyDescent="0.3">
      <c r="H7700" s="4"/>
    </row>
    <row r="7701" spans="8:8" x14ac:dyDescent="0.3">
      <c r="H7701" s="4"/>
    </row>
    <row r="7702" spans="8:8" x14ac:dyDescent="0.3">
      <c r="H7702" s="4"/>
    </row>
    <row r="7703" spans="8:8" x14ac:dyDescent="0.3">
      <c r="H7703" s="4"/>
    </row>
    <row r="7704" spans="8:8" x14ac:dyDescent="0.3">
      <c r="H7704" s="4"/>
    </row>
    <row r="7705" spans="8:8" x14ac:dyDescent="0.3">
      <c r="H7705" s="4"/>
    </row>
    <row r="7706" spans="8:8" x14ac:dyDescent="0.3">
      <c r="H7706" s="4"/>
    </row>
    <row r="7707" spans="8:8" x14ac:dyDescent="0.3">
      <c r="H7707" s="4"/>
    </row>
    <row r="7708" spans="8:8" x14ac:dyDescent="0.3">
      <c r="H7708" s="4"/>
    </row>
    <row r="7709" spans="8:8" x14ac:dyDescent="0.3">
      <c r="H7709" s="4"/>
    </row>
    <row r="7710" spans="8:8" x14ac:dyDescent="0.3">
      <c r="H7710" s="4"/>
    </row>
    <row r="7711" spans="8:8" x14ac:dyDescent="0.3">
      <c r="H7711" s="4"/>
    </row>
    <row r="7712" spans="8:8" x14ac:dyDescent="0.3">
      <c r="H7712" s="4"/>
    </row>
    <row r="7713" spans="8:8" x14ac:dyDescent="0.3">
      <c r="H7713" s="4"/>
    </row>
    <row r="7714" spans="8:8" x14ac:dyDescent="0.3">
      <c r="H7714" s="4"/>
    </row>
    <row r="7715" spans="8:8" x14ac:dyDescent="0.3">
      <c r="H7715" s="4"/>
    </row>
    <row r="7716" spans="8:8" x14ac:dyDescent="0.3">
      <c r="H7716" s="4"/>
    </row>
    <row r="7717" spans="8:8" x14ac:dyDescent="0.3">
      <c r="H7717" s="4"/>
    </row>
    <row r="7718" spans="8:8" x14ac:dyDescent="0.3">
      <c r="H7718" s="4"/>
    </row>
    <row r="7719" spans="8:8" x14ac:dyDescent="0.3">
      <c r="H7719" s="4"/>
    </row>
    <row r="7720" spans="8:8" x14ac:dyDescent="0.3">
      <c r="H7720" s="4"/>
    </row>
    <row r="7721" spans="8:8" x14ac:dyDescent="0.3">
      <c r="H7721" s="4"/>
    </row>
    <row r="7722" spans="8:8" x14ac:dyDescent="0.3">
      <c r="H7722" s="4"/>
    </row>
    <row r="7723" spans="8:8" x14ac:dyDescent="0.3">
      <c r="H7723" s="4"/>
    </row>
    <row r="7724" spans="8:8" x14ac:dyDescent="0.3">
      <c r="H7724" s="4"/>
    </row>
    <row r="7725" spans="8:8" x14ac:dyDescent="0.3">
      <c r="H7725" s="4"/>
    </row>
    <row r="7726" spans="8:8" x14ac:dyDescent="0.3">
      <c r="H7726" s="4"/>
    </row>
    <row r="7727" spans="8:8" x14ac:dyDescent="0.3">
      <c r="H7727" s="4"/>
    </row>
    <row r="7728" spans="8:8" x14ac:dyDescent="0.3">
      <c r="H7728" s="4"/>
    </row>
    <row r="7729" spans="8:8" x14ac:dyDescent="0.3">
      <c r="H7729" s="4"/>
    </row>
    <row r="7730" spans="8:8" x14ac:dyDescent="0.3">
      <c r="H7730" s="4"/>
    </row>
    <row r="7731" spans="8:8" x14ac:dyDescent="0.3">
      <c r="H7731" s="4"/>
    </row>
    <row r="7732" spans="8:8" x14ac:dyDescent="0.3">
      <c r="H7732" s="4"/>
    </row>
    <row r="7733" spans="8:8" x14ac:dyDescent="0.3">
      <c r="H7733" s="4"/>
    </row>
    <row r="7734" spans="8:8" x14ac:dyDescent="0.3">
      <c r="H7734" s="4"/>
    </row>
    <row r="7735" spans="8:8" x14ac:dyDescent="0.3">
      <c r="H7735" s="4"/>
    </row>
    <row r="7736" spans="8:8" x14ac:dyDescent="0.3">
      <c r="H7736" s="4"/>
    </row>
    <row r="7737" spans="8:8" x14ac:dyDescent="0.3">
      <c r="H7737" s="4"/>
    </row>
    <row r="7738" spans="8:8" x14ac:dyDescent="0.3">
      <c r="H7738" s="4"/>
    </row>
    <row r="7739" spans="8:8" x14ac:dyDescent="0.3">
      <c r="H7739" s="4"/>
    </row>
    <row r="7740" spans="8:8" x14ac:dyDescent="0.3">
      <c r="H7740" s="4"/>
    </row>
    <row r="7741" spans="8:8" x14ac:dyDescent="0.3">
      <c r="H7741" s="4"/>
    </row>
    <row r="7742" spans="8:8" x14ac:dyDescent="0.3">
      <c r="H7742" s="4"/>
    </row>
    <row r="7743" spans="8:8" x14ac:dyDescent="0.3">
      <c r="H7743" s="4"/>
    </row>
    <row r="7744" spans="8:8" x14ac:dyDescent="0.3">
      <c r="H7744" s="4"/>
    </row>
    <row r="7745" spans="8:8" x14ac:dyDescent="0.3">
      <c r="H7745" s="4"/>
    </row>
    <row r="7746" spans="8:8" x14ac:dyDescent="0.3">
      <c r="H7746" s="4"/>
    </row>
    <row r="7747" spans="8:8" x14ac:dyDescent="0.3">
      <c r="H7747" s="4"/>
    </row>
    <row r="7748" spans="8:8" x14ac:dyDescent="0.3">
      <c r="H7748" s="4"/>
    </row>
    <row r="7749" spans="8:8" x14ac:dyDescent="0.3">
      <c r="H7749" s="4"/>
    </row>
    <row r="7750" spans="8:8" x14ac:dyDescent="0.3">
      <c r="H7750" s="4"/>
    </row>
    <row r="7751" spans="8:8" x14ac:dyDescent="0.3">
      <c r="H7751" s="4"/>
    </row>
    <row r="7752" spans="8:8" x14ac:dyDescent="0.3">
      <c r="H7752" s="4"/>
    </row>
    <row r="7753" spans="8:8" x14ac:dyDescent="0.3">
      <c r="H7753" s="4"/>
    </row>
    <row r="7754" spans="8:8" x14ac:dyDescent="0.3">
      <c r="H7754" s="4"/>
    </row>
    <row r="7755" spans="8:8" x14ac:dyDescent="0.3">
      <c r="H7755" s="4"/>
    </row>
    <row r="7756" spans="8:8" x14ac:dyDescent="0.3">
      <c r="H7756" s="4"/>
    </row>
    <row r="7757" spans="8:8" x14ac:dyDescent="0.3">
      <c r="H7757" s="4"/>
    </row>
    <row r="7758" spans="8:8" x14ac:dyDescent="0.3">
      <c r="H7758" s="4"/>
    </row>
    <row r="7759" spans="8:8" x14ac:dyDescent="0.3">
      <c r="H7759" s="4"/>
    </row>
    <row r="7760" spans="8:8" x14ac:dyDescent="0.3">
      <c r="H7760" s="4"/>
    </row>
    <row r="7761" spans="8:8" x14ac:dyDescent="0.3">
      <c r="H7761" s="4"/>
    </row>
    <row r="7762" spans="8:8" x14ac:dyDescent="0.3">
      <c r="H7762" s="4"/>
    </row>
    <row r="7763" spans="8:8" x14ac:dyDescent="0.3">
      <c r="H7763" s="4"/>
    </row>
    <row r="7764" spans="8:8" x14ac:dyDescent="0.3">
      <c r="H7764" s="4"/>
    </row>
    <row r="7765" spans="8:8" x14ac:dyDescent="0.3">
      <c r="H7765" s="4"/>
    </row>
    <row r="7766" spans="8:8" x14ac:dyDescent="0.3">
      <c r="H7766" s="4"/>
    </row>
    <row r="7767" spans="8:8" x14ac:dyDescent="0.3">
      <c r="H7767" s="4"/>
    </row>
    <row r="7768" spans="8:8" x14ac:dyDescent="0.3">
      <c r="H7768" s="4"/>
    </row>
    <row r="7769" spans="8:8" x14ac:dyDescent="0.3">
      <c r="H7769" s="4"/>
    </row>
    <row r="7770" spans="8:8" x14ac:dyDescent="0.3">
      <c r="H7770" s="4"/>
    </row>
    <row r="7771" spans="8:8" x14ac:dyDescent="0.3">
      <c r="H7771" s="4"/>
    </row>
    <row r="7772" spans="8:8" x14ac:dyDescent="0.3">
      <c r="H7772" s="4"/>
    </row>
    <row r="7773" spans="8:8" x14ac:dyDescent="0.3">
      <c r="H7773" s="4"/>
    </row>
    <row r="7774" spans="8:8" x14ac:dyDescent="0.3">
      <c r="H7774" s="4"/>
    </row>
    <row r="7775" spans="8:8" x14ac:dyDescent="0.3">
      <c r="H7775" s="4"/>
    </row>
    <row r="7776" spans="8:8" x14ac:dyDescent="0.3">
      <c r="H7776" s="4"/>
    </row>
    <row r="7777" spans="8:8" x14ac:dyDescent="0.3">
      <c r="H7777" s="4"/>
    </row>
    <row r="7778" spans="8:8" x14ac:dyDescent="0.3">
      <c r="H7778" s="4"/>
    </row>
    <row r="7779" spans="8:8" x14ac:dyDescent="0.3">
      <c r="H7779" s="4"/>
    </row>
    <row r="7780" spans="8:8" x14ac:dyDescent="0.3">
      <c r="H7780" s="4"/>
    </row>
    <row r="7781" spans="8:8" x14ac:dyDescent="0.3">
      <c r="H7781" s="4"/>
    </row>
    <row r="7782" spans="8:8" x14ac:dyDescent="0.3">
      <c r="H7782" s="4"/>
    </row>
    <row r="7783" spans="8:8" x14ac:dyDescent="0.3">
      <c r="H7783" s="4"/>
    </row>
    <row r="7784" spans="8:8" x14ac:dyDescent="0.3">
      <c r="H7784" s="4"/>
    </row>
    <row r="7785" spans="8:8" x14ac:dyDescent="0.3">
      <c r="H7785" s="4"/>
    </row>
    <row r="7786" spans="8:8" x14ac:dyDescent="0.3">
      <c r="H7786" s="4"/>
    </row>
    <row r="7787" spans="8:8" x14ac:dyDescent="0.3">
      <c r="H7787" s="4"/>
    </row>
    <row r="7788" spans="8:8" x14ac:dyDescent="0.3">
      <c r="H7788" s="4"/>
    </row>
    <row r="7789" spans="8:8" x14ac:dyDescent="0.3">
      <c r="H7789" s="4"/>
    </row>
    <row r="7790" spans="8:8" x14ac:dyDescent="0.3">
      <c r="H7790" s="4"/>
    </row>
    <row r="7791" spans="8:8" x14ac:dyDescent="0.3">
      <c r="H7791" s="4"/>
    </row>
    <row r="7792" spans="8:8" x14ac:dyDescent="0.3">
      <c r="H7792" s="4"/>
    </row>
    <row r="7793" spans="8:8" x14ac:dyDescent="0.3">
      <c r="H7793" s="4"/>
    </row>
    <row r="7794" spans="8:8" x14ac:dyDescent="0.3">
      <c r="H7794" s="4"/>
    </row>
    <row r="7795" spans="8:8" x14ac:dyDescent="0.3">
      <c r="H7795" s="4"/>
    </row>
    <row r="7796" spans="8:8" x14ac:dyDescent="0.3">
      <c r="H7796" s="4"/>
    </row>
    <row r="7797" spans="8:8" x14ac:dyDescent="0.3">
      <c r="H7797" s="4"/>
    </row>
    <row r="7798" spans="8:8" x14ac:dyDescent="0.3">
      <c r="H7798" s="4"/>
    </row>
    <row r="7799" spans="8:8" x14ac:dyDescent="0.3">
      <c r="H7799" s="4"/>
    </row>
    <row r="7800" spans="8:8" x14ac:dyDescent="0.3">
      <c r="H7800" s="4"/>
    </row>
    <row r="7801" spans="8:8" x14ac:dyDescent="0.3">
      <c r="H7801" s="4"/>
    </row>
    <row r="7802" spans="8:8" x14ac:dyDescent="0.3">
      <c r="H7802" s="4"/>
    </row>
    <row r="7803" spans="8:8" x14ac:dyDescent="0.3">
      <c r="H7803" s="4"/>
    </row>
    <row r="7804" spans="8:8" x14ac:dyDescent="0.3">
      <c r="H7804" s="4"/>
    </row>
    <row r="7805" spans="8:8" x14ac:dyDescent="0.3">
      <c r="H7805" s="4"/>
    </row>
    <row r="7806" spans="8:8" x14ac:dyDescent="0.3">
      <c r="H7806" s="4"/>
    </row>
    <row r="7807" spans="8:8" x14ac:dyDescent="0.3">
      <c r="H7807" s="4"/>
    </row>
    <row r="7808" spans="8:8" x14ac:dyDescent="0.3">
      <c r="H7808" s="4"/>
    </row>
    <row r="7809" spans="8:8" x14ac:dyDescent="0.3">
      <c r="H7809" s="4"/>
    </row>
    <row r="7810" spans="8:8" x14ac:dyDescent="0.3">
      <c r="H7810" s="4"/>
    </row>
    <row r="7811" spans="8:8" x14ac:dyDescent="0.3">
      <c r="H7811" s="4"/>
    </row>
    <row r="7812" spans="8:8" x14ac:dyDescent="0.3">
      <c r="H7812" s="4"/>
    </row>
    <row r="7813" spans="8:8" x14ac:dyDescent="0.3">
      <c r="H7813" s="4"/>
    </row>
    <row r="7814" spans="8:8" x14ac:dyDescent="0.3">
      <c r="H7814" s="4"/>
    </row>
    <row r="7815" spans="8:8" x14ac:dyDescent="0.3">
      <c r="H7815" s="4"/>
    </row>
    <row r="7816" spans="8:8" x14ac:dyDescent="0.3">
      <c r="H7816" s="4"/>
    </row>
    <row r="7817" spans="8:8" x14ac:dyDescent="0.3">
      <c r="H7817" s="4"/>
    </row>
    <row r="7818" spans="8:8" x14ac:dyDescent="0.3">
      <c r="H7818" s="4"/>
    </row>
    <row r="7819" spans="8:8" x14ac:dyDescent="0.3">
      <c r="H7819" s="4"/>
    </row>
    <row r="7820" spans="8:8" x14ac:dyDescent="0.3">
      <c r="H7820" s="4"/>
    </row>
    <row r="7821" spans="8:8" x14ac:dyDescent="0.3">
      <c r="H7821" s="4"/>
    </row>
    <row r="7822" spans="8:8" x14ac:dyDescent="0.3">
      <c r="H7822" s="4"/>
    </row>
    <row r="7823" spans="8:8" x14ac:dyDescent="0.3">
      <c r="H7823" s="4"/>
    </row>
    <row r="7824" spans="8:8" x14ac:dyDescent="0.3">
      <c r="H7824" s="4"/>
    </row>
    <row r="7825" spans="8:8" x14ac:dyDescent="0.3">
      <c r="H7825" s="4"/>
    </row>
    <row r="7826" spans="8:8" x14ac:dyDescent="0.3">
      <c r="H7826" s="4"/>
    </row>
    <row r="7827" spans="8:8" x14ac:dyDescent="0.3">
      <c r="H7827" s="4"/>
    </row>
    <row r="7828" spans="8:8" x14ac:dyDescent="0.3">
      <c r="H7828" s="4"/>
    </row>
    <row r="7829" spans="8:8" x14ac:dyDescent="0.3">
      <c r="H7829" s="4"/>
    </row>
    <row r="7830" spans="8:8" x14ac:dyDescent="0.3">
      <c r="H7830" s="4"/>
    </row>
    <row r="7831" spans="8:8" x14ac:dyDescent="0.3">
      <c r="H7831" s="4"/>
    </row>
    <row r="7832" spans="8:8" x14ac:dyDescent="0.3">
      <c r="H7832" s="4"/>
    </row>
    <row r="7833" spans="8:8" x14ac:dyDescent="0.3">
      <c r="H7833" s="4"/>
    </row>
    <row r="7834" spans="8:8" x14ac:dyDescent="0.3">
      <c r="H7834" s="4"/>
    </row>
    <row r="7835" spans="8:8" x14ac:dyDescent="0.3">
      <c r="H7835" s="4"/>
    </row>
    <row r="7836" spans="8:8" x14ac:dyDescent="0.3">
      <c r="H7836" s="4"/>
    </row>
    <row r="7837" spans="8:8" x14ac:dyDescent="0.3">
      <c r="H7837" s="4"/>
    </row>
    <row r="7838" spans="8:8" x14ac:dyDescent="0.3">
      <c r="H7838" s="4"/>
    </row>
    <row r="7839" spans="8:8" x14ac:dyDescent="0.3">
      <c r="H7839" s="4"/>
    </row>
    <row r="7840" spans="8:8" x14ac:dyDescent="0.3">
      <c r="H7840" s="4"/>
    </row>
    <row r="7841" spans="8:8" x14ac:dyDescent="0.3">
      <c r="H7841" s="4"/>
    </row>
    <row r="7842" spans="8:8" x14ac:dyDescent="0.3">
      <c r="H7842" s="4"/>
    </row>
    <row r="7843" spans="8:8" x14ac:dyDescent="0.3">
      <c r="H7843" s="4"/>
    </row>
    <row r="7844" spans="8:8" x14ac:dyDescent="0.3">
      <c r="H7844" s="4"/>
    </row>
    <row r="7845" spans="8:8" x14ac:dyDescent="0.3">
      <c r="H7845" s="4"/>
    </row>
    <row r="7846" spans="8:8" x14ac:dyDescent="0.3">
      <c r="H7846" s="4"/>
    </row>
    <row r="7847" spans="8:8" x14ac:dyDescent="0.3">
      <c r="H7847" s="4"/>
    </row>
    <row r="7848" spans="8:8" x14ac:dyDescent="0.3">
      <c r="H7848" s="4"/>
    </row>
    <row r="7849" spans="8:8" x14ac:dyDescent="0.3">
      <c r="H7849" s="4"/>
    </row>
    <row r="7850" spans="8:8" x14ac:dyDescent="0.3">
      <c r="H7850" s="4"/>
    </row>
    <row r="7851" spans="8:8" x14ac:dyDescent="0.3">
      <c r="H7851" s="4"/>
    </row>
    <row r="7852" spans="8:8" x14ac:dyDescent="0.3">
      <c r="H7852" s="4"/>
    </row>
    <row r="7853" spans="8:8" x14ac:dyDescent="0.3">
      <c r="H7853" s="4"/>
    </row>
    <row r="7854" spans="8:8" x14ac:dyDescent="0.3">
      <c r="H7854" s="4"/>
    </row>
    <row r="7855" spans="8:8" x14ac:dyDescent="0.3">
      <c r="H7855" s="4"/>
    </row>
    <row r="7856" spans="8:8" x14ac:dyDescent="0.3">
      <c r="H7856" s="4"/>
    </row>
    <row r="7857" spans="8:8" x14ac:dyDescent="0.3">
      <c r="H7857" s="4"/>
    </row>
    <row r="7858" spans="8:8" x14ac:dyDescent="0.3">
      <c r="H7858" s="4"/>
    </row>
    <row r="7859" spans="8:8" x14ac:dyDescent="0.3">
      <c r="H7859" s="4"/>
    </row>
    <row r="7860" spans="8:8" x14ac:dyDescent="0.3">
      <c r="H7860" s="4"/>
    </row>
    <row r="7861" spans="8:8" x14ac:dyDescent="0.3">
      <c r="H7861" s="4"/>
    </row>
    <row r="7862" spans="8:8" x14ac:dyDescent="0.3">
      <c r="H7862" s="4"/>
    </row>
    <row r="7863" spans="8:8" x14ac:dyDescent="0.3">
      <c r="H7863" s="4"/>
    </row>
    <row r="7864" spans="8:8" x14ac:dyDescent="0.3">
      <c r="H7864" s="4"/>
    </row>
    <row r="7865" spans="8:8" x14ac:dyDescent="0.3">
      <c r="H7865" s="4"/>
    </row>
    <row r="7866" spans="8:8" x14ac:dyDescent="0.3">
      <c r="H7866" s="4"/>
    </row>
    <row r="7867" spans="8:8" x14ac:dyDescent="0.3">
      <c r="H7867" s="4"/>
    </row>
    <row r="7868" spans="8:8" x14ac:dyDescent="0.3">
      <c r="H7868" s="4"/>
    </row>
    <row r="7869" spans="8:8" x14ac:dyDescent="0.3">
      <c r="H7869" s="4"/>
    </row>
    <row r="7870" spans="8:8" x14ac:dyDescent="0.3">
      <c r="H7870" s="4"/>
    </row>
    <row r="7871" spans="8:8" x14ac:dyDescent="0.3">
      <c r="H7871" s="4"/>
    </row>
    <row r="7872" spans="8:8" x14ac:dyDescent="0.3">
      <c r="H7872" s="4"/>
    </row>
    <row r="7873" spans="8:8" x14ac:dyDescent="0.3">
      <c r="H7873" s="4"/>
    </row>
    <row r="7874" spans="8:8" x14ac:dyDescent="0.3">
      <c r="H7874" s="4"/>
    </row>
    <row r="7875" spans="8:8" x14ac:dyDescent="0.3">
      <c r="H7875" s="4"/>
    </row>
    <row r="7876" spans="8:8" x14ac:dyDescent="0.3">
      <c r="H7876" s="4"/>
    </row>
    <row r="7877" spans="8:8" x14ac:dyDescent="0.3">
      <c r="H7877" s="4"/>
    </row>
    <row r="7878" spans="8:8" x14ac:dyDescent="0.3">
      <c r="H7878" s="4"/>
    </row>
    <row r="7879" spans="8:8" x14ac:dyDescent="0.3">
      <c r="H7879" s="4"/>
    </row>
    <row r="7880" spans="8:8" x14ac:dyDescent="0.3">
      <c r="H7880" s="4"/>
    </row>
    <row r="7881" spans="8:8" x14ac:dyDescent="0.3">
      <c r="H7881" s="4"/>
    </row>
    <row r="7882" spans="8:8" x14ac:dyDescent="0.3">
      <c r="H7882" s="4"/>
    </row>
    <row r="7883" spans="8:8" x14ac:dyDescent="0.3">
      <c r="H7883" s="4"/>
    </row>
    <row r="7884" spans="8:8" x14ac:dyDescent="0.3">
      <c r="H7884" s="4"/>
    </row>
    <row r="7885" spans="8:8" x14ac:dyDescent="0.3">
      <c r="H7885" s="4"/>
    </row>
    <row r="7886" spans="8:8" x14ac:dyDescent="0.3">
      <c r="H7886" s="4"/>
    </row>
    <row r="7887" spans="8:8" x14ac:dyDescent="0.3">
      <c r="H7887" s="4"/>
    </row>
    <row r="7888" spans="8:8" x14ac:dyDescent="0.3">
      <c r="H7888" s="4"/>
    </row>
    <row r="7889" spans="8:8" x14ac:dyDescent="0.3">
      <c r="H7889" s="4"/>
    </row>
    <row r="7890" spans="8:8" x14ac:dyDescent="0.3">
      <c r="H7890" s="4"/>
    </row>
    <row r="7891" spans="8:8" x14ac:dyDescent="0.3">
      <c r="H7891" s="4"/>
    </row>
    <row r="7892" spans="8:8" x14ac:dyDescent="0.3">
      <c r="H7892" s="4"/>
    </row>
    <row r="7893" spans="8:8" x14ac:dyDescent="0.3">
      <c r="H7893" s="4"/>
    </row>
    <row r="7894" spans="8:8" x14ac:dyDescent="0.3">
      <c r="H7894" s="4"/>
    </row>
    <row r="7895" spans="8:8" x14ac:dyDescent="0.3">
      <c r="H7895" s="4"/>
    </row>
    <row r="7896" spans="8:8" x14ac:dyDescent="0.3">
      <c r="H7896" s="4"/>
    </row>
    <row r="7897" spans="8:8" x14ac:dyDescent="0.3">
      <c r="H7897" s="4"/>
    </row>
    <row r="7898" spans="8:8" x14ac:dyDescent="0.3">
      <c r="H7898" s="4"/>
    </row>
    <row r="7899" spans="8:8" x14ac:dyDescent="0.3">
      <c r="H7899" s="4"/>
    </row>
    <row r="7900" spans="8:8" x14ac:dyDescent="0.3">
      <c r="H7900" s="4"/>
    </row>
    <row r="7901" spans="8:8" x14ac:dyDescent="0.3">
      <c r="H7901" s="4"/>
    </row>
    <row r="7902" spans="8:8" x14ac:dyDescent="0.3">
      <c r="H7902" s="4"/>
    </row>
    <row r="7903" spans="8:8" x14ac:dyDescent="0.3">
      <c r="H7903" s="4"/>
    </row>
    <row r="7904" spans="8:8" x14ac:dyDescent="0.3">
      <c r="H7904" s="4"/>
    </row>
    <row r="7905" spans="8:8" x14ac:dyDescent="0.3">
      <c r="H7905" s="4"/>
    </row>
    <row r="7906" spans="8:8" x14ac:dyDescent="0.3">
      <c r="H7906" s="4"/>
    </row>
    <row r="7907" spans="8:8" x14ac:dyDescent="0.3">
      <c r="H7907" s="4"/>
    </row>
    <row r="7908" spans="8:8" x14ac:dyDescent="0.3">
      <c r="H7908" s="4"/>
    </row>
    <row r="7909" spans="8:8" x14ac:dyDescent="0.3">
      <c r="H7909" s="4"/>
    </row>
    <row r="7910" spans="8:8" x14ac:dyDescent="0.3">
      <c r="H7910" s="4"/>
    </row>
    <row r="7911" spans="8:8" x14ac:dyDescent="0.3">
      <c r="H7911" s="4"/>
    </row>
    <row r="7912" spans="8:8" x14ac:dyDescent="0.3">
      <c r="H7912" s="4"/>
    </row>
    <row r="7913" spans="8:8" x14ac:dyDescent="0.3">
      <c r="H7913" s="4"/>
    </row>
    <row r="7914" spans="8:8" x14ac:dyDescent="0.3">
      <c r="H7914" s="4"/>
    </row>
    <row r="7915" spans="8:8" x14ac:dyDescent="0.3">
      <c r="H7915" s="4"/>
    </row>
    <row r="7916" spans="8:8" x14ac:dyDescent="0.3">
      <c r="H7916" s="4"/>
    </row>
    <row r="7917" spans="8:8" x14ac:dyDescent="0.3">
      <c r="H7917" s="4"/>
    </row>
    <row r="7918" spans="8:8" x14ac:dyDescent="0.3">
      <c r="H7918" s="4"/>
    </row>
    <row r="7919" spans="8:8" x14ac:dyDescent="0.3">
      <c r="H7919" s="4"/>
    </row>
    <row r="7920" spans="8:8" x14ac:dyDescent="0.3">
      <c r="H7920" s="4"/>
    </row>
    <row r="7921" spans="8:8" x14ac:dyDescent="0.3">
      <c r="H7921" s="4"/>
    </row>
    <row r="7922" spans="8:8" x14ac:dyDescent="0.3">
      <c r="H7922" s="4"/>
    </row>
    <row r="7923" spans="8:8" x14ac:dyDescent="0.3">
      <c r="H7923" s="4"/>
    </row>
    <row r="7924" spans="8:8" x14ac:dyDescent="0.3">
      <c r="H7924" s="4"/>
    </row>
    <row r="7925" spans="8:8" x14ac:dyDescent="0.3">
      <c r="H7925" s="4"/>
    </row>
    <row r="7926" spans="8:8" x14ac:dyDescent="0.3">
      <c r="H7926" s="4"/>
    </row>
    <row r="7927" spans="8:8" x14ac:dyDescent="0.3">
      <c r="H7927" s="4"/>
    </row>
    <row r="7928" spans="8:8" x14ac:dyDescent="0.3">
      <c r="H7928" s="4"/>
    </row>
    <row r="7929" spans="8:8" x14ac:dyDescent="0.3">
      <c r="H7929" s="4"/>
    </row>
    <row r="7930" spans="8:8" x14ac:dyDescent="0.3">
      <c r="H7930" s="4"/>
    </row>
    <row r="7931" spans="8:8" x14ac:dyDescent="0.3">
      <c r="H7931" s="4"/>
    </row>
    <row r="7932" spans="8:8" x14ac:dyDescent="0.3">
      <c r="H7932" s="4"/>
    </row>
    <row r="7933" spans="8:8" x14ac:dyDescent="0.3">
      <c r="H7933" s="4"/>
    </row>
    <row r="7934" spans="8:8" x14ac:dyDescent="0.3">
      <c r="H7934" s="4"/>
    </row>
    <row r="7935" spans="8:8" x14ac:dyDescent="0.3">
      <c r="H7935" s="4"/>
    </row>
    <row r="7936" spans="8:8" x14ac:dyDescent="0.3">
      <c r="H7936" s="4"/>
    </row>
    <row r="7937" spans="8:8" x14ac:dyDescent="0.3">
      <c r="H7937" s="4"/>
    </row>
    <row r="7938" spans="8:8" x14ac:dyDescent="0.3">
      <c r="H7938" s="4"/>
    </row>
    <row r="7939" spans="8:8" x14ac:dyDescent="0.3">
      <c r="H7939" s="4"/>
    </row>
    <row r="7940" spans="8:8" x14ac:dyDescent="0.3">
      <c r="H7940" s="4"/>
    </row>
    <row r="7941" spans="8:8" x14ac:dyDescent="0.3">
      <c r="H7941" s="4"/>
    </row>
    <row r="7942" spans="8:8" x14ac:dyDescent="0.3">
      <c r="H7942" s="4"/>
    </row>
    <row r="7943" spans="8:8" x14ac:dyDescent="0.3">
      <c r="H7943" s="4"/>
    </row>
    <row r="7944" spans="8:8" x14ac:dyDescent="0.3">
      <c r="H7944" s="4"/>
    </row>
    <row r="7945" spans="8:8" x14ac:dyDescent="0.3">
      <c r="H7945" s="4"/>
    </row>
    <row r="7946" spans="8:8" x14ac:dyDescent="0.3">
      <c r="H7946" s="4"/>
    </row>
    <row r="7947" spans="8:8" x14ac:dyDescent="0.3">
      <c r="H7947" s="4"/>
    </row>
    <row r="7948" spans="8:8" x14ac:dyDescent="0.3">
      <c r="H7948" s="4"/>
    </row>
    <row r="7949" spans="8:8" x14ac:dyDescent="0.3">
      <c r="H7949" s="4"/>
    </row>
    <row r="7950" spans="8:8" x14ac:dyDescent="0.3">
      <c r="H7950" s="4"/>
    </row>
    <row r="7951" spans="8:8" x14ac:dyDescent="0.3">
      <c r="H7951" s="4"/>
    </row>
    <row r="7952" spans="8:8" x14ac:dyDescent="0.3">
      <c r="H7952" s="4"/>
    </row>
    <row r="7953" spans="8:8" x14ac:dyDescent="0.3">
      <c r="H7953" s="4"/>
    </row>
    <row r="7954" spans="8:8" x14ac:dyDescent="0.3">
      <c r="H7954" s="4"/>
    </row>
    <row r="7955" spans="8:8" x14ac:dyDescent="0.3">
      <c r="H7955" s="4"/>
    </row>
    <row r="7956" spans="8:8" x14ac:dyDescent="0.3">
      <c r="H7956" s="4"/>
    </row>
    <row r="7957" spans="8:8" x14ac:dyDescent="0.3">
      <c r="H7957" s="4"/>
    </row>
    <row r="7958" spans="8:8" x14ac:dyDescent="0.3">
      <c r="H7958" s="4"/>
    </row>
    <row r="7959" spans="8:8" x14ac:dyDescent="0.3">
      <c r="H7959" s="4"/>
    </row>
    <row r="7960" spans="8:8" x14ac:dyDescent="0.3">
      <c r="H7960" s="4"/>
    </row>
    <row r="7961" spans="8:8" x14ac:dyDescent="0.3">
      <c r="H7961" s="4"/>
    </row>
    <row r="7962" spans="8:8" x14ac:dyDescent="0.3">
      <c r="H7962" s="4"/>
    </row>
    <row r="7963" spans="8:8" x14ac:dyDescent="0.3">
      <c r="H7963" s="4"/>
    </row>
    <row r="7964" spans="8:8" x14ac:dyDescent="0.3">
      <c r="H7964" s="4"/>
    </row>
    <row r="7965" spans="8:8" x14ac:dyDescent="0.3">
      <c r="H7965" s="4"/>
    </row>
    <row r="7966" spans="8:8" x14ac:dyDescent="0.3">
      <c r="H7966" s="4"/>
    </row>
    <row r="7967" spans="8:8" x14ac:dyDescent="0.3">
      <c r="H7967" s="4"/>
    </row>
    <row r="7968" spans="8:8" x14ac:dyDescent="0.3">
      <c r="H7968" s="4"/>
    </row>
    <row r="7969" spans="8:8" x14ac:dyDescent="0.3">
      <c r="H7969" s="4"/>
    </row>
    <row r="7970" spans="8:8" x14ac:dyDescent="0.3">
      <c r="H7970" s="4"/>
    </row>
    <row r="7971" spans="8:8" x14ac:dyDescent="0.3">
      <c r="H7971" s="4"/>
    </row>
    <row r="7972" spans="8:8" x14ac:dyDescent="0.3">
      <c r="H7972" s="4"/>
    </row>
    <row r="7973" spans="8:8" x14ac:dyDescent="0.3">
      <c r="H7973" s="4"/>
    </row>
    <row r="7974" spans="8:8" x14ac:dyDescent="0.3">
      <c r="H7974" s="4"/>
    </row>
    <row r="7975" spans="8:8" x14ac:dyDescent="0.3">
      <c r="H7975" s="4"/>
    </row>
    <row r="7976" spans="8:8" x14ac:dyDescent="0.3">
      <c r="H7976" s="4"/>
    </row>
    <row r="7977" spans="8:8" x14ac:dyDescent="0.3">
      <c r="H7977" s="4"/>
    </row>
    <row r="7978" spans="8:8" x14ac:dyDescent="0.3">
      <c r="H7978" s="4"/>
    </row>
    <row r="7979" spans="8:8" x14ac:dyDescent="0.3">
      <c r="H7979" s="4"/>
    </row>
    <row r="7980" spans="8:8" x14ac:dyDescent="0.3">
      <c r="H7980" s="4"/>
    </row>
    <row r="7981" spans="8:8" x14ac:dyDescent="0.3">
      <c r="H7981" s="4"/>
    </row>
    <row r="7982" spans="8:8" x14ac:dyDescent="0.3">
      <c r="H7982" s="4"/>
    </row>
    <row r="7983" spans="8:8" x14ac:dyDescent="0.3">
      <c r="H7983" s="4"/>
    </row>
    <row r="7984" spans="8:8" x14ac:dyDescent="0.3">
      <c r="H7984" s="4"/>
    </row>
    <row r="7985" spans="8:8" x14ac:dyDescent="0.3">
      <c r="H7985" s="4"/>
    </row>
    <row r="7986" spans="8:8" x14ac:dyDescent="0.3">
      <c r="H7986" s="4"/>
    </row>
    <row r="7987" spans="8:8" x14ac:dyDescent="0.3">
      <c r="H7987" s="4"/>
    </row>
    <row r="7988" spans="8:8" x14ac:dyDescent="0.3">
      <c r="H7988" s="4"/>
    </row>
    <row r="7989" spans="8:8" x14ac:dyDescent="0.3">
      <c r="H7989" s="4"/>
    </row>
    <row r="7990" spans="8:8" x14ac:dyDescent="0.3">
      <c r="H7990" s="4"/>
    </row>
    <row r="7991" spans="8:8" x14ac:dyDescent="0.3">
      <c r="H7991" s="4"/>
    </row>
    <row r="7992" spans="8:8" x14ac:dyDescent="0.3">
      <c r="H7992" s="4"/>
    </row>
    <row r="7993" spans="8:8" x14ac:dyDescent="0.3">
      <c r="H7993" s="4"/>
    </row>
    <row r="7994" spans="8:8" x14ac:dyDescent="0.3">
      <c r="H7994" s="4"/>
    </row>
    <row r="7995" spans="8:8" x14ac:dyDescent="0.3">
      <c r="H7995" s="4"/>
    </row>
    <row r="7996" spans="8:8" x14ac:dyDescent="0.3">
      <c r="H7996" s="4"/>
    </row>
    <row r="7997" spans="8:8" x14ac:dyDescent="0.3">
      <c r="H7997" s="4"/>
    </row>
    <row r="7998" spans="8:8" x14ac:dyDescent="0.3">
      <c r="H7998" s="4"/>
    </row>
    <row r="7999" spans="8:8" x14ac:dyDescent="0.3">
      <c r="H7999" s="4"/>
    </row>
    <row r="8000" spans="8:8" x14ac:dyDescent="0.3">
      <c r="H8000" s="4"/>
    </row>
    <row r="8001" spans="8:8" x14ac:dyDescent="0.3">
      <c r="H8001" s="4"/>
    </row>
    <row r="8002" spans="8:8" x14ac:dyDescent="0.3">
      <c r="H8002" s="4"/>
    </row>
    <row r="8003" spans="8:8" x14ac:dyDescent="0.3">
      <c r="H8003" s="4"/>
    </row>
    <row r="8004" spans="8:8" x14ac:dyDescent="0.3">
      <c r="H8004" s="4"/>
    </row>
    <row r="8005" spans="8:8" x14ac:dyDescent="0.3">
      <c r="H8005" s="4"/>
    </row>
    <row r="8006" spans="8:8" x14ac:dyDescent="0.3">
      <c r="H8006" s="4"/>
    </row>
    <row r="8007" spans="8:8" x14ac:dyDescent="0.3">
      <c r="H8007" s="4"/>
    </row>
    <row r="8008" spans="8:8" x14ac:dyDescent="0.3">
      <c r="H8008" s="4"/>
    </row>
    <row r="8009" spans="8:8" x14ac:dyDescent="0.3">
      <c r="H8009" s="4"/>
    </row>
    <row r="8010" spans="8:8" x14ac:dyDescent="0.3">
      <c r="H8010" s="4"/>
    </row>
    <row r="8011" spans="8:8" x14ac:dyDescent="0.3">
      <c r="H8011" s="4"/>
    </row>
    <row r="8012" spans="8:8" x14ac:dyDescent="0.3">
      <c r="H8012" s="4"/>
    </row>
    <row r="8013" spans="8:8" x14ac:dyDescent="0.3">
      <c r="H8013" s="4"/>
    </row>
    <row r="8014" spans="8:8" x14ac:dyDescent="0.3">
      <c r="H8014" s="4"/>
    </row>
    <row r="8015" spans="8:8" x14ac:dyDescent="0.3">
      <c r="H8015" s="4"/>
    </row>
    <row r="8016" spans="8:8" x14ac:dyDescent="0.3">
      <c r="H8016" s="4"/>
    </row>
    <row r="8017" spans="8:8" x14ac:dyDescent="0.3">
      <c r="H8017" s="4"/>
    </row>
    <row r="8018" spans="8:8" x14ac:dyDescent="0.3">
      <c r="H8018" s="4"/>
    </row>
    <row r="8019" spans="8:8" x14ac:dyDescent="0.3">
      <c r="H8019" s="4"/>
    </row>
    <row r="8020" spans="8:8" x14ac:dyDescent="0.3">
      <c r="H8020" s="4"/>
    </row>
    <row r="8021" spans="8:8" x14ac:dyDescent="0.3">
      <c r="H8021" s="4"/>
    </row>
    <row r="8022" spans="8:8" x14ac:dyDescent="0.3">
      <c r="H8022" s="4"/>
    </row>
    <row r="8023" spans="8:8" x14ac:dyDescent="0.3">
      <c r="H8023" s="4"/>
    </row>
    <row r="8024" spans="8:8" x14ac:dyDescent="0.3">
      <c r="H8024" s="4"/>
    </row>
    <row r="8025" spans="8:8" x14ac:dyDescent="0.3">
      <c r="H8025" s="4"/>
    </row>
    <row r="8026" spans="8:8" x14ac:dyDescent="0.3">
      <c r="H8026" s="4"/>
    </row>
    <row r="8027" spans="8:8" x14ac:dyDescent="0.3">
      <c r="H8027" s="4"/>
    </row>
    <row r="8028" spans="8:8" x14ac:dyDescent="0.3">
      <c r="H8028" s="4"/>
    </row>
    <row r="8029" spans="8:8" x14ac:dyDescent="0.3">
      <c r="H8029" s="4"/>
    </row>
    <row r="8030" spans="8:8" x14ac:dyDescent="0.3">
      <c r="H8030" s="4"/>
    </row>
    <row r="8031" spans="8:8" x14ac:dyDescent="0.3">
      <c r="H8031" s="4"/>
    </row>
    <row r="8032" spans="8:8" x14ac:dyDescent="0.3">
      <c r="H8032" s="4"/>
    </row>
    <row r="8033" spans="8:8" x14ac:dyDescent="0.3">
      <c r="H8033" s="4"/>
    </row>
    <row r="8034" spans="8:8" x14ac:dyDescent="0.3">
      <c r="H8034" s="4"/>
    </row>
    <row r="8035" spans="8:8" x14ac:dyDescent="0.3">
      <c r="H8035" s="4"/>
    </row>
    <row r="8036" spans="8:8" x14ac:dyDescent="0.3">
      <c r="H8036" s="4"/>
    </row>
    <row r="8037" spans="8:8" x14ac:dyDescent="0.3">
      <c r="H8037" s="4"/>
    </row>
    <row r="8038" spans="8:8" x14ac:dyDescent="0.3">
      <c r="H8038" s="4"/>
    </row>
    <row r="8039" spans="8:8" x14ac:dyDescent="0.3">
      <c r="H8039" s="4"/>
    </row>
    <row r="8040" spans="8:8" x14ac:dyDescent="0.3">
      <c r="H8040" s="4"/>
    </row>
    <row r="8041" spans="8:8" x14ac:dyDescent="0.3">
      <c r="H8041" s="4"/>
    </row>
    <row r="8042" spans="8:8" x14ac:dyDescent="0.3">
      <c r="H8042" s="4"/>
    </row>
    <row r="8043" spans="8:8" x14ac:dyDescent="0.3">
      <c r="H8043" s="4"/>
    </row>
    <row r="8044" spans="8:8" x14ac:dyDescent="0.3">
      <c r="H8044" s="4"/>
    </row>
    <row r="8045" spans="8:8" x14ac:dyDescent="0.3">
      <c r="H8045" s="4"/>
    </row>
    <row r="8046" spans="8:8" x14ac:dyDescent="0.3">
      <c r="H8046" s="4"/>
    </row>
    <row r="8047" spans="8:8" x14ac:dyDescent="0.3">
      <c r="H8047" s="4"/>
    </row>
    <row r="8048" spans="8:8" x14ac:dyDescent="0.3">
      <c r="H8048" s="4"/>
    </row>
    <row r="8049" spans="8:8" x14ac:dyDescent="0.3">
      <c r="H8049" s="4"/>
    </row>
    <row r="8050" spans="8:8" x14ac:dyDescent="0.3">
      <c r="H8050" s="4"/>
    </row>
    <row r="8051" spans="8:8" x14ac:dyDescent="0.3">
      <c r="H8051" s="4"/>
    </row>
    <row r="8052" spans="8:8" x14ac:dyDescent="0.3">
      <c r="H8052" s="4"/>
    </row>
    <row r="8053" spans="8:8" x14ac:dyDescent="0.3">
      <c r="H8053" s="4"/>
    </row>
    <row r="8054" spans="8:8" x14ac:dyDescent="0.3">
      <c r="H8054" s="4"/>
    </row>
    <row r="8055" spans="8:8" x14ac:dyDescent="0.3">
      <c r="H8055" s="4"/>
    </row>
    <row r="8056" spans="8:8" x14ac:dyDescent="0.3">
      <c r="H8056" s="4"/>
    </row>
    <row r="8057" spans="8:8" x14ac:dyDescent="0.3">
      <c r="H8057" s="4"/>
    </row>
    <row r="8058" spans="8:8" x14ac:dyDescent="0.3">
      <c r="H8058" s="4"/>
    </row>
    <row r="8059" spans="8:8" x14ac:dyDescent="0.3">
      <c r="H8059" s="4"/>
    </row>
    <row r="8060" spans="8:8" x14ac:dyDescent="0.3">
      <c r="H8060" s="4"/>
    </row>
    <row r="8061" spans="8:8" x14ac:dyDescent="0.3">
      <c r="H8061" s="4"/>
    </row>
    <row r="8062" spans="8:8" x14ac:dyDescent="0.3">
      <c r="H8062" s="4"/>
    </row>
    <row r="8063" spans="8:8" x14ac:dyDescent="0.3">
      <c r="H8063" s="4"/>
    </row>
    <row r="8064" spans="8:8" x14ac:dyDescent="0.3">
      <c r="H8064" s="4"/>
    </row>
    <row r="8065" spans="8:8" x14ac:dyDescent="0.3">
      <c r="H8065" s="4"/>
    </row>
    <row r="8066" spans="8:8" x14ac:dyDescent="0.3">
      <c r="H8066" s="4"/>
    </row>
    <row r="8067" spans="8:8" x14ac:dyDescent="0.3">
      <c r="H8067" s="4"/>
    </row>
    <row r="8068" spans="8:8" x14ac:dyDescent="0.3">
      <c r="H8068" s="4"/>
    </row>
    <row r="8069" spans="8:8" x14ac:dyDescent="0.3">
      <c r="H8069" s="4"/>
    </row>
    <row r="8070" spans="8:8" x14ac:dyDescent="0.3">
      <c r="H8070" s="4"/>
    </row>
    <row r="8071" spans="8:8" x14ac:dyDescent="0.3">
      <c r="H8071" s="4"/>
    </row>
    <row r="8072" spans="8:8" x14ac:dyDescent="0.3">
      <c r="H8072" s="4"/>
    </row>
    <row r="8073" spans="8:8" x14ac:dyDescent="0.3">
      <c r="H8073" s="4"/>
    </row>
    <row r="8074" spans="8:8" x14ac:dyDescent="0.3">
      <c r="H8074" s="4"/>
    </row>
    <row r="8075" spans="8:8" x14ac:dyDescent="0.3">
      <c r="H8075" s="4"/>
    </row>
    <row r="8076" spans="8:8" x14ac:dyDescent="0.3">
      <c r="H8076" s="4"/>
    </row>
    <row r="8077" spans="8:8" x14ac:dyDescent="0.3">
      <c r="H8077" s="4"/>
    </row>
    <row r="8078" spans="8:8" x14ac:dyDescent="0.3">
      <c r="H8078" s="4"/>
    </row>
    <row r="8079" spans="8:8" x14ac:dyDescent="0.3">
      <c r="H8079" s="4"/>
    </row>
    <row r="8080" spans="8:8" x14ac:dyDescent="0.3">
      <c r="H8080" s="4"/>
    </row>
    <row r="8081" spans="8:8" x14ac:dyDescent="0.3">
      <c r="H8081" s="4"/>
    </row>
    <row r="8082" spans="8:8" x14ac:dyDescent="0.3">
      <c r="H8082" s="4"/>
    </row>
    <row r="8083" spans="8:8" x14ac:dyDescent="0.3">
      <c r="H8083" s="4"/>
    </row>
    <row r="8084" spans="8:8" x14ac:dyDescent="0.3">
      <c r="H8084" s="4"/>
    </row>
    <row r="8085" spans="8:8" x14ac:dyDescent="0.3">
      <c r="H8085" s="4"/>
    </row>
    <row r="8086" spans="8:8" x14ac:dyDescent="0.3">
      <c r="H8086" s="4"/>
    </row>
    <row r="8087" spans="8:8" x14ac:dyDescent="0.3">
      <c r="H8087" s="4"/>
    </row>
    <row r="8088" spans="8:8" x14ac:dyDescent="0.3">
      <c r="H8088" s="4"/>
    </row>
    <row r="8089" spans="8:8" x14ac:dyDescent="0.3">
      <c r="H8089" s="4"/>
    </row>
    <row r="8090" spans="8:8" x14ac:dyDescent="0.3">
      <c r="H8090" s="4"/>
    </row>
    <row r="8091" spans="8:8" x14ac:dyDescent="0.3">
      <c r="H8091" s="4"/>
    </row>
    <row r="8092" spans="8:8" x14ac:dyDescent="0.3">
      <c r="H8092" s="4"/>
    </row>
    <row r="8093" spans="8:8" x14ac:dyDescent="0.3">
      <c r="H8093" s="4"/>
    </row>
    <row r="8094" spans="8:8" x14ac:dyDescent="0.3">
      <c r="H8094" s="4"/>
    </row>
    <row r="8095" spans="8:8" x14ac:dyDescent="0.3">
      <c r="H8095" s="4"/>
    </row>
    <row r="8096" spans="8:8" x14ac:dyDescent="0.3">
      <c r="H8096" s="4"/>
    </row>
    <row r="8097" spans="8:8" x14ac:dyDescent="0.3">
      <c r="H8097" s="4"/>
    </row>
    <row r="8098" spans="8:8" x14ac:dyDescent="0.3">
      <c r="H8098" s="4"/>
    </row>
    <row r="8099" spans="8:8" x14ac:dyDescent="0.3">
      <c r="H8099" s="4"/>
    </row>
    <row r="8100" spans="8:8" x14ac:dyDescent="0.3">
      <c r="H8100" s="4"/>
    </row>
    <row r="8101" spans="8:8" x14ac:dyDescent="0.3">
      <c r="H8101" s="4"/>
    </row>
    <row r="8102" spans="8:8" x14ac:dyDescent="0.3">
      <c r="H8102" s="4"/>
    </row>
    <row r="8103" spans="8:8" x14ac:dyDescent="0.3">
      <c r="H8103" s="4"/>
    </row>
    <row r="8104" spans="8:8" x14ac:dyDescent="0.3">
      <c r="H8104" s="4"/>
    </row>
    <row r="8105" spans="8:8" x14ac:dyDescent="0.3">
      <c r="H8105" s="4"/>
    </row>
    <row r="8106" spans="8:8" x14ac:dyDescent="0.3">
      <c r="H8106" s="4"/>
    </row>
    <row r="8107" spans="8:8" x14ac:dyDescent="0.3">
      <c r="H8107" s="4"/>
    </row>
    <row r="8108" spans="8:8" x14ac:dyDescent="0.3">
      <c r="H8108" s="4"/>
    </row>
    <row r="8109" spans="8:8" x14ac:dyDescent="0.3">
      <c r="H8109" s="4"/>
    </row>
    <row r="8110" spans="8:8" x14ac:dyDescent="0.3">
      <c r="H8110" s="4"/>
    </row>
    <row r="8111" spans="8:8" x14ac:dyDescent="0.3">
      <c r="H8111" s="4"/>
    </row>
    <row r="8112" spans="8:8" x14ac:dyDescent="0.3">
      <c r="H8112" s="4"/>
    </row>
    <row r="8113" spans="8:8" x14ac:dyDescent="0.3">
      <c r="H8113" s="4"/>
    </row>
    <row r="8114" spans="8:8" x14ac:dyDescent="0.3">
      <c r="H8114" s="4"/>
    </row>
    <row r="8115" spans="8:8" x14ac:dyDescent="0.3">
      <c r="H8115" s="4"/>
    </row>
    <row r="8116" spans="8:8" x14ac:dyDescent="0.3">
      <c r="H8116" s="4"/>
    </row>
    <row r="8117" spans="8:8" x14ac:dyDescent="0.3">
      <c r="H8117" s="4"/>
    </row>
    <row r="8118" spans="8:8" x14ac:dyDescent="0.3">
      <c r="H8118" s="4"/>
    </row>
    <row r="8119" spans="8:8" x14ac:dyDescent="0.3">
      <c r="H8119" s="4"/>
    </row>
    <row r="8120" spans="8:8" x14ac:dyDescent="0.3">
      <c r="H8120" s="4"/>
    </row>
    <row r="8121" spans="8:8" x14ac:dyDescent="0.3">
      <c r="H8121" s="4"/>
    </row>
    <row r="8122" spans="8:8" x14ac:dyDescent="0.3">
      <c r="H8122" s="4"/>
    </row>
    <row r="8123" spans="8:8" x14ac:dyDescent="0.3">
      <c r="H8123" s="4"/>
    </row>
    <row r="8124" spans="8:8" x14ac:dyDescent="0.3">
      <c r="H8124" s="4"/>
    </row>
    <row r="8125" spans="8:8" x14ac:dyDescent="0.3">
      <c r="H8125" s="4"/>
    </row>
    <row r="8126" spans="8:8" x14ac:dyDescent="0.3">
      <c r="H8126" s="4"/>
    </row>
    <row r="8127" spans="8:8" x14ac:dyDescent="0.3">
      <c r="H8127" s="4"/>
    </row>
    <row r="8128" spans="8:8" x14ac:dyDescent="0.3">
      <c r="H8128" s="4"/>
    </row>
    <row r="8129" spans="8:8" x14ac:dyDescent="0.3">
      <c r="H8129" s="4"/>
    </row>
    <row r="8130" spans="8:8" x14ac:dyDescent="0.3">
      <c r="H8130" s="4"/>
    </row>
    <row r="8131" spans="8:8" x14ac:dyDescent="0.3">
      <c r="H8131" s="4"/>
    </row>
    <row r="8132" spans="8:8" x14ac:dyDescent="0.3">
      <c r="H8132" s="4"/>
    </row>
    <row r="8133" spans="8:8" x14ac:dyDescent="0.3">
      <c r="H8133" s="4"/>
    </row>
    <row r="8134" spans="8:8" x14ac:dyDescent="0.3">
      <c r="H8134" s="4"/>
    </row>
    <row r="8135" spans="8:8" x14ac:dyDescent="0.3">
      <c r="H8135" s="4"/>
    </row>
    <row r="8136" spans="8:8" x14ac:dyDescent="0.3">
      <c r="H8136" s="4"/>
    </row>
    <row r="8137" spans="8:8" x14ac:dyDescent="0.3">
      <c r="H8137" s="4"/>
    </row>
    <row r="8138" spans="8:8" x14ac:dyDescent="0.3">
      <c r="H8138" s="4"/>
    </row>
    <row r="8139" spans="8:8" x14ac:dyDescent="0.3">
      <c r="H8139" s="4"/>
    </row>
    <row r="8140" spans="8:8" x14ac:dyDescent="0.3">
      <c r="H8140" s="4"/>
    </row>
    <row r="8141" spans="8:8" x14ac:dyDescent="0.3">
      <c r="H8141" s="4"/>
    </row>
    <row r="8142" spans="8:8" x14ac:dyDescent="0.3">
      <c r="H8142" s="4"/>
    </row>
    <row r="8143" spans="8:8" x14ac:dyDescent="0.3">
      <c r="H8143" s="4"/>
    </row>
    <row r="8144" spans="8:8" x14ac:dyDescent="0.3">
      <c r="H8144" s="4"/>
    </row>
    <row r="8145" spans="8:8" x14ac:dyDescent="0.3">
      <c r="H8145" s="4"/>
    </row>
    <row r="8146" spans="8:8" x14ac:dyDescent="0.3">
      <c r="H8146" s="4"/>
    </row>
    <row r="8147" spans="8:8" x14ac:dyDescent="0.3">
      <c r="H8147" s="4"/>
    </row>
    <row r="8148" spans="8:8" x14ac:dyDescent="0.3">
      <c r="H8148" s="4"/>
    </row>
    <row r="8149" spans="8:8" x14ac:dyDescent="0.3">
      <c r="H8149" s="4"/>
    </row>
    <row r="8150" spans="8:8" x14ac:dyDescent="0.3">
      <c r="H8150" s="4"/>
    </row>
    <row r="8151" spans="8:8" x14ac:dyDescent="0.3">
      <c r="H8151" s="4"/>
    </row>
    <row r="8152" spans="8:8" x14ac:dyDescent="0.3">
      <c r="H8152" s="4"/>
    </row>
    <row r="8153" spans="8:8" x14ac:dyDescent="0.3">
      <c r="H8153" s="4"/>
    </row>
    <row r="8154" spans="8:8" x14ac:dyDescent="0.3">
      <c r="H8154" s="4"/>
    </row>
    <row r="8155" spans="8:8" x14ac:dyDescent="0.3">
      <c r="H8155" s="4"/>
    </row>
    <row r="8156" spans="8:8" x14ac:dyDescent="0.3">
      <c r="H8156" s="4"/>
    </row>
    <row r="8157" spans="8:8" x14ac:dyDescent="0.3">
      <c r="H8157" s="4"/>
    </row>
    <row r="8158" spans="8:8" x14ac:dyDescent="0.3">
      <c r="H8158" s="4"/>
    </row>
    <row r="8159" spans="8:8" x14ac:dyDescent="0.3">
      <c r="H8159" s="4"/>
    </row>
    <row r="8160" spans="8:8" x14ac:dyDescent="0.3">
      <c r="H8160" s="4"/>
    </row>
    <row r="8161" spans="8:8" x14ac:dyDescent="0.3">
      <c r="H8161" s="4"/>
    </row>
    <row r="8162" spans="8:8" x14ac:dyDescent="0.3">
      <c r="H8162" s="4"/>
    </row>
    <row r="8163" spans="8:8" x14ac:dyDescent="0.3">
      <c r="H8163" s="4"/>
    </row>
    <row r="8164" spans="8:8" x14ac:dyDescent="0.3">
      <c r="H8164" s="4"/>
    </row>
    <row r="8165" spans="8:8" x14ac:dyDescent="0.3">
      <c r="H8165" s="4"/>
    </row>
    <row r="8166" spans="8:8" x14ac:dyDescent="0.3">
      <c r="H8166" s="4"/>
    </row>
    <row r="8167" spans="8:8" x14ac:dyDescent="0.3">
      <c r="H8167" s="4"/>
    </row>
    <row r="8168" spans="8:8" x14ac:dyDescent="0.3">
      <c r="H8168" s="4"/>
    </row>
    <row r="8169" spans="8:8" x14ac:dyDescent="0.3">
      <c r="H8169" s="4"/>
    </row>
    <row r="8170" spans="8:8" x14ac:dyDescent="0.3">
      <c r="H8170" s="4"/>
    </row>
    <row r="8171" spans="8:8" x14ac:dyDescent="0.3">
      <c r="H8171" s="4"/>
    </row>
    <row r="8172" spans="8:8" x14ac:dyDescent="0.3">
      <c r="H8172" s="4"/>
    </row>
    <row r="8173" spans="8:8" x14ac:dyDescent="0.3">
      <c r="H8173" s="4"/>
    </row>
    <row r="8174" spans="8:8" x14ac:dyDescent="0.3">
      <c r="H8174" s="4"/>
    </row>
    <row r="8175" spans="8:8" x14ac:dyDescent="0.3">
      <c r="H8175" s="4"/>
    </row>
    <row r="8176" spans="8:8" x14ac:dyDescent="0.3">
      <c r="H8176" s="4"/>
    </row>
    <row r="8177" spans="8:8" x14ac:dyDescent="0.3">
      <c r="H8177" s="4"/>
    </row>
    <row r="8178" spans="8:8" x14ac:dyDescent="0.3">
      <c r="H8178" s="4"/>
    </row>
    <row r="8179" spans="8:8" x14ac:dyDescent="0.3">
      <c r="H8179" s="4"/>
    </row>
    <row r="8180" spans="8:8" x14ac:dyDescent="0.3">
      <c r="H8180" s="4"/>
    </row>
    <row r="8181" spans="8:8" x14ac:dyDescent="0.3">
      <c r="H8181" s="4"/>
    </row>
    <row r="8182" spans="8:8" x14ac:dyDescent="0.3">
      <c r="H8182" s="4"/>
    </row>
    <row r="8183" spans="8:8" x14ac:dyDescent="0.3">
      <c r="H8183" s="4"/>
    </row>
    <row r="8184" spans="8:8" x14ac:dyDescent="0.3">
      <c r="H8184" s="4"/>
    </row>
    <row r="8185" spans="8:8" x14ac:dyDescent="0.3">
      <c r="H8185" s="4"/>
    </row>
    <row r="8186" spans="8:8" x14ac:dyDescent="0.3">
      <c r="H8186" s="4"/>
    </row>
    <row r="8187" spans="8:8" x14ac:dyDescent="0.3">
      <c r="H8187" s="4"/>
    </row>
    <row r="8188" spans="8:8" x14ac:dyDescent="0.3">
      <c r="H8188" s="4"/>
    </row>
    <row r="8189" spans="8:8" x14ac:dyDescent="0.3">
      <c r="H8189" s="4"/>
    </row>
    <row r="8190" spans="8:8" x14ac:dyDescent="0.3">
      <c r="H8190" s="4"/>
    </row>
    <row r="8191" spans="8:8" x14ac:dyDescent="0.3">
      <c r="H8191" s="4"/>
    </row>
    <row r="8192" spans="8:8" x14ac:dyDescent="0.3">
      <c r="H8192" s="4"/>
    </row>
    <row r="8193" spans="8:8" x14ac:dyDescent="0.3">
      <c r="H8193" s="4"/>
    </row>
    <row r="8194" spans="8:8" x14ac:dyDescent="0.3">
      <c r="H8194" s="4"/>
    </row>
    <row r="8195" spans="8:8" x14ac:dyDescent="0.3">
      <c r="H8195" s="4"/>
    </row>
    <row r="8196" spans="8:8" x14ac:dyDescent="0.3">
      <c r="H8196" s="4"/>
    </row>
    <row r="8197" spans="8:8" x14ac:dyDescent="0.3">
      <c r="H8197" s="4"/>
    </row>
    <row r="8198" spans="8:8" x14ac:dyDescent="0.3">
      <c r="H8198" s="4"/>
    </row>
    <row r="8199" spans="8:8" x14ac:dyDescent="0.3">
      <c r="H8199" s="4"/>
    </row>
    <row r="8200" spans="8:8" x14ac:dyDescent="0.3">
      <c r="H8200" s="4"/>
    </row>
    <row r="8201" spans="8:8" x14ac:dyDescent="0.3">
      <c r="H8201" s="4"/>
    </row>
    <row r="8202" spans="8:8" x14ac:dyDescent="0.3">
      <c r="H8202" s="4"/>
    </row>
    <row r="8203" spans="8:8" x14ac:dyDescent="0.3">
      <c r="H8203" s="4"/>
    </row>
    <row r="8204" spans="8:8" x14ac:dyDescent="0.3">
      <c r="H8204" s="4"/>
    </row>
    <row r="8205" spans="8:8" x14ac:dyDescent="0.3">
      <c r="H8205" s="4"/>
    </row>
    <row r="8206" spans="8:8" x14ac:dyDescent="0.3">
      <c r="H8206" s="4"/>
    </row>
    <row r="8207" spans="8:8" x14ac:dyDescent="0.3">
      <c r="H8207" s="4"/>
    </row>
    <row r="8208" spans="8:8" x14ac:dyDescent="0.3">
      <c r="H8208" s="4"/>
    </row>
    <row r="8209" spans="8:8" x14ac:dyDescent="0.3">
      <c r="H8209" s="4"/>
    </row>
    <row r="8210" spans="8:8" x14ac:dyDescent="0.3">
      <c r="H8210" s="4"/>
    </row>
    <row r="8211" spans="8:8" x14ac:dyDescent="0.3">
      <c r="H8211" s="4"/>
    </row>
    <row r="8212" spans="8:8" x14ac:dyDescent="0.3">
      <c r="H8212" s="4"/>
    </row>
    <row r="8213" spans="8:8" x14ac:dyDescent="0.3">
      <c r="H8213" s="4"/>
    </row>
    <row r="8214" spans="8:8" x14ac:dyDescent="0.3">
      <c r="H8214" s="4"/>
    </row>
    <row r="8215" spans="8:8" x14ac:dyDescent="0.3">
      <c r="H8215" s="4"/>
    </row>
    <row r="8216" spans="8:8" x14ac:dyDescent="0.3">
      <c r="H8216" s="4"/>
    </row>
    <row r="8217" spans="8:8" x14ac:dyDescent="0.3">
      <c r="H8217" s="4"/>
    </row>
    <row r="8218" spans="8:8" x14ac:dyDescent="0.3">
      <c r="H8218" s="4"/>
    </row>
    <row r="8219" spans="8:8" x14ac:dyDescent="0.3">
      <c r="H8219" s="4"/>
    </row>
    <row r="8220" spans="8:8" x14ac:dyDescent="0.3">
      <c r="H8220" s="4"/>
    </row>
    <row r="8221" spans="8:8" x14ac:dyDescent="0.3">
      <c r="H8221" s="4"/>
    </row>
    <row r="8222" spans="8:8" x14ac:dyDescent="0.3">
      <c r="H8222" s="4"/>
    </row>
    <row r="8223" spans="8:8" x14ac:dyDescent="0.3">
      <c r="H8223" s="4"/>
    </row>
    <row r="8224" spans="8:8" x14ac:dyDescent="0.3">
      <c r="H8224" s="4"/>
    </row>
    <row r="8225" spans="8:8" x14ac:dyDescent="0.3">
      <c r="H8225" s="4"/>
    </row>
    <row r="8226" spans="8:8" x14ac:dyDescent="0.3">
      <c r="H8226" s="4"/>
    </row>
    <row r="8227" spans="8:8" x14ac:dyDescent="0.3">
      <c r="H8227" s="4"/>
    </row>
    <row r="8228" spans="8:8" x14ac:dyDescent="0.3">
      <c r="H8228" s="4"/>
    </row>
    <row r="8229" spans="8:8" x14ac:dyDescent="0.3">
      <c r="H8229" s="4"/>
    </row>
    <row r="8230" spans="8:8" x14ac:dyDescent="0.3">
      <c r="H8230" s="4"/>
    </row>
    <row r="8231" spans="8:8" x14ac:dyDescent="0.3">
      <c r="H8231" s="4"/>
    </row>
    <row r="8232" spans="8:8" x14ac:dyDescent="0.3">
      <c r="H8232" s="4"/>
    </row>
    <row r="8233" spans="8:8" x14ac:dyDescent="0.3">
      <c r="H8233" s="4"/>
    </row>
    <row r="8234" spans="8:8" x14ac:dyDescent="0.3">
      <c r="H8234" s="4"/>
    </row>
    <row r="8235" spans="8:8" x14ac:dyDescent="0.3">
      <c r="H8235" s="4"/>
    </row>
    <row r="8236" spans="8:8" x14ac:dyDescent="0.3">
      <c r="H8236" s="4"/>
    </row>
    <row r="8237" spans="8:8" x14ac:dyDescent="0.3">
      <c r="H8237" s="4"/>
    </row>
    <row r="8238" spans="8:8" x14ac:dyDescent="0.3">
      <c r="H8238" s="4"/>
    </row>
    <row r="8239" spans="8:8" x14ac:dyDescent="0.3">
      <c r="H8239" s="4"/>
    </row>
    <row r="8240" spans="8:8" x14ac:dyDescent="0.3">
      <c r="H8240" s="4"/>
    </row>
    <row r="8241" spans="8:8" x14ac:dyDescent="0.3">
      <c r="H8241" s="4"/>
    </row>
    <row r="8242" spans="8:8" x14ac:dyDescent="0.3">
      <c r="H8242" s="4"/>
    </row>
    <row r="8243" spans="8:8" x14ac:dyDescent="0.3">
      <c r="H8243" s="4"/>
    </row>
    <row r="8244" spans="8:8" x14ac:dyDescent="0.3">
      <c r="H8244" s="4"/>
    </row>
    <row r="8245" spans="8:8" x14ac:dyDescent="0.3">
      <c r="H8245" s="4"/>
    </row>
    <row r="8246" spans="8:8" x14ac:dyDescent="0.3">
      <c r="H8246" s="4"/>
    </row>
    <row r="8247" spans="8:8" x14ac:dyDescent="0.3">
      <c r="H8247" s="4"/>
    </row>
    <row r="8248" spans="8:8" x14ac:dyDescent="0.3">
      <c r="H8248" s="4"/>
    </row>
    <row r="8249" spans="8:8" x14ac:dyDescent="0.3">
      <c r="H8249" s="4"/>
    </row>
    <row r="8250" spans="8:8" x14ac:dyDescent="0.3">
      <c r="H8250" s="4"/>
    </row>
    <row r="8251" spans="8:8" x14ac:dyDescent="0.3">
      <c r="H8251" s="4"/>
    </row>
    <row r="8252" spans="8:8" x14ac:dyDescent="0.3">
      <c r="H8252" s="4"/>
    </row>
    <row r="8253" spans="8:8" x14ac:dyDescent="0.3">
      <c r="H8253" s="4"/>
    </row>
    <row r="8254" spans="8:8" x14ac:dyDescent="0.3">
      <c r="H8254" s="4"/>
    </row>
    <row r="8255" spans="8:8" x14ac:dyDescent="0.3">
      <c r="H8255" s="4"/>
    </row>
    <row r="8256" spans="8:8" x14ac:dyDescent="0.3">
      <c r="H8256" s="4"/>
    </row>
    <row r="8257" spans="8:8" x14ac:dyDescent="0.3">
      <c r="H8257" s="4"/>
    </row>
    <row r="8258" spans="8:8" x14ac:dyDescent="0.3">
      <c r="H8258" s="4"/>
    </row>
    <row r="8259" spans="8:8" x14ac:dyDescent="0.3">
      <c r="H8259" s="4"/>
    </row>
    <row r="8260" spans="8:8" x14ac:dyDescent="0.3">
      <c r="H8260" s="4"/>
    </row>
    <row r="8261" spans="8:8" x14ac:dyDescent="0.3">
      <c r="H8261" s="4"/>
    </row>
    <row r="8262" spans="8:8" x14ac:dyDescent="0.3">
      <c r="H8262" s="4"/>
    </row>
    <row r="8263" spans="8:8" x14ac:dyDescent="0.3">
      <c r="H8263" s="4"/>
    </row>
    <row r="8264" spans="8:8" x14ac:dyDescent="0.3">
      <c r="H8264" s="4"/>
    </row>
    <row r="8265" spans="8:8" x14ac:dyDescent="0.3">
      <c r="H8265" s="4"/>
    </row>
    <row r="8266" spans="8:8" x14ac:dyDescent="0.3">
      <c r="H8266" s="4"/>
    </row>
    <row r="8267" spans="8:8" x14ac:dyDescent="0.3">
      <c r="H8267" s="4"/>
    </row>
    <row r="8268" spans="8:8" x14ac:dyDescent="0.3">
      <c r="H8268" s="4"/>
    </row>
    <row r="8269" spans="8:8" x14ac:dyDescent="0.3">
      <c r="H8269" s="4"/>
    </row>
    <row r="8270" spans="8:8" x14ac:dyDescent="0.3">
      <c r="H8270" s="4"/>
    </row>
    <row r="8271" spans="8:8" x14ac:dyDescent="0.3">
      <c r="H8271" s="4"/>
    </row>
    <row r="8272" spans="8:8" x14ac:dyDescent="0.3">
      <c r="H8272" s="4"/>
    </row>
    <row r="8273" spans="8:8" x14ac:dyDescent="0.3">
      <c r="H8273" s="4"/>
    </row>
    <row r="8274" spans="8:8" x14ac:dyDescent="0.3">
      <c r="H8274" s="4"/>
    </row>
    <row r="8275" spans="8:8" x14ac:dyDescent="0.3">
      <c r="H8275" s="4"/>
    </row>
    <row r="8276" spans="8:8" x14ac:dyDescent="0.3">
      <c r="H8276" s="4"/>
    </row>
    <row r="8277" spans="8:8" x14ac:dyDescent="0.3">
      <c r="H8277" s="4"/>
    </row>
    <row r="8278" spans="8:8" x14ac:dyDescent="0.3">
      <c r="H8278" s="4"/>
    </row>
    <row r="8279" spans="8:8" x14ac:dyDescent="0.3">
      <c r="H8279" s="4"/>
    </row>
    <row r="8280" spans="8:8" x14ac:dyDescent="0.3">
      <c r="H8280" s="4"/>
    </row>
    <row r="8281" spans="8:8" x14ac:dyDescent="0.3">
      <c r="H8281" s="4"/>
    </row>
    <row r="8282" spans="8:8" x14ac:dyDescent="0.3">
      <c r="H8282" s="4"/>
    </row>
    <row r="8283" spans="8:8" x14ac:dyDescent="0.3">
      <c r="H8283" s="4"/>
    </row>
    <row r="8284" spans="8:8" x14ac:dyDescent="0.3">
      <c r="H8284" s="4"/>
    </row>
    <row r="8285" spans="8:8" x14ac:dyDescent="0.3">
      <c r="H8285" s="4"/>
    </row>
    <row r="8286" spans="8:8" x14ac:dyDescent="0.3">
      <c r="H8286" s="4"/>
    </row>
    <row r="8287" spans="8:8" x14ac:dyDescent="0.3">
      <c r="H8287" s="4"/>
    </row>
    <row r="8288" spans="8:8" x14ac:dyDescent="0.3">
      <c r="H8288" s="4"/>
    </row>
    <row r="8289" spans="8:8" x14ac:dyDescent="0.3">
      <c r="H8289" s="4"/>
    </row>
    <row r="8290" spans="8:8" x14ac:dyDescent="0.3">
      <c r="H8290" s="4"/>
    </row>
    <row r="8291" spans="8:8" x14ac:dyDescent="0.3">
      <c r="H8291" s="4"/>
    </row>
    <row r="8292" spans="8:8" x14ac:dyDescent="0.3">
      <c r="H8292" s="4"/>
    </row>
    <row r="8293" spans="8:8" x14ac:dyDescent="0.3">
      <c r="H8293" s="4"/>
    </row>
    <row r="8294" spans="8:8" x14ac:dyDescent="0.3">
      <c r="H8294" s="4"/>
    </row>
    <row r="8295" spans="8:8" x14ac:dyDescent="0.3">
      <c r="H8295" s="4"/>
    </row>
    <row r="8296" spans="8:8" x14ac:dyDescent="0.3">
      <c r="H8296" s="4"/>
    </row>
    <row r="8297" spans="8:8" x14ac:dyDescent="0.3">
      <c r="H8297" s="4"/>
    </row>
    <row r="8298" spans="8:8" x14ac:dyDescent="0.3">
      <c r="H8298" s="4"/>
    </row>
    <row r="8299" spans="8:8" x14ac:dyDescent="0.3">
      <c r="H8299" s="4"/>
    </row>
    <row r="8300" spans="8:8" x14ac:dyDescent="0.3">
      <c r="H8300" s="4"/>
    </row>
    <row r="8301" spans="8:8" x14ac:dyDescent="0.3">
      <c r="H8301" s="4"/>
    </row>
    <row r="8302" spans="8:8" x14ac:dyDescent="0.3">
      <c r="H8302" s="4"/>
    </row>
    <row r="8303" spans="8:8" x14ac:dyDescent="0.3">
      <c r="H8303" s="4"/>
    </row>
    <row r="8304" spans="8:8" x14ac:dyDescent="0.3">
      <c r="H8304" s="4"/>
    </row>
    <row r="8305" spans="8:8" x14ac:dyDescent="0.3">
      <c r="H8305" s="4"/>
    </row>
    <row r="8306" spans="8:8" x14ac:dyDescent="0.3">
      <c r="H8306" s="4"/>
    </row>
    <row r="8307" spans="8:8" x14ac:dyDescent="0.3">
      <c r="H8307" s="4"/>
    </row>
    <row r="8308" spans="8:8" x14ac:dyDescent="0.3">
      <c r="H8308" s="4"/>
    </row>
    <row r="8309" spans="8:8" x14ac:dyDescent="0.3">
      <c r="H8309" s="4"/>
    </row>
    <row r="8310" spans="8:8" x14ac:dyDescent="0.3">
      <c r="H8310" s="4"/>
    </row>
    <row r="8311" spans="8:8" x14ac:dyDescent="0.3">
      <c r="H8311" s="4"/>
    </row>
    <row r="8312" spans="8:8" x14ac:dyDescent="0.3">
      <c r="H8312" s="4"/>
    </row>
    <row r="8313" spans="8:8" x14ac:dyDescent="0.3">
      <c r="H8313" s="4"/>
    </row>
    <row r="8314" spans="8:8" x14ac:dyDescent="0.3">
      <c r="H8314" s="4"/>
    </row>
    <row r="8315" spans="8:8" x14ac:dyDescent="0.3">
      <c r="H8315" s="4"/>
    </row>
    <row r="8316" spans="8:8" x14ac:dyDescent="0.3">
      <c r="H8316" s="4"/>
    </row>
    <row r="8317" spans="8:8" x14ac:dyDescent="0.3">
      <c r="H8317" s="4"/>
    </row>
    <row r="8318" spans="8:8" x14ac:dyDescent="0.3">
      <c r="H8318" s="4"/>
    </row>
    <row r="8319" spans="8:8" x14ac:dyDescent="0.3">
      <c r="H8319" s="4"/>
    </row>
    <row r="8320" spans="8:8" x14ac:dyDescent="0.3">
      <c r="H8320" s="4"/>
    </row>
    <row r="8321" spans="8:8" x14ac:dyDescent="0.3">
      <c r="H8321" s="4"/>
    </row>
    <row r="8322" spans="8:8" x14ac:dyDescent="0.3">
      <c r="H8322" s="4"/>
    </row>
    <row r="8323" spans="8:8" x14ac:dyDescent="0.3">
      <c r="H8323" s="4"/>
    </row>
    <row r="8324" spans="8:8" x14ac:dyDescent="0.3">
      <c r="H8324" s="4"/>
    </row>
    <row r="8325" spans="8:8" x14ac:dyDescent="0.3">
      <c r="H8325" s="4"/>
    </row>
    <row r="8326" spans="8:8" x14ac:dyDescent="0.3">
      <c r="H8326" s="4"/>
    </row>
    <row r="8327" spans="8:8" x14ac:dyDescent="0.3">
      <c r="H8327" s="4"/>
    </row>
    <row r="8328" spans="8:8" x14ac:dyDescent="0.3">
      <c r="H8328" s="4"/>
    </row>
    <row r="8329" spans="8:8" x14ac:dyDescent="0.3">
      <c r="H8329" s="4"/>
    </row>
    <row r="8330" spans="8:8" x14ac:dyDescent="0.3">
      <c r="H8330" s="4"/>
    </row>
    <row r="8331" spans="8:8" x14ac:dyDescent="0.3">
      <c r="H8331" s="4"/>
    </row>
    <row r="8332" spans="8:8" x14ac:dyDescent="0.3">
      <c r="H8332" s="4"/>
    </row>
    <row r="8333" spans="8:8" x14ac:dyDescent="0.3">
      <c r="H8333" s="4"/>
    </row>
    <row r="8334" spans="8:8" x14ac:dyDescent="0.3">
      <c r="H8334" s="4"/>
    </row>
    <row r="8335" spans="8:8" x14ac:dyDescent="0.3">
      <c r="H8335" s="4"/>
    </row>
    <row r="8336" spans="8:8" x14ac:dyDescent="0.3">
      <c r="H8336" s="4"/>
    </row>
    <row r="8337" spans="8:8" x14ac:dyDescent="0.3">
      <c r="H8337" s="4"/>
    </row>
    <row r="8338" spans="8:8" x14ac:dyDescent="0.3">
      <c r="H8338" s="4"/>
    </row>
    <row r="8339" spans="8:8" x14ac:dyDescent="0.3">
      <c r="H8339" s="4"/>
    </row>
    <row r="8340" spans="8:8" x14ac:dyDescent="0.3">
      <c r="H8340" s="4"/>
    </row>
    <row r="8341" spans="8:8" x14ac:dyDescent="0.3">
      <c r="H8341" s="4"/>
    </row>
    <row r="8342" spans="8:8" x14ac:dyDescent="0.3">
      <c r="H8342" s="4"/>
    </row>
    <row r="8343" spans="8:8" x14ac:dyDescent="0.3">
      <c r="H8343" s="4"/>
    </row>
    <row r="8344" spans="8:8" x14ac:dyDescent="0.3">
      <c r="H8344" s="4"/>
    </row>
    <row r="8345" spans="8:8" x14ac:dyDescent="0.3">
      <c r="H8345" s="4"/>
    </row>
    <row r="8346" spans="8:8" x14ac:dyDescent="0.3">
      <c r="H8346" s="4"/>
    </row>
    <row r="8347" spans="8:8" x14ac:dyDescent="0.3">
      <c r="H8347" s="4"/>
    </row>
    <row r="8348" spans="8:8" x14ac:dyDescent="0.3">
      <c r="H8348" s="4"/>
    </row>
    <row r="8349" spans="8:8" x14ac:dyDescent="0.3">
      <c r="H8349" s="4"/>
    </row>
    <row r="8350" spans="8:8" x14ac:dyDescent="0.3">
      <c r="H8350" s="4"/>
    </row>
    <row r="8351" spans="8:8" x14ac:dyDescent="0.3">
      <c r="H8351" s="4"/>
    </row>
    <row r="8352" spans="8:8" x14ac:dyDescent="0.3">
      <c r="H8352" s="4"/>
    </row>
    <row r="8353" spans="8:8" x14ac:dyDescent="0.3">
      <c r="H8353" s="4"/>
    </row>
    <row r="8354" spans="8:8" x14ac:dyDescent="0.3">
      <c r="H8354" s="4"/>
    </row>
    <row r="8355" spans="8:8" x14ac:dyDescent="0.3">
      <c r="H8355" s="4"/>
    </row>
    <row r="8356" spans="8:8" x14ac:dyDescent="0.3">
      <c r="H8356" s="4"/>
    </row>
    <row r="8357" spans="8:8" x14ac:dyDescent="0.3">
      <c r="H8357" s="4"/>
    </row>
    <row r="8358" spans="8:8" x14ac:dyDescent="0.3">
      <c r="H8358" s="4"/>
    </row>
    <row r="8359" spans="8:8" x14ac:dyDescent="0.3">
      <c r="H8359" s="4"/>
    </row>
    <row r="8360" spans="8:8" x14ac:dyDescent="0.3">
      <c r="H8360" s="4"/>
    </row>
    <row r="8361" spans="8:8" x14ac:dyDescent="0.3">
      <c r="H8361" s="4"/>
    </row>
    <row r="8362" spans="8:8" x14ac:dyDescent="0.3">
      <c r="H8362" s="4"/>
    </row>
    <row r="8363" spans="8:8" x14ac:dyDescent="0.3">
      <c r="H8363" s="4"/>
    </row>
    <row r="8364" spans="8:8" x14ac:dyDescent="0.3">
      <c r="H8364" s="4"/>
    </row>
    <row r="8365" spans="8:8" x14ac:dyDescent="0.3">
      <c r="H8365" s="4"/>
    </row>
    <row r="8366" spans="8:8" x14ac:dyDescent="0.3">
      <c r="H8366" s="4"/>
    </row>
    <row r="8367" spans="8:8" x14ac:dyDescent="0.3">
      <c r="H8367" s="4"/>
    </row>
    <row r="8368" spans="8:8" x14ac:dyDescent="0.3">
      <c r="H8368" s="4"/>
    </row>
    <row r="8369" spans="8:8" x14ac:dyDescent="0.3">
      <c r="H8369" s="4"/>
    </row>
    <row r="8370" spans="8:8" x14ac:dyDescent="0.3">
      <c r="H8370" s="4"/>
    </row>
    <row r="8371" spans="8:8" x14ac:dyDescent="0.3">
      <c r="H8371" s="4"/>
    </row>
    <row r="8372" spans="8:8" x14ac:dyDescent="0.3">
      <c r="H8372" s="4"/>
    </row>
    <row r="8373" spans="8:8" x14ac:dyDescent="0.3">
      <c r="H8373" s="4"/>
    </row>
    <row r="8374" spans="8:8" x14ac:dyDescent="0.3">
      <c r="H8374" s="4"/>
    </row>
    <row r="8375" spans="8:8" x14ac:dyDescent="0.3">
      <c r="H8375" s="4"/>
    </row>
    <row r="8376" spans="8:8" x14ac:dyDescent="0.3">
      <c r="H8376" s="4"/>
    </row>
    <row r="8377" spans="8:8" x14ac:dyDescent="0.3">
      <c r="H8377" s="4"/>
    </row>
    <row r="8378" spans="8:8" x14ac:dyDescent="0.3">
      <c r="H8378" s="4"/>
    </row>
    <row r="8379" spans="8:8" x14ac:dyDescent="0.3">
      <c r="H8379" s="4"/>
    </row>
    <row r="8380" spans="8:8" x14ac:dyDescent="0.3">
      <c r="H8380" s="4"/>
    </row>
    <row r="8381" spans="8:8" x14ac:dyDescent="0.3">
      <c r="H8381" s="4"/>
    </row>
    <row r="8382" spans="8:8" x14ac:dyDescent="0.3">
      <c r="H8382" s="4"/>
    </row>
    <row r="8383" spans="8:8" x14ac:dyDescent="0.3">
      <c r="H8383" s="4"/>
    </row>
    <row r="8384" spans="8:8" x14ac:dyDescent="0.3">
      <c r="H8384" s="4"/>
    </row>
    <row r="8385" spans="8:8" x14ac:dyDescent="0.3">
      <c r="H8385" s="4"/>
    </row>
    <row r="8386" spans="8:8" x14ac:dyDescent="0.3">
      <c r="H8386" s="4"/>
    </row>
    <row r="8387" spans="8:8" x14ac:dyDescent="0.3">
      <c r="H8387" s="4"/>
    </row>
    <row r="8388" spans="8:8" x14ac:dyDescent="0.3">
      <c r="H8388" s="4"/>
    </row>
    <row r="8389" spans="8:8" x14ac:dyDescent="0.3">
      <c r="H8389" s="4"/>
    </row>
    <row r="8390" spans="8:8" x14ac:dyDescent="0.3">
      <c r="H8390" s="4"/>
    </row>
    <row r="8391" spans="8:8" x14ac:dyDescent="0.3">
      <c r="H8391" s="4"/>
    </row>
    <row r="8392" spans="8:8" x14ac:dyDescent="0.3">
      <c r="H8392" s="4"/>
    </row>
    <row r="8393" spans="8:8" x14ac:dyDescent="0.3">
      <c r="H8393" s="4"/>
    </row>
    <row r="8394" spans="8:8" x14ac:dyDescent="0.3">
      <c r="H8394" s="4"/>
    </row>
    <row r="8395" spans="8:8" x14ac:dyDescent="0.3">
      <c r="H8395" s="4"/>
    </row>
    <row r="8396" spans="8:8" x14ac:dyDescent="0.3">
      <c r="H8396" s="4"/>
    </row>
    <row r="8397" spans="8:8" x14ac:dyDescent="0.3">
      <c r="H8397" s="4"/>
    </row>
    <row r="8398" spans="8:8" x14ac:dyDescent="0.3">
      <c r="H8398" s="4"/>
    </row>
    <row r="8399" spans="8:8" x14ac:dyDescent="0.3">
      <c r="H8399" s="4"/>
    </row>
    <row r="8400" spans="8:8" x14ac:dyDescent="0.3">
      <c r="H8400" s="4"/>
    </row>
    <row r="8401" spans="8:8" x14ac:dyDescent="0.3">
      <c r="H8401" s="4"/>
    </row>
    <row r="8402" spans="8:8" x14ac:dyDescent="0.3">
      <c r="H8402" s="4"/>
    </row>
    <row r="8403" spans="8:8" x14ac:dyDescent="0.3">
      <c r="H8403" s="4"/>
    </row>
    <row r="8404" spans="8:8" x14ac:dyDescent="0.3">
      <c r="H8404" s="4"/>
    </row>
    <row r="8405" spans="8:8" x14ac:dyDescent="0.3">
      <c r="H8405" s="4"/>
    </row>
    <row r="8406" spans="8:8" x14ac:dyDescent="0.3">
      <c r="H8406" s="4"/>
    </row>
    <row r="8407" spans="8:8" x14ac:dyDescent="0.3">
      <c r="H8407" s="4"/>
    </row>
    <row r="8408" spans="8:8" x14ac:dyDescent="0.3">
      <c r="H8408" s="4"/>
    </row>
    <row r="8409" spans="8:8" x14ac:dyDescent="0.3">
      <c r="H8409" s="4"/>
    </row>
    <row r="8410" spans="8:8" x14ac:dyDescent="0.3">
      <c r="H8410" s="4"/>
    </row>
    <row r="8411" spans="8:8" x14ac:dyDescent="0.3">
      <c r="H8411" s="4"/>
    </row>
    <row r="8412" spans="8:8" x14ac:dyDescent="0.3">
      <c r="H8412" s="4"/>
    </row>
    <row r="8413" spans="8:8" x14ac:dyDescent="0.3">
      <c r="H8413" s="4"/>
    </row>
    <row r="8414" spans="8:8" x14ac:dyDescent="0.3">
      <c r="H8414" s="4"/>
    </row>
    <row r="8415" spans="8:8" x14ac:dyDescent="0.3">
      <c r="H8415" s="4"/>
    </row>
    <row r="8416" spans="8:8" x14ac:dyDescent="0.3">
      <c r="H8416" s="4"/>
    </row>
    <row r="8417" spans="8:8" x14ac:dyDescent="0.3">
      <c r="H8417" s="4"/>
    </row>
    <row r="8418" spans="8:8" x14ac:dyDescent="0.3">
      <c r="H8418" s="4"/>
    </row>
    <row r="8419" spans="8:8" x14ac:dyDescent="0.3">
      <c r="H8419" s="4"/>
    </row>
    <row r="8420" spans="8:8" x14ac:dyDescent="0.3">
      <c r="H8420" s="4"/>
    </row>
    <row r="8421" spans="8:8" x14ac:dyDescent="0.3">
      <c r="H8421" s="4"/>
    </row>
    <row r="8422" spans="8:8" x14ac:dyDescent="0.3">
      <c r="H8422" s="4"/>
    </row>
    <row r="8423" spans="8:8" x14ac:dyDescent="0.3">
      <c r="H8423" s="4"/>
    </row>
    <row r="8424" spans="8:8" x14ac:dyDescent="0.3">
      <c r="H8424" s="4"/>
    </row>
    <row r="8425" spans="8:8" x14ac:dyDescent="0.3">
      <c r="H8425" s="4"/>
    </row>
    <row r="8426" spans="8:8" x14ac:dyDescent="0.3">
      <c r="H8426" s="4"/>
    </row>
    <row r="8427" spans="8:8" x14ac:dyDescent="0.3">
      <c r="H8427" s="4"/>
    </row>
    <row r="8428" spans="8:8" x14ac:dyDescent="0.3">
      <c r="H8428" s="4"/>
    </row>
    <row r="8429" spans="8:8" x14ac:dyDescent="0.3">
      <c r="H8429" s="4"/>
    </row>
    <row r="8430" spans="8:8" x14ac:dyDescent="0.3">
      <c r="H8430" s="4"/>
    </row>
    <row r="8431" spans="8:8" x14ac:dyDescent="0.3">
      <c r="H8431" s="4"/>
    </row>
    <row r="8432" spans="8:8" x14ac:dyDescent="0.3">
      <c r="H8432" s="4"/>
    </row>
    <row r="8433" spans="8:8" x14ac:dyDescent="0.3">
      <c r="H8433" s="4"/>
    </row>
    <row r="8434" spans="8:8" x14ac:dyDescent="0.3">
      <c r="H8434" s="4"/>
    </row>
    <row r="8435" spans="8:8" x14ac:dyDescent="0.3">
      <c r="H8435" s="4"/>
    </row>
    <row r="8436" spans="8:8" x14ac:dyDescent="0.3">
      <c r="H8436" s="4"/>
    </row>
    <row r="8437" spans="8:8" x14ac:dyDescent="0.3">
      <c r="H8437" s="4"/>
    </row>
    <row r="8438" spans="8:8" x14ac:dyDescent="0.3">
      <c r="H8438" s="4"/>
    </row>
    <row r="8439" spans="8:8" x14ac:dyDescent="0.3">
      <c r="H8439" s="4"/>
    </row>
    <row r="8440" spans="8:8" x14ac:dyDescent="0.3">
      <c r="H8440" s="4"/>
    </row>
    <row r="8441" spans="8:8" x14ac:dyDescent="0.3">
      <c r="H8441" s="4"/>
    </row>
    <row r="8442" spans="8:8" x14ac:dyDescent="0.3">
      <c r="H8442" s="4"/>
    </row>
    <row r="8443" spans="8:8" x14ac:dyDescent="0.3">
      <c r="H8443" s="4"/>
    </row>
    <row r="8444" spans="8:8" x14ac:dyDescent="0.3">
      <c r="H8444" s="4"/>
    </row>
    <row r="8445" spans="8:8" x14ac:dyDescent="0.3">
      <c r="H8445" s="4"/>
    </row>
    <row r="8446" spans="8:8" x14ac:dyDescent="0.3">
      <c r="H8446" s="4"/>
    </row>
    <row r="8447" spans="8:8" x14ac:dyDescent="0.3">
      <c r="H8447" s="4"/>
    </row>
    <row r="8448" spans="8:8" x14ac:dyDescent="0.3">
      <c r="H8448" s="4"/>
    </row>
    <row r="8449" spans="8:8" x14ac:dyDescent="0.3">
      <c r="H8449" s="4"/>
    </row>
    <row r="8450" spans="8:8" x14ac:dyDescent="0.3">
      <c r="H8450" s="4"/>
    </row>
    <row r="8451" spans="8:8" x14ac:dyDescent="0.3">
      <c r="H8451" s="4"/>
    </row>
    <row r="8452" spans="8:8" x14ac:dyDescent="0.3">
      <c r="H8452" s="4"/>
    </row>
    <row r="8453" spans="8:8" x14ac:dyDescent="0.3">
      <c r="H8453" s="4"/>
    </row>
    <row r="8454" spans="8:8" x14ac:dyDescent="0.3">
      <c r="H8454" s="4"/>
    </row>
    <row r="8455" spans="8:8" x14ac:dyDescent="0.3">
      <c r="H8455" s="4"/>
    </row>
    <row r="8456" spans="8:8" x14ac:dyDescent="0.3">
      <c r="H8456" s="4"/>
    </row>
    <row r="8457" spans="8:8" x14ac:dyDescent="0.3">
      <c r="H8457" s="4"/>
    </row>
    <row r="8458" spans="8:8" x14ac:dyDescent="0.3">
      <c r="H8458" s="4"/>
    </row>
    <row r="8459" spans="8:8" x14ac:dyDescent="0.3">
      <c r="H8459" s="4"/>
    </row>
    <row r="8460" spans="8:8" x14ac:dyDescent="0.3">
      <c r="H8460" s="4"/>
    </row>
    <row r="8461" spans="8:8" x14ac:dyDescent="0.3">
      <c r="H8461" s="4"/>
    </row>
    <row r="8462" spans="8:8" x14ac:dyDescent="0.3">
      <c r="H8462" s="4"/>
    </row>
    <row r="8463" spans="8:8" x14ac:dyDescent="0.3">
      <c r="H8463" s="4"/>
    </row>
    <row r="8464" spans="8:8" x14ac:dyDescent="0.3">
      <c r="H8464" s="4"/>
    </row>
    <row r="8465" spans="8:8" x14ac:dyDescent="0.3">
      <c r="H8465" s="4"/>
    </row>
    <row r="8466" spans="8:8" x14ac:dyDescent="0.3">
      <c r="H8466" s="4"/>
    </row>
    <row r="8467" spans="8:8" x14ac:dyDescent="0.3">
      <c r="H8467" s="4"/>
    </row>
    <row r="8468" spans="8:8" x14ac:dyDescent="0.3">
      <c r="H8468" s="4"/>
    </row>
    <row r="8469" spans="8:8" x14ac:dyDescent="0.3">
      <c r="H8469" s="4"/>
    </row>
    <row r="8470" spans="8:8" x14ac:dyDescent="0.3">
      <c r="H8470" s="4"/>
    </row>
    <row r="8471" spans="8:8" x14ac:dyDescent="0.3">
      <c r="H8471" s="4"/>
    </row>
    <row r="8472" spans="8:8" x14ac:dyDescent="0.3">
      <c r="H8472" s="4"/>
    </row>
    <row r="8473" spans="8:8" x14ac:dyDescent="0.3">
      <c r="H8473" s="4"/>
    </row>
    <row r="8474" spans="8:8" x14ac:dyDescent="0.3">
      <c r="H8474" s="4"/>
    </row>
    <row r="8475" spans="8:8" x14ac:dyDescent="0.3">
      <c r="H8475" s="4"/>
    </row>
    <row r="8476" spans="8:8" x14ac:dyDescent="0.3">
      <c r="H8476" s="4"/>
    </row>
    <row r="8477" spans="8:8" x14ac:dyDescent="0.3">
      <c r="H8477" s="4"/>
    </row>
    <row r="8478" spans="8:8" x14ac:dyDescent="0.3">
      <c r="H8478" s="4"/>
    </row>
    <row r="8479" spans="8:8" x14ac:dyDescent="0.3">
      <c r="H8479" s="4"/>
    </row>
    <row r="8480" spans="8:8" x14ac:dyDescent="0.3">
      <c r="H8480" s="4"/>
    </row>
    <row r="8481" spans="8:8" x14ac:dyDescent="0.3">
      <c r="H8481" s="4"/>
    </row>
    <row r="8482" spans="8:8" x14ac:dyDescent="0.3">
      <c r="H8482" s="4"/>
    </row>
    <row r="8483" spans="8:8" x14ac:dyDescent="0.3">
      <c r="H8483" s="4"/>
    </row>
    <row r="8484" spans="8:8" x14ac:dyDescent="0.3">
      <c r="H8484" s="4"/>
    </row>
    <row r="8485" spans="8:8" x14ac:dyDescent="0.3">
      <c r="H8485" s="4"/>
    </row>
    <row r="8486" spans="8:8" x14ac:dyDescent="0.3">
      <c r="H8486" s="4"/>
    </row>
    <row r="8487" spans="8:8" x14ac:dyDescent="0.3">
      <c r="H8487" s="4"/>
    </row>
    <row r="8488" spans="8:8" x14ac:dyDescent="0.3">
      <c r="H8488" s="4"/>
    </row>
    <row r="8489" spans="8:8" x14ac:dyDescent="0.3">
      <c r="H8489" s="4"/>
    </row>
    <row r="8490" spans="8:8" x14ac:dyDescent="0.3">
      <c r="H8490" s="4"/>
    </row>
    <row r="8491" spans="8:8" x14ac:dyDescent="0.3">
      <c r="H8491" s="4"/>
    </row>
    <row r="8492" spans="8:8" x14ac:dyDescent="0.3">
      <c r="H8492" s="4"/>
    </row>
    <row r="8493" spans="8:8" x14ac:dyDescent="0.3">
      <c r="H8493" s="4"/>
    </row>
    <row r="8494" spans="8:8" x14ac:dyDescent="0.3">
      <c r="H8494" s="4"/>
    </row>
    <row r="8495" spans="8:8" x14ac:dyDescent="0.3">
      <c r="H8495" s="4"/>
    </row>
    <row r="8496" spans="8:8" x14ac:dyDescent="0.3">
      <c r="H8496" s="4"/>
    </row>
    <row r="8497" spans="8:8" x14ac:dyDescent="0.3">
      <c r="H8497" s="4"/>
    </row>
    <row r="8498" spans="8:8" x14ac:dyDescent="0.3">
      <c r="H8498" s="4"/>
    </row>
    <row r="8499" spans="8:8" x14ac:dyDescent="0.3">
      <c r="H8499" s="4"/>
    </row>
    <row r="8500" spans="8:8" x14ac:dyDescent="0.3">
      <c r="H8500" s="4"/>
    </row>
    <row r="8501" spans="8:8" x14ac:dyDescent="0.3">
      <c r="H8501" s="4"/>
    </row>
    <row r="8502" spans="8:8" x14ac:dyDescent="0.3">
      <c r="H8502" s="4"/>
    </row>
    <row r="8503" spans="8:8" x14ac:dyDescent="0.3">
      <c r="H8503" s="4"/>
    </row>
    <row r="8504" spans="8:8" x14ac:dyDescent="0.3">
      <c r="H8504" s="4"/>
    </row>
    <row r="8505" spans="8:8" x14ac:dyDescent="0.3">
      <c r="H8505" s="4"/>
    </row>
    <row r="8506" spans="8:8" x14ac:dyDescent="0.3">
      <c r="H8506" s="4"/>
    </row>
    <row r="8507" spans="8:8" x14ac:dyDescent="0.3">
      <c r="H8507" s="4"/>
    </row>
    <row r="8508" spans="8:8" x14ac:dyDescent="0.3">
      <c r="H8508" s="4"/>
    </row>
    <row r="8509" spans="8:8" x14ac:dyDescent="0.3">
      <c r="H8509" s="4"/>
    </row>
    <row r="8510" spans="8:8" x14ac:dyDescent="0.3">
      <c r="H8510" s="4"/>
    </row>
    <row r="8511" spans="8:8" x14ac:dyDescent="0.3">
      <c r="H8511" s="4"/>
    </row>
    <row r="8512" spans="8:8" x14ac:dyDescent="0.3">
      <c r="H8512" s="4"/>
    </row>
    <row r="8513" spans="8:8" x14ac:dyDescent="0.3">
      <c r="H8513" s="4"/>
    </row>
    <row r="8514" spans="8:8" x14ac:dyDescent="0.3">
      <c r="H8514" s="4"/>
    </row>
    <row r="8515" spans="8:8" x14ac:dyDescent="0.3">
      <c r="H8515" s="4"/>
    </row>
    <row r="8516" spans="8:8" x14ac:dyDescent="0.3">
      <c r="H8516" s="4"/>
    </row>
    <row r="8517" spans="8:8" x14ac:dyDescent="0.3">
      <c r="H8517" s="4"/>
    </row>
    <row r="8518" spans="8:8" x14ac:dyDescent="0.3">
      <c r="H8518" s="4"/>
    </row>
    <row r="8519" spans="8:8" x14ac:dyDescent="0.3">
      <c r="H8519" s="4"/>
    </row>
    <row r="8520" spans="8:8" x14ac:dyDescent="0.3">
      <c r="H8520" s="4"/>
    </row>
    <row r="8521" spans="8:8" x14ac:dyDescent="0.3">
      <c r="H8521" s="4"/>
    </row>
    <row r="8522" spans="8:8" x14ac:dyDescent="0.3">
      <c r="H8522" s="4"/>
    </row>
    <row r="8523" spans="8:8" x14ac:dyDescent="0.3">
      <c r="H8523" s="4"/>
    </row>
    <row r="8524" spans="8:8" x14ac:dyDescent="0.3">
      <c r="H8524" s="4"/>
    </row>
    <row r="8525" spans="8:8" x14ac:dyDescent="0.3">
      <c r="H8525" s="4"/>
    </row>
    <row r="8526" spans="8:8" x14ac:dyDescent="0.3">
      <c r="H8526" s="4"/>
    </row>
    <row r="8527" spans="8:8" x14ac:dyDescent="0.3">
      <c r="H8527" s="4"/>
    </row>
    <row r="8528" spans="8:8" x14ac:dyDescent="0.3">
      <c r="H8528" s="4"/>
    </row>
    <row r="8529" spans="8:8" x14ac:dyDescent="0.3">
      <c r="H8529" s="4"/>
    </row>
    <row r="8530" spans="8:8" x14ac:dyDescent="0.3">
      <c r="H8530" s="4"/>
    </row>
    <row r="8531" spans="8:8" x14ac:dyDescent="0.3">
      <c r="H8531" s="4"/>
    </row>
    <row r="8532" spans="8:8" x14ac:dyDescent="0.3">
      <c r="H8532" s="4"/>
    </row>
    <row r="8533" spans="8:8" x14ac:dyDescent="0.3">
      <c r="H8533" s="4"/>
    </row>
    <row r="8534" spans="8:8" x14ac:dyDescent="0.3">
      <c r="H8534" s="4"/>
    </row>
    <row r="8535" spans="8:8" x14ac:dyDescent="0.3">
      <c r="H8535" s="4"/>
    </row>
    <row r="8536" spans="8:8" x14ac:dyDescent="0.3">
      <c r="H8536" s="4"/>
    </row>
    <row r="8537" spans="8:8" x14ac:dyDescent="0.3">
      <c r="H8537" s="4"/>
    </row>
    <row r="8538" spans="8:8" x14ac:dyDescent="0.3">
      <c r="H8538" s="4"/>
    </row>
    <row r="8539" spans="8:8" x14ac:dyDescent="0.3">
      <c r="H8539" s="4"/>
    </row>
    <row r="8540" spans="8:8" x14ac:dyDescent="0.3">
      <c r="H8540" s="4"/>
    </row>
    <row r="8541" spans="8:8" x14ac:dyDescent="0.3">
      <c r="H8541" s="4"/>
    </row>
    <row r="8542" spans="8:8" x14ac:dyDescent="0.3">
      <c r="H8542" s="4"/>
    </row>
    <row r="8543" spans="8:8" x14ac:dyDescent="0.3">
      <c r="H8543" s="4"/>
    </row>
    <row r="8544" spans="8:8" x14ac:dyDescent="0.3">
      <c r="H8544" s="4"/>
    </row>
    <row r="8545" spans="8:8" x14ac:dyDescent="0.3">
      <c r="H8545" s="4"/>
    </row>
    <row r="8546" spans="8:8" x14ac:dyDescent="0.3">
      <c r="H8546" s="4"/>
    </row>
    <row r="8547" spans="8:8" x14ac:dyDescent="0.3">
      <c r="H8547" s="4"/>
    </row>
    <row r="8548" spans="8:8" x14ac:dyDescent="0.3">
      <c r="H8548" s="4"/>
    </row>
    <row r="8549" spans="8:8" x14ac:dyDescent="0.3">
      <c r="H8549" s="4"/>
    </row>
    <row r="8550" spans="8:8" x14ac:dyDescent="0.3">
      <c r="H8550" s="4"/>
    </row>
    <row r="8551" spans="8:8" x14ac:dyDescent="0.3">
      <c r="H8551" s="4"/>
    </row>
    <row r="8552" spans="8:8" x14ac:dyDescent="0.3">
      <c r="H8552" s="4"/>
    </row>
    <row r="8553" spans="8:8" x14ac:dyDescent="0.3">
      <c r="H8553" s="4"/>
    </row>
    <row r="8554" spans="8:8" x14ac:dyDescent="0.3">
      <c r="H8554" s="4"/>
    </row>
    <row r="8555" spans="8:8" x14ac:dyDescent="0.3">
      <c r="H8555" s="4"/>
    </row>
    <row r="8556" spans="8:8" x14ac:dyDescent="0.3">
      <c r="H8556" s="4"/>
    </row>
    <row r="8557" spans="8:8" x14ac:dyDescent="0.3">
      <c r="H8557" s="4"/>
    </row>
    <row r="8558" spans="8:8" x14ac:dyDescent="0.3">
      <c r="H8558" s="4"/>
    </row>
    <row r="8559" spans="8:8" x14ac:dyDescent="0.3">
      <c r="H8559" s="4"/>
    </row>
    <row r="8560" spans="8:8" x14ac:dyDescent="0.3">
      <c r="H8560" s="4"/>
    </row>
    <row r="8561" spans="8:8" x14ac:dyDescent="0.3">
      <c r="H8561" s="4"/>
    </row>
    <row r="8562" spans="8:8" x14ac:dyDescent="0.3">
      <c r="H8562" s="4"/>
    </row>
    <row r="8563" spans="8:8" x14ac:dyDescent="0.3">
      <c r="H8563" s="4"/>
    </row>
    <row r="8564" spans="8:8" x14ac:dyDescent="0.3">
      <c r="H8564" s="4"/>
    </row>
    <row r="8565" spans="8:8" x14ac:dyDescent="0.3">
      <c r="H8565" s="4"/>
    </row>
    <row r="8566" spans="8:8" x14ac:dyDescent="0.3">
      <c r="H8566" s="4"/>
    </row>
    <row r="8567" spans="8:8" x14ac:dyDescent="0.3">
      <c r="H8567" s="4"/>
    </row>
    <row r="8568" spans="8:8" x14ac:dyDescent="0.3">
      <c r="H8568" s="4"/>
    </row>
    <row r="8569" spans="8:8" x14ac:dyDescent="0.3">
      <c r="H8569" s="4"/>
    </row>
    <row r="8570" spans="8:8" x14ac:dyDescent="0.3">
      <c r="H8570" s="4"/>
    </row>
    <row r="8571" spans="8:8" x14ac:dyDescent="0.3">
      <c r="H8571" s="4"/>
    </row>
    <row r="8572" spans="8:8" x14ac:dyDescent="0.3">
      <c r="H8572" s="4"/>
    </row>
    <row r="8573" spans="8:8" x14ac:dyDescent="0.3">
      <c r="H8573" s="4"/>
    </row>
    <row r="8574" spans="8:8" x14ac:dyDescent="0.3">
      <c r="H8574" s="4"/>
    </row>
    <row r="8575" spans="8:8" x14ac:dyDescent="0.3">
      <c r="H8575" s="4"/>
    </row>
    <row r="8576" spans="8:8" x14ac:dyDescent="0.3">
      <c r="H8576" s="4"/>
    </row>
    <row r="8577" spans="8:8" x14ac:dyDescent="0.3">
      <c r="H8577" s="4"/>
    </row>
    <row r="8578" spans="8:8" x14ac:dyDescent="0.3">
      <c r="H8578" s="4"/>
    </row>
    <row r="8579" spans="8:8" x14ac:dyDescent="0.3">
      <c r="H8579" s="4"/>
    </row>
    <row r="8580" spans="8:8" x14ac:dyDescent="0.3">
      <c r="H8580" s="4"/>
    </row>
    <row r="8581" spans="8:8" x14ac:dyDescent="0.3">
      <c r="H8581" s="4"/>
    </row>
    <row r="8582" spans="8:8" x14ac:dyDescent="0.3">
      <c r="H8582" s="4"/>
    </row>
    <row r="8583" spans="8:8" x14ac:dyDescent="0.3">
      <c r="H8583" s="4"/>
    </row>
    <row r="8584" spans="8:8" x14ac:dyDescent="0.3">
      <c r="H8584" s="4"/>
    </row>
    <row r="8585" spans="8:8" x14ac:dyDescent="0.3">
      <c r="H8585" s="4"/>
    </row>
    <row r="8586" spans="8:8" x14ac:dyDescent="0.3">
      <c r="H8586" s="4"/>
    </row>
    <row r="8587" spans="8:8" x14ac:dyDescent="0.3">
      <c r="H8587" s="4"/>
    </row>
    <row r="8588" spans="8:8" x14ac:dyDescent="0.3">
      <c r="H8588" s="4"/>
    </row>
    <row r="8589" spans="8:8" x14ac:dyDescent="0.3">
      <c r="H8589" s="4"/>
    </row>
    <row r="8590" spans="8:8" x14ac:dyDescent="0.3">
      <c r="H8590" s="4"/>
    </row>
    <row r="8591" spans="8:8" x14ac:dyDescent="0.3">
      <c r="H8591" s="4"/>
    </row>
    <row r="8592" spans="8:8" x14ac:dyDescent="0.3">
      <c r="H8592" s="4"/>
    </row>
    <row r="8593" spans="8:8" x14ac:dyDescent="0.3">
      <c r="H8593" s="4"/>
    </row>
    <row r="8594" spans="8:8" x14ac:dyDescent="0.3">
      <c r="H8594" s="4"/>
    </row>
    <row r="8595" spans="8:8" x14ac:dyDescent="0.3">
      <c r="H8595" s="4"/>
    </row>
    <row r="8596" spans="8:8" x14ac:dyDescent="0.3">
      <c r="H8596" s="4"/>
    </row>
    <row r="8597" spans="8:8" x14ac:dyDescent="0.3">
      <c r="H8597" s="4"/>
    </row>
    <row r="8598" spans="8:8" x14ac:dyDescent="0.3">
      <c r="H8598" s="4"/>
    </row>
    <row r="8599" spans="8:8" x14ac:dyDescent="0.3">
      <c r="H8599" s="4"/>
    </row>
    <row r="8600" spans="8:8" x14ac:dyDescent="0.3">
      <c r="H8600" s="4"/>
    </row>
    <row r="8601" spans="8:8" x14ac:dyDescent="0.3">
      <c r="H8601" s="4"/>
    </row>
    <row r="8602" spans="8:8" x14ac:dyDescent="0.3">
      <c r="H8602" s="4"/>
    </row>
    <row r="8603" spans="8:8" x14ac:dyDescent="0.3">
      <c r="H8603" s="4"/>
    </row>
    <row r="8604" spans="8:8" x14ac:dyDescent="0.3">
      <c r="H8604" s="4"/>
    </row>
    <row r="8605" spans="8:8" x14ac:dyDescent="0.3">
      <c r="H8605" s="4"/>
    </row>
    <row r="8606" spans="8:8" x14ac:dyDescent="0.3">
      <c r="H8606" s="4"/>
    </row>
    <row r="8607" spans="8:8" x14ac:dyDescent="0.3">
      <c r="H8607" s="4"/>
    </row>
    <row r="8608" spans="8:8" x14ac:dyDescent="0.3">
      <c r="H8608" s="4"/>
    </row>
    <row r="8609" spans="8:8" x14ac:dyDescent="0.3">
      <c r="H8609" s="4"/>
    </row>
    <row r="8610" spans="8:8" x14ac:dyDescent="0.3">
      <c r="H8610" s="4"/>
    </row>
    <row r="8611" spans="8:8" x14ac:dyDescent="0.3">
      <c r="H8611" s="4"/>
    </row>
    <row r="8612" spans="8:8" x14ac:dyDescent="0.3">
      <c r="H8612" s="4"/>
    </row>
    <row r="8613" spans="8:8" x14ac:dyDescent="0.3">
      <c r="H8613" s="4"/>
    </row>
    <row r="8614" spans="8:8" x14ac:dyDescent="0.3">
      <c r="H8614" s="4"/>
    </row>
    <row r="8615" spans="8:8" x14ac:dyDescent="0.3">
      <c r="H8615" s="4"/>
    </row>
    <row r="8616" spans="8:8" x14ac:dyDescent="0.3">
      <c r="H8616" s="4"/>
    </row>
    <row r="8617" spans="8:8" x14ac:dyDescent="0.3">
      <c r="H8617" s="4"/>
    </row>
    <row r="8618" spans="8:8" x14ac:dyDescent="0.3">
      <c r="H8618" s="4"/>
    </row>
    <row r="8619" spans="8:8" x14ac:dyDescent="0.3">
      <c r="H8619" s="4"/>
    </row>
    <row r="8620" spans="8:8" x14ac:dyDescent="0.3">
      <c r="H8620" s="4"/>
    </row>
    <row r="8621" spans="8:8" x14ac:dyDescent="0.3">
      <c r="H8621" s="4"/>
    </row>
    <row r="8622" spans="8:8" x14ac:dyDescent="0.3">
      <c r="H8622" s="4"/>
    </row>
    <row r="8623" spans="8:8" x14ac:dyDescent="0.3">
      <c r="H8623" s="4"/>
    </row>
    <row r="8624" spans="8:8" x14ac:dyDescent="0.3">
      <c r="H8624" s="4"/>
    </row>
    <row r="8625" spans="8:8" x14ac:dyDescent="0.3">
      <c r="H8625" s="4"/>
    </row>
    <row r="8626" spans="8:8" x14ac:dyDescent="0.3">
      <c r="H8626" s="4"/>
    </row>
    <row r="8627" spans="8:8" x14ac:dyDescent="0.3">
      <c r="H8627" s="4"/>
    </row>
    <row r="8628" spans="8:8" x14ac:dyDescent="0.3">
      <c r="H8628" s="4"/>
    </row>
    <row r="8629" spans="8:8" x14ac:dyDescent="0.3">
      <c r="H8629" s="4"/>
    </row>
    <row r="8630" spans="8:8" x14ac:dyDescent="0.3">
      <c r="H8630" s="4"/>
    </row>
    <row r="8631" spans="8:8" x14ac:dyDescent="0.3">
      <c r="H8631" s="4"/>
    </row>
    <row r="8632" spans="8:8" x14ac:dyDescent="0.3">
      <c r="H8632" s="4"/>
    </row>
    <row r="8633" spans="8:8" x14ac:dyDescent="0.3">
      <c r="H8633" s="4"/>
    </row>
    <row r="8634" spans="8:8" x14ac:dyDescent="0.3">
      <c r="H8634" s="4"/>
    </row>
    <row r="8635" spans="8:8" x14ac:dyDescent="0.3">
      <c r="H8635" s="4"/>
    </row>
    <row r="8636" spans="8:8" x14ac:dyDescent="0.3">
      <c r="H8636" s="4"/>
    </row>
    <row r="8637" spans="8:8" x14ac:dyDescent="0.3">
      <c r="H8637" s="4"/>
    </row>
    <row r="8638" spans="8:8" x14ac:dyDescent="0.3">
      <c r="H8638" s="4"/>
    </row>
    <row r="8639" spans="8:8" x14ac:dyDescent="0.3">
      <c r="H8639" s="4"/>
    </row>
    <row r="8640" spans="8:8" x14ac:dyDescent="0.3">
      <c r="H8640" s="4"/>
    </row>
    <row r="8641" spans="8:8" x14ac:dyDescent="0.3">
      <c r="H8641" s="4"/>
    </row>
    <row r="8642" spans="8:8" x14ac:dyDescent="0.3">
      <c r="H8642" s="4"/>
    </row>
    <row r="8643" spans="8:8" x14ac:dyDescent="0.3">
      <c r="H8643" s="4"/>
    </row>
    <row r="8644" spans="8:8" x14ac:dyDescent="0.3">
      <c r="H8644" s="4"/>
    </row>
    <row r="8645" spans="8:8" x14ac:dyDescent="0.3">
      <c r="H8645" s="4"/>
    </row>
    <row r="8646" spans="8:8" x14ac:dyDescent="0.3">
      <c r="H8646" s="4"/>
    </row>
    <row r="8647" spans="8:8" x14ac:dyDescent="0.3">
      <c r="H8647" s="4"/>
    </row>
    <row r="8648" spans="8:8" x14ac:dyDescent="0.3">
      <c r="H8648" s="4"/>
    </row>
    <row r="8649" spans="8:8" x14ac:dyDescent="0.3">
      <c r="H8649" s="4"/>
    </row>
    <row r="8650" spans="8:8" x14ac:dyDescent="0.3">
      <c r="H8650" s="4"/>
    </row>
    <row r="8651" spans="8:8" x14ac:dyDescent="0.3">
      <c r="H8651" s="4"/>
    </row>
    <row r="8652" spans="8:8" x14ac:dyDescent="0.3">
      <c r="H8652" s="4"/>
    </row>
    <row r="8653" spans="8:8" x14ac:dyDescent="0.3">
      <c r="H8653" s="4"/>
    </row>
    <row r="8654" spans="8:8" x14ac:dyDescent="0.3">
      <c r="H8654" s="4"/>
    </row>
    <row r="8655" spans="8:8" x14ac:dyDescent="0.3">
      <c r="H8655" s="4"/>
    </row>
    <row r="8656" spans="8:8" x14ac:dyDescent="0.3">
      <c r="H8656" s="4"/>
    </row>
    <row r="8657" spans="8:8" x14ac:dyDescent="0.3">
      <c r="H8657" s="4"/>
    </row>
    <row r="8658" spans="8:8" x14ac:dyDescent="0.3">
      <c r="H8658" s="4"/>
    </row>
    <row r="8659" spans="8:8" x14ac:dyDescent="0.3">
      <c r="H8659" s="4"/>
    </row>
    <row r="8660" spans="8:8" x14ac:dyDescent="0.3">
      <c r="H8660" s="4"/>
    </row>
    <row r="8661" spans="8:8" x14ac:dyDescent="0.3">
      <c r="H8661" s="4"/>
    </row>
    <row r="8662" spans="8:8" x14ac:dyDescent="0.3">
      <c r="H8662" s="4"/>
    </row>
    <row r="8663" spans="8:8" x14ac:dyDescent="0.3">
      <c r="H8663" s="4"/>
    </row>
    <row r="8664" spans="8:8" x14ac:dyDescent="0.3">
      <c r="H8664" s="4"/>
    </row>
    <row r="8665" spans="8:8" x14ac:dyDescent="0.3">
      <c r="H8665" s="4"/>
    </row>
    <row r="8666" spans="8:8" x14ac:dyDescent="0.3">
      <c r="H8666" s="4"/>
    </row>
    <row r="8667" spans="8:8" x14ac:dyDescent="0.3">
      <c r="H8667" s="4"/>
    </row>
    <row r="8668" spans="8:8" x14ac:dyDescent="0.3">
      <c r="H8668" s="4"/>
    </row>
    <row r="8669" spans="8:8" x14ac:dyDescent="0.3">
      <c r="H8669" s="4"/>
    </row>
    <row r="8670" spans="8:8" x14ac:dyDescent="0.3">
      <c r="H8670" s="4"/>
    </row>
    <row r="8671" spans="8:8" x14ac:dyDescent="0.3">
      <c r="H8671" s="4"/>
    </row>
    <row r="8672" spans="8:8" x14ac:dyDescent="0.3">
      <c r="H8672" s="4"/>
    </row>
    <row r="8673" spans="8:8" x14ac:dyDescent="0.3">
      <c r="H8673" s="4"/>
    </row>
    <row r="8674" spans="8:8" x14ac:dyDescent="0.3">
      <c r="H8674" s="4"/>
    </row>
    <row r="8675" spans="8:8" x14ac:dyDescent="0.3">
      <c r="H8675" s="4"/>
    </row>
    <row r="8676" spans="8:8" x14ac:dyDescent="0.3">
      <c r="H8676" s="4"/>
    </row>
    <row r="8677" spans="8:8" x14ac:dyDescent="0.3">
      <c r="H8677" s="4"/>
    </row>
    <row r="8678" spans="8:8" x14ac:dyDescent="0.3">
      <c r="H8678" s="4"/>
    </row>
    <row r="8679" spans="8:8" x14ac:dyDescent="0.3">
      <c r="H8679" s="4"/>
    </row>
    <row r="8680" spans="8:8" x14ac:dyDescent="0.3">
      <c r="H8680" s="4"/>
    </row>
    <row r="8681" spans="8:8" x14ac:dyDescent="0.3">
      <c r="H8681" s="4"/>
    </row>
    <row r="8682" spans="8:8" x14ac:dyDescent="0.3">
      <c r="H8682" s="4"/>
    </row>
    <row r="8683" spans="8:8" x14ac:dyDescent="0.3">
      <c r="H8683" s="4"/>
    </row>
    <row r="8684" spans="8:8" x14ac:dyDescent="0.3">
      <c r="H8684" s="4"/>
    </row>
    <row r="8685" spans="8:8" x14ac:dyDescent="0.3">
      <c r="H8685" s="4"/>
    </row>
    <row r="8686" spans="8:8" x14ac:dyDescent="0.3">
      <c r="H8686" s="4"/>
    </row>
    <row r="8687" spans="8:8" x14ac:dyDescent="0.3">
      <c r="H8687" s="4"/>
    </row>
    <row r="8688" spans="8:8" x14ac:dyDescent="0.3">
      <c r="H8688" s="4"/>
    </row>
    <row r="8689" spans="8:8" x14ac:dyDescent="0.3">
      <c r="H8689" s="4"/>
    </row>
    <row r="8690" spans="8:8" x14ac:dyDescent="0.3">
      <c r="H8690" s="4"/>
    </row>
    <row r="8691" spans="8:8" x14ac:dyDescent="0.3">
      <c r="H8691" s="4"/>
    </row>
    <row r="8692" spans="8:8" x14ac:dyDescent="0.3">
      <c r="H8692" s="4"/>
    </row>
    <row r="8693" spans="8:8" x14ac:dyDescent="0.3">
      <c r="H8693" s="4"/>
    </row>
    <row r="8694" spans="8:8" x14ac:dyDescent="0.3">
      <c r="H8694" s="4"/>
    </row>
    <row r="8695" spans="8:8" x14ac:dyDescent="0.3">
      <c r="H8695" s="4"/>
    </row>
    <row r="8696" spans="8:8" x14ac:dyDescent="0.3">
      <c r="H8696" s="4"/>
    </row>
    <row r="8697" spans="8:8" x14ac:dyDescent="0.3">
      <c r="H8697" s="4"/>
    </row>
    <row r="8698" spans="8:8" x14ac:dyDescent="0.3">
      <c r="H8698" s="4"/>
    </row>
    <row r="8699" spans="8:8" x14ac:dyDescent="0.3">
      <c r="H8699" s="4"/>
    </row>
    <row r="8700" spans="8:8" x14ac:dyDescent="0.3">
      <c r="H8700" s="4"/>
    </row>
    <row r="8701" spans="8:8" x14ac:dyDescent="0.3">
      <c r="H8701" s="4"/>
    </row>
    <row r="8702" spans="8:8" x14ac:dyDescent="0.3">
      <c r="H8702" s="4"/>
    </row>
    <row r="8703" spans="8:8" x14ac:dyDescent="0.3">
      <c r="H8703" s="4"/>
    </row>
    <row r="8704" spans="8:8" x14ac:dyDescent="0.3">
      <c r="H8704" s="4"/>
    </row>
    <row r="8705" spans="8:8" x14ac:dyDescent="0.3">
      <c r="H8705" s="4"/>
    </row>
    <row r="8706" spans="8:8" x14ac:dyDescent="0.3">
      <c r="H8706" s="4"/>
    </row>
    <row r="8707" spans="8:8" x14ac:dyDescent="0.3">
      <c r="H8707" s="4"/>
    </row>
    <row r="8708" spans="8:8" x14ac:dyDescent="0.3">
      <c r="H8708" s="4"/>
    </row>
    <row r="8709" spans="8:8" x14ac:dyDescent="0.3">
      <c r="H8709" s="4"/>
    </row>
    <row r="8710" spans="8:8" x14ac:dyDescent="0.3">
      <c r="H8710" s="4"/>
    </row>
    <row r="8711" spans="8:8" x14ac:dyDescent="0.3">
      <c r="H8711" s="4"/>
    </row>
    <row r="8712" spans="8:8" x14ac:dyDescent="0.3">
      <c r="H8712" s="4"/>
    </row>
    <row r="8713" spans="8:8" x14ac:dyDescent="0.3">
      <c r="H8713" s="4"/>
    </row>
    <row r="8714" spans="8:8" x14ac:dyDescent="0.3">
      <c r="H8714" s="4"/>
    </row>
    <row r="8715" spans="8:8" x14ac:dyDescent="0.3">
      <c r="H8715" s="4"/>
    </row>
    <row r="8716" spans="8:8" x14ac:dyDescent="0.3">
      <c r="H8716" s="4"/>
    </row>
    <row r="8717" spans="8:8" x14ac:dyDescent="0.3">
      <c r="H8717" s="4"/>
    </row>
    <row r="8718" spans="8:8" x14ac:dyDescent="0.3">
      <c r="H8718" s="4"/>
    </row>
    <row r="8719" spans="8:8" x14ac:dyDescent="0.3">
      <c r="H8719" s="4"/>
    </row>
    <row r="8720" spans="8:8" x14ac:dyDescent="0.3">
      <c r="H8720" s="4"/>
    </row>
    <row r="8721" spans="8:8" x14ac:dyDescent="0.3">
      <c r="H8721" s="4"/>
    </row>
    <row r="8722" spans="8:8" x14ac:dyDescent="0.3">
      <c r="H8722" s="4"/>
    </row>
    <row r="8723" spans="8:8" x14ac:dyDescent="0.3">
      <c r="H8723" s="4"/>
    </row>
    <row r="8724" spans="8:8" x14ac:dyDescent="0.3">
      <c r="H8724" s="4"/>
    </row>
    <row r="8725" spans="8:8" x14ac:dyDescent="0.3">
      <c r="H8725" s="4"/>
    </row>
    <row r="8726" spans="8:8" x14ac:dyDescent="0.3">
      <c r="H8726" s="4"/>
    </row>
    <row r="8727" spans="8:8" x14ac:dyDescent="0.3">
      <c r="H8727" s="4"/>
    </row>
    <row r="8728" spans="8:8" x14ac:dyDescent="0.3">
      <c r="H8728" s="4"/>
    </row>
    <row r="8729" spans="8:8" x14ac:dyDescent="0.3">
      <c r="H8729" s="4"/>
    </row>
    <row r="8730" spans="8:8" x14ac:dyDescent="0.3">
      <c r="H8730" s="4"/>
    </row>
    <row r="8731" spans="8:8" x14ac:dyDescent="0.3">
      <c r="H8731" s="4"/>
    </row>
    <row r="8732" spans="8:8" x14ac:dyDescent="0.3">
      <c r="H8732" s="4"/>
    </row>
    <row r="8733" spans="8:8" x14ac:dyDescent="0.3">
      <c r="H8733" s="4"/>
    </row>
    <row r="8734" spans="8:8" x14ac:dyDescent="0.3">
      <c r="H8734" s="4"/>
    </row>
    <row r="8735" spans="8:8" x14ac:dyDescent="0.3">
      <c r="H8735" s="4"/>
    </row>
    <row r="8736" spans="8:8" x14ac:dyDescent="0.3">
      <c r="H8736" s="4"/>
    </row>
    <row r="8737" spans="8:8" x14ac:dyDescent="0.3">
      <c r="H8737" s="4"/>
    </row>
    <row r="8738" spans="8:8" x14ac:dyDescent="0.3">
      <c r="H8738" s="4"/>
    </row>
    <row r="8739" spans="8:8" x14ac:dyDescent="0.3">
      <c r="H8739" s="4"/>
    </row>
    <row r="8740" spans="8:8" x14ac:dyDescent="0.3">
      <c r="H8740" s="4"/>
    </row>
    <row r="8741" spans="8:8" x14ac:dyDescent="0.3">
      <c r="H8741" s="4"/>
    </row>
    <row r="8742" spans="8:8" x14ac:dyDescent="0.3">
      <c r="H8742" s="4"/>
    </row>
    <row r="8743" spans="8:8" x14ac:dyDescent="0.3">
      <c r="H8743" s="4"/>
    </row>
    <row r="8744" spans="8:8" x14ac:dyDescent="0.3">
      <c r="H8744" s="4"/>
    </row>
    <row r="8745" spans="8:8" x14ac:dyDescent="0.3">
      <c r="H8745" s="4"/>
    </row>
    <row r="8746" spans="8:8" x14ac:dyDescent="0.3">
      <c r="H8746" s="4"/>
    </row>
    <row r="8747" spans="8:8" x14ac:dyDescent="0.3">
      <c r="H8747" s="4"/>
    </row>
    <row r="8748" spans="8:8" x14ac:dyDescent="0.3">
      <c r="H8748" s="4"/>
    </row>
    <row r="8749" spans="8:8" x14ac:dyDescent="0.3">
      <c r="H8749" s="4"/>
    </row>
    <row r="8750" spans="8:8" x14ac:dyDescent="0.3">
      <c r="H8750" s="4"/>
    </row>
    <row r="8751" spans="8:8" x14ac:dyDescent="0.3">
      <c r="H8751" s="4"/>
    </row>
    <row r="8752" spans="8:8" x14ac:dyDescent="0.3">
      <c r="H8752" s="4"/>
    </row>
    <row r="8753" spans="8:8" x14ac:dyDescent="0.3">
      <c r="H8753" s="4"/>
    </row>
    <row r="8754" spans="8:8" x14ac:dyDescent="0.3">
      <c r="H8754" s="4"/>
    </row>
    <row r="8755" spans="8:8" x14ac:dyDescent="0.3">
      <c r="H8755" s="4"/>
    </row>
    <row r="8756" spans="8:8" x14ac:dyDescent="0.3">
      <c r="H8756" s="4"/>
    </row>
    <row r="8757" spans="8:8" x14ac:dyDescent="0.3">
      <c r="H8757" s="4"/>
    </row>
    <row r="8758" spans="8:8" x14ac:dyDescent="0.3">
      <c r="H8758" s="4"/>
    </row>
    <row r="8759" spans="8:8" x14ac:dyDescent="0.3">
      <c r="H8759" s="4"/>
    </row>
    <row r="8760" spans="8:8" x14ac:dyDescent="0.3">
      <c r="H8760" s="4"/>
    </row>
    <row r="8761" spans="8:8" x14ac:dyDescent="0.3">
      <c r="H8761" s="4"/>
    </row>
    <row r="8762" spans="8:8" x14ac:dyDescent="0.3">
      <c r="H8762" s="4"/>
    </row>
    <row r="8763" spans="8:8" x14ac:dyDescent="0.3">
      <c r="H8763" s="4"/>
    </row>
    <row r="8764" spans="8:8" x14ac:dyDescent="0.3">
      <c r="H8764" s="4"/>
    </row>
    <row r="8765" spans="8:8" x14ac:dyDescent="0.3">
      <c r="H8765" s="4"/>
    </row>
    <row r="8766" spans="8:8" x14ac:dyDescent="0.3">
      <c r="H8766" s="4"/>
    </row>
    <row r="8767" spans="8:8" x14ac:dyDescent="0.3">
      <c r="H8767" s="4"/>
    </row>
    <row r="8768" spans="8:8" x14ac:dyDescent="0.3">
      <c r="H8768" s="4"/>
    </row>
    <row r="8769" spans="8:8" x14ac:dyDescent="0.3">
      <c r="H8769" s="4"/>
    </row>
    <row r="8770" spans="8:8" x14ac:dyDescent="0.3">
      <c r="H8770" s="4"/>
    </row>
    <row r="8771" spans="8:8" x14ac:dyDescent="0.3">
      <c r="H8771" s="4"/>
    </row>
    <row r="8772" spans="8:8" x14ac:dyDescent="0.3">
      <c r="H8772" s="4"/>
    </row>
    <row r="8773" spans="8:8" x14ac:dyDescent="0.3">
      <c r="H8773" s="4"/>
    </row>
    <row r="8774" spans="8:8" x14ac:dyDescent="0.3">
      <c r="H8774" s="4"/>
    </row>
    <row r="8775" spans="8:8" x14ac:dyDescent="0.3">
      <c r="H8775" s="4"/>
    </row>
    <row r="8776" spans="8:8" x14ac:dyDescent="0.3">
      <c r="H8776" s="4"/>
    </row>
    <row r="8777" spans="8:8" x14ac:dyDescent="0.3">
      <c r="H8777" s="4"/>
    </row>
    <row r="8778" spans="8:8" x14ac:dyDescent="0.3">
      <c r="H8778" s="4"/>
    </row>
    <row r="8779" spans="8:8" x14ac:dyDescent="0.3">
      <c r="H8779" s="4"/>
    </row>
    <row r="8780" spans="8:8" x14ac:dyDescent="0.3">
      <c r="H8780" s="4"/>
    </row>
    <row r="8781" spans="8:8" x14ac:dyDescent="0.3">
      <c r="H8781" s="4"/>
    </row>
    <row r="8782" spans="8:8" x14ac:dyDescent="0.3">
      <c r="H8782" s="4"/>
    </row>
    <row r="8783" spans="8:8" x14ac:dyDescent="0.3">
      <c r="H8783" s="4"/>
    </row>
    <row r="8784" spans="8:8" x14ac:dyDescent="0.3">
      <c r="H8784" s="4"/>
    </row>
    <row r="8785" spans="8:8" x14ac:dyDescent="0.3">
      <c r="H8785" s="4"/>
    </row>
    <row r="8786" spans="8:8" x14ac:dyDescent="0.3">
      <c r="H8786" s="4"/>
    </row>
    <row r="8787" spans="8:8" x14ac:dyDescent="0.3">
      <c r="H8787" s="4"/>
    </row>
    <row r="8788" spans="8:8" x14ac:dyDescent="0.3">
      <c r="H8788" s="4"/>
    </row>
    <row r="8789" spans="8:8" x14ac:dyDescent="0.3">
      <c r="H8789" s="4"/>
    </row>
    <row r="8790" spans="8:8" x14ac:dyDescent="0.3">
      <c r="H8790" s="4"/>
    </row>
    <row r="8791" spans="8:8" x14ac:dyDescent="0.3">
      <c r="H8791" s="4"/>
    </row>
    <row r="8792" spans="8:8" x14ac:dyDescent="0.3">
      <c r="H8792" s="4"/>
    </row>
    <row r="8793" spans="8:8" x14ac:dyDescent="0.3">
      <c r="H8793" s="4"/>
    </row>
    <row r="8794" spans="8:8" x14ac:dyDescent="0.3">
      <c r="H8794" s="4"/>
    </row>
    <row r="8795" spans="8:8" x14ac:dyDescent="0.3">
      <c r="H8795" s="4"/>
    </row>
    <row r="8796" spans="8:8" x14ac:dyDescent="0.3">
      <c r="H8796" s="4"/>
    </row>
    <row r="8797" spans="8:8" x14ac:dyDescent="0.3">
      <c r="H8797" s="4"/>
    </row>
    <row r="8798" spans="8:8" x14ac:dyDescent="0.3">
      <c r="H8798" s="4"/>
    </row>
    <row r="8799" spans="8:8" x14ac:dyDescent="0.3">
      <c r="H8799" s="4"/>
    </row>
    <row r="8800" spans="8:8" x14ac:dyDescent="0.3">
      <c r="H8800" s="4"/>
    </row>
    <row r="8801" spans="8:8" x14ac:dyDescent="0.3">
      <c r="H8801" s="4"/>
    </row>
    <row r="8802" spans="8:8" x14ac:dyDescent="0.3">
      <c r="H8802" s="4"/>
    </row>
    <row r="8803" spans="8:8" x14ac:dyDescent="0.3">
      <c r="H8803" s="4"/>
    </row>
    <row r="8804" spans="8:8" x14ac:dyDescent="0.3">
      <c r="H8804" s="4"/>
    </row>
    <row r="8805" spans="8:8" x14ac:dyDescent="0.3">
      <c r="H8805" s="4"/>
    </row>
    <row r="8806" spans="8:8" x14ac:dyDescent="0.3">
      <c r="H8806" s="4"/>
    </row>
    <row r="8807" spans="8:8" x14ac:dyDescent="0.3">
      <c r="H8807" s="4"/>
    </row>
    <row r="8808" spans="8:8" x14ac:dyDescent="0.3">
      <c r="H8808" s="4"/>
    </row>
    <row r="8809" spans="8:8" x14ac:dyDescent="0.3">
      <c r="H8809" s="4"/>
    </row>
    <row r="8810" spans="8:8" x14ac:dyDescent="0.3">
      <c r="H8810" s="4"/>
    </row>
    <row r="8811" spans="8:8" x14ac:dyDescent="0.3">
      <c r="H8811" s="4"/>
    </row>
    <row r="8812" spans="8:8" x14ac:dyDescent="0.3">
      <c r="H8812" s="4"/>
    </row>
    <row r="8813" spans="8:8" x14ac:dyDescent="0.3">
      <c r="H8813" s="4"/>
    </row>
    <row r="8814" spans="8:8" x14ac:dyDescent="0.3">
      <c r="H8814" s="4"/>
    </row>
    <row r="8815" spans="8:8" x14ac:dyDescent="0.3">
      <c r="H8815" s="4"/>
    </row>
    <row r="8816" spans="8:8" x14ac:dyDescent="0.3">
      <c r="H8816" s="4"/>
    </row>
    <row r="8817" spans="8:8" x14ac:dyDescent="0.3">
      <c r="H8817" s="4"/>
    </row>
    <row r="8818" spans="8:8" x14ac:dyDescent="0.3">
      <c r="H8818" s="4"/>
    </row>
    <row r="8819" spans="8:8" x14ac:dyDescent="0.3">
      <c r="H8819" s="4"/>
    </row>
    <row r="8820" spans="8:8" x14ac:dyDescent="0.3">
      <c r="H8820" s="4"/>
    </row>
    <row r="8821" spans="8:8" x14ac:dyDescent="0.3">
      <c r="H8821" s="4"/>
    </row>
    <row r="8822" spans="8:8" x14ac:dyDescent="0.3">
      <c r="H8822" s="4"/>
    </row>
    <row r="8823" spans="8:8" x14ac:dyDescent="0.3">
      <c r="H8823" s="4"/>
    </row>
    <row r="8824" spans="8:8" x14ac:dyDescent="0.3">
      <c r="H8824" s="4"/>
    </row>
    <row r="8825" spans="8:8" x14ac:dyDescent="0.3">
      <c r="H8825" s="4"/>
    </row>
    <row r="8826" spans="8:8" x14ac:dyDescent="0.3">
      <c r="H8826" s="4"/>
    </row>
    <row r="8827" spans="8:8" x14ac:dyDescent="0.3">
      <c r="H8827" s="4"/>
    </row>
    <row r="8828" spans="8:8" x14ac:dyDescent="0.3">
      <c r="H8828" s="4"/>
    </row>
    <row r="8829" spans="8:8" x14ac:dyDescent="0.3">
      <c r="H8829" s="4"/>
    </row>
    <row r="8830" spans="8:8" x14ac:dyDescent="0.3">
      <c r="H8830" s="4"/>
    </row>
    <row r="8831" spans="8:8" x14ac:dyDescent="0.3">
      <c r="H8831" s="4"/>
    </row>
    <row r="8832" spans="8:8" x14ac:dyDescent="0.3">
      <c r="H8832" s="4"/>
    </row>
    <row r="8833" spans="8:8" x14ac:dyDescent="0.3">
      <c r="H8833" s="4"/>
    </row>
    <row r="8834" spans="8:8" x14ac:dyDescent="0.3">
      <c r="H8834" s="4"/>
    </row>
    <row r="8835" spans="8:8" x14ac:dyDescent="0.3">
      <c r="H8835" s="4"/>
    </row>
    <row r="8836" spans="8:8" x14ac:dyDescent="0.3">
      <c r="H8836" s="4"/>
    </row>
    <row r="8837" spans="8:8" x14ac:dyDescent="0.3">
      <c r="H8837" s="4"/>
    </row>
    <row r="8838" spans="8:8" x14ac:dyDescent="0.3">
      <c r="H8838" s="4"/>
    </row>
    <row r="8839" spans="8:8" x14ac:dyDescent="0.3">
      <c r="H8839" s="4"/>
    </row>
    <row r="8840" spans="8:8" x14ac:dyDescent="0.3">
      <c r="H8840" s="4"/>
    </row>
    <row r="8841" spans="8:8" x14ac:dyDescent="0.3">
      <c r="H8841" s="4"/>
    </row>
    <row r="8842" spans="8:8" x14ac:dyDescent="0.3">
      <c r="H8842" s="4"/>
    </row>
    <row r="8843" spans="8:8" x14ac:dyDescent="0.3">
      <c r="H8843" s="4"/>
    </row>
    <row r="8844" spans="8:8" x14ac:dyDescent="0.3">
      <c r="H8844" s="4"/>
    </row>
    <row r="8845" spans="8:8" x14ac:dyDescent="0.3">
      <c r="H8845" s="4"/>
    </row>
    <row r="8846" spans="8:8" x14ac:dyDescent="0.3">
      <c r="H8846" s="4"/>
    </row>
    <row r="8847" spans="8:8" x14ac:dyDescent="0.3">
      <c r="H8847" s="4"/>
    </row>
    <row r="8848" spans="8:8" x14ac:dyDescent="0.3">
      <c r="H8848" s="4"/>
    </row>
    <row r="8849" spans="8:8" x14ac:dyDescent="0.3">
      <c r="H8849" s="4"/>
    </row>
    <row r="8850" spans="8:8" x14ac:dyDescent="0.3">
      <c r="H8850" s="4"/>
    </row>
    <row r="8851" spans="8:8" x14ac:dyDescent="0.3">
      <c r="H8851" s="4"/>
    </row>
    <row r="8852" spans="8:8" x14ac:dyDescent="0.3">
      <c r="H8852" s="4"/>
    </row>
    <row r="8853" spans="8:8" x14ac:dyDescent="0.3">
      <c r="H8853" s="4"/>
    </row>
    <row r="8854" spans="8:8" x14ac:dyDescent="0.3">
      <c r="H8854" s="4"/>
    </row>
    <row r="8855" spans="8:8" x14ac:dyDescent="0.3">
      <c r="H8855" s="4"/>
    </row>
    <row r="8856" spans="8:8" x14ac:dyDescent="0.3">
      <c r="H8856" s="4"/>
    </row>
    <row r="8857" spans="8:8" x14ac:dyDescent="0.3">
      <c r="H8857" s="4"/>
    </row>
    <row r="8858" spans="8:8" x14ac:dyDescent="0.3">
      <c r="H8858" s="4"/>
    </row>
    <row r="8859" spans="8:8" x14ac:dyDescent="0.3">
      <c r="H8859" s="4"/>
    </row>
    <row r="8860" spans="8:8" x14ac:dyDescent="0.3">
      <c r="H8860" s="4"/>
    </row>
    <row r="8861" spans="8:8" x14ac:dyDescent="0.3">
      <c r="H8861" s="4"/>
    </row>
    <row r="8862" spans="8:8" x14ac:dyDescent="0.3">
      <c r="H8862" s="4"/>
    </row>
    <row r="8863" spans="8:8" x14ac:dyDescent="0.3">
      <c r="H8863" s="4"/>
    </row>
    <row r="8864" spans="8:8" x14ac:dyDescent="0.3">
      <c r="H8864" s="4"/>
    </row>
    <row r="8865" spans="8:8" x14ac:dyDescent="0.3">
      <c r="H8865" s="4"/>
    </row>
    <row r="8866" spans="8:8" x14ac:dyDescent="0.3">
      <c r="H8866" s="4"/>
    </row>
    <row r="8867" spans="8:8" x14ac:dyDescent="0.3">
      <c r="H8867" s="4"/>
    </row>
    <row r="8868" spans="8:8" x14ac:dyDescent="0.3">
      <c r="H8868" s="4"/>
    </row>
    <row r="8869" spans="8:8" x14ac:dyDescent="0.3">
      <c r="H8869" s="4"/>
    </row>
    <row r="8870" spans="8:8" x14ac:dyDescent="0.3">
      <c r="H8870" s="4"/>
    </row>
    <row r="8871" spans="8:8" x14ac:dyDescent="0.3">
      <c r="H8871" s="4"/>
    </row>
    <row r="8872" spans="8:8" x14ac:dyDescent="0.3">
      <c r="H8872" s="4"/>
    </row>
    <row r="8873" spans="8:8" x14ac:dyDescent="0.3">
      <c r="H8873" s="4"/>
    </row>
    <row r="8874" spans="8:8" x14ac:dyDescent="0.3">
      <c r="H8874" s="4"/>
    </row>
    <row r="8875" spans="8:8" x14ac:dyDescent="0.3">
      <c r="H8875" s="4"/>
    </row>
    <row r="8876" spans="8:8" x14ac:dyDescent="0.3">
      <c r="H8876" s="4"/>
    </row>
    <row r="8877" spans="8:8" x14ac:dyDescent="0.3">
      <c r="H8877" s="4"/>
    </row>
    <row r="8878" spans="8:8" x14ac:dyDescent="0.3">
      <c r="H8878" s="4"/>
    </row>
    <row r="8879" spans="8:8" x14ac:dyDescent="0.3">
      <c r="H8879" s="4"/>
    </row>
    <row r="8880" spans="8:8" x14ac:dyDescent="0.3">
      <c r="H8880" s="4"/>
    </row>
    <row r="8881" spans="8:8" x14ac:dyDescent="0.3">
      <c r="H8881" s="4"/>
    </row>
    <row r="8882" spans="8:8" x14ac:dyDescent="0.3">
      <c r="H8882" s="4"/>
    </row>
    <row r="8883" spans="8:8" x14ac:dyDescent="0.3">
      <c r="H8883" s="4"/>
    </row>
    <row r="8884" spans="8:8" x14ac:dyDescent="0.3">
      <c r="H8884" s="4"/>
    </row>
    <row r="8885" spans="8:8" x14ac:dyDescent="0.3">
      <c r="H8885" s="4"/>
    </row>
    <row r="8886" spans="8:8" x14ac:dyDescent="0.3">
      <c r="H8886" s="4"/>
    </row>
    <row r="8887" spans="8:8" x14ac:dyDescent="0.3">
      <c r="H8887" s="4"/>
    </row>
    <row r="8888" spans="8:8" x14ac:dyDescent="0.3">
      <c r="H8888" s="4"/>
    </row>
    <row r="8889" spans="8:8" x14ac:dyDescent="0.3">
      <c r="H8889" s="4"/>
    </row>
    <row r="8890" spans="8:8" x14ac:dyDescent="0.3">
      <c r="H8890" s="4"/>
    </row>
    <row r="8891" spans="8:8" x14ac:dyDescent="0.3">
      <c r="H8891" s="4"/>
    </row>
    <row r="8892" spans="8:8" x14ac:dyDescent="0.3">
      <c r="H8892" s="4"/>
    </row>
    <row r="8893" spans="8:8" x14ac:dyDescent="0.3">
      <c r="H8893" s="4"/>
    </row>
    <row r="8894" spans="8:8" x14ac:dyDescent="0.3">
      <c r="H8894" s="4"/>
    </row>
    <row r="8895" spans="8:8" x14ac:dyDescent="0.3">
      <c r="H8895" s="4"/>
    </row>
    <row r="8896" spans="8:8" x14ac:dyDescent="0.3">
      <c r="H8896" s="4"/>
    </row>
    <row r="8897" spans="8:8" x14ac:dyDescent="0.3">
      <c r="H8897" s="4"/>
    </row>
    <row r="8898" spans="8:8" x14ac:dyDescent="0.3">
      <c r="H8898" s="4"/>
    </row>
    <row r="8899" spans="8:8" x14ac:dyDescent="0.3">
      <c r="H8899" s="4"/>
    </row>
    <row r="8900" spans="8:8" x14ac:dyDescent="0.3">
      <c r="H8900" s="4"/>
    </row>
    <row r="8901" spans="8:8" x14ac:dyDescent="0.3">
      <c r="H8901" s="4"/>
    </row>
    <row r="8902" spans="8:8" x14ac:dyDescent="0.3">
      <c r="H8902" s="4"/>
    </row>
    <row r="8903" spans="8:8" x14ac:dyDescent="0.3">
      <c r="H8903" s="4"/>
    </row>
    <row r="8904" spans="8:8" x14ac:dyDescent="0.3">
      <c r="H8904" s="4"/>
    </row>
    <row r="8905" spans="8:8" x14ac:dyDescent="0.3">
      <c r="H8905" s="4"/>
    </row>
    <row r="8906" spans="8:8" x14ac:dyDescent="0.3">
      <c r="H8906" s="4"/>
    </row>
    <row r="8907" spans="8:8" x14ac:dyDescent="0.3">
      <c r="H8907" s="4"/>
    </row>
    <row r="8908" spans="8:8" x14ac:dyDescent="0.3">
      <c r="H8908" s="4"/>
    </row>
    <row r="8909" spans="8:8" x14ac:dyDescent="0.3">
      <c r="H8909" s="4"/>
    </row>
    <row r="8910" spans="8:8" x14ac:dyDescent="0.3">
      <c r="H8910" s="4"/>
    </row>
    <row r="8911" spans="8:8" x14ac:dyDescent="0.3">
      <c r="H8911" s="4"/>
    </row>
    <row r="8912" spans="8:8" x14ac:dyDescent="0.3">
      <c r="H8912" s="4"/>
    </row>
    <row r="8913" spans="8:8" x14ac:dyDescent="0.3">
      <c r="H8913" s="4"/>
    </row>
    <row r="8914" spans="8:8" x14ac:dyDescent="0.3">
      <c r="H8914" s="4"/>
    </row>
    <row r="8915" spans="8:8" x14ac:dyDescent="0.3">
      <c r="H8915" s="4"/>
    </row>
    <row r="8916" spans="8:8" x14ac:dyDescent="0.3">
      <c r="H8916" s="4"/>
    </row>
    <row r="8917" spans="8:8" x14ac:dyDescent="0.3">
      <c r="H8917" s="4"/>
    </row>
    <row r="8918" spans="8:8" x14ac:dyDescent="0.3">
      <c r="H8918" s="4"/>
    </row>
    <row r="8919" spans="8:8" x14ac:dyDescent="0.3">
      <c r="H8919" s="4"/>
    </row>
    <row r="8920" spans="8:8" x14ac:dyDescent="0.3">
      <c r="H8920" s="4"/>
    </row>
    <row r="8921" spans="8:8" x14ac:dyDescent="0.3">
      <c r="H8921" s="4"/>
    </row>
    <row r="8922" spans="8:8" x14ac:dyDescent="0.3">
      <c r="H8922" s="4"/>
    </row>
    <row r="8923" spans="8:8" x14ac:dyDescent="0.3">
      <c r="H8923" s="4"/>
    </row>
    <row r="8924" spans="8:8" x14ac:dyDescent="0.3">
      <c r="H8924" s="4"/>
    </row>
    <row r="8925" spans="8:8" x14ac:dyDescent="0.3">
      <c r="H8925" s="4"/>
    </row>
    <row r="8926" spans="8:8" x14ac:dyDescent="0.3">
      <c r="H8926" s="4"/>
    </row>
    <row r="8927" spans="8:8" x14ac:dyDescent="0.3">
      <c r="H8927" s="4"/>
    </row>
    <row r="8928" spans="8:8" x14ac:dyDescent="0.3">
      <c r="H8928" s="4"/>
    </row>
    <row r="8929" spans="8:8" x14ac:dyDescent="0.3">
      <c r="H8929" s="4"/>
    </row>
    <row r="8930" spans="8:8" x14ac:dyDescent="0.3">
      <c r="H8930" s="4"/>
    </row>
    <row r="8931" spans="8:8" x14ac:dyDescent="0.3">
      <c r="H8931" s="4"/>
    </row>
    <row r="8932" spans="8:8" x14ac:dyDescent="0.3">
      <c r="H8932" s="4"/>
    </row>
    <row r="8933" spans="8:8" x14ac:dyDescent="0.3">
      <c r="H8933" s="4"/>
    </row>
    <row r="8934" spans="8:8" x14ac:dyDescent="0.3">
      <c r="H8934" s="4"/>
    </row>
    <row r="8935" spans="8:8" x14ac:dyDescent="0.3">
      <c r="H8935" s="4"/>
    </row>
    <row r="8936" spans="8:8" x14ac:dyDescent="0.3">
      <c r="H8936" s="4"/>
    </row>
    <row r="8937" spans="8:8" x14ac:dyDescent="0.3">
      <c r="H8937" s="4"/>
    </row>
    <row r="8938" spans="8:8" x14ac:dyDescent="0.3">
      <c r="H8938" s="4"/>
    </row>
    <row r="8939" spans="8:8" x14ac:dyDescent="0.3">
      <c r="H8939" s="4"/>
    </row>
    <row r="8940" spans="8:8" x14ac:dyDescent="0.3">
      <c r="H8940" s="4"/>
    </row>
    <row r="8941" spans="8:8" x14ac:dyDescent="0.3">
      <c r="H8941" s="4"/>
    </row>
    <row r="8942" spans="8:8" x14ac:dyDescent="0.3">
      <c r="H8942" s="4"/>
    </row>
    <row r="8943" spans="8:8" x14ac:dyDescent="0.3">
      <c r="H8943" s="4"/>
    </row>
    <row r="8944" spans="8:8" x14ac:dyDescent="0.3">
      <c r="H8944" s="4"/>
    </row>
    <row r="8945" spans="8:8" x14ac:dyDescent="0.3">
      <c r="H8945" s="4"/>
    </row>
    <row r="8946" spans="8:8" x14ac:dyDescent="0.3">
      <c r="H8946" s="4"/>
    </row>
    <row r="8947" spans="8:8" x14ac:dyDescent="0.3">
      <c r="H8947" s="4"/>
    </row>
    <row r="8948" spans="8:8" x14ac:dyDescent="0.3">
      <c r="H8948" s="4"/>
    </row>
    <row r="8949" spans="8:8" x14ac:dyDescent="0.3">
      <c r="H8949" s="4"/>
    </row>
    <row r="8950" spans="8:8" x14ac:dyDescent="0.3">
      <c r="H8950" s="4"/>
    </row>
    <row r="8951" spans="8:8" x14ac:dyDescent="0.3">
      <c r="H8951" s="4"/>
    </row>
    <row r="8952" spans="8:8" x14ac:dyDescent="0.3">
      <c r="H8952" s="4"/>
    </row>
    <row r="8953" spans="8:8" x14ac:dyDescent="0.3">
      <c r="H8953" s="4"/>
    </row>
    <row r="8954" spans="8:8" x14ac:dyDescent="0.3">
      <c r="H8954" s="4"/>
    </row>
    <row r="8955" spans="8:8" x14ac:dyDescent="0.3">
      <c r="H8955" s="4"/>
    </row>
    <row r="8956" spans="8:8" x14ac:dyDescent="0.3">
      <c r="H8956" s="4"/>
    </row>
    <row r="8957" spans="8:8" x14ac:dyDescent="0.3">
      <c r="H8957" s="4"/>
    </row>
    <row r="8958" spans="8:8" x14ac:dyDescent="0.3">
      <c r="H8958" s="4"/>
    </row>
    <row r="8959" spans="8:8" x14ac:dyDescent="0.3">
      <c r="H8959" s="4"/>
    </row>
    <row r="8960" spans="8:8" x14ac:dyDescent="0.3">
      <c r="H8960" s="4"/>
    </row>
    <row r="8961" spans="8:8" x14ac:dyDescent="0.3">
      <c r="H8961" s="4"/>
    </row>
    <row r="8962" spans="8:8" x14ac:dyDescent="0.3">
      <c r="H8962" s="4"/>
    </row>
    <row r="8963" spans="8:8" x14ac:dyDescent="0.3">
      <c r="H8963" s="4"/>
    </row>
    <row r="8964" spans="8:8" x14ac:dyDescent="0.3">
      <c r="H8964" s="4"/>
    </row>
    <row r="8965" spans="8:8" x14ac:dyDescent="0.3">
      <c r="H8965" s="4"/>
    </row>
    <row r="8966" spans="8:8" x14ac:dyDescent="0.3">
      <c r="H8966" s="4"/>
    </row>
    <row r="8967" spans="8:8" x14ac:dyDescent="0.3">
      <c r="H8967" s="4"/>
    </row>
    <row r="8968" spans="8:8" x14ac:dyDescent="0.3">
      <c r="H8968" s="4"/>
    </row>
    <row r="8969" spans="8:8" x14ac:dyDescent="0.3">
      <c r="H8969" s="4"/>
    </row>
    <row r="8970" spans="8:8" x14ac:dyDescent="0.3">
      <c r="H8970" s="4"/>
    </row>
    <row r="8971" spans="8:8" x14ac:dyDescent="0.3">
      <c r="H8971" s="4"/>
    </row>
    <row r="8972" spans="8:8" x14ac:dyDescent="0.3">
      <c r="H8972" s="4"/>
    </row>
    <row r="8973" spans="8:8" x14ac:dyDescent="0.3">
      <c r="H8973" s="4"/>
    </row>
    <row r="8974" spans="8:8" x14ac:dyDescent="0.3">
      <c r="H8974" s="4"/>
    </row>
    <row r="8975" spans="8:8" x14ac:dyDescent="0.3">
      <c r="H8975" s="4"/>
    </row>
    <row r="8976" spans="8:8" x14ac:dyDescent="0.3">
      <c r="H8976" s="4"/>
    </row>
    <row r="8977" spans="8:8" x14ac:dyDescent="0.3">
      <c r="H8977" s="4"/>
    </row>
    <row r="8978" spans="8:8" x14ac:dyDescent="0.3">
      <c r="H8978" s="4"/>
    </row>
    <row r="8979" spans="8:8" x14ac:dyDescent="0.3">
      <c r="H8979" s="4"/>
    </row>
    <row r="8980" spans="8:8" x14ac:dyDescent="0.3">
      <c r="H8980" s="4"/>
    </row>
    <row r="8981" spans="8:8" x14ac:dyDescent="0.3">
      <c r="H8981" s="4"/>
    </row>
    <row r="8982" spans="8:8" x14ac:dyDescent="0.3">
      <c r="H8982" s="4"/>
    </row>
    <row r="8983" spans="8:8" x14ac:dyDescent="0.3">
      <c r="H8983" s="4"/>
    </row>
    <row r="8984" spans="8:8" x14ac:dyDescent="0.3">
      <c r="H8984" s="4"/>
    </row>
    <row r="8985" spans="8:8" x14ac:dyDescent="0.3">
      <c r="H8985" s="4"/>
    </row>
    <row r="8986" spans="8:8" x14ac:dyDescent="0.3">
      <c r="H8986" s="4"/>
    </row>
    <row r="8987" spans="8:8" x14ac:dyDescent="0.3">
      <c r="H8987" s="4"/>
    </row>
    <row r="8988" spans="8:8" x14ac:dyDescent="0.3">
      <c r="H8988" s="4"/>
    </row>
    <row r="8989" spans="8:8" x14ac:dyDescent="0.3">
      <c r="H8989" s="4"/>
    </row>
    <row r="8990" spans="8:8" x14ac:dyDescent="0.3">
      <c r="H8990" s="4"/>
    </row>
    <row r="8991" spans="8:8" x14ac:dyDescent="0.3">
      <c r="H8991" s="4"/>
    </row>
    <row r="8992" spans="8:8" x14ac:dyDescent="0.3">
      <c r="H8992" s="4"/>
    </row>
    <row r="8993" spans="8:8" x14ac:dyDescent="0.3">
      <c r="H8993" s="4"/>
    </row>
    <row r="8994" spans="8:8" x14ac:dyDescent="0.3">
      <c r="H8994" s="4"/>
    </row>
    <row r="8995" spans="8:8" x14ac:dyDescent="0.3">
      <c r="H8995" s="4"/>
    </row>
    <row r="8996" spans="8:8" x14ac:dyDescent="0.3">
      <c r="H8996" s="4"/>
    </row>
    <row r="8997" spans="8:8" x14ac:dyDescent="0.3">
      <c r="H8997" s="4"/>
    </row>
    <row r="8998" spans="8:8" x14ac:dyDescent="0.3">
      <c r="H8998" s="4"/>
    </row>
    <row r="8999" spans="8:8" x14ac:dyDescent="0.3">
      <c r="H8999" s="4"/>
    </row>
    <row r="9000" spans="8:8" x14ac:dyDescent="0.3">
      <c r="H9000" s="4"/>
    </row>
    <row r="9001" spans="8:8" x14ac:dyDescent="0.3">
      <c r="H9001" s="4"/>
    </row>
    <row r="9002" spans="8:8" x14ac:dyDescent="0.3">
      <c r="H9002" s="4"/>
    </row>
    <row r="9003" spans="8:8" x14ac:dyDescent="0.3">
      <c r="H9003" s="4"/>
    </row>
    <row r="9004" spans="8:8" x14ac:dyDescent="0.3">
      <c r="H9004" s="4"/>
    </row>
    <row r="9005" spans="8:8" x14ac:dyDescent="0.3">
      <c r="H9005" s="4"/>
    </row>
    <row r="9006" spans="8:8" x14ac:dyDescent="0.3">
      <c r="H9006" s="4"/>
    </row>
    <row r="9007" spans="8:8" x14ac:dyDescent="0.3">
      <c r="H9007" s="4"/>
    </row>
    <row r="9008" spans="8:8" x14ac:dyDescent="0.3">
      <c r="H9008" s="4"/>
    </row>
    <row r="9009" spans="8:8" x14ac:dyDescent="0.3">
      <c r="H9009" s="4"/>
    </row>
    <row r="9010" spans="8:8" x14ac:dyDescent="0.3">
      <c r="H9010" s="4"/>
    </row>
    <row r="9011" spans="8:8" x14ac:dyDescent="0.3">
      <c r="H9011" s="4"/>
    </row>
    <row r="9012" spans="8:8" x14ac:dyDescent="0.3">
      <c r="H9012" s="4"/>
    </row>
    <row r="9013" spans="8:8" x14ac:dyDescent="0.3">
      <c r="H9013" s="4"/>
    </row>
    <row r="9014" spans="8:8" x14ac:dyDescent="0.3">
      <c r="H9014" s="4"/>
    </row>
    <row r="9015" spans="8:8" x14ac:dyDescent="0.3">
      <c r="H9015" s="4"/>
    </row>
    <row r="9016" spans="8:8" x14ac:dyDescent="0.3">
      <c r="H9016" s="4"/>
    </row>
    <row r="9017" spans="8:8" x14ac:dyDescent="0.3">
      <c r="H9017" s="4"/>
    </row>
    <row r="9018" spans="8:8" x14ac:dyDescent="0.3">
      <c r="H9018" s="4"/>
    </row>
    <row r="9019" spans="8:8" x14ac:dyDescent="0.3">
      <c r="H9019" s="4"/>
    </row>
    <row r="9020" spans="8:8" x14ac:dyDescent="0.3">
      <c r="H9020" s="4"/>
    </row>
    <row r="9021" spans="8:8" x14ac:dyDescent="0.3">
      <c r="H9021" s="4"/>
    </row>
    <row r="9022" spans="8:8" x14ac:dyDescent="0.3">
      <c r="H9022" s="4"/>
    </row>
    <row r="9023" spans="8:8" x14ac:dyDescent="0.3">
      <c r="H9023" s="4"/>
    </row>
    <row r="9024" spans="8:8" x14ac:dyDescent="0.3">
      <c r="H9024" s="4"/>
    </row>
    <row r="9025" spans="8:8" x14ac:dyDescent="0.3">
      <c r="H9025" s="4"/>
    </row>
    <row r="9026" spans="8:8" x14ac:dyDescent="0.3">
      <c r="H9026" s="4"/>
    </row>
    <row r="9027" spans="8:8" x14ac:dyDescent="0.3">
      <c r="H9027" s="4"/>
    </row>
    <row r="9028" spans="8:8" x14ac:dyDescent="0.3">
      <c r="H9028" s="4"/>
    </row>
    <row r="9029" spans="8:8" x14ac:dyDescent="0.3">
      <c r="H9029" s="4"/>
    </row>
    <row r="9030" spans="8:8" x14ac:dyDescent="0.3">
      <c r="H9030" s="4"/>
    </row>
    <row r="9031" spans="8:8" x14ac:dyDescent="0.3">
      <c r="H9031" s="4"/>
    </row>
    <row r="9032" spans="8:8" x14ac:dyDescent="0.3">
      <c r="H9032" s="4"/>
    </row>
    <row r="9033" spans="8:8" x14ac:dyDescent="0.3">
      <c r="H9033" s="4"/>
    </row>
    <row r="9034" spans="8:8" x14ac:dyDescent="0.3">
      <c r="H9034" s="4"/>
    </row>
    <row r="9035" spans="8:8" x14ac:dyDescent="0.3">
      <c r="H9035" s="4"/>
    </row>
    <row r="9036" spans="8:8" x14ac:dyDescent="0.3">
      <c r="H9036" s="4"/>
    </row>
    <row r="9037" spans="8:8" x14ac:dyDescent="0.3">
      <c r="H9037" s="4"/>
    </row>
    <row r="9038" spans="8:8" x14ac:dyDescent="0.3">
      <c r="H9038" s="4"/>
    </row>
    <row r="9039" spans="8:8" x14ac:dyDescent="0.3">
      <c r="H9039" s="4"/>
    </row>
    <row r="9040" spans="8:8" x14ac:dyDescent="0.3">
      <c r="H9040" s="4"/>
    </row>
    <row r="9041" spans="8:8" x14ac:dyDescent="0.3">
      <c r="H9041" s="4"/>
    </row>
    <row r="9042" spans="8:8" x14ac:dyDescent="0.3">
      <c r="H9042" s="4"/>
    </row>
    <row r="9043" spans="8:8" x14ac:dyDescent="0.3">
      <c r="H9043" s="4"/>
    </row>
    <row r="9044" spans="8:8" x14ac:dyDescent="0.3">
      <c r="H9044" s="4"/>
    </row>
    <row r="9045" spans="8:8" x14ac:dyDescent="0.3">
      <c r="H9045" s="4"/>
    </row>
    <row r="9046" spans="8:8" x14ac:dyDescent="0.3">
      <c r="H9046" s="4"/>
    </row>
    <row r="9047" spans="8:8" x14ac:dyDescent="0.3">
      <c r="H9047" s="4"/>
    </row>
    <row r="9048" spans="8:8" x14ac:dyDescent="0.3">
      <c r="H9048" s="4"/>
    </row>
    <row r="9049" spans="8:8" x14ac:dyDescent="0.3">
      <c r="H9049" s="4"/>
    </row>
    <row r="9050" spans="8:8" x14ac:dyDescent="0.3">
      <c r="H9050" s="4"/>
    </row>
    <row r="9051" spans="8:8" x14ac:dyDescent="0.3">
      <c r="H9051" s="4"/>
    </row>
    <row r="9052" spans="8:8" x14ac:dyDescent="0.3">
      <c r="H9052" s="4"/>
    </row>
    <row r="9053" spans="8:8" x14ac:dyDescent="0.3">
      <c r="H9053" s="4"/>
    </row>
    <row r="9054" spans="8:8" x14ac:dyDescent="0.3">
      <c r="H9054" s="4"/>
    </row>
    <row r="9055" spans="8:8" x14ac:dyDescent="0.3">
      <c r="H9055" s="4"/>
    </row>
    <row r="9056" spans="8:8" x14ac:dyDescent="0.3">
      <c r="H9056" s="4"/>
    </row>
    <row r="9057" spans="8:8" x14ac:dyDescent="0.3">
      <c r="H9057" s="4"/>
    </row>
    <row r="9058" spans="8:8" x14ac:dyDescent="0.3">
      <c r="H9058" s="4"/>
    </row>
    <row r="9059" spans="8:8" x14ac:dyDescent="0.3">
      <c r="H9059" s="4"/>
    </row>
    <row r="9060" spans="8:8" x14ac:dyDescent="0.3">
      <c r="H9060" s="4"/>
    </row>
    <row r="9061" spans="8:8" x14ac:dyDescent="0.3">
      <c r="H9061" s="4"/>
    </row>
    <row r="9062" spans="8:8" x14ac:dyDescent="0.3">
      <c r="H9062" s="4"/>
    </row>
    <row r="9063" spans="8:8" x14ac:dyDescent="0.3">
      <c r="H9063" s="4"/>
    </row>
    <row r="9064" spans="8:8" x14ac:dyDescent="0.3">
      <c r="H9064" s="4"/>
    </row>
    <row r="9065" spans="8:8" x14ac:dyDescent="0.3">
      <c r="H9065" s="4"/>
    </row>
    <row r="9066" spans="8:8" x14ac:dyDescent="0.3">
      <c r="H9066" s="4"/>
    </row>
    <row r="9067" spans="8:8" x14ac:dyDescent="0.3">
      <c r="H9067" s="4"/>
    </row>
    <row r="9068" spans="8:8" x14ac:dyDescent="0.3">
      <c r="H9068" s="4"/>
    </row>
    <row r="9069" spans="8:8" x14ac:dyDescent="0.3">
      <c r="H9069" s="4"/>
    </row>
    <row r="9070" spans="8:8" x14ac:dyDescent="0.3">
      <c r="H9070" s="4"/>
    </row>
    <row r="9071" spans="8:8" x14ac:dyDescent="0.3">
      <c r="H9071" s="4"/>
    </row>
    <row r="9072" spans="8:8" x14ac:dyDescent="0.3">
      <c r="H9072" s="4"/>
    </row>
    <row r="9073" spans="8:8" x14ac:dyDescent="0.3">
      <c r="H9073" s="4"/>
    </row>
    <row r="9074" spans="8:8" x14ac:dyDescent="0.3">
      <c r="H9074" s="4"/>
    </row>
    <row r="9075" spans="8:8" x14ac:dyDescent="0.3">
      <c r="H9075" s="4"/>
    </row>
    <row r="9076" spans="8:8" x14ac:dyDescent="0.3">
      <c r="H9076" s="4"/>
    </row>
    <row r="9077" spans="8:8" x14ac:dyDescent="0.3">
      <c r="H9077" s="4"/>
    </row>
    <row r="9078" spans="8:8" x14ac:dyDescent="0.3">
      <c r="H9078" s="4"/>
    </row>
    <row r="9079" spans="8:8" x14ac:dyDescent="0.3">
      <c r="H9079" s="4"/>
    </row>
    <row r="9080" spans="8:8" x14ac:dyDescent="0.3">
      <c r="H9080" s="4"/>
    </row>
    <row r="9081" spans="8:8" x14ac:dyDescent="0.3">
      <c r="H9081" s="4"/>
    </row>
    <row r="9082" spans="8:8" x14ac:dyDescent="0.3">
      <c r="H9082" s="4"/>
    </row>
    <row r="9083" spans="8:8" x14ac:dyDescent="0.3">
      <c r="H9083" s="4"/>
    </row>
    <row r="9084" spans="8:8" x14ac:dyDescent="0.3">
      <c r="H9084" s="4"/>
    </row>
    <row r="9085" spans="8:8" x14ac:dyDescent="0.3">
      <c r="H9085" s="4"/>
    </row>
    <row r="9086" spans="8:8" x14ac:dyDescent="0.3">
      <c r="H9086" s="4"/>
    </row>
    <row r="9087" spans="8:8" x14ac:dyDescent="0.3">
      <c r="H9087" s="4"/>
    </row>
    <row r="9088" spans="8:8" x14ac:dyDescent="0.3">
      <c r="H9088" s="4"/>
    </row>
    <row r="9089" spans="8:8" x14ac:dyDescent="0.3">
      <c r="H9089" s="4"/>
    </row>
    <row r="9090" spans="8:8" x14ac:dyDescent="0.3">
      <c r="H9090" s="4"/>
    </row>
    <row r="9091" spans="8:8" x14ac:dyDescent="0.3">
      <c r="H9091" s="4"/>
    </row>
    <row r="9092" spans="8:8" x14ac:dyDescent="0.3">
      <c r="H9092" s="4"/>
    </row>
    <row r="9093" spans="8:8" x14ac:dyDescent="0.3">
      <c r="H9093" s="4"/>
    </row>
    <row r="9094" spans="8:8" x14ac:dyDescent="0.3">
      <c r="H9094" s="4"/>
    </row>
    <row r="9095" spans="8:8" x14ac:dyDescent="0.3">
      <c r="H9095" s="4"/>
    </row>
    <row r="9096" spans="8:8" x14ac:dyDescent="0.3">
      <c r="H9096" s="4"/>
    </row>
    <row r="9097" spans="8:8" x14ac:dyDescent="0.3">
      <c r="H9097" s="4"/>
    </row>
    <row r="9098" spans="8:8" x14ac:dyDescent="0.3">
      <c r="H9098" s="4"/>
    </row>
    <row r="9099" spans="8:8" x14ac:dyDescent="0.3">
      <c r="H9099" s="4"/>
    </row>
    <row r="9100" spans="8:8" x14ac:dyDescent="0.3">
      <c r="H9100" s="4"/>
    </row>
    <row r="9101" spans="8:8" x14ac:dyDescent="0.3">
      <c r="H9101" s="4"/>
    </row>
    <row r="9102" spans="8:8" x14ac:dyDescent="0.3">
      <c r="H9102" s="4"/>
    </row>
    <row r="9103" spans="8:8" x14ac:dyDescent="0.3">
      <c r="H9103" s="4"/>
    </row>
    <row r="9104" spans="8:8" x14ac:dyDescent="0.3">
      <c r="H9104" s="4"/>
    </row>
    <row r="9105" spans="8:8" x14ac:dyDescent="0.3">
      <c r="H9105" s="4"/>
    </row>
    <row r="9106" spans="8:8" x14ac:dyDescent="0.3">
      <c r="H9106" s="4"/>
    </row>
    <row r="9107" spans="8:8" x14ac:dyDescent="0.3">
      <c r="H9107" s="4"/>
    </row>
    <row r="9108" spans="8:8" x14ac:dyDescent="0.3">
      <c r="H9108" s="4"/>
    </row>
    <row r="9109" spans="8:8" x14ac:dyDescent="0.3">
      <c r="H9109" s="4"/>
    </row>
    <row r="9110" spans="8:8" x14ac:dyDescent="0.3">
      <c r="H9110" s="4"/>
    </row>
    <row r="9111" spans="8:8" x14ac:dyDescent="0.3">
      <c r="H9111" s="4"/>
    </row>
    <row r="9112" spans="8:8" x14ac:dyDescent="0.3">
      <c r="H9112" s="4"/>
    </row>
    <row r="9113" spans="8:8" x14ac:dyDescent="0.3">
      <c r="H9113" s="4"/>
    </row>
    <row r="9114" spans="8:8" x14ac:dyDescent="0.3">
      <c r="H9114" s="4"/>
    </row>
    <row r="9115" spans="8:8" x14ac:dyDescent="0.3">
      <c r="H9115" s="4"/>
    </row>
    <row r="9116" spans="8:8" x14ac:dyDescent="0.3">
      <c r="H9116" s="4"/>
    </row>
    <row r="9117" spans="8:8" x14ac:dyDescent="0.3">
      <c r="H9117" s="4"/>
    </row>
    <row r="9118" spans="8:8" x14ac:dyDescent="0.3">
      <c r="H9118" s="4"/>
    </row>
    <row r="9119" spans="8:8" x14ac:dyDescent="0.3">
      <c r="H9119" s="4"/>
    </row>
    <row r="9120" spans="8:8" x14ac:dyDescent="0.3">
      <c r="H9120" s="4"/>
    </row>
    <row r="9121" spans="8:8" x14ac:dyDescent="0.3">
      <c r="H9121" s="4"/>
    </row>
    <row r="9122" spans="8:8" x14ac:dyDescent="0.3">
      <c r="H9122" s="4"/>
    </row>
    <row r="9123" spans="8:8" x14ac:dyDescent="0.3">
      <c r="H9123" s="4"/>
    </row>
    <row r="9124" spans="8:8" x14ac:dyDescent="0.3">
      <c r="H9124" s="4"/>
    </row>
    <row r="9125" spans="8:8" x14ac:dyDescent="0.3">
      <c r="H9125" s="4"/>
    </row>
    <row r="9126" spans="8:8" x14ac:dyDescent="0.3">
      <c r="H9126" s="4"/>
    </row>
    <row r="9127" spans="8:8" x14ac:dyDescent="0.3">
      <c r="H9127" s="4"/>
    </row>
    <row r="9128" spans="8:8" x14ac:dyDescent="0.3">
      <c r="H9128" s="4"/>
    </row>
    <row r="9129" spans="8:8" x14ac:dyDescent="0.3">
      <c r="H9129" s="4"/>
    </row>
    <row r="9130" spans="8:8" x14ac:dyDescent="0.3">
      <c r="H9130" s="4"/>
    </row>
    <row r="9131" spans="8:8" x14ac:dyDescent="0.3">
      <c r="H9131" s="4"/>
    </row>
    <row r="9132" spans="8:8" x14ac:dyDescent="0.3">
      <c r="H9132" s="4"/>
    </row>
    <row r="9133" spans="8:8" x14ac:dyDescent="0.3">
      <c r="H9133" s="4"/>
    </row>
    <row r="9134" spans="8:8" x14ac:dyDescent="0.3">
      <c r="H9134" s="4"/>
    </row>
    <row r="9135" spans="8:8" x14ac:dyDescent="0.3">
      <c r="H9135" s="4"/>
    </row>
    <row r="9136" spans="8:8" x14ac:dyDescent="0.3">
      <c r="H9136" s="4"/>
    </row>
    <row r="9137" spans="8:8" x14ac:dyDescent="0.3">
      <c r="H9137" s="4"/>
    </row>
    <row r="9138" spans="8:8" x14ac:dyDescent="0.3">
      <c r="H9138" s="4"/>
    </row>
    <row r="9139" spans="8:8" x14ac:dyDescent="0.3">
      <c r="H9139" s="4"/>
    </row>
    <row r="9140" spans="8:8" x14ac:dyDescent="0.3">
      <c r="H9140" s="4"/>
    </row>
    <row r="9141" spans="8:8" x14ac:dyDescent="0.3">
      <c r="H9141" s="4"/>
    </row>
    <row r="9142" spans="8:8" x14ac:dyDescent="0.3">
      <c r="H9142" s="4"/>
    </row>
    <row r="9143" spans="8:8" x14ac:dyDescent="0.3">
      <c r="H9143" s="4"/>
    </row>
    <row r="9144" spans="8:8" x14ac:dyDescent="0.3">
      <c r="H9144" s="4"/>
    </row>
    <row r="9145" spans="8:8" x14ac:dyDescent="0.3">
      <c r="H9145" s="4"/>
    </row>
    <row r="9146" spans="8:8" x14ac:dyDescent="0.3">
      <c r="H9146" s="4"/>
    </row>
    <row r="9147" spans="8:8" x14ac:dyDescent="0.3">
      <c r="H9147" s="4"/>
    </row>
    <row r="9148" spans="8:8" x14ac:dyDescent="0.3">
      <c r="H9148" s="4"/>
    </row>
    <row r="9149" spans="8:8" x14ac:dyDescent="0.3">
      <c r="H9149" s="4"/>
    </row>
    <row r="9150" spans="8:8" x14ac:dyDescent="0.3">
      <c r="H9150" s="4"/>
    </row>
    <row r="9151" spans="8:8" x14ac:dyDescent="0.3">
      <c r="H9151" s="4"/>
    </row>
    <row r="9152" spans="8:8" x14ac:dyDescent="0.3">
      <c r="H9152" s="4"/>
    </row>
    <row r="9153" spans="8:8" x14ac:dyDescent="0.3">
      <c r="H9153" s="4"/>
    </row>
    <row r="9154" spans="8:8" x14ac:dyDescent="0.3">
      <c r="H9154" s="4"/>
    </row>
    <row r="9155" spans="8:8" x14ac:dyDescent="0.3">
      <c r="H9155" s="4"/>
    </row>
    <row r="9156" spans="8:8" x14ac:dyDescent="0.3">
      <c r="H9156" s="4"/>
    </row>
    <row r="9157" spans="8:8" x14ac:dyDescent="0.3">
      <c r="H9157" s="4"/>
    </row>
    <row r="9158" spans="8:8" x14ac:dyDescent="0.3">
      <c r="H9158" s="4"/>
    </row>
    <row r="9159" spans="8:8" x14ac:dyDescent="0.3">
      <c r="H9159" s="4"/>
    </row>
    <row r="9160" spans="8:8" x14ac:dyDescent="0.3">
      <c r="H9160" s="4"/>
    </row>
    <row r="9161" spans="8:8" x14ac:dyDescent="0.3">
      <c r="H9161" s="4"/>
    </row>
    <row r="9162" spans="8:8" x14ac:dyDescent="0.3">
      <c r="H9162" s="4"/>
    </row>
    <row r="9163" spans="8:8" x14ac:dyDescent="0.3">
      <c r="H9163" s="4"/>
    </row>
    <row r="9164" spans="8:8" x14ac:dyDescent="0.3">
      <c r="H9164" s="4"/>
    </row>
    <row r="9165" spans="8:8" x14ac:dyDescent="0.3">
      <c r="H9165" s="4"/>
    </row>
    <row r="9166" spans="8:8" x14ac:dyDescent="0.3">
      <c r="H9166" s="4"/>
    </row>
    <row r="9167" spans="8:8" x14ac:dyDescent="0.3">
      <c r="H9167" s="4"/>
    </row>
    <row r="9168" spans="8:8" x14ac:dyDescent="0.3">
      <c r="H9168" s="4"/>
    </row>
    <row r="9169" spans="8:8" x14ac:dyDescent="0.3">
      <c r="H9169" s="4"/>
    </row>
    <row r="9170" spans="8:8" x14ac:dyDescent="0.3">
      <c r="H9170" s="4"/>
    </row>
    <row r="9171" spans="8:8" x14ac:dyDescent="0.3">
      <c r="H9171" s="4"/>
    </row>
    <row r="9172" spans="8:8" x14ac:dyDescent="0.3">
      <c r="H9172" s="4"/>
    </row>
    <row r="9173" spans="8:8" x14ac:dyDescent="0.3">
      <c r="H9173" s="4"/>
    </row>
    <row r="9174" spans="8:8" x14ac:dyDescent="0.3">
      <c r="H9174" s="4"/>
    </row>
    <row r="9175" spans="8:8" x14ac:dyDescent="0.3">
      <c r="H9175" s="4"/>
    </row>
    <row r="9176" spans="8:8" x14ac:dyDescent="0.3">
      <c r="H9176" s="4"/>
    </row>
    <row r="9177" spans="8:8" x14ac:dyDescent="0.3">
      <c r="H9177" s="4"/>
    </row>
    <row r="9178" spans="8:8" x14ac:dyDescent="0.3">
      <c r="H9178" s="4"/>
    </row>
    <row r="9179" spans="8:8" x14ac:dyDescent="0.3">
      <c r="H9179" s="4"/>
    </row>
    <row r="9180" spans="8:8" x14ac:dyDescent="0.3">
      <c r="H9180" s="4"/>
    </row>
    <row r="9181" spans="8:8" x14ac:dyDescent="0.3">
      <c r="H9181" s="4"/>
    </row>
    <row r="9182" spans="8:8" x14ac:dyDescent="0.3">
      <c r="H9182" s="4"/>
    </row>
    <row r="9183" spans="8:8" x14ac:dyDescent="0.3">
      <c r="H9183" s="4"/>
    </row>
    <row r="9184" spans="8:8" x14ac:dyDescent="0.3">
      <c r="H9184" s="4"/>
    </row>
    <row r="9185" spans="8:8" x14ac:dyDescent="0.3">
      <c r="H9185" s="4"/>
    </row>
    <row r="9186" spans="8:8" x14ac:dyDescent="0.3">
      <c r="H9186" s="4"/>
    </row>
    <row r="9187" spans="8:8" x14ac:dyDescent="0.3">
      <c r="H9187" s="4"/>
    </row>
    <row r="9188" spans="8:8" x14ac:dyDescent="0.3">
      <c r="H9188" s="4"/>
    </row>
    <row r="9189" spans="8:8" x14ac:dyDescent="0.3">
      <c r="H9189" s="4"/>
    </row>
    <row r="9190" spans="8:8" x14ac:dyDescent="0.3">
      <c r="H9190" s="4"/>
    </row>
    <row r="9191" spans="8:8" x14ac:dyDescent="0.3">
      <c r="H9191" s="4"/>
    </row>
    <row r="9192" spans="8:8" x14ac:dyDescent="0.3">
      <c r="H9192" s="4"/>
    </row>
    <row r="9193" spans="8:8" x14ac:dyDescent="0.3">
      <c r="H9193" s="4"/>
    </row>
    <row r="9194" spans="8:8" x14ac:dyDescent="0.3">
      <c r="H9194" s="4"/>
    </row>
    <row r="9195" spans="8:8" x14ac:dyDescent="0.3">
      <c r="H9195" s="4"/>
    </row>
    <row r="9196" spans="8:8" x14ac:dyDescent="0.3">
      <c r="H9196" s="4"/>
    </row>
    <row r="9197" spans="8:8" x14ac:dyDescent="0.3">
      <c r="H9197" s="4"/>
    </row>
    <row r="9198" spans="8:8" x14ac:dyDescent="0.3">
      <c r="H9198" s="4"/>
    </row>
    <row r="9199" spans="8:8" x14ac:dyDescent="0.3">
      <c r="H9199" s="4"/>
    </row>
    <row r="9200" spans="8:8" x14ac:dyDescent="0.3">
      <c r="H9200" s="4"/>
    </row>
    <row r="9201" spans="8:8" x14ac:dyDescent="0.3">
      <c r="H9201" s="4"/>
    </row>
    <row r="9202" spans="8:8" x14ac:dyDescent="0.3">
      <c r="H9202" s="4"/>
    </row>
    <row r="9203" spans="8:8" x14ac:dyDescent="0.3">
      <c r="H9203" s="4"/>
    </row>
    <row r="9204" spans="8:8" x14ac:dyDescent="0.3">
      <c r="H9204" s="4"/>
    </row>
    <row r="9205" spans="8:8" x14ac:dyDescent="0.3">
      <c r="H9205" s="4"/>
    </row>
    <row r="9206" spans="8:8" x14ac:dyDescent="0.3">
      <c r="H9206" s="4"/>
    </row>
    <row r="9207" spans="8:8" x14ac:dyDescent="0.3">
      <c r="H9207" s="4"/>
    </row>
    <row r="9208" spans="8:8" x14ac:dyDescent="0.3">
      <c r="H9208" s="4"/>
    </row>
    <row r="9209" spans="8:8" x14ac:dyDescent="0.3">
      <c r="H9209" s="4"/>
    </row>
    <row r="9210" spans="8:8" x14ac:dyDescent="0.3">
      <c r="H9210" s="4"/>
    </row>
    <row r="9211" spans="8:8" x14ac:dyDescent="0.3">
      <c r="H9211" s="4"/>
    </row>
    <row r="9212" spans="8:8" x14ac:dyDescent="0.3">
      <c r="H9212" s="4"/>
    </row>
    <row r="9213" spans="8:8" x14ac:dyDescent="0.3">
      <c r="H9213" s="4"/>
    </row>
    <row r="9214" spans="8:8" x14ac:dyDescent="0.3">
      <c r="H9214" s="4"/>
    </row>
    <row r="9215" spans="8:8" x14ac:dyDescent="0.3">
      <c r="H9215" s="4"/>
    </row>
    <row r="9216" spans="8:8" x14ac:dyDescent="0.3">
      <c r="H9216" s="4"/>
    </row>
    <row r="9217" spans="8:8" x14ac:dyDescent="0.3">
      <c r="H9217" s="4"/>
    </row>
    <row r="9218" spans="8:8" x14ac:dyDescent="0.3">
      <c r="H9218" s="4"/>
    </row>
    <row r="9219" spans="8:8" x14ac:dyDescent="0.3">
      <c r="H9219" s="4"/>
    </row>
    <row r="9220" spans="8:8" x14ac:dyDescent="0.3">
      <c r="H9220" s="4"/>
    </row>
    <row r="9221" spans="8:8" x14ac:dyDescent="0.3">
      <c r="H9221" s="4"/>
    </row>
    <row r="9222" spans="8:8" x14ac:dyDescent="0.3">
      <c r="H9222" s="4"/>
    </row>
    <row r="9223" spans="8:8" x14ac:dyDescent="0.3">
      <c r="H9223" s="4"/>
    </row>
    <row r="9224" spans="8:8" x14ac:dyDescent="0.3">
      <c r="H9224" s="4"/>
    </row>
    <row r="9225" spans="8:8" x14ac:dyDescent="0.3">
      <c r="H9225" s="4"/>
    </row>
    <row r="9226" spans="8:8" x14ac:dyDescent="0.3">
      <c r="H9226" s="4"/>
    </row>
    <row r="9227" spans="8:8" x14ac:dyDescent="0.3">
      <c r="H9227" s="4"/>
    </row>
    <row r="9228" spans="8:8" x14ac:dyDescent="0.3">
      <c r="H9228" s="4"/>
    </row>
    <row r="9229" spans="8:8" x14ac:dyDescent="0.3">
      <c r="H9229" s="4"/>
    </row>
    <row r="9230" spans="8:8" x14ac:dyDescent="0.3">
      <c r="H9230" s="4"/>
    </row>
    <row r="9231" spans="8:8" x14ac:dyDescent="0.3">
      <c r="H9231" s="4"/>
    </row>
    <row r="9232" spans="8:8" x14ac:dyDescent="0.3">
      <c r="H9232" s="4"/>
    </row>
    <row r="9233" spans="8:8" x14ac:dyDescent="0.3">
      <c r="H9233" s="4"/>
    </row>
    <row r="9234" spans="8:8" x14ac:dyDescent="0.3">
      <c r="H9234" s="4"/>
    </row>
    <row r="9235" spans="8:8" x14ac:dyDescent="0.3">
      <c r="H9235" s="4"/>
    </row>
    <row r="9236" spans="8:8" x14ac:dyDescent="0.3">
      <c r="H9236" s="4"/>
    </row>
    <row r="9237" spans="8:8" x14ac:dyDescent="0.3">
      <c r="H9237" s="4"/>
    </row>
    <row r="9238" spans="8:8" x14ac:dyDescent="0.3">
      <c r="H9238" s="4"/>
    </row>
    <row r="9239" spans="8:8" x14ac:dyDescent="0.3">
      <c r="H9239" s="4"/>
    </row>
    <row r="9240" spans="8:8" x14ac:dyDescent="0.3">
      <c r="H9240" s="4"/>
    </row>
    <row r="9241" spans="8:8" x14ac:dyDescent="0.3">
      <c r="H9241" s="4"/>
    </row>
    <row r="9242" spans="8:8" x14ac:dyDescent="0.3">
      <c r="H9242" s="4"/>
    </row>
    <row r="9243" spans="8:8" x14ac:dyDescent="0.3">
      <c r="H9243" s="4"/>
    </row>
    <row r="9244" spans="8:8" x14ac:dyDescent="0.3">
      <c r="H9244" s="4"/>
    </row>
    <row r="9245" spans="8:8" x14ac:dyDescent="0.3">
      <c r="H9245" s="4"/>
    </row>
    <row r="9246" spans="8:8" x14ac:dyDescent="0.3">
      <c r="H9246" s="4"/>
    </row>
    <row r="9247" spans="8:8" x14ac:dyDescent="0.3">
      <c r="H9247" s="4"/>
    </row>
    <row r="9248" spans="8:8" x14ac:dyDescent="0.3">
      <c r="H9248" s="4"/>
    </row>
    <row r="9249" spans="8:8" x14ac:dyDescent="0.3">
      <c r="H9249" s="4"/>
    </row>
    <row r="9250" spans="8:8" x14ac:dyDescent="0.3">
      <c r="H9250" s="4"/>
    </row>
    <row r="9251" spans="8:8" x14ac:dyDescent="0.3">
      <c r="H9251" s="4"/>
    </row>
    <row r="9252" spans="8:8" x14ac:dyDescent="0.3">
      <c r="H9252" s="4"/>
    </row>
    <row r="9253" spans="8:8" x14ac:dyDescent="0.3">
      <c r="H9253" s="4"/>
    </row>
    <row r="9254" spans="8:8" x14ac:dyDescent="0.3">
      <c r="H9254" s="4"/>
    </row>
    <row r="9255" spans="8:8" x14ac:dyDescent="0.3">
      <c r="H9255" s="4"/>
    </row>
    <row r="9256" spans="8:8" x14ac:dyDescent="0.3">
      <c r="H9256" s="4"/>
    </row>
    <row r="9257" spans="8:8" x14ac:dyDescent="0.3">
      <c r="H9257" s="4"/>
    </row>
    <row r="9258" spans="8:8" x14ac:dyDescent="0.3">
      <c r="H9258" s="4"/>
    </row>
    <row r="9259" spans="8:8" x14ac:dyDescent="0.3">
      <c r="H9259" s="4"/>
    </row>
    <row r="9260" spans="8:8" x14ac:dyDescent="0.3">
      <c r="H9260" s="4"/>
    </row>
    <row r="9261" spans="8:8" x14ac:dyDescent="0.3">
      <c r="H9261" s="4"/>
    </row>
    <row r="9262" spans="8:8" x14ac:dyDescent="0.3">
      <c r="H9262" s="4"/>
    </row>
    <row r="9263" spans="8:8" x14ac:dyDescent="0.3">
      <c r="H9263" s="4"/>
    </row>
    <row r="9264" spans="8:8" x14ac:dyDescent="0.3">
      <c r="H9264" s="4"/>
    </row>
    <row r="9265" spans="8:8" x14ac:dyDescent="0.3">
      <c r="H9265" s="4"/>
    </row>
    <row r="9266" spans="8:8" x14ac:dyDescent="0.3">
      <c r="H9266" s="4"/>
    </row>
    <row r="9267" spans="8:8" x14ac:dyDescent="0.3">
      <c r="H9267" s="4"/>
    </row>
    <row r="9268" spans="8:8" x14ac:dyDescent="0.3">
      <c r="H9268" s="4"/>
    </row>
    <row r="9269" spans="8:8" x14ac:dyDescent="0.3">
      <c r="H9269" s="4"/>
    </row>
    <row r="9270" spans="8:8" x14ac:dyDescent="0.3">
      <c r="H9270" s="4"/>
    </row>
    <row r="9271" spans="8:8" x14ac:dyDescent="0.3">
      <c r="H9271" s="4"/>
    </row>
    <row r="9272" spans="8:8" x14ac:dyDescent="0.3">
      <c r="H9272" s="4"/>
    </row>
    <row r="9273" spans="8:8" x14ac:dyDescent="0.3">
      <c r="H9273" s="4"/>
    </row>
    <row r="9274" spans="8:8" x14ac:dyDescent="0.3">
      <c r="H9274" s="4"/>
    </row>
    <row r="9275" spans="8:8" x14ac:dyDescent="0.3">
      <c r="H9275" s="4"/>
    </row>
    <row r="9276" spans="8:8" x14ac:dyDescent="0.3">
      <c r="H9276" s="4"/>
    </row>
    <row r="9277" spans="8:8" x14ac:dyDescent="0.3">
      <c r="H9277" s="4"/>
    </row>
    <row r="9278" spans="8:8" x14ac:dyDescent="0.3">
      <c r="H9278" s="4"/>
    </row>
    <row r="9279" spans="8:8" x14ac:dyDescent="0.3">
      <c r="H9279" s="4"/>
    </row>
    <row r="9280" spans="8:8" x14ac:dyDescent="0.3">
      <c r="H9280" s="4"/>
    </row>
    <row r="9281" spans="8:8" x14ac:dyDescent="0.3">
      <c r="H9281" s="4"/>
    </row>
    <row r="9282" spans="8:8" x14ac:dyDescent="0.3">
      <c r="H9282" s="4"/>
    </row>
    <row r="9283" spans="8:8" x14ac:dyDescent="0.3">
      <c r="H9283" s="4"/>
    </row>
    <row r="9284" spans="8:8" x14ac:dyDescent="0.3">
      <c r="H9284" s="4"/>
    </row>
    <row r="9285" spans="8:8" x14ac:dyDescent="0.3">
      <c r="H9285" s="4"/>
    </row>
    <row r="9286" spans="8:8" x14ac:dyDescent="0.3">
      <c r="H9286" s="4"/>
    </row>
    <row r="9287" spans="8:8" x14ac:dyDescent="0.3">
      <c r="H9287" s="4"/>
    </row>
    <row r="9288" spans="8:8" x14ac:dyDescent="0.3">
      <c r="H9288" s="4"/>
    </row>
    <row r="9289" spans="8:8" x14ac:dyDescent="0.3">
      <c r="H9289" s="4"/>
    </row>
    <row r="9290" spans="8:8" x14ac:dyDescent="0.3">
      <c r="H9290" s="4"/>
    </row>
    <row r="9291" spans="8:8" x14ac:dyDescent="0.3">
      <c r="H9291" s="4"/>
    </row>
    <row r="9292" spans="8:8" x14ac:dyDescent="0.3">
      <c r="H9292" s="4"/>
    </row>
    <row r="9293" spans="8:8" x14ac:dyDescent="0.3">
      <c r="H9293" s="4"/>
    </row>
    <row r="9294" spans="8:8" x14ac:dyDescent="0.3">
      <c r="H9294" s="4"/>
    </row>
    <row r="9295" spans="8:8" x14ac:dyDescent="0.3">
      <c r="H9295" s="4"/>
    </row>
    <row r="9296" spans="8:8" x14ac:dyDescent="0.3">
      <c r="H9296" s="4"/>
    </row>
    <row r="9297" spans="8:8" x14ac:dyDescent="0.3">
      <c r="H9297" s="4"/>
    </row>
    <row r="9298" spans="8:8" x14ac:dyDescent="0.3">
      <c r="H9298" s="4"/>
    </row>
    <row r="9299" spans="8:8" x14ac:dyDescent="0.3">
      <c r="H9299" s="4"/>
    </row>
    <row r="9300" spans="8:8" x14ac:dyDescent="0.3">
      <c r="H9300" s="4"/>
    </row>
    <row r="9301" spans="8:8" x14ac:dyDescent="0.3">
      <c r="H9301" s="4"/>
    </row>
    <row r="9302" spans="8:8" x14ac:dyDescent="0.3">
      <c r="H9302" s="4"/>
    </row>
    <row r="9303" spans="8:8" x14ac:dyDescent="0.3">
      <c r="H9303" s="4"/>
    </row>
    <row r="9304" spans="8:8" x14ac:dyDescent="0.3">
      <c r="H9304" s="4"/>
    </row>
    <row r="9305" spans="8:8" x14ac:dyDescent="0.3">
      <c r="H9305" s="4"/>
    </row>
    <row r="9306" spans="8:8" x14ac:dyDescent="0.3">
      <c r="H9306" s="4"/>
    </row>
    <row r="9307" spans="8:8" x14ac:dyDescent="0.3">
      <c r="H9307" s="4"/>
    </row>
    <row r="9308" spans="8:8" x14ac:dyDescent="0.3">
      <c r="H9308" s="4"/>
    </row>
    <row r="9309" spans="8:8" x14ac:dyDescent="0.3">
      <c r="H9309" s="4"/>
    </row>
    <row r="9310" spans="8:8" x14ac:dyDescent="0.3">
      <c r="H9310" s="4"/>
    </row>
    <row r="9311" spans="8:8" x14ac:dyDescent="0.3">
      <c r="H9311" s="4"/>
    </row>
    <row r="9312" spans="8:8" x14ac:dyDescent="0.3">
      <c r="H9312" s="4"/>
    </row>
    <row r="9313" spans="8:8" x14ac:dyDescent="0.3">
      <c r="H9313" s="4"/>
    </row>
    <row r="9314" spans="8:8" x14ac:dyDescent="0.3">
      <c r="H9314" s="4"/>
    </row>
    <row r="9315" spans="8:8" x14ac:dyDescent="0.3">
      <c r="H9315" s="4"/>
    </row>
    <row r="9316" spans="8:8" x14ac:dyDescent="0.3">
      <c r="H9316" s="4"/>
    </row>
    <row r="9317" spans="8:8" x14ac:dyDescent="0.3">
      <c r="H9317" s="4"/>
    </row>
    <row r="9318" spans="8:8" x14ac:dyDescent="0.3">
      <c r="H9318" s="4"/>
    </row>
    <row r="9319" spans="8:8" x14ac:dyDescent="0.3">
      <c r="H9319" s="4"/>
    </row>
    <row r="9320" spans="8:8" x14ac:dyDescent="0.3">
      <c r="H9320" s="4"/>
    </row>
    <row r="9321" spans="8:8" x14ac:dyDescent="0.3">
      <c r="H9321" s="4"/>
    </row>
    <row r="9322" spans="8:8" x14ac:dyDescent="0.3">
      <c r="H9322" s="4"/>
    </row>
    <row r="9323" spans="8:8" x14ac:dyDescent="0.3">
      <c r="H9323" s="4"/>
    </row>
    <row r="9324" spans="8:8" x14ac:dyDescent="0.3">
      <c r="H9324" s="4"/>
    </row>
    <row r="9325" spans="8:8" x14ac:dyDescent="0.3">
      <c r="H9325" s="4"/>
    </row>
    <row r="9326" spans="8:8" x14ac:dyDescent="0.3">
      <c r="H9326" s="4"/>
    </row>
    <row r="9327" spans="8:8" x14ac:dyDescent="0.3">
      <c r="H9327" s="4"/>
    </row>
    <row r="9328" spans="8:8" x14ac:dyDescent="0.3">
      <c r="H9328" s="4"/>
    </row>
    <row r="9329" spans="8:8" x14ac:dyDescent="0.3">
      <c r="H9329" s="4"/>
    </row>
    <row r="9330" spans="8:8" x14ac:dyDescent="0.3">
      <c r="H9330" s="4"/>
    </row>
    <row r="9331" spans="8:8" x14ac:dyDescent="0.3">
      <c r="H9331" s="4"/>
    </row>
    <row r="9332" spans="8:8" x14ac:dyDescent="0.3">
      <c r="H9332" s="4"/>
    </row>
    <row r="9333" spans="8:8" x14ac:dyDescent="0.3">
      <c r="H9333" s="4"/>
    </row>
    <row r="9334" spans="8:8" x14ac:dyDescent="0.3">
      <c r="H9334" s="4"/>
    </row>
    <row r="9335" spans="8:8" x14ac:dyDescent="0.3">
      <c r="H9335" s="4"/>
    </row>
    <row r="9336" spans="8:8" x14ac:dyDescent="0.3">
      <c r="H9336" s="4"/>
    </row>
    <row r="9337" spans="8:8" x14ac:dyDescent="0.3">
      <c r="H9337" s="4"/>
    </row>
    <row r="9338" spans="8:8" x14ac:dyDescent="0.3">
      <c r="H9338" s="4"/>
    </row>
    <row r="9339" spans="8:8" x14ac:dyDescent="0.3">
      <c r="H9339" s="4"/>
    </row>
    <row r="9340" spans="8:8" x14ac:dyDescent="0.3">
      <c r="H9340" s="4"/>
    </row>
    <row r="9341" spans="8:8" x14ac:dyDescent="0.3">
      <c r="H9341" s="4"/>
    </row>
    <row r="9342" spans="8:8" x14ac:dyDescent="0.3">
      <c r="H9342" s="4"/>
    </row>
    <row r="9343" spans="8:8" x14ac:dyDescent="0.3">
      <c r="H9343" s="4"/>
    </row>
    <row r="9344" spans="8:8" x14ac:dyDescent="0.3">
      <c r="H9344" s="4"/>
    </row>
    <row r="9345" spans="8:8" x14ac:dyDescent="0.3">
      <c r="H9345" s="4"/>
    </row>
    <row r="9346" spans="8:8" x14ac:dyDescent="0.3">
      <c r="H9346" s="4"/>
    </row>
    <row r="9347" spans="8:8" x14ac:dyDescent="0.3">
      <c r="H9347" s="4"/>
    </row>
    <row r="9348" spans="8:8" x14ac:dyDescent="0.3">
      <c r="H9348" s="4"/>
    </row>
    <row r="9349" spans="8:8" x14ac:dyDescent="0.3">
      <c r="H9349" s="4"/>
    </row>
    <row r="9350" spans="8:8" x14ac:dyDescent="0.3">
      <c r="H9350" s="4"/>
    </row>
    <row r="9351" spans="8:8" x14ac:dyDescent="0.3">
      <c r="H9351" s="4"/>
    </row>
    <row r="9352" spans="8:8" x14ac:dyDescent="0.3">
      <c r="H9352" s="4"/>
    </row>
    <row r="9353" spans="8:8" x14ac:dyDescent="0.3">
      <c r="H9353" s="4"/>
    </row>
    <row r="9354" spans="8:8" x14ac:dyDescent="0.3">
      <c r="H9354" s="4"/>
    </row>
    <row r="9355" spans="8:8" x14ac:dyDescent="0.3">
      <c r="H9355" s="4"/>
    </row>
    <row r="9356" spans="8:8" x14ac:dyDescent="0.3">
      <c r="H9356" s="4"/>
    </row>
    <row r="9357" spans="8:8" x14ac:dyDescent="0.3">
      <c r="H9357" s="4"/>
    </row>
    <row r="9358" spans="8:8" x14ac:dyDescent="0.3">
      <c r="H9358" s="4"/>
    </row>
    <row r="9359" spans="8:8" x14ac:dyDescent="0.3">
      <c r="H9359" s="4"/>
    </row>
    <row r="9360" spans="8:8" x14ac:dyDescent="0.3">
      <c r="H9360" s="4"/>
    </row>
    <row r="9361" spans="8:8" x14ac:dyDescent="0.3">
      <c r="H9361" s="4"/>
    </row>
    <row r="9362" spans="8:8" x14ac:dyDescent="0.3">
      <c r="H9362" s="4"/>
    </row>
    <row r="9363" spans="8:8" x14ac:dyDescent="0.3">
      <c r="H9363" s="4"/>
    </row>
    <row r="9364" spans="8:8" x14ac:dyDescent="0.3">
      <c r="H9364" s="4"/>
    </row>
    <row r="9365" spans="8:8" x14ac:dyDescent="0.3">
      <c r="H9365" s="4"/>
    </row>
    <row r="9366" spans="8:8" x14ac:dyDescent="0.3">
      <c r="H9366" s="4"/>
    </row>
    <row r="9367" spans="8:8" x14ac:dyDescent="0.3">
      <c r="H9367" s="4"/>
    </row>
    <row r="9368" spans="8:8" x14ac:dyDescent="0.3">
      <c r="H9368" s="4"/>
    </row>
    <row r="9369" spans="8:8" x14ac:dyDescent="0.3">
      <c r="H9369" s="4"/>
    </row>
    <row r="9370" spans="8:8" x14ac:dyDescent="0.3">
      <c r="H9370" s="4"/>
    </row>
    <row r="9371" spans="8:8" x14ac:dyDescent="0.3">
      <c r="H9371" s="4"/>
    </row>
    <row r="9372" spans="8:8" x14ac:dyDescent="0.3">
      <c r="H9372" s="4"/>
    </row>
    <row r="9373" spans="8:8" x14ac:dyDescent="0.3">
      <c r="H9373" s="4"/>
    </row>
    <row r="9374" spans="8:8" x14ac:dyDescent="0.3">
      <c r="H9374" s="4"/>
    </row>
    <row r="9375" spans="8:8" x14ac:dyDescent="0.3">
      <c r="H9375" s="4"/>
    </row>
    <row r="9376" spans="8:8" x14ac:dyDescent="0.3">
      <c r="H9376" s="4"/>
    </row>
    <row r="9377" spans="8:8" x14ac:dyDescent="0.3">
      <c r="H9377" s="4"/>
    </row>
    <row r="9378" spans="8:8" x14ac:dyDescent="0.3">
      <c r="H9378" s="4"/>
    </row>
    <row r="9379" spans="8:8" x14ac:dyDescent="0.3">
      <c r="H9379" s="4"/>
    </row>
    <row r="9380" spans="8:8" x14ac:dyDescent="0.3">
      <c r="H9380" s="4"/>
    </row>
    <row r="9381" spans="8:8" x14ac:dyDescent="0.3">
      <c r="H9381" s="4"/>
    </row>
    <row r="9382" spans="8:8" x14ac:dyDescent="0.3">
      <c r="H9382" s="4"/>
    </row>
    <row r="9383" spans="8:8" x14ac:dyDescent="0.3">
      <c r="H9383" s="4"/>
    </row>
    <row r="9384" spans="8:8" x14ac:dyDescent="0.3">
      <c r="H9384" s="4"/>
    </row>
    <row r="9385" spans="8:8" x14ac:dyDescent="0.3">
      <c r="H9385" s="4"/>
    </row>
    <row r="9386" spans="8:8" x14ac:dyDescent="0.3">
      <c r="H9386" s="4"/>
    </row>
    <row r="9387" spans="8:8" x14ac:dyDescent="0.3">
      <c r="H9387" s="4"/>
    </row>
    <row r="9388" spans="8:8" x14ac:dyDescent="0.3">
      <c r="H9388" s="4"/>
    </row>
    <row r="9389" spans="8:8" x14ac:dyDescent="0.3">
      <c r="H9389" s="4"/>
    </row>
    <row r="9390" spans="8:8" x14ac:dyDescent="0.3">
      <c r="H9390" s="4"/>
    </row>
    <row r="9391" spans="8:8" x14ac:dyDescent="0.3">
      <c r="H9391" s="4"/>
    </row>
    <row r="9392" spans="8:8" x14ac:dyDescent="0.3">
      <c r="H9392" s="4"/>
    </row>
    <row r="9393" spans="8:8" x14ac:dyDescent="0.3">
      <c r="H9393" s="4"/>
    </row>
    <row r="9394" spans="8:8" x14ac:dyDescent="0.3">
      <c r="H9394" s="4"/>
    </row>
    <row r="9395" spans="8:8" x14ac:dyDescent="0.3">
      <c r="H9395" s="4"/>
    </row>
    <row r="9396" spans="8:8" x14ac:dyDescent="0.3">
      <c r="H9396" s="4"/>
    </row>
    <row r="9397" spans="8:8" x14ac:dyDescent="0.3">
      <c r="H9397" s="4"/>
    </row>
    <row r="9398" spans="8:8" x14ac:dyDescent="0.3">
      <c r="H9398" s="4"/>
    </row>
    <row r="9399" spans="8:8" x14ac:dyDescent="0.3">
      <c r="H9399" s="4"/>
    </row>
    <row r="9400" spans="8:8" x14ac:dyDescent="0.3">
      <c r="H9400" s="4"/>
    </row>
    <row r="9401" spans="8:8" x14ac:dyDescent="0.3">
      <c r="H9401" s="4"/>
    </row>
    <row r="9402" spans="8:8" x14ac:dyDescent="0.3">
      <c r="H9402" s="4"/>
    </row>
    <row r="9403" spans="8:8" x14ac:dyDescent="0.3">
      <c r="H9403" s="4"/>
    </row>
    <row r="9404" spans="8:8" x14ac:dyDescent="0.3">
      <c r="H9404" s="4"/>
    </row>
    <row r="9405" spans="8:8" x14ac:dyDescent="0.3">
      <c r="H9405" s="4"/>
    </row>
    <row r="9406" spans="8:8" x14ac:dyDescent="0.3">
      <c r="H9406" s="4"/>
    </row>
    <row r="9407" spans="8:8" x14ac:dyDescent="0.3">
      <c r="H9407" s="4"/>
    </row>
    <row r="9408" spans="8:8" x14ac:dyDescent="0.3">
      <c r="H9408" s="4"/>
    </row>
    <row r="9409" spans="8:8" x14ac:dyDescent="0.3">
      <c r="H9409" s="4"/>
    </row>
    <row r="9410" spans="8:8" x14ac:dyDescent="0.3">
      <c r="H9410" s="4"/>
    </row>
    <row r="9411" spans="8:8" x14ac:dyDescent="0.3">
      <c r="H9411" s="4"/>
    </row>
    <row r="9412" spans="8:8" x14ac:dyDescent="0.3">
      <c r="H9412" s="4"/>
    </row>
    <row r="9413" spans="8:8" x14ac:dyDescent="0.3">
      <c r="H9413" s="4"/>
    </row>
    <row r="9414" spans="8:8" x14ac:dyDescent="0.3">
      <c r="H9414" s="4"/>
    </row>
    <row r="9415" spans="8:8" x14ac:dyDescent="0.3">
      <c r="H9415" s="4"/>
    </row>
    <row r="9416" spans="8:8" x14ac:dyDescent="0.3">
      <c r="H9416" s="4"/>
    </row>
    <row r="9417" spans="8:8" x14ac:dyDescent="0.3">
      <c r="H9417" s="4"/>
    </row>
    <row r="9418" spans="8:8" x14ac:dyDescent="0.3">
      <c r="H9418" s="4"/>
    </row>
    <row r="9419" spans="8:8" x14ac:dyDescent="0.3">
      <c r="H9419" s="4"/>
    </row>
    <row r="9420" spans="8:8" x14ac:dyDescent="0.3">
      <c r="H9420" s="4"/>
    </row>
    <row r="9421" spans="8:8" x14ac:dyDescent="0.3">
      <c r="H9421" s="4"/>
    </row>
    <row r="9422" spans="8:8" x14ac:dyDescent="0.3">
      <c r="H9422" s="4"/>
    </row>
    <row r="9423" spans="8:8" x14ac:dyDescent="0.3">
      <c r="H9423" s="4"/>
    </row>
    <row r="9424" spans="8:8" x14ac:dyDescent="0.3">
      <c r="H9424" s="4"/>
    </row>
    <row r="9425" spans="8:8" x14ac:dyDescent="0.3">
      <c r="H9425" s="4"/>
    </row>
    <row r="9426" spans="8:8" x14ac:dyDescent="0.3">
      <c r="H9426" s="4"/>
    </row>
    <row r="9427" spans="8:8" x14ac:dyDescent="0.3">
      <c r="H9427" s="4"/>
    </row>
    <row r="9428" spans="8:8" x14ac:dyDescent="0.3">
      <c r="H9428" s="4"/>
    </row>
    <row r="9429" spans="8:8" x14ac:dyDescent="0.3">
      <c r="H9429" s="4"/>
    </row>
    <row r="9430" spans="8:8" x14ac:dyDescent="0.3">
      <c r="H9430" s="4"/>
    </row>
    <row r="9431" spans="8:8" x14ac:dyDescent="0.3">
      <c r="H9431" s="4"/>
    </row>
    <row r="9432" spans="8:8" x14ac:dyDescent="0.3">
      <c r="H9432" s="4"/>
    </row>
    <row r="9433" spans="8:8" x14ac:dyDescent="0.3">
      <c r="H9433" s="4"/>
    </row>
    <row r="9434" spans="8:8" x14ac:dyDescent="0.3">
      <c r="H9434" s="4"/>
    </row>
    <row r="9435" spans="8:8" x14ac:dyDescent="0.3">
      <c r="H9435" s="4"/>
    </row>
    <row r="9436" spans="8:8" x14ac:dyDescent="0.3">
      <c r="H9436" s="4"/>
    </row>
    <row r="9437" spans="8:8" x14ac:dyDescent="0.3">
      <c r="H9437" s="4"/>
    </row>
    <row r="9438" spans="8:8" x14ac:dyDescent="0.3">
      <c r="H9438" s="4"/>
    </row>
    <row r="9439" spans="8:8" x14ac:dyDescent="0.3">
      <c r="H9439" s="4"/>
    </row>
    <row r="9440" spans="8:8" x14ac:dyDescent="0.3">
      <c r="H9440" s="4"/>
    </row>
    <row r="9441" spans="8:8" x14ac:dyDescent="0.3">
      <c r="H9441" s="4"/>
    </row>
    <row r="9442" spans="8:8" x14ac:dyDescent="0.3">
      <c r="H9442" s="4"/>
    </row>
    <row r="9443" spans="8:8" x14ac:dyDescent="0.3">
      <c r="H9443" s="4"/>
    </row>
    <row r="9444" spans="8:8" x14ac:dyDescent="0.3">
      <c r="H9444" s="4"/>
    </row>
    <row r="9445" spans="8:8" x14ac:dyDescent="0.3">
      <c r="H9445" s="4"/>
    </row>
    <row r="9446" spans="8:8" x14ac:dyDescent="0.3">
      <c r="H9446" s="4"/>
    </row>
    <row r="9447" spans="8:8" x14ac:dyDescent="0.3">
      <c r="H9447" s="4"/>
    </row>
    <row r="9448" spans="8:8" x14ac:dyDescent="0.3">
      <c r="H9448" s="4"/>
    </row>
    <row r="9449" spans="8:8" x14ac:dyDescent="0.3">
      <c r="H9449" s="4"/>
    </row>
    <row r="9450" spans="8:8" x14ac:dyDescent="0.3">
      <c r="H9450" s="4"/>
    </row>
    <row r="9451" spans="8:8" x14ac:dyDescent="0.3">
      <c r="H9451" s="4"/>
    </row>
    <row r="9452" spans="8:8" x14ac:dyDescent="0.3">
      <c r="H9452" s="4"/>
    </row>
    <row r="9453" spans="8:8" x14ac:dyDescent="0.3">
      <c r="H9453" s="4"/>
    </row>
    <row r="9454" spans="8:8" x14ac:dyDescent="0.3">
      <c r="H9454" s="4"/>
    </row>
    <row r="9455" spans="8:8" x14ac:dyDescent="0.3">
      <c r="H9455" s="4"/>
    </row>
    <row r="9456" spans="8:8" x14ac:dyDescent="0.3">
      <c r="H9456" s="4"/>
    </row>
    <row r="9457" spans="8:8" x14ac:dyDescent="0.3">
      <c r="H9457" s="4"/>
    </row>
    <row r="9458" spans="8:8" x14ac:dyDescent="0.3">
      <c r="H9458" s="4"/>
    </row>
    <row r="9459" spans="8:8" x14ac:dyDescent="0.3">
      <c r="H9459" s="4"/>
    </row>
    <row r="9460" spans="8:8" x14ac:dyDescent="0.3">
      <c r="H9460" s="4"/>
    </row>
    <row r="9461" spans="8:8" x14ac:dyDescent="0.3">
      <c r="H9461" s="4"/>
    </row>
    <row r="9462" spans="8:8" x14ac:dyDescent="0.3">
      <c r="H9462" s="4"/>
    </row>
    <row r="9463" spans="8:8" x14ac:dyDescent="0.3">
      <c r="H9463" s="4"/>
    </row>
    <row r="9464" spans="8:8" x14ac:dyDescent="0.3">
      <c r="H9464" s="4"/>
    </row>
    <row r="9465" spans="8:8" x14ac:dyDescent="0.3">
      <c r="H9465" s="4"/>
    </row>
    <row r="9466" spans="8:8" x14ac:dyDescent="0.3">
      <c r="H9466" s="4"/>
    </row>
    <row r="9467" spans="8:8" x14ac:dyDescent="0.3">
      <c r="H9467" s="4"/>
    </row>
    <row r="9468" spans="8:8" x14ac:dyDescent="0.3">
      <c r="H9468" s="4"/>
    </row>
    <row r="9469" spans="8:8" x14ac:dyDescent="0.3">
      <c r="H9469" s="4"/>
    </row>
    <row r="9470" spans="8:8" x14ac:dyDescent="0.3">
      <c r="H9470" s="4"/>
    </row>
    <row r="9471" spans="8:8" x14ac:dyDescent="0.3">
      <c r="H9471" s="4"/>
    </row>
    <row r="9472" spans="8:8" x14ac:dyDescent="0.3">
      <c r="H9472" s="4"/>
    </row>
    <row r="9473" spans="8:8" x14ac:dyDescent="0.3">
      <c r="H9473" s="4"/>
    </row>
    <row r="9474" spans="8:8" x14ac:dyDescent="0.3">
      <c r="H9474" s="4"/>
    </row>
    <row r="9475" spans="8:8" x14ac:dyDescent="0.3">
      <c r="H9475" s="4"/>
    </row>
    <row r="9476" spans="8:8" x14ac:dyDescent="0.3">
      <c r="H9476" s="4"/>
    </row>
    <row r="9477" spans="8:8" x14ac:dyDescent="0.3">
      <c r="H9477" s="4"/>
    </row>
    <row r="9478" spans="8:8" x14ac:dyDescent="0.3">
      <c r="H9478" s="4"/>
    </row>
    <row r="9479" spans="8:8" x14ac:dyDescent="0.3">
      <c r="H9479" s="4"/>
    </row>
    <row r="9480" spans="8:8" x14ac:dyDescent="0.3">
      <c r="H9480" s="4"/>
    </row>
    <row r="9481" spans="8:8" x14ac:dyDescent="0.3">
      <c r="H9481" s="4"/>
    </row>
    <row r="9482" spans="8:8" x14ac:dyDescent="0.3">
      <c r="H9482" s="4"/>
    </row>
    <row r="9483" spans="8:8" x14ac:dyDescent="0.3">
      <c r="H9483" s="4"/>
    </row>
    <row r="9484" spans="8:8" x14ac:dyDescent="0.3">
      <c r="H9484" s="4"/>
    </row>
    <row r="9485" spans="8:8" x14ac:dyDescent="0.3">
      <c r="H9485" s="4"/>
    </row>
    <row r="9486" spans="8:8" x14ac:dyDescent="0.3">
      <c r="H9486" s="4"/>
    </row>
    <row r="9487" spans="8:8" x14ac:dyDescent="0.3">
      <c r="H9487" s="4"/>
    </row>
    <row r="9488" spans="8:8" x14ac:dyDescent="0.3">
      <c r="H9488" s="4"/>
    </row>
    <row r="9489" spans="8:8" x14ac:dyDescent="0.3">
      <c r="H9489" s="4"/>
    </row>
    <row r="9490" spans="8:8" x14ac:dyDescent="0.3">
      <c r="H9490" s="4"/>
    </row>
    <row r="9491" spans="8:8" x14ac:dyDescent="0.3">
      <c r="H9491" s="4"/>
    </row>
    <row r="9492" spans="8:8" x14ac:dyDescent="0.3">
      <c r="H9492" s="4"/>
    </row>
    <row r="9493" spans="8:8" x14ac:dyDescent="0.3">
      <c r="H9493" s="4"/>
    </row>
    <row r="9494" spans="8:8" x14ac:dyDescent="0.3">
      <c r="H9494" s="4"/>
    </row>
    <row r="9495" spans="8:8" x14ac:dyDescent="0.3">
      <c r="H9495" s="4"/>
    </row>
    <row r="9496" spans="8:8" x14ac:dyDescent="0.3">
      <c r="H9496" s="4"/>
    </row>
    <row r="9497" spans="8:8" x14ac:dyDescent="0.3">
      <c r="H9497" s="4"/>
    </row>
    <row r="9498" spans="8:8" x14ac:dyDescent="0.3">
      <c r="H9498" s="4"/>
    </row>
    <row r="9499" spans="8:8" x14ac:dyDescent="0.3">
      <c r="H9499" s="4"/>
    </row>
    <row r="9500" spans="8:8" x14ac:dyDescent="0.3">
      <c r="H9500" s="4"/>
    </row>
    <row r="9501" spans="8:8" x14ac:dyDescent="0.3">
      <c r="H9501" s="4"/>
    </row>
    <row r="9502" spans="8:8" x14ac:dyDescent="0.3">
      <c r="H9502" s="4"/>
    </row>
    <row r="9503" spans="8:8" x14ac:dyDescent="0.3">
      <c r="H9503" s="4"/>
    </row>
    <row r="9504" spans="8:8" x14ac:dyDescent="0.3">
      <c r="H9504" s="4"/>
    </row>
    <row r="9505" spans="8:8" x14ac:dyDescent="0.3">
      <c r="H9505" s="4"/>
    </row>
    <row r="9506" spans="8:8" x14ac:dyDescent="0.3">
      <c r="H9506" s="4"/>
    </row>
    <row r="9507" spans="8:8" x14ac:dyDescent="0.3">
      <c r="H9507" s="4"/>
    </row>
    <row r="9508" spans="8:8" x14ac:dyDescent="0.3">
      <c r="H9508" s="4"/>
    </row>
    <row r="9509" spans="8:8" x14ac:dyDescent="0.3">
      <c r="H9509" s="4"/>
    </row>
    <row r="9510" spans="8:8" x14ac:dyDescent="0.3">
      <c r="H9510" s="4"/>
    </row>
    <row r="9511" spans="8:8" x14ac:dyDescent="0.3">
      <c r="H9511" s="4"/>
    </row>
    <row r="9512" spans="8:8" x14ac:dyDescent="0.3">
      <c r="H9512" s="4"/>
    </row>
    <row r="9513" spans="8:8" x14ac:dyDescent="0.3">
      <c r="H9513" s="4"/>
    </row>
    <row r="9514" spans="8:8" x14ac:dyDescent="0.3">
      <c r="H9514" s="4"/>
    </row>
    <row r="9515" spans="8:8" x14ac:dyDescent="0.3">
      <c r="H9515" s="4"/>
    </row>
    <row r="9516" spans="8:8" x14ac:dyDescent="0.3">
      <c r="H9516" s="4"/>
    </row>
    <row r="9517" spans="8:8" x14ac:dyDescent="0.3">
      <c r="H9517" s="4"/>
    </row>
    <row r="9518" spans="8:8" x14ac:dyDescent="0.3">
      <c r="H9518" s="4"/>
    </row>
    <row r="9519" spans="8:8" x14ac:dyDescent="0.3">
      <c r="H9519" s="4"/>
    </row>
    <row r="9520" spans="8:8" x14ac:dyDescent="0.3">
      <c r="H9520" s="4"/>
    </row>
    <row r="9521" spans="8:8" x14ac:dyDescent="0.3">
      <c r="H9521" s="4"/>
    </row>
    <row r="9522" spans="8:8" x14ac:dyDescent="0.3">
      <c r="H9522" s="4"/>
    </row>
    <row r="9523" spans="8:8" x14ac:dyDescent="0.3">
      <c r="H9523" s="4"/>
    </row>
    <row r="9524" spans="8:8" x14ac:dyDescent="0.3">
      <c r="H9524" s="4"/>
    </row>
    <row r="9525" spans="8:8" x14ac:dyDescent="0.3">
      <c r="H9525" s="4"/>
    </row>
    <row r="9526" spans="8:8" x14ac:dyDescent="0.3">
      <c r="H9526" s="4"/>
    </row>
    <row r="9527" spans="8:8" x14ac:dyDescent="0.3">
      <c r="H9527" s="4"/>
    </row>
    <row r="9528" spans="8:8" x14ac:dyDescent="0.3">
      <c r="H9528" s="4"/>
    </row>
    <row r="9529" spans="8:8" x14ac:dyDescent="0.3">
      <c r="H9529" s="4"/>
    </row>
    <row r="9530" spans="8:8" x14ac:dyDescent="0.3">
      <c r="H9530" s="4"/>
    </row>
    <row r="9531" spans="8:8" x14ac:dyDescent="0.3">
      <c r="H9531" s="4"/>
    </row>
    <row r="9532" spans="8:8" x14ac:dyDescent="0.3">
      <c r="H9532" s="4"/>
    </row>
    <row r="9533" spans="8:8" x14ac:dyDescent="0.3">
      <c r="H9533" s="4"/>
    </row>
    <row r="9534" spans="8:8" x14ac:dyDescent="0.3">
      <c r="H9534" s="4"/>
    </row>
    <row r="9535" spans="8:8" x14ac:dyDescent="0.3">
      <c r="H9535" s="4"/>
    </row>
    <row r="9536" spans="8:8" x14ac:dyDescent="0.3">
      <c r="H9536" s="4"/>
    </row>
    <row r="9537" spans="8:8" x14ac:dyDescent="0.3">
      <c r="H9537" s="4"/>
    </row>
    <row r="9538" spans="8:8" x14ac:dyDescent="0.3">
      <c r="H9538" s="4"/>
    </row>
    <row r="9539" spans="8:8" x14ac:dyDescent="0.3">
      <c r="H9539" s="4"/>
    </row>
    <row r="9540" spans="8:8" x14ac:dyDescent="0.3">
      <c r="H9540" s="4"/>
    </row>
    <row r="9541" spans="8:8" x14ac:dyDescent="0.3">
      <c r="H9541" s="4"/>
    </row>
    <row r="9542" spans="8:8" x14ac:dyDescent="0.3">
      <c r="H9542" s="4"/>
    </row>
    <row r="9543" spans="8:8" x14ac:dyDescent="0.3">
      <c r="H9543" s="4"/>
    </row>
    <row r="9544" spans="8:8" x14ac:dyDescent="0.3">
      <c r="H9544" s="4"/>
    </row>
    <row r="9545" spans="8:8" x14ac:dyDescent="0.3">
      <c r="H9545" s="4"/>
    </row>
    <row r="9546" spans="8:8" x14ac:dyDescent="0.3">
      <c r="H9546" s="4"/>
    </row>
    <row r="9547" spans="8:8" x14ac:dyDescent="0.3">
      <c r="H9547" s="4"/>
    </row>
    <row r="9548" spans="8:8" x14ac:dyDescent="0.3">
      <c r="H9548" s="4"/>
    </row>
    <row r="9549" spans="8:8" x14ac:dyDescent="0.3">
      <c r="H9549" s="4"/>
    </row>
    <row r="9550" spans="8:8" x14ac:dyDescent="0.3">
      <c r="H9550" s="4"/>
    </row>
    <row r="9551" spans="8:8" x14ac:dyDescent="0.3">
      <c r="H9551" s="4"/>
    </row>
    <row r="9552" spans="8:8" x14ac:dyDescent="0.3">
      <c r="H9552" s="4"/>
    </row>
    <row r="9553" spans="8:8" x14ac:dyDescent="0.3">
      <c r="H9553" s="4"/>
    </row>
    <row r="9554" spans="8:8" x14ac:dyDescent="0.3">
      <c r="H9554" s="4"/>
    </row>
    <row r="9555" spans="8:8" x14ac:dyDescent="0.3">
      <c r="H9555" s="4"/>
    </row>
    <row r="9556" spans="8:8" x14ac:dyDescent="0.3">
      <c r="H9556" s="4"/>
    </row>
    <row r="9557" spans="8:8" x14ac:dyDescent="0.3">
      <c r="H9557" s="4"/>
    </row>
    <row r="9558" spans="8:8" x14ac:dyDescent="0.3">
      <c r="H9558" s="4"/>
    </row>
    <row r="9559" spans="8:8" x14ac:dyDescent="0.3">
      <c r="H9559" s="4"/>
    </row>
    <row r="9560" spans="8:8" x14ac:dyDescent="0.3">
      <c r="H9560" s="4"/>
    </row>
    <row r="9561" spans="8:8" x14ac:dyDescent="0.3">
      <c r="H9561" s="4"/>
    </row>
    <row r="9562" spans="8:8" x14ac:dyDescent="0.3">
      <c r="H9562" s="4"/>
    </row>
    <row r="9563" spans="8:8" x14ac:dyDescent="0.3">
      <c r="H9563" s="4"/>
    </row>
    <row r="9564" spans="8:8" x14ac:dyDescent="0.3">
      <c r="H9564" s="4"/>
    </row>
    <row r="9565" spans="8:8" x14ac:dyDescent="0.3">
      <c r="H9565" s="4"/>
    </row>
    <row r="9566" spans="8:8" x14ac:dyDescent="0.3">
      <c r="H9566" s="4"/>
    </row>
    <row r="9567" spans="8:8" x14ac:dyDescent="0.3">
      <c r="H9567" s="4"/>
    </row>
    <row r="9568" spans="8:8" x14ac:dyDescent="0.3">
      <c r="H9568" s="4"/>
    </row>
    <row r="9569" spans="8:8" x14ac:dyDescent="0.3">
      <c r="H9569" s="4"/>
    </row>
    <row r="9570" spans="8:8" x14ac:dyDescent="0.3">
      <c r="H9570" s="4"/>
    </row>
    <row r="9571" spans="8:8" x14ac:dyDescent="0.3">
      <c r="H9571" s="4"/>
    </row>
    <row r="9572" spans="8:8" x14ac:dyDescent="0.3">
      <c r="H9572" s="4"/>
    </row>
    <row r="9573" spans="8:8" x14ac:dyDescent="0.3">
      <c r="H9573" s="4"/>
    </row>
    <row r="9574" spans="8:8" x14ac:dyDescent="0.3">
      <c r="H9574" s="4"/>
    </row>
    <row r="9575" spans="8:8" x14ac:dyDescent="0.3">
      <c r="H9575" s="4"/>
    </row>
    <row r="9576" spans="8:8" x14ac:dyDescent="0.3">
      <c r="H9576" s="4"/>
    </row>
    <row r="9577" spans="8:8" x14ac:dyDescent="0.3">
      <c r="H9577" s="4"/>
    </row>
    <row r="9578" spans="8:8" x14ac:dyDescent="0.3">
      <c r="H9578" s="4"/>
    </row>
    <row r="9579" spans="8:8" x14ac:dyDescent="0.3">
      <c r="H9579" s="4"/>
    </row>
    <row r="9580" spans="8:8" x14ac:dyDescent="0.3">
      <c r="H9580" s="4"/>
    </row>
    <row r="9581" spans="8:8" x14ac:dyDescent="0.3">
      <c r="H9581" s="4"/>
    </row>
    <row r="9582" spans="8:8" x14ac:dyDescent="0.3">
      <c r="H9582" s="4"/>
    </row>
    <row r="9583" spans="8:8" x14ac:dyDescent="0.3">
      <c r="H9583" s="4"/>
    </row>
    <row r="9584" spans="8:8" x14ac:dyDescent="0.3">
      <c r="H9584" s="4"/>
    </row>
    <row r="9585" spans="8:8" x14ac:dyDescent="0.3">
      <c r="H9585" s="4"/>
    </row>
    <row r="9586" spans="8:8" x14ac:dyDescent="0.3">
      <c r="H9586" s="4"/>
    </row>
    <row r="9587" spans="8:8" x14ac:dyDescent="0.3">
      <c r="H9587" s="4"/>
    </row>
    <row r="9588" spans="8:8" x14ac:dyDescent="0.3">
      <c r="H9588" s="4"/>
    </row>
    <row r="9589" spans="8:8" x14ac:dyDescent="0.3">
      <c r="H9589" s="4"/>
    </row>
    <row r="9590" spans="8:8" x14ac:dyDescent="0.3">
      <c r="H9590" s="4"/>
    </row>
    <row r="9591" spans="8:8" x14ac:dyDescent="0.3">
      <c r="H9591" s="4"/>
    </row>
    <row r="9592" spans="8:8" x14ac:dyDescent="0.3">
      <c r="H9592" s="4"/>
    </row>
    <row r="9593" spans="8:8" x14ac:dyDescent="0.3">
      <c r="H9593" s="4"/>
    </row>
    <row r="9594" spans="8:8" x14ac:dyDescent="0.3">
      <c r="H9594" s="4"/>
    </row>
    <row r="9595" spans="8:8" x14ac:dyDescent="0.3">
      <c r="H9595" s="4"/>
    </row>
    <row r="9596" spans="8:8" x14ac:dyDescent="0.3">
      <c r="H9596" s="4"/>
    </row>
    <row r="9597" spans="8:8" x14ac:dyDescent="0.3">
      <c r="H9597" s="4"/>
    </row>
    <row r="9598" spans="8:8" x14ac:dyDescent="0.3">
      <c r="H9598" s="4"/>
    </row>
    <row r="9599" spans="8:8" x14ac:dyDescent="0.3">
      <c r="H9599" s="4"/>
    </row>
    <row r="9600" spans="8:8" x14ac:dyDescent="0.3">
      <c r="H9600" s="4"/>
    </row>
    <row r="9601" spans="8:8" x14ac:dyDescent="0.3">
      <c r="H9601" s="4"/>
    </row>
    <row r="9602" spans="8:8" x14ac:dyDescent="0.3">
      <c r="H9602" s="4"/>
    </row>
    <row r="9603" spans="8:8" x14ac:dyDescent="0.3">
      <c r="H9603" s="4"/>
    </row>
    <row r="9604" spans="8:8" x14ac:dyDescent="0.3">
      <c r="H9604" s="4"/>
    </row>
    <row r="9605" spans="8:8" x14ac:dyDescent="0.3">
      <c r="H9605" s="4"/>
    </row>
    <row r="9606" spans="8:8" x14ac:dyDescent="0.3">
      <c r="H9606" s="4"/>
    </row>
    <row r="9607" spans="8:8" x14ac:dyDescent="0.3">
      <c r="H9607" s="4"/>
    </row>
    <row r="9608" spans="8:8" x14ac:dyDescent="0.3">
      <c r="H9608" s="4"/>
    </row>
    <row r="9609" spans="8:8" x14ac:dyDescent="0.3">
      <c r="H9609" s="4"/>
    </row>
    <row r="9610" spans="8:8" x14ac:dyDescent="0.3">
      <c r="H9610" s="4"/>
    </row>
    <row r="9611" spans="8:8" x14ac:dyDescent="0.3">
      <c r="H9611" s="4"/>
    </row>
    <row r="9612" spans="8:8" x14ac:dyDescent="0.3">
      <c r="H9612" s="4"/>
    </row>
    <row r="9613" spans="8:8" x14ac:dyDescent="0.3">
      <c r="H9613" s="4"/>
    </row>
    <row r="9614" spans="8:8" x14ac:dyDescent="0.3">
      <c r="H9614" s="4"/>
    </row>
    <row r="9615" spans="8:8" x14ac:dyDescent="0.3">
      <c r="H9615" s="4"/>
    </row>
    <row r="9616" spans="8:8" x14ac:dyDescent="0.3">
      <c r="H9616" s="4"/>
    </row>
    <row r="9617" spans="8:8" x14ac:dyDescent="0.3">
      <c r="H9617" s="4"/>
    </row>
    <row r="9618" spans="8:8" x14ac:dyDescent="0.3">
      <c r="H9618" s="4"/>
    </row>
    <row r="9619" spans="8:8" x14ac:dyDescent="0.3">
      <c r="H9619" s="4"/>
    </row>
    <row r="9620" spans="8:8" x14ac:dyDescent="0.3">
      <c r="H9620" s="4"/>
    </row>
    <row r="9621" spans="8:8" x14ac:dyDescent="0.3">
      <c r="H9621" s="4"/>
    </row>
    <row r="9622" spans="8:8" x14ac:dyDescent="0.3">
      <c r="H9622" s="4"/>
    </row>
    <row r="9623" spans="8:8" x14ac:dyDescent="0.3">
      <c r="H9623" s="4"/>
    </row>
    <row r="9624" spans="8:8" x14ac:dyDescent="0.3">
      <c r="H9624" s="4"/>
    </row>
    <row r="9625" spans="8:8" x14ac:dyDescent="0.3">
      <c r="H9625" s="4"/>
    </row>
    <row r="9626" spans="8:8" x14ac:dyDescent="0.3">
      <c r="H9626" s="4"/>
    </row>
    <row r="9627" spans="8:8" x14ac:dyDescent="0.3">
      <c r="H9627" s="4"/>
    </row>
    <row r="9628" spans="8:8" x14ac:dyDescent="0.3">
      <c r="H9628" s="4"/>
    </row>
    <row r="9629" spans="8:8" x14ac:dyDescent="0.3">
      <c r="H9629" s="4"/>
    </row>
    <row r="9630" spans="8:8" x14ac:dyDescent="0.3">
      <c r="H9630" s="4"/>
    </row>
    <row r="9631" spans="8:8" x14ac:dyDescent="0.3">
      <c r="H9631" s="4"/>
    </row>
    <row r="9632" spans="8:8" x14ac:dyDescent="0.3">
      <c r="H9632" s="4"/>
    </row>
    <row r="9633" spans="8:8" x14ac:dyDescent="0.3">
      <c r="H9633" s="4"/>
    </row>
    <row r="9634" spans="8:8" x14ac:dyDescent="0.3">
      <c r="H9634" s="4"/>
    </row>
    <row r="9635" spans="8:8" x14ac:dyDescent="0.3">
      <c r="H9635" s="4"/>
    </row>
    <row r="9636" spans="8:8" x14ac:dyDescent="0.3">
      <c r="H9636" s="4"/>
    </row>
    <row r="9637" spans="8:8" x14ac:dyDescent="0.3">
      <c r="H9637" s="4"/>
    </row>
    <row r="9638" spans="8:8" x14ac:dyDescent="0.3">
      <c r="H9638" s="4"/>
    </row>
    <row r="9639" spans="8:8" x14ac:dyDescent="0.3">
      <c r="H9639" s="4"/>
    </row>
    <row r="9640" spans="8:8" x14ac:dyDescent="0.3">
      <c r="H9640" s="4"/>
    </row>
    <row r="9641" spans="8:8" x14ac:dyDescent="0.3">
      <c r="H9641" s="4"/>
    </row>
    <row r="9642" spans="8:8" x14ac:dyDescent="0.3">
      <c r="H9642" s="4"/>
    </row>
    <row r="9643" spans="8:8" x14ac:dyDescent="0.3">
      <c r="H9643" s="4"/>
    </row>
    <row r="9644" spans="8:8" x14ac:dyDescent="0.3">
      <c r="H9644" s="4"/>
    </row>
    <row r="9645" spans="8:8" x14ac:dyDescent="0.3">
      <c r="H9645" s="4"/>
    </row>
    <row r="9646" spans="8:8" x14ac:dyDescent="0.3">
      <c r="H9646" s="4"/>
    </row>
    <row r="9647" spans="8:8" x14ac:dyDescent="0.3">
      <c r="H9647" s="4"/>
    </row>
    <row r="9648" spans="8:8" x14ac:dyDescent="0.3">
      <c r="H9648" s="4"/>
    </row>
    <row r="9649" spans="8:8" x14ac:dyDescent="0.3">
      <c r="H9649" s="4"/>
    </row>
    <row r="9650" spans="8:8" x14ac:dyDescent="0.3">
      <c r="H9650" s="4"/>
    </row>
    <row r="9651" spans="8:8" x14ac:dyDescent="0.3">
      <c r="H9651" s="4"/>
    </row>
    <row r="9652" spans="8:8" x14ac:dyDescent="0.3">
      <c r="H9652" s="4"/>
    </row>
    <row r="9653" spans="8:8" x14ac:dyDescent="0.3">
      <c r="H9653" s="4"/>
    </row>
    <row r="9654" spans="8:8" x14ac:dyDescent="0.3">
      <c r="H9654" s="4"/>
    </row>
    <row r="9655" spans="8:8" x14ac:dyDescent="0.3">
      <c r="H9655" s="4"/>
    </row>
    <row r="9656" spans="8:8" x14ac:dyDescent="0.3">
      <c r="H9656" s="4"/>
    </row>
    <row r="9657" spans="8:8" x14ac:dyDescent="0.3">
      <c r="H9657" s="4"/>
    </row>
    <row r="9658" spans="8:8" x14ac:dyDescent="0.3">
      <c r="H9658" s="4"/>
    </row>
    <row r="9659" spans="8:8" x14ac:dyDescent="0.3">
      <c r="H9659" s="4"/>
    </row>
    <row r="9660" spans="8:8" x14ac:dyDescent="0.3">
      <c r="H9660" s="4"/>
    </row>
    <row r="9661" spans="8:8" x14ac:dyDescent="0.3">
      <c r="H9661" s="4"/>
    </row>
    <row r="9662" spans="8:8" x14ac:dyDescent="0.3">
      <c r="H9662" s="4"/>
    </row>
    <row r="9663" spans="8:8" x14ac:dyDescent="0.3">
      <c r="H9663" s="4"/>
    </row>
    <row r="9664" spans="8:8" x14ac:dyDescent="0.3">
      <c r="H9664" s="4"/>
    </row>
    <row r="9665" spans="8:8" x14ac:dyDescent="0.3">
      <c r="H9665" s="4"/>
    </row>
    <row r="9666" spans="8:8" x14ac:dyDescent="0.3">
      <c r="H9666" s="4"/>
    </row>
    <row r="9667" spans="8:8" x14ac:dyDescent="0.3">
      <c r="H9667" s="4"/>
    </row>
    <row r="9668" spans="8:8" x14ac:dyDescent="0.3">
      <c r="H9668" s="4"/>
    </row>
    <row r="9669" spans="8:8" x14ac:dyDescent="0.3">
      <c r="H9669" s="4"/>
    </row>
    <row r="9670" spans="8:8" x14ac:dyDescent="0.3">
      <c r="H9670" s="4"/>
    </row>
    <row r="9671" spans="8:8" x14ac:dyDescent="0.3">
      <c r="H9671" s="4"/>
    </row>
    <row r="9672" spans="8:8" x14ac:dyDescent="0.3">
      <c r="H9672" s="4"/>
    </row>
    <row r="9673" spans="8:8" x14ac:dyDescent="0.3">
      <c r="H9673" s="4"/>
    </row>
    <row r="9674" spans="8:8" x14ac:dyDescent="0.3">
      <c r="H9674" s="4"/>
    </row>
    <row r="9675" spans="8:8" x14ac:dyDescent="0.3">
      <c r="H9675" s="4"/>
    </row>
    <row r="9676" spans="8:8" x14ac:dyDescent="0.3">
      <c r="H9676" s="4"/>
    </row>
    <row r="9677" spans="8:8" x14ac:dyDescent="0.3">
      <c r="H9677" s="4"/>
    </row>
    <row r="9678" spans="8:8" x14ac:dyDescent="0.3">
      <c r="H9678" s="4"/>
    </row>
    <row r="9679" spans="8:8" x14ac:dyDescent="0.3">
      <c r="H9679" s="4"/>
    </row>
    <row r="9680" spans="8:8" x14ac:dyDescent="0.3">
      <c r="H9680" s="4"/>
    </row>
    <row r="9681" spans="8:8" x14ac:dyDescent="0.3">
      <c r="H9681" s="4"/>
    </row>
    <row r="9682" spans="8:8" x14ac:dyDescent="0.3">
      <c r="H9682" s="4"/>
    </row>
    <row r="9683" spans="8:8" x14ac:dyDescent="0.3">
      <c r="H9683" s="4"/>
    </row>
    <row r="9684" spans="8:8" x14ac:dyDescent="0.3">
      <c r="H9684" s="4"/>
    </row>
    <row r="9685" spans="8:8" x14ac:dyDescent="0.3">
      <c r="H9685" s="4"/>
    </row>
    <row r="9686" spans="8:8" x14ac:dyDescent="0.3">
      <c r="H9686" s="4"/>
    </row>
    <row r="9687" spans="8:8" x14ac:dyDescent="0.3">
      <c r="H9687" s="4"/>
    </row>
    <row r="9688" spans="8:8" x14ac:dyDescent="0.3">
      <c r="H9688" s="4"/>
    </row>
    <row r="9689" spans="8:8" x14ac:dyDescent="0.3">
      <c r="H9689" s="4"/>
    </row>
    <row r="9690" spans="8:8" x14ac:dyDescent="0.3">
      <c r="H9690" s="4"/>
    </row>
    <row r="9691" spans="8:8" x14ac:dyDescent="0.3">
      <c r="H9691" s="4"/>
    </row>
    <row r="9692" spans="8:8" x14ac:dyDescent="0.3">
      <c r="H9692" s="4"/>
    </row>
    <row r="9693" spans="8:8" x14ac:dyDescent="0.3">
      <c r="H9693" s="4"/>
    </row>
    <row r="9694" spans="8:8" x14ac:dyDescent="0.3">
      <c r="H9694" s="4"/>
    </row>
    <row r="9695" spans="8:8" x14ac:dyDescent="0.3">
      <c r="H9695" s="4"/>
    </row>
    <row r="9696" spans="8:8" x14ac:dyDescent="0.3">
      <c r="H9696" s="4"/>
    </row>
    <row r="9697" spans="8:8" x14ac:dyDescent="0.3">
      <c r="H9697" s="4"/>
    </row>
    <row r="9698" spans="8:8" x14ac:dyDescent="0.3">
      <c r="H9698" s="4"/>
    </row>
    <row r="9699" spans="8:8" x14ac:dyDescent="0.3">
      <c r="H9699" s="4"/>
    </row>
    <row r="9700" spans="8:8" x14ac:dyDescent="0.3">
      <c r="H9700" s="4"/>
    </row>
    <row r="9701" spans="8:8" x14ac:dyDescent="0.3">
      <c r="H9701" s="4"/>
    </row>
    <row r="9702" spans="8:8" x14ac:dyDescent="0.3">
      <c r="H9702" s="4"/>
    </row>
    <row r="9703" spans="8:8" x14ac:dyDescent="0.3">
      <c r="H9703" s="4"/>
    </row>
    <row r="9704" spans="8:8" x14ac:dyDescent="0.3">
      <c r="H9704" s="4"/>
    </row>
    <row r="9705" spans="8:8" x14ac:dyDescent="0.3">
      <c r="H9705" s="4"/>
    </row>
    <row r="9706" spans="8:8" x14ac:dyDescent="0.3">
      <c r="H9706" s="4"/>
    </row>
    <row r="9707" spans="8:8" x14ac:dyDescent="0.3">
      <c r="H9707" s="4"/>
    </row>
    <row r="9708" spans="8:8" x14ac:dyDescent="0.3">
      <c r="H9708" s="4"/>
    </row>
    <row r="9709" spans="8:8" x14ac:dyDescent="0.3">
      <c r="H9709" s="4"/>
    </row>
    <row r="9710" spans="8:8" x14ac:dyDescent="0.3">
      <c r="H9710" s="4"/>
    </row>
    <row r="9711" spans="8:8" x14ac:dyDescent="0.3">
      <c r="H9711" s="4"/>
    </row>
    <row r="9712" spans="8:8" x14ac:dyDescent="0.3">
      <c r="H9712" s="4"/>
    </row>
    <row r="9713" spans="8:8" x14ac:dyDescent="0.3">
      <c r="H9713" s="4"/>
    </row>
    <row r="9714" spans="8:8" x14ac:dyDescent="0.3">
      <c r="H9714" s="4"/>
    </row>
    <row r="9715" spans="8:8" x14ac:dyDescent="0.3">
      <c r="H9715" s="4"/>
    </row>
    <row r="9716" spans="8:8" x14ac:dyDescent="0.3">
      <c r="H9716" s="4"/>
    </row>
    <row r="9717" spans="8:8" x14ac:dyDescent="0.3">
      <c r="H9717" s="4"/>
    </row>
    <row r="9718" spans="8:8" x14ac:dyDescent="0.3">
      <c r="H9718" s="4"/>
    </row>
    <row r="9719" spans="8:8" x14ac:dyDescent="0.3">
      <c r="H9719" s="4"/>
    </row>
    <row r="9720" spans="8:8" x14ac:dyDescent="0.3">
      <c r="H9720" s="4"/>
    </row>
    <row r="9721" spans="8:8" x14ac:dyDescent="0.3">
      <c r="H9721" s="4"/>
    </row>
    <row r="9722" spans="8:8" x14ac:dyDescent="0.3">
      <c r="H9722" s="4"/>
    </row>
    <row r="9723" spans="8:8" x14ac:dyDescent="0.3">
      <c r="H9723" s="4"/>
    </row>
    <row r="9724" spans="8:8" x14ac:dyDescent="0.3">
      <c r="H9724" s="4"/>
    </row>
    <row r="9725" spans="8:8" x14ac:dyDescent="0.3">
      <c r="H9725" s="4"/>
    </row>
    <row r="9726" spans="8:8" x14ac:dyDescent="0.3">
      <c r="H9726" s="4"/>
    </row>
    <row r="9727" spans="8:8" x14ac:dyDescent="0.3">
      <c r="H9727" s="4"/>
    </row>
    <row r="9728" spans="8:8" x14ac:dyDescent="0.3">
      <c r="H9728" s="4"/>
    </row>
    <row r="9729" spans="8:8" x14ac:dyDescent="0.3">
      <c r="H9729" s="4"/>
    </row>
    <row r="9730" spans="8:8" x14ac:dyDescent="0.3">
      <c r="H9730" s="4"/>
    </row>
    <row r="9731" spans="8:8" x14ac:dyDescent="0.3">
      <c r="H9731" s="4"/>
    </row>
    <row r="9732" spans="8:8" x14ac:dyDescent="0.3">
      <c r="H9732" s="4"/>
    </row>
    <row r="9733" spans="8:8" x14ac:dyDescent="0.3">
      <c r="H9733" s="4"/>
    </row>
    <row r="9734" spans="8:8" x14ac:dyDescent="0.3">
      <c r="H9734" s="4"/>
    </row>
    <row r="9735" spans="8:8" x14ac:dyDescent="0.3">
      <c r="H9735" s="4"/>
    </row>
    <row r="9736" spans="8:8" x14ac:dyDescent="0.3">
      <c r="H9736" s="4"/>
    </row>
    <row r="9737" spans="8:8" x14ac:dyDescent="0.3">
      <c r="H9737" s="4"/>
    </row>
    <row r="9738" spans="8:8" x14ac:dyDescent="0.3">
      <c r="H9738" s="4"/>
    </row>
    <row r="9739" spans="8:8" x14ac:dyDescent="0.3">
      <c r="H9739" s="4"/>
    </row>
    <row r="9740" spans="8:8" x14ac:dyDescent="0.3">
      <c r="H9740" s="4"/>
    </row>
    <row r="9741" spans="8:8" x14ac:dyDescent="0.3">
      <c r="H9741" s="4"/>
    </row>
    <row r="9742" spans="8:8" x14ac:dyDescent="0.3">
      <c r="H9742" s="4"/>
    </row>
    <row r="9743" spans="8:8" x14ac:dyDescent="0.3">
      <c r="H9743" s="4"/>
    </row>
    <row r="9744" spans="8:8" x14ac:dyDescent="0.3">
      <c r="H9744" s="4"/>
    </row>
    <row r="9745" spans="8:8" x14ac:dyDescent="0.3">
      <c r="H9745" s="4"/>
    </row>
    <row r="9746" spans="8:8" x14ac:dyDescent="0.3">
      <c r="H9746" s="4"/>
    </row>
    <row r="9747" spans="8:8" x14ac:dyDescent="0.3">
      <c r="H9747" s="4"/>
    </row>
    <row r="9748" spans="8:8" x14ac:dyDescent="0.3">
      <c r="H9748" s="4"/>
    </row>
    <row r="9749" spans="8:8" x14ac:dyDescent="0.3">
      <c r="H9749" s="4"/>
    </row>
    <row r="9750" spans="8:8" x14ac:dyDescent="0.3">
      <c r="H9750" s="4"/>
    </row>
    <row r="9751" spans="8:8" x14ac:dyDescent="0.3">
      <c r="H9751" s="4"/>
    </row>
    <row r="9752" spans="8:8" x14ac:dyDescent="0.3">
      <c r="H9752" s="4"/>
    </row>
    <row r="9753" spans="8:8" x14ac:dyDescent="0.3">
      <c r="H9753" s="4"/>
    </row>
    <row r="9754" spans="8:8" x14ac:dyDescent="0.3">
      <c r="H9754" s="4"/>
    </row>
    <row r="9755" spans="8:8" x14ac:dyDescent="0.3">
      <c r="H9755" s="4"/>
    </row>
    <row r="9756" spans="8:8" x14ac:dyDescent="0.3">
      <c r="H9756" s="4"/>
    </row>
    <row r="9757" spans="8:8" x14ac:dyDescent="0.3">
      <c r="H9757" s="4"/>
    </row>
    <row r="9758" spans="8:8" x14ac:dyDescent="0.3">
      <c r="H9758" s="4"/>
    </row>
    <row r="9759" spans="8:8" x14ac:dyDescent="0.3">
      <c r="H9759" s="4"/>
    </row>
    <row r="9760" spans="8:8" x14ac:dyDescent="0.3">
      <c r="H9760" s="4"/>
    </row>
    <row r="9761" spans="8:8" x14ac:dyDescent="0.3">
      <c r="H9761" s="4"/>
    </row>
    <row r="9762" spans="8:8" x14ac:dyDescent="0.3">
      <c r="H9762" s="4"/>
    </row>
    <row r="9763" spans="8:8" x14ac:dyDescent="0.3">
      <c r="H9763" s="4"/>
    </row>
    <row r="9764" spans="8:8" x14ac:dyDescent="0.3">
      <c r="H9764" s="4"/>
    </row>
    <row r="9765" spans="8:8" x14ac:dyDescent="0.3">
      <c r="H9765" s="4"/>
    </row>
    <row r="9766" spans="8:8" x14ac:dyDescent="0.3">
      <c r="H9766" s="4"/>
    </row>
    <row r="9767" spans="8:8" x14ac:dyDescent="0.3">
      <c r="H9767" s="4"/>
    </row>
    <row r="9768" spans="8:8" x14ac:dyDescent="0.3">
      <c r="H9768" s="4"/>
    </row>
    <row r="9769" spans="8:8" x14ac:dyDescent="0.3">
      <c r="H9769" s="4"/>
    </row>
    <row r="9770" spans="8:8" x14ac:dyDescent="0.3">
      <c r="H9770" s="4"/>
    </row>
    <row r="9771" spans="8:8" x14ac:dyDescent="0.3">
      <c r="H9771" s="4"/>
    </row>
    <row r="9772" spans="8:8" x14ac:dyDescent="0.3">
      <c r="H9772" s="4"/>
    </row>
    <row r="9773" spans="8:8" x14ac:dyDescent="0.3">
      <c r="H9773" s="4"/>
    </row>
    <row r="9774" spans="8:8" x14ac:dyDescent="0.3">
      <c r="H9774" s="4"/>
    </row>
    <row r="9775" spans="8:8" x14ac:dyDescent="0.3">
      <c r="H9775" s="4"/>
    </row>
    <row r="9776" spans="8:8" x14ac:dyDescent="0.3">
      <c r="H9776" s="4"/>
    </row>
    <row r="9777" spans="8:8" x14ac:dyDescent="0.3">
      <c r="H9777" s="4"/>
    </row>
    <row r="9778" spans="8:8" x14ac:dyDescent="0.3">
      <c r="H9778" s="4"/>
    </row>
    <row r="9779" spans="8:8" x14ac:dyDescent="0.3">
      <c r="H9779" s="4"/>
    </row>
    <row r="9780" spans="8:8" x14ac:dyDescent="0.3">
      <c r="H9780" s="4"/>
    </row>
    <row r="9781" spans="8:8" x14ac:dyDescent="0.3">
      <c r="H9781" s="4"/>
    </row>
    <row r="9782" spans="8:8" x14ac:dyDescent="0.3">
      <c r="H9782" s="4"/>
    </row>
    <row r="9783" spans="8:8" x14ac:dyDescent="0.3">
      <c r="H9783" s="4"/>
    </row>
    <row r="9784" spans="8:8" x14ac:dyDescent="0.3">
      <c r="H9784" s="4"/>
    </row>
    <row r="9785" spans="8:8" x14ac:dyDescent="0.3">
      <c r="H9785" s="4"/>
    </row>
    <row r="9786" spans="8:8" x14ac:dyDescent="0.3">
      <c r="H9786" s="4"/>
    </row>
    <row r="9787" spans="8:8" x14ac:dyDescent="0.3">
      <c r="H9787" s="4"/>
    </row>
    <row r="9788" spans="8:8" x14ac:dyDescent="0.3">
      <c r="H9788" s="4"/>
    </row>
    <row r="9789" spans="8:8" x14ac:dyDescent="0.3">
      <c r="H9789" s="4"/>
    </row>
    <row r="9790" spans="8:8" x14ac:dyDescent="0.3">
      <c r="H9790" s="4"/>
    </row>
    <row r="9791" spans="8:8" x14ac:dyDescent="0.3">
      <c r="H9791" s="4"/>
    </row>
    <row r="9792" spans="8:8" x14ac:dyDescent="0.3">
      <c r="H9792" s="4"/>
    </row>
    <row r="9793" spans="8:8" x14ac:dyDescent="0.3">
      <c r="H9793" s="4"/>
    </row>
    <row r="9794" spans="8:8" x14ac:dyDescent="0.3">
      <c r="H9794" s="4"/>
    </row>
    <row r="9795" spans="8:8" x14ac:dyDescent="0.3">
      <c r="H9795" s="4"/>
    </row>
    <row r="9796" spans="8:8" x14ac:dyDescent="0.3">
      <c r="H9796" s="4"/>
    </row>
    <row r="9797" spans="8:8" x14ac:dyDescent="0.3">
      <c r="H9797" s="4"/>
    </row>
    <row r="9798" spans="8:8" x14ac:dyDescent="0.3">
      <c r="H9798" s="4"/>
    </row>
    <row r="9799" spans="8:8" x14ac:dyDescent="0.3">
      <c r="H9799" s="4"/>
    </row>
    <row r="9800" spans="8:8" x14ac:dyDescent="0.3">
      <c r="H9800" s="4"/>
    </row>
    <row r="9801" spans="8:8" x14ac:dyDescent="0.3">
      <c r="H9801" s="4"/>
    </row>
    <row r="9802" spans="8:8" x14ac:dyDescent="0.3">
      <c r="H9802" s="4"/>
    </row>
    <row r="9803" spans="8:8" x14ac:dyDescent="0.3">
      <c r="H9803" s="4"/>
    </row>
    <row r="9804" spans="8:8" x14ac:dyDescent="0.3">
      <c r="H9804" s="4"/>
    </row>
    <row r="9805" spans="8:8" x14ac:dyDescent="0.3">
      <c r="H9805" s="4"/>
    </row>
    <row r="9806" spans="8:8" x14ac:dyDescent="0.3">
      <c r="H9806" s="4"/>
    </row>
    <row r="9807" spans="8:8" x14ac:dyDescent="0.3">
      <c r="H9807" s="4"/>
    </row>
    <row r="9808" spans="8:8" x14ac:dyDescent="0.3">
      <c r="H9808" s="4"/>
    </row>
    <row r="9809" spans="8:8" x14ac:dyDescent="0.3">
      <c r="H9809" s="4"/>
    </row>
    <row r="9810" spans="8:8" x14ac:dyDescent="0.3">
      <c r="H9810" s="4"/>
    </row>
    <row r="9811" spans="8:8" x14ac:dyDescent="0.3">
      <c r="H9811" s="4"/>
    </row>
    <row r="9812" spans="8:8" x14ac:dyDescent="0.3">
      <c r="H9812" s="4"/>
    </row>
    <row r="9813" spans="8:8" x14ac:dyDescent="0.3">
      <c r="H9813" s="4"/>
    </row>
    <row r="9814" spans="8:8" x14ac:dyDescent="0.3">
      <c r="H9814" s="4"/>
    </row>
    <row r="9815" spans="8:8" x14ac:dyDescent="0.3">
      <c r="H9815" s="4"/>
    </row>
    <row r="9816" spans="8:8" x14ac:dyDescent="0.3">
      <c r="H9816" s="4"/>
    </row>
    <row r="9817" spans="8:8" x14ac:dyDescent="0.3">
      <c r="H9817" s="4"/>
    </row>
    <row r="9818" spans="8:8" x14ac:dyDescent="0.3">
      <c r="H9818" s="4"/>
    </row>
    <row r="9819" spans="8:8" x14ac:dyDescent="0.3">
      <c r="H9819" s="4"/>
    </row>
    <row r="9820" spans="8:8" x14ac:dyDescent="0.3">
      <c r="H9820" s="4"/>
    </row>
    <row r="9821" spans="8:8" x14ac:dyDescent="0.3">
      <c r="H9821" s="4"/>
    </row>
    <row r="9822" spans="8:8" x14ac:dyDescent="0.3">
      <c r="H9822" s="4"/>
    </row>
    <row r="9823" spans="8:8" x14ac:dyDescent="0.3">
      <c r="H9823" s="4"/>
    </row>
    <row r="9824" spans="8:8" x14ac:dyDescent="0.3">
      <c r="H9824" s="4"/>
    </row>
    <row r="9825" spans="8:8" x14ac:dyDescent="0.3">
      <c r="H9825" s="4"/>
    </row>
    <row r="9826" spans="8:8" x14ac:dyDescent="0.3">
      <c r="H9826" s="4"/>
    </row>
    <row r="9827" spans="8:8" x14ac:dyDescent="0.3">
      <c r="H9827" s="4"/>
    </row>
    <row r="9828" spans="8:8" x14ac:dyDescent="0.3">
      <c r="H9828" s="4"/>
    </row>
    <row r="9829" spans="8:8" x14ac:dyDescent="0.3">
      <c r="H9829" s="4"/>
    </row>
    <row r="9830" spans="8:8" x14ac:dyDescent="0.3">
      <c r="H9830" s="4"/>
    </row>
    <row r="9831" spans="8:8" x14ac:dyDescent="0.3">
      <c r="H9831" s="4"/>
    </row>
    <row r="9832" spans="8:8" x14ac:dyDescent="0.3">
      <c r="H9832" s="4"/>
    </row>
    <row r="9833" spans="8:8" x14ac:dyDescent="0.3">
      <c r="H9833" s="4"/>
    </row>
    <row r="9834" spans="8:8" x14ac:dyDescent="0.3">
      <c r="H9834" s="4"/>
    </row>
    <row r="9835" spans="8:8" x14ac:dyDescent="0.3">
      <c r="H9835" s="4"/>
    </row>
    <row r="9836" spans="8:8" x14ac:dyDescent="0.3">
      <c r="H9836" s="4"/>
    </row>
    <row r="9837" spans="8:8" x14ac:dyDescent="0.3">
      <c r="H9837" s="4"/>
    </row>
    <row r="9838" spans="8:8" x14ac:dyDescent="0.3">
      <c r="H9838" s="4"/>
    </row>
    <row r="9839" spans="8:8" x14ac:dyDescent="0.3">
      <c r="H9839" s="4"/>
    </row>
    <row r="9840" spans="8:8" x14ac:dyDescent="0.3">
      <c r="H9840" s="4"/>
    </row>
    <row r="9841" spans="8:8" x14ac:dyDescent="0.3">
      <c r="H9841" s="4"/>
    </row>
    <row r="9842" spans="8:8" x14ac:dyDescent="0.3">
      <c r="H9842" s="4"/>
    </row>
    <row r="9843" spans="8:8" x14ac:dyDescent="0.3">
      <c r="H9843" s="4"/>
    </row>
    <row r="9844" spans="8:8" x14ac:dyDescent="0.3">
      <c r="H9844" s="4"/>
    </row>
    <row r="9845" spans="8:8" x14ac:dyDescent="0.3">
      <c r="H9845" s="4"/>
    </row>
    <row r="9846" spans="8:8" x14ac:dyDescent="0.3">
      <c r="H9846" s="4"/>
    </row>
    <row r="9847" spans="8:8" x14ac:dyDescent="0.3">
      <c r="H9847" s="4"/>
    </row>
    <row r="9848" spans="8:8" x14ac:dyDescent="0.3">
      <c r="H9848" s="4"/>
    </row>
    <row r="9849" spans="8:8" x14ac:dyDescent="0.3">
      <c r="H9849" s="4"/>
    </row>
    <row r="9850" spans="8:8" x14ac:dyDescent="0.3">
      <c r="H9850" s="4"/>
    </row>
    <row r="9851" spans="8:8" x14ac:dyDescent="0.3">
      <c r="H9851" s="4"/>
    </row>
    <row r="9852" spans="8:8" x14ac:dyDescent="0.3">
      <c r="H9852" s="4"/>
    </row>
    <row r="9853" spans="8:8" x14ac:dyDescent="0.3">
      <c r="H9853" s="4"/>
    </row>
    <row r="9854" spans="8:8" x14ac:dyDescent="0.3">
      <c r="H9854" s="4"/>
    </row>
    <row r="9855" spans="8:8" x14ac:dyDescent="0.3">
      <c r="H9855" s="4"/>
    </row>
    <row r="9856" spans="8:8" x14ac:dyDescent="0.3">
      <c r="H9856" s="4"/>
    </row>
    <row r="9857" spans="8:8" x14ac:dyDescent="0.3">
      <c r="H9857" s="4"/>
    </row>
    <row r="9858" spans="8:8" x14ac:dyDescent="0.3">
      <c r="H9858" s="4"/>
    </row>
    <row r="9859" spans="8:8" x14ac:dyDescent="0.3">
      <c r="H9859" s="4"/>
    </row>
    <row r="9860" spans="8:8" x14ac:dyDescent="0.3">
      <c r="H9860" s="4"/>
    </row>
    <row r="9861" spans="8:8" x14ac:dyDescent="0.3">
      <c r="H9861" s="4"/>
    </row>
    <row r="9862" spans="8:8" x14ac:dyDescent="0.3">
      <c r="H9862" s="4"/>
    </row>
    <row r="9863" spans="8:8" x14ac:dyDescent="0.3">
      <c r="H9863" s="4"/>
    </row>
    <row r="9864" spans="8:8" x14ac:dyDescent="0.3">
      <c r="H9864" s="4"/>
    </row>
    <row r="9865" spans="8:8" x14ac:dyDescent="0.3">
      <c r="H9865" s="4"/>
    </row>
    <row r="9866" spans="8:8" x14ac:dyDescent="0.3">
      <c r="H9866" s="4"/>
    </row>
    <row r="9867" spans="8:8" x14ac:dyDescent="0.3">
      <c r="H9867" s="4"/>
    </row>
    <row r="9868" spans="8:8" x14ac:dyDescent="0.3">
      <c r="H9868" s="4"/>
    </row>
    <row r="9869" spans="8:8" x14ac:dyDescent="0.3">
      <c r="H9869" s="4"/>
    </row>
    <row r="9870" spans="8:8" x14ac:dyDescent="0.3">
      <c r="H9870" s="4"/>
    </row>
    <row r="9871" spans="8:8" x14ac:dyDescent="0.3">
      <c r="H9871" s="4"/>
    </row>
    <row r="9872" spans="8:8" x14ac:dyDescent="0.3">
      <c r="H9872" s="4"/>
    </row>
    <row r="9873" spans="8:8" x14ac:dyDescent="0.3">
      <c r="H9873" s="4"/>
    </row>
    <row r="9874" spans="8:8" x14ac:dyDescent="0.3">
      <c r="H9874" s="4"/>
    </row>
    <row r="9875" spans="8:8" x14ac:dyDescent="0.3">
      <c r="H9875" s="4"/>
    </row>
    <row r="9876" spans="8:8" x14ac:dyDescent="0.3">
      <c r="H9876" s="4"/>
    </row>
    <row r="9877" spans="8:8" x14ac:dyDescent="0.3">
      <c r="H9877" s="4"/>
    </row>
    <row r="9878" spans="8:8" x14ac:dyDescent="0.3">
      <c r="H9878" s="4"/>
    </row>
    <row r="9879" spans="8:8" x14ac:dyDescent="0.3">
      <c r="H9879" s="4"/>
    </row>
    <row r="9880" spans="8:8" x14ac:dyDescent="0.3">
      <c r="H9880" s="4"/>
    </row>
    <row r="9881" spans="8:8" x14ac:dyDescent="0.3">
      <c r="H9881" s="4"/>
    </row>
    <row r="9882" spans="8:8" x14ac:dyDescent="0.3">
      <c r="H9882" s="4"/>
    </row>
    <row r="9883" spans="8:8" x14ac:dyDescent="0.3">
      <c r="H9883" s="4"/>
    </row>
    <row r="9884" spans="8:8" x14ac:dyDescent="0.3">
      <c r="H9884" s="4"/>
    </row>
    <row r="9885" spans="8:8" x14ac:dyDescent="0.3">
      <c r="H9885" s="4"/>
    </row>
    <row r="9886" spans="8:8" x14ac:dyDescent="0.3">
      <c r="H9886" s="4"/>
    </row>
    <row r="9887" spans="8:8" x14ac:dyDescent="0.3">
      <c r="H9887" s="4"/>
    </row>
    <row r="9888" spans="8:8" x14ac:dyDescent="0.3">
      <c r="H9888" s="4"/>
    </row>
    <row r="9889" spans="8:8" x14ac:dyDescent="0.3">
      <c r="H9889" s="4"/>
    </row>
    <row r="9890" spans="8:8" x14ac:dyDescent="0.3">
      <c r="H9890" s="4"/>
    </row>
    <row r="9891" spans="8:8" x14ac:dyDescent="0.3">
      <c r="H9891" s="4"/>
    </row>
    <row r="9892" spans="8:8" x14ac:dyDescent="0.3">
      <c r="H9892" s="4"/>
    </row>
    <row r="9893" spans="8:8" x14ac:dyDescent="0.3">
      <c r="H9893" s="4"/>
    </row>
    <row r="9894" spans="8:8" x14ac:dyDescent="0.3">
      <c r="H9894" s="4"/>
    </row>
    <row r="9895" spans="8:8" x14ac:dyDescent="0.3">
      <c r="H9895" s="4"/>
    </row>
    <row r="9896" spans="8:8" x14ac:dyDescent="0.3">
      <c r="H9896" s="4"/>
    </row>
    <row r="9897" spans="8:8" x14ac:dyDescent="0.3">
      <c r="H9897" s="4"/>
    </row>
    <row r="9898" spans="8:8" x14ac:dyDescent="0.3">
      <c r="H9898" s="4"/>
    </row>
    <row r="9899" spans="8:8" x14ac:dyDescent="0.3">
      <c r="H9899" s="4"/>
    </row>
    <row r="9900" spans="8:8" x14ac:dyDescent="0.3">
      <c r="H9900" s="4"/>
    </row>
    <row r="9901" spans="8:8" x14ac:dyDescent="0.3">
      <c r="H9901" s="4"/>
    </row>
    <row r="9902" spans="8:8" x14ac:dyDescent="0.3">
      <c r="H9902" s="4"/>
    </row>
    <row r="9903" spans="8:8" x14ac:dyDescent="0.3">
      <c r="H9903" s="4"/>
    </row>
    <row r="9904" spans="8:8" x14ac:dyDescent="0.3">
      <c r="H9904" s="4"/>
    </row>
    <row r="9905" spans="8:8" x14ac:dyDescent="0.3">
      <c r="H9905" s="4"/>
    </row>
    <row r="9906" spans="8:8" x14ac:dyDescent="0.3">
      <c r="H9906" s="4"/>
    </row>
    <row r="9907" spans="8:8" x14ac:dyDescent="0.3">
      <c r="H9907" s="4"/>
    </row>
    <row r="9908" spans="8:8" x14ac:dyDescent="0.3">
      <c r="H9908" s="4"/>
    </row>
    <row r="9909" spans="8:8" x14ac:dyDescent="0.3">
      <c r="H9909" s="4"/>
    </row>
    <row r="9910" spans="8:8" x14ac:dyDescent="0.3">
      <c r="H9910" s="4"/>
    </row>
    <row r="9911" spans="8:8" x14ac:dyDescent="0.3">
      <c r="H9911" s="4"/>
    </row>
    <row r="9912" spans="8:8" x14ac:dyDescent="0.3">
      <c r="H9912" s="4"/>
    </row>
    <row r="9913" spans="8:8" x14ac:dyDescent="0.3">
      <c r="H9913" s="4"/>
    </row>
    <row r="9914" spans="8:8" x14ac:dyDescent="0.3">
      <c r="H9914" s="4"/>
    </row>
    <row r="9915" spans="8:8" x14ac:dyDescent="0.3">
      <c r="H9915" s="4"/>
    </row>
    <row r="9916" spans="8:8" x14ac:dyDescent="0.3">
      <c r="H9916" s="4"/>
    </row>
    <row r="9917" spans="8:8" x14ac:dyDescent="0.3">
      <c r="H9917" s="4"/>
    </row>
    <row r="9918" spans="8:8" x14ac:dyDescent="0.3">
      <c r="H9918" s="4"/>
    </row>
    <row r="9919" spans="8:8" x14ac:dyDescent="0.3">
      <c r="H9919" s="4"/>
    </row>
    <row r="9920" spans="8:8" x14ac:dyDescent="0.3">
      <c r="H9920" s="4"/>
    </row>
    <row r="9921" spans="8:8" x14ac:dyDescent="0.3">
      <c r="H9921" s="4"/>
    </row>
    <row r="9922" spans="8:8" x14ac:dyDescent="0.3">
      <c r="H9922" s="4"/>
    </row>
    <row r="9923" spans="8:8" x14ac:dyDescent="0.3">
      <c r="H9923" s="4"/>
    </row>
    <row r="9924" spans="8:8" x14ac:dyDescent="0.3">
      <c r="H9924" s="4"/>
    </row>
    <row r="9925" spans="8:8" x14ac:dyDescent="0.3">
      <c r="H9925" s="4"/>
    </row>
    <row r="9926" spans="8:8" x14ac:dyDescent="0.3">
      <c r="H9926" s="4"/>
    </row>
    <row r="9927" spans="8:8" x14ac:dyDescent="0.3">
      <c r="H9927" s="4"/>
    </row>
    <row r="9928" spans="8:8" x14ac:dyDescent="0.3">
      <c r="H9928" s="4"/>
    </row>
    <row r="9929" spans="8:8" x14ac:dyDescent="0.3">
      <c r="H9929" s="4"/>
    </row>
    <row r="9930" spans="8:8" x14ac:dyDescent="0.3">
      <c r="H9930" s="4"/>
    </row>
    <row r="9931" spans="8:8" x14ac:dyDescent="0.3">
      <c r="H9931" s="4"/>
    </row>
    <row r="9932" spans="8:8" x14ac:dyDescent="0.3">
      <c r="H9932" s="4"/>
    </row>
    <row r="9933" spans="8:8" x14ac:dyDescent="0.3">
      <c r="H9933" s="4"/>
    </row>
    <row r="9934" spans="8:8" x14ac:dyDescent="0.3">
      <c r="H9934" s="4"/>
    </row>
    <row r="9935" spans="8:8" x14ac:dyDescent="0.3">
      <c r="H9935" s="4"/>
    </row>
    <row r="9936" spans="8:8" x14ac:dyDescent="0.3">
      <c r="H9936" s="4"/>
    </row>
    <row r="9937" spans="8:8" x14ac:dyDescent="0.3">
      <c r="H9937" s="4"/>
    </row>
    <row r="9938" spans="8:8" x14ac:dyDescent="0.3">
      <c r="H9938" s="4"/>
    </row>
    <row r="9939" spans="8:8" x14ac:dyDescent="0.3">
      <c r="H9939" s="4"/>
    </row>
    <row r="9940" spans="8:8" x14ac:dyDescent="0.3">
      <c r="H9940" s="4"/>
    </row>
    <row r="9941" spans="8:8" x14ac:dyDescent="0.3">
      <c r="H9941" s="4"/>
    </row>
    <row r="9942" spans="8:8" x14ac:dyDescent="0.3">
      <c r="H9942" s="4"/>
    </row>
    <row r="9943" spans="8:8" x14ac:dyDescent="0.3">
      <c r="H9943" s="4"/>
    </row>
    <row r="9944" spans="8:8" x14ac:dyDescent="0.3">
      <c r="H9944" s="4"/>
    </row>
    <row r="9945" spans="8:8" x14ac:dyDescent="0.3">
      <c r="H9945" s="4"/>
    </row>
    <row r="9946" spans="8:8" x14ac:dyDescent="0.3">
      <c r="H9946" s="4"/>
    </row>
    <row r="9947" spans="8:8" x14ac:dyDescent="0.3">
      <c r="H9947" s="4"/>
    </row>
    <row r="9948" spans="8:8" x14ac:dyDescent="0.3">
      <c r="H9948" s="4"/>
    </row>
    <row r="9949" spans="8:8" x14ac:dyDescent="0.3">
      <c r="H9949" s="4"/>
    </row>
    <row r="9950" spans="8:8" x14ac:dyDescent="0.3">
      <c r="H9950" s="4"/>
    </row>
    <row r="9951" spans="8:8" x14ac:dyDescent="0.3">
      <c r="H9951" s="4"/>
    </row>
    <row r="9952" spans="8:8" x14ac:dyDescent="0.3">
      <c r="H9952" s="4"/>
    </row>
  </sheetData>
  <phoneticPr fontId="27" type="noConversion"/>
  <conditionalFormatting sqref="X1:X1048576">
    <cfRule type="containsText" dxfId="2" priority="2" operator="containsText" text="LEVE">
      <formula>NOT(ISERROR(SEARCH("LEVE",X1)))</formula>
    </cfRule>
    <cfRule type="containsText" dxfId="1" priority="3" operator="containsText" text="MEDIO">
      <formula>NOT(ISERROR(SEARCH("MEDIO",X1)))</formula>
    </cfRule>
    <cfRule type="containsText" dxfId="0" priority="4" operator="containsText" text="GRAVE">
      <formula>NOT(ISERROR(SEARCH("GRAVE",X1)))</formula>
    </cfRule>
    <cfRule type="colorScale" priority="5">
      <colorScale>
        <cfvo type="min"/>
        <cfvo type="percentile" val="50"/>
        <cfvo type="max"/>
        <color rgb="FFF8696B"/>
        <color rgb="FFFFEB84"/>
        <color rgb="FF63BE7B"/>
      </colorScale>
    </cfRule>
  </conditionalFormatting>
  <conditionalFormatting sqref="CK3:CK52">
    <cfRule type="dataBar" priority="1">
      <dataBar>
        <cfvo type="min"/>
        <cfvo type="max"/>
        <color rgb="FF008AEF"/>
      </dataBar>
      <extLst>
        <ext xmlns:x14="http://schemas.microsoft.com/office/spreadsheetml/2009/9/main" uri="{B025F937-C7B1-47D3-B67F-A62EFF666E3E}">
          <x14:id>{61291646-2634-4C5A-B87D-632DA5B2FF6D}</x14:id>
        </ext>
      </extLst>
    </cfRule>
  </conditionalFormatting>
  <dataValidations count="1">
    <dataValidation type="textLength" errorStyle="warning" operator="equal" allowBlank="1" showInputMessage="1" showErrorMessage="1" errorTitle="Dato invalido" error="Verificar trigramas de países aprobados por OTAN en https://es.wikipedia.org/wiki/Anexo:C%C3%B3digos_de_la_OTAN_para_los_pa%C3%ADses" promptTitle="CODIGO OTAN" prompt="Solamente colocar codigo OTAN de tres letras para el país." sqref="AC3:AC268" xr:uid="{F02DA40B-AF54-4838-9F46-20EEF16291FF}">
      <formula1>3</formula1>
    </dataValidation>
  </dataValidations>
  <pageMargins left="0.7" right="0.7" top="0.75" bottom="0.75" header="0.3" footer="0.3"/>
  <pageSetup paperSize="9" orientation="portrait" horizontalDpi="300" verticalDpi="300" r:id="rId1"/>
  <ignoredErrors>
    <ignoredError sqref="V30:V105 V107:V349 V351:V385 V387:V452 V454:V651 V653:V753 V755:V852 V854:V1188 V1190:V1226 V1228:V1292 V1358:V1378 V1380:V1444 V1446:V1570 V1572:V1620 V1622:V1631 V1633:V3536 V3538:V3735 V1293:V1356" calculatedColumn="1"/>
  </ignoredErrors>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dataBar" id="{61291646-2634-4C5A-B87D-632DA5B2FF6D}">
            <x14:dataBar minLength="0" maxLength="100" gradient="0">
              <x14:cfvo type="autoMin"/>
              <x14:cfvo type="autoMax"/>
              <x14:negativeFillColor rgb="FFFF0000"/>
              <x14:axisColor rgb="FF000000"/>
            </x14:dataBar>
          </x14:cfRule>
          <xm:sqref>CK3:CK52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D50A3-391D-4F6B-8DE9-935F7D1B28A7}">
  <dimension ref="B2:AF60"/>
  <sheetViews>
    <sheetView showGridLines="0" workbookViewId="0"/>
  </sheetViews>
  <sheetFormatPr baseColWidth="10" defaultRowHeight="14.4" x14ac:dyDescent="0.3"/>
  <cols>
    <col min="2" max="2" width="17.44140625" bestFit="1" customWidth="1"/>
    <col min="3" max="3" width="5" bestFit="1" customWidth="1"/>
    <col min="4" max="4" width="29.77734375" bestFit="1" customWidth="1"/>
    <col min="5" max="5" width="16.77734375" bestFit="1" customWidth="1"/>
    <col min="6" max="6" width="5" bestFit="1" customWidth="1"/>
    <col min="7" max="7" width="11.88671875" bestFit="1" customWidth="1"/>
    <col min="8" max="8" width="17.44140625" bestFit="1" customWidth="1"/>
    <col min="9" max="9" width="12.44140625" bestFit="1" customWidth="1"/>
    <col min="10" max="10" width="11.88671875" bestFit="1" customWidth="1"/>
    <col min="11" max="11" width="7.33203125" bestFit="1" customWidth="1"/>
    <col min="12" max="12" width="8" bestFit="1" customWidth="1"/>
    <col min="13" max="14" width="5" bestFit="1" customWidth="1"/>
    <col min="15" max="15" width="25" bestFit="1" customWidth="1"/>
    <col min="16" max="16" width="21.44140625" bestFit="1" customWidth="1"/>
    <col min="17" max="17" width="11.88671875" bestFit="1" customWidth="1"/>
    <col min="18" max="18" width="6.88671875" bestFit="1" customWidth="1"/>
    <col min="19" max="20" width="11.88671875" bestFit="1" customWidth="1"/>
    <col min="21" max="21" width="5" bestFit="1" customWidth="1"/>
    <col min="22" max="22" width="16.21875" bestFit="1" customWidth="1"/>
    <col min="23" max="24" width="5" bestFit="1" customWidth="1"/>
    <col min="25" max="25" width="15.109375" bestFit="1" customWidth="1"/>
    <col min="26" max="27" width="5" bestFit="1" customWidth="1"/>
    <col min="28" max="28" width="16.21875" bestFit="1" customWidth="1"/>
    <col min="29" max="30" width="5" bestFit="1" customWidth="1"/>
    <col min="31" max="31" width="16.5546875" bestFit="1" customWidth="1"/>
    <col min="32" max="32" width="24.44140625" bestFit="1" customWidth="1"/>
    <col min="33" max="186" width="5" bestFit="1" customWidth="1"/>
    <col min="187" max="187" width="11.88671875" bestFit="1" customWidth="1"/>
  </cols>
  <sheetData>
    <row r="2" spans="2:32" x14ac:dyDescent="0.3">
      <c r="B2" t="s">
        <v>28970</v>
      </c>
      <c r="J2" s="48" t="s">
        <v>28974</v>
      </c>
      <c r="K2" t="s">
        <v>28988</v>
      </c>
      <c r="L2" t="s">
        <v>28989</v>
      </c>
      <c r="O2" s="48" t="s">
        <v>28978</v>
      </c>
      <c r="P2" s="48" t="s">
        <v>28979</v>
      </c>
    </row>
    <row r="3" spans="2:32" x14ac:dyDescent="0.3">
      <c r="B3" s="67">
        <v>459</v>
      </c>
      <c r="J3" s="7" t="s">
        <v>28985</v>
      </c>
      <c r="K3" s="67">
        <v>14806</v>
      </c>
      <c r="L3" s="67">
        <v>14364</v>
      </c>
      <c r="O3" s="48" t="s">
        <v>28975</v>
      </c>
      <c r="P3" t="s">
        <v>28991</v>
      </c>
      <c r="Q3" t="s">
        <v>28967</v>
      </c>
    </row>
    <row r="4" spans="2:32" x14ac:dyDescent="0.3">
      <c r="B4">
        <f>GETPIVOTDATA("Fatalities",$B$2)</f>
        <v>459</v>
      </c>
      <c r="D4" s="48" t="s">
        <v>28971</v>
      </c>
      <c r="E4" t="s">
        <v>28973</v>
      </c>
      <c r="G4" s="48" t="s">
        <v>28975</v>
      </c>
      <c r="H4" t="s">
        <v>28970</v>
      </c>
      <c r="J4" s="53">
        <v>1990</v>
      </c>
      <c r="K4" s="67">
        <v>722</v>
      </c>
      <c r="L4" s="67">
        <v>704</v>
      </c>
      <c r="O4" s="7" t="s">
        <v>28985</v>
      </c>
      <c r="P4" s="67">
        <v>459</v>
      </c>
      <c r="Q4" s="67">
        <v>459</v>
      </c>
      <c r="V4" t="s">
        <v>28969</v>
      </c>
      <c r="Y4" t="s">
        <v>28981</v>
      </c>
      <c r="AB4" t="s">
        <v>28982</v>
      </c>
      <c r="AE4" s="48" t="s">
        <v>28968</v>
      </c>
      <c r="AF4" t="s">
        <v>28972</v>
      </c>
    </row>
    <row r="5" spans="2:32" x14ac:dyDescent="0.3">
      <c r="D5" s="7" t="s">
        <v>22401</v>
      </c>
      <c r="E5" s="50">
        <v>0.36210680321872712</v>
      </c>
      <c r="G5" s="7" t="s">
        <v>28985</v>
      </c>
      <c r="H5" s="67">
        <v>459</v>
      </c>
      <c r="J5" s="53">
        <v>1991</v>
      </c>
      <c r="K5" s="67">
        <v>1600</v>
      </c>
      <c r="L5" s="67">
        <v>1585</v>
      </c>
      <c r="O5" s="53" t="s">
        <v>28893</v>
      </c>
      <c r="P5" s="67">
        <v>42</v>
      </c>
      <c r="Q5" s="67">
        <v>42</v>
      </c>
      <c r="V5" s="67">
        <v>14364</v>
      </c>
      <c r="Y5" s="67">
        <v>14806</v>
      </c>
      <c r="AB5" s="67">
        <v>442</v>
      </c>
      <c r="AE5" s="7" t="s">
        <v>28983</v>
      </c>
      <c r="AF5" s="54">
        <v>29284326568</v>
      </c>
    </row>
    <row r="6" spans="2:32" x14ac:dyDescent="0.3">
      <c r="D6" s="7" t="s">
        <v>17162</v>
      </c>
      <c r="E6" s="50">
        <v>0.36064374542794442</v>
      </c>
      <c r="G6" s="53">
        <v>1990</v>
      </c>
      <c r="H6" s="67">
        <v>42</v>
      </c>
      <c r="J6" s="53">
        <v>1992</v>
      </c>
      <c r="K6" s="67">
        <v>1909</v>
      </c>
      <c r="L6" s="67">
        <v>1855</v>
      </c>
      <c r="O6" s="53" t="s">
        <v>28894</v>
      </c>
      <c r="P6" s="67">
        <v>53</v>
      </c>
      <c r="Q6" s="67">
        <v>53</v>
      </c>
      <c r="V6">
        <f>GETPIVOTDATA("Fatalities",$V$4)</f>
        <v>14364</v>
      </c>
      <c r="Y6">
        <f>GETPIVOTDATA("Aboard",$Y$4)</f>
        <v>14806</v>
      </c>
      <c r="AB6">
        <f>GETPIVOTDATA("Survived",$AB$4)</f>
        <v>442</v>
      </c>
      <c r="AE6" s="53">
        <v>1970</v>
      </c>
      <c r="AF6" s="54">
        <v>1860135152</v>
      </c>
    </row>
    <row r="7" spans="2:32" x14ac:dyDescent="0.3">
      <c r="D7" s="7" t="s">
        <v>15468</v>
      </c>
      <c r="E7" s="50">
        <v>0.27724945135332846</v>
      </c>
      <c r="G7" s="53">
        <v>1991</v>
      </c>
      <c r="H7" s="67">
        <v>53</v>
      </c>
      <c r="J7" s="53">
        <v>1993</v>
      </c>
      <c r="K7" s="67">
        <v>1329</v>
      </c>
      <c r="L7" s="67">
        <v>1275</v>
      </c>
      <c r="O7" s="53" t="s">
        <v>28895</v>
      </c>
      <c r="P7" s="67">
        <v>52</v>
      </c>
      <c r="Q7" s="67">
        <v>52</v>
      </c>
      <c r="AE7" s="53">
        <v>1971</v>
      </c>
      <c r="AF7" s="54">
        <v>1990396724</v>
      </c>
    </row>
    <row r="8" spans="2:32" x14ac:dyDescent="0.3">
      <c r="G8" s="53">
        <v>1992</v>
      </c>
      <c r="H8" s="67">
        <v>52</v>
      </c>
      <c r="J8" s="53">
        <v>1994</v>
      </c>
      <c r="K8" s="67">
        <v>1759</v>
      </c>
      <c r="L8" s="67">
        <v>1691</v>
      </c>
      <c r="O8" s="53" t="s">
        <v>28896</v>
      </c>
      <c r="P8" s="67">
        <v>39</v>
      </c>
      <c r="Q8" s="67">
        <v>39</v>
      </c>
      <c r="AE8" s="53">
        <v>1972</v>
      </c>
      <c r="AF8" s="54">
        <v>1828621140</v>
      </c>
    </row>
    <row r="9" spans="2:32" x14ac:dyDescent="0.3">
      <c r="G9" s="53">
        <v>1993</v>
      </c>
      <c r="H9" s="67">
        <v>39</v>
      </c>
      <c r="J9" s="53">
        <v>1995</v>
      </c>
      <c r="K9" s="67">
        <v>1440</v>
      </c>
      <c r="L9" s="67">
        <v>1392</v>
      </c>
      <c r="O9" s="53" t="s">
        <v>28897</v>
      </c>
      <c r="P9" s="67">
        <v>53</v>
      </c>
      <c r="Q9" s="67">
        <v>53</v>
      </c>
      <c r="Y9" t="s">
        <v>28990</v>
      </c>
      <c r="AE9" s="53">
        <v>1973</v>
      </c>
      <c r="AF9" s="54">
        <v>2401477400</v>
      </c>
    </row>
    <row r="10" spans="2:32" x14ac:dyDescent="0.3">
      <c r="G10" s="53">
        <v>1994</v>
      </c>
      <c r="H10" s="67">
        <v>53</v>
      </c>
      <c r="J10" s="53">
        <v>1996</v>
      </c>
      <c r="K10" s="67">
        <v>2316</v>
      </c>
      <c r="L10" s="67">
        <v>2250</v>
      </c>
      <c r="O10" s="53" t="s">
        <v>28898</v>
      </c>
      <c r="P10" s="67">
        <v>44</v>
      </c>
      <c r="Q10" s="67">
        <v>44</v>
      </c>
      <c r="Y10" s="67">
        <v>231</v>
      </c>
      <c r="AE10" s="53">
        <v>1974</v>
      </c>
      <c r="AF10" s="54">
        <v>2873660900</v>
      </c>
    </row>
    <row r="11" spans="2:32" x14ac:dyDescent="0.3">
      <c r="G11" s="53">
        <v>1995</v>
      </c>
      <c r="H11" s="67">
        <v>44</v>
      </c>
      <c r="J11" s="53">
        <v>1997</v>
      </c>
      <c r="K11" s="67">
        <v>1514</v>
      </c>
      <c r="L11" s="67">
        <v>1482</v>
      </c>
      <c r="O11" s="53" t="s">
        <v>28899</v>
      </c>
      <c r="P11" s="67">
        <v>53</v>
      </c>
      <c r="Q11" s="67">
        <v>53</v>
      </c>
      <c r="Y11">
        <f>GETPIVOTDATA("Ground",$Y$9)</f>
        <v>231</v>
      </c>
      <c r="AE11" s="53">
        <v>1975</v>
      </c>
      <c r="AF11" s="54">
        <v>2988561500</v>
      </c>
    </row>
    <row r="12" spans="2:32" x14ac:dyDescent="0.3">
      <c r="D12" s="56"/>
      <c r="E12" s="56"/>
      <c r="G12" s="53">
        <v>1996</v>
      </c>
      <c r="H12" s="67">
        <v>53</v>
      </c>
      <c r="J12" s="53">
        <v>1998</v>
      </c>
      <c r="K12" s="67">
        <v>1491</v>
      </c>
      <c r="L12" s="67">
        <v>1407</v>
      </c>
      <c r="O12" s="53" t="s">
        <v>28900</v>
      </c>
      <c r="P12" s="67">
        <v>37</v>
      </c>
      <c r="Q12" s="67">
        <v>37</v>
      </c>
      <c r="AE12" s="53">
        <v>1976</v>
      </c>
      <c r="AF12" s="54">
        <v>3278948076</v>
      </c>
    </row>
    <row r="13" spans="2:32" x14ac:dyDescent="0.3">
      <c r="G13" s="53">
        <v>1997</v>
      </c>
      <c r="H13" s="67">
        <v>37</v>
      </c>
      <c r="J13" s="53">
        <v>1999</v>
      </c>
      <c r="K13" s="67">
        <v>726</v>
      </c>
      <c r="L13" s="67">
        <v>723</v>
      </c>
      <c r="O13" s="53" t="s">
        <v>28901</v>
      </c>
      <c r="P13" s="67">
        <v>42</v>
      </c>
      <c r="Q13" s="67">
        <v>42</v>
      </c>
      <c r="AE13" s="53">
        <v>1977</v>
      </c>
      <c r="AF13" s="54">
        <v>3568005252</v>
      </c>
    </row>
    <row r="14" spans="2:32" x14ac:dyDescent="0.3">
      <c r="D14" s="7"/>
      <c r="G14" s="53">
        <v>1998</v>
      </c>
      <c r="H14" s="67">
        <v>42</v>
      </c>
      <c r="J14" s="7" t="s">
        <v>28967</v>
      </c>
      <c r="K14" s="67">
        <v>14806</v>
      </c>
      <c r="L14" s="67">
        <v>14364</v>
      </c>
      <c r="O14" s="53" t="s">
        <v>28902</v>
      </c>
      <c r="P14" s="67">
        <v>44</v>
      </c>
      <c r="Q14" s="67">
        <v>44</v>
      </c>
      <c r="AE14" s="53">
        <v>1978</v>
      </c>
      <c r="AF14" s="54">
        <v>3996355024</v>
      </c>
    </row>
    <row r="15" spans="2:32" x14ac:dyDescent="0.3">
      <c r="D15" s="7"/>
      <c r="G15" s="53">
        <v>1999</v>
      </c>
      <c r="H15" s="67">
        <v>44</v>
      </c>
      <c r="O15" s="7" t="s">
        <v>28967</v>
      </c>
      <c r="P15" s="67">
        <v>459</v>
      </c>
      <c r="Q15" s="67">
        <v>459</v>
      </c>
      <c r="AE15" s="53">
        <v>1979</v>
      </c>
      <c r="AF15" s="54">
        <v>4498165400</v>
      </c>
    </row>
    <row r="16" spans="2:32" x14ac:dyDescent="0.3">
      <c r="D16" s="7"/>
      <c r="G16" s="7" t="s">
        <v>28967</v>
      </c>
      <c r="H16" s="67">
        <v>459</v>
      </c>
      <c r="AE16" s="7" t="s">
        <v>28984</v>
      </c>
      <c r="AF16" s="54">
        <v>54960848276</v>
      </c>
    </row>
    <row r="17" spans="4:32" x14ac:dyDescent="0.3">
      <c r="D17" s="7"/>
      <c r="AE17" s="53">
        <v>1980</v>
      </c>
      <c r="AF17" s="54">
        <v>4503699128</v>
      </c>
    </row>
    <row r="18" spans="4:32" x14ac:dyDescent="0.3">
      <c r="D18" s="7"/>
      <c r="AE18" s="53">
        <v>1981</v>
      </c>
      <c r="AF18" s="54">
        <v>4535460800</v>
      </c>
    </row>
    <row r="19" spans="4:32" x14ac:dyDescent="0.3">
      <c r="AE19" s="53">
        <v>1982</v>
      </c>
      <c r="AF19" s="54">
        <v>4644175148</v>
      </c>
    </row>
    <row r="20" spans="4:32" x14ac:dyDescent="0.3">
      <c r="AE20" s="53">
        <v>1983</v>
      </c>
      <c r="AF20" s="54">
        <v>4850937676</v>
      </c>
    </row>
    <row r="21" spans="4:32" x14ac:dyDescent="0.3">
      <c r="AE21" s="53">
        <v>1984</v>
      </c>
      <c r="AF21" s="54">
        <v>5171468628</v>
      </c>
    </row>
    <row r="22" spans="4:32" x14ac:dyDescent="0.3">
      <c r="AE22" s="53">
        <v>1985</v>
      </c>
      <c r="AF22" s="54">
        <v>5508511524</v>
      </c>
    </row>
    <row r="23" spans="4:32" x14ac:dyDescent="0.3">
      <c r="AE23" s="53">
        <v>1986</v>
      </c>
      <c r="AF23" s="54">
        <v>5899726276</v>
      </c>
    </row>
    <row r="24" spans="4:32" x14ac:dyDescent="0.3">
      <c r="AE24" s="53">
        <v>1987</v>
      </c>
      <c r="AF24" s="54">
        <v>6320989824</v>
      </c>
    </row>
    <row r="25" spans="4:32" x14ac:dyDescent="0.3">
      <c r="AE25" s="53">
        <v>1988</v>
      </c>
      <c r="AF25" s="54">
        <v>6672548872</v>
      </c>
    </row>
    <row r="26" spans="4:32" x14ac:dyDescent="0.3">
      <c r="AE26" s="53">
        <v>1989</v>
      </c>
      <c r="AF26" s="54">
        <v>6853330400</v>
      </c>
    </row>
    <row r="27" spans="4:32" x14ac:dyDescent="0.3">
      <c r="AE27" s="7" t="s">
        <v>28985</v>
      </c>
      <c r="AF27" s="54">
        <v>94738710664.800003</v>
      </c>
    </row>
    <row r="28" spans="4:32" x14ac:dyDescent="0.3">
      <c r="AE28" s="53">
        <v>1990</v>
      </c>
      <c r="AF28" s="54">
        <v>7156040996</v>
      </c>
    </row>
    <row r="29" spans="4:32" x14ac:dyDescent="0.3">
      <c r="AE29" s="53">
        <v>1991</v>
      </c>
      <c r="AF29" s="54">
        <v>8401042524</v>
      </c>
    </row>
    <row r="30" spans="4:32" x14ac:dyDescent="0.3">
      <c r="AE30" s="53">
        <v>1992</v>
      </c>
      <c r="AF30" s="54">
        <v>8603198152</v>
      </c>
    </row>
    <row r="31" spans="4:32" x14ac:dyDescent="0.3">
      <c r="AE31" s="53">
        <v>1993</v>
      </c>
      <c r="AF31" s="54">
        <v>8482022796</v>
      </c>
    </row>
    <row r="32" spans="4:32" x14ac:dyDescent="0.3">
      <c r="AE32" s="53">
        <v>1994</v>
      </c>
      <c r="AF32" s="54">
        <v>9136270624</v>
      </c>
    </row>
    <row r="33" spans="31:32" x14ac:dyDescent="0.3">
      <c r="AE33" s="53">
        <v>1995</v>
      </c>
      <c r="AF33" s="54">
        <v>9658817716.8000011</v>
      </c>
    </row>
    <row r="34" spans="31:32" x14ac:dyDescent="0.3">
      <c r="AE34" s="53">
        <v>1996</v>
      </c>
      <c r="AF34" s="54">
        <v>10271595124</v>
      </c>
    </row>
    <row r="35" spans="31:32" x14ac:dyDescent="0.3">
      <c r="AE35" s="53">
        <v>1997</v>
      </c>
      <c r="AF35" s="54">
        <v>10745572452</v>
      </c>
    </row>
    <row r="36" spans="31:32" x14ac:dyDescent="0.3">
      <c r="AE36" s="53">
        <v>1998</v>
      </c>
      <c r="AF36" s="54">
        <v>10821333180</v>
      </c>
    </row>
    <row r="37" spans="31:32" x14ac:dyDescent="0.3">
      <c r="AE37" s="53">
        <v>1999</v>
      </c>
      <c r="AF37" s="54">
        <v>11462817100</v>
      </c>
    </row>
    <row r="38" spans="31:32" x14ac:dyDescent="0.3">
      <c r="AE38" s="7" t="s">
        <v>28986</v>
      </c>
      <c r="AF38" s="54">
        <v>146189850762</v>
      </c>
    </row>
    <row r="39" spans="31:32" x14ac:dyDescent="0.3">
      <c r="AE39" s="53">
        <v>2000</v>
      </c>
      <c r="AF39" s="54">
        <v>12264230604</v>
      </c>
    </row>
    <row r="40" spans="31:32" x14ac:dyDescent="0.3">
      <c r="AE40" s="53">
        <v>2001</v>
      </c>
      <c r="AF40" s="54">
        <v>12275248104</v>
      </c>
    </row>
    <row r="41" spans="31:32" x14ac:dyDescent="0.3">
      <c r="AE41" s="53">
        <v>2002</v>
      </c>
      <c r="AF41" s="54">
        <v>12087880669</v>
      </c>
    </row>
    <row r="42" spans="31:32" x14ac:dyDescent="0.3">
      <c r="AE42" s="53">
        <v>2003</v>
      </c>
      <c r="AF42" s="54">
        <v>12448742605</v>
      </c>
    </row>
    <row r="43" spans="31:32" x14ac:dyDescent="0.3">
      <c r="AE43" s="53">
        <v>2004</v>
      </c>
      <c r="AF43" s="54">
        <v>14234466150</v>
      </c>
    </row>
    <row r="44" spans="31:32" x14ac:dyDescent="0.3">
      <c r="AE44" s="53">
        <v>2005</v>
      </c>
      <c r="AF44" s="54">
        <v>14948161657</v>
      </c>
    </row>
    <row r="45" spans="31:32" x14ac:dyDescent="0.3">
      <c r="AE45" s="53">
        <v>2006</v>
      </c>
      <c r="AF45" s="54">
        <v>15873061190</v>
      </c>
    </row>
    <row r="46" spans="31:32" x14ac:dyDescent="0.3">
      <c r="AE46" s="53">
        <v>2007</v>
      </c>
      <c r="AF46" s="54">
        <v>17085120274</v>
      </c>
    </row>
    <row r="47" spans="31:32" x14ac:dyDescent="0.3">
      <c r="AE47" s="53">
        <v>2008</v>
      </c>
      <c r="AF47" s="54">
        <v>17241977210</v>
      </c>
    </row>
    <row r="48" spans="31:32" x14ac:dyDescent="0.3">
      <c r="AE48" s="53">
        <v>2009</v>
      </c>
      <c r="AF48" s="54">
        <v>17730962299</v>
      </c>
    </row>
    <row r="49" spans="31:32" x14ac:dyDescent="0.3">
      <c r="AE49" s="7" t="s">
        <v>28987</v>
      </c>
      <c r="AF49" s="54">
        <v>287530335289.43317</v>
      </c>
    </row>
    <row r="50" spans="31:32" x14ac:dyDescent="0.3">
      <c r="AE50" s="53">
        <v>2010</v>
      </c>
      <c r="AF50" s="54">
        <v>21192863023.300365</v>
      </c>
    </row>
    <row r="51" spans="31:32" x14ac:dyDescent="0.3">
      <c r="AE51" s="53">
        <v>2011</v>
      </c>
      <c r="AF51" s="54">
        <v>22728487562.693947</v>
      </c>
    </row>
    <row r="52" spans="31:32" x14ac:dyDescent="0.3">
      <c r="AE52" s="53">
        <v>2012</v>
      </c>
      <c r="AF52" s="54">
        <v>23857735774.674377</v>
      </c>
    </row>
    <row r="53" spans="31:32" x14ac:dyDescent="0.3">
      <c r="AE53" s="53">
        <v>2013</v>
      </c>
      <c r="AF53" s="54">
        <v>25282843880.944496</v>
      </c>
    </row>
    <row r="54" spans="31:32" x14ac:dyDescent="0.3">
      <c r="AE54" s="53">
        <v>2014</v>
      </c>
      <c r="AF54" s="54">
        <v>26881322064.677189</v>
      </c>
    </row>
    <row r="55" spans="31:32" x14ac:dyDescent="0.3">
      <c r="AE55" s="53">
        <v>2015</v>
      </c>
      <c r="AF55" s="54">
        <v>29050199394</v>
      </c>
    </row>
    <row r="56" spans="31:32" x14ac:dyDescent="0.3">
      <c r="AE56" s="53">
        <v>2016</v>
      </c>
      <c r="AF56" s="54">
        <v>31165729613</v>
      </c>
    </row>
    <row r="57" spans="31:32" x14ac:dyDescent="0.3">
      <c r="AE57" s="53">
        <v>2017</v>
      </c>
      <c r="AF57" s="54">
        <v>33629810687.870007</v>
      </c>
    </row>
    <row r="58" spans="31:32" x14ac:dyDescent="0.3">
      <c r="AE58" s="53">
        <v>2018</v>
      </c>
      <c r="AF58" s="54">
        <v>36184641636.858467</v>
      </c>
    </row>
    <row r="59" spans="31:32" x14ac:dyDescent="0.3">
      <c r="AE59" s="53">
        <v>2019</v>
      </c>
      <c r="AF59" s="54">
        <v>37556701651.414337</v>
      </c>
    </row>
    <row r="60" spans="31:32" x14ac:dyDescent="0.3">
      <c r="AE60" s="7" t="s">
        <v>28967</v>
      </c>
      <c r="AF60" s="54">
        <v>612704071560.23315</v>
      </c>
    </row>
  </sheetData>
  <mergeCells count="1">
    <mergeCell ref="D12:E12"/>
  </mergeCells>
  <pageMargins left="0.7" right="0.7" top="0.75" bottom="0.75" header="0.3" footer="0.3"/>
  <pageSetup paperSize="9" orientation="portrait" horizontalDpi="300" verticalDpi="300"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967"/>
  <sheetViews>
    <sheetView workbookViewId="0"/>
  </sheetViews>
  <sheetFormatPr baseColWidth="10"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2" x14ac:dyDescent="0.3">
      <c r="A161" t="s">
        <v>160</v>
      </c>
      <c r="B161" t="s">
        <v>161</v>
      </c>
    </row>
    <row r="162" spans="1:2" x14ac:dyDescent="0.3">
      <c r="A162" t="s">
        <v>162</v>
      </c>
    </row>
    <row r="163" spans="1:2" x14ac:dyDescent="0.3">
      <c r="A163" t="s">
        <v>163</v>
      </c>
    </row>
    <row r="164" spans="1:2" x14ac:dyDescent="0.3">
      <c r="A164" t="s">
        <v>164</v>
      </c>
    </row>
    <row r="165" spans="1:2" x14ac:dyDescent="0.3">
      <c r="A165" t="s">
        <v>165</v>
      </c>
    </row>
    <row r="166" spans="1:2" x14ac:dyDescent="0.3">
      <c r="A166" t="s">
        <v>166</v>
      </c>
    </row>
    <row r="167" spans="1:2" x14ac:dyDescent="0.3">
      <c r="A167" t="s">
        <v>167</v>
      </c>
    </row>
    <row r="168" spans="1:2" x14ac:dyDescent="0.3">
      <c r="A168" t="s">
        <v>168</v>
      </c>
    </row>
    <row r="169" spans="1:2" x14ac:dyDescent="0.3">
      <c r="A169" t="s">
        <v>169</v>
      </c>
    </row>
    <row r="170" spans="1:2" x14ac:dyDescent="0.3">
      <c r="A170" t="s">
        <v>170</v>
      </c>
    </row>
    <row r="171" spans="1:2" x14ac:dyDescent="0.3">
      <c r="A171" t="s">
        <v>171</v>
      </c>
    </row>
    <row r="172" spans="1:2" x14ac:dyDescent="0.3">
      <c r="A172" t="s">
        <v>172</v>
      </c>
    </row>
    <row r="173" spans="1:2" x14ac:dyDescent="0.3">
      <c r="A173" t="s">
        <v>173</v>
      </c>
    </row>
    <row r="174" spans="1:2" x14ac:dyDescent="0.3">
      <c r="A174" t="s">
        <v>174</v>
      </c>
    </row>
    <row r="175" spans="1:2" x14ac:dyDescent="0.3">
      <c r="A175" t="s">
        <v>175</v>
      </c>
    </row>
    <row r="176" spans="1:2" x14ac:dyDescent="0.3">
      <c r="A176" t="s">
        <v>176</v>
      </c>
    </row>
    <row r="177" spans="1:1" x14ac:dyDescent="0.3">
      <c r="A177" t="s">
        <v>177</v>
      </c>
    </row>
    <row r="178" spans="1:1" x14ac:dyDescent="0.3">
      <c r="A178" t="s">
        <v>178</v>
      </c>
    </row>
    <row r="179" spans="1:1" x14ac:dyDescent="0.3">
      <c r="A179" t="s">
        <v>179</v>
      </c>
    </row>
    <row r="180" spans="1:1" x14ac:dyDescent="0.3">
      <c r="A180" t="s">
        <v>180</v>
      </c>
    </row>
    <row r="181" spans="1:1" x14ac:dyDescent="0.3">
      <c r="A181" t="s">
        <v>181</v>
      </c>
    </row>
    <row r="182" spans="1:1" x14ac:dyDescent="0.3">
      <c r="A182" t="s">
        <v>182</v>
      </c>
    </row>
    <row r="183" spans="1:1" x14ac:dyDescent="0.3">
      <c r="A183" t="s">
        <v>183</v>
      </c>
    </row>
    <row r="184" spans="1:1" x14ac:dyDescent="0.3">
      <c r="A184" t="s">
        <v>184</v>
      </c>
    </row>
    <row r="185" spans="1:1" x14ac:dyDescent="0.3">
      <c r="A185" t="s">
        <v>185</v>
      </c>
    </row>
    <row r="186" spans="1:1" x14ac:dyDescent="0.3">
      <c r="A186" t="s">
        <v>186</v>
      </c>
    </row>
    <row r="187" spans="1:1" x14ac:dyDescent="0.3">
      <c r="A187" t="s">
        <v>187</v>
      </c>
    </row>
    <row r="188" spans="1:1" x14ac:dyDescent="0.3">
      <c r="A188" t="s">
        <v>188</v>
      </c>
    </row>
    <row r="189" spans="1:1" x14ac:dyDescent="0.3">
      <c r="A189" t="s">
        <v>189</v>
      </c>
    </row>
    <row r="190" spans="1:1" x14ac:dyDescent="0.3">
      <c r="A190" t="s">
        <v>190</v>
      </c>
    </row>
    <row r="191" spans="1:1" x14ac:dyDescent="0.3">
      <c r="A191" t="s">
        <v>191</v>
      </c>
    </row>
    <row r="192" spans="1:1" x14ac:dyDescent="0.3">
      <c r="A192" t="s">
        <v>192</v>
      </c>
    </row>
    <row r="193" spans="1:1" x14ac:dyDescent="0.3">
      <c r="A193" t="s">
        <v>193</v>
      </c>
    </row>
    <row r="194" spans="1:1" x14ac:dyDescent="0.3">
      <c r="A194" t="s">
        <v>194</v>
      </c>
    </row>
    <row r="195" spans="1:1" x14ac:dyDescent="0.3">
      <c r="A195" t="s">
        <v>195</v>
      </c>
    </row>
    <row r="196" spans="1:1" x14ac:dyDescent="0.3">
      <c r="A196" t="s">
        <v>196</v>
      </c>
    </row>
    <row r="197" spans="1:1" x14ac:dyDescent="0.3">
      <c r="A197" t="s">
        <v>197</v>
      </c>
    </row>
    <row r="198" spans="1:1" x14ac:dyDescent="0.3">
      <c r="A198" t="s">
        <v>198</v>
      </c>
    </row>
    <row r="199" spans="1:1" x14ac:dyDescent="0.3">
      <c r="A199" t="s">
        <v>199</v>
      </c>
    </row>
    <row r="200" spans="1:1" x14ac:dyDescent="0.3">
      <c r="A200" t="s">
        <v>200</v>
      </c>
    </row>
    <row r="201" spans="1:1" x14ac:dyDescent="0.3">
      <c r="A201" t="s">
        <v>201</v>
      </c>
    </row>
    <row r="202" spans="1:1" x14ac:dyDescent="0.3">
      <c r="A202" t="s">
        <v>202</v>
      </c>
    </row>
    <row r="203" spans="1:1" x14ac:dyDescent="0.3">
      <c r="A203" t="s">
        <v>203</v>
      </c>
    </row>
    <row r="204" spans="1:1" x14ac:dyDescent="0.3">
      <c r="A204" t="s">
        <v>204</v>
      </c>
    </row>
    <row r="205" spans="1:1" x14ac:dyDescent="0.3">
      <c r="A205" t="s">
        <v>205</v>
      </c>
    </row>
    <row r="206" spans="1:1" x14ac:dyDescent="0.3">
      <c r="A206" t="s">
        <v>206</v>
      </c>
    </row>
    <row r="207" spans="1:1" x14ac:dyDescent="0.3">
      <c r="A207" t="s">
        <v>207</v>
      </c>
    </row>
    <row r="208" spans="1:1" x14ac:dyDescent="0.3">
      <c r="A208" t="s">
        <v>208</v>
      </c>
    </row>
    <row r="209" spans="1:1" x14ac:dyDescent="0.3">
      <c r="A209" t="s">
        <v>209</v>
      </c>
    </row>
    <row r="210" spans="1:1" x14ac:dyDescent="0.3">
      <c r="A210" t="s">
        <v>210</v>
      </c>
    </row>
    <row r="211" spans="1:1" x14ac:dyDescent="0.3">
      <c r="A211" t="s">
        <v>211</v>
      </c>
    </row>
    <row r="212" spans="1:1" x14ac:dyDescent="0.3">
      <c r="A212" t="s">
        <v>212</v>
      </c>
    </row>
    <row r="213" spans="1:1" x14ac:dyDescent="0.3">
      <c r="A213" t="s">
        <v>213</v>
      </c>
    </row>
    <row r="214" spans="1:1" x14ac:dyDescent="0.3">
      <c r="A214" t="s">
        <v>214</v>
      </c>
    </row>
    <row r="215" spans="1:1" x14ac:dyDescent="0.3">
      <c r="A215" t="s">
        <v>215</v>
      </c>
    </row>
    <row r="216" spans="1:1" x14ac:dyDescent="0.3">
      <c r="A216" t="s">
        <v>216</v>
      </c>
    </row>
    <row r="217" spans="1:1" x14ac:dyDescent="0.3">
      <c r="A217" t="s">
        <v>217</v>
      </c>
    </row>
    <row r="218" spans="1:1" x14ac:dyDescent="0.3">
      <c r="A218" t="s">
        <v>218</v>
      </c>
    </row>
    <row r="219" spans="1:1" x14ac:dyDescent="0.3">
      <c r="A219" t="s">
        <v>219</v>
      </c>
    </row>
    <row r="220" spans="1:1" x14ac:dyDescent="0.3">
      <c r="A220" t="s">
        <v>220</v>
      </c>
    </row>
    <row r="221" spans="1:1" x14ac:dyDescent="0.3">
      <c r="A221" t="s">
        <v>221</v>
      </c>
    </row>
    <row r="222" spans="1:1" x14ac:dyDescent="0.3">
      <c r="A222" t="s">
        <v>222</v>
      </c>
    </row>
    <row r="223" spans="1:1" x14ac:dyDescent="0.3">
      <c r="A223" t="s">
        <v>223</v>
      </c>
    </row>
    <row r="224" spans="1:1" x14ac:dyDescent="0.3">
      <c r="A224" t="s">
        <v>224</v>
      </c>
    </row>
    <row r="225" spans="1:1" x14ac:dyDescent="0.3">
      <c r="A225" t="s">
        <v>225</v>
      </c>
    </row>
    <row r="226" spans="1:1" x14ac:dyDescent="0.3">
      <c r="A226" t="s">
        <v>226</v>
      </c>
    </row>
    <row r="227" spans="1:1" x14ac:dyDescent="0.3">
      <c r="A227" t="s">
        <v>227</v>
      </c>
    </row>
    <row r="228" spans="1:1" x14ac:dyDescent="0.3">
      <c r="A228" t="s">
        <v>228</v>
      </c>
    </row>
    <row r="229" spans="1:1" x14ac:dyDescent="0.3">
      <c r="A229" t="s">
        <v>229</v>
      </c>
    </row>
    <row r="230" spans="1:1" x14ac:dyDescent="0.3">
      <c r="A230" t="s">
        <v>230</v>
      </c>
    </row>
    <row r="231" spans="1:1" x14ac:dyDescent="0.3">
      <c r="A231" t="s">
        <v>231</v>
      </c>
    </row>
    <row r="232" spans="1:1" x14ac:dyDescent="0.3">
      <c r="A232" t="s">
        <v>232</v>
      </c>
    </row>
    <row r="233" spans="1:1" x14ac:dyDescent="0.3">
      <c r="A233" t="s">
        <v>233</v>
      </c>
    </row>
    <row r="234" spans="1:1" x14ac:dyDescent="0.3">
      <c r="A234" t="s">
        <v>234</v>
      </c>
    </row>
    <row r="235" spans="1:1" x14ac:dyDescent="0.3">
      <c r="A235" t="s">
        <v>235</v>
      </c>
    </row>
    <row r="236" spans="1:1" x14ac:dyDescent="0.3">
      <c r="A236" t="s">
        <v>236</v>
      </c>
    </row>
    <row r="237" spans="1:1" x14ac:dyDescent="0.3">
      <c r="A237" t="s">
        <v>237</v>
      </c>
    </row>
    <row r="238" spans="1:1" x14ac:dyDescent="0.3">
      <c r="A238" t="s">
        <v>238</v>
      </c>
    </row>
    <row r="239" spans="1:1" x14ac:dyDescent="0.3">
      <c r="A239" t="s">
        <v>239</v>
      </c>
    </row>
    <row r="240" spans="1:1" x14ac:dyDescent="0.3">
      <c r="A240" t="s">
        <v>240</v>
      </c>
    </row>
    <row r="241" spans="1:1" x14ac:dyDescent="0.3">
      <c r="A241" t="s">
        <v>241</v>
      </c>
    </row>
    <row r="242" spans="1:1" x14ac:dyDescent="0.3">
      <c r="A242" t="s">
        <v>242</v>
      </c>
    </row>
    <row r="243" spans="1:1" x14ac:dyDescent="0.3">
      <c r="A243" t="s">
        <v>243</v>
      </c>
    </row>
    <row r="244" spans="1:1" x14ac:dyDescent="0.3">
      <c r="A244" t="s">
        <v>244</v>
      </c>
    </row>
    <row r="245" spans="1:1" x14ac:dyDescent="0.3">
      <c r="A245" t="s">
        <v>245</v>
      </c>
    </row>
    <row r="246" spans="1:1" x14ac:dyDescent="0.3">
      <c r="A246" t="s">
        <v>246</v>
      </c>
    </row>
    <row r="247" spans="1:1" x14ac:dyDescent="0.3">
      <c r="A247" t="s">
        <v>247</v>
      </c>
    </row>
    <row r="248" spans="1:1" x14ac:dyDescent="0.3">
      <c r="A248" t="s">
        <v>248</v>
      </c>
    </row>
    <row r="249" spans="1:1" x14ac:dyDescent="0.3">
      <c r="A249" t="s">
        <v>249</v>
      </c>
    </row>
    <row r="250" spans="1:1" x14ac:dyDescent="0.3">
      <c r="A250" t="s">
        <v>250</v>
      </c>
    </row>
    <row r="251" spans="1:1" x14ac:dyDescent="0.3">
      <c r="A251" t="s">
        <v>251</v>
      </c>
    </row>
    <row r="252" spans="1:1" x14ac:dyDescent="0.3">
      <c r="A252" t="s">
        <v>252</v>
      </c>
    </row>
    <row r="253" spans="1:1" x14ac:dyDescent="0.3">
      <c r="A253" t="s">
        <v>253</v>
      </c>
    </row>
    <row r="254" spans="1:1" x14ac:dyDescent="0.3">
      <c r="A254" t="s">
        <v>254</v>
      </c>
    </row>
    <row r="255" spans="1:1" x14ac:dyDescent="0.3">
      <c r="A255" t="s">
        <v>255</v>
      </c>
    </row>
    <row r="256" spans="1:1" x14ac:dyDescent="0.3">
      <c r="A256" t="s">
        <v>256</v>
      </c>
    </row>
    <row r="257" spans="1:1" x14ac:dyDescent="0.3">
      <c r="A257" t="s">
        <v>257</v>
      </c>
    </row>
    <row r="258" spans="1:1" x14ac:dyDescent="0.3">
      <c r="A258" t="s">
        <v>258</v>
      </c>
    </row>
    <row r="259" spans="1:1" x14ac:dyDescent="0.3">
      <c r="A259" t="s">
        <v>259</v>
      </c>
    </row>
    <row r="260" spans="1:1" x14ac:dyDescent="0.3">
      <c r="A260" t="s">
        <v>260</v>
      </c>
    </row>
    <row r="261" spans="1:1" x14ac:dyDescent="0.3">
      <c r="A261" t="s">
        <v>261</v>
      </c>
    </row>
    <row r="262" spans="1:1" x14ac:dyDescent="0.3">
      <c r="A262" t="s">
        <v>262</v>
      </c>
    </row>
    <row r="263" spans="1:1" x14ac:dyDescent="0.3">
      <c r="A263" t="s">
        <v>263</v>
      </c>
    </row>
    <row r="264" spans="1:1" x14ac:dyDescent="0.3">
      <c r="A264" t="s">
        <v>264</v>
      </c>
    </row>
    <row r="265" spans="1:1" x14ac:dyDescent="0.3">
      <c r="A265" t="s">
        <v>265</v>
      </c>
    </row>
    <row r="266" spans="1:1" x14ac:dyDescent="0.3">
      <c r="A266" t="s">
        <v>266</v>
      </c>
    </row>
    <row r="267" spans="1:1" x14ac:dyDescent="0.3">
      <c r="A267" t="s">
        <v>267</v>
      </c>
    </row>
    <row r="268" spans="1:1" x14ac:dyDescent="0.3">
      <c r="A268" t="s">
        <v>268</v>
      </c>
    </row>
    <row r="269" spans="1:1" x14ac:dyDescent="0.3">
      <c r="A269" t="s">
        <v>269</v>
      </c>
    </row>
    <row r="270" spans="1:1" x14ac:dyDescent="0.3">
      <c r="A270" t="s">
        <v>270</v>
      </c>
    </row>
    <row r="271" spans="1:1" x14ac:dyDescent="0.3">
      <c r="A271" t="s">
        <v>271</v>
      </c>
    </row>
    <row r="272" spans="1:1" x14ac:dyDescent="0.3">
      <c r="A272" t="s">
        <v>272</v>
      </c>
    </row>
    <row r="273" spans="1:1" x14ac:dyDescent="0.3">
      <c r="A273" t="s">
        <v>273</v>
      </c>
    </row>
    <row r="274" spans="1:1" x14ac:dyDescent="0.3">
      <c r="A274" t="s">
        <v>274</v>
      </c>
    </row>
    <row r="275" spans="1:1" x14ac:dyDescent="0.3">
      <c r="A275" t="s">
        <v>275</v>
      </c>
    </row>
    <row r="276" spans="1:1" x14ac:dyDescent="0.3">
      <c r="A276" t="s">
        <v>276</v>
      </c>
    </row>
    <row r="277" spans="1:1" x14ac:dyDescent="0.3">
      <c r="A277" t="s">
        <v>277</v>
      </c>
    </row>
    <row r="278" spans="1:1" x14ac:dyDescent="0.3">
      <c r="A278" t="s">
        <v>278</v>
      </c>
    </row>
    <row r="279" spans="1:1" x14ac:dyDescent="0.3">
      <c r="A279" t="s">
        <v>279</v>
      </c>
    </row>
    <row r="280" spans="1:1" x14ac:dyDescent="0.3">
      <c r="A280" t="s">
        <v>280</v>
      </c>
    </row>
    <row r="281" spans="1:1" x14ac:dyDescent="0.3">
      <c r="A281" t="s">
        <v>281</v>
      </c>
    </row>
    <row r="282" spans="1:1" x14ac:dyDescent="0.3">
      <c r="A282" t="s">
        <v>282</v>
      </c>
    </row>
    <row r="283" spans="1:1" x14ac:dyDescent="0.3">
      <c r="A283" t="s">
        <v>283</v>
      </c>
    </row>
    <row r="284" spans="1:1" x14ac:dyDescent="0.3">
      <c r="A284" t="s">
        <v>284</v>
      </c>
    </row>
    <row r="285" spans="1:1" x14ac:dyDescent="0.3">
      <c r="A285" t="s">
        <v>285</v>
      </c>
    </row>
    <row r="286" spans="1:1" x14ac:dyDescent="0.3">
      <c r="A286" t="s">
        <v>286</v>
      </c>
    </row>
    <row r="287" spans="1:1" x14ac:dyDescent="0.3">
      <c r="A287" t="s">
        <v>287</v>
      </c>
    </row>
    <row r="288" spans="1:1" x14ac:dyDescent="0.3">
      <c r="A288" t="s">
        <v>288</v>
      </c>
    </row>
    <row r="289" spans="1:1" x14ac:dyDescent="0.3">
      <c r="A289" t="s">
        <v>289</v>
      </c>
    </row>
    <row r="290" spans="1:1" x14ac:dyDescent="0.3">
      <c r="A290" t="s">
        <v>290</v>
      </c>
    </row>
    <row r="291" spans="1:1" x14ac:dyDescent="0.3">
      <c r="A291" t="s">
        <v>291</v>
      </c>
    </row>
    <row r="292" spans="1:1" x14ac:dyDescent="0.3">
      <c r="A292" t="s">
        <v>292</v>
      </c>
    </row>
    <row r="293" spans="1:1" x14ac:dyDescent="0.3">
      <c r="A293" t="s">
        <v>293</v>
      </c>
    </row>
    <row r="294" spans="1:1" x14ac:dyDescent="0.3">
      <c r="A294" t="s">
        <v>294</v>
      </c>
    </row>
    <row r="295" spans="1:1" x14ac:dyDescent="0.3">
      <c r="A295" t="s">
        <v>295</v>
      </c>
    </row>
    <row r="296" spans="1:1" x14ac:dyDescent="0.3">
      <c r="A296" t="s">
        <v>296</v>
      </c>
    </row>
    <row r="297" spans="1:1" x14ac:dyDescent="0.3">
      <c r="A297" t="s">
        <v>297</v>
      </c>
    </row>
    <row r="298" spans="1:1" x14ac:dyDescent="0.3">
      <c r="A298" t="s">
        <v>298</v>
      </c>
    </row>
    <row r="299" spans="1:1" x14ac:dyDescent="0.3">
      <c r="A299" t="s">
        <v>299</v>
      </c>
    </row>
    <row r="300" spans="1:1" x14ac:dyDescent="0.3">
      <c r="A300" t="s">
        <v>300</v>
      </c>
    </row>
    <row r="301" spans="1:1" x14ac:dyDescent="0.3">
      <c r="A301" t="s">
        <v>301</v>
      </c>
    </row>
    <row r="302" spans="1:1" x14ac:dyDescent="0.3">
      <c r="A302" t="s">
        <v>302</v>
      </c>
    </row>
    <row r="303" spans="1:1" x14ac:dyDescent="0.3">
      <c r="A303" t="s">
        <v>303</v>
      </c>
    </row>
    <row r="304" spans="1:1" x14ac:dyDescent="0.3">
      <c r="A304" t="s">
        <v>304</v>
      </c>
    </row>
    <row r="305" spans="1:1" x14ac:dyDescent="0.3">
      <c r="A305" t="s">
        <v>305</v>
      </c>
    </row>
    <row r="306" spans="1:1" x14ac:dyDescent="0.3">
      <c r="A306" t="s">
        <v>306</v>
      </c>
    </row>
    <row r="307" spans="1:1" x14ac:dyDescent="0.3">
      <c r="A307" t="s">
        <v>307</v>
      </c>
    </row>
    <row r="308" spans="1:1" x14ac:dyDescent="0.3">
      <c r="A308" t="s">
        <v>308</v>
      </c>
    </row>
    <row r="309" spans="1:1" x14ac:dyDescent="0.3">
      <c r="A309" t="s">
        <v>309</v>
      </c>
    </row>
    <row r="310" spans="1:1" x14ac:dyDescent="0.3">
      <c r="A310" t="s">
        <v>310</v>
      </c>
    </row>
    <row r="311" spans="1:1" x14ac:dyDescent="0.3">
      <c r="A311" t="s">
        <v>311</v>
      </c>
    </row>
    <row r="312" spans="1:1" x14ac:dyDescent="0.3">
      <c r="A312" t="s">
        <v>312</v>
      </c>
    </row>
    <row r="313" spans="1:1" x14ac:dyDescent="0.3">
      <c r="A313" t="s">
        <v>313</v>
      </c>
    </row>
    <row r="314" spans="1:1" x14ac:dyDescent="0.3">
      <c r="A314" t="s">
        <v>314</v>
      </c>
    </row>
    <row r="315" spans="1:1" x14ac:dyDescent="0.3">
      <c r="A315" t="s">
        <v>315</v>
      </c>
    </row>
    <row r="316" spans="1:1" x14ac:dyDescent="0.3">
      <c r="A316" t="s">
        <v>316</v>
      </c>
    </row>
    <row r="317" spans="1:1" x14ac:dyDescent="0.3">
      <c r="A317" t="s">
        <v>317</v>
      </c>
    </row>
    <row r="318" spans="1:1" x14ac:dyDescent="0.3">
      <c r="A318" t="s">
        <v>318</v>
      </c>
    </row>
    <row r="319" spans="1:1" x14ac:dyDescent="0.3">
      <c r="A319" t="s">
        <v>319</v>
      </c>
    </row>
    <row r="320" spans="1:1" x14ac:dyDescent="0.3">
      <c r="A320" t="s">
        <v>320</v>
      </c>
    </row>
    <row r="321" spans="1:1" x14ac:dyDescent="0.3">
      <c r="A321" t="s">
        <v>321</v>
      </c>
    </row>
    <row r="322" spans="1:1" x14ac:dyDescent="0.3">
      <c r="A322" t="s">
        <v>322</v>
      </c>
    </row>
    <row r="323" spans="1:1" x14ac:dyDescent="0.3">
      <c r="A323" t="s">
        <v>323</v>
      </c>
    </row>
    <row r="324" spans="1:1" x14ac:dyDescent="0.3">
      <c r="A324" t="s">
        <v>324</v>
      </c>
    </row>
    <row r="325" spans="1:1" x14ac:dyDescent="0.3">
      <c r="A325" t="s">
        <v>325</v>
      </c>
    </row>
    <row r="326" spans="1:1" x14ac:dyDescent="0.3">
      <c r="A326" t="s">
        <v>326</v>
      </c>
    </row>
    <row r="327" spans="1:1" x14ac:dyDescent="0.3">
      <c r="A327" t="s">
        <v>327</v>
      </c>
    </row>
    <row r="328" spans="1:1" x14ac:dyDescent="0.3">
      <c r="A328" t="s">
        <v>328</v>
      </c>
    </row>
    <row r="329" spans="1:1" x14ac:dyDescent="0.3">
      <c r="A329" t="s">
        <v>329</v>
      </c>
    </row>
    <row r="330" spans="1:1" x14ac:dyDescent="0.3">
      <c r="A330" t="s">
        <v>330</v>
      </c>
    </row>
    <row r="331" spans="1:1" x14ac:dyDescent="0.3">
      <c r="A331" t="s">
        <v>331</v>
      </c>
    </row>
    <row r="332" spans="1:1" x14ac:dyDescent="0.3">
      <c r="A332" t="s">
        <v>332</v>
      </c>
    </row>
    <row r="333" spans="1:1" x14ac:dyDescent="0.3">
      <c r="A333" t="s">
        <v>333</v>
      </c>
    </row>
    <row r="334" spans="1:1" x14ac:dyDescent="0.3">
      <c r="A334" t="s">
        <v>334</v>
      </c>
    </row>
    <row r="335" spans="1:1" x14ac:dyDescent="0.3">
      <c r="A335" t="s">
        <v>335</v>
      </c>
    </row>
    <row r="336" spans="1:1" x14ac:dyDescent="0.3">
      <c r="A336" t="s">
        <v>336</v>
      </c>
    </row>
    <row r="337" spans="1:1" x14ac:dyDescent="0.3">
      <c r="A337" t="s">
        <v>337</v>
      </c>
    </row>
    <row r="338" spans="1:1" x14ac:dyDescent="0.3">
      <c r="A338" t="s">
        <v>338</v>
      </c>
    </row>
    <row r="339" spans="1:1" x14ac:dyDescent="0.3">
      <c r="A339" t="s">
        <v>339</v>
      </c>
    </row>
    <row r="340" spans="1:1" x14ac:dyDescent="0.3">
      <c r="A340" t="s">
        <v>340</v>
      </c>
    </row>
    <row r="341" spans="1:1" x14ac:dyDescent="0.3">
      <c r="A341" t="s">
        <v>341</v>
      </c>
    </row>
    <row r="342" spans="1:1" x14ac:dyDescent="0.3">
      <c r="A342" t="s">
        <v>342</v>
      </c>
    </row>
    <row r="343" spans="1:1" x14ac:dyDescent="0.3">
      <c r="A343" t="s">
        <v>343</v>
      </c>
    </row>
    <row r="344" spans="1:1" x14ac:dyDescent="0.3">
      <c r="A344" t="s">
        <v>344</v>
      </c>
    </row>
    <row r="345" spans="1:1" x14ac:dyDescent="0.3">
      <c r="A345" t="s">
        <v>345</v>
      </c>
    </row>
    <row r="346" spans="1:1" x14ac:dyDescent="0.3">
      <c r="A346" t="s">
        <v>346</v>
      </c>
    </row>
    <row r="347" spans="1:1" x14ac:dyDescent="0.3">
      <c r="A347" t="s">
        <v>347</v>
      </c>
    </row>
    <row r="348" spans="1:1" x14ac:dyDescent="0.3">
      <c r="A348" t="s">
        <v>348</v>
      </c>
    </row>
    <row r="349" spans="1:1" x14ac:dyDescent="0.3">
      <c r="A349" t="s">
        <v>349</v>
      </c>
    </row>
    <row r="350" spans="1:1" x14ac:dyDescent="0.3">
      <c r="A350" t="s">
        <v>350</v>
      </c>
    </row>
    <row r="351" spans="1:1" x14ac:dyDescent="0.3">
      <c r="A351" t="s">
        <v>351</v>
      </c>
    </row>
    <row r="352" spans="1:1" x14ac:dyDescent="0.3">
      <c r="A352" t="s">
        <v>352</v>
      </c>
    </row>
    <row r="353" spans="1:1" x14ac:dyDescent="0.3">
      <c r="A353" t="s">
        <v>353</v>
      </c>
    </row>
    <row r="354" spans="1:1" x14ac:dyDescent="0.3">
      <c r="A354" t="s">
        <v>354</v>
      </c>
    </row>
    <row r="355" spans="1:1" x14ac:dyDescent="0.3">
      <c r="A355" t="s">
        <v>355</v>
      </c>
    </row>
    <row r="356" spans="1:1" x14ac:dyDescent="0.3">
      <c r="A356" t="s">
        <v>356</v>
      </c>
    </row>
    <row r="357" spans="1:1" x14ac:dyDescent="0.3">
      <c r="A357" t="s">
        <v>357</v>
      </c>
    </row>
    <row r="358" spans="1:1" x14ac:dyDescent="0.3">
      <c r="A358" t="s">
        <v>358</v>
      </c>
    </row>
    <row r="359" spans="1:1" x14ac:dyDescent="0.3">
      <c r="A359" t="s">
        <v>359</v>
      </c>
    </row>
    <row r="360" spans="1:1" x14ac:dyDescent="0.3">
      <c r="A360" t="s">
        <v>360</v>
      </c>
    </row>
    <row r="361" spans="1:1" x14ac:dyDescent="0.3">
      <c r="A361" t="s">
        <v>361</v>
      </c>
    </row>
    <row r="362" spans="1:1" x14ac:dyDescent="0.3">
      <c r="A362" t="s">
        <v>362</v>
      </c>
    </row>
    <row r="363" spans="1:1" x14ac:dyDescent="0.3">
      <c r="A363" t="s">
        <v>363</v>
      </c>
    </row>
    <row r="364" spans="1:1" x14ac:dyDescent="0.3">
      <c r="A364" t="s">
        <v>364</v>
      </c>
    </row>
    <row r="365" spans="1:1" x14ac:dyDescent="0.3">
      <c r="A365" t="s">
        <v>365</v>
      </c>
    </row>
    <row r="366" spans="1:1" x14ac:dyDescent="0.3">
      <c r="A366" t="s">
        <v>366</v>
      </c>
    </row>
    <row r="367" spans="1:1" x14ac:dyDescent="0.3">
      <c r="A367" t="s">
        <v>367</v>
      </c>
    </row>
    <row r="368" spans="1:1" x14ac:dyDescent="0.3">
      <c r="A368" t="s">
        <v>368</v>
      </c>
    </row>
    <row r="369" spans="1:1" x14ac:dyDescent="0.3">
      <c r="A369" t="s">
        <v>369</v>
      </c>
    </row>
    <row r="370" spans="1:1" x14ac:dyDescent="0.3">
      <c r="A370" t="s">
        <v>370</v>
      </c>
    </row>
    <row r="371" spans="1:1" x14ac:dyDescent="0.3">
      <c r="A371" t="s">
        <v>371</v>
      </c>
    </row>
    <row r="372" spans="1:1" x14ac:dyDescent="0.3">
      <c r="A372" t="s">
        <v>372</v>
      </c>
    </row>
    <row r="373" spans="1:1" x14ac:dyDescent="0.3">
      <c r="A373" t="s">
        <v>373</v>
      </c>
    </row>
    <row r="374" spans="1:1" x14ac:dyDescent="0.3">
      <c r="A374" t="s">
        <v>374</v>
      </c>
    </row>
    <row r="375" spans="1:1" x14ac:dyDescent="0.3">
      <c r="A375" t="s">
        <v>375</v>
      </c>
    </row>
    <row r="376" spans="1:1" x14ac:dyDescent="0.3">
      <c r="A376" t="s">
        <v>376</v>
      </c>
    </row>
    <row r="377" spans="1:1" x14ac:dyDescent="0.3">
      <c r="A377" t="s">
        <v>377</v>
      </c>
    </row>
    <row r="378" spans="1:1" x14ac:dyDescent="0.3">
      <c r="A378" t="s">
        <v>378</v>
      </c>
    </row>
    <row r="379" spans="1:1" x14ac:dyDescent="0.3">
      <c r="A379" t="s">
        <v>379</v>
      </c>
    </row>
    <row r="380" spans="1:1" x14ac:dyDescent="0.3">
      <c r="A380" t="s">
        <v>380</v>
      </c>
    </row>
    <row r="381" spans="1:1" x14ac:dyDescent="0.3">
      <c r="A381" t="s">
        <v>381</v>
      </c>
    </row>
    <row r="382" spans="1:1" x14ac:dyDescent="0.3">
      <c r="A382" t="s">
        <v>382</v>
      </c>
    </row>
    <row r="383" spans="1:1" x14ac:dyDescent="0.3">
      <c r="A383" t="s">
        <v>383</v>
      </c>
    </row>
    <row r="384" spans="1:1" x14ac:dyDescent="0.3">
      <c r="A384" t="s">
        <v>384</v>
      </c>
    </row>
    <row r="385" spans="1:1" x14ac:dyDescent="0.3">
      <c r="A385" t="s">
        <v>385</v>
      </c>
    </row>
    <row r="386" spans="1:1" x14ac:dyDescent="0.3">
      <c r="A386" t="s">
        <v>386</v>
      </c>
    </row>
    <row r="387" spans="1:1" x14ac:dyDescent="0.3">
      <c r="A387" t="s">
        <v>387</v>
      </c>
    </row>
    <row r="388" spans="1:1" x14ac:dyDescent="0.3">
      <c r="A388" t="s">
        <v>388</v>
      </c>
    </row>
    <row r="389" spans="1:1" x14ac:dyDescent="0.3">
      <c r="A389" t="s">
        <v>389</v>
      </c>
    </row>
    <row r="390" spans="1:1" x14ac:dyDescent="0.3">
      <c r="A390" t="s">
        <v>390</v>
      </c>
    </row>
    <row r="391" spans="1:1" x14ac:dyDescent="0.3">
      <c r="A391" t="s">
        <v>391</v>
      </c>
    </row>
    <row r="392" spans="1:1" x14ac:dyDescent="0.3">
      <c r="A392" t="s">
        <v>392</v>
      </c>
    </row>
    <row r="393" spans="1:1" x14ac:dyDescent="0.3">
      <c r="A393" t="s">
        <v>393</v>
      </c>
    </row>
    <row r="394" spans="1:1" x14ac:dyDescent="0.3">
      <c r="A394" t="s">
        <v>394</v>
      </c>
    </row>
    <row r="395" spans="1:1" x14ac:dyDescent="0.3">
      <c r="A395" t="s">
        <v>395</v>
      </c>
    </row>
    <row r="396" spans="1:1" x14ac:dyDescent="0.3">
      <c r="A396" t="s">
        <v>396</v>
      </c>
    </row>
    <row r="397" spans="1:1" x14ac:dyDescent="0.3">
      <c r="A397" t="s">
        <v>397</v>
      </c>
    </row>
    <row r="398" spans="1:1" x14ac:dyDescent="0.3">
      <c r="A398" t="s">
        <v>398</v>
      </c>
    </row>
    <row r="399" spans="1:1" x14ac:dyDescent="0.3">
      <c r="A399" t="s">
        <v>399</v>
      </c>
    </row>
    <row r="400" spans="1:1" x14ac:dyDescent="0.3">
      <c r="A400" t="s">
        <v>400</v>
      </c>
    </row>
    <row r="401" spans="1:1" x14ac:dyDescent="0.3">
      <c r="A401" t="s">
        <v>401</v>
      </c>
    </row>
    <row r="402" spans="1:1" x14ac:dyDescent="0.3">
      <c r="A402" t="s">
        <v>402</v>
      </c>
    </row>
    <row r="403" spans="1:1" x14ac:dyDescent="0.3">
      <c r="A403" t="s">
        <v>403</v>
      </c>
    </row>
    <row r="404" spans="1:1" x14ac:dyDescent="0.3">
      <c r="A404" t="s">
        <v>404</v>
      </c>
    </row>
    <row r="405" spans="1:1" x14ac:dyDescent="0.3">
      <c r="A405" t="s">
        <v>405</v>
      </c>
    </row>
    <row r="406" spans="1:1" x14ac:dyDescent="0.3">
      <c r="A406" t="s">
        <v>406</v>
      </c>
    </row>
    <row r="407" spans="1:1" x14ac:dyDescent="0.3">
      <c r="A407" t="s">
        <v>407</v>
      </c>
    </row>
    <row r="408" spans="1:1" x14ac:dyDescent="0.3">
      <c r="A408" t="s">
        <v>408</v>
      </c>
    </row>
    <row r="409" spans="1:1" x14ac:dyDescent="0.3">
      <c r="A409" t="s">
        <v>409</v>
      </c>
    </row>
    <row r="410" spans="1:1" x14ac:dyDescent="0.3">
      <c r="A410" t="s">
        <v>410</v>
      </c>
    </row>
    <row r="411" spans="1:1" x14ac:dyDescent="0.3">
      <c r="A411" t="s">
        <v>411</v>
      </c>
    </row>
    <row r="412" spans="1:1" x14ac:dyDescent="0.3">
      <c r="A412" t="s">
        <v>412</v>
      </c>
    </row>
    <row r="413" spans="1:1" x14ac:dyDescent="0.3">
      <c r="A413" t="s">
        <v>413</v>
      </c>
    </row>
    <row r="414" spans="1:1" x14ac:dyDescent="0.3">
      <c r="A414" t="s">
        <v>414</v>
      </c>
    </row>
    <row r="415" spans="1:1" x14ac:dyDescent="0.3">
      <c r="A415" t="s">
        <v>415</v>
      </c>
    </row>
    <row r="416" spans="1:1" x14ac:dyDescent="0.3">
      <c r="A416" t="s">
        <v>416</v>
      </c>
    </row>
    <row r="417" spans="1:1" x14ac:dyDescent="0.3">
      <c r="A417" t="s">
        <v>417</v>
      </c>
    </row>
    <row r="418" spans="1:1" x14ac:dyDescent="0.3">
      <c r="A418" t="s">
        <v>418</v>
      </c>
    </row>
    <row r="419" spans="1:1" x14ac:dyDescent="0.3">
      <c r="A419" t="s">
        <v>419</v>
      </c>
    </row>
    <row r="420" spans="1:1" x14ac:dyDescent="0.3">
      <c r="A420" t="s">
        <v>420</v>
      </c>
    </row>
    <row r="421" spans="1:1" x14ac:dyDescent="0.3">
      <c r="A421" t="s">
        <v>421</v>
      </c>
    </row>
    <row r="422" spans="1:1" x14ac:dyDescent="0.3">
      <c r="A422" t="s">
        <v>422</v>
      </c>
    </row>
    <row r="423" spans="1:1" x14ac:dyDescent="0.3">
      <c r="A423" t="s">
        <v>423</v>
      </c>
    </row>
    <row r="424" spans="1:1" x14ac:dyDescent="0.3">
      <c r="A424" t="s">
        <v>424</v>
      </c>
    </row>
    <row r="425" spans="1:1" x14ac:dyDescent="0.3">
      <c r="A425" t="s">
        <v>425</v>
      </c>
    </row>
    <row r="426" spans="1:1" x14ac:dyDescent="0.3">
      <c r="A426" t="s">
        <v>426</v>
      </c>
    </row>
    <row r="427" spans="1:1" x14ac:dyDescent="0.3">
      <c r="A427" t="s">
        <v>427</v>
      </c>
    </row>
    <row r="428" spans="1:1" x14ac:dyDescent="0.3">
      <c r="A428" t="s">
        <v>428</v>
      </c>
    </row>
    <row r="429" spans="1:1" x14ac:dyDescent="0.3">
      <c r="A429" t="s">
        <v>429</v>
      </c>
    </row>
    <row r="430" spans="1:1" x14ac:dyDescent="0.3">
      <c r="A430" t="s">
        <v>430</v>
      </c>
    </row>
    <row r="431" spans="1:1" x14ac:dyDescent="0.3">
      <c r="A431" t="s">
        <v>431</v>
      </c>
    </row>
    <row r="432" spans="1:1" x14ac:dyDescent="0.3">
      <c r="A432" t="s">
        <v>432</v>
      </c>
    </row>
    <row r="433" spans="1:1" x14ac:dyDescent="0.3">
      <c r="A433" t="s">
        <v>433</v>
      </c>
    </row>
    <row r="434" spans="1:1" x14ac:dyDescent="0.3">
      <c r="A434" t="s">
        <v>434</v>
      </c>
    </row>
    <row r="435" spans="1:1" x14ac:dyDescent="0.3">
      <c r="A435" t="s">
        <v>435</v>
      </c>
    </row>
    <row r="436" spans="1:1" x14ac:dyDescent="0.3">
      <c r="A436" t="s">
        <v>436</v>
      </c>
    </row>
    <row r="437" spans="1:1" x14ac:dyDescent="0.3">
      <c r="A437" t="s">
        <v>437</v>
      </c>
    </row>
    <row r="438" spans="1:1" x14ac:dyDescent="0.3">
      <c r="A438" t="s">
        <v>438</v>
      </c>
    </row>
    <row r="439" spans="1:1" x14ac:dyDescent="0.3">
      <c r="A439" t="s">
        <v>439</v>
      </c>
    </row>
    <row r="440" spans="1:1" x14ac:dyDescent="0.3">
      <c r="A440" t="s">
        <v>440</v>
      </c>
    </row>
    <row r="441" spans="1:1" x14ac:dyDescent="0.3">
      <c r="A441" t="s">
        <v>441</v>
      </c>
    </row>
    <row r="442" spans="1:1" x14ac:dyDescent="0.3">
      <c r="A442" t="s">
        <v>442</v>
      </c>
    </row>
    <row r="443" spans="1:1" x14ac:dyDescent="0.3">
      <c r="A443" t="s">
        <v>443</v>
      </c>
    </row>
    <row r="444" spans="1:1" x14ac:dyDescent="0.3">
      <c r="A444" t="s">
        <v>444</v>
      </c>
    </row>
    <row r="445" spans="1:1" x14ac:dyDescent="0.3">
      <c r="A445" t="s">
        <v>445</v>
      </c>
    </row>
    <row r="446" spans="1:1" x14ac:dyDescent="0.3">
      <c r="A446" t="s">
        <v>446</v>
      </c>
    </row>
    <row r="447" spans="1:1" x14ac:dyDescent="0.3">
      <c r="A447" t="s">
        <v>447</v>
      </c>
    </row>
    <row r="448" spans="1:1" x14ac:dyDescent="0.3">
      <c r="A448" t="s">
        <v>448</v>
      </c>
    </row>
    <row r="449" spans="1:1" x14ac:dyDescent="0.3">
      <c r="A449" t="s">
        <v>449</v>
      </c>
    </row>
    <row r="450" spans="1:1" x14ac:dyDescent="0.3">
      <c r="A450" t="s">
        <v>450</v>
      </c>
    </row>
    <row r="451" spans="1:1" x14ac:dyDescent="0.3">
      <c r="A451" t="s">
        <v>451</v>
      </c>
    </row>
    <row r="452" spans="1:1" x14ac:dyDescent="0.3">
      <c r="A452" t="s">
        <v>452</v>
      </c>
    </row>
    <row r="453" spans="1:1" x14ac:dyDescent="0.3">
      <c r="A453" t="s">
        <v>453</v>
      </c>
    </row>
    <row r="454" spans="1:1" x14ac:dyDescent="0.3">
      <c r="A454" t="s">
        <v>454</v>
      </c>
    </row>
    <row r="455" spans="1:1" x14ac:dyDescent="0.3">
      <c r="A455" t="s">
        <v>455</v>
      </c>
    </row>
    <row r="456" spans="1:1" x14ac:dyDescent="0.3">
      <c r="A456" t="s">
        <v>456</v>
      </c>
    </row>
    <row r="457" spans="1:1" x14ac:dyDescent="0.3">
      <c r="A457" t="s">
        <v>457</v>
      </c>
    </row>
    <row r="458" spans="1:1" x14ac:dyDescent="0.3">
      <c r="A458" t="s">
        <v>458</v>
      </c>
    </row>
    <row r="459" spans="1:1" x14ac:dyDescent="0.3">
      <c r="A459" t="s">
        <v>459</v>
      </c>
    </row>
    <row r="460" spans="1:1" x14ac:dyDescent="0.3">
      <c r="A460" t="s">
        <v>460</v>
      </c>
    </row>
    <row r="461" spans="1:1" x14ac:dyDescent="0.3">
      <c r="A461" t="s">
        <v>461</v>
      </c>
    </row>
    <row r="462" spans="1:1" x14ac:dyDescent="0.3">
      <c r="A462" t="s">
        <v>462</v>
      </c>
    </row>
    <row r="463" spans="1:1" x14ac:dyDescent="0.3">
      <c r="A463" t="s">
        <v>463</v>
      </c>
    </row>
    <row r="464" spans="1:1" x14ac:dyDescent="0.3">
      <c r="A464" t="s">
        <v>464</v>
      </c>
    </row>
    <row r="465" spans="1:1" x14ac:dyDescent="0.3">
      <c r="A465" t="s">
        <v>465</v>
      </c>
    </row>
    <row r="466" spans="1:1" x14ac:dyDescent="0.3">
      <c r="A466" t="s">
        <v>466</v>
      </c>
    </row>
    <row r="467" spans="1:1" x14ac:dyDescent="0.3">
      <c r="A467" t="s">
        <v>467</v>
      </c>
    </row>
    <row r="468" spans="1:1" x14ac:dyDescent="0.3">
      <c r="A468" t="s">
        <v>468</v>
      </c>
    </row>
    <row r="469" spans="1:1" x14ac:dyDescent="0.3">
      <c r="A469" t="s">
        <v>469</v>
      </c>
    </row>
    <row r="470" spans="1:1" x14ac:dyDescent="0.3">
      <c r="A470" t="s">
        <v>470</v>
      </c>
    </row>
    <row r="471" spans="1:1" x14ac:dyDescent="0.3">
      <c r="A471" t="s">
        <v>471</v>
      </c>
    </row>
    <row r="472" spans="1:1" x14ac:dyDescent="0.3">
      <c r="A472" t="s">
        <v>472</v>
      </c>
    </row>
    <row r="473" spans="1:1" x14ac:dyDescent="0.3">
      <c r="A473" t="s">
        <v>473</v>
      </c>
    </row>
    <row r="474" spans="1:1" x14ac:dyDescent="0.3">
      <c r="A474" t="s">
        <v>474</v>
      </c>
    </row>
    <row r="475" spans="1:1" x14ac:dyDescent="0.3">
      <c r="A475" t="s">
        <v>475</v>
      </c>
    </row>
    <row r="476" spans="1:1" x14ac:dyDescent="0.3">
      <c r="A476" t="s">
        <v>476</v>
      </c>
    </row>
    <row r="477" spans="1:1" x14ac:dyDescent="0.3">
      <c r="A477" t="s">
        <v>477</v>
      </c>
    </row>
    <row r="478" spans="1:1" x14ac:dyDescent="0.3">
      <c r="A478" t="s">
        <v>478</v>
      </c>
    </row>
    <row r="479" spans="1:1" x14ac:dyDescent="0.3">
      <c r="A479" t="s">
        <v>479</v>
      </c>
    </row>
    <row r="480" spans="1:1" x14ac:dyDescent="0.3">
      <c r="A480" t="s">
        <v>480</v>
      </c>
    </row>
    <row r="481" spans="1:1" x14ac:dyDescent="0.3">
      <c r="A481" t="s">
        <v>481</v>
      </c>
    </row>
    <row r="482" spans="1:1" x14ac:dyDescent="0.3">
      <c r="A482" t="s">
        <v>482</v>
      </c>
    </row>
    <row r="483" spans="1:1" x14ac:dyDescent="0.3">
      <c r="A483" t="s">
        <v>483</v>
      </c>
    </row>
    <row r="484" spans="1:1" x14ac:dyDescent="0.3">
      <c r="A484" t="s">
        <v>484</v>
      </c>
    </row>
    <row r="485" spans="1:1" x14ac:dyDescent="0.3">
      <c r="A485" t="s">
        <v>485</v>
      </c>
    </row>
    <row r="486" spans="1:1" x14ac:dyDescent="0.3">
      <c r="A486" t="s">
        <v>486</v>
      </c>
    </row>
    <row r="487" spans="1:1" x14ac:dyDescent="0.3">
      <c r="A487" t="s">
        <v>487</v>
      </c>
    </row>
    <row r="488" spans="1:1" x14ac:dyDescent="0.3">
      <c r="A488" t="s">
        <v>488</v>
      </c>
    </row>
    <row r="489" spans="1:1" x14ac:dyDescent="0.3">
      <c r="A489" t="s">
        <v>489</v>
      </c>
    </row>
    <row r="490" spans="1:1" x14ac:dyDescent="0.3">
      <c r="A490" t="s">
        <v>490</v>
      </c>
    </row>
    <row r="491" spans="1:1" x14ac:dyDescent="0.3">
      <c r="A491" t="s">
        <v>491</v>
      </c>
    </row>
    <row r="492" spans="1:1" x14ac:dyDescent="0.3">
      <c r="A492" t="s">
        <v>492</v>
      </c>
    </row>
    <row r="493" spans="1:1" x14ac:dyDescent="0.3">
      <c r="A493" t="s">
        <v>493</v>
      </c>
    </row>
    <row r="494" spans="1:1" x14ac:dyDescent="0.3">
      <c r="A494" t="s">
        <v>494</v>
      </c>
    </row>
    <row r="495" spans="1:1" x14ac:dyDescent="0.3">
      <c r="A495" t="s">
        <v>495</v>
      </c>
    </row>
    <row r="496" spans="1:1" x14ac:dyDescent="0.3">
      <c r="A496" t="s">
        <v>496</v>
      </c>
    </row>
    <row r="497" spans="1:1" x14ac:dyDescent="0.3">
      <c r="A497" t="s">
        <v>497</v>
      </c>
    </row>
    <row r="498" spans="1:1" x14ac:dyDescent="0.3">
      <c r="A498" t="s">
        <v>498</v>
      </c>
    </row>
    <row r="499" spans="1:1" x14ac:dyDescent="0.3">
      <c r="A499" t="s">
        <v>499</v>
      </c>
    </row>
    <row r="500" spans="1:1" x14ac:dyDescent="0.3">
      <c r="A500" t="s">
        <v>500</v>
      </c>
    </row>
    <row r="501" spans="1:1" x14ac:dyDescent="0.3">
      <c r="A501" t="s">
        <v>501</v>
      </c>
    </row>
    <row r="502" spans="1:1" x14ac:dyDescent="0.3">
      <c r="A502" t="s">
        <v>502</v>
      </c>
    </row>
    <row r="503" spans="1:1" x14ac:dyDescent="0.3">
      <c r="A503" t="s">
        <v>503</v>
      </c>
    </row>
    <row r="504" spans="1:1" x14ac:dyDescent="0.3">
      <c r="A504" t="s">
        <v>504</v>
      </c>
    </row>
    <row r="505" spans="1:1" x14ac:dyDescent="0.3">
      <c r="A505" t="s">
        <v>505</v>
      </c>
    </row>
    <row r="506" spans="1:1" x14ac:dyDescent="0.3">
      <c r="A506" t="s">
        <v>506</v>
      </c>
    </row>
    <row r="507" spans="1:1" x14ac:dyDescent="0.3">
      <c r="A507" t="s">
        <v>507</v>
      </c>
    </row>
    <row r="508" spans="1:1" x14ac:dyDescent="0.3">
      <c r="A508" t="s">
        <v>508</v>
      </c>
    </row>
    <row r="509" spans="1:1" x14ac:dyDescent="0.3">
      <c r="A509" t="s">
        <v>509</v>
      </c>
    </row>
    <row r="510" spans="1:1" x14ac:dyDescent="0.3">
      <c r="A510" t="s">
        <v>510</v>
      </c>
    </row>
    <row r="511" spans="1:1" x14ac:dyDescent="0.3">
      <c r="A511" t="s">
        <v>511</v>
      </c>
    </row>
    <row r="512" spans="1:1" x14ac:dyDescent="0.3">
      <c r="A512" t="s">
        <v>512</v>
      </c>
    </row>
    <row r="513" spans="1:1" x14ac:dyDescent="0.3">
      <c r="A513" t="s">
        <v>513</v>
      </c>
    </row>
    <row r="514" spans="1:1" x14ac:dyDescent="0.3">
      <c r="A514" t="s">
        <v>514</v>
      </c>
    </row>
    <row r="515" spans="1:1" x14ac:dyDescent="0.3">
      <c r="A515" t="s">
        <v>515</v>
      </c>
    </row>
    <row r="516" spans="1:1" x14ac:dyDescent="0.3">
      <c r="A516" t="s">
        <v>516</v>
      </c>
    </row>
    <row r="517" spans="1:1" x14ac:dyDescent="0.3">
      <c r="A517" t="s">
        <v>517</v>
      </c>
    </row>
    <row r="518" spans="1:1" x14ac:dyDescent="0.3">
      <c r="A518" t="s">
        <v>518</v>
      </c>
    </row>
    <row r="519" spans="1:1" x14ac:dyDescent="0.3">
      <c r="A519" t="s">
        <v>519</v>
      </c>
    </row>
    <row r="520" spans="1:1" x14ac:dyDescent="0.3">
      <c r="A520" t="s">
        <v>520</v>
      </c>
    </row>
    <row r="521" spans="1:1" x14ac:dyDescent="0.3">
      <c r="A521" t="s">
        <v>521</v>
      </c>
    </row>
    <row r="522" spans="1:1" x14ac:dyDescent="0.3">
      <c r="A522" t="s">
        <v>522</v>
      </c>
    </row>
    <row r="523" spans="1:1" x14ac:dyDescent="0.3">
      <c r="A523" t="s">
        <v>523</v>
      </c>
    </row>
    <row r="524" spans="1:1" x14ac:dyDescent="0.3">
      <c r="A524" t="s">
        <v>524</v>
      </c>
    </row>
    <row r="525" spans="1:1" x14ac:dyDescent="0.3">
      <c r="A525" t="s">
        <v>525</v>
      </c>
    </row>
    <row r="526" spans="1:1" x14ac:dyDescent="0.3">
      <c r="A526" t="s">
        <v>526</v>
      </c>
    </row>
    <row r="527" spans="1:1" x14ac:dyDescent="0.3">
      <c r="A527" t="s">
        <v>527</v>
      </c>
    </row>
    <row r="528" spans="1:1" x14ac:dyDescent="0.3">
      <c r="A528" t="s">
        <v>528</v>
      </c>
    </row>
    <row r="529" spans="1:1" x14ac:dyDescent="0.3">
      <c r="A529" t="s">
        <v>529</v>
      </c>
    </row>
    <row r="530" spans="1:1" x14ac:dyDescent="0.3">
      <c r="A530" t="s">
        <v>530</v>
      </c>
    </row>
    <row r="531" spans="1:1" x14ac:dyDescent="0.3">
      <c r="A531" t="s">
        <v>531</v>
      </c>
    </row>
    <row r="532" spans="1:1" x14ac:dyDescent="0.3">
      <c r="A532" t="s">
        <v>532</v>
      </c>
    </row>
    <row r="533" spans="1:1" x14ac:dyDescent="0.3">
      <c r="A533" t="s">
        <v>533</v>
      </c>
    </row>
    <row r="534" spans="1:1" x14ac:dyDescent="0.3">
      <c r="A534" t="s">
        <v>534</v>
      </c>
    </row>
    <row r="535" spans="1:1" x14ac:dyDescent="0.3">
      <c r="A535" t="s">
        <v>535</v>
      </c>
    </row>
    <row r="536" spans="1:1" x14ac:dyDescent="0.3">
      <c r="A536" t="s">
        <v>536</v>
      </c>
    </row>
    <row r="537" spans="1:1" x14ac:dyDescent="0.3">
      <c r="A537" t="s">
        <v>537</v>
      </c>
    </row>
    <row r="538" spans="1:1" x14ac:dyDescent="0.3">
      <c r="A538" t="s">
        <v>538</v>
      </c>
    </row>
    <row r="539" spans="1:1" x14ac:dyDescent="0.3">
      <c r="A539" t="s">
        <v>539</v>
      </c>
    </row>
    <row r="540" spans="1:1" x14ac:dyDescent="0.3">
      <c r="A540" t="s">
        <v>540</v>
      </c>
    </row>
    <row r="541" spans="1:1" x14ac:dyDescent="0.3">
      <c r="A541" t="s">
        <v>541</v>
      </c>
    </row>
    <row r="542" spans="1:1" x14ac:dyDescent="0.3">
      <c r="A542" t="s">
        <v>542</v>
      </c>
    </row>
    <row r="543" spans="1:1" x14ac:dyDescent="0.3">
      <c r="A543" t="s">
        <v>543</v>
      </c>
    </row>
    <row r="544" spans="1:1" x14ac:dyDescent="0.3">
      <c r="A544" t="s">
        <v>544</v>
      </c>
    </row>
    <row r="545" spans="1:1" x14ac:dyDescent="0.3">
      <c r="A545" t="s">
        <v>545</v>
      </c>
    </row>
    <row r="546" spans="1:1" x14ac:dyDescent="0.3">
      <c r="A546" t="s">
        <v>546</v>
      </c>
    </row>
    <row r="547" spans="1:1" x14ac:dyDescent="0.3">
      <c r="A547" t="s">
        <v>547</v>
      </c>
    </row>
    <row r="548" spans="1:1" x14ac:dyDescent="0.3">
      <c r="A548" t="s">
        <v>548</v>
      </c>
    </row>
    <row r="549" spans="1:1" x14ac:dyDescent="0.3">
      <c r="A549" t="s">
        <v>549</v>
      </c>
    </row>
    <row r="550" spans="1:1" x14ac:dyDescent="0.3">
      <c r="A550" t="s">
        <v>550</v>
      </c>
    </row>
    <row r="551" spans="1:1" x14ac:dyDescent="0.3">
      <c r="A551" t="s">
        <v>551</v>
      </c>
    </row>
    <row r="552" spans="1:1" x14ac:dyDescent="0.3">
      <c r="A552" t="s">
        <v>552</v>
      </c>
    </row>
    <row r="553" spans="1:1" x14ac:dyDescent="0.3">
      <c r="A553" t="s">
        <v>553</v>
      </c>
    </row>
    <row r="554" spans="1:1" x14ac:dyDescent="0.3">
      <c r="A554" t="s">
        <v>554</v>
      </c>
    </row>
    <row r="555" spans="1:1" x14ac:dyDescent="0.3">
      <c r="A555" t="s">
        <v>555</v>
      </c>
    </row>
    <row r="556" spans="1:1" x14ac:dyDescent="0.3">
      <c r="A556" t="s">
        <v>556</v>
      </c>
    </row>
    <row r="557" spans="1:1" x14ac:dyDescent="0.3">
      <c r="A557" t="s">
        <v>557</v>
      </c>
    </row>
    <row r="558" spans="1:1" x14ac:dyDescent="0.3">
      <c r="A558" t="s">
        <v>558</v>
      </c>
    </row>
    <row r="559" spans="1:1" x14ac:dyDescent="0.3">
      <c r="A559" t="s">
        <v>559</v>
      </c>
    </row>
    <row r="560" spans="1:1" x14ac:dyDescent="0.3">
      <c r="A560" t="s">
        <v>560</v>
      </c>
    </row>
    <row r="561" spans="1:1" x14ac:dyDescent="0.3">
      <c r="A561" t="s">
        <v>561</v>
      </c>
    </row>
    <row r="562" spans="1:1" x14ac:dyDescent="0.3">
      <c r="A562" t="s">
        <v>562</v>
      </c>
    </row>
    <row r="563" spans="1:1" x14ac:dyDescent="0.3">
      <c r="A563" t="s">
        <v>563</v>
      </c>
    </row>
    <row r="564" spans="1:1" x14ac:dyDescent="0.3">
      <c r="A564" t="s">
        <v>564</v>
      </c>
    </row>
    <row r="565" spans="1:1" x14ac:dyDescent="0.3">
      <c r="A565" t="s">
        <v>565</v>
      </c>
    </row>
    <row r="566" spans="1:1" x14ac:dyDescent="0.3">
      <c r="A566" t="s">
        <v>566</v>
      </c>
    </row>
    <row r="567" spans="1:1" x14ac:dyDescent="0.3">
      <c r="A567" t="s">
        <v>567</v>
      </c>
    </row>
    <row r="568" spans="1:1" x14ac:dyDescent="0.3">
      <c r="A568" t="s">
        <v>568</v>
      </c>
    </row>
    <row r="569" spans="1:1" x14ac:dyDescent="0.3">
      <c r="A569" t="s">
        <v>569</v>
      </c>
    </row>
    <row r="570" spans="1:1" x14ac:dyDescent="0.3">
      <c r="A570" t="s">
        <v>570</v>
      </c>
    </row>
    <row r="571" spans="1:1" x14ac:dyDescent="0.3">
      <c r="A571" t="s">
        <v>571</v>
      </c>
    </row>
    <row r="572" spans="1:1" x14ac:dyDescent="0.3">
      <c r="A572" t="s">
        <v>572</v>
      </c>
    </row>
    <row r="573" spans="1:1" x14ac:dyDescent="0.3">
      <c r="A573" t="s">
        <v>573</v>
      </c>
    </row>
    <row r="574" spans="1:1" x14ac:dyDescent="0.3">
      <c r="A574" t="s">
        <v>574</v>
      </c>
    </row>
    <row r="575" spans="1:1" x14ac:dyDescent="0.3">
      <c r="A575" t="s">
        <v>575</v>
      </c>
    </row>
    <row r="576" spans="1:1" x14ac:dyDescent="0.3">
      <c r="A576" t="s">
        <v>576</v>
      </c>
    </row>
    <row r="577" spans="1:1" x14ac:dyDescent="0.3">
      <c r="A577" t="s">
        <v>577</v>
      </c>
    </row>
    <row r="578" spans="1:1" x14ac:dyDescent="0.3">
      <c r="A578" t="s">
        <v>578</v>
      </c>
    </row>
    <row r="579" spans="1:1" x14ac:dyDescent="0.3">
      <c r="A579" t="s">
        <v>579</v>
      </c>
    </row>
    <row r="580" spans="1:1" x14ac:dyDescent="0.3">
      <c r="A580" t="s">
        <v>580</v>
      </c>
    </row>
    <row r="581" spans="1:1" x14ac:dyDescent="0.3">
      <c r="A581" t="s">
        <v>581</v>
      </c>
    </row>
    <row r="582" spans="1:1" x14ac:dyDescent="0.3">
      <c r="A582" t="s">
        <v>582</v>
      </c>
    </row>
    <row r="583" spans="1:1" x14ac:dyDescent="0.3">
      <c r="A583" t="s">
        <v>583</v>
      </c>
    </row>
    <row r="584" spans="1:1" x14ac:dyDescent="0.3">
      <c r="A584" t="s">
        <v>584</v>
      </c>
    </row>
    <row r="585" spans="1:1" x14ac:dyDescent="0.3">
      <c r="A585" t="s">
        <v>585</v>
      </c>
    </row>
    <row r="586" spans="1:1" x14ac:dyDescent="0.3">
      <c r="A586" t="s">
        <v>586</v>
      </c>
    </row>
    <row r="587" spans="1:1" x14ac:dyDescent="0.3">
      <c r="A587" t="s">
        <v>587</v>
      </c>
    </row>
    <row r="588" spans="1:1" x14ac:dyDescent="0.3">
      <c r="A588" t="s">
        <v>588</v>
      </c>
    </row>
    <row r="589" spans="1:1" x14ac:dyDescent="0.3">
      <c r="A589" t="s">
        <v>589</v>
      </c>
    </row>
    <row r="590" spans="1:1" x14ac:dyDescent="0.3">
      <c r="A590" t="s">
        <v>590</v>
      </c>
    </row>
    <row r="591" spans="1:1" x14ac:dyDescent="0.3">
      <c r="A591" t="s">
        <v>591</v>
      </c>
    </row>
    <row r="592" spans="1:1" x14ac:dyDescent="0.3">
      <c r="A592" t="s">
        <v>592</v>
      </c>
    </row>
    <row r="593" spans="1:1" x14ac:dyDescent="0.3">
      <c r="A593" t="s">
        <v>593</v>
      </c>
    </row>
    <row r="594" spans="1:1" x14ac:dyDescent="0.3">
      <c r="A594" t="s">
        <v>594</v>
      </c>
    </row>
    <row r="595" spans="1:1" x14ac:dyDescent="0.3">
      <c r="A595" t="s">
        <v>595</v>
      </c>
    </row>
    <row r="596" spans="1:1" x14ac:dyDescent="0.3">
      <c r="A596" t="s">
        <v>596</v>
      </c>
    </row>
    <row r="597" spans="1:1" x14ac:dyDescent="0.3">
      <c r="A597" t="s">
        <v>597</v>
      </c>
    </row>
    <row r="598" spans="1:1" x14ac:dyDescent="0.3">
      <c r="A598" t="s">
        <v>598</v>
      </c>
    </row>
    <row r="599" spans="1:1" x14ac:dyDescent="0.3">
      <c r="A599" t="s">
        <v>599</v>
      </c>
    </row>
    <row r="600" spans="1:1" x14ac:dyDescent="0.3">
      <c r="A600" t="s">
        <v>600</v>
      </c>
    </row>
    <row r="601" spans="1:1" x14ac:dyDescent="0.3">
      <c r="A601" t="s">
        <v>601</v>
      </c>
    </row>
    <row r="602" spans="1:1" x14ac:dyDescent="0.3">
      <c r="A602" t="s">
        <v>602</v>
      </c>
    </row>
    <row r="603" spans="1:1" x14ac:dyDescent="0.3">
      <c r="A603" t="s">
        <v>603</v>
      </c>
    </row>
    <row r="604" spans="1:1" x14ac:dyDescent="0.3">
      <c r="A604" t="s">
        <v>604</v>
      </c>
    </row>
    <row r="605" spans="1:1" x14ac:dyDescent="0.3">
      <c r="A605" t="s">
        <v>605</v>
      </c>
    </row>
    <row r="606" spans="1:1" x14ac:dyDescent="0.3">
      <c r="A606" t="s">
        <v>606</v>
      </c>
    </row>
    <row r="607" spans="1:1" x14ac:dyDescent="0.3">
      <c r="A607" t="s">
        <v>607</v>
      </c>
    </row>
    <row r="608" spans="1:1" x14ac:dyDescent="0.3">
      <c r="A608" t="s">
        <v>608</v>
      </c>
    </row>
    <row r="609" spans="1:1" x14ac:dyDescent="0.3">
      <c r="A609" t="s">
        <v>609</v>
      </c>
    </row>
    <row r="610" spans="1:1" x14ac:dyDescent="0.3">
      <c r="A610" t="s">
        <v>610</v>
      </c>
    </row>
    <row r="611" spans="1:1" x14ac:dyDescent="0.3">
      <c r="A611" t="s">
        <v>611</v>
      </c>
    </row>
    <row r="612" spans="1:1" x14ac:dyDescent="0.3">
      <c r="A612" t="s">
        <v>612</v>
      </c>
    </row>
    <row r="613" spans="1:1" x14ac:dyDescent="0.3">
      <c r="A613" t="s">
        <v>613</v>
      </c>
    </row>
    <row r="614" spans="1:1" x14ac:dyDescent="0.3">
      <c r="A614" t="s">
        <v>614</v>
      </c>
    </row>
    <row r="615" spans="1:1" x14ac:dyDescent="0.3">
      <c r="A615" t="s">
        <v>615</v>
      </c>
    </row>
    <row r="616" spans="1:1" x14ac:dyDescent="0.3">
      <c r="A616" t="s">
        <v>616</v>
      </c>
    </row>
    <row r="617" spans="1:1" x14ac:dyDescent="0.3">
      <c r="A617" t="s">
        <v>617</v>
      </c>
    </row>
    <row r="618" spans="1:1" x14ac:dyDescent="0.3">
      <c r="A618" t="s">
        <v>618</v>
      </c>
    </row>
    <row r="619" spans="1:1" x14ac:dyDescent="0.3">
      <c r="A619" t="s">
        <v>619</v>
      </c>
    </row>
    <row r="620" spans="1:1" x14ac:dyDescent="0.3">
      <c r="A620" t="s">
        <v>620</v>
      </c>
    </row>
    <row r="621" spans="1:1" x14ac:dyDescent="0.3">
      <c r="A621" t="s">
        <v>621</v>
      </c>
    </row>
    <row r="622" spans="1:1" x14ac:dyDescent="0.3">
      <c r="A622" t="s">
        <v>622</v>
      </c>
    </row>
    <row r="623" spans="1:1" x14ac:dyDescent="0.3">
      <c r="A623" t="s">
        <v>623</v>
      </c>
    </row>
    <row r="624" spans="1:1" x14ac:dyDescent="0.3">
      <c r="A624" t="s">
        <v>624</v>
      </c>
    </row>
    <row r="625" spans="1:1" x14ac:dyDescent="0.3">
      <c r="A625" t="s">
        <v>625</v>
      </c>
    </row>
    <row r="626" spans="1:1" x14ac:dyDescent="0.3">
      <c r="A626" t="s">
        <v>626</v>
      </c>
    </row>
    <row r="627" spans="1:1" x14ac:dyDescent="0.3">
      <c r="A627" t="s">
        <v>627</v>
      </c>
    </row>
    <row r="628" spans="1:1" x14ac:dyDescent="0.3">
      <c r="A628" t="s">
        <v>628</v>
      </c>
    </row>
    <row r="629" spans="1:1" x14ac:dyDescent="0.3">
      <c r="A629" t="s">
        <v>629</v>
      </c>
    </row>
    <row r="630" spans="1:1" x14ac:dyDescent="0.3">
      <c r="A630" t="s">
        <v>630</v>
      </c>
    </row>
    <row r="631" spans="1:1" x14ac:dyDescent="0.3">
      <c r="A631" t="s">
        <v>631</v>
      </c>
    </row>
    <row r="632" spans="1:1" x14ac:dyDescent="0.3">
      <c r="A632" t="s">
        <v>632</v>
      </c>
    </row>
    <row r="633" spans="1:1" x14ac:dyDescent="0.3">
      <c r="A633" t="s">
        <v>633</v>
      </c>
    </row>
    <row r="634" spans="1:1" x14ac:dyDescent="0.3">
      <c r="A634" t="s">
        <v>634</v>
      </c>
    </row>
    <row r="635" spans="1:1" x14ac:dyDescent="0.3">
      <c r="A635" t="s">
        <v>635</v>
      </c>
    </row>
    <row r="636" spans="1:1" x14ac:dyDescent="0.3">
      <c r="A636" t="s">
        <v>636</v>
      </c>
    </row>
    <row r="637" spans="1:1" x14ac:dyDescent="0.3">
      <c r="A637" t="s">
        <v>637</v>
      </c>
    </row>
    <row r="638" spans="1:1" x14ac:dyDescent="0.3">
      <c r="A638" t="s">
        <v>638</v>
      </c>
    </row>
    <row r="639" spans="1:1" x14ac:dyDescent="0.3">
      <c r="A639" t="s">
        <v>639</v>
      </c>
    </row>
    <row r="640" spans="1:1" x14ac:dyDescent="0.3">
      <c r="A640" t="s">
        <v>640</v>
      </c>
    </row>
    <row r="641" spans="1:1" x14ac:dyDescent="0.3">
      <c r="A641" t="s">
        <v>641</v>
      </c>
    </row>
    <row r="642" spans="1:1" x14ac:dyDescent="0.3">
      <c r="A642" t="s">
        <v>642</v>
      </c>
    </row>
    <row r="643" spans="1:1" x14ac:dyDescent="0.3">
      <c r="A643" t="s">
        <v>643</v>
      </c>
    </row>
    <row r="644" spans="1:1" x14ac:dyDescent="0.3">
      <c r="A644" t="s">
        <v>644</v>
      </c>
    </row>
    <row r="645" spans="1:1" x14ac:dyDescent="0.3">
      <c r="A645" t="s">
        <v>645</v>
      </c>
    </row>
    <row r="646" spans="1:1" x14ac:dyDescent="0.3">
      <c r="A646" t="s">
        <v>646</v>
      </c>
    </row>
    <row r="647" spans="1:1" x14ac:dyDescent="0.3">
      <c r="A647" t="s">
        <v>647</v>
      </c>
    </row>
    <row r="648" spans="1:1" x14ac:dyDescent="0.3">
      <c r="A648" t="s">
        <v>648</v>
      </c>
    </row>
    <row r="649" spans="1:1" x14ac:dyDescent="0.3">
      <c r="A649" t="s">
        <v>649</v>
      </c>
    </row>
    <row r="650" spans="1:1" x14ac:dyDescent="0.3">
      <c r="A650" t="s">
        <v>650</v>
      </c>
    </row>
    <row r="651" spans="1:1" x14ac:dyDescent="0.3">
      <c r="A651" t="s">
        <v>651</v>
      </c>
    </row>
    <row r="652" spans="1:1" x14ac:dyDescent="0.3">
      <c r="A652" t="s">
        <v>652</v>
      </c>
    </row>
    <row r="653" spans="1:1" x14ac:dyDescent="0.3">
      <c r="A653" t="s">
        <v>653</v>
      </c>
    </row>
    <row r="654" spans="1:1" x14ac:dyDescent="0.3">
      <c r="A654" t="s">
        <v>654</v>
      </c>
    </row>
    <row r="655" spans="1:1" x14ac:dyDescent="0.3">
      <c r="A655" t="s">
        <v>655</v>
      </c>
    </row>
    <row r="656" spans="1:1" x14ac:dyDescent="0.3">
      <c r="A656" t="s">
        <v>656</v>
      </c>
    </row>
    <row r="657" spans="1:1" x14ac:dyDescent="0.3">
      <c r="A657" t="s">
        <v>657</v>
      </c>
    </row>
    <row r="658" spans="1:1" x14ac:dyDescent="0.3">
      <c r="A658" t="s">
        <v>658</v>
      </c>
    </row>
    <row r="659" spans="1:1" x14ac:dyDescent="0.3">
      <c r="A659" t="s">
        <v>659</v>
      </c>
    </row>
    <row r="660" spans="1:1" x14ac:dyDescent="0.3">
      <c r="A660" t="s">
        <v>660</v>
      </c>
    </row>
    <row r="661" spans="1:1" x14ac:dyDescent="0.3">
      <c r="A661" t="s">
        <v>661</v>
      </c>
    </row>
    <row r="662" spans="1:1" x14ac:dyDescent="0.3">
      <c r="A662" t="s">
        <v>662</v>
      </c>
    </row>
    <row r="663" spans="1:1" x14ac:dyDescent="0.3">
      <c r="A663" t="s">
        <v>663</v>
      </c>
    </row>
    <row r="664" spans="1:1" x14ac:dyDescent="0.3">
      <c r="A664" t="s">
        <v>664</v>
      </c>
    </row>
    <row r="665" spans="1:1" x14ac:dyDescent="0.3">
      <c r="A665" t="s">
        <v>665</v>
      </c>
    </row>
    <row r="666" spans="1:1" x14ac:dyDescent="0.3">
      <c r="A666" t="s">
        <v>666</v>
      </c>
    </row>
    <row r="667" spans="1:1" x14ac:dyDescent="0.3">
      <c r="A667" t="s">
        <v>667</v>
      </c>
    </row>
    <row r="668" spans="1:1" x14ac:dyDescent="0.3">
      <c r="A668" t="s">
        <v>668</v>
      </c>
    </row>
    <row r="669" spans="1:1" x14ac:dyDescent="0.3">
      <c r="A669" t="s">
        <v>669</v>
      </c>
    </row>
    <row r="670" spans="1:1" x14ac:dyDescent="0.3">
      <c r="A670" t="s">
        <v>670</v>
      </c>
    </row>
    <row r="671" spans="1:1" x14ac:dyDescent="0.3">
      <c r="A671" t="s">
        <v>671</v>
      </c>
    </row>
    <row r="672" spans="1:1" x14ac:dyDescent="0.3">
      <c r="A672" t="s">
        <v>672</v>
      </c>
    </row>
    <row r="673" spans="1:1" x14ac:dyDescent="0.3">
      <c r="A673" t="s">
        <v>673</v>
      </c>
    </row>
    <row r="674" spans="1:1" x14ac:dyDescent="0.3">
      <c r="A674" t="s">
        <v>674</v>
      </c>
    </row>
    <row r="675" spans="1:1" x14ac:dyDescent="0.3">
      <c r="A675" t="s">
        <v>675</v>
      </c>
    </row>
    <row r="676" spans="1:1" x14ac:dyDescent="0.3">
      <c r="A676" t="s">
        <v>676</v>
      </c>
    </row>
    <row r="677" spans="1:1" x14ac:dyDescent="0.3">
      <c r="A677" t="s">
        <v>677</v>
      </c>
    </row>
    <row r="678" spans="1:1" x14ac:dyDescent="0.3">
      <c r="A678" t="s">
        <v>678</v>
      </c>
    </row>
    <row r="679" spans="1:1" x14ac:dyDescent="0.3">
      <c r="A679" t="s">
        <v>679</v>
      </c>
    </row>
    <row r="680" spans="1:1" x14ac:dyDescent="0.3">
      <c r="A680" t="s">
        <v>680</v>
      </c>
    </row>
    <row r="681" spans="1:1" x14ac:dyDescent="0.3">
      <c r="A681" t="s">
        <v>681</v>
      </c>
    </row>
    <row r="682" spans="1:1" x14ac:dyDescent="0.3">
      <c r="A682" t="s">
        <v>682</v>
      </c>
    </row>
    <row r="683" spans="1:1" x14ac:dyDescent="0.3">
      <c r="A683" t="s">
        <v>683</v>
      </c>
    </row>
    <row r="684" spans="1:1" x14ac:dyDescent="0.3">
      <c r="A684" t="s">
        <v>684</v>
      </c>
    </row>
    <row r="685" spans="1:1" x14ac:dyDescent="0.3">
      <c r="A685" t="s">
        <v>685</v>
      </c>
    </row>
    <row r="686" spans="1:1" x14ac:dyDescent="0.3">
      <c r="A686" t="s">
        <v>686</v>
      </c>
    </row>
    <row r="687" spans="1:1" x14ac:dyDescent="0.3">
      <c r="A687" t="s">
        <v>687</v>
      </c>
    </row>
    <row r="688" spans="1:1" x14ac:dyDescent="0.3">
      <c r="A688" t="s">
        <v>688</v>
      </c>
    </row>
    <row r="689" spans="1:1" x14ac:dyDescent="0.3">
      <c r="A689" t="s">
        <v>689</v>
      </c>
    </row>
    <row r="690" spans="1:1" x14ac:dyDescent="0.3">
      <c r="A690" t="s">
        <v>690</v>
      </c>
    </row>
    <row r="691" spans="1:1" x14ac:dyDescent="0.3">
      <c r="A691" t="s">
        <v>691</v>
      </c>
    </row>
    <row r="692" spans="1:1" x14ac:dyDescent="0.3">
      <c r="A692" t="s">
        <v>692</v>
      </c>
    </row>
    <row r="693" spans="1:1" x14ac:dyDescent="0.3">
      <c r="A693" t="s">
        <v>693</v>
      </c>
    </row>
    <row r="694" spans="1:1" x14ac:dyDescent="0.3">
      <c r="A694" t="s">
        <v>694</v>
      </c>
    </row>
    <row r="695" spans="1:1" x14ac:dyDescent="0.3">
      <c r="A695" t="s">
        <v>695</v>
      </c>
    </row>
    <row r="696" spans="1:1" x14ac:dyDescent="0.3">
      <c r="A696" t="s">
        <v>696</v>
      </c>
    </row>
    <row r="697" spans="1:1" x14ac:dyDescent="0.3">
      <c r="A697" t="s">
        <v>697</v>
      </c>
    </row>
    <row r="698" spans="1:1" x14ac:dyDescent="0.3">
      <c r="A698" t="s">
        <v>698</v>
      </c>
    </row>
    <row r="699" spans="1:1" x14ac:dyDescent="0.3">
      <c r="A699" t="s">
        <v>699</v>
      </c>
    </row>
    <row r="700" spans="1:1" x14ac:dyDescent="0.3">
      <c r="A700" t="s">
        <v>700</v>
      </c>
    </row>
    <row r="701" spans="1:1" x14ac:dyDescent="0.3">
      <c r="A701" t="s">
        <v>701</v>
      </c>
    </row>
    <row r="702" spans="1:1" x14ac:dyDescent="0.3">
      <c r="A702" t="s">
        <v>702</v>
      </c>
    </row>
    <row r="703" spans="1:1" x14ac:dyDescent="0.3">
      <c r="A703" t="s">
        <v>703</v>
      </c>
    </row>
    <row r="704" spans="1:1" x14ac:dyDescent="0.3">
      <c r="A704" t="s">
        <v>704</v>
      </c>
    </row>
    <row r="705" spans="1:1" x14ac:dyDescent="0.3">
      <c r="A705" t="s">
        <v>705</v>
      </c>
    </row>
    <row r="706" spans="1:1" x14ac:dyDescent="0.3">
      <c r="A706" t="s">
        <v>706</v>
      </c>
    </row>
    <row r="707" spans="1:1" x14ac:dyDescent="0.3">
      <c r="A707" t="s">
        <v>707</v>
      </c>
    </row>
    <row r="708" spans="1:1" x14ac:dyDescent="0.3">
      <c r="A708" t="s">
        <v>708</v>
      </c>
    </row>
    <row r="709" spans="1:1" x14ac:dyDescent="0.3">
      <c r="A709" t="s">
        <v>709</v>
      </c>
    </row>
    <row r="710" spans="1:1" x14ac:dyDescent="0.3">
      <c r="A710" t="s">
        <v>710</v>
      </c>
    </row>
    <row r="711" spans="1:1" x14ac:dyDescent="0.3">
      <c r="A711" t="s">
        <v>711</v>
      </c>
    </row>
    <row r="712" spans="1:1" x14ac:dyDescent="0.3">
      <c r="A712" t="s">
        <v>712</v>
      </c>
    </row>
    <row r="713" spans="1:1" x14ac:dyDescent="0.3">
      <c r="A713" t="s">
        <v>713</v>
      </c>
    </row>
    <row r="714" spans="1:1" x14ac:dyDescent="0.3">
      <c r="A714" t="s">
        <v>714</v>
      </c>
    </row>
    <row r="715" spans="1:1" x14ac:dyDescent="0.3">
      <c r="A715" t="s">
        <v>715</v>
      </c>
    </row>
    <row r="716" spans="1:1" x14ac:dyDescent="0.3">
      <c r="A716" t="s">
        <v>716</v>
      </c>
    </row>
    <row r="717" spans="1:1" x14ac:dyDescent="0.3">
      <c r="A717" t="s">
        <v>717</v>
      </c>
    </row>
    <row r="718" spans="1:1" x14ac:dyDescent="0.3">
      <c r="A718" t="s">
        <v>718</v>
      </c>
    </row>
    <row r="719" spans="1:1" x14ac:dyDescent="0.3">
      <c r="A719" t="s">
        <v>719</v>
      </c>
    </row>
    <row r="720" spans="1:1" x14ac:dyDescent="0.3">
      <c r="A720" t="s">
        <v>720</v>
      </c>
    </row>
    <row r="721" spans="1:2" x14ac:dyDescent="0.3">
      <c r="A721" t="s">
        <v>721</v>
      </c>
    </row>
    <row r="722" spans="1:2" x14ac:dyDescent="0.3">
      <c r="A722" t="s">
        <v>722</v>
      </c>
    </row>
    <row r="723" spans="1:2" x14ac:dyDescent="0.3">
      <c r="A723" t="s">
        <v>723</v>
      </c>
    </row>
    <row r="724" spans="1:2" x14ac:dyDescent="0.3">
      <c r="A724" t="s">
        <v>724</v>
      </c>
    </row>
    <row r="725" spans="1:2" x14ac:dyDescent="0.3">
      <c r="A725" t="s">
        <v>725</v>
      </c>
    </row>
    <row r="726" spans="1:2" x14ac:dyDescent="0.3">
      <c r="A726" t="s">
        <v>726</v>
      </c>
    </row>
    <row r="727" spans="1:2" x14ac:dyDescent="0.3">
      <c r="A727" t="s">
        <v>727</v>
      </c>
    </row>
    <row r="728" spans="1:2" x14ac:dyDescent="0.3">
      <c r="A728" t="s">
        <v>728</v>
      </c>
    </row>
    <row r="729" spans="1:2" x14ac:dyDescent="0.3">
      <c r="A729" t="s">
        <v>729</v>
      </c>
    </row>
    <row r="730" spans="1:2" x14ac:dyDescent="0.3">
      <c r="A730" t="s">
        <v>730</v>
      </c>
    </row>
    <row r="731" spans="1:2" x14ac:dyDescent="0.3">
      <c r="A731" t="s">
        <v>731</v>
      </c>
    </row>
    <row r="732" spans="1:2" x14ac:dyDescent="0.3">
      <c r="A732" t="s">
        <v>732</v>
      </c>
    </row>
    <row r="733" spans="1:2" x14ac:dyDescent="0.3">
      <c r="A733" t="s">
        <v>733</v>
      </c>
      <c r="B733" t="s">
        <v>734</v>
      </c>
    </row>
    <row r="734" spans="1:2" x14ac:dyDescent="0.3">
      <c r="A734" t="s">
        <v>735</v>
      </c>
    </row>
    <row r="735" spans="1:2" x14ac:dyDescent="0.3">
      <c r="A735" t="s">
        <v>736</v>
      </c>
    </row>
    <row r="736" spans="1:2" x14ac:dyDescent="0.3">
      <c r="A736" t="s">
        <v>737</v>
      </c>
    </row>
    <row r="737" spans="1:1" x14ac:dyDescent="0.3">
      <c r="A737" t="s">
        <v>738</v>
      </c>
    </row>
    <row r="738" spans="1:1" x14ac:dyDescent="0.3">
      <c r="A738" t="s">
        <v>739</v>
      </c>
    </row>
    <row r="739" spans="1:1" x14ac:dyDescent="0.3">
      <c r="A739" t="s">
        <v>740</v>
      </c>
    </row>
    <row r="740" spans="1:1" x14ac:dyDescent="0.3">
      <c r="A740" t="s">
        <v>741</v>
      </c>
    </row>
    <row r="741" spans="1:1" x14ac:dyDescent="0.3">
      <c r="A741" t="s">
        <v>742</v>
      </c>
    </row>
    <row r="742" spans="1:1" x14ac:dyDescent="0.3">
      <c r="A742" t="s">
        <v>743</v>
      </c>
    </row>
    <row r="743" spans="1:1" x14ac:dyDescent="0.3">
      <c r="A743" t="s">
        <v>744</v>
      </c>
    </row>
    <row r="744" spans="1:1" x14ac:dyDescent="0.3">
      <c r="A744" t="s">
        <v>745</v>
      </c>
    </row>
    <row r="745" spans="1:1" x14ac:dyDescent="0.3">
      <c r="A745" t="s">
        <v>746</v>
      </c>
    </row>
    <row r="746" spans="1:1" x14ac:dyDescent="0.3">
      <c r="A746" t="s">
        <v>747</v>
      </c>
    </row>
    <row r="747" spans="1:1" x14ac:dyDescent="0.3">
      <c r="A747" t="s">
        <v>748</v>
      </c>
    </row>
    <row r="748" spans="1:1" x14ac:dyDescent="0.3">
      <c r="A748" t="s">
        <v>749</v>
      </c>
    </row>
    <row r="749" spans="1:1" x14ac:dyDescent="0.3">
      <c r="A749" t="s">
        <v>750</v>
      </c>
    </row>
    <row r="750" spans="1:1" x14ac:dyDescent="0.3">
      <c r="A750" t="s">
        <v>751</v>
      </c>
    </row>
    <row r="751" spans="1:1" x14ac:dyDescent="0.3">
      <c r="A751" t="s">
        <v>752</v>
      </c>
    </row>
    <row r="752" spans="1:1" x14ac:dyDescent="0.3">
      <c r="A752" t="s">
        <v>753</v>
      </c>
    </row>
    <row r="753" spans="1:1" x14ac:dyDescent="0.3">
      <c r="A753" t="s">
        <v>754</v>
      </c>
    </row>
    <row r="754" spans="1:1" x14ac:dyDescent="0.3">
      <c r="A754" t="s">
        <v>755</v>
      </c>
    </row>
    <row r="755" spans="1:1" x14ac:dyDescent="0.3">
      <c r="A755" t="s">
        <v>756</v>
      </c>
    </row>
    <row r="756" spans="1:1" x14ac:dyDescent="0.3">
      <c r="A756" t="s">
        <v>757</v>
      </c>
    </row>
    <row r="757" spans="1:1" x14ac:dyDescent="0.3">
      <c r="A757" t="s">
        <v>758</v>
      </c>
    </row>
    <row r="758" spans="1:1" x14ac:dyDescent="0.3">
      <c r="A758" t="s">
        <v>759</v>
      </c>
    </row>
    <row r="759" spans="1:1" x14ac:dyDescent="0.3">
      <c r="A759" t="s">
        <v>760</v>
      </c>
    </row>
    <row r="760" spans="1:1" x14ac:dyDescent="0.3">
      <c r="A760" t="s">
        <v>761</v>
      </c>
    </row>
    <row r="761" spans="1:1" x14ac:dyDescent="0.3">
      <c r="A761" t="s">
        <v>762</v>
      </c>
    </row>
    <row r="762" spans="1:1" x14ac:dyDescent="0.3">
      <c r="A762" t="s">
        <v>763</v>
      </c>
    </row>
    <row r="763" spans="1:1" x14ac:dyDescent="0.3">
      <c r="A763" t="s">
        <v>764</v>
      </c>
    </row>
    <row r="764" spans="1:1" x14ac:dyDescent="0.3">
      <c r="A764" t="s">
        <v>765</v>
      </c>
    </row>
    <row r="765" spans="1:1" x14ac:dyDescent="0.3">
      <c r="A765" t="s">
        <v>766</v>
      </c>
    </row>
    <row r="766" spans="1:1" x14ac:dyDescent="0.3">
      <c r="A766" t="s">
        <v>767</v>
      </c>
    </row>
    <row r="767" spans="1:1" x14ac:dyDescent="0.3">
      <c r="A767" t="s">
        <v>768</v>
      </c>
    </row>
    <row r="768" spans="1:1" x14ac:dyDescent="0.3">
      <c r="A768" t="s">
        <v>769</v>
      </c>
    </row>
    <row r="769" spans="1:1" x14ac:dyDescent="0.3">
      <c r="A769" t="s">
        <v>770</v>
      </c>
    </row>
    <row r="770" spans="1:1" x14ac:dyDescent="0.3">
      <c r="A770" t="s">
        <v>771</v>
      </c>
    </row>
    <row r="771" spans="1:1" x14ac:dyDescent="0.3">
      <c r="A771" t="s">
        <v>772</v>
      </c>
    </row>
    <row r="772" spans="1:1" x14ac:dyDescent="0.3">
      <c r="A772" t="s">
        <v>773</v>
      </c>
    </row>
    <row r="773" spans="1:1" x14ac:dyDescent="0.3">
      <c r="A773" t="s">
        <v>774</v>
      </c>
    </row>
    <row r="774" spans="1:1" x14ac:dyDescent="0.3">
      <c r="A774" t="s">
        <v>775</v>
      </c>
    </row>
    <row r="775" spans="1:1" x14ac:dyDescent="0.3">
      <c r="A775" t="s">
        <v>776</v>
      </c>
    </row>
    <row r="776" spans="1:1" x14ac:dyDescent="0.3">
      <c r="A776" t="s">
        <v>777</v>
      </c>
    </row>
    <row r="777" spans="1:1" x14ac:dyDescent="0.3">
      <c r="A777" t="s">
        <v>778</v>
      </c>
    </row>
    <row r="778" spans="1:1" x14ac:dyDescent="0.3">
      <c r="A778" t="s">
        <v>779</v>
      </c>
    </row>
    <row r="779" spans="1:1" x14ac:dyDescent="0.3">
      <c r="A779" t="s">
        <v>780</v>
      </c>
    </row>
    <row r="780" spans="1:1" x14ac:dyDescent="0.3">
      <c r="A780" t="s">
        <v>781</v>
      </c>
    </row>
    <row r="781" spans="1:1" x14ac:dyDescent="0.3">
      <c r="A781" t="s">
        <v>782</v>
      </c>
    </row>
    <row r="782" spans="1:1" x14ac:dyDescent="0.3">
      <c r="A782" t="s">
        <v>783</v>
      </c>
    </row>
    <row r="783" spans="1:1" x14ac:dyDescent="0.3">
      <c r="A783" t="s">
        <v>784</v>
      </c>
    </row>
    <row r="784" spans="1:1" x14ac:dyDescent="0.3">
      <c r="A784" t="s">
        <v>785</v>
      </c>
    </row>
    <row r="785" spans="1:1" x14ac:dyDescent="0.3">
      <c r="A785" t="s">
        <v>786</v>
      </c>
    </row>
    <row r="786" spans="1:1" x14ac:dyDescent="0.3">
      <c r="A786" t="s">
        <v>787</v>
      </c>
    </row>
    <row r="787" spans="1:1" x14ac:dyDescent="0.3">
      <c r="A787" t="s">
        <v>788</v>
      </c>
    </row>
    <row r="788" spans="1:1" x14ac:dyDescent="0.3">
      <c r="A788" t="s">
        <v>789</v>
      </c>
    </row>
    <row r="789" spans="1:1" x14ac:dyDescent="0.3">
      <c r="A789" t="s">
        <v>790</v>
      </c>
    </row>
    <row r="790" spans="1:1" x14ac:dyDescent="0.3">
      <c r="A790" t="s">
        <v>791</v>
      </c>
    </row>
    <row r="791" spans="1:1" x14ac:dyDescent="0.3">
      <c r="A791" t="s">
        <v>792</v>
      </c>
    </row>
    <row r="792" spans="1:1" x14ac:dyDescent="0.3">
      <c r="A792" t="s">
        <v>793</v>
      </c>
    </row>
    <row r="793" spans="1:1" x14ac:dyDescent="0.3">
      <c r="A793" t="s">
        <v>794</v>
      </c>
    </row>
    <row r="794" spans="1:1" x14ac:dyDescent="0.3">
      <c r="A794" t="s">
        <v>795</v>
      </c>
    </row>
    <row r="795" spans="1:1" x14ac:dyDescent="0.3">
      <c r="A795" t="s">
        <v>796</v>
      </c>
    </row>
    <row r="796" spans="1:1" x14ac:dyDescent="0.3">
      <c r="A796" t="s">
        <v>797</v>
      </c>
    </row>
    <row r="797" spans="1:1" x14ac:dyDescent="0.3">
      <c r="A797" t="s">
        <v>798</v>
      </c>
    </row>
    <row r="798" spans="1:1" x14ac:dyDescent="0.3">
      <c r="A798" t="s">
        <v>799</v>
      </c>
    </row>
    <row r="799" spans="1:1" x14ac:dyDescent="0.3">
      <c r="A799" t="s">
        <v>800</v>
      </c>
    </row>
    <row r="800" spans="1:1" x14ac:dyDescent="0.3">
      <c r="A800" t="s">
        <v>801</v>
      </c>
    </row>
    <row r="801" spans="1:1" x14ac:dyDescent="0.3">
      <c r="A801" t="s">
        <v>802</v>
      </c>
    </row>
    <row r="802" spans="1:1" x14ac:dyDescent="0.3">
      <c r="A802" t="s">
        <v>803</v>
      </c>
    </row>
    <row r="803" spans="1:1" x14ac:dyDescent="0.3">
      <c r="A803" t="s">
        <v>804</v>
      </c>
    </row>
    <row r="804" spans="1:1" x14ac:dyDescent="0.3">
      <c r="A804" t="s">
        <v>805</v>
      </c>
    </row>
    <row r="805" spans="1:1" x14ac:dyDescent="0.3">
      <c r="A805" t="s">
        <v>806</v>
      </c>
    </row>
    <row r="806" spans="1:1" x14ac:dyDescent="0.3">
      <c r="A806" t="s">
        <v>807</v>
      </c>
    </row>
    <row r="807" spans="1:1" x14ac:dyDescent="0.3">
      <c r="A807" t="s">
        <v>808</v>
      </c>
    </row>
    <row r="808" spans="1:1" x14ac:dyDescent="0.3">
      <c r="A808" t="s">
        <v>809</v>
      </c>
    </row>
    <row r="809" spans="1:1" x14ac:dyDescent="0.3">
      <c r="A809" t="s">
        <v>810</v>
      </c>
    </row>
    <row r="810" spans="1:1" x14ac:dyDescent="0.3">
      <c r="A810" t="s">
        <v>811</v>
      </c>
    </row>
    <row r="811" spans="1:1" x14ac:dyDescent="0.3">
      <c r="A811" t="s">
        <v>812</v>
      </c>
    </row>
    <row r="812" spans="1:1" x14ac:dyDescent="0.3">
      <c r="A812" t="s">
        <v>813</v>
      </c>
    </row>
    <row r="813" spans="1:1" x14ac:dyDescent="0.3">
      <c r="A813" t="s">
        <v>814</v>
      </c>
    </row>
    <row r="814" spans="1:1" x14ac:dyDescent="0.3">
      <c r="A814" t="s">
        <v>815</v>
      </c>
    </row>
    <row r="815" spans="1:1" x14ac:dyDescent="0.3">
      <c r="A815" t="s">
        <v>816</v>
      </c>
    </row>
    <row r="816" spans="1:1" x14ac:dyDescent="0.3">
      <c r="A816" t="s">
        <v>817</v>
      </c>
    </row>
    <row r="817" spans="1:1" x14ac:dyDescent="0.3">
      <c r="A817" t="s">
        <v>818</v>
      </c>
    </row>
    <row r="818" spans="1:1" x14ac:dyDescent="0.3">
      <c r="A818" t="s">
        <v>819</v>
      </c>
    </row>
    <row r="819" spans="1:1" x14ac:dyDescent="0.3">
      <c r="A819" t="s">
        <v>820</v>
      </c>
    </row>
    <row r="820" spans="1:1" x14ac:dyDescent="0.3">
      <c r="A820" t="s">
        <v>821</v>
      </c>
    </row>
    <row r="821" spans="1:1" x14ac:dyDescent="0.3">
      <c r="A821" t="s">
        <v>822</v>
      </c>
    </row>
    <row r="822" spans="1:1" x14ac:dyDescent="0.3">
      <c r="A822" t="s">
        <v>823</v>
      </c>
    </row>
    <row r="823" spans="1:1" x14ac:dyDescent="0.3">
      <c r="A823" t="s">
        <v>824</v>
      </c>
    </row>
    <row r="824" spans="1:1" x14ac:dyDescent="0.3">
      <c r="A824" t="s">
        <v>825</v>
      </c>
    </row>
    <row r="825" spans="1:1" x14ac:dyDescent="0.3">
      <c r="A825" t="s">
        <v>826</v>
      </c>
    </row>
    <row r="826" spans="1:1" x14ac:dyDescent="0.3">
      <c r="A826" t="s">
        <v>827</v>
      </c>
    </row>
    <row r="827" spans="1:1" x14ac:dyDescent="0.3">
      <c r="A827" t="s">
        <v>828</v>
      </c>
    </row>
    <row r="828" spans="1:1" x14ac:dyDescent="0.3">
      <c r="A828" t="s">
        <v>829</v>
      </c>
    </row>
    <row r="829" spans="1:1" x14ac:dyDescent="0.3">
      <c r="A829" t="s">
        <v>830</v>
      </c>
    </row>
    <row r="830" spans="1:1" x14ac:dyDescent="0.3">
      <c r="A830" t="s">
        <v>831</v>
      </c>
    </row>
    <row r="831" spans="1:1" x14ac:dyDescent="0.3">
      <c r="A831" t="s">
        <v>832</v>
      </c>
    </row>
    <row r="832" spans="1:1" x14ac:dyDescent="0.3">
      <c r="A832" t="s">
        <v>833</v>
      </c>
    </row>
    <row r="833" spans="1:1" x14ac:dyDescent="0.3">
      <c r="A833" t="s">
        <v>834</v>
      </c>
    </row>
    <row r="834" spans="1:1" x14ac:dyDescent="0.3">
      <c r="A834" t="s">
        <v>835</v>
      </c>
    </row>
    <row r="835" spans="1:1" x14ac:dyDescent="0.3">
      <c r="A835" t="s">
        <v>836</v>
      </c>
    </row>
    <row r="836" spans="1:1" x14ac:dyDescent="0.3">
      <c r="A836" t="s">
        <v>837</v>
      </c>
    </row>
    <row r="837" spans="1:1" x14ac:dyDescent="0.3">
      <c r="A837" t="s">
        <v>838</v>
      </c>
    </row>
    <row r="838" spans="1:1" x14ac:dyDescent="0.3">
      <c r="A838" t="s">
        <v>839</v>
      </c>
    </row>
    <row r="839" spans="1:1" x14ac:dyDescent="0.3">
      <c r="A839" t="s">
        <v>840</v>
      </c>
    </row>
    <row r="840" spans="1:1" x14ac:dyDescent="0.3">
      <c r="A840" t="s">
        <v>841</v>
      </c>
    </row>
    <row r="841" spans="1:1" x14ac:dyDescent="0.3">
      <c r="A841" t="s">
        <v>842</v>
      </c>
    </row>
    <row r="842" spans="1:1" x14ac:dyDescent="0.3">
      <c r="A842" t="s">
        <v>843</v>
      </c>
    </row>
    <row r="843" spans="1:1" x14ac:dyDescent="0.3">
      <c r="A843" t="s">
        <v>844</v>
      </c>
    </row>
    <row r="844" spans="1:1" x14ac:dyDescent="0.3">
      <c r="A844" t="s">
        <v>845</v>
      </c>
    </row>
    <row r="845" spans="1:1" x14ac:dyDescent="0.3">
      <c r="A845" t="s">
        <v>846</v>
      </c>
    </row>
    <row r="846" spans="1:1" x14ac:dyDescent="0.3">
      <c r="A846" t="s">
        <v>847</v>
      </c>
    </row>
    <row r="847" spans="1:1" x14ac:dyDescent="0.3">
      <c r="A847" t="s">
        <v>848</v>
      </c>
    </row>
    <row r="848" spans="1:1" x14ac:dyDescent="0.3">
      <c r="A848" t="s">
        <v>849</v>
      </c>
    </row>
    <row r="849" spans="1:1" x14ac:dyDescent="0.3">
      <c r="A849" t="s">
        <v>850</v>
      </c>
    </row>
    <row r="850" spans="1:1" x14ac:dyDescent="0.3">
      <c r="A850" t="s">
        <v>851</v>
      </c>
    </row>
    <row r="851" spans="1:1" x14ac:dyDescent="0.3">
      <c r="A851" t="s">
        <v>852</v>
      </c>
    </row>
    <row r="852" spans="1:1" x14ac:dyDescent="0.3">
      <c r="A852" t="s">
        <v>853</v>
      </c>
    </row>
    <row r="853" spans="1:1" x14ac:dyDescent="0.3">
      <c r="A853" t="s">
        <v>854</v>
      </c>
    </row>
    <row r="854" spans="1:1" x14ac:dyDescent="0.3">
      <c r="A854" t="s">
        <v>855</v>
      </c>
    </row>
    <row r="855" spans="1:1" x14ac:dyDescent="0.3">
      <c r="A855" t="s">
        <v>856</v>
      </c>
    </row>
    <row r="856" spans="1:1" x14ac:dyDescent="0.3">
      <c r="A856" t="s">
        <v>857</v>
      </c>
    </row>
    <row r="857" spans="1:1" x14ac:dyDescent="0.3">
      <c r="A857" t="s">
        <v>858</v>
      </c>
    </row>
    <row r="858" spans="1:1" x14ac:dyDescent="0.3">
      <c r="A858" t="s">
        <v>859</v>
      </c>
    </row>
    <row r="859" spans="1:1" x14ac:dyDescent="0.3">
      <c r="A859" t="s">
        <v>860</v>
      </c>
    </row>
    <row r="860" spans="1:1" x14ac:dyDescent="0.3">
      <c r="A860" t="s">
        <v>861</v>
      </c>
    </row>
    <row r="861" spans="1:1" x14ac:dyDescent="0.3">
      <c r="A861" t="s">
        <v>862</v>
      </c>
    </row>
    <row r="862" spans="1:1" x14ac:dyDescent="0.3">
      <c r="A862" t="s">
        <v>863</v>
      </c>
    </row>
    <row r="863" spans="1:1" x14ac:dyDescent="0.3">
      <c r="A863" t="s">
        <v>864</v>
      </c>
    </row>
    <row r="864" spans="1:1" x14ac:dyDescent="0.3">
      <c r="A864" t="s">
        <v>865</v>
      </c>
    </row>
    <row r="865" spans="1:1" x14ac:dyDescent="0.3">
      <c r="A865" t="s">
        <v>866</v>
      </c>
    </row>
    <row r="866" spans="1:1" x14ac:dyDescent="0.3">
      <c r="A866" t="s">
        <v>867</v>
      </c>
    </row>
    <row r="867" spans="1:1" x14ac:dyDescent="0.3">
      <c r="A867" t="s">
        <v>868</v>
      </c>
    </row>
    <row r="868" spans="1:1" x14ac:dyDescent="0.3">
      <c r="A868" t="s">
        <v>869</v>
      </c>
    </row>
    <row r="869" spans="1:1" x14ac:dyDescent="0.3">
      <c r="A869" t="s">
        <v>870</v>
      </c>
    </row>
    <row r="870" spans="1:1" x14ac:dyDescent="0.3">
      <c r="A870" t="s">
        <v>871</v>
      </c>
    </row>
    <row r="871" spans="1:1" x14ac:dyDescent="0.3">
      <c r="A871" t="s">
        <v>872</v>
      </c>
    </row>
    <row r="872" spans="1:1" x14ac:dyDescent="0.3">
      <c r="A872" t="s">
        <v>873</v>
      </c>
    </row>
    <row r="873" spans="1:1" x14ac:dyDescent="0.3">
      <c r="A873" t="s">
        <v>874</v>
      </c>
    </row>
    <row r="874" spans="1:1" x14ac:dyDescent="0.3">
      <c r="A874" t="s">
        <v>875</v>
      </c>
    </row>
    <row r="875" spans="1:1" x14ac:dyDescent="0.3">
      <c r="A875" t="s">
        <v>876</v>
      </c>
    </row>
    <row r="876" spans="1:1" x14ac:dyDescent="0.3">
      <c r="A876" t="s">
        <v>877</v>
      </c>
    </row>
    <row r="877" spans="1:1" x14ac:dyDescent="0.3">
      <c r="A877" t="s">
        <v>878</v>
      </c>
    </row>
    <row r="878" spans="1:1" x14ac:dyDescent="0.3">
      <c r="A878" t="s">
        <v>879</v>
      </c>
    </row>
    <row r="879" spans="1:1" x14ac:dyDescent="0.3">
      <c r="A879" t="s">
        <v>880</v>
      </c>
    </row>
    <row r="880" spans="1:1" x14ac:dyDescent="0.3">
      <c r="A880" t="s">
        <v>881</v>
      </c>
    </row>
    <row r="881" spans="1:1" x14ac:dyDescent="0.3">
      <c r="A881" t="s">
        <v>882</v>
      </c>
    </row>
    <row r="882" spans="1:1" x14ac:dyDescent="0.3">
      <c r="A882" t="s">
        <v>883</v>
      </c>
    </row>
    <row r="883" spans="1:1" x14ac:dyDescent="0.3">
      <c r="A883" t="s">
        <v>884</v>
      </c>
    </row>
    <row r="884" spans="1:1" x14ac:dyDescent="0.3">
      <c r="A884" t="s">
        <v>885</v>
      </c>
    </row>
    <row r="885" spans="1:1" x14ac:dyDescent="0.3">
      <c r="A885" t="s">
        <v>886</v>
      </c>
    </row>
    <row r="886" spans="1:1" x14ac:dyDescent="0.3">
      <c r="A886" t="s">
        <v>887</v>
      </c>
    </row>
    <row r="887" spans="1:1" x14ac:dyDescent="0.3">
      <c r="A887" t="s">
        <v>888</v>
      </c>
    </row>
    <row r="888" spans="1:1" x14ac:dyDescent="0.3">
      <c r="A888" t="s">
        <v>889</v>
      </c>
    </row>
    <row r="889" spans="1:1" x14ac:dyDescent="0.3">
      <c r="A889" t="s">
        <v>890</v>
      </c>
    </row>
    <row r="890" spans="1:1" x14ac:dyDescent="0.3">
      <c r="A890" t="s">
        <v>891</v>
      </c>
    </row>
    <row r="891" spans="1:1" x14ac:dyDescent="0.3">
      <c r="A891" t="s">
        <v>892</v>
      </c>
    </row>
    <row r="892" spans="1:1" x14ac:dyDescent="0.3">
      <c r="A892" t="s">
        <v>893</v>
      </c>
    </row>
    <row r="893" spans="1:1" x14ac:dyDescent="0.3">
      <c r="A893" t="s">
        <v>894</v>
      </c>
    </row>
    <row r="894" spans="1:1" x14ac:dyDescent="0.3">
      <c r="A894" t="s">
        <v>895</v>
      </c>
    </row>
    <row r="895" spans="1:1" x14ac:dyDescent="0.3">
      <c r="A895" t="s">
        <v>896</v>
      </c>
    </row>
    <row r="896" spans="1:1" x14ac:dyDescent="0.3">
      <c r="A896" t="s">
        <v>897</v>
      </c>
    </row>
    <row r="897" spans="1:1" x14ac:dyDescent="0.3">
      <c r="A897" t="s">
        <v>898</v>
      </c>
    </row>
    <row r="898" spans="1:1" x14ac:dyDescent="0.3">
      <c r="A898" t="s">
        <v>899</v>
      </c>
    </row>
    <row r="899" spans="1:1" x14ac:dyDescent="0.3">
      <c r="A899" t="s">
        <v>900</v>
      </c>
    </row>
    <row r="900" spans="1:1" x14ac:dyDescent="0.3">
      <c r="A900" t="s">
        <v>901</v>
      </c>
    </row>
    <row r="901" spans="1:1" x14ac:dyDescent="0.3">
      <c r="A901" t="s">
        <v>902</v>
      </c>
    </row>
    <row r="902" spans="1:1" x14ac:dyDescent="0.3">
      <c r="A902" t="s">
        <v>903</v>
      </c>
    </row>
    <row r="903" spans="1:1" x14ac:dyDescent="0.3">
      <c r="A903" t="s">
        <v>904</v>
      </c>
    </row>
    <row r="904" spans="1:1" x14ac:dyDescent="0.3">
      <c r="A904" t="s">
        <v>905</v>
      </c>
    </row>
    <row r="905" spans="1:1" x14ac:dyDescent="0.3">
      <c r="A905" t="s">
        <v>906</v>
      </c>
    </row>
    <row r="906" spans="1:1" x14ac:dyDescent="0.3">
      <c r="A906" t="s">
        <v>907</v>
      </c>
    </row>
    <row r="907" spans="1:1" x14ac:dyDescent="0.3">
      <c r="A907" t="s">
        <v>908</v>
      </c>
    </row>
    <row r="908" spans="1:1" x14ac:dyDescent="0.3">
      <c r="A908" t="s">
        <v>909</v>
      </c>
    </row>
    <row r="909" spans="1:1" x14ac:dyDescent="0.3">
      <c r="A909" t="s">
        <v>910</v>
      </c>
    </row>
    <row r="910" spans="1:1" x14ac:dyDescent="0.3">
      <c r="A910" t="s">
        <v>911</v>
      </c>
    </row>
    <row r="911" spans="1:1" x14ac:dyDescent="0.3">
      <c r="A911" t="s">
        <v>912</v>
      </c>
    </row>
    <row r="912" spans="1:1" x14ac:dyDescent="0.3">
      <c r="A912" t="s">
        <v>913</v>
      </c>
    </row>
    <row r="913" spans="1:1" x14ac:dyDescent="0.3">
      <c r="A913" t="s">
        <v>914</v>
      </c>
    </row>
    <row r="914" spans="1:1" x14ac:dyDescent="0.3">
      <c r="A914" t="s">
        <v>915</v>
      </c>
    </row>
    <row r="915" spans="1:1" x14ac:dyDescent="0.3">
      <c r="A915" t="s">
        <v>916</v>
      </c>
    </row>
    <row r="916" spans="1:1" x14ac:dyDescent="0.3">
      <c r="A916" t="s">
        <v>917</v>
      </c>
    </row>
    <row r="917" spans="1:1" x14ac:dyDescent="0.3">
      <c r="A917" t="s">
        <v>918</v>
      </c>
    </row>
    <row r="918" spans="1:1" x14ac:dyDescent="0.3">
      <c r="A918" t="s">
        <v>919</v>
      </c>
    </row>
    <row r="919" spans="1:1" x14ac:dyDescent="0.3">
      <c r="A919" t="s">
        <v>920</v>
      </c>
    </row>
    <row r="920" spans="1:1" x14ac:dyDescent="0.3">
      <c r="A920" t="s">
        <v>921</v>
      </c>
    </row>
    <row r="921" spans="1:1" x14ac:dyDescent="0.3">
      <c r="A921" t="s">
        <v>922</v>
      </c>
    </row>
    <row r="922" spans="1:1" x14ac:dyDescent="0.3">
      <c r="A922" t="s">
        <v>923</v>
      </c>
    </row>
    <row r="923" spans="1:1" x14ac:dyDescent="0.3">
      <c r="A923" t="s">
        <v>924</v>
      </c>
    </row>
    <row r="924" spans="1:1" x14ac:dyDescent="0.3">
      <c r="A924" t="s">
        <v>925</v>
      </c>
    </row>
    <row r="925" spans="1:1" x14ac:dyDescent="0.3">
      <c r="A925" t="s">
        <v>926</v>
      </c>
    </row>
    <row r="926" spans="1:1" x14ac:dyDescent="0.3">
      <c r="A926" t="s">
        <v>927</v>
      </c>
    </row>
    <row r="927" spans="1:1" x14ac:dyDescent="0.3">
      <c r="A927" t="s">
        <v>928</v>
      </c>
    </row>
    <row r="928" spans="1:1" x14ac:dyDescent="0.3">
      <c r="A928" t="s">
        <v>929</v>
      </c>
    </row>
    <row r="929" spans="1:1" x14ac:dyDescent="0.3">
      <c r="A929" t="s">
        <v>930</v>
      </c>
    </row>
    <row r="930" spans="1:1" x14ac:dyDescent="0.3">
      <c r="A930" t="s">
        <v>931</v>
      </c>
    </row>
    <row r="931" spans="1:1" x14ac:dyDescent="0.3">
      <c r="A931" t="s">
        <v>932</v>
      </c>
    </row>
    <row r="932" spans="1:1" x14ac:dyDescent="0.3">
      <c r="A932" t="s">
        <v>933</v>
      </c>
    </row>
    <row r="933" spans="1:1" x14ac:dyDescent="0.3">
      <c r="A933" t="s">
        <v>934</v>
      </c>
    </row>
    <row r="934" spans="1:1" x14ac:dyDescent="0.3">
      <c r="A934" t="s">
        <v>935</v>
      </c>
    </row>
    <row r="935" spans="1:1" x14ac:dyDescent="0.3">
      <c r="A935" t="s">
        <v>936</v>
      </c>
    </row>
    <row r="936" spans="1:1" x14ac:dyDescent="0.3">
      <c r="A936" t="s">
        <v>937</v>
      </c>
    </row>
    <row r="937" spans="1:1" x14ac:dyDescent="0.3">
      <c r="A937" t="s">
        <v>938</v>
      </c>
    </row>
    <row r="938" spans="1:1" x14ac:dyDescent="0.3">
      <c r="A938" t="s">
        <v>939</v>
      </c>
    </row>
    <row r="939" spans="1:1" x14ac:dyDescent="0.3">
      <c r="A939" t="s">
        <v>940</v>
      </c>
    </row>
    <row r="940" spans="1:1" x14ac:dyDescent="0.3">
      <c r="A940" t="s">
        <v>941</v>
      </c>
    </row>
    <row r="941" spans="1:1" x14ac:dyDescent="0.3">
      <c r="A941" t="s">
        <v>942</v>
      </c>
    </row>
    <row r="942" spans="1:1" x14ac:dyDescent="0.3">
      <c r="A942" t="s">
        <v>943</v>
      </c>
    </row>
    <row r="943" spans="1:1" x14ac:dyDescent="0.3">
      <c r="A943" t="s">
        <v>944</v>
      </c>
    </row>
    <row r="944" spans="1:1" x14ac:dyDescent="0.3">
      <c r="A944" t="s">
        <v>945</v>
      </c>
    </row>
    <row r="945" spans="1:1" x14ac:dyDescent="0.3">
      <c r="A945" t="s">
        <v>946</v>
      </c>
    </row>
    <row r="946" spans="1:1" x14ac:dyDescent="0.3">
      <c r="A946" t="s">
        <v>947</v>
      </c>
    </row>
    <row r="947" spans="1:1" x14ac:dyDescent="0.3">
      <c r="A947" t="s">
        <v>948</v>
      </c>
    </row>
    <row r="948" spans="1:1" x14ac:dyDescent="0.3">
      <c r="A948" t="s">
        <v>949</v>
      </c>
    </row>
    <row r="949" spans="1:1" x14ac:dyDescent="0.3">
      <c r="A949" t="s">
        <v>950</v>
      </c>
    </row>
    <row r="950" spans="1:1" x14ac:dyDescent="0.3">
      <c r="A950" t="s">
        <v>951</v>
      </c>
    </row>
    <row r="951" spans="1:1" x14ac:dyDescent="0.3">
      <c r="A951" t="s">
        <v>952</v>
      </c>
    </row>
    <row r="952" spans="1:1" x14ac:dyDescent="0.3">
      <c r="A952" t="s">
        <v>953</v>
      </c>
    </row>
    <row r="953" spans="1:1" x14ac:dyDescent="0.3">
      <c r="A953" t="s">
        <v>954</v>
      </c>
    </row>
    <row r="954" spans="1:1" x14ac:dyDescent="0.3">
      <c r="A954" t="s">
        <v>955</v>
      </c>
    </row>
    <row r="955" spans="1:1" x14ac:dyDescent="0.3">
      <c r="A955" t="s">
        <v>956</v>
      </c>
    </row>
    <row r="956" spans="1:1" x14ac:dyDescent="0.3">
      <c r="A956" t="s">
        <v>957</v>
      </c>
    </row>
    <row r="957" spans="1:1" x14ac:dyDescent="0.3">
      <c r="A957" t="s">
        <v>958</v>
      </c>
    </row>
    <row r="958" spans="1:1" x14ac:dyDescent="0.3">
      <c r="A958" t="s">
        <v>959</v>
      </c>
    </row>
    <row r="959" spans="1:1" x14ac:dyDescent="0.3">
      <c r="A959" t="s">
        <v>960</v>
      </c>
    </row>
    <row r="960" spans="1:1" x14ac:dyDescent="0.3">
      <c r="A960" t="s">
        <v>961</v>
      </c>
    </row>
    <row r="961" spans="1:1" x14ac:dyDescent="0.3">
      <c r="A961" t="s">
        <v>962</v>
      </c>
    </row>
    <row r="962" spans="1:1" x14ac:dyDescent="0.3">
      <c r="A962" t="s">
        <v>963</v>
      </c>
    </row>
    <row r="963" spans="1:1" x14ac:dyDescent="0.3">
      <c r="A963" t="s">
        <v>964</v>
      </c>
    </row>
    <row r="964" spans="1:1" x14ac:dyDescent="0.3">
      <c r="A964" t="s">
        <v>965</v>
      </c>
    </row>
    <row r="965" spans="1:1" x14ac:dyDescent="0.3">
      <c r="A965" t="s">
        <v>966</v>
      </c>
    </row>
    <row r="966" spans="1:1" x14ac:dyDescent="0.3">
      <c r="A966" t="s">
        <v>967</v>
      </c>
    </row>
    <row r="967" spans="1:1" x14ac:dyDescent="0.3">
      <c r="A967" t="s">
        <v>968</v>
      </c>
    </row>
    <row r="968" spans="1:1" x14ac:dyDescent="0.3">
      <c r="A968" t="s">
        <v>969</v>
      </c>
    </row>
    <row r="969" spans="1:1" x14ac:dyDescent="0.3">
      <c r="A969" t="s">
        <v>970</v>
      </c>
    </row>
    <row r="970" spans="1:1" x14ac:dyDescent="0.3">
      <c r="A970" t="s">
        <v>971</v>
      </c>
    </row>
    <row r="971" spans="1:1" x14ac:dyDescent="0.3">
      <c r="A971" t="s">
        <v>972</v>
      </c>
    </row>
    <row r="972" spans="1:1" x14ac:dyDescent="0.3">
      <c r="A972" t="s">
        <v>973</v>
      </c>
    </row>
    <row r="973" spans="1:1" x14ac:dyDescent="0.3">
      <c r="A973" t="s">
        <v>974</v>
      </c>
    </row>
    <row r="974" spans="1:1" x14ac:dyDescent="0.3">
      <c r="A974" t="s">
        <v>975</v>
      </c>
    </row>
    <row r="975" spans="1:1" x14ac:dyDescent="0.3">
      <c r="A975" t="s">
        <v>976</v>
      </c>
    </row>
    <row r="976" spans="1:1" x14ac:dyDescent="0.3">
      <c r="A976" t="s">
        <v>977</v>
      </c>
    </row>
    <row r="977" spans="1:1" x14ac:dyDescent="0.3">
      <c r="A977" t="s">
        <v>978</v>
      </c>
    </row>
    <row r="978" spans="1:1" x14ac:dyDescent="0.3">
      <c r="A978" t="s">
        <v>979</v>
      </c>
    </row>
    <row r="979" spans="1:1" x14ac:dyDescent="0.3">
      <c r="A979" t="s">
        <v>980</v>
      </c>
    </row>
    <row r="980" spans="1:1" x14ac:dyDescent="0.3">
      <c r="A980" t="s">
        <v>981</v>
      </c>
    </row>
    <row r="981" spans="1:1" x14ac:dyDescent="0.3">
      <c r="A981" t="s">
        <v>982</v>
      </c>
    </row>
    <row r="982" spans="1:1" x14ac:dyDescent="0.3">
      <c r="A982" t="s">
        <v>983</v>
      </c>
    </row>
    <row r="983" spans="1:1" x14ac:dyDescent="0.3">
      <c r="A983" t="s">
        <v>984</v>
      </c>
    </row>
    <row r="984" spans="1:1" x14ac:dyDescent="0.3">
      <c r="A984" t="s">
        <v>985</v>
      </c>
    </row>
    <row r="985" spans="1:1" x14ac:dyDescent="0.3">
      <c r="A985" t="s">
        <v>986</v>
      </c>
    </row>
    <row r="986" spans="1:1" x14ac:dyDescent="0.3">
      <c r="A986" t="s">
        <v>987</v>
      </c>
    </row>
    <row r="987" spans="1:1" x14ac:dyDescent="0.3">
      <c r="A987" t="s">
        <v>988</v>
      </c>
    </row>
    <row r="988" spans="1:1" x14ac:dyDescent="0.3">
      <c r="A988" t="s">
        <v>989</v>
      </c>
    </row>
    <row r="989" spans="1:1" x14ac:dyDescent="0.3">
      <c r="A989" t="s">
        <v>990</v>
      </c>
    </row>
    <row r="990" spans="1:1" x14ac:dyDescent="0.3">
      <c r="A990" t="s">
        <v>991</v>
      </c>
    </row>
    <row r="991" spans="1:1" x14ac:dyDescent="0.3">
      <c r="A991" t="s">
        <v>992</v>
      </c>
    </row>
    <row r="992" spans="1:1" x14ac:dyDescent="0.3">
      <c r="A992" t="s">
        <v>993</v>
      </c>
    </row>
    <row r="993" spans="1:1" x14ac:dyDescent="0.3">
      <c r="A993" t="s">
        <v>994</v>
      </c>
    </row>
    <row r="994" spans="1:1" x14ac:dyDescent="0.3">
      <c r="A994" t="s">
        <v>995</v>
      </c>
    </row>
    <row r="995" spans="1:1" x14ac:dyDescent="0.3">
      <c r="A995" t="s">
        <v>996</v>
      </c>
    </row>
    <row r="996" spans="1:1" x14ac:dyDescent="0.3">
      <c r="A996" t="s">
        <v>997</v>
      </c>
    </row>
    <row r="997" spans="1:1" x14ac:dyDescent="0.3">
      <c r="A997" t="s">
        <v>998</v>
      </c>
    </row>
    <row r="998" spans="1:1" x14ac:dyDescent="0.3">
      <c r="A998" t="s">
        <v>999</v>
      </c>
    </row>
    <row r="999" spans="1:1" x14ac:dyDescent="0.3">
      <c r="A999" t="s">
        <v>1000</v>
      </c>
    </row>
    <row r="1000" spans="1:1" x14ac:dyDescent="0.3">
      <c r="A1000" t="s">
        <v>1001</v>
      </c>
    </row>
    <row r="1001" spans="1:1" x14ac:dyDescent="0.3">
      <c r="A1001" t="s">
        <v>1002</v>
      </c>
    </row>
    <row r="1002" spans="1:1" x14ac:dyDescent="0.3">
      <c r="A1002" t="s">
        <v>1003</v>
      </c>
    </row>
    <row r="1003" spans="1:1" x14ac:dyDescent="0.3">
      <c r="A1003" t="s">
        <v>1004</v>
      </c>
    </row>
    <row r="1004" spans="1:1" x14ac:dyDescent="0.3">
      <c r="A1004" t="s">
        <v>1005</v>
      </c>
    </row>
    <row r="1005" spans="1:1" x14ac:dyDescent="0.3">
      <c r="A1005" t="s">
        <v>1006</v>
      </c>
    </row>
    <row r="1006" spans="1:1" x14ac:dyDescent="0.3">
      <c r="A1006" t="s">
        <v>1007</v>
      </c>
    </row>
    <row r="1007" spans="1:1" x14ac:dyDescent="0.3">
      <c r="A1007" t="s">
        <v>1008</v>
      </c>
    </row>
    <row r="1008" spans="1:1" x14ac:dyDescent="0.3">
      <c r="A1008" t="s">
        <v>1009</v>
      </c>
    </row>
    <row r="1009" spans="1:1" x14ac:dyDescent="0.3">
      <c r="A1009" t="s">
        <v>1010</v>
      </c>
    </row>
    <row r="1010" spans="1:1" x14ac:dyDescent="0.3">
      <c r="A1010" t="s">
        <v>1011</v>
      </c>
    </row>
    <row r="1011" spans="1:1" x14ac:dyDescent="0.3">
      <c r="A1011" t="s">
        <v>1012</v>
      </c>
    </row>
    <row r="1012" spans="1:1" x14ac:dyDescent="0.3">
      <c r="A1012" t="s">
        <v>1013</v>
      </c>
    </row>
    <row r="1013" spans="1:1" x14ac:dyDescent="0.3">
      <c r="A1013" t="s">
        <v>1014</v>
      </c>
    </row>
    <row r="1014" spans="1:1" x14ac:dyDescent="0.3">
      <c r="A1014" t="s">
        <v>1015</v>
      </c>
    </row>
    <row r="1015" spans="1:1" x14ac:dyDescent="0.3">
      <c r="A1015" t="s">
        <v>1016</v>
      </c>
    </row>
    <row r="1016" spans="1:1" x14ac:dyDescent="0.3">
      <c r="A1016" t="s">
        <v>1017</v>
      </c>
    </row>
    <row r="1017" spans="1:1" x14ac:dyDescent="0.3">
      <c r="A1017" t="s">
        <v>1018</v>
      </c>
    </row>
    <row r="1018" spans="1:1" x14ac:dyDescent="0.3">
      <c r="A1018" t="s">
        <v>1019</v>
      </c>
    </row>
    <row r="1019" spans="1:1" x14ac:dyDescent="0.3">
      <c r="A1019" t="s">
        <v>1020</v>
      </c>
    </row>
    <row r="1020" spans="1:1" x14ac:dyDescent="0.3">
      <c r="A1020" t="s">
        <v>1021</v>
      </c>
    </row>
    <row r="1021" spans="1:1" x14ac:dyDescent="0.3">
      <c r="A1021" t="s">
        <v>1022</v>
      </c>
    </row>
    <row r="1022" spans="1:1" x14ac:dyDescent="0.3">
      <c r="A1022" t="s">
        <v>1023</v>
      </c>
    </row>
    <row r="1023" spans="1:1" x14ac:dyDescent="0.3">
      <c r="A1023" t="s">
        <v>1024</v>
      </c>
    </row>
    <row r="1024" spans="1:1" x14ac:dyDescent="0.3">
      <c r="A1024" t="s">
        <v>1025</v>
      </c>
    </row>
    <row r="1025" spans="1:1" x14ac:dyDescent="0.3">
      <c r="A1025" t="s">
        <v>1026</v>
      </c>
    </row>
    <row r="1026" spans="1:1" x14ac:dyDescent="0.3">
      <c r="A1026" t="s">
        <v>1027</v>
      </c>
    </row>
    <row r="1027" spans="1:1" x14ac:dyDescent="0.3">
      <c r="A1027" t="s">
        <v>1028</v>
      </c>
    </row>
    <row r="1028" spans="1:1" x14ac:dyDescent="0.3">
      <c r="A1028" t="s">
        <v>1029</v>
      </c>
    </row>
    <row r="1029" spans="1:1" x14ac:dyDescent="0.3">
      <c r="A1029" t="s">
        <v>1030</v>
      </c>
    </row>
    <row r="1030" spans="1:1" x14ac:dyDescent="0.3">
      <c r="A1030" t="s">
        <v>1031</v>
      </c>
    </row>
    <row r="1031" spans="1:1" x14ac:dyDescent="0.3">
      <c r="A1031" t="s">
        <v>1032</v>
      </c>
    </row>
    <row r="1032" spans="1:1" x14ac:dyDescent="0.3">
      <c r="A1032" t="s">
        <v>1033</v>
      </c>
    </row>
    <row r="1033" spans="1:1" x14ac:dyDescent="0.3">
      <c r="A1033" t="s">
        <v>1034</v>
      </c>
    </row>
    <row r="1034" spans="1:1" x14ac:dyDescent="0.3">
      <c r="A1034" t="s">
        <v>1035</v>
      </c>
    </row>
    <row r="1035" spans="1:1" x14ac:dyDescent="0.3">
      <c r="A1035" t="s">
        <v>1036</v>
      </c>
    </row>
    <row r="1036" spans="1:1" x14ac:dyDescent="0.3">
      <c r="A1036" t="s">
        <v>1037</v>
      </c>
    </row>
    <row r="1037" spans="1:1" x14ac:dyDescent="0.3">
      <c r="A1037" t="s">
        <v>1038</v>
      </c>
    </row>
    <row r="1038" spans="1:1" x14ac:dyDescent="0.3">
      <c r="A1038" t="s">
        <v>1039</v>
      </c>
    </row>
    <row r="1039" spans="1:1" x14ac:dyDescent="0.3">
      <c r="A1039" t="s">
        <v>1040</v>
      </c>
    </row>
    <row r="1040" spans="1:1" x14ac:dyDescent="0.3">
      <c r="A1040" t="s">
        <v>1041</v>
      </c>
    </row>
    <row r="1041" spans="1:2" x14ac:dyDescent="0.3">
      <c r="A1041" t="s">
        <v>1042</v>
      </c>
    </row>
    <row r="1042" spans="1:2" x14ac:dyDescent="0.3">
      <c r="A1042" t="s">
        <v>1043</v>
      </c>
    </row>
    <row r="1043" spans="1:2" x14ac:dyDescent="0.3">
      <c r="A1043" t="s">
        <v>1044</v>
      </c>
    </row>
    <row r="1044" spans="1:2" x14ac:dyDescent="0.3">
      <c r="A1044" t="s">
        <v>1045</v>
      </c>
    </row>
    <row r="1045" spans="1:2" x14ac:dyDescent="0.3">
      <c r="A1045" t="s">
        <v>1046</v>
      </c>
    </row>
    <row r="1046" spans="1:2" x14ac:dyDescent="0.3">
      <c r="A1046" t="s">
        <v>1047</v>
      </c>
      <c r="B1046" t="s">
        <v>1048</v>
      </c>
    </row>
    <row r="1047" spans="1:2" x14ac:dyDescent="0.3">
      <c r="A1047" t="s">
        <v>1049</v>
      </c>
    </row>
    <row r="1048" spans="1:2" x14ac:dyDescent="0.3">
      <c r="A1048" t="s">
        <v>1050</v>
      </c>
    </row>
    <row r="1049" spans="1:2" x14ac:dyDescent="0.3">
      <c r="A1049" t="s">
        <v>1051</v>
      </c>
    </row>
    <row r="1050" spans="1:2" x14ac:dyDescent="0.3">
      <c r="A1050" t="s">
        <v>1052</v>
      </c>
    </row>
    <row r="1051" spans="1:2" x14ac:dyDescent="0.3">
      <c r="A1051" t="s">
        <v>1053</v>
      </c>
    </row>
    <row r="1052" spans="1:2" x14ac:dyDescent="0.3">
      <c r="A1052" t="s">
        <v>1054</v>
      </c>
    </row>
    <row r="1053" spans="1:2" x14ac:dyDescent="0.3">
      <c r="A1053" t="s">
        <v>1055</v>
      </c>
    </row>
    <row r="1054" spans="1:2" x14ac:dyDescent="0.3">
      <c r="A1054" t="s">
        <v>1056</v>
      </c>
    </row>
    <row r="1055" spans="1:2" x14ac:dyDescent="0.3">
      <c r="A1055" t="s">
        <v>1057</v>
      </c>
    </row>
    <row r="1056" spans="1:2" x14ac:dyDescent="0.3">
      <c r="A1056" t="s">
        <v>1058</v>
      </c>
    </row>
    <row r="1057" spans="1:1" x14ac:dyDescent="0.3">
      <c r="A1057" t="s">
        <v>1059</v>
      </c>
    </row>
    <row r="1058" spans="1:1" x14ac:dyDescent="0.3">
      <c r="A1058" t="s">
        <v>1060</v>
      </c>
    </row>
    <row r="1059" spans="1:1" x14ac:dyDescent="0.3">
      <c r="A1059" t="s">
        <v>1061</v>
      </c>
    </row>
    <row r="1060" spans="1:1" x14ac:dyDescent="0.3">
      <c r="A1060" t="s">
        <v>1062</v>
      </c>
    </row>
    <row r="1061" spans="1:1" x14ac:dyDescent="0.3">
      <c r="A1061" t="s">
        <v>1063</v>
      </c>
    </row>
    <row r="1062" spans="1:1" x14ac:dyDescent="0.3">
      <c r="A1062" t="s">
        <v>1064</v>
      </c>
    </row>
    <row r="1063" spans="1:1" x14ac:dyDescent="0.3">
      <c r="A1063" t="s">
        <v>1065</v>
      </c>
    </row>
    <row r="1064" spans="1:1" x14ac:dyDescent="0.3">
      <c r="A1064" t="s">
        <v>1066</v>
      </c>
    </row>
    <row r="1065" spans="1:1" x14ac:dyDescent="0.3">
      <c r="A1065" t="s">
        <v>1067</v>
      </c>
    </row>
    <row r="1066" spans="1:1" x14ac:dyDescent="0.3">
      <c r="A1066" t="s">
        <v>1068</v>
      </c>
    </row>
    <row r="1067" spans="1:1" x14ac:dyDescent="0.3">
      <c r="A1067" t="s">
        <v>1069</v>
      </c>
    </row>
    <row r="1068" spans="1:1" x14ac:dyDescent="0.3">
      <c r="A1068" t="s">
        <v>1070</v>
      </c>
    </row>
    <row r="1069" spans="1:1" x14ac:dyDescent="0.3">
      <c r="A1069" t="s">
        <v>1071</v>
      </c>
    </row>
    <row r="1070" spans="1:1" x14ac:dyDescent="0.3">
      <c r="A1070" t="s">
        <v>1072</v>
      </c>
    </row>
    <row r="1071" spans="1:1" x14ac:dyDescent="0.3">
      <c r="A1071" t="s">
        <v>1073</v>
      </c>
    </row>
    <row r="1072" spans="1:1" x14ac:dyDescent="0.3">
      <c r="A1072" t="s">
        <v>1074</v>
      </c>
    </row>
    <row r="1073" spans="1:1" x14ac:dyDescent="0.3">
      <c r="A1073" t="s">
        <v>1075</v>
      </c>
    </row>
    <row r="1074" spans="1:1" x14ac:dyDescent="0.3">
      <c r="A1074" t="s">
        <v>1076</v>
      </c>
    </row>
    <row r="1075" spans="1:1" x14ac:dyDescent="0.3">
      <c r="A1075" t="s">
        <v>1077</v>
      </c>
    </row>
    <row r="1076" spans="1:1" x14ac:dyDescent="0.3">
      <c r="A1076" t="s">
        <v>1078</v>
      </c>
    </row>
    <row r="1077" spans="1:1" x14ac:dyDescent="0.3">
      <c r="A1077" t="s">
        <v>1079</v>
      </c>
    </row>
    <row r="1078" spans="1:1" x14ac:dyDescent="0.3">
      <c r="A1078" t="s">
        <v>1080</v>
      </c>
    </row>
    <row r="1079" spans="1:1" x14ac:dyDescent="0.3">
      <c r="A1079" t="s">
        <v>1081</v>
      </c>
    </row>
    <row r="1080" spans="1:1" x14ac:dyDescent="0.3">
      <c r="A1080" t="s">
        <v>1082</v>
      </c>
    </row>
    <row r="1081" spans="1:1" x14ac:dyDescent="0.3">
      <c r="A1081" t="s">
        <v>1083</v>
      </c>
    </row>
    <row r="1082" spans="1:1" x14ac:dyDescent="0.3">
      <c r="A1082" t="s">
        <v>1084</v>
      </c>
    </row>
    <row r="1083" spans="1:1" x14ac:dyDescent="0.3">
      <c r="A1083" t="s">
        <v>1085</v>
      </c>
    </row>
    <row r="1084" spans="1:1" x14ac:dyDescent="0.3">
      <c r="A1084" t="s">
        <v>1086</v>
      </c>
    </row>
    <row r="1085" spans="1:1" x14ac:dyDescent="0.3">
      <c r="A1085" t="s">
        <v>1087</v>
      </c>
    </row>
    <row r="1086" spans="1:1" x14ac:dyDescent="0.3">
      <c r="A1086" t="s">
        <v>1088</v>
      </c>
    </row>
    <row r="1087" spans="1:1" x14ac:dyDescent="0.3">
      <c r="A1087" t="s">
        <v>1089</v>
      </c>
    </row>
    <row r="1088" spans="1:1" x14ac:dyDescent="0.3">
      <c r="A1088" t="s">
        <v>1090</v>
      </c>
    </row>
    <row r="1089" spans="1:1" x14ac:dyDescent="0.3">
      <c r="A1089" t="s">
        <v>1091</v>
      </c>
    </row>
    <row r="1090" spans="1:1" x14ac:dyDescent="0.3">
      <c r="A1090" t="s">
        <v>1092</v>
      </c>
    </row>
    <row r="1091" spans="1:1" x14ac:dyDescent="0.3">
      <c r="A1091" t="s">
        <v>1093</v>
      </c>
    </row>
    <row r="1092" spans="1:1" x14ac:dyDescent="0.3">
      <c r="A1092" t="s">
        <v>1094</v>
      </c>
    </row>
    <row r="1093" spans="1:1" x14ac:dyDescent="0.3">
      <c r="A1093" t="s">
        <v>1095</v>
      </c>
    </row>
    <row r="1094" spans="1:1" x14ac:dyDescent="0.3">
      <c r="A1094" t="s">
        <v>1096</v>
      </c>
    </row>
    <row r="1095" spans="1:1" x14ac:dyDescent="0.3">
      <c r="A1095" t="s">
        <v>1097</v>
      </c>
    </row>
    <row r="1096" spans="1:1" x14ac:dyDescent="0.3">
      <c r="A1096" t="s">
        <v>1098</v>
      </c>
    </row>
    <row r="1097" spans="1:1" x14ac:dyDescent="0.3">
      <c r="A1097" t="s">
        <v>1099</v>
      </c>
    </row>
    <row r="1098" spans="1:1" x14ac:dyDescent="0.3">
      <c r="A1098" t="s">
        <v>1100</v>
      </c>
    </row>
    <row r="1099" spans="1:1" x14ac:dyDescent="0.3">
      <c r="A1099" t="s">
        <v>1101</v>
      </c>
    </row>
    <row r="1100" spans="1:1" x14ac:dyDescent="0.3">
      <c r="A1100" t="s">
        <v>1102</v>
      </c>
    </row>
    <row r="1101" spans="1:1" x14ac:dyDescent="0.3">
      <c r="A1101" t="s">
        <v>1103</v>
      </c>
    </row>
    <row r="1102" spans="1:1" x14ac:dyDescent="0.3">
      <c r="A1102" t="s">
        <v>1104</v>
      </c>
    </row>
    <row r="1103" spans="1:1" x14ac:dyDescent="0.3">
      <c r="A1103" t="s">
        <v>1105</v>
      </c>
    </row>
    <row r="1104" spans="1:1" x14ac:dyDescent="0.3">
      <c r="A1104" t="s">
        <v>1106</v>
      </c>
    </row>
    <row r="1105" spans="1:1" x14ac:dyDescent="0.3">
      <c r="A1105" t="s">
        <v>1107</v>
      </c>
    </row>
    <row r="1106" spans="1:1" x14ac:dyDescent="0.3">
      <c r="A1106" t="s">
        <v>1108</v>
      </c>
    </row>
    <row r="1107" spans="1:1" x14ac:dyDescent="0.3">
      <c r="A1107" t="s">
        <v>1109</v>
      </c>
    </row>
    <row r="1108" spans="1:1" x14ac:dyDescent="0.3">
      <c r="A1108" t="s">
        <v>1110</v>
      </c>
    </row>
    <row r="1109" spans="1:1" x14ac:dyDescent="0.3">
      <c r="A1109" t="s">
        <v>1111</v>
      </c>
    </row>
    <row r="1110" spans="1:1" x14ac:dyDescent="0.3">
      <c r="A1110" t="s">
        <v>1112</v>
      </c>
    </row>
    <row r="1111" spans="1:1" x14ac:dyDescent="0.3">
      <c r="A1111" t="s">
        <v>1113</v>
      </c>
    </row>
    <row r="1112" spans="1:1" x14ac:dyDescent="0.3">
      <c r="A1112" t="s">
        <v>1114</v>
      </c>
    </row>
    <row r="1113" spans="1:1" x14ac:dyDescent="0.3">
      <c r="A1113" t="s">
        <v>1115</v>
      </c>
    </row>
    <row r="1114" spans="1:1" x14ac:dyDescent="0.3">
      <c r="A1114" t="s">
        <v>1116</v>
      </c>
    </row>
    <row r="1115" spans="1:1" x14ac:dyDescent="0.3">
      <c r="A1115" t="s">
        <v>1117</v>
      </c>
    </row>
    <row r="1116" spans="1:1" x14ac:dyDescent="0.3">
      <c r="A1116" t="s">
        <v>1118</v>
      </c>
    </row>
    <row r="1117" spans="1:1" x14ac:dyDescent="0.3">
      <c r="A1117" t="s">
        <v>1119</v>
      </c>
    </row>
    <row r="1118" spans="1:1" x14ac:dyDescent="0.3">
      <c r="A1118" t="s">
        <v>1120</v>
      </c>
    </row>
    <row r="1119" spans="1:1" x14ac:dyDescent="0.3">
      <c r="A1119" t="s">
        <v>1121</v>
      </c>
    </row>
    <row r="1120" spans="1:1" x14ac:dyDescent="0.3">
      <c r="A1120" t="s">
        <v>1122</v>
      </c>
    </row>
    <row r="1121" spans="1:1" x14ac:dyDescent="0.3">
      <c r="A1121" t="s">
        <v>1123</v>
      </c>
    </row>
    <row r="1122" spans="1:1" x14ac:dyDescent="0.3">
      <c r="A1122" t="s">
        <v>1124</v>
      </c>
    </row>
    <row r="1123" spans="1:1" x14ac:dyDescent="0.3">
      <c r="A1123" t="s">
        <v>1125</v>
      </c>
    </row>
    <row r="1124" spans="1:1" x14ac:dyDescent="0.3">
      <c r="A1124" t="s">
        <v>1126</v>
      </c>
    </row>
    <row r="1125" spans="1:1" x14ac:dyDescent="0.3">
      <c r="A1125" t="s">
        <v>1127</v>
      </c>
    </row>
    <row r="1126" spans="1:1" x14ac:dyDescent="0.3">
      <c r="A1126" t="s">
        <v>1128</v>
      </c>
    </row>
    <row r="1127" spans="1:1" x14ac:dyDescent="0.3">
      <c r="A1127" t="s">
        <v>1129</v>
      </c>
    </row>
    <row r="1128" spans="1:1" x14ac:dyDescent="0.3">
      <c r="A1128" t="s">
        <v>1130</v>
      </c>
    </row>
    <row r="1129" spans="1:1" x14ac:dyDescent="0.3">
      <c r="A1129" t="s">
        <v>1131</v>
      </c>
    </row>
    <row r="1130" spans="1:1" x14ac:dyDescent="0.3">
      <c r="A1130" t="s">
        <v>1132</v>
      </c>
    </row>
    <row r="1131" spans="1:1" x14ac:dyDescent="0.3">
      <c r="A1131" t="s">
        <v>1133</v>
      </c>
    </row>
    <row r="1132" spans="1:1" x14ac:dyDescent="0.3">
      <c r="A1132" t="s">
        <v>1134</v>
      </c>
    </row>
    <row r="1133" spans="1:1" x14ac:dyDescent="0.3">
      <c r="A1133" t="s">
        <v>1135</v>
      </c>
    </row>
    <row r="1134" spans="1:1" x14ac:dyDescent="0.3">
      <c r="A1134" t="s">
        <v>1136</v>
      </c>
    </row>
    <row r="1135" spans="1:1" x14ac:dyDescent="0.3">
      <c r="A1135" t="s">
        <v>1137</v>
      </c>
    </row>
    <row r="1136" spans="1:1" x14ac:dyDescent="0.3">
      <c r="A1136" t="s">
        <v>1138</v>
      </c>
    </row>
    <row r="1137" spans="1:1" x14ac:dyDescent="0.3">
      <c r="A1137" t="s">
        <v>1139</v>
      </c>
    </row>
    <row r="1138" spans="1:1" x14ac:dyDescent="0.3">
      <c r="A1138" t="s">
        <v>1140</v>
      </c>
    </row>
    <row r="1139" spans="1:1" x14ac:dyDescent="0.3">
      <c r="A1139" t="s">
        <v>1141</v>
      </c>
    </row>
    <row r="1140" spans="1:1" x14ac:dyDescent="0.3">
      <c r="A1140" t="s">
        <v>1142</v>
      </c>
    </row>
    <row r="1141" spans="1:1" x14ac:dyDescent="0.3">
      <c r="A1141" t="s">
        <v>1143</v>
      </c>
    </row>
    <row r="1142" spans="1:1" x14ac:dyDescent="0.3">
      <c r="A1142" t="s">
        <v>1144</v>
      </c>
    </row>
    <row r="1143" spans="1:1" x14ac:dyDescent="0.3">
      <c r="A1143" t="s">
        <v>1145</v>
      </c>
    </row>
    <row r="1144" spans="1:1" x14ac:dyDescent="0.3">
      <c r="A1144" t="s">
        <v>1146</v>
      </c>
    </row>
    <row r="1145" spans="1:1" x14ac:dyDescent="0.3">
      <c r="A1145" t="s">
        <v>1147</v>
      </c>
    </row>
    <row r="1146" spans="1:1" x14ac:dyDescent="0.3">
      <c r="A1146" t="s">
        <v>1148</v>
      </c>
    </row>
    <row r="1147" spans="1:1" x14ac:dyDescent="0.3">
      <c r="A1147" t="s">
        <v>1149</v>
      </c>
    </row>
    <row r="1148" spans="1:1" x14ac:dyDescent="0.3">
      <c r="A1148" t="s">
        <v>1150</v>
      </c>
    </row>
    <row r="1149" spans="1:1" x14ac:dyDescent="0.3">
      <c r="A1149" t="s">
        <v>1151</v>
      </c>
    </row>
    <row r="1150" spans="1:1" x14ac:dyDescent="0.3">
      <c r="A1150" t="s">
        <v>1152</v>
      </c>
    </row>
    <row r="1151" spans="1:1" x14ac:dyDescent="0.3">
      <c r="A1151" t="s">
        <v>1153</v>
      </c>
    </row>
    <row r="1152" spans="1:1" x14ac:dyDescent="0.3">
      <c r="A1152" t="s">
        <v>1154</v>
      </c>
    </row>
    <row r="1153" spans="1:1" x14ac:dyDescent="0.3">
      <c r="A1153" t="s">
        <v>1155</v>
      </c>
    </row>
    <row r="1154" spans="1:1" x14ac:dyDescent="0.3">
      <c r="A1154" t="s">
        <v>1156</v>
      </c>
    </row>
    <row r="1155" spans="1:1" x14ac:dyDescent="0.3">
      <c r="A1155" t="s">
        <v>1157</v>
      </c>
    </row>
    <row r="1156" spans="1:1" x14ac:dyDescent="0.3">
      <c r="A1156" t="s">
        <v>1158</v>
      </c>
    </row>
    <row r="1157" spans="1:1" x14ac:dyDescent="0.3">
      <c r="A1157" t="s">
        <v>1159</v>
      </c>
    </row>
    <row r="1158" spans="1:1" x14ac:dyDescent="0.3">
      <c r="A1158" t="s">
        <v>1160</v>
      </c>
    </row>
    <row r="1159" spans="1:1" x14ac:dyDescent="0.3">
      <c r="A1159" t="s">
        <v>1161</v>
      </c>
    </row>
    <row r="1160" spans="1:1" x14ac:dyDescent="0.3">
      <c r="A1160" t="s">
        <v>1162</v>
      </c>
    </row>
    <row r="1161" spans="1:1" x14ac:dyDescent="0.3">
      <c r="A1161" t="s">
        <v>1163</v>
      </c>
    </row>
    <row r="1162" spans="1:1" x14ac:dyDescent="0.3">
      <c r="A1162" t="s">
        <v>1164</v>
      </c>
    </row>
    <row r="1163" spans="1:1" x14ac:dyDescent="0.3">
      <c r="A1163" t="s">
        <v>1165</v>
      </c>
    </row>
    <row r="1164" spans="1:1" x14ac:dyDescent="0.3">
      <c r="A1164" t="s">
        <v>1166</v>
      </c>
    </row>
    <row r="1165" spans="1:1" x14ac:dyDescent="0.3">
      <c r="A1165" t="s">
        <v>1167</v>
      </c>
    </row>
    <row r="1166" spans="1:1" x14ac:dyDescent="0.3">
      <c r="A1166" t="s">
        <v>1168</v>
      </c>
    </row>
    <row r="1167" spans="1:1" x14ac:dyDescent="0.3">
      <c r="A1167" t="s">
        <v>1169</v>
      </c>
    </row>
    <row r="1168" spans="1:1" x14ac:dyDescent="0.3">
      <c r="A1168" t="s">
        <v>1170</v>
      </c>
    </row>
    <row r="1169" spans="1:1" x14ac:dyDescent="0.3">
      <c r="A1169" t="s">
        <v>1171</v>
      </c>
    </row>
    <row r="1170" spans="1:1" x14ac:dyDescent="0.3">
      <c r="A1170" t="s">
        <v>1172</v>
      </c>
    </row>
    <row r="1171" spans="1:1" x14ac:dyDescent="0.3">
      <c r="A1171" t="s">
        <v>1173</v>
      </c>
    </row>
    <row r="1172" spans="1:1" x14ac:dyDescent="0.3">
      <c r="A1172" t="s">
        <v>1174</v>
      </c>
    </row>
    <row r="1173" spans="1:1" x14ac:dyDescent="0.3">
      <c r="A1173" t="s">
        <v>1175</v>
      </c>
    </row>
    <row r="1174" spans="1:1" x14ac:dyDescent="0.3">
      <c r="A1174" t="s">
        <v>1176</v>
      </c>
    </row>
    <row r="1175" spans="1:1" x14ac:dyDescent="0.3">
      <c r="A1175" t="s">
        <v>1177</v>
      </c>
    </row>
    <row r="1176" spans="1:1" x14ac:dyDescent="0.3">
      <c r="A1176" t="s">
        <v>1178</v>
      </c>
    </row>
    <row r="1177" spans="1:1" x14ac:dyDescent="0.3">
      <c r="A1177" t="s">
        <v>1179</v>
      </c>
    </row>
    <row r="1178" spans="1:1" x14ac:dyDescent="0.3">
      <c r="A1178" t="s">
        <v>1180</v>
      </c>
    </row>
    <row r="1179" spans="1:1" x14ac:dyDescent="0.3">
      <c r="A1179" t="s">
        <v>1181</v>
      </c>
    </row>
    <row r="1180" spans="1:1" x14ac:dyDescent="0.3">
      <c r="A1180" t="s">
        <v>1182</v>
      </c>
    </row>
    <row r="1181" spans="1:1" x14ac:dyDescent="0.3">
      <c r="A1181" t="s">
        <v>1183</v>
      </c>
    </row>
    <row r="1182" spans="1:1" x14ac:dyDescent="0.3">
      <c r="A1182" t="s">
        <v>1184</v>
      </c>
    </row>
    <row r="1183" spans="1:1" x14ac:dyDescent="0.3">
      <c r="A1183" t="s">
        <v>1185</v>
      </c>
    </row>
    <row r="1184" spans="1:1" x14ac:dyDescent="0.3">
      <c r="A1184" t="s">
        <v>1186</v>
      </c>
    </row>
    <row r="1185" spans="1:1" x14ac:dyDescent="0.3">
      <c r="A1185" t="s">
        <v>1187</v>
      </c>
    </row>
    <row r="1186" spans="1:1" x14ac:dyDescent="0.3">
      <c r="A1186" t="s">
        <v>1188</v>
      </c>
    </row>
    <row r="1187" spans="1:1" x14ac:dyDescent="0.3">
      <c r="A1187" t="s">
        <v>1189</v>
      </c>
    </row>
    <row r="1188" spans="1:1" x14ac:dyDescent="0.3">
      <c r="A1188" t="s">
        <v>1190</v>
      </c>
    </row>
    <row r="1189" spans="1:1" x14ac:dyDescent="0.3">
      <c r="A1189" t="s">
        <v>1191</v>
      </c>
    </row>
    <row r="1190" spans="1:1" x14ac:dyDescent="0.3">
      <c r="A1190" t="s">
        <v>1192</v>
      </c>
    </row>
    <row r="1191" spans="1:1" x14ac:dyDescent="0.3">
      <c r="A1191" t="s">
        <v>1193</v>
      </c>
    </row>
    <row r="1192" spans="1:1" x14ac:dyDescent="0.3">
      <c r="A1192" t="s">
        <v>1194</v>
      </c>
    </row>
    <row r="1193" spans="1:1" x14ac:dyDescent="0.3">
      <c r="A1193" t="s">
        <v>1195</v>
      </c>
    </row>
    <row r="1194" spans="1:1" x14ac:dyDescent="0.3">
      <c r="A1194" t="s">
        <v>1196</v>
      </c>
    </row>
    <row r="1195" spans="1:1" x14ac:dyDescent="0.3">
      <c r="A1195" t="s">
        <v>1197</v>
      </c>
    </row>
    <row r="1196" spans="1:1" x14ac:dyDescent="0.3">
      <c r="A1196" t="s">
        <v>1198</v>
      </c>
    </row>
    <row r="1197" spans="1:1" x14ac:dyDescent="0.3">
      <c r="A1197" t="s">
        <v>1199</v>
      </c>
    </row>
    <row r="1198" spans="1:1" x14ac:dyDescent="0.3">
      <c r="A1198" t="s">
        <v>1200</v>
      </c>
    </row>
    <row r="1199" spans="1:1" x14ac:dyDescent="0.3">
      <c r="A1199" t="s">
        <v>1201</v>
      </c>
    </row>
    <row r="1200" spans="1:1" x14ac:dyDescent="0.3">
      <c r="A1200" t="s">
        <v>1202</v>
      </c>
    </row>
    <row r="1201" spans="1:1" x14ac:dyDescent="0.3">
      <c r="A1201" t="s">
        <v>1203</v>
      </c>
    </row>
    <row r="1202" spans="1:1" x14ac:dyDescent="0.3">
      <c r="A1202" t="s">
        <v>1204</v>
      </c>
    </row>
    <row r="1203" spans="1:1" x14ac:dyDescent="0.3">
      <c r="A1203" t="s">
        <v>1205</v>
      </c>
    </row>
    <row r="1204" spans="1:1" x14ac:dyDescent="0.3">
      <c r="A1204" t="s">
        <v>1206</v>
      </c>
    </row>
    <row r="1205" spans="1:1" x14ac:dyDescent="0.3">
      <c r="A1205" t="s">
        <v>1207</v>
      </c>
    </row>
    <row r="1206" spans="1:1" x14ac:dyDescent="0.3">
      <c r="A1206" t="s">
        <v>1208</v>
      </c>
    </row>
    <row r="1207" spans="1:1" x14ac:dyDescent="0.3">
      <c r="A1207" t="s">
        <v>1209</v>
      </c>
    </row>
    <row r="1208" spans="1:1" x14ac:dyDescent="0.3">
      <c r="A1208" t="s">
        <v>1210</v>
      </c>
    </row>
    <row r="1209" spans="1:1" x14ac:dyDescent="0.3">
      <c r="A1209" t="s">
        <v>1211</v>
      </c>
    </row>
    <row r="1210" spans="1:1" x14ac:dyDescent="0.3">
      <c r="A1210" t="s">
        <v>1212</v>
      </c>
    </row>
    <row r="1211" spans="1:1" x14ac:dyDescent="0.3">
      <c r="A1211" t="s">
        <v>1213</v>
      </c>
    </row>
    <row r="1212" spans="1:1" x14ac:dyDescent="0.3">
      <c r="A1212" t="s">
        <v>1214</v>
      </c>
    </row>
    <row r="1213" spans="1:1" x14ac:dyDescent="0.3">
      <c r="A1213" t="s">
        <v>1215</v>
      </c>
    </row>
    <row r="1214" spans="1:1" x14ac:dyDescent="0.3">
      <c r="A1214" t="s">
        <v>1216</v>
      </c>
    </row>
    <row r="1215" spans="1:1" x14ac:dyDescent="0.3">
      <c r="A1215" t="s">
        <v>1217</v>
      </c>
    </row>
    <row r="1216" spans="1:1" x14ac:dyDescent="0.3">
      <c r="A1216" t="s">
        <v>1218</v>
      </c>
    </row>
    <row r="1217" spans="1:1" x14ac:dyDescent="0.3">
      <c r="A1217" t="s">
        <v>1219</v>
      </c>
    </row>
    <row r="1218" spans="1:1" x14ac:dyDescent="0.3">
      <c r="A1218" t="s">
        <v>1220</v>
      </c>
    </row>
    <row r="1219" spans="1:1" x14ac:dyDescent="0.3">
      <c r="A1219" t="s">
        <v>1221</v>
      </c>
    </row>
    <row r="1220" spans="1:1" x14ac:dyDescent="0.3">
      <c r="A1220" t="s">
        <v>1222</v>
      </c>
    </row>
    <row r="1221" spans="1:1" x14ac:dyDescent="0.3">
      <c r="A1221" t="s">
        <v>1223</v>
      </c>
    </row>
    <row r="1222" spans="1:1" x14ac:dyDescent="0.3">
      <c r="A1222" t="s">
        <v>1224</v>
      </c>
    </row>
    <row r="1223" spans="1:1" x14ac:dyDescent="0.3">
      <c r="A1223" t="s">
        <v>1225</v>
      </c>
    </row>
    <row r="1224" spans="1:1" x14ac:dyDescent="0.3">
      <c r="A1224" t="s">
        <v>1226</v>
      </c>
    </row>
    <row r="1225" spans="1:1" x14ac:dyDescent="0.3">
      <c r="A1225" t="s">
        <v>1227</v>
      </c>
    </row>
    <row r="1226" spans="1:1" x14ac:dyDescent="0.3">
      <c r="A1226" t="s">
        <v>1228</v>
      </c>
    </row>
    <row r="1227" spans="1:1" x14ac:dyDescent="0.3">
      <c r="A1227" t="s">
        <v>1229</v>
      </c>
    </row>
    <row r="1228" spans="1:1" x14ac:dyDescent="0.3">
      <c r="A1228" t="s">
        <v>1230</v>
      </c>
    </row>
    <row r="1229" spans="1:1" x14ac:dyDescent="0.3">
      <c r="A1229" t="s">
        <v>1231</v>
      </c>
    </row>
    <row r="1230" spans="1:1" x14ac:dyDescent="0.3">
      <c r="A1230" t="s">
        <v>1232</v>
      </c>
    </row>
    <row r="1231" spans="1:1" x14ac:dyDescent="0.3">
      <c r="A1231" t="s">
        <v>1233</v>
      </c>
    </row>
    <row r="1232" spans="1:1" x14ac:dyDescent="0.3">
      <c r="A1232" t="s">
        <v>1234</v>
      </c>
    </row>
    <row r="1233" spans="1:1" x14ac:dyDescent="0.3">
      <c r="A1233" t="s">
        <v>1235</v>
      </c>
    </row>
    <row r="1234" spans="1:1" x14ac:dyDescent="0.3">
      <c r="A1234" t="s">
        <v>1236</v>
      </c>
    </row>
    <row r="1235" spans="1:1" x14ac:dyDescent="0.3">
      <c r="A1235" t="s">
        <v>1237</v>
      </c>
    </row>
    <row r="1236" spans="1:1" x14ac:dyDescent="0.3">
      <c r="A1236" t="s">
        <v>1238</v>
      </c>
    </row>
    <row r="1237" spans="1:1" x14ac:dyDescent="0.3">
      <c r="A1237" t="s">
        <v>1239</v>
      </c>
    </row>
    <row r="1238" spans="1:1" x14ac:dyDescent="0.3">
      <c r="A1238" t="s">
        <v>1240</v>
      </c>
    </row>
    <row r="1239" spans="1:1" x14ac:dyDescent="0.3">
      <c r="A1239" t="s">
        <v>1241</v>
      </c>
    </row>
    <row r="1240" spans="1:1" x14ac:dyDescent="0.3">
      <c r="A1240" t="s">
        <v>1242</v>
      </c>
    </row>
    <row r="1241" spans="1:1" x14ac:dyDescent="0.3">
      <c r="A1241" t="s">
        <v>1243</v>
      </c>
    </row>
    <row r="1242" spans="1:1" x14ac:dyDescent="0.3">
      <c r="A1242" t="s">
        <v>1244</v>
      </c>
    </row>
    <row r="1243" spans="1:1" x14ac:dyDescent="0.3">
      <c r="A1243" t="s">
        <v>1245</v>
      </c>
    </row>
    <row r="1244" spans="1:1" x14ac:dyDescent="0.3">
      <c r="A1244" t="s">
        <v>1246</v>
      </c>
    </row>
    <row r="1245" spans="1:1" x14ac:dyDescent="0.3">
      <c r="A1245" t="s">
        <v>1247</v>
      </c>
    </row>
    <row r="1246" spans="1:1" x14ac:dyDescent="0.3">
      <c r="A1246" t="s">
        <v>1248</v>
      </c>
    </row>
    <row r="1247" spans="1:1" x14ac:dyDescent="0.3">
      <c r="A1247" t="s">
        <v>1249</v>
      </c>
    </row>
    <row r="1248" spans="1:1" x14ac:dyDescent="0.3">
      <c r="A1248" t="s">
        <v>1250</v>
      </c>
    </row>
    <row r="1249" spans="1:1" x14ac:dyDescent="0.3">
      <c r="A1249" t="s">
        <v>1251</v>
      </c>
    </row>
    <row r="1250" spans="1:1" x14ac:dyDescent="0.3">
      <c r="A1250" t="s">
        <v>1252</v>
      </c>
    </row>
    <row r="1251" spans="1:1" x14ac:dyDescent="0.3">
      <c r="A1251" t="s">
        <v>1253</v>
      </c>
    </row>
    <row r="1252" spans="1:1" x14ac:dyDescent="0.3">
      <c r="A1252" t="s">
        <v>1254</v>
      </c>
    </row>
    <row r="1253" spans="1:1" x14ac:dyDescent="0.3">
      <c r="A1253" t="s">
        <v>1255</v>
      </c>
    </row>
    <row r="1254" spans="1:1" x14ac:dyDescent="0.3">
      <c r="A1254" t="s">
        <v>1256</v>
      </c>
    </row>
    <row r="1255" spans="1:1" x14ac:dyDescent="0.3">
      <c r="A1255" t="s">
        <v>1257</v>
      </c>
    </row>
    <row r="1256" spans="1:1" x14ac:dyDescent="0.3">
      <c r="A1256" t="s">
        <v>1258</v>
      </c>
    </row>
    <row r="1257" spans="1:1" x14ac:dyDescent="0.3">
      <c r="A1257" t="s">
        <v>1259</v>
      </c>
    </row>
    <row r="1258" spans="1:1" x14ac:dyDescent="0.3">
      <c r="A1258" t="s">
        <v>1260</v>
      </c>
    </row>
    <row r="1259" spans="1:1" x14ac:dyDescent="0.3">
      <c r="A1259" t="s">
        <v>1261</v>
      </c>
    </row>
    <row r="1260" spans="1:1" x14ac:dyDescent="0.3">
      <c r="A1260" t="s">
        <v>1262</v>
      </c>
    </row>
    <row r="1261" spans="1:1" x14ac:dyDescent="0.3">
      <c r="A1261" t="s">
        <v>1263</v>
      </c>
    </row>
    <row r="1262" spans="1:1" x14ac:dyDescent="0.3">
      <c r="A1262" t="s">
        <v>1264</v>
      </c>
    </row>
    <row r="1263" spans="1:1" x14ac:dyDescent="0.3">
      <c r="A1263" t="s">
        <v>1265</v>
      </c>
    </row>
    <row r="1264" spans="1:1" x14ac:dyDescent="0.3">
      <c r="A1264" t="s">
        <v>1266</v>
      </c>
    </row>
    <row r="1265" spans="1:1" x14ac:dyDescent="0.3">
      <c r="A1265" t="s">
        <v>1267</v>
      </c>
    </row>
    <row r="1266" spans="1:1" x14ac:dyDescent="0.3">
      <c r="A1266" t="s">
        <v>1268</v>
      </c>
    </row>
    <row r="1267" spans="1:1" x14ac:dyDescent="0.3">
      <c r="A1267" t="s">
        <v>1269</v>
      </c>
    </row>
    <row r="1268" spans="1:1" x14ac:dyDescent="0.3">
      <c r="A1268" t="s">
        <v>1270</v>
      </c>
    </row>
    <row r="1269" spans="1:1" x14ac:dyDescent="0.3">
      <c r="A1269" t="s">
        <v>1271</v>
      </c>
    </row>
    <row r="1270" spans="1:1" x14ac:dyDescent="0.3">
      <c r="A1270" t="s">
        <v>1272</v>
      </c>
    </row>
    <row r="1271" spans="1:1" x14ac:dyDescent="0.3">
      <c r="A1271" t="s">
        <v>1273</v>
      </c>
    </row>
    <row r="1272" spans="1:1" x14ac:dyDescent="0.3">
      <c r="A1272" t="s">
        <v>1274</v>
      </c>
    </row>
    <row r="1273" spans="1:1" x14ac:dyDescent="0.3">
      <c r="A1273" t="s">
        <v>1275</v>
      </c>
    </row>
    <row r="1274" spans="1:1" x14ac:dyDescent="0.3">
      <c r="A1274" t="s">
        <v>1276</v>
      </c>
    </row>
    <row r="1275" spans="1:1" x14ac:dyDescent="0.3">
      <c r="A1275" t="s">
        <v>1277</v>
      </c>
    </row>
    <row r="1276" spans="1:1" x14ac:dyDescent="0.3">
      <c r="A1276" t="s">
        <v>1278</v>
      </c>
    </row>
    <row r="1277" spans="1:1" x14ac:dyDescent="0.3">
      <c r="A1277" t="s">
        <v>1279</v>
      </c>
    </row>
    <row r="1278" spans="1:1" x14ac:dyDescent="0.3">
      <c r="A1278" t="s">
        <v>1280</v>
      </c>
    </row>
    <row r="1279" spans="1:1" x14ac:dyDescent="0.3">
      <c r="A1279" t="s">
        <v>1281</v>
      </c>
    </row>
    <row r="1280" spans="1:1" x14ac:dyDescent="0.3">
      <c r="A1280" t="s">
        <v>1282</v>
      </c>
    </row>
    <row r="1281" spans="1:1" x14ac:dyDescent="0.3">
      <c r="A1281" t="s">
        <v>1283</v>
      </c>
    </row>
    <row r="1282" spans="1:1" x14ac:dyDescent="0.3">
      <c r="A1282" t="s">
        <v>1284</v>
      </c>
    </row>
    <row r="1283" spans="1:1" x14ac:dyDescent="0.3">
      <c r="A1283" t="s">
        <v>1285</v>
      </c>
    </row>
    <row r="1284" spans="1:1" x14ac:dyDescent="0.3">
      <c r="A1284" t="s">
        <v>1286</v>
      </c>
    </row>
    <row r="1285" spans="1:1" x14ac:dyDescent="0.3">
      <c r="A1285" t="s">
        <v>1287</v>
      </c>
    </row>
    <row r="1286" spans="1:1" x14ac:dyDescent="0.3">
      <c r="A1286" t="s">
        <v>1288</v>
      </c>
    </row>
    <row r="1287" spans="1:1" x14ac:dyDescent="0.3">
      <c r="A1287" t="s">
        <v>1289</v>
      </c>
    </row>
    <row r="1288" spans="1:1" x14ac:dyDescent="0.3">
      <c r="A1288" t="s">
        <v>1290</v>
      </c>
    </row>
    <row r="1289" spans="1:1" x14ac:dyDescent="0.3">
      <c r="A1289" t="s">
        <v>1291</v>
      </c>
    </row>
    <row r="1290" spans="1:1" x14ac:dyDescent="0.3">
      <c r="A1290" t="s">
        <v>1292</v>
      </c>
    </row>
    <row r="1291" spans="1:1" x14ac:dyDescent="0.3">
      <c r="A1291" t="s">
        <v>1293</v>
      </c>
    </row>
    <row r="1292" spans="1:1" x14ac:dyDescent="0.3">
      <c r="A1292" t="s">
        <v>1294</v>
      </c>
    </row>
    <row r="1293" spans="1:1" x14ac:dyDescent="0.3">
      <c r="A1293" t="s">
        <v>1295</v>
      </c>
    </row>
    <row r="1294" spans="1:1" x14ac:dyDescent="0.3">
      <c r="A1294" t="s">
        <v>1296</v>
      </c>
    </row>
    <row r="1295" spans="1:1" x14ac:dyDescent="0.3">
      <c r="A1295" t="s">
        <v>1297</v>
      </c>
    </row>
    <row r="1296" spans="1:1" x14ac:dyDescent="0.3">
      <c r="A1296" t="s">
        <v>1298</v>
      </c>
    </row>
    <row r="1297" spans="1:1" x14ac:dyDescent="0.3">
      <c r="A1297" t="s">
        <v>1299</v>
      </c>
    </row>
    <row r="1298" spans="1:1" x14ac:dyDescent="0.3">
      <c r="A1298" t="s">
        <v>1300</v>
      </c>
    </row>
    <row r="1299" spans="1:1" x14ac:dyDescent="0.3">
      <c r="A1299" t="s">
        <v>1301</v>
      </c>
    </row>
    <row r="1300" spans="1:1" x14ac:dyDescent="0.3">
      <c r="A1300" t="s">
        <v>1302</v>
      </c>
    </row>
    <row r="1301" spans="1:1" x14ac:dyDescent="0.3">
      <c r="A1301" t="s">
        <v>1303</v>
      </c>
    </row>
    <row r="1302" spans="1:1" x14ac:dyDescent="0.3">
      <c r="A1302" t="s">
        <v>1304</v>
      </c>
    </row>
    <row r="1303" spans="1:1" x14ac:dyDescent="0.3">
      <c r="A1303" t="s">
        <v>1305</v>
      </c>
    </row>
    <row r="1304" spans="1:1" x14ac:dyDescent="0.3">
      <c r="A1304" t="s">
        <v>1306</v>
      </c>
    </row>
    <row r="1305" spans="1:1" x14ac:dyDescent="0.3">
      <c r="A1305" t="s">
        <v>1307</v>
      </c>
    </row>
    <row r="1306" spans="1:1" x14ac:dyDescent="0.3">
      <c r="A1306" t="s">
        <v>1308</v>
      </c>
    </row>
    <row r="1307" spans="1:1" x14ac:dyDescent="0.3">
      <c r="A1307" t="s">
        <v>1309</v>
      </c>
    </row>
    <row r="1308" spans="1:1" x14ac:dyDescent="0.3">
      <c r="A1308" t="s">
        <v>1310</v>
      </c>
    </row>
    <row r="1309" spans="1:1" x14ac:dyDescent="0.3">
      <c r="A1309" t="s">
        <v>1311</v>
      </c>
    </row>
    <row r="1310" spans="1:1" x14ac:dyDescent="0.3">
      <c r="A1310" t="s">
        <v>1312</v>
      </c>
    </row>
    <row r="1311" spans="1:1" x14ac:dyDescent="0.3">
      <c r="A1311" t="s">
        <v>1313</v>
      </c>
    </row>
    <row r="1312" spans="1:1" x14ac:dyDescent="0.3">
      <c r="A1312" t="s">
        <v>1314</v>
      </c>
    </row>
    <row r="1313" spans="1:1" x14ac:dyDescent="0.3">
      <c r="A1313" t="s">
        <v>1315</v>
      </c>
    </row>
    <row r="1314" spans="1:1" x14ac:dyDescent="0.3">
      <c r="A1314" t="s">
        <v>1316</v>
      </c>
    </row>
    <row r="1315" spans="1:1" x14ac:dyDescent="0.3">
      <c r="A1315" t="s">
        <v>1317</v>
      </c>
    </row>
    <row r="1316" spans="1:1" x14ac:dyDescent="0.3">
      <c r="A1316" t="s">
        <v>1318</v>
      </c>
    </row>
    <row r="1317" spans="1:1" x14ac:dyDescent="0.3">
      <c r="A1317" t="s">
        <v>1319</v>
      </c>
    </row>
    <row r="1318" spans="1:1" x14ac:dyDescent="0.3">
      <c r="A1318" t="s">
        <v>1320</v>
      </c>
    </row>
    <row r="1319" spans="1:1" x14ac:dyDescent="0.3">
      <c r="A1319" t="s">
        <v>1321</v>
      </c>
    </row>
    <row r="1320" spans="1:1" x14ac:dyDescent="0.3">
      <c r="A1320" t="s">
        <v>1322</v>
      </c>
    </row>
    <row r="1321" spans="1:1" x14ac:dyDescent="0.3">
      <c r="A1321" t="s">
        <v>1323</v>
      </c>
    </row>
    <row r="1322" spans="1:1" x14ac:dyDescent="0.3">
      <c r="A1322" t="s">
        <v>1324</v>
      </c>
    </row>
    <row r="1323" spans="1:1" x14ac:dyDescent="0.3">
      <c r="A1323" t="s">
        <v>1325</v>
      </c>
    </row>
    <row r="1324" spans="1:1" x14ac:dyDescent="0.3">
      <c r="A1324" t="s">
        <v>1326</v>
      </c>
    </row>
    <row r="1325" spans="1:1" x14ac:dyDescent="0.3">
      <c r="A1325" t="s">
        <v>1327</v>
      </c>
    </row>
    <row r="1326" spans="1:1" x14ac:dyDescent="0.3">
      <c r="A1326" t="s">
        <v>1328</v>
      </c>
    </row>
    <row r="1327" spans="1:1" x14ac:dyDescent="0.3">
      <c r="A1327" t="s">
        <v>1329</v>
      </c>
    </row>
    <row r="1328" spans="1:1" x14ac:dyDescent="0.3">
      <c r="A1328" t="s">
        <v>1330</v>
      </c>
    </row>
    <row r="1329" spans="1:1" x14ac:dyDescent="0.3">
      <c r="A1329" t="s">
        <v>1331</v>
      </c>
    </row>
    <row r="1330" spans="1:1" x14ac:dyDescent="0.3">
      <c r="A1330" t="s">
        <v>1332</v>
      </c>
    </row>
    <row r="1331" spans="1:1" x14ac:dyDescent="0.3">
      <c r="A1331" t="s">
        <v>1333</v>
      </c>
    </row>
    <row r="1332" spans="1:1" x14ac:dyDescent="0.3">
      <c r="A1332" t="s">
        <v>1334</v>
      </c>
    </row>
    <row r="1333" spans="1:1" x14ac:dyDescent="0.3">
      <c r="A1333" t="s">
        <v>1335</v>
      </c>
    </row>
    <row r="1334" spans="1:1" x14ac:dyDescent="0.3">
      <c r="A1334" t="s">
        <v>1336</v>
      </c>
    </row>
    <row r="1335" spans="1:1" x14ac:dyDescent="0.3">
      <c r="A1335" t="s">
        <v>1337</v>
      </c>
    </row>
    <row r="1336" spans="1:1" x14ac:dyDescent="0.3">
      <c r="A1336" t="s">
        <v>1338</v>
      </c>
    </row>
    <row r="1337" spans="1:1" x14ac:dyDescent="0.3">
      <c r="A1337" t="s">
        <v>1339</v>
      </c>
    </row>
    <row r="1338" spans="1:1" x14ac:dyDescent="0.3">
      <c r="A1338" t="s">
        <v>1340</v>
      </c>
    </row>
    <row r="1339" spans="1:1" x14ac:dyDescent="0.3">
      <c r="A1339" t="s">
        <v>1341</v>
      </c>
    </row>
    <row r="1340" spans="1:1" x14ac:dyDescent="0.3">
      <c r="A1340" t="s">
        <v>1342</v>
      </c>
    </row>
    <row r="1341" spans="1:1" x14ac:dyDescent="0.3">
      <c r="A1341" t="s">
        <v>1343</v>
      </c>
    </row>
    <row r="1342" spans="1:1" x14ac:dyDescent="0.3">
      <c r="A1342" t="s">
        <v>1344</v>
      </c>
    </row>
    <row r="1343" spans="1:1" x14ac:dyDescent="0.3">
      <c r="A1343" t="s">
        <v>1345</v>
      </c>
    </row>
    <row r="1344" spans="1:1" x14ac:dyDescent="0.3">
      <c r="A1344" t="s">
        <v>1346</v>
      </c>
    </row>
    <row r="1345" spans="1:1" x14ac:dyDescent="0.3">
      <c r="A1345" t="s">
        <v>1347</v>
      </c>
    </row>
    <row r="1346" spans="1:1" x14ac:dyDescent="0.3">
      <c r="A1346" t="s">
        <v>1348</v>
      </c>
    </row>
    <row r="1347" spans="1:1" x14ac:dyDescent="0.3">
      <c r="A1347" t="s">
        <v>1349</v>
      </c>
    </row>
    <row r="1348" spans="1:1" x14ac:dyDescent="0.3">
      <c r="A1348" t="s">
        <v>1350</v>
      </c>
    </row>
    <row r="1349" spans="1:1" x14ac:dyDescent="0.3">
      <c r="A1349" t="s">
        <v>1351</v>
      </c>
    </row>
    <row r="1350" spans="1:1" x14ac:dyDescent="0.3">
      <c r="A1350" t="s">
        <v>1352</v>
      </c>
    </row>
    <row r="1351" spans="1:1" x14ac:dyDescent="0.3">
      <c r="A1351" t="s">
        <v>1353</v>
      </c>
    </row>
    <row r="1352" spans="1:1" x14ac:dyDescent="0.3">
      <c r="A1352" t="s">
        <v>1354</v>
      </c>
    </row>
    <row r="1353" spans="1:1" x14ac:dyDescent="0.3">
      <c r="A1353" t="s">
        <v>1355</v>
      </c>
    </row>
    <row r="1354" spans="1:1" x14ac:dyDescent="0.3">
      <c r="A1354" t="s">
        <v>1356</v>
      </c>
    </row>
    <row r="1355" spans="1:1" x14ac:dyDescent="0.3">
      <c r="A1355" t="s">
        <v>1357</v>
      </c>
    </row>
    <row r="1356" spans="1:1" x14ac:dyDescent="0.3">
      <c r="A1356" t="s">
        <v>1358</v>
      </c>
    </row>
    <row r="1357" spans="1:1" x14ac:dyDescent="0.3">
      <c r="A1357" t="s">
        <v>1359</v>
      </c>
    </row>
    <row r="1358" spans="1:1" x14ac:dyDescent="0.3">
      <c r="A1358" t="s">
        <v>1360</v>
      </c>
    </row>
    <row r="1359" spans="1:1" x14ac:dyDescent="0.3">
      <c r="A1359" t="s">
        <v>1361</v>
      </c>
    </row>
    <row r="1360" spans="1:1" x14ac:dyDescent="0.3">
      <c r="A1360" t="s">
        <v>1362</v>
      </c>
    </row>
    <row r="1361" spans="1:1" x14ac:dyDescent="0.3">
      <c r="A1361" t="s">
        <v>1363</v>
      </c>
    </row>
    <row r="1362" spans="1:1" x14ac:dyDescent="0.3">
      <c r="A1362" t="s">
        <v>1364</v>
      </c>
    </row>
    <row r="1363" spans="1:1" x14ac:dyDescent="0.3">
      <c r="A1363" t="s">
        <v>1365</v>
      </c>
    </row>
    <row r="1364" spans="1:1" x14ac:dyDescent="0.3">
      <c r="A1364" t="s">
        <v>1366</v>
      </c>
    </row>
    <row r="1365" spans="1:1" x14ac:dyDescent="0.3">
      <c r="A1365" t="s">
        <v>1367</v>
      </c>
    </row>
    <row r="1366" spans="1:1" x14ac:dyDescent="0.3">
      <c r="A1366" t="s">
        <v>1368</v>
      </c>
    </row>
    <row r="1367" spans="1:1" x14ac:dyDescent="0.3">
      <c r="A1367" t="s">
        <v>1369</v>
      </c>
    </row>
    <row r="1368" spans="1:1" x14ac:dyDescent="0.3">
      <c r="A1368" t="s">
        <v>1370</v>
      </c>
    </row>
    <row r="1369" spans="1:1" x14ac:dyDescent="0.3">
      <c r="A1369" t="s">
        <v>1371</v>
      </c>
    </row>
    <row r="1370" spans="1:1" x14ac:dyDescent="0.3">
      <c r="A1370" t="s">
        <v>1372</v>
      </c>
    </row>
    <row r="1371" spans="1:1" x14ac:dyDescent="0.3">
      <c r="A1371" t="s">
        <v>1373</v>
      </c>
    </row>
    <row r="1372" spans="1:1" x14ac:dyDescent="0.3">
      <c r="A1372" t="s">
        <v>1374</v>
      </c>
    </row>
    <row r="1373" spans="1:1" x14ac:dyDescent="0.3">
      <c r="A1373" t="s">
        <v>1375</v>
      </c>
    </row>
    <row r="1374" spans="1:1" x14ac:dyDescent="0.3">
      <c r="A1374" t="s">
        <v>1376</v>
      </c>
    </row>
    <row r="1375" spans="1:1" x14ac:dyDescent="0.3">
      <c r="A1375" t="s">
        <v>1377</v>
      </c>
    </row>
    <row r="1376" spans="1:1" x14ac:dyDescent="0.3">
      <c r="A1376" t="s">
        <v>1378</v>
      </c>
    </row>
    <row r="1377" spans="1:1" x14ac:dyDescent="0.3">
      <c r="A1377" t="s">
        <v>1379</v>
      </c>
    </row>
    <row r="1378" spans="1:1" x14ac:dyDescent="0.3">
      <c r="A1378" t="s">
        <v>1380</v>
      </c>
    </row>
    <row r="1379" spans="1:1" x14ac:dyDescent="0.3">
      <c r="A1379" t="s">
        <v>1381</v>
      </c>
    </row>
    <row r="1380" spans="1:1" x14ac:dyDescent="0.3">
      <c r="A1380" t="s">
        <v>1382</v>
      </c>
    </row>
    <row r="1381" spans="1:1" x14ac:dyDescent="0.3">
      <c r="A1381" t="s">
        <v>1383</v>
      </c>
    </row>
    <row r="1382" spans="1:1" x14ac:dyDescent="0.3">
      <c r="A1382" t="s">
        <v>1384</v>
      </c>
    </row>
    <row r="1383" spans="1:1" x14ac:dyDescent="0.3">
      <c r="A1383" t="s">
        <v>1385</v>
      </c>
    </row>
    <row r="1384" spans="1:1" x14ac:dyDescent="0.3">
      <c r="A1384" t="s">
        <v>1386</v>
      </c>
    </row>
    <row r="1385" spans="1:1" x14ac:dyDescent="0.3">
      <c r="A1385" t="s">
        <v>1387</v>
      </c>
    </row>
    <row r="1386" spans="1:1" x14ac:dyDescent="0.3">
      <c r="A1386" t="s">
        <v>1388</v>
      </c>
    </row>
    <row r="1387" spans="1:1" x14ac:dyDescent="0.3">
      <c r="A1387" t="s">
        <v>1389</v>
      </c>
    </row>
    <row r="1388" spans="1:1" x14ac:dyDescent="0.3">
      <c r="A1388" t="s">
        <v>1390</v>
      </c>
    </row>
    <row r="1389" spans="1:1" x14ac:dyDescent="0.3">
      <c r="A1389" t="s">
        <v>1391</v>
      </c>
    </row>
    <row r="1390" spans="1:1" x14ac:dyDescent="0.3">
      <c r="A1390" t="s">
        <v>1392</v>
      </c>
    </row>
    <row r="1391" spans="1:1" x14ac:dyDescent="0.3">
      <c r="A1391" t="s">
        <v>1393</v>
      </c>
    </row>
    <row r="1392" spans="1:1" x14ac:dyDescent="0.3">
      <c r="A1392" t="s">
        <v>1394</v>
      </c>
    </row>
    <row r="1393" spans="1:1" x14ac:dyDescent="0.3">
      <c r="A1393" t="s">
        <v>1395</v>
      </c>
    </row>
    <row r="1394" spans="1:1" x14ac:dyDescent="0.3">
      <c r="A1394" t="s">
        <v>1396</v>
      </c>
    </row>
    <row r="1395" spans="1:1" x14ac:dyDescent="0.3">
      <c r="A1395" t="s">
        <v>1397</v>
      </c>
    </row>
    <row r="1396" spans="1:1" x14ac:dyDescent="0.3">
      <c r="A1396" t="s">
        <v>1398</v>
      </c>
    </row>
    <row r="1397" spans="1:1" x14ac:dyDescent="0.3">
      <c r="A1397" t="s">
        <v>1399</v>
      </c>
    </row>
    <row r="1398" spans="1:1" x14ac:dyDescent="0.3">
      <c r="A1398" t="s">
        <v>1400</v>
      </c>
    </row>
    <row r="1399" spans="1:1" x14ac:dyDescent="0.3">
      <c r="A1399" t="s">
        <v>1401</v>
      </c>
    </row>
    <row r="1400" spans="1:1" x14ac:dyDescent="0.3">
      <c r="A1400" t="s">
        <v>1402</v>
      </c>
    </row>
    <row r="1401" spans="1:1" x14ac:dyDescent="0.3">
      <c r="A1401" t="s">
        <v>1403</v>
      </c>
    </row>
    <row r="1402" spans="1:1" x14ac:dyDescent="0.3">
      <c r="A1402" t="s">
        <v>1404</v>
      </c>
    </row>
    <row r="1403" spans="1:1" x14ac:dyDescent="0.3">
      <c r="A1403" t="s">
        <v>1405</v>
      </c>
    </row>
    <row r="1404" spans="1:1" x14ac:dyDescent="0.3">
      <c r="A1404" t="s">
        <v>1406</v>
      </c>
    </row>
    <row r="1405" spans="1:1" x14ac:dyDescent="0.3">
      <c r="A1405" t="s">
        <v>1407</v>
      </c>
    </row>
    <row r="1406" spans="1:1" x14ac:dyDescent="0.3">
      <c r="A1406" t="s">
        <v>1408</v>
      </c>
    </row>
    <row r="1407" spans="1:1" x14ac:dyDescent="0.3">
      <c r="A1407" t="s">
        <v>1409</v>
      </c>
    </row>
    <row r="1408" spans="1:1" x14ac:dyDescent="0.3">
      <c r="A1408" t="s">
        <v>1410</v>
      </c>
    </row>
    <row r="1409" spans="1:1" x14ac:dyDescent="0.3">
      <c r="A1409" t="s">
        <v>1411</v>
      </c>
    </row>
    <row r="1410" spans="1:1" x14ac:dyDescent="0.3">
      <c r="A1410" t="s">
        <v>1412</v>
      </c>
    </row>
    <row r="1411" spans="1:1" x14ac:dyDescent="0.3">
      <c r="A1411" t="s">
        <v>1413</v>
      </c>
    </row>
    <row r="1412" spans="1:1" x14ac:dyDescent="0.3">
      <c r="A1412" t="s">
        <v>1414</v>
      </c>
    </row>
    <row r="1413" spans="1:1" x14ac:dyDescent="0.3">
      <c r="A1413" t="s">
        <v>1415</v>
      </c>
    </row>
    <row r="1414" spans="1:1" x14ac:dyDescent="0.3">
      <c r="A1414" t="s">
        <v>1416</v>
      </c>
    </row>
    <row r="1415" spans="1:1" x14ac:dyDescent="0.3">
      <c r="A1415" t="s">
        <v>1417</v>
      </c>
    </row>
    <row r="1416" spans="1:1" x14ac:dyDescent="0.3">
      <c r="A1416" t="s">
        <v>1418</v>
      </c>
    </row>
    <row r="1417" spans="1:1" x14ac:dyDescent="0.3">
      <c r="A1417" t="s">
        <v>1419</v>
      </c>
    </row>
    <row r="1418" spans="1:1" x14ac:dyDescent="0.3">
      <c r="A1418" t="s">
        <v>1420</v>
      </c>
    </row>
    <row r="1419" spans="1:1" x14ac:dyDescent="0.3">
      <c r="A1419" t="s">
        <v>1421</v>
      </c>
    </row>
    <row r="1420" spans="1:1" x14ac:dyDescent="0.3">
      <c r="A1420" t="s">
        <v>1422</v>
      </c>
    </row>
    <row r="1421" spans="1:1" x14ac:dyDescent="0.3">
      <c r="A1421" t="s">
        <v>1423</v>
      </c>
    </row>
    <row r="1422" spans="1:1" x14ac:dyDescent="0.3">
      <c r="A1422" t="s">
        <v>1424</v>
      </c>
    </row>
    <row r="1423" spans="1:1" x14ac:dyDescent="0.3">
      <c r="A1423" t="s">
        <v>1425</v>
      </c>
    </row>
    <row r="1424" spans="1:1" x14ac:dyDescent="0.3">
      <c r="A1424" t="s">
        <v>1426</v>
      </c>
    </row>
    <row r="1425" spans="1:1" x14ac:dyDescent="0.3">
      <c r="A1425" t="s">
        <v>1427</v>
      </c>
    </row>
    <row r="1426" spans="1:1" x14ac:dyDescent="0.3">
      <c r="A1426" t="s">
        <v>1428</v>
      </c>
    </row>
    <row r="1427" spans="1:1" x14ac:dyDescent="0.3">
      <c r="A1427" t="s">
        <v>1429</v>
      </c>
    </row>
    <row r="1428" spans="1:1" x14ac:dyDescent="0.3">
      <c r="A1428" t="s">
        <v>1430</v>
      </c>
    </row>
    <row r="1429" spans="1:1" x14ac:dyDescent="0.3">
      <c r="A1429" t="s">
        <v>1431</v>
      </c>
    </row>
    <row r="1430" spans="1:1" x14ac:dyDescent="0.3">
      <c r="A1430" t="s">
        <v>1432</v>
      </c>
    </row>
    <row r="1431" spans="1:1" x14ac:dyDescent="0.3">
      <c r="A1431" t="s">
        <v>1433</v>
      </c>
    </row>
    <row r="1432" spans="1:1" x14ac:dyDescent="0.3">
      <c r="A1432" t="s">
        <v>1434</v>
      </c>
    </row>
    <row r="1433" spans="1:1" x14ac:dyDescent="0.3">
      <c r="A1433" t="s">
        <v>1435</v>
      </c>
    </row>
    <row r="1434" spans="1:1" x14ac:dyDescent="0.3">
      <c r="A1434" t="s">
        <v>1436</v>
      </c>
    </row>
    <row r="1435" spans="1:1" x14ac:dyDescent="0.3">
      <c r="A1435" t="s">
        <v>1437</v>
      </c>
    </row>
    <row r="1436" spans="1:1" x14ac:dyDescent="0.3">
      <c r="A1436" t="s">
        <v>1438</v>
      </c>
    </row>
    <row r="1437" spans="1:1" x14ac:dyDescent="0.3">
      <c r="A1437" t="s">
        <v>1439</v>
      </c>
    </row>
    <row r="1438" spans="1:1" x14ac:dyDescent="0.3">
      <c r="A1438" t="s">
        <v>1440</v>
      </c>
    </row>
    <row r="1439" spans="1:1" x14ac:dyDescent="0.3">
      <c r="A1439" t="s">
        <v>1441</v>
      </c>
    </row>
    <row r="1440" spans="1:1" x14ac:dyDescent="0.3">
      <c r="A1440" t="s">
        <v>1442</v>
      </c>
    </row>
    <row r="1441" spans="1:1" x14ac:dyDescent="0.3">
      <c r="A1441" t="s">
        <v>1443</v>
      </c>
    </row>
    <row r="1442" spans="1:1" x14ac:dyDescent="0.3">
      <c r="A1442" t="s">
        <v>1444</v>
      </c>
    </row>
    <row r="1443" spans="1:1" x14ac:dyDescent="0.3">
      <c r="A1443" t="s">
        <v>1445</v>
      </c>
    </row>
    <row r="1444" spans="1:1" x14ac:dyDescent="0.3">
      <c r="A1444" t="s">
        <v>1446</v>
      </c>
    </row>
    <row r="1445" spans="1:1" x14ac:dyDescent="0.3">
      <c r="A1445" t="s">
        <v>1447</v>
      </c>
    </row>
    <row r="1446" spans="1:1" x14ac:dyDescent="0.3">
      <c r="A1446" t="s">
        <v>1448</v>
      </c>
    </row>
    <row r="1447" spans="1:1" x14ac:dyDescent="0.3">
      <c r="A1447" t="s">
        <v>1449</v>
      </c>
    </row>
    <row r="1448" spans="1:1" x14ac:dyDescent="0.3">
      <c r="A1448" t="s">
        <v>1450</v>
      </c>
    </row>
    <row r="1449" spans="1:1" x14ac:dyDescent="0.3">
      <c r="A1449" t="s">
        <v>1451</v>
      </c>
    </row>
    <row r="1450" spans="1:1" x14ac:dyDescent="0.3">
      <c r="A1450" t="s">
        <v>1452</v>
      </c>
    </row>
    <row r="1451" spans="1:1" x14ac:dyDescent="0.3">
      <c r="A1451" t="s">
        <v>1453</v>
      </c>
    </row>
    <row r="1452" spans="1:1" x14ac:dyDescent="0.3">
      <c r="A1452" t="s">
        <v>1454</v>
      </c>
    </row>
    <row r="1453" spans="1:1" x14ac:dyDescent="0.3">
      <c r="A1453" t="s">
        <v>1455</v>
      </c>
    </row>
    <row r="1454" spans="1:1" x14ac:dyDescent="0.3">
      <c r="A1454" t="s">
        <v>1456</v>
      </c>
    </row>
    <row r="1455" spans="1:1" x14ac:dyDescent="0.3">
      <c r="A1455" t="s">
        <v>1457</v>
      </c>
    </row>
    <row r="1456" spans="1:1" x14ac:dyDescent="0.3">
      <c r="A1456" t="s">
        <v>1458</v>
      </c>
    </row>
    <row r="1457" spans="1:1" x14ac:dyDescent="0.3">
      <c r="A1457" t="s">
        <v>1459</v>
      </c>
    </row>
    <row r="1458" spans="1:1" x14ac:dyDescent="0.3">
      <c r="A1458" t="s">
        <v>1460</v>
      </c>
    </row>
    <row r="1459" spans="1:1" x14ac:dyDescent="0.3">
      <c r="A1459" t="s">
        <v>1461</v>
      </c>
    </row>
    <row r="1460" spans="1:1" x14ac:dyDescent="0.3">
      <c r="A1460" t="s">
        <v>1462</v>
      </c>
    </row>
    <row r="1461" spans="1:1" x14ac:dyDescent="0.3">
      <c r="A1461" t="s">
        <v>1463</v>
      </c>
    </row>
    <row r="1462" spans="1:1" x14ac:dyDescent="0.3">
      <c r="A1462" t="s">
        <v>1464</v>
      </c>
    </row>
    <row r="1463" spans="1:1" x14ac:dyDescent="0.3">
      <c r="A1463" t="s">
        <v>1465</v>
      </c>
    </row>
    <row r="1464" spans="1:1" x14ac:dyDescent="0.3">
      <c r="A1464" t="s">
        <v>1466</v>
      </c>
    </row>
    <row r="1465" spans="1:1" x14ac:dyDescent="0.3">
      <c r="A1465" t="s">
        <v>1467</v>
      </c>
    </row>
    <row r="1466" spans="1:1" x14ac:dyDescent="0.3">
      <c r="A1466" t="s">
        <v>1468</v>
      </c>
    </row>
    <row r="1467" spans="1:1" x14ac:dyDescent="0.3">
      <c r="A1467" t="s">
        <v>1469</v>
      </c>
    </row>
    <row r="1468" spans="1:1" x14ac:dyDescent="0.3">
      <c r="A1468" t="s">
        <v>1470</v>
      </c>
    </row>
    <row r="1469" spans="1:1" x14ac:dyDescent="0.3">
      <c r="A1469" t="s">
        <v>1471</v>
      </c>
    </row>
    <row r="1470" spans="1:1" x14ac:dyDescent="0.3">
      <c r="A1470" t="s">
        <v>1472</v>
      </c>
    </row>
    <row r="1471" spans="1:1" x14ac:dyDescent="0.3">
      <c r="A1471" t="s">
        <v>1473</v>
      </c>
    </row>
    <row r="1472" spans="1:1" x14ac:dyDescent="0.3">
      <c r="A1472" t="s">
        <v>1474</v>
      </c>
    </row>
    <row r="1473" spans="1:1" x14ac:dyDescent="0.3">
      <c r="A1473" t="s">
        <v>1475</v>
      </c>
    </row>
    <row r="1474" spans="1:1" x14ac:dyDescent="0.3">
      <c r="A1474" t="s">
        <v>1476</v>
      </c>
    </row>
    <row r="1475" spans="1:1" x14ac:dyDescent="0.3">
      <c r="A1475" t="s">
        <v>1477</v>
      </c>
    </row>
    <row r="1476" spans="1:1" x14ac:dyDescent="0.3">
      <c r="A1476" t="s">
        <v>1478</v>
      </c>
    </row>
    <row r="1477" spans="1:1" x14ac:dyDescent="0.3">
      <c r="A1477" t="s">
        <v>1479</v>
      </c>
    </row>
    <row r="1478" spans="1:1" x14ac:dyDescent="0.3">
      <c r="A1478" t="s">
        <v>1480</v>
      </c>
    </row>
    <row r="1479" spans="1:1" x14ac:dyDescent="0.3">
      <c r="A1479" t="s">
        <v>1481</v>
      </c>
    </row>
    <row r="1480" spans="1:1" x14ac:dyDescent="0.3">
      <c r="A1480" t="s">
        <v>1482</v>
      </c>
    </row>
    <row r="1481" spans="1:1" x14ac:dyDescent="0.3">
      <c r="A1481" t="s">
        <v>1483</v>
      </c>
    </row>
    <row r="1482" spans="1:1" x14ac:dyDescent="0.3">
      <c r="A1482" t="s">
        <v>1484</v>
      </c>
    </row>
    <row r="1483" spans="1:1" x14ac:dyDescent="0.3">
      <c r="A1483" t="s">
        <v>1485</v>
      </c>
    </row>
    <row r="1484" spans="1:1" x14ac:dyDescent="0.3">
      <c r="A1484" t="s">
        <v>1486</v>
      </c>
    </row>
    <row r="1485" spans="1:1" x14ac:dyDescent="0.3">
      <c r="A1485" t="s">
        <v>1487</v>
      </c>
    </row>
    <row r="1486" spans="1:1" x14ac:dyDescent="0.3">
      <c r="A1486" t="s">
        <v>1488</v>
      </c>
    </row>
    <row r="1487" spans="1:1" x14ac:dyDescent="0.3">
      <c r="A1487" t="s">
        <v>1489</v>
      </c>
    </row>
    <row r="1488" spans="1:1" x14ac:dyDescent="0.3">
      <c r="A1488" t="s">
        <v>1490</v>
      </c>
    </row>
    <row r="1489" spans="1:1" x14ac:dyDescent="0.3">
      <c r="A1489" t="s">
        <v>1491</v>
      </c>
    </row>
    <row r="1490" spans="1:1" x14ac:dyDescent="0.3">
      <c r="A1490" t="s">
        <v>1492</v>
      </c>
    </row>
    <row r="1491" spans="1:1" x14ac:dyDescent="0.3">
      <c r="A1491" t="s">
        <v>1493</v>
      </c>
    </row>
    <row r="1492" spans="1:1" x14ac:dyDescent="0.3">
      <c r="A1492" t="s">
        <v>1494</v>
      </c>
    </row>
    <row r="1493" spans="1:1" x14ac:dyDescent="0.3">
      <c r="A1493" t="s">
        <v>1495</v>
      </c>
    </row>
    <row r="1494" spans="1:1" x14ac:dyDescent="0.3">
      <c r="A1494" t="s">
        <v>1496</v>
      </c>
    </row>
    <row r="1495" spans="1:1" x14ac:dyDescent="0.3">
      <c r="A1495" t="s">
        <v>1497</v>
      </c>
    </row>
    <row r="1496" spans="1:1" x14ac:dyDescent="0.3">
      <c r="A1496" t="s">
        <v>1498</v>
      </c>
    </row>
    <row r="1497" spans="1:1" x14ac:dyDescent="0.3">
      <c r="A1497" t="s">
        <v>1499</v>
      </c>
    </row>
    <row r="1498" spans="1:1" x14ac:dyDescent="0.3">
      <c r="A1498" t="s">
        <v>1500</v>
      </c>
    </row>
    <row r="1499" spans="1:1" x14ac:dyDescent="0.3">
      <c r="A1499" t="s">
        <v>1501</v>
      </c>
    </row>
    <row r="1500" spans="1:1" x14ac:dyDescent="0.3">
      <c r="A1500" t="s">
        <v>1502</v>
      </c>
    </row>
    <row r="1501" spans="1:1" x14ac:dyDescent="0.3">
      <c r="A1501" t="s">
        <v>1503</v>
      </c>
    </row>
    <row r="1502" spans="1:1" x14ac:dyDescent="0.3">
      <c r="A1502" t="s">
        <v>1504</v>
      </c>
    </row>
    <row r="1503" spans="1:1" x14ac:dyDescent="0.3">
      <c r="A1503" t="s">
        <v>1505</v>
      </c>
    </row>
    <row r="1504" spans="1:1" x14ac:dyDescent="0.3">
      <c r="A1504" t="s">
        <v>1506</v>
      </c>
    </row>
    <row r="1505" spans="1:1" x14ac:dyDescent="0.3">
      <c r="A1505" t="s">
        <v>1507</v>
      </c>
    </row>
    <row r="1506" spans="1:1" x14ac:dyDescent="0.3">
      <c r="A1506" t="s">
        <v>1508</v>
      </c>
    </row>
    <row r="1507" spans="1:1" x14ac:dyDescent="0.3">
      <c r="A1507" t="s">
        <v>1509</v>
      </c>
    </row>
    <row r="1508" spans="1:1" x14ac:dyDescent="0.3">
      <c r="A1508" t="s">
        <v>1510</v>
      </c>
    </row>
    <row r="1509" spans="1:1" x14ac:dyDescent="0.3">
      <c r="A1509" t="s">
        <v>1511</v>
      </c>
    </row>
    <row r="1510" spans="1:1" x14ac:dyDescent="0.3">
      <c r="A1510" t="s">
        <v>1512</v>
      </c>
    </row>
    <row r="1511" spans="1:1" x14ac:dyDescent="0.3">
      <c r="A1511" t="s">
        <v>1513</v>
      </c>
    </row>
    <row r="1512" spans="1:1" x14ac:dyDescent="0.3">
      <c r="A1512" t="s">
        <v>1514</v>
      </c>
    </row>
    <row r="1513" spans="1:1" x14ac:dyDescent="0.3">
      <c r="A1513" t="s">
        <v>1515</v>
      </c>
    </row>
    <row r="1514" spans="1:1" x14ac:dyDescent="0.3">
      <c r="A1514" t="s">
        <v>1516</v>
      </c>
    </row>
    <row r="1515" spans="1:1" x14ac:dyDescent="0.3">
      <c r="A1515" t="s">
        <v>1517</v>
      </c>
    </row>
    <row r="1516" spans="1:1" x14ac:dyDescent="0.3">
      <c r="A1516" t="s">
        <v>1518</v>
      </c>
    </row>
    <row r="1517" spans="1:1" x14ac:dyDescent="0.3">
      <c r="A1517" t="s">
        <v>1519</v>
      </c>
    </row>
    <row r="1518" spans="1:1" x14ac:dyDescent="0.3">
      <c r="A1518" t="s">
        <v>1520</v>
      </c>
    </row>
    <row r="1519" spans="1:1" x14ac:dyDescent="0.3">
      <c r="A1519" t="s">
        <v>1521</v>
      </c>
    </row>
    <row r="1520" spans="1:1" x14ac:dyDescent="0.3">
      <c r="A1520" t="s">
        <v>1522</v>
      </c>
    </row>
    <row r="1521" spans="1:1" x14ac:dyDescent="0.3">
      <c r="A1521" t="s">
        <v>1523</v>
      </c>
    </row>
    <row r="1522" spans="1:1" x14ac:dyDescent="0.3">
      <c r="A1522" t="s">
        <v>1524</v>
      </c>
    </row>
    <row r="1523" spans="1:1" x14ac:dyDescent="0.3">
      <c r="A1523" t="s">
        <v>1525</v>
      </c>
    </row>
    <row r="1524" spans="1:1" x14ac:dyDescent="0.3">
      <c r="A1524" t="s">
        <v>1526</v>
      </c>
    </row>
    <row r="1525" spans="1:1" x14ac:dyDescent="0.3">
      <c r="A1525" t="s">
        <v>1527</v>
      </c>
    </row>
    <row r="1526" spans="1:1" x14ac:dyDescent="0.3">
      <c r="A1526" t="s">
        <v>1528</v>
      </c>
    </row>
    <row r="1527" spans="1:1" x14ac:dyDescent="0.3">
      <c r="A1527" t="s">
        <v>1529</v>
      </c>
    </row>
    <row r="1528" spans="1:1" x14ac:dyDescent="0.3">
      <c r="A1528" t="s">
        <v>1530</v>
      </c>
    </row>
    <row r="1529" spans="1:1" x14ac:dyDescent="0.3">
      <c r="A1529" t="s">
        <v>1531</v>
      </c>
    </row>
    <row r="1530" spans="1:1" x14ac:dyDescent="0.3">
      <c r="A1530" t="s">
        <v>1532</v>
      </c>
    </row>
    <row r="1531" spans="1:1" x14ac:dyDescent="0.3">
      <c r="A1531" t="s">
        <v>1533</v>
      </c>
    </row>
    <row r="1532" spans="1:1" x14ac:dyDescent="0.3">
      <c r="A1532" t="s">
        <v>1534</v>
      </c>
    </row>
    <row r="1533" spans="1:1" x14ac:dyDescent="0.3">
      <c r="A1533" t="s">
        <v>1535</v>
      </c>
    </row>
    <row r="1534" spans="1:1" x14ac:dyDescent="0.3">
      <c r="A1534" t="s">
        <v>1536</v>
      </c>
    </row>
    <row r="1535" spans="1:1" x14ac:dyDescent="0.3">
      <c r="A1535" t="s">
        <v>1537</v>
      </c>
    </row>
    <row r="1536" spans="1:1" x14ac:dyDescent="0.3">
      <c r="A1536" t="s">
        <v>1538</v>
      </c>
    </row>
    <row r="1537" spans="1:1" x14ac:dyDescent="0.3">
      <c r="A1537" t="s">
        <v>1539</v>
      </c>
    </row>
    <row r="1538" spans="1:1" x14ac:dyDescent="0.3">
      <c r="A1538" t="s">
        <v>1540</v>
      </c>
    </row>
    <row r="1539" spans="1:1" x14ac:dyDescent="0.3">
      <c r="A1539" t="s">
        <v>1541</v>
      </c>
    </row>
    <row r="1540" spans="1:1" x14ac:dyDescent="0.3">
      <c r="A1540" t="s">
        <v>1542</v>
      </c>
    </row>
    <row r="1541" spans="1:1" x14ac:dyDescent="0.3">
      <c r="A1541" t="s">
        <v>1543</v>
      </c>
    </row>
    <row r="1542" spans="1:1" x14ac:dyDescent="0.3">
      <c r="A1542" t="s">
        <v>1544</v>
      </c>
    </row>
    <row r="1543" spans="1:1" x14ac:dyDescent="0.3">
      <c r="A1543" t="s">
        <v>1545</v>
      </c>
    </row>
    <row r="1544" spans="1:1" x14ac:dyDescent="0.3">
      <c r="A1544" t="s">
        <v>1546</v>
      </c>
    </row>
    <row r="1545" spans="1:1" x14ac:dyDescent="0.3">
      <c r="A1545" t="s">
        <v>1547</v>
      </c>
    </row>
    <row r="1546" spans="1:1" x14ac:dyDescent="0.3">
      <c r="A1546" t="s">
        <v>1548</v>
      </c>
    </row>
    <row r="1547" spans="1:1" x14ac:dyDescent="0.3">
      <c r="A1547" t="s">
        <v>1549</v>
      </c>
    </row>
    <row r="1548" spans="1:1" x14ac:dyDescent="0.3">
      <c r="A1548" t="s">
        <v>1550</v>
      </c>
    </row>
    <row r="1549" spans="1:1" x14ac:dyDescent="0.3">
      <c r="A1549" t="s">
        <v>1551</v>
      </c>
    </row>
    <row r="1550" spans="1:1" x14ac:dyDescent="0.3">
      <c r="A1550" t="s">
        <v>1552</v>
      </c>
    </row>
    <row r="1551" spans="1:1" x14ac:dyDescent="0.3">
      <c r="A1551" t="s">
        <v>1553</v>
      </c>
    </row>
    <row r="1552" spans="1:1" x14ac:dyDescent="0.3">
      <c r="A1552" t="s">
        <v>1554</v>
      </c>
    </row>
    <row r="1553" spans="1:2" x14ac:dyDescent="0.3">
      <c r="A1553" t="s">
        <v>1555</v>
      </c>
    </row>
    <row r="1554" spans="1:2" x14ac:dyDescent="0.3">
      <c r="A1554" t="s">
        <v>1556</v>
      </c>
    </row>
    <row r="1555" spans="1:2" x14ac:dyDescent="0.3">
      <c r="A1555" t="s">
        <v>1557</v>
      </c>
    </row>
    <row r="1556" spans="1:2" x14ac:dyDescent="0.3">
      <c r="A1556" t="s">
        <v>1558</v>
      </c>
    </row>
    <row r="1557" spans="1:2" x14ac:dyDescent="0.3">
      <c r="A1557" t="s">
        <v>1559</v>
      </c>
    </row>
    <row r="1558" spans="1:2" x14ac:dyDescent="0.3">
      <c r="A1558" t="s">
        <v>1560</v>
      </c>
    </row>
    <row r="1559" spans="1:2" x14ac:dyDescent="0.3">
      <c r="A1559" t="s">
        <v>1561</v>
      </c>
    </row>
    <row r="1560" spans="1:2" x14ac:dyDescent="0.3">
      <c r="A1560" t="s">
        <v>1562</v>
      </c>
    </row>
    <row r="1561" spans="1:2" x14ac:dyDescent="0.3">
      <c r="A1561" t="s">
        <v>1563</v>
      </c>
    </row>
    <row r="1562" spans="1:2" x14ac:dyDescent="0.3">
      <c r="A1562" t="s">
        <v>1564</v>
      </c>
    </row>
    <row r="1563" spans="1:2" x14ac:dyDescent="0.3">
      <c r="A1563" t="s">
        <v>1565</v>
      </c>
    </row>
    <row r="1564" spans="1:2" x14ac:dyDescent="0.3">
      <c r="A1564" t="s">
        <v>1566</v>
      </c>
      <c r="B1564" t="s">
        <v>1567</v>
      </c>
    </row>
    <row r="1565" spans="1:2" x14ac:dyDescent="0.3">
      <c r="A1565" t="s">
        <v>1568</v>
      </c>
    </row>
    <row r="1566" spans="1:2" x14ac:dyDescent="0.3">
      <c r="A1566" t="s">
        <v>1569</v>
      </c>
    </row>
    <row r="1567" spans="1:2" x14ac:dyDescent="0.3">
      <c r="A1567" t="s">
        <v>1570</v>
      </c>
    </row>
    <row r="1568" spans="1:2" x14ac:dyDescent="0.3">
      <c r="A1568" t="s">
        <v>1571</v>
      </c>
    </row>
    <row r="1569" spans="1:1" x14ac:dyDescent="0.3">
      <c r="A1569" t="s">
        <v>1572</v>
      </c>
    </row>
    <row r="1570" spans="1:1" x14ac:dyDescent="0.3">
      <c r="A1570" t="s">
        <v>1573</v>
      </c>
    </row>
    <row r="1571" spans="1:1" x14ac:dyDescent="0.3">
      <c r="A1571" t="s">
        <v>1574</v>
      </c>
    </row>
    <row r="1572" spans="1:1" x14ac:dyDescent="0.3">
      <c r="A1572" t="s">
        <v>1575</v>
      </c>
    </row>
    <row r="1573" spans="1:1" x14ac:dyDescent="0.3">
      <c r="A1573" t="s">
        <v>1576</v>
      </c>
    </row>
    <row r="1574" spans="1:1" x14ac:dyDescent="0.3">
      <c r="A1574" t="s">
        <v>1577</v>
      </c>
    </row>
    <row r="1575" spans="1:1" x14ac:dyDescent="0.3">
      <c r="A1575" t="s">
        <v>1578</v>
      </c>
    </row>
    <row r="1576" spans="1:1" x14ac:dyDescent="0.3">
      <c r="A1576" t="s">
        <v>1579</v>
      </c>
    </row>
    <row r="1577" spans="1:1" x14ac:dyDescent="0.3">
      <c r="A1577" t="s">
        <v>1580</v>
      </c>
    </row>
    <row r="1578" spans="1:1" x14ac:dyDescent="0.3">
      <c r="A1578" t="s">
        <v>1581</v>
      </c>
    </row>
    <row r="1579" spans="1:1" x14ac:dyDescent="0.3">
      <c r="A1579" t="s">
        <v>1582</v>
      </c>
    </row>
    <row r="1580" spans="1:1" x14ac:dyDescent="0.3">
      <c r="A1580" t="s">
        <v>1583</v>
      </c>
    </row>
    <row r="1581" spans="1:1" x14ac:dyDescent="0.3">
      <c r="A1581" t="s">
        <v>1584</v>
      </c>
    </row>
    <row r="1582" spans="1:1" x14ac:dyDescent="0.3">
      <c r="A1582" t="s">
        <v>1585</v>
      </c>
    </row>
    <row r="1583" spans="1:1" x14ac:dyDescent="0.3">
      <c r="A1583" t="s">
        <v>1586</v>
      </c>
    </row>
    <row r="1584" spans="1:1" x14ac:dyDescent="0.3">
      <c r="A1584" t="s">
        <v>1587</v>
      </c>
    </row>
    <row r="1585" spans="1:1" x14ac:dyDescent="0.3">
      <c r="A1585" t="s">
        <v>1588</v>
      </c>
    </row>
    <row r="1586" spans="1:1" x14ac:dyDescent="0.3">
      <c r="A1586" t="s">
        <v>1589</v>
      </c>
    </row>
    <row r="1587" spans="1:1" x14ac:dyDescent="0.3">
      <c r="A1587" t="s">
        <v>1590</v>
      </c>
    </row>
    <row r="1588" spans="1:1" x14ac:dyDescent="0.3">
      <c r="A1588" t="s">
        <v>1591</v>
      </c>
    </row>
    <row r="1589" spans="1:1" x14ac:dyDescent="0.3">
      <c r="A1589" t="s">
        <v>1592</v>
      </c>
    </row>
    <row r="1590" spans="1:1" x14ac:dyDescent="0.3">
      <c r="A1590" t="s">
        <v>1593</v>
      </c>
    </row>
    <row r="1591" spans="1:1" x14ac:dyDescent="0.3">
      <c r="A1591" t="s">
        <v>1594</v>
      </c>
    </row>
    <row r="1592" spans="1:1" x14ac:dyDescent="0.3">
      <c r="A1592" t="s">
        <v>1595</v>
      </c>
    </row>
    <row r="1593" spans="1:1" x14ac:dyDescent="0.3">
      <c r="A1593" t="s">
        <v>1596</v>
      </c>
    </row>
    <row r="1594" spans="1:1" x14ac:dyDescent="0.3">
      <c r="A1594" t="s">
        <v>1597</v>
      </c>
    </row>
    <row r="1595" spans="1:1" x14ac:dyDescent="0.3">
      <c r="A1595" t="s">
        <v>1598</v>
      </c>
    </row>
    <row r="1596" spans="1:1" x14ac:dyDescent="0.3">
      <c r="A1596" t="s">
        <v>1599</v>
      </c>
    </row>
    <row r="1597" spans="1:1" x14ac:dyDescent="0.3">
      <c r="A1597" t="s">
        <v>1600</v>
      </c>
    </row>
    <row r="1598" spans="1:1" x14ac:dyDescent="0.3">
      <c r="A1598" t="s">
        <v>1601</v>
      </c>
    </row>
    <row r="1599" spans="1:1" x14ac:dyDescent="0.3">
      <c r="A1599" t="s">
        <v>1602</v>
      </c>
    </row>
    <row r="1600" spans="1:1" x14ac:dyDescent="0.3">
      <c r="A1600" t="s">
        <v>1603</v>
      </c>
    </row>
    <row r="1601" spans="1:1" x14ac:dyDescent="0.3">
      <c r="A1601" t="s">
        <v>1604</v>
      </c>
    </row>
    <row r="1602" spans="1:1" x14ac:dyDescent="0.3">
      <c r="A1602" t="s">
        <v>1605</v>
      </c>
    </row>
    <row r="1603" spans="1:1" x14ac:dyDescent="0.3">
      <c r="A1603" t="s">
        <v>1606</v>
      </c>
    </row>
    <row r="1604" spans="1:1" x14ac:dyDescent="0.3">
      <c r="A1604" t="s">
        <v>1607</v>
      </c>
    </row>
    <row r="1605" spans="1:1" x14ac:dyDescent="0.3">
      <c r="A1605" t="s">
        <v>1608</v>
      </c>
    </row>
    <row r="1606" spans="1:1" x14ac:dyDescent="0.3">
      <c r="A1606" t="s">
        <v>1609</v>
      </c>
    </row>
    <row r="1607" spans="1:1" x14ac:dyDescent="0.3">
      <c r="A1607" t="s">
        <v>1610</v>
      </c>
    </row>
    <row r="1608" spans="1:1" x14ac:dyDescent="0.3">
      <c r="A1608" t="s">
        <v>1611</v>
      </c>
    </row>
    <row r="1609" spans="1:1" x14ac:dyDescent="0.3">
      <c r="A1609" t="s">
        <v>1612</v>
      </c>
    </row>
    <row r="1610" spans="1:1" x14ac:dyDescent="0.3">
      <c r="A1610" t="s">
        <v>1613</v>
      </c>
    </row>
    <row r="1611" spans="1:1" x14ac:dyDescent="0.3">
      <c r="A1611" t="s">
        <v>1614</v>
      </c>
    </row>
    <row r="1612" spans="1:1" x14ac:dyDescent="0.3">
      <c r="A1612" t="s">
        <v>1615</v>
      </c>
    </row>
    <row r="1613" spans="1:1" x14ac:dyDescent="0.3">
      <c r="A1613" t="s">
        <v>1616</v>
      </c>
    </row>
    <row r="1614" spans="1:1" x14ac:dyDescent="0.3">
      <c r="A1614" t="s">
        <v>1617</v>
      </c>
    </row>
    <row r="1615" spans="1:1" x14ac:dyDescent="0.3">
      <c r="A1615" t="s">
        <v>1618</v>
      </c>
    </row>
    <row r="1616" spans="1:1" x14ac:dyDescent="0.3">
      <c r="A1616" t="s">
        <v>1619</v>
      </c>
    </row>
    <row r="1617" spans="1:1" x14ac:dyDescent="0.3">
      <c r="A1617" t="s">
        <v>1620</v>
      </c>
    </row>
    <row r="1618" spans="1:1" x14ac:dyDescent="0.3">
      <c r="A1618" t="s">
        <v>1621</v>
      </c>
    </row>
    <row r="1619" spans="1:1" x14ac:dyDescent="0.3">
      <c r="A1619" t="s">
        <v>1622</v>
      </c>
    </row>
    <row r="1620" spans="1:1" x14ac:dyDescent="0.3">
      <c r="A1620" t="s">
        <v>1623</v>
      </c>
    </row>
    <row r="1621" spans="1:1" x14ac:dyDescent="0.3">
      <c r="A1621" t="s">
        <v>1624</v>
      </c>
    </row>
    <row r="1622" spans="1:1" x14ac:dyDescent="0.3">
      <c r="A1622" t="s">
        <v>1625</v>
      </c>
    </row>
    <row r="1623" spans="1:1" x14ac:dyDescent="0.3">
      <c r="A1623" t="s">
        <v>1626</v>
      </c>
    </row>
    <row r="1624" spans="1:1" x14ac:dyDescent="0.3">
      <c r="A1624" t="s">
        <v>1627</v>
      </c>
    </row>
    <row r="1625" spans="1:1" x14ac:dyDescent="0.3">
      <c r="A1625" t="s">
        <v>1628</v>
      </c>
    </row>
    <row r="1626" spans="1:1" x14ac:dyDescent="0.3">
      <c r="A1626" t="s">
        <v>1629</v>
      </c>
    </row>
    <row r="1627" spans="1:1" x14ac:dyDescent="0.3">
      <c r="A1627" t="s">
        <v>1630</v>
      </c>
    </row>
    <row r="1628" spans="1:1" x14ac:dyDescent="0.3">
      <c r="A1628" t="s">
        <v>1631</v>
      </c>
    </row>
    <row r="1629" spans="1:1" x14ac:dyDescent="0.3">
      <c r="A1629" t="s">
        <v>1632</v>
      </c>
    </row>
    <row r="1630" spans="1:1" x14ac:dyDescent="0.3">
      <c r="A1630" t="s">
        <v>1633</v>
      </c>
    </row>
    <row r="1631" spans="1:1" x14ac:dyDescent="0.3">
      <c r="A1631" t="s">
        <v>1634</v>
      </c>
    </row>
    <row r="1632" spans="1:1" x14ac:dyDescent="0.3">
      <c r="A1632" t="s">
        <v>1635</v>
      </c>
    </row>
    <row r="1633" spans="1:1" x14ac:dyDescent="0.3">
      <c r="A1633" t="s">
        <v>1636</v>
      </c>
    </row>
    <row r="1634" spans="1:1" x14ac:dyDescent="0.3">
      <c r="A1634" t="s">
        <v>1637</v>
      </c>
    </row>
    <row r="1635" spans="1:1" x14ac:dyDescent="0.3">
      <c r="A1635" t="s">
        <v>1638</v>
      </c>
    </row>
    <row r="1636" spans="1:1" x14ac:dyDescent="0.3">
      <c r="A1636" t="s">
        <v>1639</v>
      </c>
    </row>
    <row r="1637" spans="1:1" x14ac:dyDescent="0.3">
      <c r="A1637" t="s">
        <v>1640</v>
      </c>
    </row>
    <row r="1638" spans="1:1" x14ac:dyDescent="0.3">
      <c r="A1638" t="s">
        <v>1641</v>
      </c>
    </row>
    <row r="1639" spans="1:1" x14ac:dyDescent="0.3">
      <c r="A1639" t="s">
        <v>1642</v>
      </c>
    </row>
    <row r="1640" spans="1:1" x14ac:dyDescent="0.3">
      <c r="A1640" t="s">
        <v>1643</v>
      </c>
    </row>
    <row r="1641" spans="1:1" x14ac:dyDescent="0.3">
      <c r="A1641" t="s">
        <v>1644</v>
      </c>
    </row>
    <row r="1642" spans="1:1" x14ac:dyDescent="0.3">
      <c r="A1642" t="s">
        <v>1645</v>
      </c>
    </row>
    <row r="1643" spans="1:1" x14ac:dyDescent="0.3">
      <c r="A1643" t="s">
        <v>1646</v>
      </c>
    </row>
    <row r="1644" spans="1:1" x14ac:dyDescent="0.3">
      <c r="A1644" t="s">
        <v>1647</v>
      </c>
    </row>
    <row r="1645" spans="1:1" x14ac:dyDescent="0.3">
      <c r="A1645" t="s">
        <v>1648</v>
      </c>
    </row>
    <row r="1646" spans="1:1" x14ac:dyDescent="0.3">
      <c r="A1646" t="s">
        <v>1649</v>
      </c>
    </row>
    <row r="1647" spans="1:1" x14ac:dyDescent="0.3">
      <c r="A1647" t="s">
        <v>1650</v>
      </c>
    </row>
    <row r="1648" spans="1:1" x14ac:dyDescent="0.3">
      <c r="A1648" t="s">
        <v>1651</v>
      </c>
    </row>
    <row r="1649" spans="1:1" x14ac:dyDescent="0.3">
      <c r="A1649" t="s">
        <v>1652</v>
      </c>
    </row>
    <row r="1650" spans="1:1" x14ac:dyDescent="0.3">
      <c r="A1650" t="s">
        <v>1653</v>
      </c>
    </row>
    <row r="1651" spans="1:1" x14ac:dyDescent="0.3">
      <c r="A1651" t="s">
        <v>1654</v>
      </c>
    </row>
    <row r="1652" spans="1:1" x14ac:dyDescent="0.3">
      <c r="A1652" t="s">
        <v>1655</v>
      </c>
    </row>
    <row r="1653" spans="1:1" x14ac:dyDescent="0.3">
      <c r="A1653" t="s">
        <v>1656</v>
      </c>
    </row>
    <row r="1654" spans="1:1" x14ac:dyDescent="0.3">
      <c r="A1654" t="s">
        <v>1657</v>
      </c>
    </row>
    <row r="1655" spans="1:1" x14ac:dyDescent="0.3">
      <c r="A1655" t="s">
        <v>1658</v>
      </c>
    </row>
    <row r="1656" spans="1:1" x14ac:dyDescent="0.3">
      <c r="A1656" t="s">
        <v>1659</v>
      </c>
    </row>
    <row r="1657" spans="1:1" x14ac:dyDescent="0.3">
      <c r="A1657" t="s">
        <v>1660</v>
      </c>
    </row>
    <row r="1658" spans="1:1" x14ac:dyDescent="0.3">
      <c r="A1658" t="s">
        <v>1661</v>
      </c>
    </row>
    <row r="1659" spans="1:1" x14ac:dyDescent="0.3">
      <c r="A1659" t="s">
        <v>1662</v>
      </c>
    </row>
    <row r="1660" spans="1:1" x14ac:dyDescent="0.3">
      <c r="A1660" t="s">
        <v>1663</v>
      </c>
    </row>
    <row r="1661" spans="1:1" x14ac:dyDescent="0.3">
      <c r="A1661" t="s">
        <v>1664</v>
      </c>
    </row>
    <row r="1662" spans="1:1" x14ac:dyDescent="0.3">
      <c r="A1662" t="s">
        <v>1665</v>
      </c>
    </row>
    <row r="1663" spans="1:1" x14ac:dyDescent="0.3">
      <c r="A1663" t="s">
        <v>1666</v>
      </c>
    </row>
    <row r="1664" spans="1:1" x14ac:dyDescent="0.3">
      <c r="A1664" t="s">
        <v>1667</v>
      </c>
    </row>
    <row r="1665" spans="1:1" x14ac:dyDescent="0.3">
      <c r="A1665" t="s">
        <v>1668</v>
      </c>
    </row>
    <row r="1666" spans="1:1" x14ac:dyDescent="0.3">
      <c r="A1666" t="s">
        <v>1669</v>
      </c>
    </row>
    <row r="1667" spans="1:1" x14ac:dyDescent="0.3">
      <c r="A1667" t="s">
        <v>1670</v>
      </c>
    </row>
    <row r="1668" spans="1:1" x14ac:dyDescent="0.3">
      <c r="A1668" t="s">
        <v>1671</v>
      </c>
    </row>
    <row r="1669" spans="1:1" x14ac:dyDescent="0.3">
      <c r="A1669" t="s">
        <v>1672</v>
      </c>
    </row>
    <row r="1670" spans="1:1" x14ac:dyDescent="0.3">
      <c r="A1670" t="s">
        <v>1673</v>
      </c>
    </row>
    <row r="1671" spans="1:1" x14ac:dyDescent="0.3">
      <c r="A1671" t="s">
        <v>1674</v>
      </c>
    </row>
    <row r="1672" spans="1:1" x14ac:dyDescent="0.3">
      <c r="A1672" t="s">
        <v>1675</v>
      </c>
    </row>
    <row r="1673" spans="1:1" x14ac:dyDescent="0.3">
      <c r="A1673" t="s">
        <v>1676</v>
      </c>
    </row>
    <row r="1674" spans="1:1" x14ac:dyDescent="0.3">
      <c r="A1674" t="s">
        <v>1677</v>
      </c>
    </row>
    <row r="1675" spans="1:1" x14ac:dyDescent="0.3">
      <c r="A1675" t="s">
        <v>1678</v>
      </c>
    </row>
    <row r="1676" spans="1:1" x14ac:dyDescent="0.3">
      <c r="A1676" t="s">
        <v>1679</v>
      </c>
    </row>
    <row r="1677" spans="1:1" x14ac:dyDescent="0.3">
      <c r="A1677" t="s">
        <v>1680</v>
      </c>
    </row>
    <row r="1678" spans="1:1" x14ac:dyDescent="0.3">
      <c r="A1678" t="s">
        <v>1681</v>
      </c>
    </row>
    <row r="1679" spans="1:1" x14ac:dyDescent="0.3">
      <c r="A1679" t="s">
        <v>1682</v>
      </c>
    </row>
    <row r="1680" spans="1:1" x14ac:dyDescent="0.3">
      <c r="A1680" t="s">
        <v>1683</v>
      </c>
    </row>
    <row r="1681" spans="1:1" x14ac:dyDescent="0.3">
      <c r="A1681" t="s">
        <v>1684</v>
      </c>
    </row>
    <row r="1682" spans="1:1" x14ac:dyDescent="0.3">
      <c r="A1682" t="s">
        <v>1685</v>
      </c>
    </row>
    <row r="1683" spans="1:1" x14ac:dyDescent="0.3">
      <c r="A1683" t="s">
        <v>1686</v>
      </c>
    </row>
    <row r="1684" spans="1:1" x14ac:dyDescent="0.3">
      <c r="A1684" t="s">
        <v>1687</v>
      </c>
    </row>
    <row r="1685" spans="1:1" x14ac:dyDescent="0.3">
      <c r="A1685" t="s">
        <v>1688</v>
      </c>
    </row>
    <row r="1686" spans="1:1" x14ac:dyDescent="0.3">
      <c r="A1686" t="s">
        <v>1689</v>
      </c>
    </row>
    <row r="1687" spans="1:1" x14ac:dyDescent="0.3">
      <c r="A1687" t="s">
        <v>1690</v>
      </c>
    </row>
    <row r="1688" spans="1:1" x14ac:dyDescent="0.3">
      <c r="A1688" t="s">
        <v>1691</v>
      </c>
    </row>
    <row r="1689" spans="1:1" x14ac:dyDescent="0.3">
      <c r="A1689" t="s">
        <v>1692</v>
      </c>
    </row>
    <row r="1690" spans="1:1" x14ac:dyDescent="0.3">
      <c r="A1690" t="s">
        <v>1693</v>
      </c>
    </row>
    <row r="1691" spans="1:1" x14ac:dyDescent="0.3">
      <c r="A1691" t="s">
        <v>1694</v>
      </c>
    </row>
    <row r="1692" spans="1:1" x14ac:dyDescent="0.3">
      <c r="A1692" t="s">
        <v>1695</v>
      </c>
    </row>
    <row r="1693" spans="1:1" x14ac:dyDescent="0.3">
      <c r="A1693" t="s">
        <v>1696</v>
      </c>
    </row>
    <row r="1694" spans="1:1" x14ac:dyDescent="0.3">
      <c r="A1694" t="s">
        <v>1697</v>
      </c>
    </row>
    <row r="1695" spans="1:1" x14ac:dyDescent="0.3">
      <c r="A1695" t="s">
        <v>1698</v>
      </c>
    </row>
    <row r="1696" spans="1:1" x14ac:dyDescent="0.3">
      <c r="A1696" t="s">
        <v>1699</v>
      </c>
    </row>
    <row r="1697" spans="1:1" x14ac:dyDescent="0.3">
      <c r="A1697" t="s">
        <v>1700</v>
      </c>
    </row>
    <row r="1698" spans="1:1" x14ac:dyDescent="0.3">
      <c r="A1698" t="s">
        <v>1701</v>
      </c>
    </row>
    <row r="1699" spans="1:1" x14ac:dyDescent="0.3">
      <c r="A1699" t="s">
        <v>1702</v>
      </c>
    </row>
    <row r="1700" spans="1:1" x14ac:dyDescent="0.3">
      <c r="A1700" t="s">
        <v>1703</v>
      </c>
    </row>
    <row r="1701" spans="1:1" x14ac:dyDescent="0.3">
      <c r="A1701" t="s">
        <v>1704</v>
      </c>
    </row>
    <row r="1702" spans="1:1" x14ac:dyDescent="0.3">
      <c r="A1702" t="s">
        <v>1705</v>
      </c>
    </row>
    <row r="1703" spans="1:1" x14ac:dyDescent="0.3">
      <c r="A1703" t="s">
        <v>1706</v>
      </c>
    </row>
    <row r="1704" spans="1:1" x14ac:dyDescent="0.3">
      <c r="A1704" t="s">
        <v>1707</v>
      </c>
    </row>
    <row r="1705" spans="1:1" x14ac:dyDescent="0.3">
      <c r="A1705" t="s">
        <v>1708</v>
      </c>
    </row>
    <row r="1706" spans="1:1" x14ac:dyDescent="0.3">
      <c r="A1706" t="s">
        <v>1709</v>
      </c>
    </row>
    <row r="1707" spans="1:1" x14ac:dyDescent="0.3">
      <c r="A1707" t="s">
        <v>1710</v>
      </c>
    </row>
    <row r="1708" spans="1:1" x14ac:dyDescent="0.3">
      <c r="A1708" t="s">
        <v>1711</v>
      </c>
    </row>
    <row r="1709" spans="1:1" x14ac:dyDescent="0.3">
      <c r="A1709" t="s">
        <v>1712</v>
      </c>
    </row>
    <row r="1710" spans="1:1" x14ac:dyDescent="0.3">
      <c r="A1710" t="s">
        <v>1713</v>
      </c>
    </row>
    <row r="1711" spans="1:1" x14ac:dyDescent="0.3">
      <c r="A1711" t="s">
        <v>1714</v>
      </c>
    </row>
    <row r="1712" spans="1:1" x14ac:dyDescent="0.3">
      <c r="A1712" t="s">
        <v>1715</v>
      </c>
    </row>
    <row r="1713" spans="1:1" x14ac:dyDescent="0.3">
      <c r="A1713" t="s">
        <v>1716</v>
      </c>
    </row>
    <row r="1714" spans="1:1" x14ac:dyDescent="0.3">
      <c r="A1714" t="s">
        <v>1717</v>
      </c>
    </row>
    <row r="1715" spans="1:1" x14ac:dyDescent="0.3">
      <c r="A1715" t="s">
        <v>1718</v>
      </c>
    </row>
    <row r="1716" spans="1:1" x14ac:dyDescent="0.3">
      <c r="A1716" t="s">
        <v>1719</v>
      </c>
    </row>
    <row r="1717" spans="1:1" x14ac:dyDescent="0.3">
      <c r="A1717" t="s">
        <v>1720</v>
      </c>
    </row>
    <row r="1718" spans="1:1" x14ac:dyDescent="0.3">
      <c r="A1718" t="s">
        <v>1721</v>
      </c>
    </row>
    <row r="1719" spans="1:1" x14ac:dyDescent="0.3">
      <c r="A1719" t="s">
        <v>1722</v>
      </c>
    </row>
    <row r="1720" spans="1:1" x14ac:dyDescent="0.3">
      <c r="A1720" t="s">
        <v>1723</v>
      </c>
    </row>
    <row r="1721" spans="1:1" x14ac:dyDescent="0.3">
      <c r="A1721" t="s">
        <v>1724</v>
      </c>
    </row>
    <row r="1722" spans="1:1" x14ac:dyDescent="0.3">
      <c r="A1722" t="s">
        <v>1725</v>
      </c>
    </row>
    <row r="1723" spans="1:1" x14ac:dyDescent="0.3">
      <c r="A1723" t="s">
        <v>1726</v>
      </c>
    </row>
    <row r="1724" spans="1:1" x14ac:dyDescent="0.3">
      <c r="A1724" t="s">
        <v>1727</v>
      </c>
    </row>
    <row r="1725" spans="1:1" x14ac:dyDescent="0.3">
      <c r="A1725" t="s">
        <v>1728</v>
      </c>
    </row>
    <row r="1726" spans="1:1" x14ac:dyDescent="0.3">
      <c r="A1726" t="s">
        <v>1729</v>
      </c>
    </row>
    <row r="1727" spans="1:1" x14ac:dyDescent="0.3">
      <c r="A1727" t="s">
        <v>1730</v>
      </c>
    </row>
    <row r="1728" spans="1:1" x14ac:dyDescent="0.3">
      <c r="A1728" t="s">
        <v>1731</v>
      </c>
    </row>
    <row r="1729" spans="1:1" x14ac:dyDescent="0.3">
      <c r="A1729" t="s">
        <v>1732</v>
      </c>
    </row>
    <row r="1730" spans="1:1" x14ac:dyDescent="0.3">
      <c r="A1730" t="s">
        <v>1733</v>
      </c>
    </row>
    <row r="1731" spans="1:1" x14ac:dyDescent="0.3">
      <c r="A1731" t="s">
        <v>1734</v>
      </c>
    </row>
    <row r="1732" spans="1:1" x14ac:dyDescent="0.3">
      <c r="A1732" t="s">
        <v>1735</v>
      </c>
    </row>
    <row r="1733" spans="1:1" x14ac:dyDescent="0.3">
      <c r="A1733" t="s">
        <v>1736</v>
      </c>
    </row>
    <row r="1734" spans="1:1" x14ac:dyDescent="0.3">
      <c r="A1734" t="s">
        <v>1737</v>
      </c>
    </row>
    <row r="1735" spans="1:1" x14ac:dyDescent="0.3">
      <c r="A1735" t="s">
        <v>1738</v>
      </c>
    </row>
    <row r="1736" spans="1:1" x14ac:dyDescent="0.3">
      <c r="A1736" t="s">
        <v>1739</v>
      </c>
    </row>
    <row r="1737" spans="1:1" x14ac:dyDescent="0.3">
      <c r="A1737" t="s">
        <v>1740</v>
      </c>
    </row>
    <row r="1738" spans="1:1" x14ac:dyDescent="0.3">
      <c r="A1738" t="s">
        <v>1741</v>
      </c>
    </row>
    <row r="1739" spans="1:1" x14ac:dyDescent="0.3">
      <c r="A1739" t="s">
        <v>1742</v>
      </c>
    </row>
    <row r="1740" spans="1:1" x14ac:dyDescent="0.3">
      <c r="A1740" t="s">
        <v>1743</v>
      </c>
    </row>
    <row r="1741" spans="1:1" x14ac:dyDescent="0.3">
      <c r="A1741" t="s">
        <v>1744</v>
      </c>
    </row>
    <row r="1742" spans="1:1" x14ac:dyDescent="0.3">
      <c r="A1742" t="s">
        <v>1745</v>
      </c>
    </row>
    <row r="1743" spans="1:1" x14ac:dyDescent="0.3">
      <c r="A1743" t="s">
        <v>1746</v>
      </c>
    </row>
    <row r="1744" spans="1:1" x14ac:dyDescent="0.3">
      <c r="A1744" t="s">
        <v>1747</v>
      </c>
    </row>
    <row r="1745" spans="1:1" x14ac:dyDescent="0.3">
      <c r="A1745" t="s">
        <v>1748</v>
      </c>
    </row>
    <row r="1746" spans="1:1" x14ac:dyDescent="0.3">
      <c r="A1746" t="s">
        <v>1749</v>
      </c>
    </row>
    <row r="1747" spans="1:1" x14ac:dyDescent="0.3">
      <c r="A1747" t="s">
        <v>1750</v>
      </c>
    </row>
    <row r="1748" spans="1:1" x14ac:dyDescent="0.3">
      <c r="A1748" t="s">
        <v>1751</v>
      </c>
    </row>
    <row r="1749" spans="1:1" x14ac:dyDescent="0.3">
      <c r="A1749" t="s">
        <v>1752</v>
      </c>
    </row>
    <row r="1750" spans="1:1" x14ac:dyDescent="0.3">
      <c r="A1750" t="s">
        <v>1753</v>
      </c>
    </row>
    <row r="1751" spans="1:1" x14ac:dyDescent="0.3">
      <c r="A1751" t="s">
        <v>1754</v>
      </c>
    </row>
    <row r="1752" spans="1:1" x14ac:dyDescent="0.3">
      <c r="A1752" t="s">
        <v>1755</v>
      </c>
    </row>
    <row r="1753" spans="1:1" x14ac:dyDescent="0.3">
      <c r="A1753" t="s">
        <v>1756</v>
      </c>
    </row>
    <row r="1754" spans="1:1" x14ac:dyDescent="0.3">
      <c r="A1754" t="s">
        <v>1757</v>
      </c>
    </row>
    <row r="1755" spans="1:1" x14ac:dyDescent="0.3">
      <c r="A1755" t="s">
        <v>1758</v>
      </c>
    </row>
    <row r="1756" spans="1:1" x14ac:dyDescent="0.3">
      <c r="A1756" t="s">
        <v>1759</v>
      </c>
    </row>
    <row r="1757" spans="1:1" x14ac:dyDescent="0.3">
      <c r="A1757" t="s">
        <v>1760</v>
      </c>
    </row>
    <row r="1758" spans="1:1" x14ac:dyDescent="0.3">
      <c r="A1758" t="s">
        <v>1761</v>
      </c>
    </row>
    <row r="1759" spans="1:1" x14ac:dyDescent="0.3">
      <c r="A1759" t="s">
        <v>1762</v>
      </c>
    </row>
    <row r="1760" spans="1:1" x14ac:dyDescent="0.3">
      <c r="A1760" t="s">
        <v>1763</v>
      </c>
    </row>
    <row r="1761" spans="1:1" x14ac:dyDescent="0.3">
      <c r="A1761" t="s">
        <v>1764</v>
      </c>
    </row>
    <row r="1762" spans="1:1" x14ac:dyDescent="0.3">
      <c r="A1762" t="s">
        <v>1765</v>
      </c>
    </row>
    <row r="1763" spans="1:1" x14ac:dyDescent="0.3">
      <c r="A1763" t="s">
        <v>1766</v>
      </c>
    </row>
    <row r="1764" spans="1:1" x14ac:dyDescent="0.3">
      <c r="A1764" t="s">
        <v>1767</v>
      </c>
    </row>
    <row r="1765" spans="1:1" x14ac:dyDescent="0.3">
      <c r="A1765" t="s">
        <v>1768</v>
      </c>
    </row>
    <row r="1766" spans="1:1" x14ac:dyDescent="0.3">
      <c r="A1766" t="s">
        <v>1769</v>
      </c>
    </row>
    <row r="1767" spans="1:1" x14ac:dyDescent="0.3">
      <c r="A1767" t="s">
        <v>1770</v>
      </c>
    </row>
    <row r="1768" spans="1:1" x14ac:dyDescent="0.3">
      <c r="A1768" t="s">
        <v>1771</v>
      </c>
    </row>
    <row r="1769" spans="1:1" x14ac:dyDescent="0.3">
      <c r="A1769" t="s">
        <v>1772</v>
      </c>
    </row>
    <row r="1770" spans="1:1" x14ac:dyDescent="0.3">
      <c r="A1770" t="s">
        <v>1773</v>
      </c>
    </row>
    <row r="1771" spans="1:1" x14ac:dyDescent="0.3">
      <c r="A1771" t="s">
        <v>1774</v>
      </c>
    </row>
    <row r="1772" spans="1:1" x14ac:dyDescent="0.3">
      <c r="A1772" t="s">
        <v>1775</v>
      </c>
    </row>
    <row r="1773" spans="1:1" x14ac:dyDescent="0.3">
      <c r="A1773" t="s">
        <v>1776</v>
      </c>
    </row>
    <row r="1774" spans="1:1" x14ac:dyDescent="0.3">
      <c r="A1774" t="s">
        <v>1777</v>
      </c>
    </row>
    <row r="1775" spans="1:1" x14ac:dyDescent="0.3">
      <c r="A1775" t="s">
        <v>1778</v>
      </c>
    </row>
    <row r="1776" spans="1:1" x14ac:dyDescent="0.3">
      <c r="A1776" t="s">
        <v>1779</v>
      </c>
    </row>
    <row r="1777" spans="1:1" x14ac:dyDescent="0.3">
      <c r="A1777" t="s">
        <v>1780</v>
      </c>
    </row>
    <row r="1778" spans="1:1" x14ac:dyDescent="0.3">
      <c r="A1778" t="s">
        <v>1781</v>
      </c>
    </row>
    <row r="1779" spans="1:1" x14ac:dyDescent="0.3">
      <c r="A1779" t="s">
        <v>1782</v>
      </c>
    </row>
    <row r="1780" spans="1:1" x14ac:dyDescent="0.3">
      <c r="A1780" t="s">
        <v>1783</v>
      </c>
    </row>
    <row r="1781" spans="1:1" x14ac:dyDescent="0.3">
      <c r="A1781" t="s">
        <v>1784</v>
      </c>
    </row>
    <row r="1782" spans="1:1" x14ac:dyDescent="0.3">
      <c r="A1782" t="s">
        <v>1785</v>
      </c>
    </row>
    <row r="1783" spans="1:1" x14ac:dyDescent="0.3">
      <c r="A1783" t="s">
        <v>1786</v>
      </c>
    </row>
    <row r="1784" spans="1:1" x14ac:dyDescent="0.3">
      <c r="A1784" t="s">
        <v>1787</v>
      </c>
    </row>
    <row r="1785" spans="1:1" x14ac:dyDescent="0.3">
      <c r="A1785" t="s">
        <v>1788</v>
      </c>
    </row>
    <row r="1786" spans="1:1" x14ac:dyDescent="0.3">
      <c r="A1786" t="s">
        <v>1789</v>
      </c>
    </row>
    <row r="1787" spans="1:1" x14ac:dyDescent="0.3">
      <c r="A1787" t="s">
        <v>1790</v>
      </c>
    </row>
    <row r="1788" spans="1:1" x14ac:dyDescent="0.3">
      <c r="A1788" t="s">
        <v>1791</v>
      </c>
    </row>
    <row r="1789" spans="1:1" x14ac:dyDescent="0.3">
      <c r="A1789" t="s">
        <v>1792</v>
      </c>
    </row>
    <row r="1790" spans="1:1" x14ac:dyDescent="0.3">
      <c r="A1790" t="s">
        <v>1793</v>
      </c>
    </row>
    <row r="1791" spans="1:1" x14ac:dyDescent="0.3">
      <c r="A1791" t="s">
        <v>1794</v>
      </c>
    </row>
    <row r="1792" spans="1:1" x14ac:dyDescent="0.3">
      <c r="A1792" t="s">
        <v>1795</v>
      </c>
    </row>
    <row r="1793" spans="1:1" x14ac:dyDescent="0.3">
      <c r="A1793" t="s">
        <v>1796</v>
      </c>
    </row>
    <row r="1794" spans="1:1" x14ac:dyDescent="0.3">
      <c r="A1794" t="s">
        <v>1797</v>
      </c>
    </row>
    <row r="1795" spans="1:1" x14ac:dyDescent="0.3">
      <c r="A1795" t="s">
        <v>1798</v>
      </c>
    </row>
    <row r="1796" spans="1:1" x14ac:dyDescent="0.3">
      <c r="A1796" t="s">
        <v>1799</v>
      </c>
    </row>
    <row r="1797" spans="1:1" x14ac:dyDescent="0.3">
      <c r="A1797" t="s">
        <v>1800</v>
      </c>
    </row>
    <row r="1798" spans="1:1" x14ac:dyDescent="0.3">
      <c r="A1798" t="s">
        <v>1801</v>
      </c>
    </row>
    <row r="1799" spans="1:1" x14ac:dyDescent="0.3">
      <c r="A1799" t="s">
        <v>1802</v>
      </c>
    </row>
    <row r="1800" spans="1:1" x14ac:dyDescent="0.3">
      <c r="A1800" t="s">
        <v>1803</v>
      </c>
    </row>
    <row r="1801" spans="1:1" x14ac:dyDescent="0.3">
      <c r="A1801" t="s">
        <v>1804</v>
      </c>
    </row>
    <row r="1802" spans="1:1" x14ac:dyDescent="0.3">
      <c r="A1802" t="s">
        <v>1805</v>
      </c>
    </row>
    <row r="1803" spans="1:1" x14ac:dyDescent="0.3">
      <c r="A1803" t="s">
        <v>1806</v>
      </c>
    </row>
    <row r="1804" spans="1:1" x14ac:dyDescent="0.3">
      <c r="A1804" t="s">
        <v>1807</v>
      </c>
    </row>
    <row r="1805" spans="1:1" x14ac:dyDescent="0.3">
      <c r="A1805" t="s">
        <v>1808</v>
      </c>
    </row>
    <row r="1806" spans="1:1" x14ac:dyDescent="0.3">
      <c r="A1806" t="s">
        <v>1809</v>
      </c>
    </row>
    <row r="1807" spans="1:1" x14ac:dyDescent="0.3">
      <c r="A1807" t="s">
        <v>1810</v>
      </c>
    </row>
    <row r="1808" spans="1:1" x14ac:dyDescent="0.3">
      <c r="A1808" t="s">
        <v>1811</v>
      </c>
    </row>
    <row r="1809" spans="1:1" x14ac:dyDescent="0.3">
      <c r="A1809" t="s">
        <v>1812</v>
      </c>
    </row>
    <row r="1810" spans="1:1" x14ac:dyDescent="0.3">
      <c r="A1810" t="s">
        <v>1813</v>
      </c>
    </row>
    <row r="1811" spans="1:1" x14ac:dyDescent="0.3">
      <c r="A1811" t="s">
        <v>1814</v>
      </c>
    </row>
    <row r="1812" spans="1:1" x14ac:dyDescent="0.3">
      <c r="A1812" t="s">
        <v>1815</v>
      </c>
    </row>
    <row r="1813" spans="1:1" x14ac:dyDescent="0.3">
      <c r="A1813" t="s">
        <v>1816</v>
      </c>
    </row>
    <row r="1814" spans="1:1" x14ac:dyDescent="0.3">
      <c r="A1814" t="s">
        <v>1817</v>
      </c>
    </row>
    <row r="1815" spans="1:1" x14ac:dyDescent="0.3">
      <c r="A1815" t="s">
        <v>1818</v>
      </c>
    </row>
    <row r="1816" spans="1:1" x14ac:dyDescent="0.3">
      <c r="A1816" t="s">
        <v>1819</v>
      </c>
    </row>
    <row r="1817" spans="1:1" x14ac:dyDescent="0.3">
      <c r="A1817" t="s">
        <v>1820</v>
      </c>
    </row>
    <row r="1818" spans="1:1" x14ac:dyDescent="0.3">
      <c r="A1818" t="s">
        <v>1821</v>
      </c>
    </row>
    <row r="1819" spans="1:1" x14ac:dyDescent="0.3">
      <c r="A1819" t="s">
        <v>1822</v>
      </c>
    </row>
    <row r="1820" spans="1:1" x14ac:dyDescent="0.3">
      <c r="A1820" t="s">
        <v>1823</v>
      </c>
    </row>
    <row r="1821" spans="1:1" x14ac:dyDescent="0.3">
      <c r="A1821" t="s">
        <v>1824</v>
      </c>
    </row>
    <row r="1822" spans="1:1" x14ac:dyDescent="0.3">
      <c r="A1822" t="s">
        <v>1825</v>
      </c>
    </row>
    <row r="1823" spans="1:1" x14ac:dyDescent="0.3">
      <c r="A1823" t="s">
        <v>1826</v>
      </c>
    </row>
    <row r="1824" spans="1:1" x14ac:dyDescent="0.3">
      <c r="A1824" t="s">
        <v>1827</v>
      </c>
    </row>
    <row r="1825" spans="1:1" x14ac:dyDescent="0.3">
      <c r="A1825" t="s">
        <v>1828</v>
      </c>
    </row>
    <row r="1826" spans="1:1" x14ac:dyDescent="0.3">
      <c r="A1826" t="s">
        <v>1829</v>
      </c>
    </row>
    <row r="1827" spans="1:1" x14ac:dyDescent="0.3">
      <c r="A1827" t="s">
        <v>1830</v>
      </c>
    </row>
    <row r="1828" spans="1:1" x14ac:dyDescent="0.3">
      <c r="A1828" t="s">
        <v>1831</v>
      </c>
    </row>
    <row r="1829" spans="1:1" x14ac:dyDescent="0.3">
      <c r="A1829" t="s">
        <v>1832</v>
      </c>
    </row>
    <row r="1830" spans="1:1" x14ac:dyDescent="0.3">
      <c r="A1830" t="s">
        <v>1833</v>
      </c>
    </row>
    <row r="1831" spans="1:1" x14ac:dyDescent="0.3">
      <c r="A1831" t="s">
        <v>1834</v>
      </c>
    </row>
    <row r="1832" spans="1:1" x14ac:dyDescent="0.3">
      <c r="A1832" t="s">
        <v>1835</v>
      </c>
    </row>
    <row r="1833" spans="1:1" x14ac:dyDescent="0.3">
      <c r="A1833" t="s">
        <v>1836</v>
      </c>
    </row>
    <row r="1834" spans="1:1" x14ac:dyDescent="0.3">
      <c r="A1834" t="s">
        <v>1837</v>
      </c>
    </row>
    <row r="1835" spans="1:1" x14ac:dyDescent="0.3">
      <c r="A1835" t="s">
        <v>1838</v>
      </c>
    </row>
    <row r="1836" spans="1:1" x14ac:dyDescent="0.3">
      <c r="A1836" t="s">
        <v>1839</v>
      </c>
    </row>
    <row r="1837" spans="1:1" x14ac:dyDescent="0.3">
      <c r="A1837" t="s">
        <v>1840</v>
      </c>
    </row>
    <row r="1838" spans="1:1" x14ac:dyDescent="0.3">
      <c r="A1838" t="s">
        <v>1841</v>
      </c>
    </row>
    <row r="1839" spans="1:1" x14ac:dyDescent="0.3">
      <c r="A1839" t="s">
        <v>1842</v>
      </c>
    </row>
    <row r="1840" spans="1:1" x14ac:dyDescent="0.3">
      <c r="A1840" t="s">
        <v>1843</v>
      </c>
    </row>
    <row r="1841" spans="1:2" x14ac:dyDescent="0.3">
      <c r="A1841" t="s">
        <v>1844</v>
      </c>
    </row>
    <row r="1842" spans="1:2" x14ac:dyDescent="0.3">
      <c r="A1842" t="s">
        <v>1845</v>
      </c>
    </row>
    <row r="1843" spans="1:2" x14ac:dyDescent="0.3">
      <c r="A1843" t="s">
        <v>1846</v>
      </c>
    </row>
    <row r="1844" spans="1:2" x14ac:dyDescent="0.3">
      <c r="A1844" t="s">
        <v>1847</v>
      </c>
    </row>
    <row r="1845" spans="1:2" x14ac:dyDescent="0.3">
      <c r="A1845" t="s">
        <v>1848</v>
      </c>
    </row>
    <row r="1846" spans="1:2" x14ac:dyDescent="0.3">
      <c r="A1846" t="s">
        <v>1849</v>
      </c>
    </row>
    <row r="1847" spans="1:2" x14ac:dyDescent="0.3">
      <c r="A1847" t="s">
        <v>1850</v>
      </c>
    </row>
    <row r="1848" spans="1:2" x14ac:dyDescent="0.3">
      <c r="A1848" t="s">
        <v>1851</v>
      </c>
    </row>
    <row r="1849" spans="1:2" x14ac:dyDescent="0.3">
      <c r="A1849" t="s">
        <v>1852</v>
      </c>
    </row>
    <row r="1850" spans="1:2" x14ac:dyDescent="0.3">
      <c r="A1850" t="s">
        <v>1853</v>
      </c>
    </row>
    <row r="1851" spans="1:2" x14ac:dyDescent="0.3">
      <c r="A1851" t="s">
        <v>1854</v>
      </c>
    </row>
    <row r="1852" spans="1:2" x14ac:dyDescent="0.3">
      <c r="A1852" t="s">
        <v>1855</v>
      </c>
    </row>
    <row r="1853" spans="1:2" x14ac:dyDescent="0.3">
      <c r="A1853" t="s">
        <v>1856</v>
      </c>
    </row>
    <row r="1854" spans="1:2" x14ac:dyDescent="0.3">
      <c r="A1854" t="s">
        <v>1857</v>
      </c>
      <c r="B1854" t="s">
        <v>1858</v>
      </c>
    </row>
    <row r="1855" spans="1:2" x14ac:dyDescent="0.3">
      <c r="A1855" t="s">
        <v>1859</v>
      </c>
    </row>
    <row r="1856" spans="1:2" x14ac:dyDescent="0.3">
      <c r="A1856" t="s">
        <v>1860</v>
      </c>
    </row>
    <row r="1857" spans="1:1" x14ac:dyDescent="0.3">
      <c r="A1857" t="s">
        <v>1861</v>
      </c>
    </row>
    <row r="1858" spans="1:1" x14ac:dyDescent="0.3">
      <c r="A1858" t="s">
        <v>1862</v>
      </c>
    </row>
    <row r="1859" spans="1:1" x14ac:dyDescent="0.3">
      <c r="A1859" t="s">
        <v>1863</v>
      </c>
    </row>
    <row r="1860" spans="1:1" x14ac:dyDescent="0.3">
      <c r="A1860" t="s">
        <v>1864</v>
      </c>
    </row>
    <row r="1861" spans="1:1" x14ac:dyDescent="0.3">
      <c r="A1861" t="s">
        <v>1865</v>
      </c>
    </row>
    <row r="1862" spans="1:1" x14ac:dyDescent="0.3">
      <c r="A1862" t="s">
        <v>1866</v>
      </c>
    </row>
    <row r="1863" spans="1:1" x14ac:dyDescent="0.3">
      <c r="A1863" t="s">
        <v>1867</v>
      </c>
    </row>
    <row r="1864" spans="1:1" x14ac:dyDescent="0.3">
      <c r="A1864" t="s">
        <v>1868</v>
      </c>
    </row>
    <row r="1865" spans="1:1" x14ac:dyDescent="0.3">
      <c r="A1865" t="s">
        <v>1869</v>
      </c>
    </row>
    <row r="1866" spans="1:1" x14ac:dyDescent="0.3">
      <c r="A1866" t="s">
        <v>1870</v>
      </c>
    </row>
    <row r="1867" spans="1:1" x14ac:dyDescent="0.3">
      <c r="A1867" t="s">
        <v>1871</v>
      </c>
    </row>
    <row r="1868" spans="1:1" x14ac:dyDescent="0.3">
      <c r="A1868" t="s">
        <v>1872</v>
      </c>
    </row>
    <row r="1869" spans="1:1" x14ac:dyDescent="0.3">
      <c r="A1869" t="s">
        <v>1873</v>
      </c>
    </row>
    <row r="1870" spans="1:1" x14ac:dyDescent="0.3">
      <c r="A1870" t="s">
        <v>1874</v>
      </c>
    </row>
    <row r="1871" spans="1:1" x14ac:dyDescent="0.3">
      <c r="A1871" t="s">
        <v>1875</v>
      </c>
    </row>
    <row r="1872" spans="1:1" x14ac:dyDescent="0.3">
      <c r="A1872" t="s">
        <v>1876</v>
      </c>
    </row>
    <row r="1873" spans="1:1" x14ac:dyDescent="0.3">
      <c r="A1873" t="s">
        <v>1877</v>
      </c>
    </row>
    <row r="1874" spans="1:1" x14ac:dyDescent="0.3">
      <c r="A1874" t="s">
        <v>1878</v>
      </c>
    </row>
    <row r="1875" spans="1:1" x14ac:dyDescent="0.3">
      <c r="A1875" t="s">
        <v>1879</v>
      </c>
    </row>
    <row r="1876" spans="1:1" x14ac:dyDescent="0.3">
      <c r="A1876" t="s">
        <v>1880</v>
      </c>
    </row>
    <row r="1877" spans="1:1" x14ac:dyDescent="0.3">
      <c r="A1877" t="s">
        <v>1881</v>
      </c>
    </row>
    <row r="1878" spans="1:1" x14ac:dyDescent="0.3">
      <c r="A1878" t="s">
        <v>1882</v>
      </c>
    </row>
    <row r="1879" spans="1:1" x14ac:dyDescent="0.3">
      <c r="A1879" t="s">
        <v>1883</v>
      </c>
    </row>
    <row r="1880" spans="1:1" x14ac:dyDescent="0.3">
      <c r="A1880" t="s">
        <v>1884</v>
      </c>
    </row>
    <row r="1881" spans="1:1" x14ac:dyDescent="0.3">
      <c r="A1881" t="s">
        <v>1885</v>
      </c>
    </row>
    <row r="1882" spans="1:1" x14ac:dyDescent="0.3">
      <c r="A1882" t="s">
        <v>1886</v>
      </c>
    </row>
    <row r="1883" spans="1:1" x14ac:dyDescent="0.3">
      <c r="A1883" t="s">
        <v>1887</v>
      </c>
    </row>
    <row r="1884" spans="1:1" x14ac:dyDescent="0.3">
      <c r="A1884" t="s">
        <v>1888</v>
      </c>
    </row>
    <row r="1885" spans="1:1" x14ac:dyDescent="0.3">
      <c r="A1885" t="s">
        <v>1889</v>
      </c>
    </row>
    <row r="1886" spans="1:1" x14ac:dyDescent="0.3">
      <c r="A1886" t="s">
        <v>1890</v>
      </c>
    </row>
    <row r="1887" spans="1:1" x14ac:dyDescent="0.3">
      <c r="A1887" t="s">
        <v>1891</v>
      </c>
    </row>
    <row r="1888" spans="1:1" x14ac:dyDescent="0.3">
      <c r="A1888" t="s">
        <v>1892</v>
      </c>
    </row>
    <row r="1889" spans="1:1" x14ac:dyDescent="0.3">
      <c r="A1889" t="s">
        <v>1893</v>
      </c>
    </row>
    <row r="1890" spans="1:1" x14ac:dyDescent="0.3">
      <c r="A1890" t="s">
        <v>1894</v>
      </c>
    </row>
    <row r="1891" spans="1:1" x14ac:dyDescent="0.3">
      <c r="A1891" t="s">
        <v>1895</v>
      </c>
    </row>
    <row r="1892" spans="1:1" x14ac:dyDescent="0.3">
      <c r="A1892" t="s">
        <v>1896</v>
      </c>
    </row>
    <row r="1893" spans="1:1" x14ac:dyDescent="0.3">
      <c r="A1893" t="s">
        <v>1897</v>
      </c>
    </row>
    <row r="1894" spans="1:1" x14ac:dyDescent="0.3">
      <c r="A1894" t="s">
        <v>1898</v>
      </c>
    </row>
    <row r="1895" spans="1:1" x14ac:dyDescent="0.3">
      <c r="A1895" t="s">
        <v>1899</v>
      </c>
    </row>
    <row r="1896" spans="1:1" x14ac:dyDescent="0.3">
      <c r="A1896" t="s">
        <v>1900</v>
      </c>
    </row>
    <row r="1897" spans="1:1" x14ac:dyDescent="0.3">
      <c r="A1897" t="s">
        <v>1901</v>
      </c>
    </row>
    <row r="1898" spans="1:1" x14ac:dyDescent="0.3">
      <c r="A1898" t="s">
        <v>1902</v>
      </c>
    </row>
    <row r="1899" spans="1:1" x14ac:dyDescent="0.3">
      <c r="A1899" t="s">
        <v>1903</v>
      </c>
    </row>
    <row r="1900" spans="1:1" x14ac:dyDescent="0.3">
      <c r="A1900" t="s">
        <v>1904</v>
      </c>
    </row>
    <row r="1901" spans="1:1" x14ac:dyDescent="0.3">
      <c r="A1901" t="s">
        <v>1905</v>
      </c>
    </row>
    <row r="1902" spans="1:1" x14ac:dyDescent="0.3">
      <c r="A1902" t="s">
        <v>1906</v>
      </c>
    </row>
    <row r="1903" spans="1:1" x14ac:dyDescent="0.3">
      <c r="A1903" t="s">
        <v>1907</v>
      </c>
    </row>
    <row r="1904" spans="1:1" x14ac:dyDescent="0.3">
      <c r="A1904" t="s">
        <v>1908</v>
      </c>
    </row>
    <row r="1905" spans="1:1" x14ac:dyDescent="0.3">
      <c r="A1905" t="s">
        <v>1909</v>
      </c>
    </row>
    <row r="1906" spans="1:1" x14ac:dyDescent="0.3">
      <c r="A1906" t="s">
        <v>1910</v>
      </c>
    </row>
    <row r="1907" spans="1:1" x14ac:dyDescent="0.3">
      <c r="A1907" t="s">
        <v>1911</v>
      </c>
    </row>
    <row r="1908" spans="1:1" x14ac:dyDescent="0.3">
      <c r="A1908" t="s">
        <v>1912</v>
      </c>
    </row>
    <row r="1909" spans="1:1" x14ac:dyDescent="0.3">
      <c r="A1909" t="s">
        <v>1913</v>
      </c>
    </row>
    <row r="1910" spans="1:1" x14ac:dyDescent="0.3">
      <c r="A1910" t="s">
        <v>1914</v>
      </c>
    </row>
    <row r="1911" spans="1:1" x14ac:dyDescent="0.3">
      <c r="A1911" t="s">
        <v>1915</v>
      </c>
    </row>
    <row r="1912" spans="1:1" x14ac:dyDescent="0.3">
      <c r="A1912" t="s">
        <v>1916</v>
      </c>
    </row>
    <row r="1913" spans="1:1" x14ac:dyDescent="0.3">
      <c r="A1913" t="s">
        <v>1917</v>
      </c>
    </row>
    <row r="1914" spans="1:1" x14ac:dyDescent="0.3">
      <c r="A1914" t="s">
        <v>1918</v>
      </c>
    </row>
    <row r="1915" spans="1:1" x14ac:dyDescent="0.3">
      <c r="A1915" t="s">
        <v>1919</v>
      </c>
    </row>
    <row r="1916" spans="1:1" x14ac:dyDescent="0.3">
      <c r="A1916" t="s">
        <v>1920</v>
      </c>
    </row>
    <row r="1917" spans="1:1" x14ac:dyDescent="0.3">
      <c r="A1917" t="s">
        <v>1921</v>
      </c>
    </row>
    <row r="1918" spans="1:1" x14ac:dyDescent="0.3">
      <c r="A1918" t="s">
        <v>1922</v>
      </c>
    </row>
    <row r="1919" spans="1:1" x14ac:dyDescent="0.3">
      <c r="A1919" t="s">
        <v>1923</v>
      </c>
    </row>
    <row r="1920" spans="1:1" x14ac:dyDescent="0.3">
      <c r="A1920" t="s">
        <v>1924</v>
      </c>
    </row>
    <row r="1921" spans="1:1" x14ac:dyDescent="0.3">
      <c r="A1921" t="s">
        <v>1925</v>
      </c>
    </row>
    <row r="1922" spans="1:1" x14ac:dyDescent="0.3">
      <c r="A1922" t="s">
        <v>1926</v>
      </c>
    </row>
    <row r="1923" spans="1:1" x14ac:dyDescent="0.3">
      <c r="A1923" t="s">
        <v>1927</v>
      </c>
    </row>
    <row r="1924" spans="1:1" x14ac:dyDescent="0.3">
      <c r="A1924" t="s">
        <v>1928</v>
      </c>
    </row>
    <row r="1925" spans="1:1" x14ac:dyDescent="0.3">
      <c r="A1925" t="s">
        <v>1929</v>
      </c>
    </row>
    <row r="1926" spans="1:1" x14ac:dyDescent="0.3">
      <c r="A1926" t="s">
        <v>1930</v>
      </c>
    </row>
    <row r="1927" spans="1:1" x14ac:dyDescent="0.3">
      <c r="A1927" t="s">
        <v>1931</v>
      </c>
    </row>
    <row r="1928" spans="1:1" x14ac:dyDescent="0.3">
      <c r="A1928" t="s">
        <v>1932</v>
      </c>
    </row>
    <row r="1929" spans="1:1" x14ac:dyDescent="0.3">
      <c r="A1929" t="s">
        <v>1933</v>
      </c>
    </row>
    <row r="1930" spans="1:1" x14ac:dyDescent="0.3">
      <c r="A1930" t="s">
        <v>1934</v>
      </c>
    </row>
    <row r="1931" spans="1:1" x14ac:dyDescent="0.3">
      <c r="A1931" t="s">
        <v>1935</v>
      </c>
    </row>
    <row r="1932" spans="1:1" x14ac:dyDescent="0.3">
      <c r="A1932" t="s">
        <v>1936</v>
      </c>
    </row>
    <row r="1933" spans="1:1" x14ac:dyDescent="0.3">
      <c r="A1933" t="s">
        <v>1937</v>
      </c>
    </row>
    <row r="1934" spans="1:1" x14ac:dyDescent="0.3">
      <c r="A1934" t="s">
        <v>1938</v>
      </c>
    </row>
    <row r="1935" spans="1:1" x14ac:dyDescent="0.3">
      <c r="A1935" t="s">
        <v>1939</v>
      </c>
    </row>
    <row r="1936" spans="1:1" x14ac:dyDescent="0.3">
      <c r="A1936" t="s">
        <v>1940</v>
      </c>
    </row>
    <row r="1937" spans="1:1" x14ac:dyDescent="0.3">
      <c r="A1937" t="s">
        <v>1941</v>
      </c>
    </row>
    <row r="1938" spans="1:1" x14ac:dyDescent="0.3">
      <c r="A1938" t="s">
        <v>1942</v>
      </c>
    </row>
    <row r="1939" spans="1:1" x14ac:dyDescent="0.3">
      <c r="A1939" t="s">
        <v>1943</v>
      </c>
    </row>
    <row r="1940" spans="1:1" x14ac:dyDescent="0.3">
      <c r="A1940" t="s">
        <v>1944</v>
      </c>
    </row>
    <row r="1941" spans="1:1" x14ac:dyDescent="0.3">
      <c r="A1941" t="s">
        <v>1945</v>
      </c>
    </row>
    <row r="1942" spans="1:1" x14ac:dyDescent="0.3">
      <c r="A1942" t="s">
        <v>1946</v>
      </c>
    </row>
    <row r="1943" spans="1:1" x14ac:dyDescent="0.3">
      <c r="A1943" t="s">
        <v>1947</v>
      </c>
    </row>
    <row r="1944" spans="1:1" x14ac:dyDescent="0.3">
      <c r="A1944" t="s">
        <v>1948</v>
      </c>
    </row>
    <row r="1945" spans="1:1" x14ac:dyDescent="0.3">
      <c r="A1945" t="s">
        <v>1949</v>
      </c>
    </row>
    <row r="1946" spans="1:1" x14ac:dyDescent="0.3">
      <c r="A1946" t="s">
        <v>1950</v>
      </c>
    </row>
    <row r="1947" spans="1:1" x14ac:dyDescent="0.3">
      <c r="A1947" t="s">
        <v>1951</v>
      </c>
    </row>
    <row r="1948" spans="1:1" x14ac:dyDescent="0.3">
      <c r="A1948" t="s">
        <v>1952</v>
      </c>
    </row>
    <row r="1949" spans="1:1" x14ac:dyDescent="0.3">
      <c r="A1949" t="s">
        <v>1953</v>
      </c>
    </row>
    <row r="1950" spans="1:1" x14ac:dyDescent="0.3">
      <c r="A1950" t="s">
        <v>1954</v>
      </c>
    </row>
    <row r="1951" spans="1:1" x14ac:dyDescent="0.3">
      <c r="A1951" t="s">
        <v>1955</v>
      </c>
    </row>
    <row r="1952" spans="1:1" x14ac:dyDescent="0.3">
      <c r="A1952" t="s">
        <v>1956</v>
      </c>
    </row>
    <row r="1953" spans="1:1" x14ac:dyDescent="0.3">
      <c r="A1953" t="s">
        <v>1957</v>
      </c>
    </row>
    <row r="1954" spans="1:1" x14ac:dyDescent="0.3">
      <c r="A1954" t="s">
        <v>1958</v>
      </c>
    </row>
    <row r="1955" spans="1:1" x14ac:dyDescent="0.3">
      <c r="A1955" t="s">
        <v>1959</v>
      </c>
    </row>
    <row r="1956" spans="1:1" x14ac:dyDescent="0.3">
      <c r="A1956" t="s">
        <v>1960</v>
      </c>
    </row>
    <row r="1957" spans="1:1" x14ac:dyDescent="0.3">
      <c r="A1957" t="s">
        <v>1961</v>
      </c>
    </row>
    <row r="1958" spans="1:1" x14ac:dyDescent="0.3">
      <c r="A1958" t="s">
        <v>1962</v>
      </c>
    </row>
    <row r="1959" spans="1:1" x14ac:dyDescent="0.3">
      <c r="A1959" t="s">
        <v>1963</v>
      </c>
    </row>
    <row r="1960" spans="1:1" x14ac:dyDescent="0.3">
      <c r="A1960" t="s">
        <v>1964</v>
      </c>
    </row>
    <row r="1961" spans="1:1" x14ac:dyDescent="0.3">
      <c r="A1961" t="s">
        <v>1965</v>
      </c>
    </row>
    <row r="1962" spans="1:1" x14ac:dyDescent="0.3">
      <c r="A1962" t="s">
        <v>1966</v>
      </c>
    </row>
    <row r="1963" spans="1:1" x14ac:dyDescent="0.3">
      <c r="A1963" t="s">
        <v>1967</v>
      </c>
    </row>
    <row r="1964" spans="1:1" x14ac:dyDescent="0.3">
      <c r="A1964" t="s">
        <v>1968</v>
      </c>
    </row>
    <row r="1965" spans="1:1" x14ac:dyDescent="0.3">
      <c r="A1965" t="s">
        <v>1969</v>
      </c>
    </row>
    <row r="1966" spans="1:1" x14ac:dyDescent="0.3">
      <c r="A1966" t="s">
        <v>1970</v>
      </c>
    </row>
    <row r="1967" spans="1:1" x14ac:dyDescent="0.3">
      <c r="A1967" t="s">
        <v>1971</v>
      </c>
    </row>
    <row r="1968" spans="1:1" x14ac:dyDescent="0.3">
      <c r="A1968" t="s">
        <v>1972</v>
      </c>
    </row>
    <row r="1969" spans="1:1" x14ac:dyDescent="0.3">
      <c r="A1969" t="s">
        <v>1973</v>
      </c>
    </row>
    <row r="1970" spans="1:1" x14ac:dyDescent="0.3">
      <c r="A1970" t="s">
        <v>1974</v>
      </c>
    </row>
    <row r="1971" spans="1:1" x14ac:dyDescent="0.3">
      <c r="A1971" t="s">
        <v>1975</v>
      </c>
    </row>
    <row r="1972" spans="1:1" x14ac:dyDescent="0.3">
      <c r="A1972" t="s">
        <v>1976</v>
      </c>
    </row>
    <row r="1973" spans="1:1" x14ac:dyDescent="0.3">
      <c r="A1973" t="s">
        <v>1977</v>
      </c>
    </row>
    <row r="1974" spans="1:1" x14ac:dyDescent="0.3">
      <c r="A1974" t="s">
        <v>1978</v>
      </c>
    </row>
    <row r="1975" spans="1:1" x14ac:dyDescent="0.3">
      <c r="A1975" t="s">
        <v>1979</v>
      </c>
    </row>
    <row r="1976" spans="1:1" x14ac:dyDescent="0.3">
      <c r="A1976" t="s">
        <v>1980</v>
      </c>
    </row>
    <row r="1977" spans="1:1" x14ac:dyDescent="0.3">
      <c r="A1977" t="s">
        <v>1981</v>
      </c>
    </row>
    <row r="1978" spans="1:1" x14ac:dyDescent="0.3">
      <c r="A1978" t="s">
        <v>1982</v>
      </c>
    </row>
    <row r="1979" spans="1:1" x14ac:dyDescent="0.3">
      <c r="A1979" t="s">
        <v>1983</v>
      </c>
    </row>
    <row r="1980" spans="1:1" x14ac:dyDescent="0.3">
      <c r="A1980" t="s">
        <v>1984</v>
      </c>
    </row>
    <row r="1981" spans="1:1" x14ac:dyDescent="0.3">
      <c r="A1981" t="s">
        <v>1985</v>
      </c>
    </row>
    <row r="1982" spans="1:1" x14ac:dyDescent="0.3">
      <c r="A1982" t="s">
        <v>1986</v>
      </c>
    </row>
    <row r="1983" spans="1:1" x14ac:dyDescent="0.3">
      <c r="A1983" t="s">
        <v>1987</v>
      </c>
    </row>
    <row r="1984" spans="1:1" x14ac:dyDescent="0.3">
      <c r="A1984" t="s">
        <v>1988</v>
      </c>
    </row>
    <row r="1985" spans="1:1" x14ac:dyDescent="0.3">
      <c r="A1985" t="s">
        <v>1989</v>
      </c>
    </row>
    <row r="1986" spans="1:1" x14ac:dyDescent="0.3">
      <c r="A1986" t="s">
        <v>1990</v>
      </c>
    </row>
    <row r="1987" spans="1:1" x14ac:dyDescent="0.3">
      <c r="A1987" t="s">
        <v>1991</v>
      </c>
    </row>
    <row r="1988" spans="1:1" x14ac:dyDescent="0.3">
      <c r="A1988" t="s">
        <v>1992</v>
      </c>
    </row>
    <row r="1989" spans="1:1" x14ac:dyDescent="0.3">
      <c r="A1989" t="s">
        <v>1993</v>
      </c>
    </row>
    <row r="1990" spans="1:1" x14ac:dyDescent="0.3">
      <c r="A1990" t="s">
        <v>1994</v>
      </c>
    </row>
    <row r="1991" spans="1:1" x14ac:dyDescent="0.3">
      <c r="A1991" t="s">
        <v>1995</v>
      </c>
    </row>
    <row r="1992" spans="1:1" x14ac:dyDescent="0.3">
      <c r="A1992" t="s">
        <v>1996</v>
      </c>
    </row>
    <row r="1993" spans="1:1" x14ac:dyDescent="0.3">
      <c r="A1993" t="s">
        <v>1997</v>
      </c>
    </row>
    <row r="1994" spans="1:1" x14ac:dyDescent="0.3">
      <c r="A1994" t="s">
        <v>1998</v>
      </c>
    </row>
    <row r="1995" spans="1:1" x14ac:dyDescent="0.3">
      <c r="A1995" t="s">
        <v>1999</v>
      </c>
    </row>
    <row r="1996" spans="1:1" x14ac:dyDescent="0.3">
      <c r="A1996" t="s">
        <v>2000</v>
      </c>
    </row>
    <row r="1997" spans="1:1" x14ac:dyDescent="0.3">
      <c r="A1997" t="s">
        <v>2001</v>
      </c>
    </row>
    <row r="1998" spans="1:1" x14ac:dyDescent="0.3">
      <c r="A1998" t="s">
        <v>2002</v>
      </c>
    </row>
    <row r="1999" spans="1:1" x14ac:dyDescent="0.3">
      <c r="A1999" t="s">
        <v>2003</v>
      </c>
    </row>
    <row r="2000" spans="1:1" x14ac:dyDescent="0.3">
      <c r="A2000" t="s">
        <v>2004</v>
      </c>
    </row>
    <row r="2001" spans="1:1" x14ac:dyDescent="0.3">
      <c r="A2001" t="s">
        <v>2005</v>
      </c>
    </row>
    <row r="2002" spans="1:1" x14ac:dyDescent="0.3">
      <c r="A2002" t="s">
        <v>2006</v>
      </c>
    </row>
    <row r="2003" spans="1:1" x14ac:dyDescent="0.3">
      <c r="A2003" t="s">
        <v>2007</v>
      </c>
    </row>
    <row r="2004" spans="1:1" x14ac:dyDescent="0.3">
      <c r="A2004" t="s">
        <v>2008</v>
      </c>
    </row>
    <row r="2005" spans="1:1" x14ac:dyDescent="0.3">
      <c r="A2005" t="s">
        <v>2009</v>
      </c>
    </row>
    <row r="2006" spans="1:1" x14ac:dyDescent="0.3">
      <c r="A2006" t="s">
        <v>2010</v>
      </c>
    </row>
    <row r="2007" spans="1:1" x14ac:dyDescent="0.3">
      <c r="A2007" t="s">
        <v>2011</v>
      </c>
    </row>
    <row r="2008" spans="1:1" x14ac:dyDescent="0.3">
      <c r="A2008" t="s">
        <v>2012</v>
      </c>
    </row>
    <row r="2009" spans="1:1" x14ac:dyDescent="0.3">
      <c r="A2009" t="s">
        <v>2013</v>
      </c>
    </row>
    <row r="2010" spans="1:1" x14ac:dyDescent="0.3">
      <c r="A2010" t="s">
        <v>2014</v>
      </c>
    </row>
    <row r="2011" spans="1:1" x14ac:dyDescent="0.3">
      <c r="A2011" t="s">
        <v>2015</v>
      </c>
    </row>
    <row r="2012" spans="1:1" x14ac:dyDescent="0.3">
      <c r="A2012" t="s">
        <v>2016</v>
      </c>
    </row>
    <row r="2013" spans="1:1" x14ac:dyDescent="0.3">
      <c r="A2013" t="s">
        <v>2017</v>
      </c>
    </row>
    <row r="2014" spans="1:1" x14ac:dyDescent="0.3">
      <c r="A2014" t="s">
        <v>2018</v>
      </c>
    </row>
    <row r="2015" spans="1:1" x14ac:dyDescent="0.3">
      <c r="A2015" t="s">
        <v>2019</v>
      </c>
    </row>
    <row r="2016" spans="1:1" x14ac:dyDescent="0.3">
      <c r="A2016" t="s">
        <v>2020</v>
      </c>
    </row>
    <row r="2017" spans="1:1" x14ac:dyDescent="0.3">
      <c r="A2017" t="s">
        <v>2021</v>
      </c>
    </row>
    <row r="2018" spans="1:1" x14ac:dyDescent="0.3">
      <c r="A2018" t="s">
        <v>2022</v>
      </c>
    </row>
    <row r="2019" spans="1:1" x14ac:dyDescent="0.3">
      <c r="A2019" t="s">
        <v>2023</v>
      </c>
    </row>
    <row r="2020" spans="1:1" x14ac:dyDescent="0.3">
      <c r="A2020" t="s">
        <v>2024</v>
      </c>
    </row>
    <row r="2021" spans="1:1" x14ac:dyDescent="0.3">
      <c r="A2021" t="s">
        <v>2025</v>
      </c>
    </row>
    <row r="2022" spans="1:1" x14ac:dyDescent="0.3">
      <c r="A2022" t="s">
        <v>2026</v>
      </c>
    </row>
    <row r="2023" spans="1:1" x14ac:dyDescent="0.3">
      <c r="A2023" t="s">
        <v>2027</v>
      </c>
    </row>
    <row r="2024" spans="1:1" x14ac:dyDescent="0.3">
      <c r="A2024" t="s">
        <v>2028</v>
      </c>
    </row>
    <row r="2025" spans="1:1" x14ac:dyDescent="0.3">
      <c r="A2025" t="s">
        <v>2029</v>
      </c>
    </row>
    <row r="2026" spans="1:1" x14ac:dyDescent="0.3">
      <c r="A2026" t="s">
        <v>2030</v>
      </c>
    </row>
    <row r="2027" spans="1:1" x14ac:dyDescent="0.3">
      <c r="A2027" t="s">
        <v>2031</v>
      </c>
    </row>
    <row r="2028" spans="1:1" x14ac:dyDescent="0.3">
      <c r="A2028" t="s">
        <v>2032</v>
      </c>
    </row>
    <row r="2029" spans="1:1" x14ac:dyDescent="0.3">
      <c r="A2029" t="s">
        <v>2033</v>
      </c>
    </row>
    <row r="2030" spans="1:1" x14ac:dyDescent="0.3">
      <c r="A2030" t="s">
        <v>2034</v>
      </c>
    </row>
    <row r="2031" spans="1:1" x14ac:dyDescent="0.3">
      <c r="A2031" t="s">
        <v>2035</v>
      </c>
    </row>
    <row r="2032" spans="1:1" x14ac:dyDescent="0.3">
      <c r="A2032" t="s">
        <v>2036</v>
      </c>
    </row>
    <row r="2033" spans="1:1" x14ac:dyDescent="0.3">
      <c r="A2033" t="s">
        <v>2037</v>
      </c>
    </row>
    <row r="2034" spans="1:1" x14ac:dyDescent="0.3">
      <c r="A2034" t="s">
        <v>2038</v>
      </c>
    </row>
    <row r="2035" spans="1:1" x14ac:dyDescent="0.3">
      <c r="A2035" t="s">
        <v>2039</v>
      </c>
    </row>
    <row r="2036" spans="1:1" x14ac:dyDescent="0.3">
      <c r="A2036" t="s">
        <v>2040</v>
      </c>
    </row>
    <row r="2037" spans="1:1" x14ac:dyDescent="0.3">
      <c r="A2037" t="s">
        <v>2041</v>
      </c>
    </row>
    <row r="2038" spans="1:1" x14ac:dyDescent="0.3">
      <c r="A2038" t="s">
        <v>2042</v>
      </c>
    </row>
    <row r="2039" spans="1:1" x14ac:dyDescent="0.3">
      <c r="A2039" t="s">
        <v>2043</v>
      </c>
    </row>
    <row r="2040" spans="1:1" x14ac:dyDescent="0.3">
      <c r="A2040" t="s">
        <v>2044</v>
      </c>
    </row>
    <row r="2041" spans="1:1" x14ac:dyDescent="0.3">
      <c r="A2041" t="s">
        <v>2045</v>
      </c>
    </row>
    <row r="2042" spans="1:1" x14ac:dyDescent="0.3">
      <c r="A2042" t="s">
        <v>2046</v>
      </c>
    </row>
    <row r="2043" spans="1:1" x14ac:dyDescent="0.3">
      <c r="A2043" t="s">
        <v>2047</v>
      </c>
    </row>
    <row r="2044" spans="1:1" x14ac:dyDescent="0.3">
      <c r="A2044" t="s">
        <v>2048</v>
      </c>
    </row>
    <row r="2045" spans="1:1" x14ac:dyDescent="0.3">
      <c r="A2045" t="s">
        <v>2049</v>
      </c>
    </row>
    <row r="2046" spans="1:1" x14ac:dyDescent="0.3">
      <c r="A2046" t="s">
        <v>2050</v>
      </c>
    </row>
    <row r="2047" spans="1:1" x14ac:dyDescent="0.3">
      <c r="A2047" t="s">
        <v>2051</v>
      </c>
    </row>
    <row r="2048" spans="1:1" x14ac:dyDescent="0.3">
      <c r="A2048" t="s">
        <v>2052</v>
      </c>
    </row>
    <row r="2049" spans="1:1" x14ac:dyDescent="0.3">
      <c r="A2049" t="s">
        <v>2053</v>
      </c>
    </row>
    <row r="2050" spans="1:1" x14ac:dyDescent="0.3">
      <c r="A2050" t="s">
        <v>2054</v>
      </c>
    </row>
    <row r="2051" spans="1:1" x14ac:dyDescent="0.3">
      <c r="A2051" t="s">
        <v>2055</v>
      </c>
    </row>
    <row r="2052" spans="1:1" x14ac:dyDescent="0.3">
      <c r="A2052" t="s">
        <v>2056</v>
      </c>
    </row>
    <row r="2053" spans="1:1" x14ac:dyDescent="0.3">
      <c r="A2053" t="s">
        <v>2057</v>
      </c>
    </row>
    <row r="2054" spans="1:1" x14ac:dyDescent="0.3">
      <c r="A2054" t="s">
        <v>2058</v>
      </c>
    </row>
    <row r="2055" spans="1:1" x14ac:dyDescent="0.3">
      <c r="A2055" t="s">
        <v>2059</v>
      </c>
    </row>
    <row r="2056" spans="1:1" x14ac:dyDescent="0.3">
      <c r="A2056" t="s">
        <v>2060</v>
      </c>
    </row>
    <row r="2057" spans="1:1" x14ac:dyDescent="0.3">
      <c r="A2057" t="s">
        <v>2061</v>
      </c>
    </row>
    <row r="2058" spans="1:1" x14ac:dyDescent="0.3">
      <c r="A2058" t="s">
        <v>2062</v>
      </c>
    </row>
    <row r="2059" spans="1:1" x14ac:dyDescent="0.3">
      <c r="A2059" t="s">
        <v>2063</v>
      </c>
    </row>
    <row r="2060" spans="1:1" x14ac:dyDescent="0.3">
      <c r="A2060" t="s">
        <v>2064</v>
      </c>
    </row>
    <row r="2061" spans="1:1" x14ac:dyDescent="0.3">
      <c r="A2061" t="s">
        <v>2065</v>
      </c>
    </row>
    <row r="2062" spans="1:1" x14ac:dyDescent="0.3">
      <c r="A2062" t="s">
        <v>2066</v>
      </c>
    </row>
    <row r="2063" spans="1:1" x14ac:dyDescent="0.3">
      <c r="A2063" t="s">
        <v>2067</v>
      </c>
    </row>
    <row r="2064" spans="1:1" x14ac:dyDescent="0.3">
      <c r="A2064" t="s">
        <v>2068</v>
      </c>
    </row>
    <row r="2065" spans="1:1" x14ac:dyDescent="0.3">
      <c r="A2065" t="s">
        <v>2069</v>
      </c>
    </row>
    <row r="2066" spans="1:1" x14ac:dyDescent="0.3">
      <c r="A2066" t="s">
        <v>2070</v>
      </c>
    </row>
    <row r="2067" spans="1:1" x14ac:dyDescent="0.3">
      <c r="A2067" t="s">
        <v>2071</v>
      </c>
    </row>
    <row r="2068" spans="1:1" x14ac:dyDescent="0.3">
      <c r="A2068" t="s">
        <v>2072</v>
      </c>
    </row>
    <row r="2069" spans="1:1" x14ac:dyDescent="0.3">
      <c r="A2069" t="s">
        <v>2073</v>
      </c>
    </row>
    <row r="2070" spans="1:1" x14ac:dyDescent="0.3">
      <c r="A2070" t="s">
        <v>2074</v>
      </c>
    </row>
    <row r="2071" spans="1:1" x14ac:dyDescent="0.3">
      <c r="A2071" t="s">
        <v>2075</v>
      </c>
    </row>
    <row r="2072" spans="1:1" x14ac:dyDescent="0.3">
      <c r="A2072" t="s">
        <v>2076</v>
      </c>
    </row>
    <row r="2073" spans="1:1" x14ac:dyDescent="0.3">
      <c r="A2073" t="s">
        <v>2077</v>
      </c>
    </row>
    <row r="2074" spans="1:1" x14ac:dyDescent="0.3">
      <c r="A2074" t="s">
        <v>2078</v>
      </c>
    </row>
    <row r="2075" spans="1:1" x14ac:dyDescent="0.3">
      <c r="A2075" t="s">
        <v>2079</v>
      </c>
    </row>
    <row r="2076" spans="1:1" x14ac:dyDescent="0.3">
      <c r="A2076" t="s">
        <v>2080</v>
      </c>
    </row>
    <row r="2077" spans="1:1" x14ac:dyDescent="0.3">
      <c r="A2077" t="s">
        <v>2081</v>
      </c>
    </row>
    <row r="2078" spans="1:1" x14ac:dyDescent="0.3">
      <c r="A2078" t="s">
        <v>2082</v>
      </c>
    </row>
    <row r="2079" spans="1:1" x14ac:dyDescent="0.3">
      <c r="A2079" t="s">
        <v>2083</v>
      </c>
    </row>
    <row r="2080" spans="1:1" x14ac:dyDescent="0.3">
      <c r="A2080" t="s">
        <v>2084</v>
      </c>
    </row>
    <row r="2081" spans="1:1" x14ac:dyDescent="0.3">
      <c r="A2081" t="s">
        <v>2085</v>
      </c>
    </row>
    <row r="2082" spans="1:1" x14ac:dyDescent="0.3">
      <c r="A2082" t="s">
        <v>2086</v>
      </c>
    </row>
    <row r="2083" spans="1:1" x14ac:dyDescent="0.3">
      <c r="A2083" t="s">
        <v>2087</v>
      </c>
    </row>
    <row r="2084" spans="1:1" x14ac:dyDescent="0.3">
      <c r="A2084" t="s">
        <v>2088</v>
      </c>
    </row>
    <row r="2085" spans="1:1" x14ac:dyDescent="0.3">
      <c r="A2085" t="s">
        <v>2089</v>
      </c>
    </row>
    <row r="2086" spans="1:1" x14ac:dyDescent="0.3">
      <c r="A2086" t="s">
        <v>2090</v>
      </c>
    </row>
    <row r="2087" spans="1:1" x14ac:dyDescent="0.3">
      <c r="A2087" t="s">
        <v>2091</v>
      </c>
    </row>
    <row r="2088" spans="1:1" x14ac:dyDescent="0.3">
      <c r="A2088" t="s">
        <v>2092</v>
      </c>
    </row>
    <row r="2089" spans="1:1" x14ac:dyDescent="0.3">
      <c r="A2089" t="s">
        <v>2093</v>
      </c>
    </row>
    <row r="2090" spans="1:1" x14ac:dyDescent="0.3">
      <c r="A2090" t="s">
        <v>2094</v>
      </c>
    </row>
    <row r="2091" spans="1:1" x14ac:dyDescent="0.3">
      <c r="A2091" t="s">
        <v>2095</v>
      </c>
    </row>
    <row r="2092" spans="1:1" x14ac:dyDescent="0.3">
      <c r="A2092" t="s">
        <v>2096</v>
      </c>
    </row>
    <row r="2093" spans="1:1" x14ac:dyDescent="0.3">
      <c r="A2093" t="s">
        <v>2097</v>
      </c>
    </row>
    <row r="2094" spans="1:1" x14ac:dyDescent="0.3">
      <c r="A2094" t="s">
        <v>2098</v>
      </c>
    </row>
    <row r="2095" spans="1:1" x14ac:dyDescent="0.3">
      <c r="A2095" t="s">
        <v>2099</v>
      </c>
    </row>
    <row r="2096" spans="1:1" x14ac:dyDescent="0.3">
      <c r="A2096" t="s">
        <v>2100</v>
      </c>
    </row>
    <row r="2097" spans="1:1" x14ac:dyDescent="0.3">
      <c r="A2097" t="s">
        <v>2101</v>
      </c>
    </row>
    <row r="2098" spans="1:1" x14ac:dyDescent="0.3">
      <c r="A2098" t="s">
        <v>2102</v>
      </c>
    </row>
    <row r="2099" spans="1:1" x14ac:dyDescent="0.3">
      <c r="A2099" t="s">
        <v>2103</v>
      </c>
    </row>
    <row r="2100" spans="1:1" x14ac:dyDescent="0.3">
      <c r="A2100" t="s">
        <v>2104</v>
      </c>
    </row>
    <row r="2101" spans="1:1" x14ac:dyDescent="0.3">
      <c r="A2101" t="s">
        <v>2105</v>
      </c>
    </row>
    <row r="2102" spans="1:1" x14ac:dyDescent="0.3">
      <c r="A2102" t="s">
        <v>2106</v>
      </c>
    </row>
    <row r="2103" spans="1:1" x14ac:dyDescent="0.3">
      <c r="A2103" t="s">
        <v>2107</v>
      </c>
    </row>
    <row r="2104" spans="1:1" x14ac:dyDescent="0.3">
      <c r="A2104" t="s">
        <v>2108</v>
      </c>
    </row>
    <row r="2105" spans="1:1" x14ac:dyDescent="0.3">
      <c r="A2105" t="s">
        <v>2109</v>
      </c>
    </row>
    <row r="2106" spans="1:1" x14ac:dyDescent="0.3">
      <c r="A2106" t="s">
        <v>2110</v>
      </c>
    </row>
    <row r="2107" spans="1:1" x14ac:dyDescent="0.3">
      <c r="A2107" t="s">
        <v>2111</v>
      </c>
    </row>
    <row r="2108" spans="1:1" x14ac:dyDescent="0.3">
      <c r="A2108" t="s">
        <v>2112</v>
      </c>
    </row>
    <row r="2109" spans="1:1" x14ac:dyDescent="0.3">
      <c r="A2109" t="s">
        <v>2113</v>
      </c>
    </row>
    <row r="2110" spans="1:1" x14ac:dyDescent="0.3">
      <c r="A2110" t="s">
        <v>2114</v>
      </c>
    </row>
    <row r="2111" spans="1:1" x14ac:dyDescent="0.3">
      <c r="A2111" t="s">
        <v>2115</v>
      </c>
    </row>
    <row r="2112" spans="1:1" x14ac:dyDescent="0.3">
      <c r="A2112" t="s">
        <v>2116</v>
      </c>
    </row>
    <row r="2113" spans="1:1" x14ac:dyDescent="0.3">
      <c r="A2113" t="s">
        <v>2117</v>
      </c>
    </row>
    <row r="2114" spans="1:1" x14ac:dyDescent="0.3">
      <c r="A2114" t="s">
        <v>2118</v>
      </c>
    </row>
    <row r="2115" spans="1:1" x14ac:dyDescent="0.3">
      <c r="A2115" t="s">
        <v>2119</v>
      </c>
    </row>
    <row r="2116" spans="1:1" x14ac:dyDescent="0.3">
      <c r="A2116" t="s">
        <v>2120</v>
      </c>
    </row>
    <row r="2117" spans="1:1" x14ac:dyDescent="0.3">
      <c r="A2117" t="s">
        <v>2121</v>
      </c>
    </row>
    <row r="2118" spans="1:1" x14ac:dyDescent="0.3">
      <c r="A2118" t="s">
        <v>2122</v>
      </c>
    </row>
    <row r="2119" spans="1:1" x14ac:dyDescent="0.3">
      <c r="A2119" t="s">
        <v>2123</v>
      </c>
    </row>
    <row r="2120" spans="1:1" x14ac:dyDescent="0.3">
      <c r="A2120" t="s">
        <v>2124</v>
      </c>
    </row>
    <row r="2121" spans="1:1" x14ac:dyDescent="0.3">
      <c r="A2121" t="s">
        <v>2125</v>
      </c>
    </row>
    <row r="2122" spans="1:1" x14ac:dyDescent="0.3">
      <c r="A2122" t="s">
        <v>2126</v>
      </c>
    </row>
    <row r="2123" spans="1:1" x14ac:dyDescent="0.3">
      <c r="A2123" t="s">
        <v>2127</v>
      </c>
    </row>
    <row r="2124" spans="1:1" x14ac:dyDescent="0.3">
      <c r="A2124" t="s">
        <v>2128</v>
      </c>
    </row>
    <row r="2125" spans="1:1" x14ac:dyDescent="0.3">
      <c r="A2125" t="s">
        <v>2129</v>
      </c>
    </row>
    <row r="2126" spans="1:1" x14ac:dyDescent="0.3">
      <c r="A2126" t="s">
        <v>2130</v>
      </c>
    </row>
    <row r="2127" spans="1:1" x14ac:dyDescent="0.3">
      <c r="A2127" t="s">
        <v>2131</v>
      </c>
    </row>
    <row r="2128" spans="1:1" x14ac:dyDescent="0.3">
      <c r="A2128" t="s">
        <v>2132</v>
      </c>
    </row>
    <row r="2129" spans="1:1" x14ac:dyDescent="0.3">
      <c r="A2129" t="s">
        <v>2133</v>
      </c>
    </row>
    <row r="2130" spans="1:1" x14ac:dyDescent="0.3">
      <c r="A2130" t="s">
        <v>2134</v>
      </c>
    </row>
    <row r="2131" spans="1:1" x14ac:dyDescent="0.3">
      <c r="A2131" t="s">
        <v>2135</v>
      </c>
    </row>
    <row r="2132" spans="1:1" x14ac:dyDescent="0.3">
      <c r="A2132" t="s">
        <v>2136</v>
      </c>
    </row>
    <row r="2133" spans="1:1" x14ac:dyDescent="0.3">
      <c r="A2133" t="s">
        <v>2137</v>
      </c>
    </row>
    <row r="2134" spans="1:1" x14ac:dyDescent="0.3">
      <c r="A2134" t="s">
        <v>2138</v>
      </c>
    </row>
    <row r="2135" spans="1:1" x14ac:dyDescent="0.3">
      <c r="A2135" t="s">
        <v>2139</v>
      </c>
    </row>
    <row r="2136" spans="1:1" x14ac:dyDescent="0.3">
      <c r="A2136" t="s">
        <v>2140</v>
      </c>
    </row>
    <row r="2137" spans="1:1" x14ac:dyDescent="0.3">
      <c r="A2137" t="s">
        <v>2141</v>
      </c>
    </row>
    <row r="2138" spans="1:1" x14ac:dyDescent="0.3">
      <c r="A2138" t="s">
        <v>2142</v>
      </c>
    </row>
    <row r="2139" spans="1:1" x14ac:dyDescent="0.3">
      <c r="A2139" t="s">
        <v>2143</v>
      </c>
    </row>
    <row r="2140" spans="1:1" x14ac:dyDescent="0.3">
      <c r="A2140" t="s">
        <v>2144</v>
      </c>
    </row>
    <row r="2141" spans="1:1" x14ac:dyDescent="0.3">
      <c r="A2141" t="s">
        <v>2145</v>
      </c>
    </row>
    <row r="2142" spans="1:1" x14ac:dyDescent="0.3">
      <c r="A2142" t="s">
        <v>2146</v>
      </c>
    </row>
    <row r="2143" spans="1:1" x14ac:dyDescent="0.3">
      <c r="A2143" t="s">
        <v>2147</v>
      </c>
    </row>
    <row r="2144" spans="1:1" x14ac:dyDescent="0.3">
      <c r="A2144" t="s">
        <v>2148</v>
      </c>
    </row>
    <row r="2145" spans="1:1" x14ac:dyDescent="0.3">
      <c r="A2145" t="s">
        <v>2149</v>
      </c>
    </row>
    <row r="2146" spans="1:1" x14ac:dyDescent="0.3">
      <c r="A2146" t="s">
        <v>2150</v>
      </c>
    </row>
    <row r="2147" spans="1:1" x14ac:dyDescent="0.3">
      <c r="A2147" t="s">
        <v>2151</v>
      </c>
    </row>
    <row r="2148" spans="1:1" x14ac:dyDescent="0.3">
      <c r="A2148" t="s">
        <v>2152</v>
      </c>
    </row>
    <row r="2149" spans="1:1" x14ac:dyDescent="0.3">
      <c r="A2149" t="s">
        <v>2153</v>
      </c>
    </row>
    <row r="2150" spans="1:1" x14ac:dyDescent="0.3">
      <c r="A2150" t="s">
        <v>2154</v>
      </c>
    </row>
    <row r="2151" spans="1:1" x14ac:dyDescent="0.3">
      <c r="A2151" t="s">
        <v>2155</v>
      </c>
    </row>
    <row r="2152" spans="1:1" x14ac:dyDescent="0.3">
      <c r="A2152" t="s">
        <v>2156</v>
      </c>
    </row>
    <row r="2153" spans="1:1" x14ac:dyDescent="0.3">
      <c r="A2153" t="s">
        <v>2157</v>
      </c>
    </row>
    <row r="2154" spans="1:1" x14ac:dyDescent="0.3">
      <c r="A2154" t="s">
        <v>2158</v>
      </c>
    </row>
    <row r="2155" spans="1:1" x14ac:dyDescent="0.3">
      <c r="A2155" t="s">
        <v>2159</v>
      </c>
    </row>
    <row r="2156" spans="1:1" x14ac:dyDescent="0.3">
      <c r="A2156" t="s">
        <v>2160</v>
      </c>
    </row>
    <row r="2157" spans="1:1" x14ac:dyDescent="0.3">
      <c r="A2157" t="s">
        <v>2161</v>
      </c>
    </row>
    <row r="2158" spans="1:1" x14ac:dyDescent="0.3">
      <c r="A2158" t="s">
        <v>2162</v>
      </c>
    </row>
    <row r="2159" spans="1:1" x14ac:dyDescent="0.3">
      <c r="A2159" t="s">
        <v>2163</v>
      </c>
    </row>
    <row r="2160" spans="1:1" x14ac:dyDescent="0.3">
      <c r="A2160" t="s">
        <v>2164</v>
      </c>
    </row>
    <row r="2161" spans="1:1" x14ac:dyDescent="0.3">
      <c r="A2161" t="s">
        <v>2165</v>
      </c>
    </row>
    <row r="2162" spans="1:1" x14ac:dyDescent="0.3">
      <c r="A2162" t="s">
        <v>2166</v>
      </c>
    </row>
    <row r="2163" spans="1:1" x14ac:dyDescent="0.3">
      <c r="A2163" t="s">
        <v>2167</v>
      </c>
    </row>
    <row r="2164" spans="1:1" x14ac:dyDescent="0.3">
      <c r="A2164" t="s">
        <v>2168</v>
      </c>
    </row>
    <row r="2165" spans="1:1" x14ac:dyDescent="0.3">
      <c r="A2165" t="s">
        <v>2169</v>
      </c>
    </row>
    <row r="2166" spans="1:1" x14ac:dyDescent="0.3">
      <c r="A2166" t="s">
        <v>2170</v>
      </c>
    </row>
    <row r="2167" spans="1:1" x14ac:dyDescent="0.3">
      <c r="A2167" t="s">
        <v>2171</v>
      </c>
    </row>
    <row r="2168" spans="1:1" x14ac:dyDescent="0.3">
      <c r="A2168" t="s">
        <v>2172</v>
      </c>
    </row>
    <row r="2169" spans="1:1" x14ac:dyDescent="0.3">
      <c r="A2169" t="s">
        <v>2173</v>
      </c>
    </row>
    <row r="2170" spans="1:1" x14ac:dyDescent="0.3">
      <c r="A2170" t="s">
        <v>2174</v>
      </c>
    </row>
    <row r="2171" spans="1:1" x14ac:dyDescent="0.3">
      <c r="A2171" t="s">
        <v>2175</v>
      </c>
    </row>
    <row r="2172" spans="1:1" x14ac:dyDescent="0.3">
      <c r="A2172" t="s">
        <v>2176</v>
      </c>
    </row>
    <row r="2173" spans="1:1" x14ac:dyDescent="0.3">
      <c r="A2173" t="s">
        <v>2177</v>
      </c>
    </row>
    <row r="2174" spans="1:1" x14ac:dyDescent="0.3">
      <c r="A2174" t="s">
        <v>2178</v>
      </c>
    </row>
    <row r="2175" spans="1:1" x14ac:dyDescent="0.3">
      <c r="A2175" t="s">
        <v>2179</v>
      </c>
    </row>
    <row r="2176" spans="1:1" x14ac:dyDescent="0.3">
      <c r="A2176" t="s">
        <v>2180</v>
      </c>
    </row>
    <row r="2177" spans="1:1" x14ac:dyDescent="0.3">
      <c r="A2177" t="s">
        <v>2181</v>
      </c>
    </row>
    <row r="2178" spans="1:1" x14ac:dyDescent="0.3">
      <c r="A2178" t="s">
        <v>2182</v>
      </c>
    </row>
    <row r="2179" spans="1:1" x14ac:dyDescent="0.3">
      <c r="A2179" t="s">
        <v>2183</v>
      </c>
    </row>
    <row r="2180" spans="1:1" x14ac:dyDescent="0.3">
      <c r="A2180" t="s">
        <v>2184</v>
      </c>
    </row>
    <row r="2181" spans="1:1" x14ac:dyDescent="0.3">
      <c r="A2181" t="s">
        <v>2185</v>
      </c>
    </row>
    <row r="2182" spans="1:1" x14ac:dyDescent="0.3">
      <c r="A2182" t="s">
        <v>2186</v>
      </c>
    </row>
    <row r="2183" spans="1:1" x14ac:dyDescent="0.3">
      <c r="A2183" t="s">
        <v>2187</v>
      </c>
    </row>
    <row r="2184" spans="1:1" x14ac:dyDescent="0.3">
      <c r="A2184" t="s">
        <v>2188</v>
      </c>
    </row>
    <row r="2185" spans="1:1" x14ac:dyDescent="0.3">
      <c r="A2185" t="s">
        <v>2189</v>
      </c>
    </row>
    <row r="2186" spans="1:1" x14ac:dyDescent="0.3">
      <c r="A2186" t="s">
        <v>2190</v>
      </c>
    </row>
    <row r="2187" spans="1:1" x14ac:dyDescent="0.3">
      <c r="A2187" t="s">
        <v>2191</v>
      </c>
    </row>
    <row r="2188" spans="1:1" x14ac:dyDescent="0.3">
      <c r="A2188" t="s">
        <v>2192</v>
      </c>
    </row>
    <row r="2189" spans="1:1" x14ac:dyDescent="0.3">
      <c r="A2189" t="s">
        <v>2193</v>
      </c>
    </row>
    <row r="2190" spans="1:1" x14ac:dyDescent="0.3">
      <c r="A2190" t="s">
        <v>2194</v>
      </c>
    </row>
    <row r="2191" spans="1:1" x14ac:dyDescent="0.3">
      <c r="A2191" t="s">
        <v>2195</v>
      </c>
    </row>
    <row r="2192" spans="1:1" x14ac:dyDescent="0.3">
      <c r="A2192" t="s">
        <v>2196</v>
      </c>
    </row>
    <row r="2193" spans="1:1" x14ac:dyDescent="0.3">
      <c r="A2193" t="s">
        <v>2197</v>
      </c>
    </row>
    <row r="2194" spans="1:1" x14ac:dyDescent="0.3">
      <c r="A2194" t="s">
        <v>2198</v>
      </c>
    </row>
    <row r="2195" spans="1:1" x14ac:dyDescent="0.3">
      <c r="A2195" t="s">
        <v>2199</v>
      </c>
    </row>
    <row r="2196" spans="1:1" x14ac:dyDescent="0.3">
      <c r="A2196" t="s">
        <v>2200</v>
      </c>
    </row>
    <row r="2197" spans="1:1" x14ac:dyDescent="0.3">
      <c r="A2197" t="s">
        <v>2201</v>
      </c>
    </row>
    <row r="2198" spans="1:1" x14ac:dyDescent="0.3">
      <c r="A2198" t="s">
        <v>2202</v>
      </c>
    </row>
    <row r="2199" spans="1:1" x14ac:dyDescent="0.3">
      <c r="A2199" t="s">
        <v>2203</v>
      </c>
    </row>
    <row r="2200" spans="1:1" x14ac:dyDescent="0.3">
      <c r="A2200" t="s">
        <v>2204</v>
      </c>
    </row>
    <row r="2201" spans="1:1" x14ac:dyDescent="0.3">
      <c r="A2201" t="s">
        <v>2205</v>
      </c>
    </row>
    <row r="2202" spans="1:1" x14ac:dyDescent="0.3">
      <c r="A2202" t="s">
        <v>2206</v>
      </c>
    </row>
    <row r="2203" spans="1:1" x14ac:dyDescent="0.3">
      <c r="A2203" t="s">
        <v>2207</v>
      </c>
    </row>
    <row r="2204" spans="1:1" x14ac:dyDescent="0.3">
      <c r="A2204" t="s">
        <v>2208</v>
      </c>
    </row>
    <row r="2205" spans="1:1" x14ac:dyDescent="0.3">
      <c r="A2205" t="s">
        <v>2209</v>
      </c>
    </row>
    <row r="2206" spans="1:1" x14ac:dyDescent="0.3">
      <c r="A2206" t="s">
        <v>2210</v>
      </c>
    </row>
    <row r="2207" spans="1:1" x14ac:dyDescent="0.3">
      <c r="A2207" t="s">
        <v>2211</v>
      </c>
    </row>
    <row r="2208" spans="1:1" x14ac:dyDescent="0.3">
      <c r="A2208" t="s">
        <v>2212</v>
      </c>
    </row>
    <row r="2209" spans="1:1" x14ac:dyDescent="0.3">
      <c r="A2209" t="s">
        <v>2213</v>
      </c>
    </row>
    <row r="2210" spans="1:1" x14ac:dyDescent="0.3">
      <c r="A2210" t="s">
        <v>2214</v>
      </c>
    </row>
    <row r="2211" spans="1:1" x14ac:dyDescent="0.3">
      <c r="A2211" t="s">
        <v>2215</v>
      </c>
    </row>
    <row r="2212" spans="1:1" x14ac:dyDescent="0.3">
      <c r="A2212" t="s">
        <v>2216</v>
      </c>
    </row>
    <row r="2213" spans="1:1" x14ac:dyDescent="0.3">
      <c r="A2213" t="s">
        <v>2217</v>
      </c>
    </row>
    <row r="2214" spans="1:1" x14ac:dyDescent="0.3">
      <c r="A2214" t="s">
        <v>2218</v>
      </c>
    </row>
    <row r="2215" spans="1:1" x14ac:dyDescent="0.3">
      <c r="A2215" t="s">
        <v>2219</v>
      </c>
    </row>
    <row r="2216" spans="1:1" x14ac:dyDescent="0.3">
      <c r="A2216" t="s">
        <v>2220</v>
      </c>
    </row>
    <row r="2217" spans="1:1" x14ac:dyDescent="0.3">
      <c r="A2217" t="s">
        <v>2221</v>
      </c>
    </row>
    <row r="2218" spans="1:1" x14ac:dyDescent="0.3">
      <c r="A2218" t="s">
        <v>2222</v>
      </c>
    </row>
    <row r="2219" spans="1:1" x14ac:dyDescent="0.3">
      <c r="A2219" t="s">
        <v>2223</v>
      </c>
    </row>
    <row r="2220" spans="1:1" x14ac:dyDescent="0.3">
      <c r="A2220" t="s">
        <v>2224</v>
      </c>
    </row>
    <row r="2221" spans="1:1" x14ac:dyDescent="0.3">
      <c r="A2221" t="s">
        <v>2225</v>
      </c>
    </row>
    <row r="2222" spans="1:1" x14ac:dyDescent="0.3">
      <c r="A2222" t="s">
        <v>2226</v>
      </c>
    </row>
    <row r="2223" spans="1:1" x14ac:dyDescent="0.3">
      <c r="A2223" t="s">
        <v>2227</v>
      </c>
    </row>
    <row r="2224" spans="1:1" x14ac:dyDescent="0.3">
      <c r="A2224" t="s">
        <v>2228</v>
      </c>
    </row>
    <row r="2225" spans="1:1" x14ac:dyDescent="0.3">
      <c r="A2225" t="s">
        <v>2229</v>
      </c>
    </row>
    <row r="2226" spans="1:1" x14ac:dyDescent="0.3">
      <c r="A2226" t="s">
        <v>2230</v>
      </c>
    </row>
    <row r="2227" spans="1:1" x14ac:dyDescent="0.3">
      <c r="A2227" t="s">
        <v>2231</v>
      </c>
    </row>
    <row r="2228" spans="1:1" x14ac:dyDescent="0.3">
      <c r="A2228" t="s">
        <v>2232</v>
      </c>
    </row>
    <row r="2229" spans="1:1" x14ac:dyDescent="0.3">
      <c r="A2229" t="s">
        <v>2233</v>
      </c>
    </row>
    <row r="2230" spans="1:1" x14ac:dyDescent="0.3">
      <c r="A2230" t="s">
        <v>2234</v>
      </c>
    </row>
    <row r="2231" spans="1:1" x14ac:dyDescent="0.3">
      <c r="A2231" t="s">
        <v>2235</v>
      </c>
    </row>
    <row r="2232" spans="1:1" x14ac:dyDescent="0.3">
      <c r="A2232" t="s">
        <v>2236</v>
      </c>
    </row>
    <row r="2233" spans="1:1" x14ac:dyDescent="0.3">
      <c r="A2233" t="s">
        <v>2237</v>
      </c>
    </row>
    <row r="2234" spans="1:1" x14ac:dyDescent="0.3">
      <c r="A2234" t="s">
        <v>2238</v>
      </c>
    </row>
    <row r="2235" spans="1:1" x14ac:dyDescent="0.3">
      <c r="A2235" t="s">
        <v>2239</v>
      </c>
    </row>
    <row r="2236" spans="1:1" x14ac:dyDescent="0.3">
      <c r="A2236" t="s">
        <v>2240</v>
      </c>
    </row>
    <row r="2237" spans="1:1" x14ac:dyDescent="0.3">
      <c r="A2237" t="s">
        <v>2241</v>
      </c>
    </row>
    <row r="2238" spans="1:1" x14ac:dyDescent="0.3">
      <c r="A2238" t="s">
        <v>2242</v>
      </c>
    </row>
    <row r="2239" spans="1:1" x14ac:dyDescent="0.3">
      <c r="A2239" t="s">
        <v>2243</v>
      </c>
    </row>
    <row r="2240" spans="1:1" x14ac:dyDescent="0.3">
      <c r="A2240" t="s">
        <v>2244</v>
      </c>
    </row>
    <row r="2241" spans="1:1" x14ac:dyDescent="0.3">
      <c r="A2241" t="s">
        <v>2245</v>
      </c>
    </row>
    <row r="2242" spans="1:1" x14ac:dyDescent="0.3">
      <c r="A2242" t="s">
        <v>2246</v>
      </c>
    </row>
    <row r="2243" spans="1:1" x14ac:dyDescent="0.3">
      <c r="A2243" t="s">
        <v>2247</v>
      </c>
    </row>
    <row r="2244" spans="1:1" x14ac:dyDescent="0.3">
      <c r="A2244" t="s">
        <v>2248</v>
      </c>
    </row>
    <row r="2245" spans="1:1" x14ac:dyDescent="0.3">
      <c r="A2245" t="s">
        <v>2249</v>
      </c>
    </row>
    <row r="2246" spans="1:1" x14ac:dyDescent="0.3">
      <c r="A2246" t="s">
        <v>2250</v>
      </c>
    </row>
    <row r="2247" spans="1:1" x14ac:dyDescent="0.3">
      <c r="A2247" t="s">
        <v>2251</v>
      </c>
    </row>
    <row r="2248" spans="1:1" x14ac:dyDescent="0.3">
      <c r="A2248" t="s">
        <v>2252</v>
      </c>
    </row>
    <row r="2249" spans="1:1" x14ac:dyDescent="0.3">
      <c r="A2249" t="s">
        <v>2253</v>
      </c>
    </row>
    <row r="2250" spans="1:1" x14ac:dyDescent="0.3">
      <c r="A2250" t="s">
        <v>2254</v>
      </c>
    </row>
    <row r="2251" spans="1:1" x14ac:dyDescent="0.3">
      <c r="A2251" t="s">
        <v>2255</v>
      </c>
    </row>
    <row r="2252" spans="1:1" x14ac:dyDescent="0.3">
      <c r="A2252" t="s">
        <v>2256</v>
      </c>
    </row>
    <row r="2253" spans="1:1" x14ac:dyDescent="0.3">
      <c r="A2253" t="s">
        <v>2257</v>
      </c>
    </row>
    <row r="2254" spans="1:1" x14ac:dyDescent="0.3">
      <c r="A2254" t="s">
        <v>2258</v>
      </c>
    </row>
    <row r="2255" spans="1:1" x14ac:dyDescent="0.3">
      <c r="A2255" t="s">
        <v>2259</v>
      </c>
    </row>
    <row r="2256" spans="1:1" x14ac:dyDescent="0.3">
      <c r="A2256" t="s">
        <v>2260</v>
      </c>
    </row>
    <row r="2257" spans="1:1" x14ac:dyDescent="0.3">
      <c r="A2257" t="s">
        <v>2261</v>
      </c>
    </row>
    <row r="2258" spans="1:1" x14ac:dyDescent="0.3">
      <c r="A2258" t="s">
        <v>2262</v>
      </c>
    </row>
    <row r="2259" spans="1:1" x14ac:dyDescent="0.3">
      <c r="A2259" t="s">
        <v>2263</v>
      </c>
    </row>
    <row r="2260" spans="1:1" x14ac:dyDescent="0.3">
      <c r="A2260" t="s">
        <v>2264</v>
      </c>
    </row>
    <row r="2261" spans="1:1" x14ac:dyDescent="0.3">
      <c r="A2261" t="s">
        <v>2265</v>
      </c>
    </row>
    <row r="2262" spans="1:1" x14ac:dyDescent="0.3">
      <c r="A2262" t="s">
        <v>2266</v>
      </c>
    </row>
    <row r="2263" spans="1:1" x14ac:dyDescent="0.3">
      <c r="A2263" t="s">
        <v>2267</v>
      </c>
    </row>
    <row r="2264" spans="1:1" x14ac:dyDescent="0.3">
      <c r="A2264" t="s">
        <v>2268</v>
      </c>
    </row>
    <row r="2265" spans="1:1" x14ac:dyDescent="0.3">
      <c r="A2265" t="s">
        <v>2269</v>
      </c>
    </row>
    <row r="2266" spans="1:1" x14ac:dyDescent="0.3">
      <c r="A2266" t="s">
        <v>2270</v>
      </c>
    </row>
    <row r="2267" spans="1:1" x14ac:dyDescent="0.3">
      <c r="A2267" t="s">
        <v>2271</v>
      </c>
    </row>
    <row r="2268" spans="1:1" x14ac:dyDescent="0.3">
      <c r="A2268" t="s">
        <v>2272</v>
      </c>
    </row>
    <row r="2269" spans="1:1" x14ac:dyDescent="0.3">
      <c r="A2269" t="s">
        <v>2273</v>
      </c>
    </row>
    <row r="2270" spans="1:1" x14ac:dyDescent="0.3">
      <c r="A2270" t="s">
        <v>2274</v>
      </c>
    </row>
    <row r="2271" spans="1:1" x14ac:dyDescent="0.3">
      <c r="A2271" t="s">
        <v>2275</v>
      </c>
    </row>
    <row r="2272" spans="1:1" x14ac:dyDescent="0.3">
      <c r="A2272" t="s">
        <v>2276</v>
      </c>
    </row>
    <row r="2273" spans="1:1" x14ac:dyDescent="0.3">
      <c r="A2273" t="s">
        <v>2277</v>
      </c>
    </row>
    <row r="2274" spans="1:1" x14ac:dyDescent="0.3">
      <c r="A2274" t="s">
        <v>2278</v>
      </c>
    </row>
    <row r="2275" spans="1:1" x14ac:dyDescent="0.3">
      <c r="A2275" t="s">
        <v>2279</v>
      </c>
    </row>
    <row r="2276" spans="1:1" x14ac:dyDescent="0.3">
      <c r="A2276" t="s">
        <v>2280</v>
      </c>
    </row>
    <row r="2277" spans="1:1" x14ac:dyDescent="0.3">
      <c r="A2277" t="s">
        <v>2281</v>
      </c>
    </row>
    <row r="2278" spans="1:1" x14ac:dyDescent="0.3">
      <c r="A2278" t="s">
        <v>2282</v>
      </c>
    </row>
    <row r="2279" spans="1:1" x14ac:dyDescent="0.3">
      <c r="A2279" t="s">
        <v>2283</v>
      </c>
    </row>
    <row r="2280" spans="1:1" x14ac:dyDescent="0.3">
      <c r="A2280" t="s">
        <v>2284</v>
      </c>
    </row>
    <row r="2281" spans="1:1" x14ac:dyDescent="0.3">
      <c r="A2281" t="s">
        <v>2285</v>
      </c>
    </row>
    <row r="2282" spans="1:1" x14ac:dyDescent="0.3">
      <c r="A2282" t="s">
        <v>2286</v>
      </c>
    </row>
    <row r="2283" spans="1:1" x14ac:dyDescent="0.3">
      <c r="A2283" t="s">
        <v>2287</v>
      </c>
    </row>
    <row r="2284" spans="1:1" x14ac:dyDescent="0.3">
      <c r="A2284" t="s">
        <v>2288</v>
      </c>
    </row>
    <row r="2285" spans="1:1" x14ac:dyDescent="0.3">
      <c r="A2285" t="s">
        <v>2289</v>
      </c>
    </row>
    <row r="2286" spans="1:1" x14ac:dyDescent="0.3">
      <c r="A2286" t="s">
        <v>2290</v>
      </c>
    </row>
    <row r="2287" spans="1:1" x14ac:dyDescent="0.3">
      <c r="A2287" t="s">
        <v>2291</v>
      </c>
    </row>
    <row r="2288" spans="1:1" x14ac:dyDescent="0.3">
      <c r="A2288" t="s">
        <v>2292</v>
      </c>
    </row>
    <row r="2289" spans="1:1" x14ac:dyDescent="0.3">
      <c r="A2289" t="s">
        <v>2293</v>
      </c>
    </row>
    <row r="2290" spans="1:1" x14ac:dyDescent="0.3">
      <c r="A2290" t="s">
        <v>2294</v>
      </c>
    </row>
    <row r="2291" spans="1:1" x14ac:dyDescent="0.3">
      <c r="A2291" t="s">
        <v>2295</v>
      </c>
    </row>
    <row r="2292" spans="1:1" x14ac:dyDescent="0.3">
      <c r="A2292" t="s">
        <v>2296</v>
      </c>
    </row>
    <row r="2293" spans="1:1" x14ac:dyDescent="0.3">
      <c r="A2293" t="s">
        <v>2297</v>
      </c>
    </row>
    <row r="2294" spans="1:1" x14ac:dyDescent="0.3">
      <c r="A2294" t="s">
        <v>2298</v>
      </c>
    </row>
    <row r="2295" spans="1:1" x14ac:dyDescent="0.3">
      <c r="A2295" t="s">
        <v>2299</v>
      </c>
    </row>
    <row r="2296" spans="1:1" x14ac:dyDescent="0.3">
      <c r="A2296" t="s">
        <v>2300</v>
      </c>
    </row>
    <row r="2297" spans="1:1" x14ac:dyDescent="0.3">
      <c r="A2297" t="s">
        <v>2301</v>
      </c>
    </row>
    <row r="2298" spans="1:1" x14ac:dyDescent="0.3">
      <c r="A2298" t="s">
        <v>2302</v>
      </c>
    </row>
    <row r="2299" spans="1:1" x14ac:dyDescent="0.3">
      <c r="A2299" t="s">
        <v>2303</v>
      </c>
    </row>
    <row r="2300" spans="1:1" x14ac:dyDescent="0.3">
      <c r="A2300" t="s">
        <v>2304</v>
      </c>
    </row>
    <row r="2301" spans="1:1" x14ac:dyDescent="0.3">
      <c r="A2301" t="s">
        <v>2305</v>
      </c>
    </row>
    <row r="2302" spans="1:1" x14ac:dyDescent="0.3">
      <c r="A2302" t="s">
        <v>2306</v>
      </c>
    </row>
    <row r="2303" spans="1:1" x14ac:dyDescent="0.3">
      <c r="A2303" t="s">
        <v>2307</v>
      </c>
    </row>
    <row r="2304" spans="1:1" x14ac:dyDescent="0.3">
      <c r="A2304" t="s">
        <v>2308</v>
      </c>
    </row>
    <row r="2305" spans="1:1" x14ac:dyDescent="0.3">
      <c r="A2305" t="s">
        <v>2309</v>
      </c>
    </row>
    <row r="2306" spans="1:1" x14ac:dyDescent="0.3">
      <c r="A2306" t="s">
        <v>2310</v>
      </c>
    </row>
    <row r="2307" spans="1:1" x14ac:dyDescent="0.3">
      <c r="A2307" t="s">
        <v>2311</v>
      </c>
    </row>
    <row r="2308" spans="1:1" x14ac:dyDescent="0.3">
      <c r="A2308" t="s">
        <v>2312</v>
      </c>
    </row>
    <row r="2309" spans="1:1" x14ac:dyDescent="0.3">
      <c r="A2309" t="s">
        <v>2313</v>
      </c>
    </row>
    <row r="2310" spans="1:1" x14ac:dyDescent="0.3">
      <c r="A2310" t="s">
        <v>2314</v>
      </c>
    </row>
    <row r="2311" spans="1:1" x14ac:dyDescent="0.3">
      <c r="A2311" t="s">
        <v>2315</v>
      </c>
    </row>
    <row r="2312" spans="1:1" x14ac:dyDescent="0.3">
      <c r="A2312" t="s">
        <v>2316</v>
      </c>
    </row>
    <row r="2313" spans="1:1" x14ac:dyDescent="0.3">
      <c r="A2313" t="s">
        <v>2317</v>
      </c>
    </row>
    <row r="2314" spans="1:1" x14ac:dyDescent="0.3">
      <c r="A2314" t="s">
        <v>2318</v>
      </c>
    </row>
    <row r="2315" spans="1:1" x14ac:dyDescent="0.3">
      <c r="A2315" t="s">
        <v>2319</v>
      </c>
    </row>
    <row r="2316" spans="1:1" x14ac:dyDescent="0.3">
      <c r="A2316" t="s">
        <v>2320</v>
      </c>
    </row>
    <row r="2317" spans="1:1" x14ac:dyDescent="0.3">
      <c r="A2317" t="s">
        <v>2321</v>
      </c>
    </row>
    <row r="2318" spans="1:1" x14ac:dyDescent="0.3">
      <c r="A2318" t="s">
        <v>2322</v>
      </c>
    </row>
    <row r="2319" spans="1:1" x14ac:dyDescent="0.3">
      <c r="A2319" t="s">
        <v>2323</v>
      </c>
    </row>
    <row r="2320" spans="1:1" x14ac:dyDescent="0.3">
      <c r="A2320" t="s">
        <v>2324</v>
      </c>
    </row>
    <row r="2321" spans="1:1" x14ac:dyDescent="0.3">
      <c r="A2321" t="s">
        <v>2325</v>
      </c>
    </row>
    <row r="2322" spans="1:1" x14ac:dyDescent="0.3">
      <c r="A2322" t="s">
        <v>2326</v>
      </c>
    </row>
    <row r="2323" spans="1:1" x14ac:dyDescent="0.3">
      <c r="A2323" t="s">
        <v>2327</v>
      </c>
    </row>
    <row r="2324" spans="1:1" x14ac:dyDescent="0.3">
      <c r="A2324" t="s">
        <v>2328</v>
      </c>
    </row>
    <row r="2325" spans="1:1" x14ac:dyDescent="0.3">
      <c r="A2325" t="s">
        <v>2329</v>
      </c>
    </row>
    <row r="2326" spans="1:1" x14ac:dyDescent="0.3">
      <c r="A2326" t="s">
        <v>2330</v>
      </c>
    </row>
    <row r="2327" spans="1:1" x14ac:dyDescent="0.3">
      <c r="A2327" t="s">
        <v>2331</v>
      </c>
    </row>
    <row r="2328" spans="1:1" x14ac:dyDescent="0.3">
      <c r="A2328" t="s">
        <v>2332</v>
      </c>
    </row>
    <row r="2329" spans="1:1" x14ac:dyDescent="0.3">
      <c r="A2329" t="s">
        <v>2333</v>
      </c>
    </row>
    <row r="2330" spans="1:1" x14ac:dyDescent="0.3">
      <c r="A2330" t="s">
        <v>2334</v>
      </c>
    </row>
    <row r="2331" spans="1:1" x14ac:dyDescent="0.3">
      <c r="A2331" t="s">
        <v>2335</v>
      </c>
    </row>
    <row r="2332" spans="1:1" x14ac:dyDescent="0.3">
      <c r="A2332" t="s">
        <v>2336</v>
      </c>
    </row>
    <row r="2333" spans="1:1" x14ac:dyDescent="0.3">
      <c r="A2333" t="s">
        <v>2337</v>
      </c>
    </row>
    <row r="2334" spans="1:1" x14ac:dyDescent="0.3">
      <c r="A2334" t="s">
        <v>2338</v>
      </c>
    </row>
    <row r="2335" spans="1:1" x14ac:dyDescent="0.3">
      <c r="A2335" t="s">
        <v>2339</v>
      </c>
    </row>
    <row r="2336" spans="1:1" x14ac:dyDescent="0.3">
      <c r="A2336" t="s">
        <v>2340</v>
      </c>
    </row>
    <row r="2337" spans="1:1" x14ac:dyDescent="0.3">
      <c r="A2337" t="s">
        <v>2341</v>
      </c>
    </row>
    <row r="2338" spans="1:1" x14ac:dyDescent="0.3">
      <c r="A2338" t="s">
        <v>2342</v>
      </c>
    </row>
    <row r="2339" spans="1:1" x14ac:dyDescent="0.3">
      <c r="A2339" t="s">
        <v>2343</v>
      </c>
    </row>
    <row r="2340" spans="1:1" x14ac:dyDescent="0.3">
      <c r="A2340" t="s">
        <v>2344</v>
      </c>
    </row>
    <row r="2341" spans="1:1" x14ac:dyDescent="0.3">
      <c r="A2341" t="s">
        <v>2345</v>
      </c>
    </row>
    <row r="2342" spans="1:1" x14ac:dyDescent="0.3">
      <c r="A2342" t="s">
        <v>2346</v>
      </c>
    </row>
    <row r="2343" spans="1:1" x14ac:dyDescent="0.3">
      <c r="A2343" t="s">
        <v>2347</v>
      </c>
    </row>
    <row r="2344" spans="1:1" x14ac:dyDescent="0.3">
      <c r="A2344" t="s">
        <v>2348</v>
      </c>
    </row>
    <row r="2345" spans="1:1" x14ac:dyDescent="0.3">
      <c r="A2345" t="s">
        <v>2349</v>
      </c>
    </row>
    <row r="2346" spans="1:1" x14ac:dyDescent="0.3">
      <c r="A2346" t="s">
        <v>2350</v>
      </c>
    </row>
    <row r="2347" spans="1:1" x14ac:dyDescent="0.3">
      <c r="A2347" t="s">
        <v>2351</v>
      </c>
    </row>
    <row r="2348" spans="1:1" x14ac:dyDescent="0.3">
      <c r="A2348" t="s">
        <v>2352</v>
      </c>
    </row>
    <row r="2349" spans="1:1" x14ac:dyDescent="0.3">
      <c r="A2349" t="s">
        <v>2353</v>
      </c>
    </row>
    <row r="2350" spans="1:1" x14ac:dyDescent="0.3">
      <c r="A2350" t="s">
        <v>2354</v>
      </c>
    </row>
    <row r="2351" spans="1:1" x14ac:dyDescent="0.3">
      <c r="A2351" t="s">
        <v>2355</v>
      </c>
    </row>
    <row r="2352" spans="1:1" x14ac:dyDescent="0.3">
      <c r="A2352" t="s">
        <v>2356</v>
      </c>
    </row>
    <row r="2353" spans="1:4" x14ac:dyDescent="0.3">
      <c r="A2353" t="s">
        <v>2357</v>
      </c>
    </row>
    <row r="2354" spans="1:4" x14ac:dyDescent="0.3">
      <c r="A2354" t="s">
        <v>2358</v>
      </c>
    </row>
    <row r="2355" spans="1:4" x14ac:dyDescent="0.3">
      <c r="A2355" t="s">
        <v>2359</v>
      </c>
    </row>
    <row r="2356" spans="1:4" x14ac:dyDescent="0.3">
      <c r="A2356" t="s">
        <v>2360</v>
      </c>
    </row>
    <row r="2357" spans="1:4" x14ac:dyDescent="0.3">
      <c r="A2357" t="s">
        <v>2361</v>
      </c>
    </row>
    <row r="2358" spans="1:4" x14ac:dyDescent="0.3">
      <c r="A2358" t="s">
        <v>2362</v>
      </c>
    </row>
    <row r="2359" spans="1:4" x14ac:dyDescent="0.3">
      <c r="A2359" t="s">
        <v>2363</v>
      </c>
    </row>
    <row r="2360" spans="1:4" x14ac:dyDescent="0.3">
      <c r="A2360" t="s">
        <v>2364</v>
      </c>
    </row>
    <row r="2361" spans="1:4" x14ac:dyDescent="0.3">
      <c r="A2361" t="s">
        <v>2365</v>
      </c>
    </row>
    <row r="2362" spans="1:4" x14ac:dyDescent="0.3">
      <c r="A2362" t="s">
        <v>2366</v>
      </c>
    </row>
    <row r="2363" spans="1:4" x14ac:dyDescent="0.3">
      <c r="A2363" t="s">
        <v>2367</v>
      </c>
      <c r="B2363" t="s">
        <v>2368</v>
      </c>
      <c r="C2363" t="s">
        <v>2369</v>
      </c>
      <c r="D2363" t="s">
        <v>2370</v>
      </c>
    </row>
    <row r="2364" spans="1:4" x14ac:dyDescent="0.3">
      <c r="A2364" t="s">
        <v>2371</v>
      </c>
    </row>
    <row r="2365" spans="1:4" x14ac:dyDescent="0.3">
      <c r="A2365" t="s">
        <v>2372</v>
      </c>
    </row>
    <row r="2366" spans="1:4" x14ac:dyDescent="0.3">
      <c r="A2366" t="s">
        <v>2373</v>
      </c>
    </row>
    <row r="2367" spans="1:4" x14ac:dyDescent="0.3">
      <c r="A2367" t="s">
        <v>2374</v>
      </c>
    </row>
    <row r="2368" spans="1:4" x14ac:dyDescent="0.3">
      <c r="A2368" t="s">
        <v>2375</v>
      </c>
    </row>
    <row r="2369" spans="1:1" x14ac:dyDescent="0.3">
      <c r="A2369" t="s">
        <v>2376</v>
      </c>
    </row>
    <row r="2370" spans="1:1" x14ac:dyDescent="0.3">
      <c r="A2370" t="s">
        <v>2377</v>
      </c>
    </row>
    <row r="2371" spans="1:1" x14ac:dyDescent="0.3">
      <c r="A2371" t="s">
        <v>2378</v>
      </c>
    </row>
    <row r="2372" spans="1:1" x14ac:dyDescent="0.3">
      <c r="A2372" t="s">
        <v>2379</v>
      </c>
    </row>
    <row r="2373" spans="1:1" x14ac:dyDescent="0.3">
      <c r="A2373" t="s">
        <v>2380</v>
      </c>
    </row>
    <row r="2374" spans="1:1" x14ac:dyDescent="0.3">
      <c r="A2374" t="s">
        <v>2381</v>
      </c>
    </row>
    <row r="2375" spans="1:1" x14ac:dyDescent="0.3">
      <c r="A2375" t="s">
        <v>2382</v>
      </c>
    </row>
    <row r="2376" spans="1:1" x14ac:dyDescent="0.3">
      <c r="A2376" t="s">
        <v>2383</v>
      </c>
    </row>
    <row r="2377" spans="1:1" x14ac:dyDescent="0.3">
      <c r="A2377" t="s">
        <v>2384</v>
      </c>
    </row>
    <row r="2378" spans="1:1" x14ac:dyDescent="0.3">
      <c r="A2378" t="s">
        <v>2385</v>
      </c>
    </row>
    <row r="2379" spans="1:1" x14ac:dyDescent="0.3">
      <c r="A2379" t="s">
        <v>2386</v>
      </c>
    </row>
    <row r="2380" spans="1:1" x14ac:dyDescent="0.3">
      <c r="A2380" t="s">
        <v>2387</v>
      </c>
    </row>
    <row r="2381" spans="1:1" x14ac:dyDescent="0.3">
      <c r="A2381" t="s">
        <v>2388</v>
      </c>
    </row>
    <row r="2382" spans="1:1" x14ac:dyDescent="0.3">
      <c r="A2382" t="s">
        <v>2389</v>
      </c>
    </row>
    <row r="2383" spans="1:1" x14ac:dyDescent="0.3">
      <c r="A2383" t="s">
        <v>2390</v>
      </c>
    </row>
    <row r="2384" spans="1:1" x14ac:dyDescent="0.3">
      <c r="A2384" t="s">
        <v>2391</v>
      </c>
    </row>
    <row r="2385" spans="1:1" x14ac:dyDescent="0.3">
      <c r="A2385" t="s">
        <v>2392</v>
      </c>
    </row>
    <row r="2386" spans="1:1" x14ac:dyDescent="0.3">
      <c r="A2386" t="s">
        <v>2393</v>
      </c>
    </row>
    <row r="2387" spans="1:1" x14ac:dyDescent="0.3">
      <c r="A2387" t="s">
        <v>2394</v>
      </c>
    </row>
    <row r="2388" spans="1:1" x14ac:dyDescent="0.3">
      <c r="A2388" t="s">
        <v>2395</v>
      </c>
    </row>
    <row r="2389" spans="1:1" x14ac:dyDescent="0.3">
      <c r="A2389" t="s">
        <v>2396</v>
      </c>
    </row>
    <row r="2390" spans="1:1" x14ac:dyDescent="0.3">
      <c r="A2390" t="s">
        <v>2397</v>
      </c>
    </row>
    <row r="2391" spans="1:1" x14ac:dyDescent="0.3">
      <c r="A2391" t="s">
        <v>2398</v>
      </c>
    </row>
    <row r="2392" spans="1:1" x14ac:dyDescent="0.3">
      <c r="A2392" t="s">
        <v>2399</v>
      </c>
    </row>
    <row r="2393" spans="1:1" x14ac:dyDescent="0.3">
      <c r="A2393" t="s">
        <v>2400</v>
      </c>
    </row>
    <row r="2394" spans="1:1" x14ac:dyDescent="0.3">
      <c r="A2394" t="s">
        <v>2401</v>
      </c>
    </row>
    <row r="2395" spans="1:1" x14ac:dyDescent="0.3">
      <c r="A2395" t="s">
        <v>2402</v>
      </c>
    </row>
    <row r="2396" spans="1:1" x14ac:dyDescent="0.3">
      <c r="A2396" t="s">
        <v>2403</v>
      </c>
    </row>
    <row r="2397" spans="1:1" x14ac:dyDescent="0.3">
      <c r="A2397" t="s">
        <v>2404</v>
      </c>
    </row>
    <row r="2398" spans="1:1" x14ac:dyDescent="0.3">
      <c r="A2398" t="s">
        <v>2405</v>
      </c>
    </row>
    <row r="2399" spans="1:1" x14ac:dyDescent="0.3">
      <c r="A2399" t="s">
        <v>2406</v>
      </c>
    </row>
    <row r="2400" spans="1:1" x14ac:dyDescent="0.3">
      <c r="A2400" t="s">
        <v>2407</v>
      </c>
    </row>
    <row r="2401" spans="1:1" x14ac:dyDescent="0.3">
      <c r="A2401" t="s">
        <v>2408</v>
      </c>
    </row>
    <row r="2402" spans="1:1" x14ac:dyDescent="0.3">
      <c r="A2402" t="s">
        <v>2409</v>
      </c>
    </row>
    <row r="2403" spans="1:1" x14ac:dyDescent="0.3">
      <c r="A2403" t="s">
        <v>2410</v>
      </c>
    </row>
    <row r="2404" spans="1:1" x14ac:dyDescent="0.3">
      <c r="A2404" t="s">
        <v>2411</v>
      </c>
    </row>
    <row r="2405" spans="1:1" x14ac:dyDescent="0.3">
      <c r="A2405" t="s">
        <v>2412</v>
      </c>
    </row>
    <row r="2406" spans="1:1" x14ac:dyDescent="0.3">
      <c r="A2406" t="s">
        <v>2413</v>
      </c>
    </row>
    <row r="2407" spans="1:1" x14ac:dyDescent="0.3">
      <c r="A2407" t="s">
        <v>2414</v>
      </c>
    </row>
    <row r="2408" spans="1:1" x14ac:dyDescent="0.3">
      <c r="A2408" t="s">
        <v>2415</v>
      </c>
    </row>
    <row r="2409" spans="1:1" x14ac:dyDescent="0.3">
      <c r="A2409" t="s">
        <v>2416</v>
      </c>
    </row>
    <row r="2410" spans="1:1" x14ac:dyDescent="0.3">
      <c r="A2410" t="s">
        <v>2417</v>
      </c>
    </row>
    <row r="2411" spans="1:1" x14ac:dyDescent="0.3">
      <c r="A2411" t="s">
        <v>2418</v>
      </c>
    </row>
    <row r="2412" spans="1:1" x14ac:dyDescent="0.3">
      <c r="A2412" t="s">
        <v>2419</v>
      </c>
    </row>
    <row r="2413" spans="1:1" x14ac:dyDescent="0.3">
      <c r="A2413" t="s">
        <v>2420</v>
      </c>
    </row>
    <row r="2414" spans="1:1" x14ac:dyDescent="0.3">
      <c r="A2414" t="s">
        <v>2421</v>
      </c>
    </row>
    <row r="2415" spans="1:1" x14ac:dyDescent="0.3">
      <c r="A2415" t="s">
        <v>2422</v>
      </c>
    </row>
    <row r="2416" spans="1:1" x14ac:dyDescent="0.3">
      <c r="A2416" t="s">
        <v>2423</v>
      </c>
    </row>
    <row r="2417" spans="1:1" x14ac:dyDescent="0.3">
      <c r="A2417" t="s">
        <v>2424</v>
      </c>
    </row>
    <row r="2418" spans="1:1" x14ac:dyDescent="0.3">
      <c r="A2418" t="s">
        <v>2425</v>
      </c>
    </row>
    <row r="2419" spans="1:1" x14ac:dyDescent="0.3">
      <c r="A2419" t="s">
        <v>2426</v>
      </c>
    </row>
    <row r="2420" spans="1:1" x14ac:dyDescent="0.3">
      <c r="A2420" t="s">
        <v>2427</v>
      </c>
    </row>
    <row r="2421" spans="1:1" x14ac:dyDescent="0.3">
      <c r="A2421" t="s">
        <v>2428</v>
      </c>
    </row>
    <row r="2422" spans="1:1" x14ac:dyDescent="0.3">
      <c r="A2422" t="s">
        <v>2429</v>
      </c>
    </row>
    <row r="2423" spans="1:1" x14ac:dyDescent="0.3">
      <c r="A2423" t="s">
        <v>2430</v>
      </c>
    </row>
    <row r="2424" spans="1:1" x14ac:dyDescent="0.3">
      <c r="A2424" t="s">
        <v>2431</v>
      </c>
    </row>
    <row r="2425" spans="1:1" x14ac:dyDescent="0.3">
      <c r="A2425" t="s">
        <v>2432</v>
      </c>
    </row>
    <row r="2426" spans="1:1" x14ac:dyDescent="0.3">
      <c r="A2426" t="s">
        <v>2433</v>
      </c>
    </row>
    <row r="2427" spans="1:1" x14ac:dyDescent="0.3">
      <c r="A2427" t="s">
        <v>2434</v>
      </c>
    </row>
    <row r="2428" spans="1:1" x14ac:dyDescent="0.3">
      <c r="A2428" t="s">
        <v>2435</v>
      </c>
    </row>
    <row r="2429" spans="1:1" x14ac:dyDescent="0.3">
      <c r="A2429" t="s">
        <v>2436</v>
      </c>
    </row>
    <row r="2430" spans="1:1" x14ac:dyDescent="0.3">
      <c r="A2430" t="s">
        <v>2437</v>
      </c>
    </row>
    <row r="2431" spans="1:1" x14ac:dyDescent="0.3">
      <c r="A2431" t="s">
        <v>2438</v>
      </c>
    </row>
    <row r="2432" spans="1:1" x14ac:dyDescent="0.3">
      <c r="A2432" t="s">
        <v>2439</v>
      </c>
    </row>
    <row r="2433" spans="1:1" x14ac:dyDescent="0.3">
      <c r="A2433" t="s">
        <v>2440</v>
      </c>
    </row>
    <row r="2434" spans="1:1" x14ac:dyDescent="0.3">
      <c r="A2434" t="s">
        <v>2441</v>
      </c>
    </row>
    <row r="2435" spans="1:1" x14ac:dyDescent="0.3">
      <c r="A2435" t="s">
        <v>2442</v>
      </c>
    </row>
    <row r="2436" spans="1:1" x14ac:dyDescent="0.3">
      <c r="A2436" t="s">
        <v>2443</v>
      </c>
    </row>
    <row r="2437" spans="1:1" x14ac:dyDescent="0.3">
      <c r="A2437" t="s">
        <v>2444</v>
      </c>
    </row>
    <row r="2438" spans="1:1" x14ac:dyDescent="0.3">
      <c r="A2438" t="s">
        <v>2445</v>
      </c>
    </row>
    <row r="2439" spans="1:1" x14ac:dyDescent="0.3">
      <c r="A2439" t="s">
        <v>2446</v>
      </c>
    </row>
    <row r="2440" spans="1:1" x14ac:dyDescent="0.3">
      <c r="A2440" t="s">
        <v>2447</v>
      </c>
    </row>
    <row r="2441" spans="1:1" x14ac:dyDescent="0.3">
      <c r="A2441" t="s">
        <v>2448</v>
      </c>
    </row>
    <row r="2442" spans="1:1" x14ac:dyDescent="0.3">
      <c r="A2442" t="s">
        <v>2449</v>
      </c>
    </row>
    <row r="2443" spans="1:1" x14ac:dyDescent="0.3">
      <c r="A2443" t="s">
        <v>2450</v>
      </c>
    </row>
    <row r="2444" spans="1:1" x14ac:dyDescent="0.3">
      <c r="A2444" t="s">
        <v>2451</v>
      </c>
    </row>
    <row r="2445" spans="1:1" x14ac:dyDescent="0.3">
      <c r="A2445" t="s">
        <v>2452</v>
      </c>
    </row>
    <row r="2446" spans="1:1" x14ac:dyDescent="0.3">
      <c r="A2446" t="s">
        <v>2453</v>
      </c>
    </row>
    <row r="2447" spans="1:1" x14ac:dyDescent="0.3">
      <c r="A2447" t="s">
        <v>2454</v>
      </c>
    </row>
    <row r="2448" spans="1:1" x14ac:dyDescent="0.3">
      <c r="A2448" t="s">
        <v>2455</v>
      </c>
    </row>
    <row r="2449" spans="1:1" x14ac:dyDescent="0.3">
      <c r="A2449" t="s">
        <v>2456</v>
      </c>
    </row>
    <row r="2450" spans="1:1" x14ac:dyDescent="0.3">
      <c r="A2450" t="s">
        <v>2457</v>
      </c>
    </row>
    <row r="2451" spans="1:1" x14ac:dyDescent="0.3">
      <c r="A2451" t="s">
        <v>2458</v>
      </c>
    </row>
    <row r="2452" spans="1:1" x14ac:dyDescent="0.3">
      <c r="A2452" t="s">
        <v>2459</v>
      </c>
    </row>
    <row r="2453" spans="1:1" x14ac:dyDescent="0.3">
      <c r="A2453" t="s">
        <v>2460</v>
      </c>
    </row>
    <row r="2454" spans="1:1" x14ac:dyDescent="0.3">
      <c r="A2454" t="s">
        <v>2461</v>
      </c>
    </row>
    <row r="2455" spans="1:1" x14ac:dyDescent="0.3">
      <c r="A2455" t="s">
        <v>2462</v>
      </c>
    </row>
    <row r="2456" spans="1:1" x14ac:dyDescent="0.3">
      <c r="A2456" t="s">
        <v>2463</v>
      </c>
    </row>
    <row r="2457" spans="1:1" x14ac:dyDescent="0.3">
      <c r="A2457" t="s">
        <v>2464</v>
      </c>
    </row>
    <row r="2458" spans="1:1" x14ac:dyDescent="0.3">
      <c r="A2458" t="s">
        <v>2465</v>
      </c>
    </row>
    <row r="2459" spans="1:1" x14ac:dyDescent="0.3">
      <c r="A2459" t="s">
        <v>2466</v>
      </c>
    </row>
    <row r="2460" spans="1:1" x14ac:dyDescent="0.3">
      <c r="A2460" t="s">
        <v>2467</v>
      </c>
    </row>
    <row r="2461" spans="1:1" x14ac:dyDescent="0.3">
      <c r="A2461" t="s">
        <v>2468</v>
      </c>
    </row>
    <row r="2462" spans="1:1" x14ac:dyDescent="0.3">
      <c r="A2462" t="s">
        <v>2469</v>
      </c>
    </row>
    <row r="2463" spans="1:1" x14ac:dyDescent="0.3">
      <c r="A2463" t="s">
        <v>2470</v>
      </c>
    </row>
    <row r="2464" spans="1:1" x14ac:dyDescent="0.3">
      <c r="A2464" t="s">
        <v>2471</v>
      </c>
    </row>
    <row r="2465" spans="1:1" x14ac:dyDescent="0.3">
      <c r="A2465" t="s">
        <v>2472</v>
      </c>
    </row>
    <row r="2466" spans="1:1" x14ac:dyDescent="0.3">
      <c r="A2466" t="s">
        <v>2473</v>
      </c>
    </row>
    <row r="2467" spans="1:1" x14ac:dyDescent="0.3">
      <c r="A2467" t="s">
        <v>2474</v>
      </c>
    </row>
    <row r="2468" spans="1:1" x14ac:dyDescent="0.3">
      <c r="A2468" t="s">
        <v>2475</v>
      </c>
    </row>
    <row r="2469" spans="1:1" x14ac:dyDescent="0.3">
      <c r="A2469" t="s">
        <v>2476</v>
      </c>
    </row>
    <row r="2470" spans="1:1" x14ac:dyDescent="0.3">
      <c r="A2470" t="s">
        <v>2477</v>
      </c>
    </row>
    <row r="2471" spans="1:1" x14ac:dyDescent="0.3">
      <c r="A2471" t="s">
        <v>2478</v>
      </c>
    </row>
    <row r="2472" spans="1:1" x14ac:dyDescent="0.3">
      <c r="A2472" t="s">
        <v>2479</v>
      </c>
    </row>
    <row r="2473" spans="1:1" x14ac:dyDescent="0.3">
      <c r="A2473" t="s">
        <v>2480</v>
      </c>
    </row>
    <row r="2474" spans="1:1" x14ac:dyDescent="0.3">
      <c r="A2474" t="s">
        <v>2481</v>
      </c>
    </row>
    <row r="2475" spans="1:1" x14ac:dyDescent="0.3">
      <c r="A2475" t="s">
        <v>2482</v>
      </c>
    </row>
    <row r="2476" spans="1:1" x14ac:dyDescent="0.3">
      <c r="A2476" t="s">
        <v>2483</v>
      </c>
    </row>
    <row r="2477" spans="1:1" x14ac:dyDescent="0.3">
      <c r="A2477" t="s">
        <v>2484</v>
      </c>
    </row>
    <row r="2478" spans="1:1" x14ac:dyDescent="0.3">
      <c r="A2478" t="s">
        <v>2485</v>
      </c>
    </row>
    <row r="2479" spans="1:1" x14ac:dyDescent="0.3">
      <c r="A2479" t="s">
        <v>2486</v>
      </c>
    </row>
    <row r="2480" spans="1:1" x14ac:dyDescent="0.3">
      <c r="A2480" t="s">
        <v>2487</v>
      </c>
    </row>
    <row r="2481" spans="1:1" x14ac:dyDescent="0.3">
      <c r="A2481" t="s">
        <v>2488</v>
      </c>
    </row>
    <row r="2482" spans="1:1" x14ac:dyDescent="0.3">
      <c r="A2482" t="s">
        <v>2489</v>
      </c>
    </row>
    <row r="2483" spans="1:1" x14ac:dyDescent="0.3">
      <c r="A2483" t="s">
        <v>2490</v>
      </c>
    </row>
    <row r="2484" spans="1:1" x14ac:dyDescent="0.3">
      <c r="A2484" t="s">
        <v>2491</v>
      </c>
    </row>
    <row r="2485" spans="1:1" x14ac:dyDescent="0.3">
      <c r="A2485" t="s">
        <v>2492</v>
      </c>
    </row>
    <row r="2486" spans="1:1" x14ac:dyDescent="0.3">
      <c r="A2486" t="s">
        <v>2493</v>
      </c>
    </row>
    <row r="2487" spans="1:1" x14ac:dyDescent="0.3">
      <c r="A2487" t="s">
        <v>2494</v>
      </c>
    </row>
    <row r="2488" spans="1:1" x14ac:dyDescent="0.3">
      <c r="A2488" t="s">
        <v>2495</v>
      </c>
    </row>
    <row r="2489" spans="1:1" x14ac:dyDescent="0.3">
      <c r="A2489" t="s">
        <v>2496</v>
      </c>
    </row>
    <row r="2490" spans="1:1" x14ac:dyDescent="0.3">
      <c r="A2490" t="s">
        <v>2497</v>
      </c>
    </row>
    <row r="2491" spans="1:1" x14ac:dyDescent="0.3">
      <c r="A2491" t="s">
        <v>2498</v>
      </c>
    </row>
    <row r="2492" spans="1:1" x14ac:dyDescent="0.3">
      <c r="A2492" t="s">
        <v>2499</v>
      </c>
    </row>
    <row r="2493" spans="1:1" x14ac:dyDescent="0.3">
      <c r="A2493" t="s">
        <v>2500</v>
      </c>
    </row>
    <row r="2494" spans="1:1" x14ac:dyDescent="0.3">
      <c r="A2494" t="s">
        <v>2501</v>
      </c>
    </row>
    <row r="2495" spans="1:1" x14ac:dyDescent="0.3">
      <c r="A2495" t="s">
        <v>2502</v>
      </c>
    </row>
    <row r="2496" spans="1:1" x14ac:dyDescent="0.3">
      <c r="A2496" t="s">
        <v>2503</v>
      </c>
    </row>
    <row r="2497" spans="1:1" x14ac:dyDescent="0.3">
      <c r="A2497" t="s">
        <v>2504</v>
      </c>
    </row>
    <row r="2498" spans="1:1" x14ac:dyDescent="0.3">
      <c r="A2498" t="s">
        <v>2505</v>
      </c>
    </row>
    <row r="2499" spans="1:1" x14ac:dyDescent="0.3">
      <c r="A2499" t="s">
        <v>2506</v>
      </c>
    </row>
    <row r="2500" spans="1:1" x14ac:dyDescent="0.3">
      <c r="A2500" t="s">
        <v>2507</v>
      </c>
    </row>
    <row r="2501" spans="1:1" x14ac:dyDescent="0.3">
      <c r="A2501" t="s">
        <v>2508</v>
      </c>
    </row>
    <row r="2502" spans="1:1" x14ac:dyDescent="0.3">
      <c r="A2502" t="s">
        <v>2509</v>
      </c>
    </row>
    <row r="2503" spans="1:1" x14ac:dyDescent="0.3">
      <c r="A2503" t="s">
        <v>2510</v>
      </c>
    </row>
    <row r="2504" spans="1:1" x14ac:dyDescent="0.3">
      <c r="A2504" t="s">
        <v>2511</v>
      </c>
    </row>
    <row r="2505" spans="1:1" x14ac:dyDescent="0.3">
      <c r="A2505" t="s">
        <v>2512</v>
      </c>
    </row>
    <row r="2506" spans="1:1" x14ac:dyDescent="0.3">
      <c r="A2506" t="s">
        <v>2513</v>
      </c>
    </row>
    <row r="2507" spans="1:1" x14ac:dyDescent="0.3">
      <c r="A2507" t="s">
        <v>2514</v>
      </c>
    </row>
    <row r="2508" spans="1:1" x14ac:dyDescent="0.3">
      <c r="A2508" t="s">
        <v>2515</v>
      </c>
    </row>
    <row r="2509" spans="1:1" x14ac:dyDescent="0.3">
      <c r="A2509" t="s">
        <v>2516</v>
      </c>
    </row>
    <row r="2510" spans="1:1" x14ac:dyDescent="0.3">
      <c r="A2510" t="s">
        <v>2517</v>
      </c>
    </row>
    <row r="2511" spans="1:1" x14ac:dyDescent="0.3">
      <c r="A2511" t="s">
        <v>2518</v>
      </c>
    </row>
    <row r="2512" spans="1:1" x14ac:dyDescent="0.3">
      <c r="A2512" t="s">
        <v>2519</v>
      </c>
    </row>
    <row r="2513" spans="1:1" x14ac:dyDescent="0.3">
      <c r="A2513" t="s">
        <v>2520</v>
      </c>
    </row>
    <row r="2514" spans="1:1" x14ac:dyDescent="0.3">
      <c r="A2514" t="s">
        <v>2521</v>
      </c>
    </row>
    <row r="2515" spans="1:1" x14ac:dyDescent="0.3">
      <c r="A2515" t="s">
        <v>2522</v>
      </c>
    </row>
    <row r="2516" spans="1:1" x14ac:dyDescent="0.3">
      <c r="A2516" t="s">
        <v>2523</v>
      </c>
    </row>
    <row r="2517" spans="1:1" x14ac:dyDescent="0.3">
      <c r="A2517" t="s">
        <v>2524</v>
      </c>
    </row>
    <row r="2518" spans="1:1" x14ac:dyDescent="0.3">
      <c r="A2518" t="s">
        <v>2525</v>
      </c>
    </row>
    <row r="2519" spans="1:1" x14ac:dyDescent="0.3">
      <c r="A2519" t="s">
        <v>2526</v>
      </c>
    </row>
    <row r="2520" spans="1:1" x14ac:dyDescent="0.3">
      <c r="A2520" t="s">
        <v>2527</v>
      </c>
    </row>
    <row r="2521" spans="1:1" x14ac:dyDescent="0.3">
      <c r="A2521" t="s">
        <v>2528</v>
      </c>
    </row>
    <row r="2522" spans="1:1" x14ac:dyDescent="0.3">
      <c r="A2522" t="s">
        <v>2529</v>
      </c>
    </row>
    <row r="2523" spans="1:1" x14ac:dyDescent="0.3">
      <c r="A2523" t="s">
        <v>2530</v>
      </c>
    </row>
    <row r="2524" spans="1:1" x14ac:dyDescent="0.3">
      <c r="A2524" t="s">
        <v>2531</v>
      </c>
    </row>
    <row r="2525" spans="1:1" x14ac:dyDescent="0.3">
      <c r="A2525" t="s">
        <v>2532</v>
      </c>
    </row>
    <row r="2526" spans="1:1" x14ac:dyDescent="0.3">
      <c r="A2526" t="s">
        <v>2533</v>
      </c>
    </row>
    <row r="2527" spans="1:1" x14ac:dyDescent="0.3">
      <c r="A2527" t="s">
        <v>2534</v>
      </c>
    </row>
    <row r="2528" spans="1:1" x14ac:dyDescent="0.3">
      <c r="A2528" t="s">
        <v>2535</v>
      </c>
    </row>
    <row r="2529" spans="1:1" x14ac:dyDescent="0.3">
      <c r="A2529" t="s">
        <v>2536</v>
      </c>
    </row>
    <row r="2530" spans="1:1" x14ac:dyDescent="0.3">
      <c r="A2530" t="s">
        <v>2537</v>
      </c>
    </row>
    <row r="2531" spans="1:1" x14ac:dyDescent="0.3">
      <c r="A2531" t="s">
        <v>2538</v>
      </c>
    </row>
    <row r="2532" spans="1:1" x14ac:dyDescent="0.3">
      <c r="A2532" t="s">
        <v>2539</v>
      </c>
    </row>
    <row r="2533" spans="1:1" x14ac:dyDescent="0.3">
      <c r="A2533" t="s">
        <v>2540</v>
      </c>
    </row>
    <row r="2534" spans="1:1" x14ac:dyDescent="0.3">
      <c r="A2534" t="s">
        <v>2541</v>
      </c>
    </row>
    <row r="2535" spans="1:1" x14ac:dyDescent="0.3">
      <c r="A2535" t="s">
        <v>2542</v>
      </c>
    </row>
    <row r="2536" spans="1:1" x14ac:dyDescent="0.3">
      <c r="A2536" t="s">
        <v>2543</v>
      </c>
    </row>
    <row r="2537" spans="1:1" x14ac:dyDescent="0.3">
      <c r="A2537" t="s">
        <v>2544</v>
      </c>
    </row>
    <row r="2538" spans="1:1" x14ac:dyDescent="0.3">
      <c r="A2538" t="s">
        <v>2545</v>
      </c>
    </row>
    <row r="2539" spans="1:1" x14ac:dyDescent="0.3">
      <c r="A2539" t="s">
        <v>2546</v>
      </c>
    </row>
    <row r="2540" spans="1:1" x14ac:dyDescent="0.3">
      <c r="A2540" t="s">
        <v>2547</v>
      </c>
    </row>
    <row r="2541" spans="1:1" x14ac:dyDescent="0.3">
      <c r="A2541" t="s">
        <v>2548</v>
      </c>
    </row>
    <row r="2542" spans="1:1" x14ac:dyDescent="0.3">
      <c r="A2542" t="s">
        <v>2549</v>
      </c>
    </row>
    <row r="2543" spans="1:1" x14ac:dyDescent="0.3">
      <c r="A2543" t="s">
        <v>2550</v>
      </c>
    </row>
    <row r="2544" spans="1:1" x14ac:dyDescent="0.3">
      <c r="A2544" t="s">
        <v>2551</v>
      </c>
    </row>
    <row r="2545" spans="1:1" x14ac:dyDescent="0.3">
      <c r="A2545" t="s">
        <v>2552</v>
      </c>
    </row>
    <row r="2546" spans="1:1" x14ac:dyDescent="0.3">
      <c r="A2546" t="s">
        <v>2553</v>
      </c>
    </row>
    <row r="2547" spans="1:1" x14ac:dyDescent="0.3">
      <c r="A2547" t="s">
        <v>2554</v>
      </c>
    </row>
    <row r="2548" spans="1:1" x14ac:dyDescent="0.3">
      <c r="A2548" t="s">
        <v>2555</v>
      </c>
    </row>
    <row r="2549" spans="1:1" x14ac:dyDescent="0.3">
      <c r="A2549" t="s">
        <v>2556</v>
      </c>
    </row>
    <row r="2550" spans="1:1" x14ac:dyDescent="0.3">
      <c r="A2550" t="s">
        <v>2557</v>
      </c>
    </row>
    <row r="2551" spans="1:1" x14ac:dyDescent="0.3">
      <c r="A2551" t="s">
        <v>2558</v>
      </c>
    </row>
    <row r="2552" spans="1:1" x14ac:dyDescent="0.3">
      <c r="A2552" t="s">
        <v>2559</v>
      </c>
    </row>
    <row r="2553" spans="1:1" x14ac:dyDescent="0.3">
      <c r="A2553" t="s">
        <v>2560</v>
      </c>
    </row>
    <row r="2554" spans="1:1" x14ac:dyDescent="0.3">
      <c r="A2554" t="s">
        <v>2561</v>
      </c>
    </row>
    <row r="2555" spans="1:1" x14ac:dyDescent="0.3">
      <c r="A2555" t="s">
        <v>2562</v>
      </c>
    </row>
    <row r="2556" spans="1:1" x14ac:dyDescent="0.3">
      <c r="A2556" t="s">
        <v>2563</v>
      </c>
    </row>
    <row r="2557" spans="1:1" x14ac:dyDescent="0.3">
      <c r="A2557" t="s">
        <v>2564</v>
      </c>
    </row>
    <row r="2558" spans="1:1" x14ac:dyDescent="0.3">
      <c r="A2558" t="s">
        <v>2565</v>
      </c>
    </row>
    <row r="2559" spans="1:1" x14ac:dyDescent="0.3">
      <c r="A2559" t="s">
        <v>2566</v>
      </c>
    </row>
    <row r="2560" spans="1:1" x14ac:dyDescent="0.3">
      <c r="A2560" t="s">
        <v>2567</v>
      </c>
    </row>
    <row r="2561" spans="1:2" x14ac:dyDescent="0.3">
      <c r="A2561" t="s">
        <v>2568</v>
      </c>
    </row>
    <row r="2562" spans="1:2" x14ac:dyDescent="0.3">
      <c r="A2562" t="s">
        <v>2569</v>
      </c>
    </row>
    <row r="2563" spans="1:2" x14ac:dyDescent="0.3">
      <c r="A2563" t="s">
        <v>2570</v>
      </c>
    </row>
    <row r="2564" spans="1:2" x14ac:dyDescent="0.3">
      <c r="A2564" t="s">
        <v>2571</v>
      </c>
    </row>
    <row r="2565" spans="1:2" x14ac:dyDescent="0.3">
      <c r="A2565" t="s">
        <v>2572</v>
      </c>
    </row>
    <row r="2566" spans="1:2" x14ac:dyDescent="0.3">
      <c r="A2566" t="s">
        <v>2573</v>
      </c>
    </row>
    <row r="2567" spans="1:2" x14ac:dyDescent="0.3">
      <c r="A2567" t="s">
        <v>2574</v>
      </c>
      <c r="B2567" t="s">
        <v>2575</v>
      </c>
    </row>
    <row r="2568" spans="1:2" x14ac:dyDescent="0.3">
      <c r="A2568" t="s">
        <v>2576</v>
      </c>
    </row>
    <row r="2569" spans="1:2" x14ac:dyDescent="0.3">
      <c r="A2569" t="s">
        <v>2577</v>
      </c>
    </row>
    <row r="2570" spans="1:2" x14ac:dyDescent="0.3">
      <c r="A2570" t="s">
        <v>2578</v>
      </c>
    </row>
    <row r="2571" spans="1:2" x14ac:dyDescent="0.3">
      <c r="A2571" t="s">
        <v>2579</v>
      </c>
    </row>
    <row r="2572" spans="1:2" x14ac:dyDescent="0.3">
      <c r="A2572" t="s">
        <v>2580</v>
      </c>
    </row>
    <row r="2573" spans="1:2" x14ac:dyDescent="0.3">
      <c r="A2573" t="s">
        <v>2581</v>
      </c>
    </row>
    <row r="2574" spans="1:2" x14ac:dyDescent="0.3">
      <c r="A2574" t="s">
        <v>2582</v>
      </c>
    </row>
    <row r="2575" spans="1:2" x14ac:dyDescent="0.3">
      <c r="A2575" t="s">
        <v>2583</v>
      </c>
    </row>
    <row r="2576" spans="1:2" x14ac:dyDescent="0.3">
      <c r="A2576" t="s">
        <v>2584</v>
      </c>
    </row>
    <row r="2577" spans="1:1" x14ac:dyDescent="0.3">
      <c r="A2577" t="s">
        <v>2585</v>
      </c>
    </row>
    <row r="2578" spans="1:1" x14ac:dyDescent="0.3">
      <c r="A2578" t="s">
        <v>2586</v>
      </c>
    </row>
    <row r="2579" spans="1:1" x14ac:dyDescent="0.3">
      <c r="A2579" t="s">
        <v>2587</v>
      </c>
    </row>
    <row r="2580" spans="1:1" x14ac:dyDescent="0.3">
      <c r="A2580" t="s">
        <v>2588</v>
      </c>
    </row>
    <row r="2581" spans="1:1" x14ac:dyDescent="0.3">
      <c r="A2581" t="s">
        <v>2589</v>
      </c>
    </row>
    <row r="2582" spans="1:1" x14ac:dyDescent="0.3">
      <c r="A2582" t="s">
        <v>2590</v>
      </c>
    </row>
    <row r="2583" spans="1:1" x14ac:dyDescent="0.3">
      <c r="A2583" t="s">
        <v>2591</v>
      </c>
    </row>
    <row r="2584" spans="1:1" x14ac:dyDescent="0.3">
      <c r="A2584" t="s">
        <v>2592</v>
      </c>
    </row>
    <row r="2585" spans="1:1" x14ac:dyDescent="0.3">
      <c r="A2585" t="s">
        <v>2593</v>
      </c>
    </row>
    <row r="2586" spans="1:1" x14ac:dyDescent="0.3">
      <c r="A2586" t="s">
        <v>2594</v>
      </c>
    </row>
    <row r="2587" spans="1:1" x14ac:dyDescent="0.3">
      <c r="A2587" t="s">
        <v>2595</v>
      </c>
    </row>
    <row r="2588" spans="1:1" x14ac:dyDescent="0.3">
      <c r="A2588" t="s">
        <v>2596</v>
      </c>
    </row>
    <row r="2589" spans="1:1" x14ac:dyDescent="0.3">
      <c r="A2589" t="s">
        <v>2597</v>
      </c>
    </row>
    <row r="2590" spans="1:1" x14ac:dyDescent="0.3">
      <c r="A2590" t="s">
        <v>2598</v>
      </c>
    </row>
    <row r="2591" spans="1:1" x14ac:dyDescent="0.3">
      <c r="A2591" t="s">
        <v>2599</v>
      </c>
    </row>
    <row r="2592" spans="1:1" x14ac:dyDescent="0.3">
      <c r="A2592" t="s">
        <v>2600</v>
      </c>
    </row>
    <row r="2593" spans="1:1" x14ac:dyDescent="0.3">
      <c r="A2593" t="s">
        <v>2601</v>
      </c>
    </row>
    <row r="2594" spans="1:1" x14ac:dyDescent="0.3">
      <c r="A2594" t="s">
        <v>2602</v>
      </c>
    </row>
    <row r="2595" spans="1:1" x14ac:dyDescent="0.3">
      <c r="A2595" t="s">
        <v>2603</v>
      </c>
    </row>
    <row r="2596" spans="1:1" x14ac:dyDescent="0.3">
      <c r="A2596" t="s">
        <v>2604</v>
      </c>
    </row>
    <row r="2597" spans="1:1" x14ac:dyDescent="0.3">
      <c r="A2597" t="s">
        <v>2605</v>
      </c>
    </row>
    <row r="2598" spans="1:1" x14ac:dyDescent="0.3">
      <c r="A2598" t="s">
        <v>2606</v>
      </c>
    </row>
    <row r="2599" spans="1:1" x14ac:dyDescent="0.3">
      <c r="A2599" t="s">
        <v>2607</v>
      </c>
    </row>
    <row r="2600" spans="1:1" x14ac:dyDescent="0.3">
      <c r="A2600" t="s">
        <v>2608</v>
      </c>
    </row>
    <row r="2601" spans="1:1" x14ac:dyDescent="0.3">
      <c r="A2601" t="s">
        <v>2609</v>
      </c>
    </row>
    <row r="2602" spans="1:1" x14ac:dyDescent="0.3">
      <c r="A2602" t="s">
        <v>2610</v>
      </c>
    </row>
    <row r="2603" spans="1:1" x14ac:dyDescent="0.3">
      <c r="A2603" t="s">
        <v>2611</v>
      </c>
    </row>
    <row r="2604" spans="1:1" x14ac:dyDescent="0.3">
      <c r="A2604" t="s">
        <v>2612</v>
      </c>
    </row>
    <row r="2605" spans="1:1" x14ac:dyDescent="0.3">
      <c r="A2605" t="s">
        <v>2613</v>
      </c>
    </row>
    <row r="2606" spans="1:1" x14ac:dyDescent="0.3">
      <c r="A2606" t="s">
        <v>2614</v>
      </c>
    </row>
    <row r="2607" spans="1:1" x14ac:dyDescent="0.3">
      <c r="A2607" t="s">
        <v>2615</v>
      </c>
    </row>
    <row r="2608" spans="1:1" x14ac:dyDescent="0.3">
      <c r="A2608" t="s">
        <v>2616</v>
      </c>
    </row>
    <row r="2609" spans="1:1" x14ac:dyDescent="0.3">
      <c r="A2609" t="s">
        <v>2617</v>
      </c>
    </row>
    <row r="2610" spans="1:1" x14ac:dyDescent="0.3">
      <c r="A2610" t="s">
        <v>2618</v>
      </c>
    </row>
    <row r="2611" spans="1:1" x14ac:dyDescent="0.3">
      <c r="A2611" t="s">
        <v>2619</v>
      </c>
    </row>
    <row r="2612" spans="1:1" x14ac:dyDescent="0.3">
      <c r="A2612" t="s">
        <v>2620</v>
      </c>
    </row>
    <row r="2613" spans="1:1" x14ac:dyDescent="0.3">
      <c r="A2613" t="s">
        <v>2621</v>
      </c>
    </row>
    <row r="2614" spans="1:1" x14ac:dyDescent="0.3">
      <c r="A2614" t="s">
        <v>2622</v>
      </c>
    </row>
    <row r="2615" spans="1:1" x14ac:dyDescent="0.3">
      <c r="A2615" t="s">
        <v>2623</v>
      </c>
    </row>
    <row r="2616" spans="1:1" x14ac:dyDescent="0.3">
      <c r="A2616" t="s">
        <v>2624</v>
      </c>
    </row>
    <row r="2617" spans="1:1" x14ac:dyDescent="0.3">
      <c r="A2617" t="s">
        <v>2625</v>
      </c>
    </row>
    <row r="2618" spans="1:1" x14ac:dyDescent="0.3">
      <c r="A2618" t="s">
        <v>2626</v>
      </c>
    </row>
    <row r="2619" spans="1:1" x14ac:dyDescent="0.3">
      <c r="A2619" t="s">
        <v>2627</v>
      </c>
    </row>
    <row r="2620" spans="1:1" x14ac:dyDescent="0.3">
      <c r="A2620" t="s">
        <v>2628</v>
      </c>
    </row>
    <row r="2621" spans="1:1" x14ac:dyDescent="0.3">
      <c r="A2621" t="s">
        <v>2629</v>
      </c>
    </row>
    <row r="2622" spans="1:1" x14ac:dyDescent="0.3">
      <c r="A2622" t="s">
        <v>2630</v>
      </c>
    </row>
    <row r="2623" spans="1:1" x14ac:dyDescent="0.3">
      <c r="A2623" t="s">
        <v>2631</v>
      </c>
    </row>
    <row r="2624" spans="1:1" x14ac:dyDescent="0.3">
      <c r="A2624" t="s">
        <v>2632</v>
      </c>
    </row>
    <row r="2625" spans="1:1" x14ac:dyDescent="0.3">
      <c r="A2625" t="s">
        <v>2633</v>
      </c>
    </row>
    <row r="2626" spans="1:1" x14ac:dyDescent="0.3">
      <c r="A2626" t="s">
        <v>2634</v>
      </c>
    </row>
    <row r="2627" spans="1:1" x14ac:dyDescent="0.3">
      <c r="A2627" t="s">
        <v>2635</v>
      </c>
    </row>
    <row r="2628" spans="1:1" x14ac:dyDescent="0.3">
      <c r="A2628" t="s">
        <v>2636</v>
      </c>
    </row>
    <row r="2629" spans="1:1" x14ac:dyDescent="0.3">
      <c r="A2629" t="s">
        <v>2637</v>
      </c>
    </row>
    <row r="2630" spans="1:1" x14ac:dyDescent="0.3">
      <c r="A2630" t="s">
        <v>2638</v>
      </c>
    </row>
    <row r="2631" spans="1:1" x14ac:dyDescent="0.3">
      <c r="A2631" t="s">
        <v>2639</v>
      </c>
    </row>
    <row r="2632" spans="1:1" x14ac:dyDescent="0.3">
      <c r="A2632" t="s">
        <v>2640</v>
      </c>
    </row>
    <row r="2633" spans="1:1" x14ac:dyDescent="0.3">
      <c r="A2633" t="s">
        <v>2641</v>
      </c>
    </row>
    <row r="2634" spans="1:1" x14ac:dyDescent="0.3">
      <c r="A2634" t="s">
        <v>2642</v>
      </c>
    </row>
    <row r="2635" spans="1:1" x14ac:dyDescent="0.3">
      <c r="A2635" t="s">
        <v>2643</v>
      </c>
    </row>
    <row r="2636" spans="1:1" x14ac:dyDescent="0.3">
      <c r="A2636" t="s">
        <v>2644</v>
      </c>
    </row>
    <row r="2637" spans="1:1" x14ac:dyDescent="0.3">
      <c r="A2637" t="s">
        <v>2645</v>
      </c>
    </row>
    <row r="2638" spans="1:1" x14ac:dyDescent="0.3">
      <c r="A2638" t="s">
        <v>2646</v>
      </c>
    </row>
    <row r="2639" spans="1:1" x14ac:dyDescent="0.3">
      <c r="A2639" t="s">
        <v>2647</v>
      </c>
    </row>
    <row r="2640" spans="1:1" x14ac:dyDescent="0.3">
      <c r="A2640" t="s">
        <v>2648</v>
      </c>
    </row>
    <row r="2641" spans="1:1" x14ac:dyDescent="0.3">
      <c r="A2641" t="s">
        <v>2649</v>
      </c>
    </row>
    <row r="2642" spans="1:1" x14ac:dyDescent="0.3">
      <c r="A2642" t="s">
        <v>2650</v>
      </c>
    </row>
    <row r="2643" spans="1:1" x14ac:dyDescent="0.3">
      <c r="A2643" t="s">
        <v>2651</v>
      </c>
    </row>
    <row r="2644" spans="1:1" x14ac:dyDescent="0.3">
      <c r="A2644" t="s">
        <v>2652</v>
      </c>
    </row>
    <row r="2645" spans="1:1" x14ac:dyDescent="0.3">
      <c r="A2645" t="s">
        <v>2653</v>
      </c>
    </row>
    <row r="2646" spans="1:1" x14ac:dyDescent="0.3">
      <c r="A2646" t="s">
        <v>2654</v>
      </c>
    </row>
    <row r="2647" spans="1:1" x14ac:dyDescent="0.3">
      <c r="A2647" t="s">
        <v>2655</v>
      </c>
    </row>
    <row r="2648" spans="1:1" x14ac:dyDescent="0.3">
      <c r="A2648" t="s">
        <v>2656</v>
      </c>
    </row>
    <row r="2649" spans="1:1" x14ac:dyDescent="0.3">
      <c r="A2649" t="s">
        <v>2657</v>
      </c>
    </row>
    <row r="2650" spans="1:1" x14ac:dyDescent="0.3">
      <c r="A2650" t="s">
        <v>2658</v>
      </c>
    </row>
    <row r="2651" spans="1:1" x14ac:dyDescent="0.3">
      <c r="A2651" t="s">
        <v>2659</v>
      </c>
    </row>
    <row r="2652" spans="1:1" x14ac:dyDescent="0.3">
      <c r="A2652" t="s">
        <v>2660</v>
      </c>
    </row>
    <row r="2653" spans="1:1" x14ac:dyDescent="0.3">
      <c r="A2653" t="s">
        <v>2661</v>
      </c>
    </row>
    <row r="2654" spans="1:1" x14ac:dyDescent="0.3">
      <c r="A2654" t="s">
        <v>2662</v>
      </c>
    </row>
    <row r="2655" spans="1:1" x14ac:dyDescent="0.3">
      <c r="A2655" t="s">
        <v>2663</v>
      </c>
    </row>
    <row r="2656" spans="1:1" x14ac:dyDescent="0.3">
      <c r="A2656" t="s">
        <v>2664</v>
      </c>
    </row>
    <row r="2657" spans="1:1" x14ac:dyDescent="0.3">
      <c r="A2657" t="s">
        <v>2665</v>
      </c>
    </row>
    <row r="2658" spans="1:1" x14ac:dyDescent="0.3">
      <c r="A2658" t="s">
        <v>2666</v>
      </c>
    </row>
    <row r="2659" spans="1:1" x14ac:dyDescent="0.3">
      <c r="A2659" t="s">
        <v>2667</v>
      </c>
    </row>
    <row r="2660" spans="1:1" x14ac:dyDescent="0.3">
      <c r="A2660" t="s">
        <v>2668</v>
      </c>
    </row>
    <row r="2661" spans="1:1" x14ac:dyDescent="0.3">
      <c r="A2661" t="s">
        <v>2669</v>
      </c>
    </row>
    <row r="2662" spans="1:1" x14ac:dyDescent="0.3">
      <c r="A2662" t="s">
        <v>2670</v>
      </c>
    </row>
    <row r="2663" spans="1:1" x14ac:dyDescent="0.3">
      <c r="A2663" t="s">
        <v>2671</v>
      </c>
    </row>
    <row r="2664" spans="1:1" x14ac:dyDescent="0.3">
      <c r="A2664" t="s">
        <v>2672</v>
      </c>
    </row>
    <row r="2665" spans="1:1" x14ac:dyDescent="0.3">
      <c r="A2665" t="s">
        <v>2673</v>
      </c>
    </row>
    <row r="2666" spans="1:1" x14ac:dyDescent="0.3">
      <c r="A2666" t="s">
        <v>2674</v>
      </c>
    </row>
    <row r="2667" spans="1:1" x14ac:dyDescent="0.3">
      <c r="A2667" t="s">
        <v>2675</v>
      </c>
    </row>
    <row r="2668" spans="1:1" x14ac:dyDescent="0.3">
      <c r="A2668" t="s">
        <v>2676</v>
      </c>
    </row>
    <row r="2669" spans="1:1" x14ac:dyDescent="0.3">
      <c r="A2669" t="s">
        <v>2677</v>
      </c>
    </row>
    <row r="2670" spans="1:1" x14ac:dyDescent="0.3">
      <c r="A2670" t="s">
        <v>2678</v>
      </c>
    </row>
    <row r="2671" spans="1:1" x14ac:dyDescent="0.3">
      <c r="A2671" t="s">
        <v>2679</v>
      </c>
    </row>
    <row r="2672" spans="1:1" x14ac:dyDescent="0.3">
      <c r="A2672" t="s">
        <v>2680</v>
      </c>
    </row>
    <row r="2673" spans="1:1" x14ac:dyDescent="0.3">
      <c r="A2673" t="s">
        <v>2681</v>
      </c>
    </row>
    <row r="2674" spans="1:1" x14ac:dyDescent="0.3">
      <c r="A2674" t="s">
        <v>2682</v>
      </c>
    </row>
    <row r="2675" spans="1:1" x14ac:dyDescent="0.3">
      <c r="A2675" t="s">
        <v>2683</v>
      </c>
    </row>
    <row r="2676" spans="1:1" x14ac:dyDescent="0.3">
      <c r="A2676" t="s">
        <v>2684</v>
      </c>
    </row>
    <row r="2677" spans="1:1" x14ac:dyDescent="0.3">
      <c r="A2677" t="s">
        <v>2685</v>
      </c>
    </row>
    <row r="2678" spans="1:1" x14ac:dyDescent="0.3">
      <c r="A2678" t="s">
        <v>2686</v>
      </c>
    </row>
    <row r="2679" spans="1:1" x14ac:dyDescent="0.3">
      <c r="A2679" t="s">
        <v>2687</v>
      </c>
    </row>
    <row r="2680" spans="1:1" x14ac:dyDescent="0.3">
      <c r="A2680" t="s">
        <v>2688</v>
      </c>
    </row>
    <row r="2681" spans="1:1" x14ac:dyDescent="0.3">
      <c r="A2681" t="s">
        <v>2689</v>
      </c>
    </row>
    <row r="2682" spans="1:1" x14ac:dyDescent="0.3">
      <c r="A2682" t="s">
        <v>2690</v>
      </c>
    </row>
    <row r="2683" spans="1:1" x14ac:dyDescent="0.3">
      <c r="A2683" t="s">
        <v>2691</v>
      </c>
    </row>
    <row r="2684" spans="1:1" x14ac:dyDescent="0.3">
      <c r="A2684" t="s">
        <v>2692</v>
      </c>
    </row>
    <row r="2685" spans="1:1" x14ac:dyDescent="0.3">
      <c r="A2685" t="s">
        <v>2693</v>
      </c>
    </row>
    <row r="2686" spans="1:1" x14ac:dyDescent="0.3">
      <c r="A2686" t="s">
        <v>2694</v>
      </c>
    </row>
    <row r="2687" spans="1:1" x14ac:dyDescent="0.3">
      <c r="A2687" t="s">
        <v>2695</v>
      </c>
    </row>
    <row r="2688" spans="1:1" x14ac:dyDescent="0.3">
      <c r="A2688" t="s">
        <v>2696</v>
      </c>
    </row>
    <row r="2689" spans="1:1" x14ac:dyDescent="0.3">
      <c r="A2689" t="s">
        <v>2697</v>
      </c>
    </row>
    <row r="2690" spans="1:1" x14ac:dyDescent="0.3">
      <c r="A2690" t="s">
        <v>2698</v>
      </c>
    </row>
    <row r="2691" spans="1:1" x14ac:dyDescent="0.3">
      <c r="A2691" t="s">
        <v>2699</v>
      </c>
    </row>
    <row r="2692" spans="1:1" x14ac:dyDescent="0.3">
      <c r="A2692" t="s">
        <v>2700</v>
      </c>
    </row>
    <row r="2693" spans="1:1" x14ac:dyDescent="0.3">
      <c r="A2693" t="s">
        <v>2701</v>
      </c>
    </row>
    <row r="2694" spans="1:1" x14ac:dyDescent="0.3">
      <c r="A2694" t="s">
        <v>2702</v>
      </c>
    </row>
    <row r="2695" spans="1:1" x14ac:dyDescent="0.3">
      <c r="A2695" t="s">
        <v>2703</v>
      </c>
    </row>
    <row r="2696" spans="1:1" x14ac:dyDescent="0.3">
      <c r="A2696" t="s">
        <v>2704</v>
      </c>
    </row>
    <row r="2697" spans="1:1" x14ac:dyDescent="0.3">
      <c r="A2697" t="s">
        <v>2705</v>
      </c>
    </row>
    <row r="2698" spans="1:1" x14ac:dyDescent="0.3">
      <c r="A2698" t="s">
        <v>2706</v>
      </c>
    </row>
    <row r="2699" spans="1:1" x14ac:dyDescent="0.3">
      <c r="A2699" t="s">
        <v>2707</v>
      </c>
    </row>
    <row r="2700" spans="1:1" x14ac:dyDescent="0.3">
      <c r="A2700" t="s">
        <v>2708</v>
      </c>
    </row>
    <row r="2701" spans="1:1" x14ac:dyDescent="0.3">
      <c r="A2701" t="s">
        <v>2709</v>
      </c>
    </row>
    <row r="2702" spans="1:1" x14ac:dyDescent="0.3">
      <c r="A2702" t="s">
        <v>2710</v>
      </c>
    </row>
    <row r="2703" spans="1:1" x14ac:dyDescent="0.3">
      <c r="A2703" t="s">
        <v>2711</v>
      </c>
    </row>
    <row r="2704" spans="1:1" x14ac:dyDescent="0.3">
      <c r="A2704" t="s">
        <v>2712</v>
      </c>
    </row>
    <row r="2705" spans="1:1" x14ac:dyDescent="0.3">
      <c r="A2705" t="s">
        <v>2713</v>
      </c>
    </row>
    <row r="2706" spans="1:1" x14ac:dyDescent="0.3">
      <c r="A2706" t="s">
        <v>2714</v>
      </c>
    </row>
    <row r="2707" spans="1:1" x14ac:dyDescent="0.3">
      <c r="A2707" t="s">
        <v>2715</v>
      </c>
    </row>
    <row r="2708" spans="1:1" x14ac:dyDescent="0.3">
      <c r="A2708" t="s">
        <v>2716</v>
      </c>
    </row>
    <row r="2709" spans="1:1" x14ac:dyDescent="0.3">
      <c r="A2709" t="s">
        <v>2717</v>
      </c>
    </row>
    <row r="2710" spans="1:1" x14ac:dyDescent="0.3">
      <c r="A2710" t="s">
        <v>2718</v>
      </c>
    </row>
    <row r="2711" spans="1:1" x14ac:dyDescent="0.3">
      <c r="A2711" t="s">
        <v>2719</v>
      </c>
    </row>
    <row r="2712" spans="1:1" x14ac:dyDescent="0.3">
      <c r="A2712" t="s">
        <v>2720</v>
      </c>
    </row>
    <row r="2713" spans="1:1" x14ac:dyDescent="0.3">
      <c r="A2713" t="s">
        <v>2721</v>
      </c>
    </row>
    <row r="2714" spans="1:1" x14ac:dyDescent="0.3">
      <c r="A2714" t="s">
        <v>2722</v>
      </c>
    </row>
    <row r="2715" spans="1:1" x14ac:dyDescent="0.3">
      <c r="A2715" t="s">
        <v>2723</v>
      </c>
    </row>
    <row r="2716" spans="1:1" x14ac:dyDescent="0.3">
      <c r="A2716" t="s">
        <v>2724</v>
      </c>
    </row>
    <row r="2717" spans="1:1" x14ac:dyDescent="0.3">
      <c r="A2717" t="s">
        <v>2725</v>
      </c>
    </row>
    <row r="2718" spans="1:1" x14ac:dyDescent="0.3">
      <c r="A2718" t="s">
        <v>2726</v>
      </c>
    </row>
    <row r="2719" spans="1:1" x14ac:dyDescent="0.3">
      <c r="A2719" t="s">
        <v>2727</v>
      </c>
    </row>
    <row r="2720" spans="1:1" x14ac:dyDescent="0.3">
      <c r="A2720" t="s">
        <v>2728</v>
      </c>
    </row>
    <row r="2721" spans="1:1" x14ac:dyDescent="0.3">
      <c r="A2721" t="s">
        <v>2729</v>
      </c>
    </row>
    <row r="2722" spans="1:1" x14ac:dyDescent="0.3">
      <c r="A2722" t="s">
        <v>2730</v>
      </c>
    </row>
    <row r="2723" spans="1:1" x14ac:dyDescent="0.3">
      <c r="A2723" t="s">
        <v>2731</v>
      </c>
    </row>
    <row r="2724" spans="1:1" x14ac:dyDescent="0.3">
      <c r="A2724" t="s">
        <v>2732</v>
      </c>
    </row>
    <row r="2725" spans="1:1" x14ac:dyDescent="0.3">
      <c r="A2725" t="s">
        <v>2733</v>
      </c>
    </row>
    <row r="2726" spans="1:1" x14ac:dyDescent="0.3">
      <c r="A2726" t="s">
        <v>2734</v>
      </c>
    </row>
    <row r="2727" spans="1:1" x14ac:dyDescent="0.3">
      <c r="A2727" t="s">
        <v>2735</v>
      </c>
    </row>
    <row r="2728" spans="1:1" x14ac:dyDescent="0.3">
      <c r="A2728" t="s">
        <v>2736</v>
      </c>
    </row>
    <row r="2729" spans="1:1" x14ac:dyDescent="0.3">
      <c r="A2729" t="s">
        <v>2737</v>
      </c>
    </row>
    <row r="2730" spans="1:1" x14ac:dyDescent="0.3">
      <c r="A2730" t="s">
        <v>2738</v>
      </c>
    </row>
    <row r="2731" spans="1:1" x14ac:dyDescent="0.3">
      <c r="A2731" t="s">
        <v>2739</v>
      </c>
    </row>
    <row r="2732" spans="1:1" x14ac:dyDescent="0.3">
      <c r="A2732" t="s">
        <v>2740</v>
      </c>
    </row>
    <row r="2733" spans="1:1" x14ac:dyDescent="0.3">
      <c r="A2733" t="s">
        <v>2741</v>
      </c>
    </row>
    <row r="2734" spans="1:1" x14ac:dyDescent="0.3">
      <c r="A2734" t="s">
        <v>2742</v>
      </c>
    </row>
    <row r="2735" spans="1:1" x14ac:dyDescent="0.3">
      <c r="A2735" t="s">
        <v>2743</v>
      </c>
    </row>
    <row r="2736" spans="1:1" x14ac:dyDescent="0.3">
      <c r="A2736" t="s">
        <v>2744</v>
      </c>
    </row>
    <row r="2737" spans="1:1" x14ac:dyDescent="0.3">
      <c r="A2737" t="s">
        <v>2745</v>
      </c>
    </row>
    <row r="2738" spans="1:1" x14ac:dyDescent="0.3">
      <c r="A2738" t="s">
        <v>2746</v>
      </c>
    </row>
    <row r="2739" spans="1:1" x14ac:dyDescent="0.3">
      <c r="A2739" t="s">
        <v>2747</v>
      </c>
    </row>
    <row r="2740" spans="1:1" x14ac:dyDescent="0.3">
      <c r="A2740" t="s">
        <v>2748</v>
      </c>
    </row>
    <row r="2741" spans="1:1" x14ac:dyDescent="0.3">
      <c r="A2741" t="s">
        <v>2749</v>
      </c>
    </row>
    <row r="2742" spans="1:1" x14ac:dyDescent="0.3">
      <c r="A2742" t="s">
        <v>2750</v>
      </c>
    </row>
    <row r="2743" spans="1:1" x14ac:dyDescent="0.3">
      <c r="A2743" t="s">
        <v>2751</v>
      </c>
    </row>
    <row r="2744" spans="1:1" x14ac:dyDescent="0.3">
      <c r="A2744" t="s">
        <v>2752</v>
      </c>
    </row>
    <row r="2745" spans="1:1" x14ac:dyDescent="0.3">
      <c r="A2745" t="s">
        <v>2753</v>
      </c>
    </row>
    <row r="2746" spans="1:1" x14ac:dyDescent="0.3">
      <c r="A2746" t="s">
        <v>2754</v>
      </c>
    </row>
    <row r="2747" spans="1:1" x14ac:dyDescent="0.3">
      <c r="A2747" t="s">
        <v>2755</v>
      </c>
    </row>
    <row r="2748" spans="1:1" x14ac:dyDescent="0.3">
      <c r="A2748" t="s">
        <v>2756</v>
      </c>
    </row>
    <row r="2749" spans="1:1" x14ac:dyDescent="0.3">
      <c r="A2749" t="s">
        <v>2757</v>
      </c>
    </row>
    <row r="2750" spans="1:1" x14ac:dyDescent="0.3">
      <c r="A2750" t="s">
        <v>2758</v>
      </c>
    </row>
    <row r="2751" spans="1:1" x14ac:dyDescent="0.3">
      <c r="A2751" t="s">
        <v>2759</v>
      </c>
    </row>
    <row r="2752" spans="1:1" x14ac:dyDescent="0.3">
      <c r="A2752" t="s">
        <v>2760</v>
      </c>
    </row>
    <row r="2753" spans="1:1" x14ac:dyDescent="0.3">
      <c r="A2753" t="s">
        <v>2761</v>
      </c>
    </row>
    <row r="2754" spans="1:1" x14ac:dyDescent="0.3">
      <c r="A2754" t="s">
        <v>2762</v>
      </c>
    </row>
    <row r="2755" spans="1:1" x14ac:dyDescent="0.3">
      <c r="A2755" t="s">
        <v>2763</v>
      </c>
    </row>
    <row r="2756" spans="1:1" x14ac:dyDescent="0.3">
      <c r="A2756" t="s">
        <v>2764</v>
      </c>
    </row>
    <row r="2757" spans="1:1" x14ac:dyDescent="0.3">
      <c r="A2757" t="s">
        <v>2765</v>
      </c>
    </row>
    <row r="2758" spans="1:1" x14ac:dyDescent="0.3">
      <c r="A2758" t="s">
        <v>2766</v>
      </c>
    </row>
    <row r="2759" spans="1:1" x14ac:dyDescent="0.3">
      <c r="A2759" t="s">
        <v>2767</v>
      </c>
    </row>
    <row r="2760" spans="1:1" x14ac:dyDescent="0.3">
      <c r="A2760" t="s">
        <v>2768</v>
      </c>
    </row>
    <row r="2761" spans="1:1" x14ac:dyDescent="0.3">
      <c r="A2761" t="s">
        <v>2769</v>
      </c>
    </row>
    <row r="2762" spans="1:1" x14ac:dyDescent="0.3">
      <c r="A2762" t="s">
        <v>2770</v>
      </c>
    </row>
    <row r="2763" spans="1:1" x14ac:dyDescent="0.3">
      <c r="A2763" t="s">
        <v>2771</v>
      </c>
    </row>
    <row r="2764" spans="1:1" x14ac:dyDescent="0.3">
      <c r="A2764" t="s">
        <v>2772</v>
      </c>
    </row>
    <row r="2765" spans="1:1" x14ac:dyDescent="0.3">
      <c r="A2765" t="s">
        <v>2773</v>
      </c>
    </row>
    <row r="2766" spans="1:1" x14ac:dyDescent="0.3">
      <c r="A2766" t="s">
        <v>2774</v>
      </c>
    </row>
    <row r="2767" spans="1:1" x14ac:dyDescent="0.3">
      <c r="A2767" t="s">
        <v>2775</v>
      </c>
    </row>
    <row r="2768" spans="1:1" x14ac:dyDescent="0.3">
      <c r="A2768" t="s">
        <v>2776</v>
      </c>
    </row>
    <row r="2769" spans="1:1" x14ac:dyDescent="0.3">
      <c r="A2769" t="s">
        <v>2777</v>
      </c>
    </row>
    <row r="2770" spans="1:1" x14ac:dyDescent="0.3">
      <c r="A2770" t="s">
        <v>2778</v>
      </c>
    </row>
    <row r="2771" spans="1:1" x14ac:dyDescent="0.3">
      <c r="A2771" t="s">
        <v>2779</v>
      </c>
    </row>
    <row r="2772" spans="1:1" x14ac:dyDescent="0.3">
      <c r="A2772" t="s">
        <v>2780</v>
      </c>
    </row>
    <row r="2773" spans="1:1" x14ac:dyDescent="0.3">
      <c r="A2773" t="s">
        <v>2781</v>
      </c>
    </row>
    <row r="2774" spans="1:1" x14ac:dyDescent="0.3">
      <c r="A2774" t="s">
        <v>2782</v>
      </c>
    </row>
    <row r="2775" spans="1:1" x14ac:dyDescent="0.3">
      <c r="A2775" t="s">
        <v>2783</v>
      </c>
    </row>
    <row r="2776" spans="1:1" x14ac:dyDescent="0.3">
      <c r="A2776" t="s">
        <v>2784</v>
      </c>
    </row>
    <row r="2777" spans="1:1" x14ac:dyDescent="0.3">
      <c r="A2777" t="s">
        <v>2785</v>
      </c>
    </row>
    <row r="2778" spans="1:1" x14ac:dyDescent="0.3">
      <c r="A2778" t="s">
        <v>2786</v>
      </c>
    </row>
    <row r="2779" spans="1:1" x14ac:dyDescent="0.3">
      <c r="A2779" t="s">
        <v>2787</v>
      </c>
    </row>
    <row r="2780" spans="1:1" x14ac:dyDescent="0.3">
      <c r="A2780" t="s">
        <v>2788</v>
      </c>
    </row>
    <row r="2781" spans="1:1" x14ac:dyDescent="0.3">
      <c r="A2781" t="s">
        <v>2789</v>
      </c>
    </row>
    <row r="2782" spans="1:1" x14ac:dyDescent="0.3">
      <c r="A2782" t="s">
        <v>2790</v>
      </c>
    </row>
    <row r="2783" spans="1:1" x14ac:dyDescent="0.3">
      <c r="A2783" t="s">
        <v>2791</v>
      </c>
    </row>
    <row r="2784" spans="1:1" x14ac:dyDescent="0.3">
      <c r="A2784" t="s">
        <v>2792</v>
      </c>
    </row>
    <row r="2785" spans="1:1" x14ac:dyDescent="0.3">
      <c r="A2785" t="s">
        <v>2793</v>
      </c>
    </row>
    <row r="2786" spans="1:1" x14ac:dyDescent="0.3">
      <c r="A2786" t="s">
        <v>2794</v>
      </c>
    </row>
    <row r="2787" spans="1:1" x14ac:dyDescent="0.3">
      <c r="A2787" t="s">
        <v>2795</v>
      </c>
    </row>
    <row r="2788" spans="1:1" x14ac:dyDescent="0.3">
      <c r="A2788" t="s">
        <v>2796</v>
      </c>
    </row>
    <row r="2789" spans="1:1" x14ac:dyDescent="0.3">
      <c r="A2789" t="s">
        <v>2797</v>
      </c>
    </row>
    <row r="2790" spans="1:1" x14ac:dyDescent="0.3">
      <c r="A2790" t="s">
        <v>2798</v>
      </c>
    </row>
    <row r="2791" spans="1:1" x14ac:dyDescent="0.3">
      <c r="A2791" t="s">
        <v>2799</v>
      </c>
    </row>
    <row r="2792" spans="1:1" x14ac:dyDescent="0.3">
      <c r="A2792" t="s">
        <v>2800</v>
      </c>
    </row>
    <row r="2793" spans="1:1" x14ac:dyDescent="0.3">
      <c r="A2793" t="s">
        <v>2801</v>
      </c>
    </row>
    <row r="2794" spans="1:1" x14ac:dyDescent="0.3">
      <c r="A2794" t="s">
        <v>2802</v>
      </c>
    </row>
    <row r="2795" spans="1:1" x14ac:dyDescent="0.3">
      <c r="A2795" t="s">
        <v>2803</v>
      </c>
    </row>
    <row r="2796" spans="1:1" x14ac:dyDescent="0.3">
      <c r="A2796" t="s">
        <v>2804</v>
      </c>
    </row>
    <row r="2797" spans="1:1" x14ac:dyDescent="0.3">
      <c r="A2797" t="s">
        <v>2805</v>
      </c>
    </row>
    <row r="2798" spans="1:1" x14ac:dyDescent="0.3">
      <c r="A2798" t="s">
        <v>2806</v>
      </c>
    </row>
    <row r="2799" spans="1:1" x14ac:dyDescent="0.3">
      <c r="A2799" t="s">
        <v>2807</v>
      </c>
    </row>
    <row r="2800" spans="1:1" x14ac:dyDescent="0.3">
      <c r="A2800" t="s">
        <v>2808</v>
      </c>
    </row>
    <row r="2801" spans="1:1" x14ac:dyDescent="0.3">
      <c r="A2801" t="s">
        <v>2809</v>
      </c>
    </row>
    <row r="2802" spans="1:1" x14ac:dyDescent="0.3">
      <c r="A2802" t="s">
        <v>2810</v>
      </c>
    </row>
    <row r="2803" spans="1:1" x14ac:dyDescent="0.3">
      <c r="A2803" t="s">
        <v>2811</v>
      </c>
    </row>
    <row r="2804" spans="1:1" x14ac:dyDescent="0.3">
      <c r="A2804" t="s">
        <v>2812</v>
      </c>
    </row>
    <row r="2805" spans="1:1" x14ac:dyDescent="0.3">
      <c r="A2805" t="s">
        <v>2813</v>
      </c>
    </row>
    <row r="2806" spans="1:1" x14ac:dyDescent="0.3">
      <c r="A2806" t="s">
        <v>2814</v>
      </c>
    </row>
    <row r="2807" spans="1:1" x14ac:dyDescent="0.3">
      <c r="A2807" t="s">
        <v>2815</v>
      </c>
    </row>
    <row r="2808" spans="1:1" x14ac:dyDescent="0.3">
      <c r="A2808" t="s">
        <v>2816</v>
      </c>
    </row>
    <row r="2809" spans="1:1" x14ac:dyDescent="0.3">
      <c r="A2809" t="s">
        <v>2817</v>
      </c>
    </row>
    <row r="2810" spans="1:1" x14ac:dyDescent="0.3">
      <c r="A2810" t="s">
        <v>2818</v>
      </c>
    </row>
    <row r="2811" spans="1:1" x14ac:dyDescent="0.3">
      <c r="A2811" t="s">
        <v>2819</v>
      </c>
    </row>
    <row r="2812" spans="1:1" x14ac:dyDescent="0.3">
      <c r="A2812" t="s">
        <v>2820</v>
      </c>
    </row>
    <row r="2813" spans="1:1" x14ac:dyDescent="0.3">
      <c r="A2813" t="s">
        <v>2821</v>
      </c>
    </row>
    <row r="2814" spans="1:1" x14ac:dyDescent="0.3">
      <c r="A2814" t="s">
        <v>2822</v>
      </c>
    </row>
    <row r="2815" spans="1:1" x14ac:dyDescent="0.3">
      <c r="A2815" t="s">
        <v>2823</v>
      </c>
    </row>
    <row r="2816" spans="1:1" x14ac:dyDescent="0.3">
      <c r="A2816" t="s">
        <v>2824</v>
      </c>
    </row>
    <row r="2817" spans="1:1" x14ac:dyDescent="0.3">
      <c r="A2817" t="s">
        <v>2825</v>
      </c>
    </row>
    <row r="2818" spans="1:1" x14ac:dyDescent="0.3">
      <c r="A2818" t="s">
        <v>2826</v>
      </c>
    </row>
    <row r="2819" spans="1:1" x14ac:dyDescent="0.3">
      <c r="A2819" t="s">
        <v>2827</v>
      </c>
    </row>
    <row r="2820" spans="1:1" x14ac:dyDescent="0.3">
      <c r="A2820" t="s">
        <v>2828</v>
      </c>
    </row>
    <row r="2821" spans="1:1" x14ac:dyDescent="0.3">
      <c r="A2821" t="s">
        <v>2829</v>
      </c>
    </row>
    <row r="2822" spans="1:1" x14ac:dyDescent="0.3">
      <c r="A2822" t="s">
        <v>2830</v>
      </c>
    </row>
    <row r="2823" spans="1:1" x14ac:dyDescent="0.3">
      <c r="A2823" t="s">
        <v>2831</v>
      </c>
    </row>
    <row r="2824" spans="1:1" x14ac:dyDescent="0.3">
      <c r="A2824" t="s">
        <v>2832</v>
      </c>
    </row>
    <row r="2825" spans="1:1" x14ac:dyDescent="0.3">
      <c r="A2825" t="s">
        <v>2833</v>
      </c>
    </row>
    <row r="2826" spans="1:1" x14ac:dyDescent="0.3">
      <c r="A2826" t="s">
        <v>2834</v>
      </c>
    </row>
    <row r="2827" spans="1:1" x14ac:dyDescent="0.3">
      <c r="A2827" t="s">
        <v>2835</v>
      </c>
    </row>
    <row r="2828" spans="1:1" x14ac:dyDescent="0.3">
      <c r="A2828" t="s">
        <v>2836</v>
      </c>
    </row>
    <row r="2829" spans="1:1" x14ac:dyDescent="0.3">
      <c r="A2829" t="s">
        <v>2837</v>
      </c>
    </row>
    <row r="2830" spans="1:1" x14ac:dyDescent="0.3">
      <c r="A2830" t="s">
        <v>2838</v>
      </c>
    </row>
    <row r="2831" spans="1:1" x14ac:dyDescent="0.3">
      <c r="A2831" t="s">
        <v>2839</v>
      </c>
    </row>
    <row r="2832" spans="1:1" x14ac:dyDescent="0.3">
      <c r="A2832" t="s">
        <v>2840</v>
      </c>
    </row>
    <row r="2833" spans="1:1" x14ac:dyDescent="0.3">
      <c r="A2833" t="s">
        <v>2841</v>
      </c>
    </row>
    <row r="2834" spans="1:1" x14ac:dyDescent="0.3">
      <c r="A2834" t="s">
        <v>2842</v>
      </c>
    </row>
    <row r="2835" spans="1:1" x14ac:dyDescent="0.3">
      <c r="A2835" t="s">
        <v>2843</v>
      </c>
    </row>
    <row r="2836" spans="1:1" x14ac:dyDescent="0.3">
      <c r="A2836" t="s">
        <v>2844</v>
      </c>
    </row>
    <row r="2837" spans="1:1" x14ac:dyDescent="0.3">
      <c r="A2837" t="s">
        <v>2845</v>
      </c>
    </row>
    <row r="2838" spans="1:1" x14ac:dyDescent="0.3">
      <c r="A2838" t="s">
        <v>2846</v>
      </c>
    </row>
    <row r="2839" spans="1:1" x14ac:dyDescent="0.3">
      <c r="A2839" t="s">
        <v>2847</v>
      </c>
    </row>
    <row r="2840" spans="1:1" x14ac:dyDescent="0.3">
      <c r="A2840" t="s">
        <v>2848</v>
      </c>
    </row>
    <row r="2841" spans="1:1" x14ac:dyDescent="0.3">
      <c r="A2841" t="s">
        <v>2849</v>
      </c>
    </row>
    <row r="2842" spans="1:1" x14ac:dyDescent="0.3">
      <c r="A2842" t="s">
        <v>2850</v>
      </c>
    </row>
    <row r="2843" spans="1:1" x14ac:dyDescent="0.3">
      <c r="A2843" t="s">
        <v>2851</v>
      </c>
    </row>
    <row r="2844" spans="1:1" x14ac:dyDescent="0.3">
      <c r="A2844" t="s">
        <v>2852</v>
      </c>
    </row>
    <row r="2845" spans="1:1" x14ac:dyDescent="0.3">
      <c r="A2845" t="s">
        <v>2853</v>
      </c>
    </row>
    <row r="2846" spans="1:1" x14ac:dyDescent="0.3">
      <c r="A2846" t="s">
        <v>2854</v>
      </c>
    </row>
    <row r="2847" spans="1:1" x14ac:dyDescent="0.3">
      <c r="A2847" t="s">
        <v>2855</v>
      </c>
    </row>
    <row r="2848" spans="1:1" x14ac:dyDescent="0.3">
      <c r="A2848" t="s">
        <v>2856</v>
      </c>
    </row>
    <row r="2849" spans="1:1" x14ac:dyDescent="0.3">
      <c r="A2849" t="s">
        <v>2857</v>
      </c>
    </row>
    <row r="2850" spans="1:1" x14ac:dyDescent="0.3">
      <c r="A2850" t="s">
        <v>2858</v>
      </c>
    </row>
    <row r="2851" spans="1:1" x14ac:dyDescent="0.3">
      <c r="A2851" t="s">
        <v>2859</v>
      </c>
    </row>
    <row r="2852" spans="1:1" x14ac:dyDescent="0.3">
      <c r="A2852" t="s">
        <v>2860</v>
      </c>
    </row>
    <row r="2853" spans="1:1" x14ac:dyDescent="0.3">
      <c r="A2853" t="s">
        <v>2861</v>
      </c>
    </row>
    <row r="2854" spans="1:1" x14ac:dyDescent="0.3">
      <c r="A2854" t="s">
        <v>2862</v>
      </c>
    </row>
    <row r="2855" spans="1:1" x14ac:dyDescent="0.3">
      <c r="A2855" t="s">
        <v>2863</v>
      </c>
    </row>
    <row r="2856" spans="1:1" x14ac:dyDescent="0.3">
      <c r="A2856" t="s">
        <v>2864</v>
      </c>
    </row>
    <row r="2857" spans="1:1" x14ac:dyDescent="0.3">
      <c r="A2857" t="s">
        <v>2865</v>
      </c>
    </row>
    <row r="2858" spans="1:1" x14ac:dyDescent="0.3">
      <c r="A2858" t="s">
        <v>2866</v>
      </c>
    </row>
    <row r="2859" spans="1:1" x14ac:dyDescent="0.3">
      <c r="A2859" t="s">
        <v>2867</v>
      </c>
    </row>
    <row r="2860" spans="1:1" x14ac:dyDescent="0.3">
      <c r="A2860" t="s">
        <v>2868</v>
      </c>
    </row>
    <row r="2861" spans="1:1" x14ac:dyDescent="0.3">
      <c r="A2861" t="s">
        <v>2869</v>
      </c>
    </row>
    <row r="2862" spans="1:1" x14ac:dyDescent="0.3">
      <c r="A2862" t="s">
        <v>2870</v>
      </c>
    </row>
    <row r="2863" spans="1:1" x14ac:dyDescent="0.3">
      <c r="A2863" t="s">
        <v>2871</v>
      </c>
    </row>
    <row r="2864" spans="1:1" x14ac:dyDescent="0.3">
      <c r="A2864" t="s">
        <v>2872</v>
      </c>
    </row>
    <row r="2865" spans="1:1" x14ac:dyDescent="0.3">
      <c r="A2865" t="s">
        <v>2873</v>
      </c>
    </row>
    <row r="2866" spans="1:1" x14ac:dyDescent="0.3">
      <c r="A2866" t="s">
        <v>2874</v>
      </c>
    </row>
    <row r="2867" spans="1:1" x14ac:dyDescent="0.3">
      <c r="A2867" t="s">
        <v>2875</v>
      </c>
    </row>
    <row r="2868" spans="1:1" x14ac:dyDescent="0.3">
      <c r="A2868" t="s">
        <v>2876</v>
      </c>
    </row>
    <row r="2869" spans="1:1" x14ac:dyDescent="0.3">
      <c r="A2869" t="s">
        <v>2877</v>
      </c>
    </row>
    <row r="2870" spans="1:1" x14ac:dyDescent="0.3">
      <c r="A2870" t="s">
        <v>2878</v>
      </c>
    </row>
    <row r="2871" spans="1:1" x14ac:dyDescent="0.3">
      <c r="A2871" t="s">
        <v>2879</v>
      </c>
    </row>
    <row r="2872" spans="1:1" x14ac:dyDescent="0.3">
      <c r="A2872" t="s">
        <v>2880</v>
      </c>
    </row>
    <row r="2873" spans="1:1" x14ac:dyDescent="0.3">
      <c r="A2873" t="s">
        <v>2881</v>
      </c>
    </row>
    <row r="2874" spans="1:1" x14ac:dyDescent="0.3">
      <c r="A2874" t="s">
        <v>2882</v>
      </c>
    </row>
    <row r="2875" spans="1:1" x14ac:dyDescent="0.3">
      <c r="A2875" t="s">
        <v>2883</v>
      </c>
    </row>
    <row r="2876" spans="1:1" x14ac:dyDescent="0.3">
      <c r="A2876" t="s">
        <v>2884</v>
      </c>
    </row>
    <row r="2877" spans="1:1" x14ac:dyDescent="0.3">
      <c r="A2877" t="s">
        <v>2885</v>
      </c>
    </row>
    <row r="2878" spans="1:1" x14ac:dyDescent="0.3">
      <c r="A2878" t="s">
        <v>2886</v>
      </c>
    </row>
    <row r="2879" spans="1:1" x14ac:dyDescent="0.3">
      <c r="A2879" t="s">
        <v>2887</v>
      </c>
    </row>
    <row r="2880" spans="1:1" x14ac:dyDescent="0.3">
      <c r="A2880" t="s">
        <v>2888</v>
      </c>
    </row>
    <row r="2881" spans="1:1" x14ac:dyDescent="0.3">
      <c r="A2881" t="s">
        <v>2889</v>
      </c>
    </row>
    <row r="2882" spans="1:1" x14ac:dyDescent="0.3">
      <c r="A2882" t="s">
        <v>2890</v>
      </c>
    </row>
    <row r="2883" spans="1:1" x14ac:dyDescent="0.3">
      <c r="A2883" t="s">
        <v>2891</v>
      </c>
    </row>
    <row r="2884" spans="1:1" x14ac:dyDescent="0.3">
      <c r="A2884" t="s">
        <v>2892</v>
      </c>
    </row>
    <row r="2885" spans="1:1" x14ac:dyDescent="0.3">
      <c r="A2885" t="s">
        <v>2893</v>
      </c>
    </row>
    <row r="2886" spans="1:1" x14ac:dyDescent="0.3">
      <c r="A2886" t="s">
        <v>2894</v>
      </c>
    </row>
    <row r="2887" spans="1:1" x14ac:dyDescent="0.3">
      <c r="A2887" t="s">
        <v>2895</v>
      </c>
    </row>
    <row r="2888" spans="1:1" x14ac:dyDescent="0.3">
      <c r="A2888" t="s">
        <v>2896</v>
      </c>
    </row>
    <row r="2889" spans="1:1" x14ac:dyDescent="0.3">
      <c r="A2889" t="s">
        <v>2897</v>
      </c>
    </row>
    <row r="2890" spans="1:1" x14ac:dyDescent="0.3">
      <c r="A2890" t="s">
        <v>2898</v>
      </c>
    </row>
    <row r="2891" spans="1:1" x14ac:dyDescent="0.3">
      <c r="A2891" t="s">
        <v>2899</v>
      </c>
    </row>
    <row r="2892" spans="1:1" x14ac:dyDescent="0.3">
      <c r="A2892" t="s">
        <v>2900</v>
      </c>
    </row>
    <row r="2893" spans="1:1" x14ac:dyDescent="0.3">
      <c r="A2893" t="s">
        <v>2901</v>
      </c>
    </row>
    <row r="2894" spans="1:1" x14ac:dyDescent="0.3">
      <c r="A2894" t="s">
        <v>2902</v>
      </c>
    </row>
    <row r="2895" spans="1:1" x14ac:dyDescent="0.3">
      <c r="A2895" t="s">
        <v>2903</v>
      </c>
    </row>
    <row r="2896" spans="1:1" x14ac:dyDescent="0.3">
      <c r="A2896" t="s">
        <v>2904</v>
      </c>
    </row>
    <row r="2897" spans="1:1" x14ac:dyDescent="0.3">
      <c r="A2897" t="s">
        <v>2905</v>
      </c>
    </row>
    <row r="2898" spans="1:1" x14ac:dyDescent="0.3">
      <c r="A2898" t="s">
        <v>2906</v>
      </c>
    </row>
    <row r="2899" spans="1:1" x14ac:dyDescent="0.3">
      <c r="A2899" t="s">
        <v>2907</v>
      </c>
    </row>
    <row r="2900" spans="1:1" x14ac:dyDescent="0.3">
      <c r="A2900" t="s">
        <v>2908</v>
      </c>
    </row>
    <row r="2901" spans="1:1" x14ac:dyDescent="0.3">
      <c r="A2901" t="s">
        <v>2909</v>
      </c>
    </row>
    <row r="2902" spans="1:1" x14ac:dyDescent="0.3">
      <c r="A2902" t="s">
        <v>2910</v>
      </c>
    </row>
    <row r="2903" spans="1:1" x14ac:dyDescent="0.3">
      <c r="A2903" t="s">
        <v>2911</v>
      </c>
    </row>
    <row r="2904" spans="1:1" x14ac:dyDescent="0.3">
      <c r="A2904" t="s">
        <v>2912</v>
      </c>
    </row>
    <row r="2905" spans="1:1" x14ac:dyDescent="0.3">
      <c r="A2905" t="s">
        <v>2913</v>
      </c>
    </row>
    <row r="2906" spans="1:1" x14ac:dyDescent="0.3">
      <c r="A2906" t="s">
        <v>2914</v>
      </c>
    </row>
    <row r="2907" spans="1:1" x14ac:dyDescent="0.3">
      <c r="A2907" t="s">
        <v>2915</v>
      </c>
    </row>
    <row r="2908" spans="1:1" x14ac:dyDescent="0.3">
      <c r="A2908" t="s">
        <v>2916</v>
      </c>
    </row>
    <row r="2909" spans="1:1" x14ac:dyDescent="0.3">
      <c r="A2909" t="s">
        <v>2917</v>
      </c>
    </row>
    <row r="2910" spans="1:1" x14ac:dyDescent="0.3">
      <c r="A2910" t="s">
        <v>2918</v>
      </c>
    </row>
    <row r="2911" spans="1:1" x14ac:dyDescent="0.3">
      <c r="A2911" t="s">
        <v>2919</v>
      </c>
    </row>
    <row r="2912" spans="1:1" x14ac:dyDescent="0.3">
      <c r="A2912" t="s">
        <v>2920</v>
      </c>
    </row>
    <row r="2913" spans="1:1" x14ac:dyDescent="0.3">
      <c r="A2913" t="s">
        <v>2921</v>
      </c>
    </row>
    <row r="2914" spans="1:1" x14ac:dyDescent="0.3">
      <c r="A2914" t="s">
        <v>2922</v>
      </c>
    </row>
    <row r="2915" spans="1:1" x14ac:dyDescent="0.3">
      <c r="A2915" t="s">
        <v>2923</v>
      </c>
    </row>
    <row r="2916" spans="1:1" x14ac:dyDescent="0.3">
      <c r="A2916" t="s">
        <v>2924</v>
      </c>
    </row>
    <row r="2917" spans="1:1" x14ac:dyDescent="0.3">
      <c r="A2917" t="s">
        <v>2925</v>
      </c>
    </row>
    <row r="2918" spans="1:1" x14ac:dyDescent="0.3">
      <c r="A2918" t="s">
        <v>2926</v>
      </c>
    </row>
    <row r="2919" spans="1:1" x14ac:dyDescent="0.3">
      <c r="A2919" t="s">
        <v>2927</v>
      </c>
    </row>
    <row r="2920" spans="1:1" x14ac:dyDescent="0.3">
      <c r="A2920" t="s">
        <v>2928</v>
      </c>
    </row>
    <row r="2921" spans="1:1" x14ac:dyDescent="0.3">
      <c r="A2921" t="s">
        <v>2929</v>
      </c>
    </row>
    <row r="2922" spans="1:1" x14ac:dyDescent="0.3">
      <c r="A2922" t="s">
        <v>2930</v>
      </c>
    </row>
    <row r="2923" spans="1:1" x14ac:dyDescent="0.3">
      <c r="A2923" t="s">
        <v>2931</v>
      </c>
    </row>
    <row r="2924" spans="1:1" x14ac:dyDescent="0.3">
      <c r="A2924" t="s">
        <v>2932</v>
      </c>
    </row>
    <row r="2925" spans="1:1" x14ac:dyDescent="0.3">
      <c r="A2925" t="s">
        <v>2933</v>
      </c>
    </row>
    <row r="2926" spans="1:1" x14ac:dyDescent="0.3">
      <c r="A2926" t="s">
        <v>2934</v>
      </c>
    </row>
    <row r="2927" spans="1:1" x14ac:dyDescent="0.3">
      <c r="A2927" t="s">
        <v>2935</v>
      </c>
    </row>
    <row r="2928" spans="1:1" x14ac:dyDescent="0.3">
      <c r="A2928" t="s">
        <v>2936</v>
      </c>
    </row>
    <row r="2929" spans="1:1" x14ac:dyDescent="0.3">
      <c r="A2929" t="s">
        <v>2937</v>
      </c>
    </row>
    <row r="2930" spans="1:1" x14ac:dyDescent="0.3">
      <c r="A2930" t="s">
        <v>2938</v>
      </c>
    </row>
    <row r="2931" spans="1:1" x14ac:dyDescent="0.3">
      <c r="A2931" t="s">
        <v>2939</v>
      </c>
    </row>
    <row r="2932" spans="1:1" x14ac:dyDescent="0.3">
      <c r="A2932" t="s">
        <v>2940</v>
      </c>
    </row>
    <row r="2933" spans="1:1" x14ac:dyDescent="0.3">
      <c r="A2933" t="s">
        <v>2941</v>
      </c>
    </row>
    <row r="2934" spans="1:1" x14ac:dyDescent="0.3">
      <c r="A2934" t="s">
        <v>2942</v>
      </c>
    </row>
    <row r="2935" spans="1:1" x14ac:dyDescent="0.3">
      <c r="A2935" t="s">
        <v>2943</v>
      </c>
    </row>
    <row r="2936" spans="1:1" x14ac:dyDescent="0.3">
      <c r="A2936" t="s">
        <v>2944</v>
      </c>
    </row>
    <row r="2937" spans="1:1" x14ac:dyDescent="0.3">
      <c r="A2937" t="s">
        <v>2945</v>
      </c>
    </row>
    <row r="2938" spans="1:1" x14ac:dyDescent="0.3">
      <c r="A2938" t="s">
        <v>2946</v>
      </c>
    </row>
    <row r="2939" spans="1:1" x14ac:dyDescent="0.3">
      <c r="A2939" t="s">
        <v>2947</v>
      </c>
    </row>
    <row r="2940" spans="1:1" x14ac:dyDescent="0.3">
      <c r="A2940" t="s">
        <v>2948</v>
      </c>
    </row>
    <row r="2941" spans="1:1" x14ac:dyDescent="0.3">
      <c r="A2941" t="s">
        <v>2949</v>
      </c>
    </row>
    <row r="2942" spans="1:1" x14ac:dyDescent="0.3">
      <c r="A2942" t="s">
        <v>2950</v>
      </c>
    </row>
    <row r="2943" spans="1:1" x14ac:dyDescent="0.3">
      <c r="A2943" t="s">
        <v>2951</v>
      </c>
    </row>
    <row r="2944" spans="1:1" x14ac:dyDescent="0.3">
      <c r="A2944" t="s">
        <v>2952</v>
      </c>
    </row>
    <row r="2945" spans="1:1" x14ac:dyDescent="0.3">
      <c r="A2945" t="s">
        <v>2953</v>
      </c>
    </row>
    <row r="2946" spans="1:1" x14ac:dyDescent="0.3">
      <c r="A2946" t="s">
        <v>2954</v>
      </c>
    </row>
    <row r="2947" spans="1:1" x14ac:dyDescent="0.3">
      <c r="A2947" t="s">
        <v>2955</v>
      </c>
    </row>
    <row r="2948" spans="1:1" x14ac:dyDescent="0.3">
      <c r="A2948" t="s">
        <v>2956</v>
      </c>
    </row>
    <row r="2949" spans="1:1" x14ac:dyDescent="0.3">
      <c r="A2949" t="s">
        <v>2957</v>
      </c>
    </row>
    <row r="2950" spans="1:1" x14ac:dyDescent="0.3">
      <c r="A2950" t="s">
        <v>2958</v>
      </c>
    </row>
    <row r="2951" spans="1:1" x14ac:dyDescent="0.3">
      <c r="A2951" t="s">
        <v>2959</v>
      </c>
    </row>
    <row r="2952" spans="1:1" x14ac:dyDescent="0.3">
      <c r="A2952" t="s">
        <v>2960</v>
      </c>
    </row>
    <row r="2953" spans="1:1" x14ac:dyDescent="0.3">
      <c r="A2953" t="s">
        <v>2961</v>
      </c>
    </row>
    <row r="2954" spans="1:1" x14ac:dyDescent="0.3">
      <c r="A2954" t="s">
        <v>2962</v>
      </c>
    </row>
    <row r="2955" spans="1:1" x14ac:dyDescent="0.3">
      <c r="A2955" t="s">
        <v>2963</v>
      </c>
    </row>
    <row r="2956" spans="1:1" x14ac:dyDescent="0.3">
      <c r="A2956" t="s">
        <v>2964</v>
      </c>
    </row>
    <row r="2957" spans="1:1" x14ac:dyDescent="0.3">
      <c r="A2957" t="s">
        <v>2965</v>
      </c>
    </row>
    <row r="2958" spans="1:1" x14ac:dyDescent="0.3">
      <c r="A2958" t="s">
        <v>2966</v>
      </c>
    </row>
    <row r="2959" spans="1:1" x14ac:dyDescent="0.3">
      <c r="A2959" t="s">
        <v>2967</v>
      </c>
    </row>
    <row r="2960" spans="1:1" x14ac:dyDescent="0.3">
      <c r="A2960" t="s">
        <v>2968</v>
      </c>
    </row>
    <row r="2961" spans="1:1" x14ac:dyDescent="0.3">
      <c r="A2961" t="s">
        <v>2969</v>
      </c>
    </row>
    <row r="2962" spans="1:1" x14ac:dyDescent="0.3">
      <c r="A2962" t="s">
        <v>2970</v>
      </c>
    </row>
    <row r="2963" spans="1:1" x14ac:dyDescent="0.3">
      <c r="A2963" t="s">
        <v>2971</v>
      </c>
    </row>
    <row r="2964" spans="1:1" x14ac:dyDescent="0.3">
      <c r="A2964" t="s">
        <v>2972</v>
      </c>
    </row>
    <row r="2965" spans="1:1" x14ac:dyDescent="0.3">
      <c r="A2965" t="s">
        <v>2973</v>
      </c>
    </row>
    <row r="2966" spans="1:1" x14ac:dyDescent="0.3">
      <c r="A2966" t="s">
        <v>2974</v>
      </c>
    </row>
    <row r="2967" spans="1:1" x14ac:dyDescent="0.3">
      <c r="A2967" t="s">
        <v>2975</v>
      </c>
    </row>
    <row r="2968" spans="1:1" x14ac:dyDescent="0.3">
      <c r="A2968" t="s">
        <v>2976</v>
      </c>
    </row>
    <row r="2969" spans="1:1" x14ac:dyDescent="0.3">
      <c r="A2969" t="s">
        <v>2977</v>
      </c>
    </row>
    <row r="2970" spans="1:1" x14ac:dyDescent="0.3">
      <c r="A2970" t="s">
        <v>2978</v>
      </c>
    </row>
    <row r="2971" spans="1:1" x14ac:dyDescent="0.3">
      <c r="A2971" t="s">
        <v>2979</v>
      </c>
    </row>
    <row r="2972" spans="1:1" x14ac:dyDescent="0.3">
      <c r="A2972" t="s">
        <v>2980</v>
      </c>
    </row>
    <row r="2973" spans="1:1" x14ac:dyDescent="0.3">
      <c r="A2973" t="s">
        <v>2981</v>
      </c>
    </row>
    <row r="2974" spans="1:1" x14ac:dyDescent="0.3">
      <c r="A2974" t="s">
        <v>2982</v>
      </c>
    </row>
    <row r="2975" spans="1:1" x14ac:dyDescent="0.3">
      <c r="A2975" t="s">
        <v>2983</v>
      </c>
    </row>
    <row r="2976" spans="1:1" x14ac:dyDescent="0.3">
      <c r="A2976" t="s">
        <v>2984</v>
      </c>
    </row>
    <row r="2977" spans="1:1" x14ac:dyDescent="0.3">
      <c r="A2977" t="s">
        <v>2985</v>
      </c>
    </row>
    <row r="2978" spans="1:1" x14ac:dyDescent="0.3">
      <c r="A2978" t="s">
        <v>2986</v>
      </c>
    </row>
    <row r="2979" spans="1:1" x14ac:dyDescent="0.3">
      <c r="A2979" t="s">
        <v>2987</v>
      </c>
    </row>
    <row r="2980" spans="1:1" x14ac:dyDescent="0.3">
      <c r="A2980" t="s">
        <v>2988</v>
      </c>
    </row>
    <row r="2981" spans="1:1" x14ac:dyDescent="0.3">
      <c r="A2981" t="s">
        <v>2989</v>
      </c>
    </row>
    <row r="2982" spans="1:1" x14ac:dyDescent="0.3">
      <c r="A2982" t="s">
        <v>2990</v>
      </c>
    </row>
    <row r="2983" spans="1:1" x14ac:dyDescent="0.3">
      <c r="A2983" t="s">
        <v>2991</v>
      </c>
    </row>
    <row r="2984" spans="1:1" x14ac:dyDescent="0.3">
      <c r="A2984" t="s">
        <v>2992</v>
      </c>
    </row>
    <row r="2985" spans="1:1" x14ac:dyDescent="0.3">
      <c r="A2985" t="s">
        <v>2993</v>
      </c>
    </row>
    <row r="2986" spans="1:1" x14ac:dyDescent="0.3">
      <c r="A2986" t="s">
        <v>2994</v>
      </c>
    </row>
    <row r="2987" spans="1:1" x14ac:dyDescent="0.3">
      <c r="A2987" t="s">
        <v>2995</v>
      </c>
    </row>
    <row r="2988" spans="1:1" x14ac:dyDescent="0.3">
      <c r="A2988" t="s">
        <v>2996</v>
      </c>
    </row>
    <row r="2989" spans="1:1" x14ac:dyDescent="0.3">
      <c r="A2989" t="s">
        <v>2997</v>
      </c>
    </row>
    <row r="2990" spans="1:1" x14ac:dyDescent="0.3">
      <c r="A2990" t="s">
        <v>2998</v>
      </c>
    </row>
    <row r="2991" spans="1:1" x14ac:dyDescent="0.3">
      <c r="A2991" t="s">
        <v>2999</v>
      </c>
    </row>
    <row r="2992" spans="1:1" x14ac:dyDescent="0.3">
      <c r="A2992" t="s">
        <v>3000</v>
      </c>
    </row>
    <row r="2993" spans="1:1" x14ac:dyDescent="0.3">
      <c r="A2993" t="s">
        <v>3001</v>
      </c>
    </row>
    <row r="2994" spans="1:1" x14ac:dyDescent="0.3">
      <c r="A2994" t="s">
        <v>3002</v>
      </c>
    </row>
    <row r="2995" spans="1:1" x14ac:dyDescent="0.3">
      <c r="A2995" t="s">
        <v>3003</v>
      </c>
    </row>
    <row r="2996" spans="1:1" x14ac:dyDescent="0.3">
      <c r="A2996" t="s">
        <v>3004</v>
      </c>
    </row>
    <row r="2997" spans="1:1" x14ac:dyDescent="0.3">
      <c r="A2997" t="s">
        <v>3005</v>
      </c>
    </row>
    <row r="2998" spans="1:1" x14ac:dyDescent="0.3">
      <c r="A2998" t="s">
        <v>3006</v>
      </c>
    </row>
    <row r="2999" spans="1:1" x14ac:dyDescent="0.3">
      <c r="A2999" t="s">
        <v>3007</v>
      </c>
    </row>
    <row r="3000" spans="1:1" x14ac:dyDescent="0.3">
      <c r="A3000" t="s">
        <v>3008</v>
      </c>
    </row>
    <row r="3001" spans="1:1" x14ac:dyDescent="0.3">
      <c r="A3001" t="s">
        <v>3009</v>
      </c>
    </row>
    <row r="3002" spans="1:1" x14ac:dyDescent="0.3">
      <c r="A3002" t="s">
        <v>3010</v>
      </c>
    </row>
    <row r="3003" spans="1:1" x14ac:dyDescent="0.3">
      <c r="A3003" t="s">
        <v>3011</v>
      </c>
    </row>
    <row r="3004" spans="1:1" x14ac:dyDescent="0.3">
      <c r="A3004" t="s">
        <v>3012</v>
      </c>
    </row>
    <row r="3005" spans="1:1" x14ac:dyDescent="0.3">
      <c r="A3005" t="s">
        <v>3013</v>
      </c>
    </row>
    <row r="3006" spans="1:1" x14ac:dyDescent="0.3">
      <c r="A3006" t="s">
        <v>3014</v>
      </c>
    </row>
    <row r="3007" spans="1:1" x14ac:dyDescent="0.3">
      <c r="A3007" t="s">
        <v>3015</v>
      </c>
    </row>
    <row r="3008" spans="1:1" x14ac:dyDescent="0.3">
      <c r="A3008" t="s">
        <v>3016</v>
      </c>
    </row>
    <row r="3009" spans="1:1" x14ac:dyDescent="0.3">
      <c r="A3009" t="s">
        <v>3017</v>
      </c>
    </row>
    <row r="3010" spans="1:1" x14ac:dyDescent="0.3">
      <c r="A3010" t="s">
        <v>3018</v>
      </c>
    </row>
    <row r="3011" spans="1:1" x14ac:dyDescent="0.3">
      <c r="A3011" t="s">
        <v>3019</v>
      </c>
    </row>
    <row r="3012" spans="1:1" x14ac:dyDescent="0.3">
      <c r="A3012" t="s">
        <v>3020</v>
      </c>
    </row>
    <row r="3013" spans="1:1" x14ac:dyDescent="0.3">
      <c r="A3013" t="s">
        <v>3021</v>
      </c>
    </row>
    <row r="3014" spans="1:1" x14ac:dyDescent="0.3">
      <c r="A3014" t="s">
        <v>3022</v>
      </c>
    </row>
    <row r="3015" spans="1:1" x14ac:dyDescent="0.3">
      <c r="A3015" t="s">
        <v>3023</v>
      </c>
    </row>
    <row r="3016" spans="1:1" x14ac:dyDescent="0.3">
      <c r="A3016" t="s">
        <v>3024</v>
      </c>
    </row>
    <row r="3017" spans="1:1" x14ac:dyDescent="0.3">
      <c r="A3017" t="s">
        <v>3025</v>
      </c>
    </row>
    <row r="3018" spans="1:1" x14ac:dyDescent="0.3">
      <c r="A3018" t="s">
        <v>3026</v>
      </c>
    </row>
    <row r="3019" spans="1:1" x14ac:dyDescent="0.3">
      <c r="A3019" t="s">
        <v>3027</v>
      </c>
    </row>
    <row r="3020" spans="1:1" x14ac:dyDescent="0.3">
      <c r="A3020" t="s">
        <v>3028</v>
      </c>
    </row>
    <row r="3021" spans="1:1" x14ac:dyDescent="0.3">
      <c r="A3021" t="s">
        <v>3029</v>
      </c>
    </row>
    <row r="3022" spans="1:1" x14ac:dyDescent="0.3">
      <c r="A3022" t="s">
        <v>3030</v>
      </c>
    </row>
    <row r="3023" spans="1:1" x14ac:dyDescent="0.3">
      <c r="A3023" t="s">
        <v>3031</v>
      </c>
    </row>
    <row r="3024" spans="1:1" x14ac:dyDescent="0.3">
      <c r="A3024" t="s">
        <v>3032</v>
      </c>
    </row>
    <row r="3025" spans="1:1" x14ac:dyDescent="0.3">
      <c r="A3025" t="s">
        <v>3033</v>
      </c>
    </row>
    <row r="3026" spans="1:1" x14ac:dyDescent="0.3">
      <c r="A3026" t="s">
        <v>3034</v>
      </c>
    </row>
    <row r="3027" spans="1:1" x14ac:dyDescent="0.3">
      <c r="A3027" t="s">
        <v>3035</v>
      </c>
    </row>
    <row r="3028" spans="1:1" x14ac:dyDescent="0.3">
      <c r="A3028" t="s">
        <v>3036</v>
      </c>
    </row>
    <row r="3029" spans="1:1" x14ac:dyDescent="0.3">
      <c r="A3029" t="s">
        <v>3037</v>
      </c>
    </row>
    <row r="3030" spans="1:1" x14ac:dyDescent="0.3">
      <c r="A3030" t="s">
        <v>3038</v>
      </c>
    </row>
    <row r="3031" spans="1:1" x14ac:dyDescent="0.3">
      <c r="A3031" t="s">
        <v>3039</v>
      </c>
    </row>
    <row r="3032" spans="1:1" x14ac:dyDescent="0.3">
      <c r="A3032" t="s">
        <v>3040</v>
      </c>
    </row>
    <row r="3033" spans="1:1" x14ac:dyDescent="0.3">
      <c r="A3033" t="s">
        <v>3041</v>
      </c>
    </row>
    <row r="3034" spans="1:1" x14ac:dyDescent="0.3">
      <c r="A3034" t="s">
        <v>3042</v>
      </c>
    </row>
    <row r="3035" spans="1:1" x14ac:dyDescent="0.3">
      <c r="A3035" t="s">
        <v>3043</v>
      </c>
    </row>
    <row r="3036" spans="1:1" x14ac:dyDescent="0.3">
      <c r="A3036" t="s">
        <v>3044</v>
      </c>
    </row>
    <row r="3037" spans="1:1" x14ac:dyDescent="0.3">
      <c r="A3037" t="s">
        <v>3045</v>
      </c>
    </row>
    <row r="3038" spans="1:1" x14ac:dyDescent="0.3">
      <c r="A3038" t="s">
        <v>3046</v>
      </c>
    </row>
    <row r="3039" spans="1:1" x14ac:dyDescent="0.3">
      <c r="A3039" t="s">
        <v>3047</v>
      </c>
    </row>
    <row r="3040" spans="1:1" x14ac:dyDescent="0.3">
      <c r="A3040" t="s">
        <v>3048</v>
      </c>
    </row>
    <row r="3041" spans="1:1" x14ac:dyDescent="0.3">
      <c r="A3041" t="s">
        <v>3049</v>
      </c>
    </row>
    <row r="3042" spans="1:1" x14ac:dyDescent="0.3">
      <c r="A3042" t="s">
        <v>3050</v>
      </c>
    </row>
    <row r="3043" spans="1:1" x14ac:dyDescent="0.3">
      <c r="A3043" t="s">
        <v>3051</v>
      </c>
    </row>
    <row r="3044" spans="1:1" x14ac:dyDescent="0.3">
      <c r="A3044" t="s">
        <v>3052</v>
      </c>
    </row>
    <row r="3045" spans="1:1" x14ac:dyDescent="0.3">
      <c r="A3045" t="s">
        <v>3053</v>
      </c>
    </row>
    <row r="3046" spans="1:1" x14ac:dyDescent="0.3">
      <c r="A3046" t="s">
        <v>3054</v>
      </c>
    </row>
    <row r="3047" spans="1:1" x14ac:dyDescent="0.3">
      <c r="A3047" t="s">
        <v>3055</v>
      </c>
    </row>
    <row r="3048" spans="1:1" x14ac:dyDescent="0.3">
      <c r="A3048" t="s">
        <v>3056</v>
      </c>
    </row>
    <row r="3049" spans="1:1" x14ac:dyDescent="0.3">
      <c r="A3049" t="s">
        <v>3057</v>
      </c>
    </row>
    <row r="3050" spans="1:1" x14ac:dyDescent="0.3">
      <c r="A3050" t="s">
        <v>3058</v>
      </c>
    </row>
    <row r="3051" spans="1:1" x14ac:dyDescent="0.3">
      <c r="A3051" t="s">
        <v>3059</v>
      </c>
    </row>
    <row r="3052" spans="1:1" x14ac:dyDescent="0.3">
      <c r="A3052" t="s">
        <v>3060</v>
      </c>
    </row>
    <row r="3053" spans="1:1" x14ac:dyDescent="0.3">
      <c r="A3053" t="s">
        <v>3061</v>
      </c>
    </row>
    <row r="3054" spans="1:1" x14ac:dyDescent="0.3">
      <c r="A3054" t="s">
        <v>3062</v>
      </c>
    </row>
    <row r="3055" spans="1:1" x14ac:dyDescent="0.3">
      <c r="A3055" t="s">
        <v>3063</v>
      </c>
    </row>
    <row r="3056" spans="1:1" x14ac:dyDescent="0.3">
      <c r="A3056" t="s">
        <v>3064</v>
      </c>
    </row>
    <row r="3057" spans="1:1" x14ac:dyDescent="0.3">
      <c r="A3057" t="s">
        <v>3065</v>
      </c>
    </row>
    <row r="3058" spans="1:1" x14ac:dyDescent="0.3">
      <c r="A3058" t="s">
        <v>3066</v>
      </c>
    </row>
    <row r="3059" spans="1:1" x14ac:dyDescent="0.3">
      <c r="A3059" t="s">
        <v>3067</v>
      </c>
    </row>
    <row r="3060" spans="1:1" x14ac:dyDescent="0.3">
      <c r="A3060" t="s">
        <v>3068</v>
      </c>
    </row>
    <row r="3061" spans="1:1" x14ac:dyDescent="0.3">
      <c r="A3061" t="s">
        <v>3069</v>
      </c>
    </row>
    <row r="3062" spans="1:1" x14ac:dyDescent="0.3">
      <c r="A3062" t="s">
        <v>3070</v>
      </c>
    </row>
    <row r="3063" spans="1:1" x14ac:dyDescent="0.3">
      <c r="A3063" t="s">
        <v>3071</v>
      </c>
    </row>
    <row r="3064" spans="1:1" x14ac:dyDescent="0.3">
      <c r="A3064" t="s">
        <v>3072</v>
      </c>
    </row>
    <row r="3065" spans="1:1" x14ac:dyDescent="0.3">
      <c r="A3065" t="s">
        <v>3073</v>
      </c>
    </row>
    <row r="3066" spans="1:1" x14ac:dyDescent="0.3">
      <c r="A3066" t="s">
        <v>3074</v>
      </c>
    </row>
    <row r="3067" spans="1:1" x14ac:dyDescent="0.3">
      <c r="A3067" t="s">
        <v>3075</v>
      </c>
    </row>
    <row r="3068" spans="1:1" x14ac:dyDescent="0.3">
      <c r="A3068" t="s">
        <v>3076</v>
      </c>
    </row>
    <row r="3069" spans="1:1" x14ac:dyDescent="0.3">
      <c r="A3069" t="s">
        <v>3077</v>
      </c>
    </row>
    <row r="3070" spans="1:1" x14ac:dyDescent="0.3">
      <c r="A3070" t="s">
        <v>3078</v>
      </c>
    </row>
    <row r="3071" spans="1:1" x14ac:dyDescent="0.3">
      <c r="A3071" t="s">
        <v>3079</v>
      </c>
    </row>
    <row r="3072" spans="1:1" x14ac:dyDescent="0.3">
      <c r="A3072" t="s">
        <v>3080</v>
      </c>
    </row>
    <row r="3073" spans="1:1" x14ac:dyDescent="0.3">
      <c r="A3073" t="s">
        <v>3081</v>
      </c>
    </row>
    <row r="3074" spans="1:1" x14ac:dyDescent="0.3">
      <c r="A3074" t="s">
        <v>3082</v>
      </c>
    </row>
    <row r="3075" spans="1:1" x14ac:dyDescent="0.3">
      <c r="A3075" t="s">
        <v>3083</v>
      </c>
    </row>
    <row r="3076" spans="1:1" x14ac:dyDescent="0.3">
      <c r="A3076" t="s">
        <v>3084</v>
      </c>
    </row>
    <row r="3077" spans="1:1" x14ac:dyDescent="0.3">
      <c r="A3077" t="s">
        <v>3085</v>
      </c>
    </row>
    <row r="3078" spans="1:1" x14ac:dyDescent="0.3">
      <c r="A3078" t="s">
        <v>3086</v>
      </c>
    </row>
    <row r="3079" spans="1:1" x14ac:dyDescent="0.3">
      <c r="A3079" t="s">
        <v>3087</v>
      </c>
    </row>
    <row r="3080" spans="1:1" x14ac:dyDescent="0.3">
      <c r="A3080" t="s">
        <v>3088</v>
      </c>
    </row>
    <row r="3081" spans="1:1" x14ac:dyDescent="0.3">
      <c r="A3081" t="s">
        <v>3089</v>
      </c>
    </row>
    <row r="3082" spans="1:1" x14ac:dyDescent="0.3">
      <c r="A3082" t="s">
        <v>3090</v>
      </c>
    </row>
    <row r="3083" spans="1:1" x14ac:dyDescent="0.3">
      <c r="A3083" t="s">
        <v>3091</v>
      </c>
    </row>
    <row r="3084" spans="1:1" x14ac:dyDescent="0.3">
      <c r="A3084" t="s">
        <v>3092</v>
      </c>
    </row>
    <row r="3085" spans="1:1" x14ac:dyDescent="0.3">
      <c r="A3085" t="s">
        <v>3093</v>
      </c>
    </row>
    <row r="3086" spans="1:1" x14ac:dyDescent="0.3">
      <c r="A3086" t="s">
        <v>3094</v>
      </c>
    </row>
    <row r="3087" spans="1:1" x14ac:dyDescent="0.3">
      <c r="A3087" t="s">
        <v>3095</v>
      </c>
    </row>
    <row r="3088" spans="1:1" x14ac:dyDescent="0.3">
      <c r="A3088" t="s">
        <v>3096</v>
      </c>
    </row>
    <row r="3089" spans="1:1" x14ac:dyDescent="0.3">
      <c r="A3089" t="s">
        <v>3097</v>
      </c>
    </row>
    <row r="3090" spans="1:1" x14ac:dyDescent="0.3">
      <c r="A3090" t="s">
        <v>3098</v>
      </c>
    </row>
    <row r="3091" spans="1:1" x14ac:dyDescent="0.3">
      <c r="A3091" t="s">
        <v>3099</v>
      </c>
    </row>
    <row r="3092" spans="1:1" x14ac:dyDescent="0.3">
      <c r="A3092" t="s">
        <v>3100</v>
      </c>
    </row>
    <row r="3093" spans="1:1" x14ac:dyDescent="0.3">
      <c r="A3093" t="s">
        <v>3101</v>
      </c>
    </row>
    <row r="3094" spans="1:1" x14ac:dyDescent="0.3">
      <c r="A3094" t="s">
        <v>3102</v>
      </c>
    </row>
    <row r="3095" spans="1:1" x14ac:dyDescent="0.3">
      <c r="A3095" t="s">
        <v>3103</v>
      </c>
    </row>
    <row r="3096" spans="1:1" x14ac:dyDescent="0.3">
      <c r="A3096" t="s">
        <v>3104</v>
      </c>
    </row>
    <row r="3097" spans="1:1" x14ac:dyDescent="0.3">
      <c r="A3097" t="s">
        <v>3105</v>
      </c>
    </row>
    <row r="3098" spans="1:1" x14ac:dyDescent="0.3">
      <c r="A3098" t="s">
        <v>3106</v>
      </c>
    </row>
    <row r="3099" spans="1:1" x14ac:dyDescent="0.3">
      <c r="A3099" t="s">
        <v>3107</v>
      </c>
    </row>
    <row r="3100" spans="1:1" x14ac:dyDescent="0.3">
      <c r="A3100" t="s">
        <v>3108</v>
      </c>
    </row>
    <row r="3101" spans="1:1" x14ac:dyDescent="0.3">
      <c r="A3101" t="s">
        <v>3109</v>
      </c>
    </row>
    <row r="3102" spans="1:1" x14ac:dyDescent="0.3">
      <c r="A3102" t="s">
        <v>3110</v>
      </c>
    </row>
    <row r="3103" spans="1:1" x14ac:dyDescent="0.3">
      <c r="A3103" t="s">
        <v>3111</v>
      </c>
    </row>
    <row r="3104" spans="1:1" x14ac:dyDescent="0.3">
      <c r="A3104" t="s">
        <v>3112</v>
      </c>
    </row>
    <row r="3105" spans="1:1" x14ac:dyDescent="0.3">
      <c r="A3105" t="s">
        <v>3113</v>
      </c>
    </row>
    <row r="3106" spans="1:1" x14ac:dyDescent="0.3">
      <c r="A3106" t="s">
        <v>3114</v>
      </c>
    </row>
    <row r="3107" spans="1:1" x14ac:dyDescent="0.3">
      <c r="A3107" t="s">
        <v>3115</v>
      </c>
    </row>
    <row r="3108" spans="1:1" x14ac:dyDescent="0.3">
      <c r="A3108" t="s">
        <v>3116</v>
      </c>
    </row>
    <row r="3109" spans="1:1" x14ac:dyDescent="0.3">
      <c r="A3109" t="s">
        <v>3117</v>
      </c>
    </row>
    <row r="3110" spans="1:1" x14ac:dyDescent="0.3">
      <c r="A3110" t="s">
        <v>3118</v>
      </c>
    </row>
    <row r="3111" spans="1:1" x14ac:dyDescent="0.3">
      <c r="A3111" t="s">
        <v>3119</v>
      </c>
    </row>
    <row r="3112" spans="1:1" x14ac:dyDescent="0.3">
      <c r="A3112" t="s">
        <v>3120</v>
      </c>
    </row>
    <row r="3113" spans="1:1" x14ac:dyDescent="0.3">
      <c r="A3113" t="s">
        <v>3121</v>
      </c>
    </row>
    <row r="3114" spans="1:1" x14ac:dyDescent="0.3">
      <c r="A3114" t="s">
        <v>3122</v>
      </c>
    </row>
    <row r="3115" spans="1:1" x14ac:dyDescent="0.3">
      <c r="A3115" t="s">
        <v>3123</v>
      </c>
    </row>
    <row r="3116" spans="1:1" x14ac:dyDescent="0.3">
      <c r="A3116" t="s">
        <v>3124</v>
      </c>
    </row>
    <row r="3117" spans="1:1" x14ac:dyDescent="0.3">
      <c r="A3117" t="s">
        <v>3125</v>
      </c>
    </row>
    <row r="3118" spans="1:1" x14ac:dyDescent="0.3">
      <c r="A3118" t="s">
        <v>3126</v>
      </c>
    </row>
    <row r="3119" spans="1:1" x14ac:dyDescent="0.3">
      <c r="A3119" t="s">
        <v>3127</v>
      </c>
    </row>
    <row r="3120" spans="1:1" x14ac:dyDescent="0.3">
      <c r="A3120" t="s">
        <v>3128</v>
      </c>
    </row>
    <row r="3121" spans="1:1" x14ac:dyDescent="0.3">
      <c r="A3121" t="s">
        <v>3129</v>
      </c>
    </row>
    <row r="3122" spans="1:1" x14ac:dyDescent="0.3">
      <c r="A3122" t="s">
        <v>3130</v>
      </c>
    </row>
    <row r="3123" spans="1:1" x14ac:dyDescent="0.3">
      <c r="A3123" t="s">
        <v>3131</v>
      </c>
    </row>
    <row r="3124" spans="1:1" x14ac:dyDescent="0.3">
      <c r="A3124" t="s">
        <v>3132</v>
      </c>
    </row>
    <row r="3125" spans="1:1" x14ac:dyDescent="0.3">
      <c r="A3125" t="s">
        <v>3133</v>
      </c>
    </row>
    <row r="3126" spans="1:1" x14ac:dyDescent="0.3">
      <c r="A3126" t="s">
        <v>3134</v>
      </c>
    </row>
    <row r="3127" spans="1:1" x14ac:dyDescent="0.3">
      <c r="A3127" t="s">
        <v>3135</v>
      </c>
    </row>
    <row r="3128" spans="1:1" x14ac:dyDescent="0.3">
      <c r="A3128" t="s">
        <v>3136</v>
      </c>
    </row>
    <row r="3129" spans="1:1" x14ac:dyDescent="0.3">
      <c r="A3129" t="s">
        <v>3137</v>
      </c>
    </row>
    <row r="3130" spans="1:1" x14ac:dyDescent="0.3">
      <c r="A3130" t="s">
        <v>3138</v>
      </c>
    </row>
    <row r="3131" spans="1:1" x14ac:dyDescent="0.3">
      <c r="A3131" t="s">
        <v>3139</v>
      </c>
    </row>
    <row r="3132" spans="1:1" x14ac:dyDescent="0.3">
      <c r="A3132" t="s">
        <v>3140</v>
      </c>
    </row>
    <row r="3133" spans="1:1" x14ac:dyDescent="0.3">
      <c r="A3133" t="s">
        <v>3141</v>
      </c>
    </row>
    <row r="3134" spans="1:1" x14ac:dyDescent="0.3">
      <c r="A3134" t="s">
        <v>3142</v>
      </c>
    </row>
    <row r="3135" spans="1:1" x14ac:dyDescent="0.3">
      <c r="A3135" t="s">
        <v>3143</v>
      </c>
    </row>
    <row r="3136" spans="1:1" x14ac:dyDescent="0.3">
      <c r="A3136" t="s">
        <v>3144</v>
      </c>
    </row>
    <row r="3137" spans="1:1" x14ac:dyDescent="0.3">
      <c r="A3137" t="s">
        <v>3145</v>
      </c>
    </row>
    <row r="3138" spans="1:1" x14ac:dyDescent="0.3">
      <c r="A3138" t="s">
        <v>3146</v>
      </c>
    </row>
    <row r="3139" spans="1:1" x14ac:dyDescent="0.3">
      <c r="A3139" t="s">
        <v>3147</v>
      </c>
    </row>
    <row r="3140" spans="1:1" x14ac:dyDescent="0.3">
      <c r="A3140" t="s">
        <v>3148</v>
      </c>
    </row>
    <row r="3141" spans="1:1" x14ac:dyDescent="0.3">
      <c r="A3141" t="s">
        <v>3149</v>
      </c>
    </row>
    <row r="3142" spans="1:1" x14ac:dyDescent="0.3">
      <c r="A3142" t="s">
        <v>3150</v>
      </c>
    </row>
    <row r="3143" spans="1:1" x14ac:dyDescent="0.3">
      <c r="A3143" t="s">
        <v>3151</v>
      </c>
    </row>
    <row r="3144" spans="1:1" x14ac:dyDescent="0.3">
      <c r="A3144" t="s">
        <v>3152</v>
      </c>
    </row>
    <row r="3145" spans="1:1" x14ac:dyDescent="0.3">
      <c r="A3145" t="s">
        <v>3153</v>
      </c>
    </row>
    <row r="3146" spans="1:1" x14ac:dyDescent="0.3">
      <c r="A3146" t="s">
        <v>3154</v>
      </c>
    </row>
    <row r="3147" spans="1:1" x14ac:dyDescent="0.3">
      <c r="A3147" t="s">
        <v>3155</v>
      </c>
    </row>
    <row r="3148" spans="1:1" x14ac:dyDescent="0.3">
      <c r="A3148" t="s">
        <v>3156</v>
      </c>
    </row>
    <row r="3149" spans="1:1" x14ac:dyDescent="0.3">
      <c r="A3149" t="s">
        <v>3157</v>
      </c>
    </row>
    <row r="3150" spans="1:1" x14ac:dyDescent="0.3">
      <c r="A3150" t="s">
        <v>3158</v>
      </c>
    </row>
    <row r="3151" spans="1:1" x14ac:dyDescent="0.3">
      <c r="A3151" t="s">
        <v>3159</v>
      </c>
    </row>
    <row r="3152" spans="1:1" x14ac:dyDescent="0.3">
      <c r="A3152" t="s">
        <v>3160</v>
      </c>
    </row>
    <row r="3153" spans="1:1" x14ac:dyDescent="0.3">
      <c r="A3153" t="s">
        <v>3161</v>
      </c>
    </row>
    <row r="3154" spans="1:1" x14ac:dyDescent="0.3">
      <c r="A3154" t="s">
        <v>3162</v>
      </c>
    </row>
    <row r="3155" spans="1:1" x14ac:dyDescent="0.3">
      <c r="A3155" t="s">
        <v>3163</v>
      </c>
    </row>
    <row r="3156" spans="1:1" x14ac:dyDescent="0.3">
      <c r="A3156" t="s">
        <v>3164</v>
      </c>
    </row>
    <row r="3157" spans="1:1" x14ac:dyDescent="0.3">
      <c r="A3157" t="s">
        <v>3165</v>
      </c>
    </row>
    <row r="3158" spans="1:1" x14ac:dyDescent="0.3">
      <c r="A3158" t="s">
        <v>3166</v>
      </c>
    </row>
    <row r="3159" spans="1:1" x14ac:dyDescent="0.3">
      <c r="A3159" t="s">
        <v>3167</v>
      </c>
    </row>
    <row r="3160" spans="1:1" x14ac:dyDescent="0.3">
      <c r="A3160" t="s">
        <v>3168</v>
      </c>
    </row>
    <row r="3161" spans="1:1" x14ac:dyDescent="0.3">
      <c r="A3161" t="s">
        <v>3169</v>
      </c>
    </row>
    <row r="3162" spans="1:1" x14ac:dyDescent="0.3">
      <c r="A3162" t="s">
        <v>3170</v>
      </c>
    </row>
    <row r="3163" spans="1:1" x14ac:dyDescent="0.3">
      <c r="A3163" t="s">
        <v>3171</v>
      </c>
    </row>
    <row r="3164" spans="1:1" x14ac:dyDescent="0.3">
      <c r="A3164" t="s">
        <v>3172</v>
      </c>
    </row>
    <row r="3165" spans="1:1" x14ac:dyDescent="0.3">
      <c r="A3165" t="s">
        <v>3173</v>
      </c>
    </row>
    <row r="3166" spans="1:1" x14ac:dyDescent="0.3">
      <c r="A3166" t="s">
        <v>3174</v>
      </c>
    </row>
    <row r="3167" spans="1:1" x14ac:dyDescent="0.3">
      <c r="A3167" t="s">
        <v>3175</v>
      </c>
    </row>
    <row r="3168" spans="1:1" x14ac:dyDescent="0.3">
      <c r="A3168" t="s">
        <v>3176</v>
      </c>
    </row>
    <row r="3169" spans="1:1" x14ac:dyDescent="0.3">
      <c r="A3169" t="s">
        <v>3177</v>
      </c>
    </row>
    <row r="3170" spans="1:1" x14ac:dyDescent="0.3">
      <c r="A3170" t="s">
        <v>3178</v>
      </c>
    </row>
    <row r="3171" spans="1:1" x14ac:dyDescent="0.3">
      <c r="A3171" t="s">
        <v>3179</v>
      </c>
    </row>
    <row r="3172" spans="1:1" x14ac:dyDescent="0.3">
      <c r="A3172" t="s">
        <v>3180</v>
      </c>
    </row>
    <row r="3173" spans="1:1" x14ac:dyDescent="0.3">
      <c r="A3173" t="s">
        <v>3181</v>
      </c>
    </row>
    <row r="3174" spans="1:1" x14ac:dyDescent="0.3">
      <c r="A3174" t="s">
        <v>3182</v>
      </c>
    </row>
    <row r="3175" spans="1:1" x14ac:dyDescent="0.3">
      <c r="A3175" t="s">
        <v>3183</v>
      </c>
    </row>
    <row r="3176" spans="1:1" x14ac:dyDescent="0.3">
      <c r="A3176" t="s">
        <v>3184</v>
      </c>
    </row>
    <row r="3177" spans="1:1" x14ac:dyDescent="0.3">
      <c r="A3177" t="s">
        <v>3185</v>
      </c>
    </row>
    <row r="3178" spans="1:1" x14ac:dyDescent="0.3">
      <c r="A3178" t="s">
        <v>3186</v>
      </c>
    </row>
    <row r="3179" spans="1:1" x14ac:dyDescent="0.3">
      <c r="A3179" t="s">
        <v>3187</v>
      </c>
    </row>
    <row r="3180" spans="1:1" x14ac:dyDescent="0.3">
      <c r="A3180" t="s">
        <v>3188</v>
      </c>
    </row>
    <row r="3181" spans="1:1" x14ac:dyDescent="0.3">
      <c r="A3181" t="s">
        <v>3189</v>
      </c>
    </row>
    <row r="3182" spans="1:1" x14ac:dyDescent="0.3">
      <c r="A3182" t="s">
        <v>3190</v>
      </c>
    </row>
    <row r="3183" spans="1:1" x14ac:dyDescent="0.3">
      <c r="A3183" t="s">
        <v>3191</v>
      </c>
    </row>
    <row r="3184" spans="1:1" x14ac:dyDescent="0.3">
      <c r="A3184" t="s">
        <v>3192</v>
      </c>
    </row>
    <row r="3185" spans="1:1" x14ac:dyDescent="0.3">
      <c r="A3185" t="s">
        <v>3193</v>
      </c>
    </row>
    <row r="3186" spans="1:1" x14ac:dyDescent="0.3">
      <c r="A3186" t="s">
        <v>3194</v>
      </c>
    </row>
    <row r="3187" spans="1:1" x14ac:dyDescent="0.3">
      <c r="A3187" t="s">
        <v>3195</v>
      </c>
    </row>
    <row r="3188" spans="1:1" x14ac:dyDescent="0.3">
      <c r="A3188" t="s">
        <v>3196</v>
      </c>
    </row>
    <row r="3189" spans="1:1" x14ac:dyDescent="0.3">
      <c r="A3189" t="s">
        <v>3197</v>
      </c>
    </row>
    <row r="3190" spans="1:1" x14ac:dyDescent="0.3">
      <c r="A3190" t="s">
        <v>3198</v>
      </c>
    </row>
    <row r="3191" spans="1:1" x14ac:dyDescent="0.3">
      <c r="A3191" t="s">
        <v>3199</v>
      </c>
    </row>
    <row r="3192" spans="1:1" x14ac:dyDescent="0.3">
      <c r="A3192" t="s">
        <v>3200</v>
      </c>
    </row>
    <row r="3193" spans="1:1" x14ac:dyDescent="0.3">
      <c r="A3193" t="s">
        <v>3201</v>
      </c>
    </row>
    <row r="3194" spans="1:1" x14ac:dyDescent="0.3">
      <c r="A3194" t="s">
        <v>3202</v>
      </c>
    </row>
    <row r="3195" spans="1:1" x14ac:dyDescent="0.3">
      <c r="A3195" t="s">
        <v>3203</v>
      </c>
    </row>
    <row r="3196" spans="1:1" x14ac:dyDescent="0.3">
      <c r="A3196" t="s">
        <v>3204</v>
      </c>
    </row>
    <row r="3197" spans="1:1" x14ac:dyDescent="0.3">
      <c r="A3197" t="s">
        <v>3205</v>
      </c>
    </row>
    <row r="3198" spans="1:1" x14ac:dyDescent="0.3">
      <c r="A3198" t="s">
        <v>3206</v>
      </c>
    </row>
    <row r="3199" spans="1:1" x14ac:dyDescent="0.3">
      <c r="A3199" t="s">
        <v>3207</v>
      </c>
    </row>
    <row r="3200" spans="1:1" x14ac:dyDescent="0.3">
      <c r="A3200" t="s">
        <v>3208</v>
      </c>
    </row>
    <row r="3201" spans="1:1" x14ac:dyDescent="0.3">
      <c r="A3201" t="s">
        <v>3209</v>
      </c>
    </row>
    <row r="3202" spans="1:1" x14ac:dyDescent="0.3">
      <c r="A3202" t="s">
        <v>3210</v>
      </c>
    </row>
    <row r="3203" spans="1:1" x14ac:dyDescent="0.3">
      <c r="A3203" t="s">
        <v>3211</v>
      </c>
    </row>
    <row r="3204" spans="1:1" x14ac:dyDescent="0.3">
      <c r="A3204" t="s">
        <v>3212</v>
      </c>
    </row>
    <row r="3205" spans="1:1" x14ac:dyDescent="0.3">
      <c r="A3205" t="s">
        <v>3213</v>
      </c>
    </row>
    <row r="3206" spans="1:1" x14ac:dyDescent="0.3">
      <c r="A3206" t="s">
        <v>3214</v>
      </c>
    </row>
    <row r="3207" spans="1:1" x14ac:dyDescent="0.3">
      <c r="A3207" t="s">
        <v>3215</v>
      </c>
    </row>
    <row r="3208" spans="1:1" x14ac:dyDescent="0.3">
      <c r="A3208" t="s">
        <v>3216</v>
      </c>
    </row>
    <row r="3209" spans="1:1" x14ac:dyDescent="0.3">
      <c r="A3209" t="s">
        <v>3217</v>
      </c>
    </row>
    <row r="3210" spans="1:1" x14ac:dyDescent="0.3">
      <c r="A3210" t="s">
        <v>3218</v>
      </c>
    </row>
    <row r="3211" spans="1:1" x14ac:dyDescent="0.3">
      <c r="A3211" t="s">
        <v>3219</v>
      </c>
    </row>
    <row r="3212" spans="1:1" x14ac:dyDescent="0.3">
      <c r="A3212" t="s">
        <v>3220</v>
      </c>
    </row>
    <row r="3213" spans="1:1" x14ac:dyDescent="0.3">
      <c r="A3213" t="s">
        <v>3221</v>
      </c>
    </row>
    <row r="3214" spans="1:1" x14ac:dyDescent="0.3">
      <c r="A3214" t="s">
        <v>3222</v>
      </c>
    </row>
    <row r="3215" spans="1:1" x14ac:dyDescent="0.3">
      <c r="A3215" t="s">
        <v>3223</v>
      </c>
    </row>
    <row r="3216" spans="1:1" x14ac:dyDescent="0.3">
      <c r="A3216" t="s">
        <v>3224</v>
      </c>
    </row>
    <row r="3217" spans="1:1" x14ac:dyDescent="0.3">
      <c r="A3217" t="s">
        <v>3225</v>
      </c>
    </row>
    <row r="3218" spans="1:1" x14ac:dyDescent="0.3">
      <c r="A3218" t="s">
        <v>3226</v>
      </c>
    </row>
    <row r="3219" spans="1:1" x14ac:dyDescent="0.3">
      <c r="A3219" t="s">
        <v>3227</v>
      </c>
    </row>
    <row r="3220" spans="1:1" x14ac:dyDescent="0.3">
      <c r="A3220" t="s">
        <v>3228</v>
      </c>
    </row>
    <row r="3221" spans="1:1" x14ac:dyDescent="0.3">
      <c r="A3221" t="s">
        <v>3229</v>
      </c>
    </row>
    <row r="3222" spans="1:1" x14ac:dyDescent="0.3">
      <c r="A3222" t="s">
        <v>3230</v>
      </c>
    </row>
    <row r="3223" spans="1:1" x14ac:dyDescent="0.3">
      <c r="A3223" t="s">
        <v>3231</v>
      </c>
    </row>
    <row r="3224" spans="1:1" x14ac:dyDescent="0.3">
      <c r="A3224" t="s">
        <v>3232</v>
      </c>
    </row>
    <row r="3225" spans="1:1" x14ac:dyDescent="0.3">
      <c r="A3225" t="s">
        <v>3233</v>
      </c>
    </row>
    <row r="3226" spans="1:1" x14ac:dyDescent="0.3">
      <c r="A3226" t="s">
        <v>3234</v>
      </c>
    </row>
    <row r="3227" spans="1:1" x14ac:dyDescent="0.3">
      <c r="A3227" t="s">
        <v>3235</v>
      </c>
    </row>
    <row r="3228" spans="1:1" x14ac:dyDescent="0.3">
      <c r="A3228" t="s">
        <v>3236</v>
      </c>
    </row>
    <row r="3229" spans="1:1" x14ac:dyDescent="0.3">
      <c r="A3229" t="s">
        <v>3237</v>
      </c>
    </row>
    <row r="3230" spans="1:1" x14ac:dyDescent="0.3">
      <c r="A3230" t="s">
        <v>3238</v>
      </c>
    </row>
    <row r="3231" spans="1:1" x14ac:dyDescent="0.3">
      <c r="A3231" t="s">
        <v>3239</v>
      </c>
    </row>
    <row r="3232" spans="1:1" x14ac:dyDescent="0.3">
      <c r="A3232" t="s">
        <v>3240</v>
      </c>
    </row>
    <row r="3233" spans="1:1" x14ac:dyDescent="0.3">
      <c r="A3233" t="s">
        <v>3241</v>
      </c>
    </row>
    <row r="3234" spans="1:1" x14ac:dyDescent="0.3">
      <c r="A3234" t="s">
        <v>3242</v>
      </c>
    </row>
    <row r="3235" spans="1:1" x14ac:dyDescent="0.3">
      <c r="A3235" t="s">
        <v>3243</v>
      </c>
    </row>
    <row r="3236" spans="1:1" x14ac:dyDescent="0.3">
      <c r="A3236" t="s">
        <v>3244</v>
      </c>
    </row>
    <row r="3237" spans="1:1" x14ac:dyDescent="0.3">
      <c r="A3237" t="s">
        <v>3245</v>
      </c>
    </row>
    <row r="3238" spans="1:1" x14ac:dyDescent="0.3">
      <c r="A3238" t="s">
        <v>3246</v>
      </c>
    </row>
    <row r="3239" spans="1:1" x14ac:dyDescent="0.3">
      <c r="A3239" t="s">
        <v>3247</v>
      </c>
    </row>
    <row r="3240" spans="1:1" x14ac:dyDescent="0.3">
      <c r="A3240" t="s">
        <v>3248</v>
      </c>
    </row>
    <row r="3241" spans="1:1" x14ac:dyDescent="0.3">
      <c r="A3241" t="s">
        <v>3249</v>
      </c>
    </row>
    <row r="3242" spans="1:1" x14ac:dyDescent="0.3">
      <c r="A3242" t="s">
        <v>3250</v>
      </c>
    </row>
    <row r="3243" spans="1:1" x14ac:dyDescent="0.3">
      <c r="A3243" t="s">
        <v>3251</v>
      </c>
    </row>
    <row r="3244" spans="1:1" x14ac:dyDescent="0.3">
      <c r="A3244" t="s">
        <v>3252</v>
      </c>
    </row>
    <row r="3245" spans="1:1" x14ac:dyDescent="0.3">
      <c r="A3245" t="s">
        <v>3253</v>
      </c>
    </row>
    <row r="3246" spans="1:1" x14ac:dyDescent="0.3">
      <c r="A3246" t="s">
        <v>3254</v>
      </c>
    </row>
    <row r="3247" spans="1:1" x14ac:dyDescent="0.3">
      <c r="A3247" t="s">
        <v>3255</v>
      </c>
    </row>
    <row r="3248" spans="1:1" x14ac:dyDescent="0.3">
      <c r="A3248" t="s">
        <v>3256</v>
      </c>
    </row>
    <row r="3249" spans="1:1" x14ac:dyDescent="0.3">
      <c r="A3249" t="s">
        <v>3257</v>
      </c>
    </row>
    <row r="3250" spans="1:1" x14ac:dyDescent="0.3">
      <c r="A3250" t="s">
        <v>3258</v>
      </c>
    </row>
    <row r="3251" spans="1:1" x14ac:dyDescent="0.3">
      <c r="A3251" t="s">
        <v>3259</v>
      </c>
    </row>
    <row r="3252" spans="1:1" x14ac:dyDescent="0.3">
      <c r="A3252" t="s">
        <v>3260</v>
      </c>
    </row>
    <row r="3253" spans="1:1" x14ac:dyDescent="0.3">
      <c r="A3253" t="s">
        <v>3261</v>
      </c>
    </row>
    <row r="3254" spans="1:1" x14ac:dyDescent="0.3">
      <c r="A3254" t="s">
        <v>3262</v>
      </c>
    </row>
    <row r="3255" spans="1:1" x14ac:dyDescent="0.3">
      <c r="A3255" t="s">
        <v>3263</v>
      </c>
    </row>
    <row r="3256" spans="1:1" x14ac:dyDescent="0.3">
      <c r="A3256" t="s">
        <v>3264</v>
      </c>
    </row>
    <row r="3257" spans="1:1" x14ac:dyDescent="0.3">
      <c r="A3257" t="s">
        <v>3265</v>
      </c>
    </row>
    <row r="3258" spans="1:1" x14ac:dyDescent="0.3">
      <c r="A3258" t="s">
        <v>3266</v>
      </c>
    </row>
    <row r="3259" spans="1:1" x14ac:dyDescent="0.3">
      <c r="A3259" t="s">
        <v>3267</v>
      </c>
    </row>
    <row r="3260" spans="1:1" x14ac:dyDescent="0.3">
      <c r="A3260" t="s">
        <v>3268</v>
      </c>
    </row>
    <row r="3261" spans="1:1" x14ac:dyDescent="0.3">
      <c r="A3261" t="s">
        <v>3269</v>
      </c>
    </row>
    <row r="3262" spans="1:1" x14ac:dyDescent="0.3">
      <c r="A3262" t="s">
        <v>3270</v>
      </c>
    </row>
    <row r="3263" spans="1:1" x14ac:dyDescent="0.3">
      <c r="A3263" t="s">
        <v>3271</v>
      </c>
    </row>
    <row r="3264" spans="1:1" x14ac:dyDescent="0.3">
      <c r="A3264" t="s">
        <v>3272</v>
      </c>
    </row>
    <row r="3265" spans="1:1" x14ac:dyDescent="0.3">
      <c r="A3265" t="s">
        <v>3273</v>
      </c>
    </row>
    <row r="3266" spans="1:1" x14ac:dyDescent="0.3">
      <c r="A3266" t="s">
        <v>3274</v>
      </c>
    </row>
    <row r="3267" spans="1:1" x14ac:dyDescent="0.3">
      <c r="A3267" t="s">
        <v>3275</v>
      </c>
    </row>
    <row r="3268" spans="1:1" x14ac:dyDescent="0.3">
      <c r="A3268" t="s">
        <v>3276</v>
      </c>
    </row>
    <row r="3269" spans="1:1" x14ac:dyDescent="0.3">
      <c r="A3269" t="s">
        <v>3277</v>
      </c>
    </row>
    <row r="3270" spans="1:1" x14ac:dyDescent="0.3">
      <c r="A3270" t="s">
        <v>3278</v>
      </c>
    </row>
    <row r="3271" spans="1:1" x14ac:dyDescent="0.3">
      <c r="A3271" t="s">
        <v>3279</v>
      </c>
    </row>
    <row r="3272" spans="1:1" x14ac:dyDescent="0.3">
      <c r="A3272" t="s">
        <v>3280</v>
      </c>
    </row>
    <row r="3273" spans="1:1" x14ac:dyDescent="0.3">
      <c r="A3273" t="s">
        <v>3281</v>
      </c>
    </row>
    <row r="3274" spans="1:1" x14ac:dyDescent="0.3">
      <c r="A3274" t="s">
        <v>3282</v>
      </c>
    </row>
    <row r="3275" spans="1:1" x14ac:dyDescent="0.3">
      <c r="A3275" t="s">
        <v>3283</v>
      </c>
    </row>
    <row r="3276" spans="1:1" x14ac:dyDescent="0.3">
      <c r="A3276" t="s">
        <v>3284</v>
      </c>
    </row>
    <row r="3277" spans="1:1" x14ac:dyDescent="0.3">
      <c r="A3277" t="s">
        <v>3285</v>
      </c>
    </row>
    <row r="3278" spans="1:1" x14ac:dyDescent="0.3">
      <c r="A3278" t="s">
        <v>3286</v>
      </c>
    </row>
    <row r="3279" spans="1:1" x14ac:dyDescent="0.3">
      <c r="A3279" t="s">
        <v>3287</v>
      </c>
    </row>
    <row r="3280" spans="1:1" x14ac:dyDescent="0.3">
      <c r="A3280" t="s">
        <v>3288</v>
      </c>
    </row>
    <row r="3281" spans="1:1" x14ac:dyDescent="0.3">
      <c r="A3281" t="s">
        <v>3289</v>
      </c>
    </row>
    <row r="3282" spans="1:1" x14ac:dyDescent="0.3">
      <c r="A3282" t="s">
        <v>3290</v>
      </c>
    </row>
    <row r="3283" spans="1:1" x14ac:dyDescent="0.3">
      <c r="A3283" t="s">
        <v>3291</v>
      </c>
    </row>
    <row r="3284" spans="1:1" x14ac:dyDescent="0.3">
      <c r="A3284" t="s">
        <v>3292</v>
      </c>
    </row>
    <row r="3285" spans="1:1" x14ac:dyDescent="0.3">
      <c r="A3285" t="s">
        <v>3293</v>
      </c>
    </row>
    <row r="3286" spans="1:1" x14ac:dyDescent="0.3">
      <c r="A3286" t="s">
        <v>3294</v>
      </c>
    </row>
    <row r="3287" spans="1:1" x14ac:dyDescent="0.3">
      <c r="A3287" t="s">
        <v>3295</v>
      </c>
    </row>
    <row r="3288" spans="1:1" x14ac:dyDescent="0.3">
      <c r="A3288" t="s">
        <v>3296</v>
      </c>
    </row>
    <row r="3289" spans="1:1" x14ac:dyDescent="0.3">
      <c r="A3289" t="s">
        <v>3297</v>
      </c>
    </row>
    <row r="3290" spans="1:1" x14ac:dyDescent="0.3">
      <c r="A3290" t="s">
        <v>3298</v>
      </c>
    </row>
    <row r="3291" spans="1:1" x14ac:dyDescent="0.3">
      <c r="A3291" t="s">
        <v>3299</v>
      </c>
    </row>
    <row r="3292" spans="1:1" x14ac:dyDescent="0.3">
      <c r="A3292" t="s">
        <v>3300</v>
      </c>
    </row>
    <row r="3293" spans="1:1" x14ac:dyDescent="0.3">
      <c r="A3293" t="s">
        <v>3301</v>
      </c>
    </row>
    <row r="3294" spans="1:1" x14ac:dyDescent="0.3">
      <c r="A3294" t="s">
        <v>3302</v>
      </c>
    </row>
    <row r="3295" spans="1:1" x14ac:dyDescent="0.3">
      <c r="A3295" t="s">
        <v>3303</v>
      </c>
    </row>
    <row r="3296" spans="1:1" x14ac:dyDescent="0.3">
      <c r="A3296" t="s">
        <v>3304</v>
      </c>
    </row>
    <row r="3297" spans="1:1" x14ac:dyDescent="0.3">
      <c r="A3297" t="s">
        <v>3305</v>
      </c>
    </row>
    <row r="3298" spans="1:1" x14ac:dyDescent="0.3">
      <c r="A3298" t="s">
        <v>3306</v>
      </c>
    </row>
    <row r="3299" spans="1:1" x14ac:dyDescent="0.3">
      <c r="A3299" t="s">
        <v>3307</v>
      </c>
    </row>
    <row r="3300" spans="1:1" x14ac:dyDescent="0.3">
      <c r="A3300" t="s">
        <v>3308</v>
      </c>
    </row>
    <row r="3301" spans="1:1" x14ac:dyDescent="0.3">
      <c r="A3301" t="s">
        <v>3309</v>
      </c>
    </row>
    <row r="3302" spans="1:1" x14ac:dyDescent="0.3">
      <c r="A3302" t="s">
        <v>3310</v>
      </c>
    </row>
    <row r="3303" spans="1:1" x14ac:dyDescent="0.3">
      <c r="A3303" t="s">
        <v>3311</v>
      </c>
    </row>
    <row r="3304" spans="1:1" x14ac:dyDescent="0.3">
      <c r="A3304" t="s">
        <v>3312</v>
      </c>
    </row>
    <row r="3305" spans="1:1" x14ac:dyDescent="0.3">
      <c r="A3305" t="s">
        <v>3313</v>
      </c>
    </row>
    <row r="3306" spans="1:1" x14ac:dyDescent="0.3">
      <c r="A3306" t="s">
        <v>3314</v>
      </c>
    </row>
    <row r="3307" spans="1:1" x14ac:dyDescent="0.3">
      <c r="A3307" t="s">
        <v>3315</v>
      </c>
    </row>
    <row r="3308" spans="1:1" x14ac:dyDescent="0.3">
      <c r="A3308" t="s">
        <v>3316</v>
      </c>
    </row>
    <row r="3309" spans="1:1" x14ac:dyDescent="0.3">
      <c r="A3309" t="s">
        <v>3317</v>
      </c>
    </row>
    <row r="3310" spans="1:1" x14ac:dyDescent="0.3">
      <c r="A3310" t="s">
        <v>3318</v>
      </c>
    </row>
    <row r="3311" spans="1:1" x14ac:dyDescent="0.3">
      <c r="A3311" t="s">
        <v>3319</v>
      </c>
    </row>
    <row r="3312" spans="1:1" x14ac:dyDescent="0.3">
      <c r="A3312" t="s">
        <v>3320</v>
      </c>
    </row>
    <row r="3313" spans="1:1" x14ac:dyDescent="0.3">
      <c r="A3313" t="s">
        <v>3321</v>
      </c>
    </row>
    <row r="3314" spans="1:1" x14ac:dyDescent="0.3">
      <c r="A3314" t="s">
        <v>3322</v>
      </c>
    </row>
    <row r="3315" spans="1:1" x14ac:dyDescent="0.3">
      <c r="A3315" t="s">
        <v>3323</v>
      </c>
    </row>
    <row r="3316" spans="1:1" x14ac:dyDescent="0.3">
      <c r="A3316" t="s">
        <v>3324</v>
      </c>
    </row>
    <row r="3317" spans="1:1" x14ac:dyDescent="0.3">
      <c r="A3317" t="s">
        <v>3325</v>
      </c>
    </row>
    <row r="3318" spans="1:1" x14ac:dyDescent="0.3">
      <c r="A3318" t="s">
        <v>3326</v>
      </c>
    </row>
    <row r="3319" spans="1:1" x14ac:dyDescent="0.3">
      <c r="A3319" t="s">
        <v>3327</v>
      </c>
    </row>
    <row r="3320" spans="1:1" x14ac:dyDescent="0.3">
      <c r="A3320" t="s">
        <v>3328</v>
      </c>
    </row>
    <row r="3321" spans="1:1" x14ac:dyDescent="0.3">
      <c r="A3321" t="s">
        <v>3329</v>
      </c>
    </row>
    <row r="3322" spans="1:1" x14ac:dyDescent="0.3">
      <c r="A3322" t="s">
        <v>3330</v>
      </c>
    </row>
    <row r="3323" spans="1:1" x14ac:dyDescent="0.3">
      <c r="A3323" t="s">
        <v>3331</v>
      </c>
    </row>
    <row r="3324" spans="1:1" x14ac:dyDescent="0.3">
      <c r="A3324" t="s">
        <v>3332</v>
      </c>
    </row>
    <row r="3325" spans="1:1" x14ac:dyDescent="0.3">
      <c r="A3325" t="s">
        <v>3333</v>
      </c>
    </row>
    <row r="3326" spans="1:1" x14ac:dyDescent="0.3">
      <c r="A3326" t="s">
        <v>3334</v>
      </c>
    </row>
    <row r="3327" spans="1:1" x14ac:dyDescent="0.3">
      <c r="A3327" t="s">
        <v>3335</v>
      </c>
    </row>
    <row r="3328" spans="1:1" x14ac:dyDescent="0.3">
      <c r="A3328" t="s">
        <v>3336</v>
      </c>
    </row>
    <row r="3329" spans="1:1" x14ac:dyDescent="0.3">
      <c r="A3329" t="s">
        <v>3337</v>
      </c>
    </row>
    <row r="3330" spans="1:1" x14ac:dyDescent="0.3">
      <c r="A3330" t="s">
        <v>3338</v>
      </c>
    </row>
    <row r="3331" spans="1:1" x14ac:dyDescent="0.3">
      <c r="A3331" t="s">
        <v>3339</v>
      </c>
    </row>
    <row r="3332" spans="1:1" x14ac:dyDescent="0.3">
      <c r="A3332" t="s">
        <v>3340</v>
      </c>
    </row>
    <row r="3333" spans="1:1" x14ac:dyDescent="0.3">
      <c r="A3333" t="s">
        <v>3341</v>
      </c>
    </row>
    <row r="3334" spans="1:1" x14ac:dyDescent="0.3">
      <c r="A3334" t="s">
        <v>3342</v>
      </c>
    </row>
    <row r="3335" spans="1:1" x14ac:dyDescent="0.3">
      <c r="A3335" t="s">
        <v>3343</v>
      </c>
    </row>
    <row r="3336" spans="1:1" x14ac:dyDescent="0.3">
      <c r="A3336" t="s">
        <v>3344</v>
      </c>
    </row>
    <row r="3337" spans="1:1" x14ac:dyDescent="0.3">
      <c r="A3337" t="s">
        <v>3345</v>
      </c>
    </row>
    <row r="3338" spans="1:1" x14ac:dyDescent="0.3">
      <c r="A3338" t="s">
        <v>3346</v>
      </c>
    </row>
    <row r="3339" spans="1:1" x14ac:dyDescent="0.3">
      <c r="A3339" t="s">
        <v>3347</v>
      </c>
    </row>
    <row r="3340" spans="1:1" x14ac:dyDescent="0.3">
      <c r="A3340" t="s">
        <v>3348</v>
      </c>
    </row>
    <row r="3341" spans="1:1" x14ac:dyDescent="0.3">
      <c r="A3341" t="s">
        <v>3349</v>
      </c>
    </row>
    <row r="3342" spans="1:1" x14ac:dyDescent="0.3">
      <c r="A3342" t="s">
        <v>3350</v>
      </c>
    </row>
    <row r="3343" spans="1:1" x14ac:dyDescent="0.3">
      <c r="A3343" t="s">
        <v>3351</v>
      </c>
    </row>
    <row r="3344" spans="1:1" x14ac:dyDescent="0.3">
      <c r="A3344" t="s">
        <v>3352</v>
      </c>
    </row>
    <row r="3345" spans="1:1" x14ac:dyDescent="0.3">
      <c r="A3345" t="s">
        <v>3353</v>
      </c>
    </row>
    <row r="3346" spans="1:1" x14ac:dyDescent="0.3">
      <c r="A3346" t="s">
        <v>3354</v>
      </c>
    </row>
    <row r="3347" spans="1:1" x14ac:dyDescent="0.3">
      <c r="A3347" t="s">
        <v>3355</v>
      </c>
    </row>
    <row r="3348" spans="1:1" x14ac:dyDescent="0.3">
      <c r="A3348" t="s">
        <v>3356</v>
      </c>
    </row>
    <row r="3349" spans="1:1" x14ac:dyDescent="0.3">
      <c r="A3349" t="s">
        <v>3357</v>
      </c>
    </row>
    <row r="3350" spans="1:1" x14ac:dyDescent="0.3">
      <c r="A3350" t="s">
        <v>3358</v>
      </c>
    </row>
    <row r="3351" spans="1:1" x14ac:dyDescent="0.3">
      <c r="A3351" t="s">
        <v>3359</v>
      </c>
    </row>
    <row r="3352" spans="1:1" x14ac:dyDescent="0.3">
      <c r="A3352" t="s">
        <v>3360</v>
      </c>
    </row>
    <row r="3353" spans="1:1" x14ac:dyDescent="0.3">
      <c r="A3353" t="s">
        <v>3361</v>
      </c>
    </row>
    <row r="3354" spans="1:1" x14ac:dyDescent="0.3">
      <c r="A3354" t="s">
        <v>3362</v>
      </c>
    </row>
    <row r="3355" spans="1:1" x14ac:dyDescent="0.3">
      <c r="A3355" t="s">
        <v>3363</v>
      </c>
    </row>
    <row r="3356" spans="1:1" x14ac:dyDescent="0.3">
      <c r="A3356" t="s">
        <v>3364</v>
      </c>
    </row>
    <row r="3357" spans="1:1" x14ac:dyDescent="0.3">
      <c r="A3357" t="s">
        <v>3365</v>
      </c>
    </row>
    <row r="3358" spans="1:1" x14ac:dyDescent="0.3">
      <c r="A3358" t="s">
        <v>3366</v>
      </c>
    </row>
    <row r="3359" spans="1:1" x14ac:dyDescent="0.3">
      <c r="A3359" t="s">
        <v>3367</v>
      </c>
    </row>
    <row r="3360" spans="1:1" x14ac:dyDescent="0.3">
      <c r="A3360" t="s">
        <v>3368</v>
      </c>
    </row>
    <row r="3361" spans="1:1" x14ac:dyDescent="0.3">
      <c r="A3361" t="s">
        <v>3369</v>
      </c>
    </row>
    <row r="3362" spans="1:1" x14ac:dyDescent="0.3">
      <c r="A3362" t="s">
        <v>3370</v>
      </c>
    </row>
    <row r="3363" spans="1:1" x14ac:dyDescent="0.3">
      <c r="A3363" t="s">
        <v>3371</v>
      </c>
    </row>
    <row r="3364" spans="1:1" x14ac:dyDescent="0.3">
      <c r="A3364" t="s">
        <v>3372</v>
      </c>
    </row>
    <row r="3365" spans="1:1" x14ac:dyDescent="0.3">
      <c r="A3365" t="s">
        <v>3373</v>
      </c>
    </row>
    <row r="3366" spans="1:1" x14ac:dyDescent="0.3">
      <c r="A3366" t="s">
        <v>3374</v>
      </c>
    </row>
    <row r="3367" spans="1:1" x14ac:dyDescent="0.3">
      <c r="A3367" t="s">
        <v>3375</v>
      </c>
    </row>
    <row r="3368" spans="1:1" x14ac:dyDescent="0.3">
      <c r="A3368" t="s">
        <v>3376</v>
      </c>
    </row>
    <row r="3369" spans="1:1" x14ac:dyDescent="0.3">
      <c r="A3369" t="s">
        <v>3377</v>
      </c>
    </row>
    <row r="3370" spans="1:1" x14ac:dyDescent="0.3">
      <c r="A3370" t="s">
        <v>3378</v>
      </c>
    </row>
    <row r="3371" spans="1:1" x14ac:dyDescent="0.3">
      <c r="A3371" t="s">
        <v>3379</v>
      </c>
    </row>
    <row r="3372" spans="1:1" x14ac:dyDescent="0.3">
      <c r="A3372" t="s">
        <v>3380</v>
      </c>
    </row>
    <row r="3373" spans="1:1" x14ac:dyDescent="0.3">
      <c r="A3373" t="s">
        <v>3381</v>
      </c>
    </row>
    <row r="3374" spans="1:1" x14ac:dyDescent="0.3">
      <c r="A3374" t="s">
        <v>3382</v>
      </c>
    </row>
    <row r="3375" spans="1:1" x14ac:dyDescent="0.3">
      <c r="A3375" t="s">
        <v>3383</v>
      </c>
    </row>
    <row r="3376" spans="1:1" x14ac:dyDescent="0.3">
      <c r="A3376" t="s">
        <v>3384</v>
      </c>
    </row>
    <row r="3377" spans="1:1" x14ac:dyDescent="0.3">
      <c r="A3377" t="s">
        <v>3385</v>
      </c>
    </row>
    <row r="3378" spans="1:1" x14ac:dyDescent="0.3">
      <c r="A3378" t="s">
        <v>3386</v>
      </c>
    </row>
    <row r="3379" spans="1:1" x14ac:dyDescent="0.3">
      <c r="A3379" t="s">
        <v>3387</v>
      </c>
    </row>
    <row r="3380" spans="1:1" x14ac:dyDescent="0.3">
      <c r="A3380" t="s">
        <v>3388</v>
      </c>
    </row>
    <row r="3381" spans="1:1" x14ac:dyDescent="0.3">
      <c r="A3381" t="s">
        <v>3389</v>
      </c>
    </row>
    <row r="3382" spans="1:1" x14ac:dyDescent="0.3">
      <c r="A3382" t="s">
        <v>3390</v>
      </c>
    </row>
    <row r="3383" spans="1:1" x14ac:dyDescent="0.3">
      <c r="A3383" t="s">
        <v>3391</v>
      </c>
    </row>
    <row r="3384" spans="1:1" x14ac:dyDescent="0.3">
      <c r="A3384" t="s">
        <v>3392</v>
      </c>
    </row>
    <row r="3385" spans="1:1" x14ac:dyDescent="0.3">
      <c r="A3385" t="s">
        <v>3393</v>
      </c>
    </row>
    <row r="3386" spans="1:1" x14ac:dyDescent="0.3">
      <c r="A3386" t="s">
        <v>3394</v>
      </c>
    </row>
    <row r="3387" spans="1:1" x14ac:dyDescent="0.3">
      <c r="A3387" t="s">
        <v>3395</v>
      </c>
    </row>
    <row r="3388" spans="1:1" x14ac:dyDescent="0.3">
      <c r="A3388" t="s">
        <v>3396</v>
      </c>
    </row>
    <row r="3389" spans="1:1" x14ac:dyDescent="0.3">
      <c r="A3389" t="s">
        <v>3397</v>
      </c>
    </row>
    <row r="3390" spans="1:1" x14ac:dyDescent="0.3">
      <c r="A3390" t="s">
        <v>3398</v>
      </c>
    </row>
    <row r="3391" spans="1:1" x14ac:dyDescent="0.3">
      <c r="A3391" t="s">
        <v>3399</v>
      </c>
    </row>
    <row r="3392" spans="1:1" x14ac:dyDescent="0.3">
      <c r="A3392" t="s">
        <v>3400</v>
      </c>
    </row>
    <row r="3393" spans="1:1" x14ac:dyDescent="0.3">
      <c r="A3393" t="s">
        <v>3401</v>
      </c>
    </row>
    <row r="3394" spans="1:1" x14ac:dyDescent="0.3">
      <c r="A3394" t="s">
        <v>3402</v>
      </c>
    </row>
    <row r="3395" spans="1:1" x14ac:dyDescent="0.3">
      <c r="A3395" t="s">
        <v>3403</v>
      </c>
    </row>
    <row r="3396" spans="1:1" x14ac:dyDescent="0.3">
      <c r="A3396" t="s">
        <v>3404</v>
      </c>
    </row>
    <row r="3397" spans="1:1" x14ac:dyDescent="0.3">
      <c r="A3397" t="s">
        <v>3405</v>
      </c>
    </row>
    <row r="3398" spans="1:1" x14ac:dyDescent="0.3">
      <c r="A3398" t="s">
        <v>3406</v>
      </c>
    </row>
    <row r="3399" spans="1:1" x14ac:dyDescent="0.3">
      <c r="A3399" t="s">
        <v>3407</v>
      </c>
    </row>
    <row r="3400" spans="1:1" x14ac:dyDescent="0.3">
      <c r="A3400" t="s">
        <v>3408</v>
      </c>
    </row>
    <row r="3401" spans="1:1" x14ac:dyDescent="0.3">
      <c r="A3401" t="s">
        <v>3409</v>
      </c>
    </row>
    <row r="3402" spans="1:1" x14ac:dyDescent="0.3">
      <c r="A3402" t="s">
        <v>3410</v>
      </c>
    </row>
    <row r="3403" spans="1:1" x14ac:dyDescent="0.3">
      <c r="A3403" t="s">
        <v>3411</v>
      </c>
    </row>
    <row r="3404" spans="1:1" x14ac:dyDescent="0.3">
      <c r="A3404" t="s">
        <v>3412</v>
      </c>
    </row>
    <row r="3405" spans="1:1" x14ac:dyDescent="0.3">
      <c r="A3405" t="s">
        <v>3413</v>
      </c>
    </row>
    <row r="3406" spans="1:1" x14ac:dyDescent="0.3">
      <c r="A3406" t="s">
        <v>3414</v>
      </c>
    </row>
    <row r="3407" spans="1:1" x14ac:dyDescent="0.3">
      <c r="A3407" t="s">
        <v>3415</v>
      </c>
    </row>
    <row r="3408" spans="1:1" x14ac:dyDescent="0.3">
      <c r="A3408" t="s">
        <v>3416</v>
      </c>
    </row>
    <row r="3409" spans="1:1" x14ac:dyDescent="0.3">
      <c r="A3409" t="s">
        <v>3417</v>
      </c>
    </row>
    <row r="3410" spans="1:1" x14ac:dyDescent="0.3">
      <c r="A3410" t="s">
        <v>3418</v>
      </c>
    </row>
    <row r="3411" spans="1:1" x14ac:dyDescent="0.3">
      <c r="A3411" t="s">
        <v>3419</v>
      </c>
    </row>
    <row r="3412" spans="1:1" x14ac:dyDescent="0.3">
      <c r="A3412" t="s">
        <v>3420</v>
      </c>
    </row>
    <row r="3413" spans="1:1" x14ac:dyDescent="0.3">
      <c r="A3413" t="s">
        <v>3421</v>
      </c>
    </row>
    <row r="3414" spans="1:1" x14ac:dyDescent="0.3">
      <c r="A3414" t="s">
        <v>3422</v>
      </c>
    </row>
    <row r="3415" spans="1:1" x14ac:dyDescent="0.3">
      <c r="A3415" t="s">
        <v>3423</v>
      </c>
    </row>
    <row r="3416" spans="1:1" x14ac:dyDescent="0.3">
      <c r="A3416" t="s">
        <v>3424</v>
      </c>
    </row>
    <row r="3417" spans="1:1" x14ac:dyDescent="0.3">
      <c r="A3417" t="s">
        <v>3425</v>
      </c>
    </row>
    <row r="3418" spans="1:1" x14ac:dyDescent="0.3">
      <c r="A3418" t="s">
        <v>3426</v>
      </c>
    </row>
    <row r="3419" spans="1:1" x14ac:dyDescent="0.3">
      <c r="A3419" t="s">
        <v>3427</v>
      </c>
    </row>
    <row r="3420" spans="1:1" x14ac:dyDescent="0.3">
      <c r="A3420" t="s">
        <v>3428</v>
      </c>
    </row>
    <row r="3421" spans="1:1" x14ac:dyDescent="0.3">
      <c r="A3421" t="s">
        <v>3429</v>
      </c>
    </row>
    <row r="3422" spans="1:1" x14ac:dyDescent="0.3">
      <c r="A3422" t="s">
        <v>3430</v>
      </c>
    </row>
    <row r="3423" spans="1:1" x14ac:dyDescent="0.3">
      <c r="A3423" t="s">
        <v>3431</v>
      </c>
    </row>
    <row r="3424" spans="1:1" x14ac:dyDescent="0.3">
      <c r="A3424" t="s">
        <v>3432</v>
      </c>
    </row>
    <row r="3425" spans="1:1" x14ac:dyDescent="0.3">
      <c r="A3425" t="s">
        <v>3433</v>
      </c>
    </row>
    <row r="3426" spans="1:1" x14ac:dyDescent="0.3">
      <c r="A3426" t="s">
        <v>3434</v>
      </c>
    </row>
    <row r="3427" spans="1:1" x14ac:dyDescent="0.3">
      <c r="A3427" t="s">
        <v>3435</v>
      </c>
    </row>
    <row r="3428" spans="1:1" x14ac:dyDescent="0.3">
      <c r="A3428" t="s">
        <v>3436</v>
      </c>
    </row>
    <row r="3429" spans="1:1" x14ac:dyDescent="0.3">
      <c r="A3429" t="s">
        <v>3437</v>
      </c>
    </row>
    <row r="3430" spans="1:1" x14ac:dyDescent="0.3">
      <c r="A3430" t="s">
        <v>3438</v>
      </c>
    </row>
    <row r="3431" spans="1:1" x14ac:dyDescent="0.3">
      <c r="A3431" t="s">
        <v>3439</v>
      </c>
    </row>
    <row r="3432" spans="1:1" x14ac:dyDescent="0.3">
      <c r="A3432" t="s">
        <v>3440</v>
      </c>
    </row>
    <row r="3433" spans="1:1" x14ac:dyDescent="0.3">
      <c r="A3433" t="s">
        <v>3441</v>
      </c>
    </row>
    <row r="3434" spans="1:1" x14ac:dyDescent="0.3">
      <c r="A3434" t="s">
        <v>3442</v>
      </c>
    </row>
    <row r="3435" spans="1:1" x14ac:dyDescent="0.3">
      <c r="A3435" t="s">
        <v>3443</v>
      </c>
    </row>
    <row r="3436" spans="1:1" x14ac:dyDescent="0.3">
      <c r="A3436" t="s">
        <v>3444</v>
      </c>
    </row>
    <row r="3437" spans="1:1" x14ac:dyDescent="0.3">
      <c r="A3437" t="s">
        <v>3445</v>
      </c>
    </row>
    <row r="3438" spans="1:1" x14ac:dyDescent="0.3">
      <c r="A3438" t="s">
        <v>3446</v>
      </c>
    </row>
    <row r="3439" spans="1:1" x14ac:dyDescent="0.3">
      <c r="A3439" t="s">
        <v>3447</v>
      </c>
    </row>
    <row r="3440" spans="1:1" x14ac:dyDescent="0.3">
      <c r="A3440" t="s">
        <v>3448</v>
      </c>
    </row>
    <row r="3441" spans="1:6" x14ac:dyDescent="0.3">
      <c r="A3441" t="s">
        <v>3449</v>
      </c>
    </row>
    <row r="3442" spans="1:6" x14ac:dyDescent="0.3">
      <c r="A3442" t="s">
        <v>3450</v>
      </c>
    </row>
    <row r="3443" spans="1:6" x14ac:dyDescent="0.3">
      <c r="A3443" t="s">
        <v>3451</v>
      </c>
    </row>
    <row r="3444" spans="1:6" x14ac:dyDescent="0.3">
      <c r="A3444" t="s">
        <v>3452</v>
      </c>
      <c r="B3444" t="s">
        <v>3453</v>
      </c>
      <c r="C3444" t="s">
        <v>3454</v>
      </c>
      <c r="D3444" t="s">
        <v>3455</v>
      </c>
      <c r="E3444" t="s">
        <v>3456</v>
      </c>
      <c r="F3444" t="s">
        <v>3457</v>
      </c>
    </row>
    <row r="3445" spans="1:6" x14ac:dyDescent="0.3">
      <c r="A3445" t="s">
        <v>3458</v>
      </c>
    </row>
    <row r="3446" spans="1:6" x14ac:dyDescent="0.3">
      <c r="A3446" t="s">
        <v>3459</v>
      </c>
    </row>
    <row r="3447" spans="1:6" x14ac:dyDescent="0.3">
      <c r="A3447" t="s">
        <v>3460</v>
      </c>
    </row>
    <row r="3448" spans="1:6" x14ac:dyDescent="0.3">
      <c r="A3448" t="s">
        <v>3461</v>
      </c>
    </row>
    <row r="3449" spans="1:6" x14ac:dyDescent="0.3">
      <c r="A3449" t="s">
        <v>3462</v>
      </c>
    </row>
    <row r="3450" spans="1:6" x14ac:dyDescent="0.3">
      <c r="A3450" t="s">
        <v>3463</v>
      </c>
    </row>
    <row r="3451" spans="1:6" x14ac:dyDescent="0.3">
      <c r="A3451" t="s">
        <v>3464</v>
      </c>
    </row>
    <row r="3452" spans="1:6" x14ac:dyDescent="0.3">
      <c r="A3452" t="s">
        <v>3465</v>
      </c>
    </row>
    <row r="3453" spans="1:6" x14ac:dyDescent="0.3">
      <c r="A3453" t="s">
        <v>3466</v>
      </c>
    </row>
    <row r="3454" spans="1:6" x14ac:dyDescent="0.3">
      <c r="A3454" t="s">
        <v>3467</v>
      </c>
    </row>
    <row r="3455" spans="1:6" x14ac:dyDescent="0.3">
      <c r="A3455" t="s">
        <v>3468</v>
      </c>
    </row>
    <row r="3456" spans="1:6" x14ac:dyDescent="0.3">
      <c r="A3456" t="s">
        <v>3469</v>
      </c>
    </row>
    <row r="3457" spans="1:1" x14ac:dyDescent="0.3">
      <c r="A3457" t="s">
        <v>3470</v>
      </c>
    </row>
    <row r="3458" spans="1:1" x14ac:dyDescent="0.3">
      <c r="A3458" t="s">
        <v>3471</v>
      </c>
    </row>
    <row r="3459" spans="1:1" x14ac:dyDescent="0.3">
      <c r="A3459" t="s">
        <v>3472</v>
      </c>
    </row>
    <row r="3460" spans="1:1" x14ac:dyDescent="0.3">
      <c r="A3460" t="s">
        <v>3473</v>
      </c>
    </row>
    <row r="3461" spans="1:1" x14ac:dyDescent="0.3">
      <c r="A3461" t="s">
        <v>3474</v>
      </c>
    </row>
    <row r="3462" spans="1:1" x14ac:dyDescent="0.3">
      <c r="A3462" t="s">
        <v>3475</v>
      </c>
    </row>
    <row r="3463" spans="1:1" x14ac:dyDescent="0.3">
      <c r="A3463" t="s">
        <v>3476</v>
      </c>
    </row>
    <row r="3464" spans="1:1" x14ac:dyDescent="0.3">
      <c r="A3464" t="s">
        <v>3477</v>
      </c>
    </row>
    <row r="3465" spans="1:1" x14ac:dyDescent="0.3">
      <c r="A3465" t="s">
        <v>3478</v>
      </c>
    </row>
    <row r="3466" spans="1:1" x14ac:dyDescent="0.3">
      <c r="A3466" t="s">
        <v>3479</v>
      </c>
    </row>
    <row r="3467" spans="1:1" x14ac:dyDescent="0.3">
      <c r="A3467" t="s">
        <v>3480</v>
      </c>
    </row>
    <row r="3468" spans="1:1" x14ac:dyDescent="0.3">
      <c r="A3468" t="s">
        <v>3481</v>
      </c>
    </row>
    <row r="3469" spans="1:1" x14ac:dyDescent="0.3">
      <c r="A3469" t="s">
        <v>3482</v>
      </c>
    </row>
    <row r="3470" spans="1:1" x14ac:dyDescent="0.3">
      <c r="A3470" t="s">
        <v>3483</v>
      </c>
    </row>
    <row r="3471" spans="1:1" x14ac:dyDescent="0.3">
      <c r="A3471" t="s">
        <v>3484</v>
      </c>
    </row>
    <row r="3472" spans="1:1" x14ac:dyDescent="0.3">
      <c r="A3472" t="s">
        <v>3485</v>
      </c>
    </row>
    <row r="3473" spans="1:1" x14ac:dyDescent="0.3">
      <c r="A3473" t="s">
        <v>3486</v>
      </c>
    </row>
    <row r="3474" spans="1:1" x14ac:dyDescent="0.3">
      <c r="A3474" t="s">
        <v>3487</v>
      </c>
    </row>
    <row r="3475" spans="1:1" x14ac:dyDescent="0.3">
      <c r="A3475" t="s">
        <v>3488</v>
      </c>
    </row>
    <row r="3476" spans="1:1" x14ac:dyDescent="0.3">
      <c r="A3476" t="s">
        <v>3489</v>
      </c>
    </row>
    <row r="3477" spans="1:1" x14ac:dyDescent="0.3">
      <c r="A3477" t="s">
        <v>3490</v>
      </c>
    </row>
    <row r="3478" spans="1:1" x14ac:dyDescent="0.3">
      <c r="A3478" t="s">
        <v>3491</v>
      </c>
    </row>
    <row r="3479" spans="1:1" x14ac:dyDescent="0.3">
      <c r="A3479" t="s">
        <v>3492</v>
      </c>
    </row>
    <row r="3480" spans="1:1" x14ac:dyDescent="0.3">
      <c r="A3480" t="s">
        <v>3493</v>
      </c>
    </row>
    <row r="3481" spans="1:1" x14ac:dyDescent="0.3">
      <c r="A3481" t="s">
        <v>3494</v>
      </c>
    </row>
    <row r="3482" spans="1:1" x14ac:dyDescent="0.3">
      <c r="A3482" t="s">
        <v>3495</v>
      </c>
    </row>
    <row r="3483" spans="1:1" x14ac:dyDescent="0.3">
      <c r="A3483" t="s">
        <v>3496</v>
      </c>
    </row>
    <row r="3484" spans="1:1" x14ac:dyDescent="0.3">
      <c r="A3484" t="s">
        <v>3497</v>
      </c>
    </row>
    <row r="3485" spans="1:1" x14ac:dyDescent="0.3">
      <c r="A3485" t="s">
        <v>3498</v>
      </c>
    </row>
    <row r="3486" spans="1:1" x14ac:dyDescent="0.3">
      <c r="A3486" t="s">
        <v>3499</v>
      </c>
    </row>
    <row r="3487" spans="1:1" x14ac:dyDescent="0.3">
      <c r="A3487" t="s">
        <v>3500</v>
      </c>
    </row>
    <row r="3488" spans="1:1" x14ac:dyDescent="0.3">
      <c r="A3488" t="s">
        <v>3501</v>
      </c>
    </row>
    <row r="3489" spans="1:1" x14ac:dyDescent="0.3">
      <c r="A3489" t="s">
        <v>3502</v>
      </c>
    </row>
    <row r="3490" spans="1:1" x14ac:dyDescent="0.3">
      <c r="A3490" t="s">
        <v>3503</v>
      </c>
    </row>
    <row r="3491" spans="1:1" x14ac:dyDescent="0.3">
      <c r="A3491" t="s">
        <v>3504</v>
      </c>
    </row>
    <row r="3492" spans="1:1" x14ac:dyDescent="0.3">
      <c r="A3492" t="s">
        <v>3505</v>
      </c>
    </row>
    <row r="3493" spans="1:1" x14ac:dyDescent="0.3">
      <c r="A3493" t="s">
        <v>3506</v>
      </c>
    </row>
    <row r="3494" spans="1:1" x14ac:dyDescent="0.3">
      <c r="A3494" t="s">
        <v>3507</v>
      </c>
    </row>
    <row r="3495" spans="1:1" x14ac:dyDescent="0.3">
      <c r="A3495" t="s">
        <v>3508</v>
      </c>
    </row>
    <row r="3496" spans="1:1" x14ac:dyDescent="0.3">
      <c r="A3496" t="s">
        <v>3509</v>
      </c>
    </row>
    <row r="3497" spans="1:1" x14ac:dyDescent="0.3">
      <c r="A3497" t="s">
        <v>3510</v>
      </c>
    </row>
    <row r="3498" spans="1:1" x14ac:dyDescent="0.3">
      <c r="A3498" t="s">
        <v>3511</v>
      </c>
    </row>
    <row r="3499" spans="1:1" x14ac:dyDescent="0.3">
      <c r="A3499" t="s">
        <v>3512</v>
      </c>
    </row>
    <row r="3500" spans="1:1" x14ac:dyDescent="0.3">
      <c r="A3500" t="s">
        <v>3513</v>
      </c>
    </row>
    <row r="3501" spans="1:1" x14ac:dyDescent="0.3">
      <c r="A3501" t="s">
        <v>3514</v>
      </c>
    </row>
    <row r="3502" spans="1:1" x14ac:dyDescent="0.3">
      <c r="A3502" t="s">
        <v>3515</v>
      </c>
    </row>
    <row r="3503" spans="1:1" x14ac:dyDescent="0.3">
      <c r="A3503" t="s">
        <v>3516</v>
      </c>
    </row>
    <row r="3504" spans="1:1" x14ac:dyDescent="0.3">
      <c r="A3504" t="s">
        <v>3517</v>
      </c>
    </row>
    <row r="3505" spans="1:1" x14ac:dyDescent="0.3">
      <c r="A3505" t="s">
        <v>3518</v>
      </c>
    </row>
    <row r="3506" spans="1:1" x14ac:dyDescent="0.3">
      <c r="A3506" t="s">
        <v>3519</v>
      </c>
    </row>
    <row r="3507" spans="1:1" x14ac:dyDescent="0.3">
      <c r="A3507" t="s">
        <v>3520</v>
      </c>
    </row>
    <row r="3508" spans="1:1" x14ac:dyDescent="0.3">
      <c r="A3508" t="s">
        <v>3521</v>
      </c>
    </row>
    <row r="3509" spans="1:1" x14ac:dyDescent="0.3">
      <c r="A3509" t="s">
        <v>3522</v>
      </c>
    </row>
    <row r="3510" spans="1:1" x14ac:dyDescent="0.3">
      <c r="A3510" t="s">
        <v>3523</v>
      </c>
    </row>
    <row r="3511" spans="1:1" x14ac:dyDescent="0.3">
      <c r="A3511" t="s">
        <v>3524</v>
      </c>
    </row>
    <row r="3512" spans="1:1" x14ac:dyDescent="0.3">
      <c r="A3512" t="s">
        <v>3525</v>
      </c>
    </row>
    <row r="3513" spans="1:1" x14ac:dyDescent="0.3">
      <c r="A3513" t="s">
        <v>3526</v>
      </c>
    </row>
    <row r="3514" spans="1:1" x14ac:dyDescent="0.3">
      <c r="A3514" t="s">
        <v>3527</v>
      </c>
    </row>
    <row r="3515" spans="1:1" x14ac:dyDescent="0.3">
      <c r="A3515" t="s">
        <v>3528</v>
      </c>
    </row>
    <row r="3516" spans="1:1" x14ac:dyDescent="0.3">
      <c r="A3516" t="s">
        <v>3529</v>
      </c>
    </row>
    <row r="3517" spans="1:1" x14ac:dyDescent="0.3">
      <c r="A3517" t="s">
        <v>3530</v>
      </c>
    </row>
    <row r="3518" spans="1:1" x14ac:dyDescent="0.3">
      <c r="A3518" t="s">
        <v>3531</v>
      </c>
    </row>
    <row r="3519" spans="1:1" x14ac:dyDescent="0.3">
      <c r="A3519" t="s">
        <v>3532</v>
      </c>
    </row>
    <row r="3520" spans="1:1" x14ac:dyDescent="0.3">
      <c r="A3520" t="s">
        <v>3533</v>
      </c>
    </row>
    <row r="3521" spans="1:1" x14ac:dyDescent="0.3">
      <c r="A3521" t="s">
        <v>3534</v>
      </c>
    </row>
    <row r="3522" spans="1:1" x14ac:dyDescent="0.3">
      <c r="A3522" t="s">
        <v>3535</v>
      </c>
    </row>
    <row r="3523" spans="1:1" x14ac:dyDescent="0.3">
      <c r="A3523" t="s">
        <v>3536</v>
      </c>
    </row>
    <row r="3524" spans="1:1" x14ac:dyDescent="0.3">
      <c r="A3524" t="s">
        <v>3537</v>
      </c>
    </row>
    <row r="3525" spans="1:1" x14ac:dyDescent="0.3">
      <c r="A3525" t="s">
        <v>3538</v>
      </c>
    </row>
    <row r="3526" spans="1:1" x14ac:dyDescent="0.3">
      <c r="A3526" t="s">
        <v>3539</v>
      </c>
    </row>
    <row r="3527" spans="1:1" x14ac:dyDescent="0.3">
      <c r="A3527" t="s">
        <v>3540</v>
      </c>
    </row>
    <row r="3528" spans="1:1" x14ac:dyDescent="0.3">
      <c r="A3528" t="s">
        <v>3541</v>
      </c>
    </row>
    <row r="3529" spans="1:1" x14ac:dyDescent="0.3">
      <c r="A3529" t="s">
        <v>3542</v>
      </c>
    </row>
    <row r="3530" spans="1:1" x14ac:dyDescent="0.3">
      <c r="A3530" t="s">
        <v>3543</v>
      </c>
    </row>
    <row r="3531" spans="1:1" x14ac:dyDescent="0.3">
      <c r="A3531" t="s">
        <v>3544</v>
      </c>
    </row>
    <row r="3532" spans="1:1" x14ac:dyDescent="0.3">
      <c r="A3532" t="s">
        <v>3545</v>
      </c>
    </row>
    <row r="3533" spans="1:1" x14ac:dyDescent="0.3">
      <c r="A3533" t="s">
        <v>3546</v>
      </c>
    </row>
    <row r="3534" spans="1:1" x14ac:dyDescent="0.3">
      <c r="A3534" t="s">
        <v>3547</v>
      </c>
    </row>
    <row r="3535" spans="1:1" x14ac:dyDescent="0.3">
      <c r="A3535" t="s">
        <v>3548</v>
      </c>
    </row>
    <row r="3536" spans="1:1" x14ac:dyDescent="0.3">
      <c r="A3536" t="s">
        <v>3549</v>
      </c>
    </row>
    <row r="3537" spans="1:1" x14ac:dyDescent="0.3">
      <c r="A3537" t="s">
        <v>3550</v>
      </c>
    </row>
    <row r="3538" spans="1:1" x14ac:dyDescent="0.3">
      <c r="A3538" t="s">
        <v>3551</v>
      </c>
    </row>
    <row r="3539" spans="1:1" x14ac:dyDescent="0.3">
      <c r="A3539" t="s">
        <v>3552</v>
      </c>
    </row>
    <row r="3540" spans="1:1" x14ac:dyDescent="0.3">
      <c r="A3540" t="s">
        <v>3553</v>
      </c>
    </row>
    <row r="3541" spans="1:1" x14ac:dyDescent="0.3">
      <c r="A3541" t="s">
        <v>3554</v>
      </c>
    </row>
    <row r="3542" spans="1:1" x14ac:dyDescent="0.3">
      <c r="A3542" t="s">
        <v>3555</v>
      </c>
    </row>
    <row r="3543" spans="1:1" x14ac:dyDescent="0.3">
      <c r="A3543" t="s">
        <v>3556</v>
      </c>
    </row>
    <row r="3544" spans="1:1" x14ac:dyDescent="0.3">
      <c r="A3544" t="s">
        <v>3557</v>
      </c>
    </row>
    <row r="3545" spans="1:1" x14ac:dyDescent="0.3">
      <c r="A3545" t="s">
        <v>3558</v>
      </c>
    </row>
    <row r="3546" spans="1:1" x14ac:dyDescent="0.3">
      <c r="A3546" t="s">
        <v>3559</v>
      </c>
    </row>
    <row r="3547" spans="1:1" x14ac:dyDescent="0.3">
      <c r="A3547" t="s">
        <v>3560</v>
      </c>
    </row>
    <row r="3548" spans="1:1" x14ac:dyDescent="0.3">
      <c r="A3548" t="s">
        <v>3561</v>
      </c>
    </row>
    <row r="3549" spans="1:1" x14ac:dyDescent="0.3">
      <c r="A3549" t="s">
        <v>3562</v>
      </c>
    </row>
    <row r="3550" spans="1:1" x14ac:dyDescent="0.3">
      <c r="A3550" t="s">
        <v>3563</v>
      </c>
    </row>
    <row r="3551" spans="1:1" x14ac:dyDescent="0.3">
      <c r="A3551" t="s">
        <v>3564</v>
      </c>
    </row>
    <row r="3552" spans="1:1" x14ac:dyDescent="0.3">
      <c r="A3552" t="s">
        <v>3565</v>
      </c>
    </row>
    <row r="3553" spans="1:1" x14ac:dyDescent="0.3">
      <c r="A3553" t="s">
        <v>3566</v>
      </c>
    </row>
    <row r="3554" spans="1:1" x14ac:dyDescent="0.3">
      <c r="A3554" t="s">
        <v>3567</v>
      </c>
    </row>
    <row r="3555" spans="1:1" x14ac:dyDescent="0.3">
      <c r="A3555" t="s">
        <v>3568</v>
      </c>
    </row>
    <row r="3556" spans="1:1" x14ac:dyDescent="0.3">
      <c r="A3556" t="s">
        <v>3569</v>
      </c>
    </row>
    <row r="3557" spans="1:1" x14ac:dyDescent="0.3">
      <c r="A3557" t="s">
        <v>3570</v>
      </c>
    </row>
    <row r="3558" spans="1:1" x14ac:dyDescent="0.3">
      <c r="A3558" t="s">
        <v>3571</v>
      </c>
    </row>
    <row r="3559" spans="1:1" x14ac:dyDescent="0.3">
      <c r="A3559" t="s">
        <v>3572</v>
      </c>
    </row>
    <row r="3560" spans="1:1" x14ac:dyDescent="0.3">
      <c r="A3560" t="s">
        <v>3573</v>
      </c>
    </row>
    <row r="3561" spans="1:1" x14ac:dyDescent="0.3">
      <c r="A3561" t="s">
        <v>3574</v>
      </c>
    </row>
    <row r="3562" spans="1:1" x14ac:dyDescent="0.3">
      <c r="A3562" t="s">
        <v>3575</v>
      </c>
    </row>
    <row r="3563" spans="1:1" x14ac:dyDescent="0.3">
      <c r="A3563" t="s">
        <v>3576</v>
      </c>
    </row>
    <row r="3564" spans="1:1" x14ac:dyDescent="0.3">
      <c r="A3564" t="s">
        <v>3577</v>
      </c>
    </row>
    <row r="3565" spans="1:1" x14ac:dyDescent="0.3">
      <c r="A3565" t="s">
        <v>3578</v>
      </c>
    </row>
    <row r="3566" spans="1:1" x14ac:dyDescent="0.3">
      <c r="A3566" t="s">
        <v>3579</v>
      </c>
    </row>
    <row r="3567" spans="1:1" x14ac:dyDescent="0.3">
      <c r="A3567" t="s">
        <v>3580</v>
      </c>
    </row>
    <row r="3568" spans="1:1" x14ac:dyDescent="0.3">
      <c r="A3568" t="s">
        <v>3581</v>
      </c>
    </row>
    <row r="3569" spans="1:1" x14ac:dyDescent="0.3">
      <c r="A3569" t="s">
        <v>3582</v>
      </c>
    </row>
    <row r="3570" spans="1:1" x14ac:dyDescent="0.3">
      <c r="A3570" t="s">
        <v>3583</v>
      </c>
    </row>
    <row r="3571" spans="1:1" x14ac:dyDescent="0.3">
      <c r="A3571" t="s">
        <v>3584</v>
      </c>
    </row>
    <row r="3572" spans="1:1" x14ac:dyDescent="0.3">
      <c r="A3572" t="s">
        <v>3585</v>
      </c>
    </row>
    <row r="3573" spans="1:1" x14ac:dyDescent="0.3">
      <c r="A3573" t="s">
        <v>3586</v>
      </c>
    </row>
    <row r="3574" spans="1:1" x14ac:dyDescent="0.3">
      <c r="A3574" t="s">
        <v>3587</v>
      </c>
    </row>
    <row r="3575" spans="1:1" x14ac:dyDescent="0.3">
      <c r="A3575" t="s">
        <v>3588</v>
      </c>
    </row>
    <row r="3576" spans="1:1" x14ac:dyDescent="0.3">
      <c r="A3576" t="s">
        <v>3589</v>
      </c>
    </row>
    <row r="3577" spans="1:1" x14ac:dyDescent="0.3">
      <c r="A3577" t="s">
        <v>3590</v>
      </c>
    </row>
    <row r="3578" spans="1:1" x14ac:dyDescent="0.3">
      <c r="A3578" t="s">
        <v>3591</v>
      </c>
    </row>
    <row r="3579" spans="1:1" x14ac:dyDescent="0.3">
      <c r="A3579" t="s">
        <v>3592</v>
      </c>
    </row>
    <row r="3580" spans="1:1" x14ac:dyDescent="0.3">
      <c r="A3580" t="s">
        <v>3593</v>
      </c>
    </row>
    <row r="3581" spans="1:1" x14ac:dyDescent="0.3">
      <c r="A3581" t="s">
        <v>3594</v>
      </c>
    </row>
    <row r="3582" spans="1:1" x14ac:dyDescent="0.3">
      <c r="A3582" t="s">
        <v>3595</v>
      </c>
    </row>
    <row r="3583" spans="1:1" x14ac:dyDescent="0.3">
      <c r="A3583" t="s">
        <v>3596</v>
      </c>
    </row>
    <row r="3584" spans="1:1" x14ac:dyDescent="0.3">
      <c r="A3584" t="s">
        <v>3597</v>
      </c>
    </row>
    <row r="3585" spans="1:1" x14ac:dyDescent="0.3">
      <c r="A3585" t="s">
        <v>3598</v>
      </c>
    </row>
    <row r="3586" spans="1:1" x14ac:dyDescent="0.3">
      <c r="A3586" t="s">
        <v>3599</v>
      </c>
    </row>
    <row r="3587" spans="1:1" x14ac:dyDescent="0.3">
      <c r="A3587" t="s">
        <v>3600</v>
      </c>
    </row>
    <row r="3588" spans="1:1" x14ac:dyDescent="0.3">
      <c r="A3588" t="s">
        <v>3601</v>
      </c>
    </row>
    <row r="3589" spans="1:1" x14ac:dyDescent="0.3">
      <c r="A3589" t="s">
        <v>3602</v>
      </c>
    </row>
    <row r="3590" spans="1:1" x14ac:dyDescent="0.3">
      <c r="A3590" t="s">
        <v>3603</v>
      </c>
    </row>
    <row r="3591" spans="1:1" x14ac:dyDescent="0.3">
      <c r="A3591" t="s">
        <v>3604</v>
      </c>
    </row>
    <row r="3592" spans="1:1" x14ac:dyDescent="0.3">
      <c r="A3592" t="s">
        <v>3605</v>
      </c>
    </row>
    <row r="3593" spans="1:1" x14ac:dyDescent="0.3">
      <c r="A3593" t="s">
        <v>3606</v>
      </c>
    </row>
    <row r="3594" spans="1:1" x14ac:dyDescent="0.3">
      <c r="A3594" t="s">
        <v>3607</v>
      </c>
    </row>
    <row r="3595" spans="1:1" x14ac:dyDescent="0.3">
      <c r="A3595" t="s">
        <v>3608</v>
      </c>
    </row>
    <row r="3596" spans="1:1" x14ac:dyDescent="0.3">
      <c r="A3596" t="s">
        <v>3609</v>
      </c>
    </row>
    <row r="3597" spans="1:1" x14ac:dyDescent="0.3">
      <c r="A3597" t="s">
        <v>3610</v>
      </c>
    </row>
    <row r="3598" spans="1:1" x14ac:dyDescent="0.3">
      <c r="A3598" t="s">
        <v>3611</v>
      </c>
    </row>
    <row r="3599" spans="1:1" x14ac:dyDescent="0.3">
      <c r="A3599" t="s">
        <v>3612</v>
      </c>
    </row>
    <row r="3600" spans="1:1" x14ac:dyDescent="0.3">
      <c r="A3600" t="s">
        <v>3613</v>
      </c>
    </row>
    <row r="3601" spans="1:1" x14ac:dyDescent="0.3">
      <c r="A3601" t="s">
        <v>3614</v>
      </c>
    </row>
    <row r="3602" spans="1:1" x14ac:dyDescent="0.3">
      <c r="A3602" t="s">
        <v>3615</v>
      </c>
    </row>
    <row r="3603" spans="1:1" x14ac:dyDescent="0.3">
      <c r="A3603" t="s">
        <v>3616</v>
      </c>
    </row>
    <row r="3604" spans="1:1" x14ac:dyDescent="0.3">
      <c r="A3604" t="s">
        <v>3617</v>
      </c>
    </row>
    <row r="3605" spans="1:1" x14ac:dyDescent="0.3">
      <c r="A3605" t="s">
        <v>3618</v>
      </c>
    </row>
    <row r="3606" spans="1:1" x14ac:dyDescent="0.3">
      <c r="A3606" t="s">
        <v>3619</v>
      </c>
    </row>
    <row r="3607" spans="1:1" x14ac:dyDescent="0.3">
      <c r="A3607" t="s">
        <v>3620</v>
      </c>
    </row>
    <row r="3608" spans="1:1" x14ac:dyDescent="0.3">
      <c r="A3608" t="s">
        <v>3621</v>
      </c>
    </row>
    <row r="3609" spans="1:1" x14ac:dyDescent="0.3">
      <c r="A3609" t="s">
        <v>3622</v>
      </c>
    </row>
    <row r="3610" spans="1:1" x14ac:dyDescent="0.3">
      <c r="A3610" t="s">
        <v>3623</v>
      </c>
    </row>
    <row r="3611" spans="1:1" x14ac:dyDescent="0.3">
      <c r="A3611" t="s">
        <v>3624</v>
      </c>
    </row>
    <row r="3612" spans="1:1" x14ac:dyDescent="0.3">
      <c r="A3612" t="s">
        <v>3625</v>
      </c>
    </row>
    <row r="3613" spans="1:1" x14ac:dyDescent="0.3">
      <c r="A3613" t="s">
        <v>3626</v>
      </c>
    </row>
    <row r="3614" spans="1:1" x14ac:dyDescent="0.3">
      <c r="A3614" t="s">
        <v>3627</v>
      </c>
    </row>
    <row r="3615" spans="1:1" x14ac:dyDescent="0.3">
      <c r="A3615" t="s">
        <v>3628</v>
      </c>
    </row>
    <row r="3616" spans="1:1" x14ac:dyDescent="0.3">
      <c r="A3616" t="s">
        <v>3629</v>
      </c>
    </row>
    <row r="3617" spans="1:1" x14ac:dyDescent="0.3">
      <c r="A3617" t="s">
        <v>3630</v>
      </c>
    </row>
    <row r="3618" spans="1:1" x14ac:dyDescent="0.3">
      <c r="A3618" t="s">
        <v>3631</v>
      </c>
    </row>
    <row r="3619" spans="1:1" x14ac:dyDescent="0.3">
      <c r="A3619" t="s">
        <v>3632</v>
      </c>
    </row>
    <row r="3620" spans="1:1" x14ac:dyDescent="0.3">
      <c r="A3620" t="s">
        <v>3633</v>
      </c>
    </row>
    <row r="3621" spans="1:1" x14ac:dyDescent="0.3">
      <c r="A3621" t="s">
        <v>3634</v>
      </c>
    </row>
    <row r="3622" spans="1:1" x14ac:dyDescent="0.3">
      <c r="A3622" t="s">
        <v>3635</v>
      </c>
    </row>
    <row r="3623" spans="1:1" x14ac:dyDescent="0.3">
      <c r="A3623" t="s">
        <v>3636</v>
      </c>
    </row>
    <row r="3624" spans="1:1" x14ac:dyDescent="0.3">
      <c r="A3624" t="s">
        <v>3637</v>
      </c>
    </row>
    <row r="3625" spans="1:1" x14ac:dyDescent="0.3">
      <c r="A3625" t="s">
        <v>3638</v>
      </c>
    </row>
    <row r="3626" spans="1:1" x14ac:dyDescent="0.3">
      <c r="A3626" t="s">
        <v>3639</v>
      </c>
    </row>
    <row r="3627" spans="1:1" x14ac:dyDescent="0.3">
      <c r="A3627" t="s">
        <v>3640</v>
      </c>
    </row>
    <row r="3628" spans="1:1" x14ac:dyDescent="0.3">
      <c r="A3628" t="s">
        <v>3641</v>
      </c>
    </row>
    <row r="3629" spans="1:1" x14ac:dyDescent="0.3">
      <c r="A3629" t="s">
        <v>3642</v>
      </c>
    </row>
    <row r="3630" spans="1:1" x14ac:dyDescent="0.3">
      <c r="A3630" t="s">
        <v>3643</v>
      </c>
    </row>
    <row r="3631" spans="1:1" x14ac:dyDescent="0.3">
      <c r="A3631" t="s">
        <v>3644</v>
      </c>
    </row>
    <row r="3632" spans="1:1" x14ac:dyDescent="0.3">
      <c r="A3632" t="s">
        <v>3645</v>
      </c>
    </row>
    <row r="3633" spans="1:1" x14ac:dyDescent="0.3">
      <c r="A3633" t="s">
        <v>3646</v>
      </c>
    </row>
    <row r="3634" spans="1:1" x14ac:dyDescent="0.3">
      <c r="A3634" t="s">
        <v>3647</v>
      </c>
    </row>
    <row r="3635" spans="1:1" x14ac:dyDescent="0.3">
      <c r="A3635" t="s">
        <v>3648</v>
      </c>
    </row>
    <row r="3636" spans="1:1" x14ac:dyDescent="0.3">
      <c r="A3636" t="s">
        <v>3649</v>
      </c>
    </row>
    <row r="3637" spans="1:1" x14ac:dyDescent="0.3">
      <c r="A3637" t="s">
        <v>3650</v>
      </c>
    </row>
    <row r="3638" spans="1:1" x14ac:dyDescent="0.3">
      <c r="A3638" t="s">
        <v>3651</v>
      </c>
    </row>
    <row r="3639" spans="1:1" x14ac:dyDescent="0.3">
      <c r="A3639" t="s">
        <v>3652</v>
      </c>
    </row>
    <row r="3640" spans="1:1" x14ac:dyDescent="0.3">
      <c r="A3640" t="s">
        <v>3653</v>
      </c>
    </row>
    <row r="3641" spans="1:1" x14ac:dyDescent="0.3">
      <c r="A3641" t="s">
        <v>3654</v>
      </c>
    </row>
    <row r="3642" spans="1:1" x14ac:dyDescent="0.3">
      <c r="A3642" t="s">
        <v>3655</v>
      </c>
    </row>
    <row r="3643" spans="1:1" x14ac:dyDescent="0.3">
      <c r="A3643" t="s">
        <v>3656</v>
      </c>
    </row>
    <row r="3644" spans="1:1" x14ac:dyDescent="0.3">
      <c r="A3644" t="s">
        <v>3657</v>
      </c>
    </row>
    <row r="3645" spans="1:1" x14ac:dyDescent="0.3">
      <c r="A3645" t="s">
        <v>3658</v>
      </c>
    </row>
    <row r="3646" spans="1:1" x14ac:dyDescent="0.3">
      <c r="A3646" t="s">
        <v>3659</v>
      </c>
    </row>
    <row r="3647" spans="1:1" x14ac:dyDescent="0.3">
      <c r="A3647" t="s">
        <v>3660</v>
      </c>
    </row>
    <row r="3648" spans="1:1" x14ac:dyDescent="0.3">
      <c r="A3648" t="s">
        <v>3661</v>
      </c>
    </row>
    <row r="3649" spans="1:1" x14ac:dyDescent="0.3">
      <c r="A3649" t="s">
        <v>3662</v>
      </c>
    </row>
    <row r="3650" spans="1:1" x14ac:dyDescent="0.3">
      <c r="A3650" t="s">
        <v>3663</v>
      </c>
    </row>
    <row r="3651" spans="1:1" x14ac:dyDescent="0.3">
      <c r="A3651" t="s">
        <v>3664</v>
      </c>
    </row>
    <row r="3652" spans="1:1" x14ac:dyDescent="0.3">
      <c r="A3652" t="s">
        <v>3665</v>
      </c>
    </row>
    <row r="3653" spans="1:1" x14ac:dyDescent="0.3">
      <c r="A3653" t="s">
        <v>3666</v>
      </c>
    </row>
    <row r="3654" spans="1:1" x14ac:dyDescent="0.3">
      <c r="A3654" t="s">
        <v>3667</v>
      </c>
    </row>
    <row r="3655" spans="1:1" x14ac:dyDescent="0.3">
      <c r="A3655" t="s">
        <v>3668</v>
      </c>
    </row>
    <row r="3656" spans="1:1" x14ac:dyDescent="0.3">
      <c r="A3656" t="s">
        <v>3669</v>
      </c>
    </row>
    <row r="3657" spans="1:1" x14ac:dyDescent="0.3">
      <c r="A3657" t="s">
        <v>3670</v>
      </c>
    </row>
    <row r="3658" spans="1:1" x14ac:dyDescent="0.3">
      <c r="A3658" t="s">
        <v>3671</v>
      </c>
    </row>
    <row r="3659" spans="1:1" x14ac:dyDescent="0.3">
      <c r="A3659" t="s">
        <v>3672</v>
      </c>
    </row>
    <row r="3660" spans="1:1" x14ac:dyDescent="0.3">
      <c r="A3660" t="s">
        <v>3673</v>
      </c>
    </row>
    <row r="3661" spans="1:1" x14ac:dyDescent="0.3">
      <c r="A3661" t="s">
        <v>3674</v>
      </c>
    </row>
    <row r="3662" spans="1:1" x14ac:dyDescent="0.3">
      <c r="A3662" t="s">
        <v>3675</v>
      </c>
    </row>
    <row r="3663" spans="1:1" x14ac:dyDescent="0.3">
      <c r="A3663" t="s">
        <v>3676</v>
      </c>
    </row>
    <row r="3664" spans="1:1" x14ac:dyDescent="0.3">
      <c r="A3664" t="s">
        <v>3677</v>
      </c>
    </row>
    <row r="3665" spans="1:1" x14ac:dyDescent="0.3">
      <c r="A3665" t="s">
        <v>3678</v>
      </c>
    </row>
    <row r="3666" spans="1:1" x14ac:dyDescent="0.3">
      <c r="A3666" t="s">
        <v>3679</v>
      </c>
    </row>
    <row r="3667" spans="1:1" x14ac:dyDescent="0.3">
      <c r="A3667" t="s">
        <v>3680</v>
      </c>
    </row>
    <row r="3668" spans="1:1" x14ac:dyDescent="0.3">
      <c r="A3668" t="s">
        <v>3681</v>
      </c>
    </row>
    <row r="3669" spans="1:1" x14ac:dyDescent="0.3">
      <c r="A3669" t="s">
        <v>3682</v>
      </c>
    </row>
    <row r="3670" spans="1:1" x14ac:dyDescent="0.3">
      <c r="A3670" t="s">
        <v>3683</v>
      </c>
    </row>
    <row r="3671" spans="1:1" x14ac:dyDescent="0.3">
      <c r="A3671" t="s">
        <v>3684</v>
      </c>
    </row>
    <row r="3672" spans="1:1" x14ac:dyDescent="0.3">
      <c r="A3672" t="s">
        <v>3685</v>
      </c>
    </row>
    <row r="3673" spans="1:1" x14ac:dyDescent="0.3">
      <c r="A3673" t="s">
        <v>3686</v>
      </c>
    </row>
    <row r="3674" spans="1:1" x14ac:dyDescent="0.3">
      <c r="A3674" t="s">
        <v>3687</v>
      </c>
    </row>
    <row r="3675" spans="1:1" x14ac:dyDescent="0.3">
      <c r="A3675" t="s">
        <v>3688</v>
      </c>
    </row>
    <row r="3676" spans="1:1" x14ac:dyDescent="0.3">
      <c r="A3676" t="s">
        <v>3689</v>
      </c>
    </row>
    <row r="3677" spans="1:1" x14ac:dyDescent="0.3">
      <c r="A3677" t="s">
        <v>3690</v>
      </c>
    </row>
    <row r="3678" spans="1:1" x14ac:dyDescent="0.3">
      <c r="A3678" t="s">
        <v>3691</v>
      </c>
    </row>
    <row r="3679" spans="1:1" x14ac:dyDescent="0.3">
      <c r="A3679" t="s">
        <v>3692</v>
      </c>
    </row>
    <row r="3680" spans="1:1" x14ac:dyDescent="0.3">
      <c r="A3680" t="s">
        <v>3693</v>
      </c>
    </row>
    <row r="3681" spans="1:1" x14ac:dyDescent="0.3">
      <c r="A3681" t="s">
        <v>3694</v>
      </c>
    </row>
    <row r="3682" spans="1:1" x14ac:dyDescent="0.3">
      <c r="A3682" t="s">
        <v>3695</v>
      </c>
    </row>
    <row r="3683" spans="1:1" x14ac:dyDescent="0.3">
      <c r="A3683" t="s">
        <v>3696</v>
      </c>
    </row>
    <row r="3684" spans="1:1" x14ac:dyDescent="0.3">
      <c r="A3684" t="s">
        <v>3697</v>
      </c>
    </row>
    <row r="3685" spans="1:1" x14ac:dyDescent="0.3">
      <c r="A3685" t="s">
        <v>3698</v>
      </c>
    </row>
    <row r="3686" spans="1:1" x14ac:dyDescent="0.3">
      <c r="A3686" t="s">
        <v>3699</v>
      </c>
    </row>
    <row r="3687" spans="1:1" x14ac:dyDescent="0.3">
      <c r="A3687" t="s">
        <v>3700</v>
      </c>
    </row>
    <row r="3688" spans="1:1" x14ac:dyDescent="0.3">
      <c r="A3688" t="s">
        <v>3701</v>
      </c>
    </row>
    <row r="3689" spans="1:1" x14ac:dyDescent="0.3">
      <c r="A3689" t="s">
        <v>3702</v>
      </c>
    </row>
    <row r="3690" spans="1:1" x14ac:dyDescent="0.3">
      <c r="A3690" t="s">
        <v>3703</v>
      </c>
    </row>
    <row r="3691" spans="1:1" x14ac:dyDescent="0.3">
      <c r="A3691" t="s">
        <v>3704</v>
      </c>
    </row>
    <row r="3692" spans="1:1" x14ac:dyDescent="0.3">
      <c r="A3692" t="s">
        <v>3705</v>
      </c>
    </row>
    <row r="3693" spans="1:1" x14ac:dyDescent="0.3">
      <c r="A3693" t="s">
        <v>3706</v>
      </c>
    </row>
    <row r="3694" spans="1:1" x14ac:dyDescent="0.3">
      <c r="A3694" t="s">
        <v>3707</v>
      </c>
    </row>
    <row r="3695" spans="1:1" x14ac:dyDescent="0.3">
      <c r="A3695" t="s">
        <v>3708</v>
      </c>
    </row>
    <row r="3696" spans="1:1" x14ac:dyDescent="0.3">
      <c r="A3696" t="s">
        <v>3709</v>
      </c>
    </row>
    <row r="3697" spans="1:1" x14ac:dyDescent="0.3">
      <c r="A3697" t="s">
        <v>3710</v>
      </c>
    </row>
    <row r="3698" spans="1:1" x14ac:dyDescent="0.3">
      <c r="A3698" t="s">
        <v>3711</v>
      </c>
    </row>
    <row r="3699" spans="1:1" x14ac:dyDescent="0.3">
      <c r="A3699" t="s">
        <v>3712</v>
      </c>
    </row>
    <row r="3700" spans="1:1" x14ac:dyDescent="0.3">
      <c r="A3700" t="s">
        <v>3713</v>
      </c>
    </row>
    <row r="3701" spans="1:1" x14ac:dyDescent="0.3">
      <c r="A3701" t="s">
        <v>3714</v>
      </c>
    </row>
    <row r="3702" spans="1:1" x14ac:dyDescent="0.3">
      <c r="A3702" t="s">
        <v>3715</v>
      </c>
    </row>
    <row r="3703" spans="1:1" x14ac:dyDescent="0.3">
      <c r="A3703" t="s">
        <v>3716</v>
      </c>
    </row>
    <row r="3704" spans="1:1" x14ac:dyDescent="0.3">
      <c r="A3704" t="s">
        <v>3717</v>
      </c>
    </row>
    <row r="3705" spans="1:1" x14ac:dyDescent="0.3">
      <c r="A3705" t="s">
        <v>3718</v>
      </c>
    </row>
    <row r="3706" spans="1:1" x14ac:dyDescent="0.3">
      <c r="A3706" t="s">
        <v>3719</v>
      </c>
    </row>
    <row r="3707" spans="1:1" x14ac:dyDescent="0.3">
      <c r="A3707" t="s">
        <v>3720</v>
      </c>
    </row>
    <row r="3708" spans="1:1" x14ac:dyDescent="0.3">
      <c r="A3708" t="s">
        <v>3721</v>
      </c>
    </row>
    <row r="3709" spans="1:1" x14ac:dyDescent="0.3">
      <c r="A3709" t="s">
        <v>3722</v>
      </c>
    </row>
    <row r="3710" spans="1:1" x14ac:dyDescent="0.3">
      <c r="A3710" t="s">
        <v>3723</v>
      </c>
    </row>
    <row r="3711" spans="1:1" x14ac:dyDescent="0.3">
      <c r="A3711" t="s">
        <v>3724</v>
      </c>
    </row>
    <row r="3712" spans="1:1" x14ac:dyDescent="0.3">
      <c r="A3712" t="s">
        <v>3725</v>
      </c>
    </row>
    <row r="3713" spans="1:1" x14ac:dyDescent="0.3">
      <c r="A3713" t="s">
        <v>3726</v>
      </c>
    </row>
    <row r="3714" spans="1:1" x14ac:dyDescent="0.3">
      <c r="A3714" t="s">
        <v>3727</v>
      </c>
    </row>
    <row r="3715" spans="1:1" x14ac:dyDescent="0.3">
      <c r="A3715" t="s">
        <v>3728</v>
      </c>
    </row>
    <row r="3716" spans="1:1" x14ac:dyDescent="0.3">
      <c r="A3716" t="s">
        <v>3729</v>
      </c>
    </row>
    <row r="3717" spans="1:1" x14ac:dyDescent="0.3">
      <c r="A3717" t="s">
        <v>3730</v>
      </c>
    </row>
    <row r="3718" spans="1:1" x14ac:dyDescent="0.3">
      <c r="A3718" t="s">
        <v>3731</v>
      </c>
    </row>
    <row r="3719" spans="1:1" x14ac:dyDescent="0.3">
      <c r="A3719" t="s">
        <v>3732</v>
      </c>
    </row>
    <row r="3720" spans="1:1" x14ac:dyDescent="0.3">
      <c r="A3720" t="s">
        <v>3733</v>
      </c>
    </row>
    <row r="3721" spans="1:1" x14ac:dyDescent="0.3">
      <c r="A3721" t="s">
        <v>3734</v>
      </c>
    </row>
    <row r="3722" spans="1:1" x14ac:dyDescent="0.3">
      <c r="A3722" t="s">
        <v>3735</v>
      </c>
    </row>
    <row r="3723" spans="1:1" x14ac:dyDescent="0.3">
      <c r="A3723" t="s">
        <v>3736</v>
      </c>
    </row>
    <row r="3724" spans="1:1" x14ac:dyDescent="0.3">
      <c r="A3724" t="s">
        <v>3737</v>
      </c>
    </row>
    <row r="3725" spans="1:1" x14ac:dyDescent="0.3">
      <c r="A3725" t="s">
        <v>3738</v>
      </c>
    </row>
    <row r="3726" spans="1:1" x14ac:dyDescent="0.3">
      <c r="A3726" t="s">
        <v>3739</v>
      </c>
    </row>
    <row r="3727" spans="1:1" x14ac:dyDescent="0.3">
      <c r="A3727" t="s">
        <v>3740</v>
      </c>
    </row>
    <row r="3728" spans="1:1" x14ac:dyDescent="0.3">
      <c r="A3728" t="s">
        <v>3741</v>
      </c>
    </row>
    <row r="3729" spans="1:1" x14ac:dyDescent="0.3">
      <c r="A3729" t="s">
        <v>3742</v>
      </c>
    </row>
    <row r="3730" spans="1:1" x14ac:dyDescent="0.3">
      <c r="A3730" t="s">
        <v>3743</v>
      </c>
    </row>
    <row r="3731" spans="1:1" x14ac:dyDescent="0.3">
      <c r="A3731" t="s">
        <v>3744</v>
      </c>
    </row>
    <row r="3732" spans="1:1" x14ac:dyDescent="0.3">
      <c r="A3732" t="s">
        <v>3745</v>
      </c>
    </row>
    <row r="3733" spans="1:1" x14ac:dyDescent="0.3">
      <c r="A3733" t="s">
        <v>3746</v>
      </c>
    </row>
    <row r="3734" spans="1:1" x14ac:dyDescent="0.3">
      <c r="A3734" t="s">
        <v>3747</v>
      </c>
    </row>
    <row r="3735" spans="1:1" x14ac:dyDescent="0.3">
      <c r="A3735" t="s">
        <v>3748</v>
      </c>
    </row>
    <row r="3736" spans="1:1" x14ac:dyDescent="0.3">
      <c r="A3736" t="s">
        <v>3749</v>
      </c>
    </row>
    <row r="3737" spans="1:1" x14ac:dyDescent="0.3">
      <c r="A3737" t="s">
        <v>3750</v>
      </c>
    </row>
    <row r="3738" spans="1:1" x14ac:dyDescent="0.3">
      <c r="A3738" t="s">
        <v>3751</v>
      </c>
    </row>
    <row r="3739" spans="1:1" x14ac:dyDescent="0.3">
      <c r="A3739" t="s">
        <v>3752</v>
      </c>
    </row>
    <row r="3740" spans="1:1" x14ac:dyDescent="0.3">
      <c r="A3740" t="s">
        <v>3753</v>
      </c>
    </row>
    <row r="3741" spans="1:1" x14ac:dyDescent="0.3">
      <c r="A3741" t="s">
        <v>3754</v>
      </c>
    </row>
    <row r="3742" spans="1:1" x14ac:dyDescent="0.3">
      <c r="A3742" t="s">
        <v>3755</v>
      </c>
    </row>
    <row r="3743" spans="1:1" x14ac:dyDescent="0.3">
      <c r="A3743" t="s">
        <v>3756</v>
      </c>
    </row>
    <row r="3744" spans="1:1" x14ac:dyDescent="0.3">
      <c r="A3744" t="s">
        <v>3757</v>
      </c>
    </row>
    <row r="3745" spans="1:1" x14ac:dyDescent="0.3">
      <c r="A3745" t="s">
        <v>3758</v>
      </c>
    </row>
    <row r="3746" spans="1:1" x14ac:dyDescent="0.3">
      <c r="A3746" t="s">
        <v>3759</v>
      </c>
    </row>
    <row r="3747" spans="1:1" x14ac:dyDescent="0.3">
      <c r="A3747" t="s">
        <v>3760</v>
      </c>
    </row>
    <row r="3748" spans="1:1" x14ac:dyDescent="0.3">
      <c r="A3748" t="s">
        <v>3761</v>
      </c>
    </row>
    <row r="3749" spans="1:1" x14ac:dyDescent="0.3">
      <c r="A3749" t="s">
        <v>3762</v>
      </c>
    </row>
    <row r="3750" spans="1:1" x14ac:dyDescent="0.3">
      <c r="A3750" t="s">
        <v>3763</v>
      </c>
    </row>
    <row r="3751" spans="1:1" x14ac:dyDescent="0.3">
      <c r="A3751" t="s">
        <v>3764</v>
      </c>
    </row>
    <row r="3752" spans="1:1" x14ac:dyDescent="0.3">
      <c r="A3752" t="s">
        <v>3765</v>
      </c>
    </row>
    <row r="3753" spans="1:1" x14ac:dyDescent="0.3">
      <c r="A3753" t="s">
        <v>3766</v>
      </c>
    </row>
    <row r="3754" spans="1:1" x14ac:dyDescent="0.3">
      <c r="A3754" t="s">
        <v>3767</v>
      </c>
    </row>
    <row r="3755" spans="1:1" x14ac:dyDescent="0.3">
      <c r="A3755" t="s">
        <v>3768</v>
      </c>
    </row>
    <row r="3756" spans="1:1" x14ac:dyDescent="0.3">
      <c r="A3756" t="s">
        <v>3769</v>
      </c>
    </row>
    <row r="3757" spans="1:1" x14ac:dyDescent="0.3">
      <c r="A3757" t="s">
        <v>3770</v>
      </c>
    </row>
    <row r="3758" spans="1:1" x14ac:dyDescent="0.3">
      <c r="A3758" t="s">
        <v>3771</v>
      </c>
    </row>
    <row r="3759" spans="1:1" x14ac:dyDescent="0.3">
      <c r="A3759" t="s">
        <v>3772</v>
      </c>
    </row>
    <row r="3760" spans="1:1" x14ac:dyDescent="0.3">
      <c r="A3760" t="s">
        <v>3773</v>
      </c>
    </row>
    <row r="3761" spans="1:1" x14ac:dyDescent="0.3">
      <c r="A3761" t="s">
        <v>3774</v>
      </c>
    </row>
    <row r="3762" spans="1:1" x14ac:dyDescent="0.3">
      <c r="A3762" t="s">
        <v>3775</v>
      </c>
    </row>
    <row r="3763" spans="1:1" x14ac:dyDescent="0.3">
      <c r="A3763" t="s">
        <v>3776</v>
      </c>
    </row>
    <row r="3764" spans="1:1" x14ac:dyDescent="0.3">
      <c r="A3764" t="s">
        <v>3777</v>
      </c>
    </row>
    <row r="3765" spans="1:1" x14ac:dyDescent="0.3">
      <c r="A3765" t="s">
        <v>3778</v>
      </c>
    </row>
    <row r="3766" spans="1:1" x14ac:dyDescent="0.3">
      <c r="A3766" t="s">
        <v>3779</v>
      </c>
    </row>
    <row r="3767" spans="1:1" x14ac:dyDescent="0.3">
      <c r="A3767" t="s">
        <v>3780</v>
      </c>
    </row>
    <row r="3768" spans="1:1" x14ac:dyDescent="0.3">
      <c r="A3768" t="s">
        <v>3781</v>
      </c>
    </row>
    <row r="3769" spans="1:1" x14ac:dyDescent="0.3">
      <c r="A3769" t="s">
        <v>3782</v>
      </c>
    </row>
    <row r="3770" spans="1:1" x14ac:dyDescent="0.3">
      <c r="A3770" t="s">
        <v>3783</v>
      </c>
    </row>
    <row r="3771" spans="1:1" x14ac:dyDescent="0.3">
      <c r="A3771" t="s">
        <v>3784</v>
      </c>
    </row>
    <row r="3772" spans="1:1" x14ac:dyDescent="0.3">
      <c r="A3772" t="s">
        <v>3785</v>
      </c>
    </row>
    <row r="3773" spans="1:1" x14ac:dyDescent="0.3">
      <c r="A3773" t="s">
        <v>3786</v>
      </c>
    </row>
    <row r="3774" spans="1:1" x14ac:dyDescent="0.3">
      <c r="A3774" t="s">
        <v>3787</v>
      </c>
    </row>
    <row r="3775" spans="1:1" x14ac:dyDescent="0.3">
      <c r="A3775" t="s">
        <v>3788</v>
      </c>
    </row>
    <row r="3776" spans="1:1" x14ac:dyDescent="0.3">
      <c r="A3776" t="s">
        <v>3789</v>
      </c>
    </row>
    <row r="3777" spans="1:1" x14ac:dyDescent="0.3">
      <c r="A3777" t="s">
        <v>3790</v>
      </c>
    </row>
    <row r="3778" spans="1:1" x14ac:dyDescent="0.3">
      <c r="A3778" t="s">
        <v>3791</v>
      </c>
    </row>
    <row r="3779" spans="1:1" x14ac:dyDescent="0.3">
      <c r="A3779" t="s">
        <v>3792</v>
      </c>
    </row>
    <row r="3780" spans="1:1" x14ac:dyDescent="0.3">
      <c r="A3780" t="s">
        <v>3793</v>
      </c>
    </row>
    <row r="3781" spans="1:1" x14ac:dyDescent="0.3">
      <c r="A3781" t="s">
        <v>3794</v>
      </c>
    </row>
    <row r="3782" spans="1:1" x14ac:dyDescent="0.3">
      <c r="A3782" t="s">
        <v>3795</v>
      </c>
    </row>
    <row r="3783" spans="1:1" x14ac:dyDescent="0.3">
      <c r="A3783" t="s">
        <v>3796</v>
      </c>
    </row>
    <row r="3784" spans="1:1" x14ac:dyDescent="0.3">
      <c r="A3784" t="s">
        <v>3797</v>
      </c>
    </row>
    <row r="3785" spans="1:1" x14ac:dyDescent="0.3">
      <c r="A3785" t="s">
        <v>3798</v>
      </c>
    </row>
    <row r="3786" spans="1:1" x14ac:dyDescent="0.3">
      <c r="A3786" t="s">
        <v>3799</v>
      </c>
    </row>
    <row r="3787" spans="1:1" x14ac:dyDescent="0.3">
      <c r="A3787" t="s">
        <v>3800</v>
      </c>
    </row>
    <row r="3788" spans="1:1" x14ac:dyDescent="0.3">
      <c r="A3788" t="s">
        <v>3801</v>
      </c>
    </row>
    <row r="3789" spans="1:1" x14ac:dyDescent="0.3">
      <c r="A3789" t="s">
        <v>3802</v>
      </c>
    </row>
    <row r="3790" spans="1:1" x14ac:dyDescent="0.3">
      <c r="A3790" t="s">
        <v>3803</v>
      </c>
    </row>
    <row r="3791" spans="1:1" x14ac:dyDescent="0.3">
      <c r="A3791" t="s">
        <v>3804</v>
      </c>
    </row>
    <row r="3792" spans="1:1" x14ac:dyDescent="0.3">
      <c r="A3792" t="s">
        <v>3805</v>
      </c>
    </row>
    <row r="3793" spans="1:1" x14ac:dyDescent="0.3">
      <c r="A3793" t="s">
        <v>3806</v>
      </c>
    </row>
    <row r="3794" spans="1:1" x14ac:dyDescent="0.3">
      <c r="A3794" t="s">
        <v>3807</v>
      </c>
    </row>
    <row r="3795" spans="1:1" x14ac:dyDescent="0.3">
      <c r="A3795" t="s">
        <v>3808</v>
      </c>
    </row>
    <row r="3796" spans="1:1" x14ac:dyDescent="0.3">
      <c r="A3796" t="s">
        <v>3809</v>
      </c>
    </row>
    <row r="3797" spans="1:1" x14ac:dyDescent="0.3">
      <c r="A3797" t="s">
        <v>3810</v>
      </c>
    </row>
    <row r="3798" spans="1:1" x14ac:dyDescent="0.3">
      <c r="A3798" t="s">
        <v>3811</v>
      </c>
    </row>
    <row r="3799" spans="1:1" x14ac:dyDescent="0.3">
      <c r="A3799" t="s">
        <v>3812</v>
      </c>
    </row>
    <row r="3800" spans="1:1" x14ac:dyDescent="0.3">
      <c r="A3800" t="s">
        <v>3813</v>
      </c>
    </row>
    <row r="3801" spans="1:1" x14ac:dyDescent="0.3">
      <c r="A3801" t="s">
        <v>3814</v>
      </c>
    </row>
    <row r="3802" spans="1:1" x14ac:dyDescent="0.3">
      <c r="A3802" t="s">
        <v>3815</v>
      </c>
    </row>
    <row r="3803" spans="1:1" x14ac:dyDescent="0.3">
      <c r="A3803" t="s">
        <v>3816</v>
      </c>
    </row>
    <row r="3804" spans="1:1" x14ac:dyDescent="0.3">
      <c r="A3804" t="s">
        <v>3817</v>
      </c>
    </row>
    <row r="3805" spans="1:1" x14ac:dyDescent="0.3">
      <c r="A3805" t="s">
        <v>3818</v>
      </c>
    </row>
    <row r="3806" spans="1:1" x14ac:dyDescent="0.3">
      <c r="A3806" t="s">
        <v>3819</v>
      </c>
    </row>
    <row r="3807" spans="1:1" x14ac:dyDescent="0.3">
      <c r="A3807" t="s">
        <v>3820</v>
      </c>
    </row>
    <row r="3808" spans="1:1" x14ac:dyDescent="0.3">
      <c r="A3808" t="s">
        <v>3821</v>
      </c>
    </row>
    <row r="3809" spans="1:1" x14ac:dyDescent="0.3">
      <c r="A3809" t="s">
        <v>3822</v>
      </c>
    </row>
    <row r="3810" spans="1:1" x14ac:dyDescent="0.3">
      <c r="A3810" t="s">
        <v>3823</v>
      </c>
    </row>
    <row r="3811" spans="1:1" x14ac:dyDescent="0.3">
      <c r="A3811" t="s">
        <v>3824</v>
      </c>
    </row>
    <row r="3812" spans="1:1" x14ac:dyDescent="0.3">
      <c r="A3812" t="s">
        <v>3825</v>
      </c>
    </row>
    <row r="3813" spans="1:1" x14ac:dyDescent="0.3">
      <c r="A3813" t="s">
        <v>3826</v>
      </c>
    </row>
    <row r="3814" spans="1:1" x14ac:dyDescent="0.3">
      <c r="A3814" t="s">
        <v>3827</v>
      </c>
    </row>
    <row r="3815" spans="1:1" x14ac:dyDescent="0.3">
      <c r="A3815" t="s">
        <v>3828</v>
      </c>
    </row>
    <row r="3816" spans="1:1" x14ac:dyDescent="0.3">
      <c r="A3816" t="s">
        <v>3829</v>
      </c>
    </row>
    <row r="3817" spans="1:1" x14ac:dyDescent="0.3">
      <c r="A3817" t="s">
        <v>3830</v>
      </c>
    </row>
    <row r="3818" spans="1:1" x14ac:dyDescent="0.3">
      <c r="A3818" t="s">
        <v>3831</v>
      </c>
    </row>
    <row r="3819" spans="1:1" x14ac:dyDescent="0.3">
      <c r="A3819" t="s">
        <v>3832</v>
      </c>
    </row>
    <row r="3820" spans="1:1" x14ac:dyDescent="0.3">
      <c r="A3820" t="s">
        <v>3833</v>
      </c>
    </row>
    <row r="3821" spans="1:1" x14ac:dyDescent="0.3">
      <c r="A3821" t="s">
        <v>3834</v>
      </c>
    </row>
    <row r="3822" spans="1:1" x14ac:dyDescent="0.3">
      <c r="A3822" t="s">
        <v>3835</v>
      </c>
    </row>
    <row r="3823" spans="1:1" x14ac:dyDescent="0.3">
      <c r="A3823" t="s">
        <v>3836</v>
      </c>
    </row>
    <row r="3824" spans="1:1" x14ac:dyDescent="0.3">
      <c r="A3824" t="s">
        <v>3837</v>
      </c>
    </row>
    <row r="3825" spans="1:1" x14ac:dyDescent="0.3">
      <c r="A3825" t="s">
        <v>3838</v>
      </c>
    </row>
    <row r="3826" spans="1:1" x14ac:dyDescent="0.3">
      <c r="A3826" t="s">
        <v>3839</v>
      </c>
    </row>
    <row r="3827" spans="1:1" x14ac:dyDescent="0.3">
      <c r="A3827" t="s">
        <v>3840</v>
      </c>
    </row>
    <row r="3828" spans="1:1" x14ac:dyDescent="0.3">
      <c r="A3828" t="s">
        <v>3841</v>
      </c>
    </row>
    <row r="3829" spans="1:1" x14ac:dyDescent="0.3">
      <c r="A3829" t="s">
        <v>3842</v>
      </c>
    </row>
    <row r="3830" spans="1:1" x14ac:dyDescent="0.3">
      <c r="A3830" t="s">
        <v>3843</v>
      </c>
    </row>
    <row r="3831" spans="1:1" x14ac:dyDescent="0.3">
      <c r="A3831" t="s">
        <v>3844</v>
      </c>
    </row>
    <row r="3832" spans="1:1" x14ac:dyDescent="0.3">
      <c r="A3832" t="s">
        <v>3845</v>
      </c>
    </row>
    <row r="3833" spans="1:1" x14ac:dyDescent="0.3">
      <c r="A3833" t="s">
        <v>3846</v>
      </c>
    </row>
    <row r="3834" spans="1:1" x14ac:dyDescent="0.3">
      <c r="A3834" t="s">
        <v>3847</v>
      </c>
    </row>
    <row r="3835" spans="1:1" x14ac:dyDescent="0.3">
      <c r="A3835" t="s">
        <v>3848</v>
      </c>
    </row>
    <row r="3836" spans="1:1" x14ac:dyDescent="0.3">
      <c r="A3836" t="s">
        <v>3849</v>
      </c>
    </row>
    <row r="3837" spans="1:1" x14ac:dyDescent="0.3">
      <c r="A3837" t="s">
        <v>3850</v>
      </c>
    </row>
    <row r="3838" spans="1:1" x14ac:dyDescent="0.3">
      <c r="A3838" t="s">
        <v>3851</v>
      </c>
    </row>
    <row r="3839" spans="1:1" x14ac:dyDescent="0.3">
      <c r="A3839" t="s">
        <v>3852</v>
      </c>
    </row>
    <row r="3840" spans="1:1" x14ac:dyDescent="0.3">
      <c r="A3840" t="s">
        <v>3853</v>
      </c>
    </row>
    <row r="3841" spans="1:1" x14ac:dyDescent="0.3">
      <c r="A3841" t="s">
        <v>3854</v>
      </c>
    </row>
    <row r="3842" spans="1:1" x14ac:dyDescent="0.3">
      <c r="A3842" t="s">
        <v>3855</v>
      </c>
    </row>
    <row r="3843" spans="1:1" x14ac:dyDescent="0.3">
      <c r="A3843" t="s">
        <v>3856</v>
      </c>
    </row>
    <row r="3844" spans="1:1" x14ac:dyDescent="0.3">
      <c r="A3844" t="s">
        <v>3857</v>
      </c>
    </row>
    <row r="3845" spans="1:1" x14ac:dyDescent="0.3">
      <c r="A3845" t="s">
        <v>3858</v>
      </c>
    </row>
    <row r="3846" spans="1:1" x14ac:dyDescent="0.3">
      <c r="A3846" t="s">
        <v>3859</v>
      </c>
    </row>
    <row r="3847" spans="1:1" x14ac:dyDescent="0.3">
      <c r="A3847" t="s">
        <v>3860</v>
      </c>
    </row>
    <row r="3848" spans="1:1" x14ac:dyDescent="0.3">
      <c r="A3848" t="s">
        <v>3861</v>
      </c>
    </row>
    <row r="3849" spans="1:1" x14ac:dyDescent="0.3">
      <c r="A3849" t="s">
        <v>3862</v>
      </c>
    </row>
    <row r="3850" spans="1:1" x14ac:dyDescent="0.3">
      <c r="A3850" t="s">
        <v>3863</v>
      </c>
    </row>
    <row r="3851" spans="1:1" x14ac:dyDescent="0.3">
      <c r="A3851" t="s">
        <v>3864</v>
      </c>
    </row>
    <row r="3852" spans="1:1" x14ac:dyDescent="0.3">
      <c r="A3852" t="s">
        <v>3865</v>
      </c>
    </row>
    <row r="3853" spans="1:1" x14ac:dyDescent="0.3">
      <c r="A3853" t="s">
        <v>3866</v>
      </c>
    </row>
    <row r="3854" spans="1:1" x14ac:dyDescent="0.3">
      <c r="A3854" t="s">
        <v>3867</v>
      </c>
    </row>
    <row r="3855" spans="1:1" x14ac:dyDescent="0.3">
      <c r="A3855" t="s">
        <v>3868</v>
      </c>
    </row>
    <row r="3856" spans="1:1" x14ac:dyDescent="0.3">
      <c r="A3856" t="s">
        <v>3869</v>
      </c>
    </row>
    <row r="3857" spans="1:1" x14ac:dyDescent="0.3">
      <c r="A3857" t="s">
        <v>3870</v>
      </c>
    </row>
    <row r="3858" spans="1:1" x14ac:dyDescent="0.3">
      <c r="A3858" t="s">
        <v>3871</v>
      </c>
    </row>
    <row r="3859" spans="1:1" x14ac:dyDescent="0.3">
      <c r="A3859" t="s">
        <v>3872</v>
      </c>
    </row>
    <row r="3860" spans="1:1" x14ac:dyDescent="0.3">
      <c r="A3860" t="s">
        <v>3873</v>
      </c>
    </row>
    <row r="3861" spans="1:1" x14ac:dyDescent="0.3">
      <c r="A3861" t="s">
        <v>3874</v>
      </c>
    </row>
    <row r="3862" spans="1:1" x14ac:dyDescent="0.3">
      <c r="A3862" t="s">
        <v>3875</v>
      </c>
    </row>
    <row r="3863" spans="1:1" x14ac:dyDescent="0.3">
      <c r="A3863" t="s">
        <v>3876</v>
      </c>
    </row>
    <row r="3864" spans="1:1" x14ac:dyDescent="0.3">
      <c r="A3864" t="s">
        <v>3877</v>
      </c>
    </row>
    <row r="3865" spans="1:1" x14ac:dyDescent="0.3">
      <c r="A3865" t="s">
        <v>3878</v>
      </c>
    </row>
    <row r="3866" spans="1:1" x14ac:dyDescent="0.3">
      <c r="A3866" t="s">
        <v>3879</v>
      </c>
    </row>
    <row r="3867" spans="1:1" x14ac:dyDescent="0.3">
      <c r="A3867" t="s">
        <v>3880</v>
      </c>
    </row>
    <row r="3868" spans="1:1" x14ac:dyDescent="0.3">
      <c r="A3868" t="s">
        <v>3881</v>
      </c>
    </row>
    <row r="3869" spans="1:1" x14ac:dyDescent="0.3">
      <c r="A3869" t="s">
        <v>3882</v>
      </c>
    </row>
    <row r="3870" spans="1:1" x14ac:dyDescent="0.3">
      <c r="A3870" t="s">
        <v>3883</v>
      </c>
    </row>
    <row r="3871" spans="1:1" x14ac:dyDescent="0.3">
      <c r="A3871" t="s">
        <v>3884</v>
      </c>
    </row>
    <row r="3872" spans="1:1" x14ac:dyDescent="0.3">
      <c r="A3872" t="s">
        <v>3885</v>
      </c>
    </row>
    <row r="3873" spans="1:1" x14ac:dyDescent="0.3">
      <c r="A3873" t="s">
        <v>3886</v>
      </c>
    </row>
    <row r="3874" spans="1:1" x14ac:dyDescent="0.3">
      <c r="A3874" t="s">
        <v>3887</v>
      </c>
    </row>
    <row r="3875" spans="1:1" x14ac:dyDescent="0.3">
      <c r="A3875" t="s">
        <v>3888</v>
      </c>
    </row>
    <row r="3876" spans="1:1" x14ac:dyDescent="0.3">
      <c r="A3876" t="s">
        <v>3889</v>
      </c>
    </row>
    <row r="3877" spans="1:1" x14ac:dyDescent="0.3">
      <c r="A3877" t="s">
        <v>3890</v>
      </c>
    </row>
    <row r="3878" spans="1:1" x14ac:dyDescent="0.3">
      <c r="A3878" t="s">
        <v>3891</v>
      </c>
    </row>
    <row r="3879" spans="1:1" x14ac:dyDescent="0.3">
      <c r="A3879" t="s">
        <v>3892</v>
      </c>
    </row>
    <row r="3880" spans="1:1" x14ac:dyDescent="0.3">
      <c r="A3880" t="s">
        <v>3893</v>
      </c>
    </row>
    <row r="3881" spans="1:1" x14ac:dyDescent="0.3">
      <c r="A3881" t="s">
        <v>3894</v>
      </c>
    </row>
    <row r="3882" spans="1:1" x14ac:dyDescent="0.3">
      <c r="A3882" t="s">
        <v>3895</v>
      </c>
    </row>
    <row r="3883" spans="1:1" x14ac:dyDescent="0.3">
      <c r="A3883" t="s">
        <v>3896</v>
      </c>
    </row>
    <row r="3884" spans="1:1" x14ac:dyDescent="0.3">
      <c r="A3884" t="s">
        <v>3897</v>
      </c>
    </row>
    <row r="3885" spans="1:1" x14ac:dyDescent="0.3">
      <c r="A3885" t="s">
        <v>3898</v>
      </c>
    </row>
    <row r="3886" spans="1:1" x14ac:dyDescent="0.3">
      <c r="A3886" t="s">
        <v>3899</v>
      </c>
    </row>
    <row r="3887" spans="1:1" x14ac:dyDescent="0.3">
      <c r="A3887" t="s">
        <v>3900</v>
      </c>
    </row>
    <row r="3888" spans="1:1" x14ac:dyDescent="0.3">
      <c r="A3888" t="s">
        <v>3901</v>
      </c>
    </row>
    <row r="3889" spans="1:1" x14ac:dyDescent="0.3">
      <c r="A3889" t="s">
        <v>3902</v>
      </c>
    </row>
    <row r="3890" spans="1:1" x14ac:dyDescent="0.3">
      <c r="A3890" t="s">
        <v>3903</v>
      </c>
    </row>
    <row r="3891" spans="1:1" x14ac:dyDescent="0.3">
      <c r="A3891" t="s">
        <v>3904</v>
      </c>
    </row>
    <row r="3892" spans="1:1" x14ac:dyDescent="0.3">
      <c r="A3892" t="s">
        <v>3905</v>
      </c>
    </row>
    <row r="3893" spans="1:1" x14ac:dyDescent="0.3">
      <c r="A3893" t="s">
        <v>3906</v>
      </c>
    </row>
    <row r="3894" spans="1:1" x14ac:dyDescent="0.3">
      <c r="A3894" t="s">
        <v>3907</v>
      </c>
    </row>
    <row r="3895" spans="1:1" x14ac:dyDescent="0.3">
      <c r="A3895" t="s">
        <v>3908</v>
      </c>
    </row>
    <row r="3896" spans="1:1" x14ac:dyDescent="0.3">
      <c r="A3896" t="s">
        <v>3909</v>
      </c>
    </row>
    <row r="3897" spans="1:1" x14ac:dyDescent="0.3">
      <c r="A3897" t="s">
        <v>3910</v>
      </c>
    </row>
    <row r="3898" spans="1:1" x14ac:dyDescent="0.3">
      <c r="A3898" t="s">
        <v>3911</v>
      </c>
    </row>
    <row r="3899" spans="1:1" x14ac:dyDescent="0.3">
      <c r="A3899" t="s">
        <v>3912</v>
      </c>
    </row>
    <row r="3900" spans="1:1" x14ac:dyDescent="0.3">
      <c r="A3900" t="s">
        <v>3913</v>
      </c>
    </row>
    <row r="3901" spans="1:1" x14ac:dyDescent="0.3">
      <c r="A3901" t="s">
        <v>3914</v>
      </c>
    </row>
    <row r="3902" spans="1:1" x14ac:dyDescent="0.3">
      <c r="A3902" t="s">
        <v>3915</v>
      </c>
    </row>
    <row r="3903" spans="1:1" x14ac:dyDescent="0.3">
      <c r="A3903" t="s">
        <v>3916</v>
      </c>
    </row>
    <row r="3904" spans="1:1" x14ac:dyDescent="0.3">
      <c r="A3904" t="s">
        <v>3917</v>
      </c>
    </row>
    <row r="3905" spans="1:1" x14ac:dyDescent="0.3">
      <c r="A3905" t="s">
        <v>3918</v>
      </c>
    </row>
    <row r="3906" spans="1:1" x14ac:dyDescent="0.3">
      <c r="A3906" t="s">
        <v>3919</v>
      </c>
    </row>
    <row r="3907" spans="1:1" x14ac:dyDescent="0.3">
      <c r="A3907" t="s">
        <v>3920</v>
      </c>
    </row>
    <row r="3908" spans="1:1" x14ac:dyDescent="0.3">
      <c r="A3908" t="s">
        <v>3921</v>
      </c>
    </row>
    <row r="3909" spans="1:1" x14ac:dyDescent="0.3">
      <c r="A3909" t="s">
        <v>3922</v>
      </c>
    </row>
    <row r="3910" spans="1:1" x14ac:dyDescent="0.3">
      <c r="A3910" t="s">
        <v>3923</v>
      </c>
    </row>
    <row r="3911" spans="1:1" x14ac:dyDescent="0.3">
      <c r="A3911" t="s">
        <v>3924</v>
      </c>
    </row>
    <row r="3912" spans="1:1" x14ac:dyDescent="0.3">
      <c r="A3912" t="s">
        <v>3925</v>
      </c>
    </row>
    <row r="3913" spans="1:1" x14ac:dyDescent="0.3">
      <c r="A3913" t="s">
        <v>3926</v>
      </c>
    </row>
    <row r="3914" spans="1:1" x14ac:dyDescent="0.3">
      <c r="A3914" t="s">
        <v>3927</v>
      </c>
    </row>
    <row r="3915" spans="1:1" x14ac:dyDescent="0.3">
      <c r="A3915" t="s">
        <v>3928</v>
      </c>
    </row>
    <row r="3916" spans="1:1" x14ac:dyDescent="0.3">
      <c r="A3916" t="s">
        <v>3929</v>
      </c>
    </row>
    <row r="3917" spans="1:1" x14ac:dyDescent="0.3">
      <c r="A3917" t="s">
        <v>3930</v>
      </c>
    </row>
    <row r="3918" spans="1:1" x14ac:dyDescent="0.3">
      <c r="A3918" t="s">
        <v>3931</v>
      </c>
    </row>
    <row r="3919" spans="1:1" x14ac:dyDescent="0.3">
      <c r="A3919" t="s">
        <v>3932</v>
      </c>
    </row>
    <row r="3920" spans="1:1" x14ac:dyDescent="0.3">
      <c r="A3920" t="s">
        <v>3933</v>
      </c>
    </row>
    <row r="3921" spans="1:1" x14ac:dyDescent="0.3">
      <c r="A3921" t="s">
        <v>3934</v>
      </c>
    </row>
    <row r="3922" spans="1:1" x14ac:dyDescent="0.3">
      <c r="A3922" t="s">
        <v>3935</v>
      </c>
    </row>
    <row r="3923" spans="1:1" x14ac:dyDescent="0.3">
      <c r="A3923" t="s">
        <v>3936</v>
      </c>
    </row>
    <row r="3924" spans="1:1" x14ac:dyDescent="0.3">
      <c r="A3924" t="s">
        <v>3937</v>
      </c>
    </row>
    <row r="3925" spans="1:1" x14ac:dyDescent="0.3">
      <c r="A3925" t="s">
        <v>3938</v>
      </c>
    </row>
    <row r="3926" spans="1:1" x14ac:dyDescent="0.3">
      <c r="A3926" t="s">
        <v>3939</v>
      </c>
    </row>
    <row r="3927" spans="1:1" x14ac:dyDescent="0.3">
      <c r="A3927" t="s">
        <v>3940</v>
      </c>
    </row>
    <row r="3928" spans="1:1" x14ac:dyDescent="0.3">
      <c r="A3928" t="s">
        <v>3941</v>
      </c>
    </row>
    <row r="3929" spans="1:1" x14ac:dyDescent="0.3">
      <c r="A3929" t="s">
        <v>3942</v>
      </c>
    </row>
    <row r="3930" spans="1:1" x14ac:dyDescent="0.3">
      <c r="A3930" t="s">
        <v>3943</v>
      </c>
    </row>
    <row r="3931" spans="1:1" x14ac:dyDescent="0.3">
      <c r="A3931" t="s">
        <v>3944</v>
      </c>
    </row>
    <row r="3932" spans="1:1" x14ac:dyDescent="0.3">
      <c r="A3932" t="s">
        <v>3945</v>
      </c>
    </row>
    <row r="3933" spans="1:1" x14ac:dyDescent="0.3">
      <c r="A3933" t="s">
        <v>3946</v>
      </c>
    </row>
    <row r="3934" spans="1:1" x14ac:dyDescent="0.3">
      <c r="A3934" t="s">
        <v>3947</v>
      </c>
    </row>
    <row r="3935" spans="1:1" x14ac:dyDescent="0.3">
      <c r="A3935" t="s">
        <v>3948</v>
      </c>
    </row>
    <row r="3936" spans="1:1" x14ac:dyDescent="0.3">
      <c r="A3936" t="s">
        <v>3949</v>
      </c>
    </row>
    <row r="3937" spans="1:1" x14ac:dyDescent="0.3">
      <c r="A3937" t="s">
        <v>3950</v>
      </c>
    </row>
    <row r="3938" spans="1:1" x14ac:dyDescent="0.3">
      <c r="A3938" t="s">
        <v>3951</v>
      </c>
    </row>
    <row r="3939" spans="1:1" x14ac:dyDescent="0.3">
      <c r="A3939" t="s">
        <v>3952</v>
      </c>
    </row>
    <row r="3940" spans="1:1" x14ac:dyDescent="0.3">
      <c r="A3940" t="s">
        <v>3953</v>
      </c>
    </row>
    <row r="3941" spans="1:1" x14ac:dyDescent="0.3">
      <c r="A3941" t="s">
        <v>3954</v>
      </c>
    </row>
    <row r="3942" spans="1:1" x14ac:dyDescent="0.3">
      <c r="A3942" t="s">
        <v>3955</v>
      </c>
    </row>
    <row r="3943" spans="1:1" x14ac:dyDescent="0.3">
      <c r="A3943" t="s">
        <v>3956</v>
      </c>
    </row>
    <row r="3944" spans="1:1" x14ac:dyDescent="0.3">
      <c r="A3944" t="s">
        <v>3957</v>
      </c>
    </row>
    <row r="3945" spans="1:1" x14ac:dyDescent="0.3">
      <c r="A3945" t="s">
        <v>3958</v>
      </c>
    </row>
    <row r="3946" spans="1:1" x14ac:dyDescent="0.3">
      <c r="A3946" t="s">
        <v>3959</v>
      </c>
    </row>
    <row r="3947" spans="1:1" x14ac:dyDescent="0.3">
      <c r="A3947" t="s">
        <v>3960</v>
      </c>
    </row>
    <row r="3948" spans="1:1" x14ac:dyDescent="0.3">
      <c r="A3948" t="s">
        <v>3961</v>
      </c>
    </row>
    <row r="3949" spans="1:1" x14ac:dyDescent="0.3">
      <c r="A3949" t="s">
        <v>3962</v>
      </c>
    </row>
    <row r="3950" spans="1:1" x14ac:dyDescent="0.3">
      <c r="A3950" t="s">
        <v>3963</v>
      </c>
    </row>
    <row r="3951" spans="1:1" x14ac:dyDescent="0.3">
      <c r="A3951" t="s">
        <v>3964</v>
      </c>
    </row>
    <row r="3952" spans="1:1" x14ac:dyDescent="0.3">
      <c r="A3952" t="s">
        <v>3965</v>
      </c>
    </row>
    <row r="3953" spans="1:5" x14ac:dyDescent="0.3">
      <c r="A3953" t="s">
        <v>3966</v>
      </c>
    </row>
    <row r="3954" spans="1:5" x14ac:dyDescent="0.3">
      <c r="A3954" t="s">
        <v>3967</v>
      </c>
    </row>
    <row r="3955" spans="1:5" x14ac:dyDescent="0.3">
      <c r="A3955" t="s">
        <v>3968</v>
      </c>
    </row>
    <row r="3956" spans="1:5" x14ac:dyDescent="0.3">
      <c r="A3956" t="s">
        <v>3969</v>
      </c>
    </row>
    <row r="3957" spans="1:5" x14ac:dyDescent="0.3">
      <c r="A3957" t="s">
        <v>3970</v>
      </c>
    </row>
    <row r="3958" spans="1:5" x14ac:dyDescent="0.3">
      <c r="A3958" t="s">
        <v>3971</v>
      </c>
    </row>
    <row r="3959" spans="1:5" x14ac:dyDescent="0.3">
      <c r="A3959" t="s">
        <v>3972</v>
      </c>
    </row>
    <row r="3960" spans="1:5" x14ac:dyDescent="0.3">
      <c r="A3960" t="s">
        <v>3973</v>
      </c>
    </row>
    <row r="3961" spans="1:5" x14ac:dyDescent="0.3">
      <c r="A3961" t="s">
        <v>3974</v>
      </c>
    </row>
    <row r="3962" spans="1:5" x14ac:dyDescent="0.3">
      <c r="A3962" t="s">
        <v>3975</v>
      </c>
    </row>
    <row r="3963" spans="1:5" x14ac:dyDescent="0.3">
      <c r="A3963" t="s">
        <v>3976</v>
      </c>
    </row>
    <row r="3964" spans="1:5" x14ac:dyDescent="0.3">
      <c r="A3964" t="s">
        <v>3977</v>
      </c>
      <c r="B3964" t="s">
        <v>3978</v>
      </c>
      <c r="C3964" t="s">
        <v>3979</v>
      </c>
      <c r="D3964" t="s">
        <v>3980</v>
      </c>
      <c r="E3964" t="s">
        <v>3981</v>
      </c>
    </row>
    <row r="3965" spans="1:5" x14ac:dyDescent="0.3">
      <c r="A3965" t="s">
        <v>3982</v>
      </c>
    </row>
    <row r="3966" spans="1:5" x14ac:dyDescent="0.3">
      <c r="A3966" t="s">
        <v>3983</v>
      </c>
    </row>
    <row r="3967" spans="1:5" x14ac:dyDescent="0.3">
      <c r="A3967" t="s">
        <v>3984</v>
      </c>
    </row>
    <row r="3968" spans="1:5" x14ac:dyDescent="0.3">
      <c r="A3968" t="s">
        <v>3985</v>
      </c>
    </row>
    <row r="3969" spans="1:1" x14ac:dyDescent="0.3">
      <c r="A3969" t="s">
        <v>3986</v>
      </c>
    </row>
    <row r="3970" spans="1:1" x14ac:dyDescent="0.3">
      <c r="A3970" t="s">
        <v>3987</v>
      </c>
    </row>
    <row r="3971" spans="1:1" x14ac:dyDescent="0.3">
      <c r="A3971" t="s">
        <v>3988</v>
      </c>
    </row>
    <row r="3972" spans="1:1" x14ac:dyDescent="0.3">
      <c r="A3972" t="s">
        <v>3989</v>
      </c>
    </row>
    <row r="3973" spans="1:1" x14ac:dyDescent="0.3">
      <c r="A3973" t="s">
        <v>3990</v>
      </c>
    </row>
    <row r="3974" spans="1:1" x14ac:dyDescent="0.3">
      <c r="A3974" t="s">
        <v>3991</v>
      </c>
    </row>
    <row r="3975" spans="1:1" x14ac:dyDescent="0.3">
      <c r="A3975" t="s">
        <v>3992</v>
      </c>
    </row>
    <row r="3976" spans="1:1" x14ac:dyDescent="0.3">
      <c r="A3976" t="s">
        <v>3993</v>
      </c>
    </row>
    <row r="3977" spans="1:1" x14ac:dyDescent="0.3">
      <c r="A3977" t="s">
        <v>3994</v>
      </c>
    </row>
    <row r="3978" spans="1:1" x14ac:dyDescent="0.3">
      <c r="A3978" t="s">
        <v>3995</v>
      </c>
    </row>
    <row r="3979" spans="1:1" x14ac:dyDescent="0.3">
      <c r="A3979" t="s">
        <v>3996</v>
      </c>
    </row>
    <row r="3980" spans="1:1" x14ac:dyDescent="0.3">
      <c r="A3980" t="s">
        <v>3997</v>
      </c>
    </row>
    <row r="3981" spans="1:1" x14ac:dyDescent="0.3">
      <c r="A3981" t="s">
        <v>3998</v>
      </c>
    </row>
    <row r="3982" spans="1:1" x14ac:dyDescent="0.3">
      <c r="A3982" t="s">
        <v>3999</v>
      </c>
    </row>
    <row r="3983" spans="1:1" x14ac:dyDescent="0.3">
      <c r="A3983" t="s">
        <v>4000</v>
      </c>
    </row>
    <row r="3984" spans="1:1" x14ac:dyDescent="0.3">
      <c r="A3984" t="s">
        <v>4001</v>
      </c>
    </row>
    <row r="3985" spans="1:1" x14ac:dyDescent="0.3">
      <c r="A3985" t="s">
        <v>4002</v>
      </c>
    </row>
    <row r="3986" spans="1:1" x14ac:dyDescent="0.3">
      <c r="A3986" t="s">
        <v>4003</v>
      </c>
    </row>
    <row r="3987" spans="1:1" x14ac:dyDescent="0.3">
      <c r="A3987" t="s">
        <v>4004</v>
      </c>
    </row>
    <row r="3988" spans="1:1" x14ac:dyDescent="0.3">
      <c r="A3988" t="s">
        <v>4005</v>
      </c>
    </row>
    <row r="3989" spans="1:1" x14ac:dyDescent="0.3">
      <c r="A3989" t="s">
        <v>4006</v>
      </c>
    </row>
    <row r="3990" spans="1:1" x14ac:dyDescent="0.3">
      <c r="A3990" t="s">
        <v>4007</v>
      </c>
    </row>
    <row r="3991" spans="1:1" x14ac:dyDescent="0.3">
      <c r="A3991" t="s">
        <v>4008</v>
      </c>
    </row>
    <row r="3992" spans="1:1" x14ac:dyDescent="0.3">
      <c r="A3992" t="s">
        <v>4009</v>
      </c>
    </row>
    <row r="3993" spans="1:1" x14ac:dyDescent="0.3">
      <c r="A3993" t="s">
        <v>4010</v>
      </c>
    </row>
    <row r="3994" spans="1:1" x14ac:dyDescent="0.3">
      <c r="A3994" t="s">
        <v>4011</v>
      </c>
    </row>
    <row r="3995" spans="1:1" x14ac:dyDescent="0.3">
      <c r="A3995" t="s">
        <v>4012</v>
      </c>
    </row>
    <row r="3996" spans="1:1" x14ac:dyDescent="0.3">
      <c r="A3996" t="s">
        <v>4013</v>
      </c>
    </row>
    <row r="3997" spans="1:1" x14ac:dyDescent="0.3">
      <c r="A3997" t="s">
        <v>4014</v>
      </c>
    </row>
    <row r="3998" spans="1:1" x14ac:dyDescent="0.3">
      <c r="A3998" t="s">
        <v>4015</v>
      </c>
    </row>
    <row r="3999" spans="1:1" x14ac:dyDescent="0.3">
      <c r="A3999" t="s">
        <v>4016</v>
      </c>
    </row>
    <row r="4000" spans="1:1" x14ac:dyDescent="0.3">
      <c r="A4000" t="s">
        <v>4017</v>
      </c>
    </row>
    <row r="4001" spans="1:1" x14ac:dyDescent="0.3">
      <c r="A4001" t="s">
        <v>4018</v>
      </c>
    </row>
    <row r="4002" spans="1:1" x14ac:dyDescent="0.3">
      <c r="A4002" t="s">
        <v>4019</v>
      </c>
    </row>
    <row r="4003" spans="1:1" x14ac:dyDescent="0.3">
      <c r="A4003" t="s">
        <v>4020</v>
      </c>
    </row>
    <row r="4004" spans="1:1" x14ac:dyDescent="0.3">
      <c r="A4004" t="s">
        <v>4021</v>
      </c>
    </row>
    <row r="4005" spans="1:1" x14ac:dyDescent="0.3">
      <c r="A4005" t="s">
        <v>4022</v>
      </c>
    </row>
    <row r="4006" spans="1:1" x14ac:dyDescent="0.3">
      <c r="A4006" t="s">
        <v>4023</v>
      </c>
    </row>
    <row r="4007" spans="1:1" x14ac:dyDescent="0.3">
      <c r="A4007" t="s">
        <v>4024</v>
      </c>
    </row>
    <row r="4008" spans="1:1" x14ac:dyDescent="0.3">
      <c r="A4008" t="s">
        <v>4025</v>
      </c>
    </row>
    <row r="4009" spans="1:1" x14ac:dyDescent="0.3">
      <c r="A4009" t="s">
        <v>4026</v>
      </c>
    </row>
    <row r="4010" spans="1:1" x14ac:dyDescent="0.3">
      <c r="A4010" t="s">
        <v>4027</v>
      </c>
    </row>
    <row r="4011" spans="1:1" x14ac:dyDescent="0.3">
      <c r="A4011" t="s">
        <v>4028</v>
      </c>
    </row>
    <row r="4012" spans="1:1" x14ac:dyDescent="0.3">
      <c r="A4012" t="s">
        <v>4029</v>
      </c>
    </row>
    <row r="4013" spans="1:1" x14ac:dyDescent="0.3">
      <c r="A4013" t="s">
        <v>4030</v>
      </c>
    </row>
    <row r="4014" spans="1:1" x14ac:dyDescent="0.3">
      <c r="A4014" t="s">
        <v>4031</v>
      </c>
    </row>
    <row r="4015" spans="1:1" x14ac:dyDescent="0.3">
      <c r="A4015" t="s">
        <v>4032</v>
      </c>
    </row>
    <row r="4016" spans="1:1" x14ac:dyDescent="0.3">
      <c r="A4016" t="s">
        <v>4033</v>
      </c>
    </row>
    <row r="4017" spans="1:2" x14ac:dyDescent="0.3">
      <c r="A4017" t="s">
        <v>4034</v>
      </c>
    </row>
    <row r="4018" spans="1:2" x14ac:dyDescent="0.3">
      <c r="A4018" t="s">
        <v>4035</v>
      </c>
    </row>
    <row r="4019" spans="1:2" x14ac:dyDescent="0.3">
      <c r="A4019" t="s">
        <v>4036</v>
      </c>
    </row>
    <row r="4020" spans="1:2" x14ac:dyDescent="0.3">
      <c r="A4020" t="s">
        <v>4037</v>
      </c>
    </row>
    <row r="4021" spans="1:2" x14ac:dyDescent="0.3">
      <c r="A4021" t="s">
        <v>4038</v>
      </c>
    </row>
    <row r="4022" spans="1:2" x14ac:dyDescent="0.3">
      <c r="A4022" t="s">
        <v>4039</v>
      </c>
      <c r="B4022" t="s">
        <v>4040</v>
      </c>
    </row>
    <row r="4023" spans="1:2" x14ac:dyDescent="0.3">
      <c r="A4023" t="s">
        <v>4041</v>
      </c>
    </row>
    <row r="4024" spans="1:2" x14ac:dyDescent="0.3">
      <c r="A4024" t="s">
        <v>4042</v>
      </c>
    </row>
    <row r="4025" spans="1:2" x14ac:dyDescent="0.3">
      <c r="A4025" t="s">
        <v>4043</v>
      </c>
    </row>
    <row r="4026" spans="1:2" x14ac:dyDescent="0.3">
      <c r="A4026" t="s">
        <v>4044</v>
      </c>
    </row>
    <row r="4027" spans="1:2" x14ac:dyDescent="0.3">
      <c r="A4027" t="s">
        <v>4045</v>
      </c>
    </row>
    <row r="4028" spans="1:2" x14ac:dyDescent="0.3">
      <c r="A4028" t="s">
        <v>4046</v>
      </c>
    </row>
    <row r="4029" spans="1:2" x14ac:dyDescent="0.3">
      <c r="A4029" t="s">
        <v>4047</v>
      </c>
    </row>
    <row r="4030" spans="1:2" x14ac:dyDescent="0.3">
      <c r="A4030" t="s">
        <v>4048</v>
      </c>
    </row>
    <row r="4031" spans="1:2" x14ac:dyDescent="0.3">
      <c r="A4031" t="s">
        <v>4049</v>
      </c>
    </row>
    <row r="4032" spans="1:2" x14ac:dyDescent="0.3">
      <c r="A4032" t="s">
        <v>4050</v>
      </c>
    </row>
    <row r="4033" spans="1:1" x14ac:dyDescent="0.3">
      <c r="A4033" t="s">
        <v>4051</v>
      </c>
    </row>
    <row r="4034" spans="1:1" x14ac:dyDescent="0.3">
      <c r="A4034" t="s">
        <v>4052</v>
      </c>
    </row>
    <row r="4035" spans="1:1" x14ac:dyDescent="0.3">
      <c r="A4035" t="s">
        <v>4053</v>
      </c>
    </row>
    <row r="4036" spans="1:1" x14ac:dyDescent="0.3">
      <c r="A4036" t="s">
        <v>4054</v>
      </c>
    </row>
    <row r="4037" spans="1:1" x14ac:dyDescent="0.3">
      <c r="A4037" t="s">
        <v>4055</v>
      </c>
    </row>
    <row r="4038" spans="1:1" x14ac:dyDescent="0.3">
      <c r="A4038" t="s">
        <v>4056</v>
      </c>
    </row>
    <row r="4039" spans="1:1" x14ac:dyDescent="0.3">
      <c r="A4039" t="s">
        <v>4057</v>
      </c>
    </row>
    <row r="4040" spans="1:1" x14ac:dyDescent="0.3">
      <c r="A4040" t="s">
        <v>4058</v>
      </c>
    </row>
    <row r="4041" spans="1:1" x14ac:dyDescent="0.3">
      <c r="A4041" t="s">
        <v>4059</v>
      </c>
    </row>
    <row r="4042" spans="1:1" x14ac:dyDescent="0.3">
      <c r="A4042" t="s">
        <v>4060</v>
      </c>
    </row>
    <row r="4043" spans="1:1" x14ac:dyDescent="0.3">
      <c r="A4043" t="s">
        <v>4061</v>
      </c>
    </row>
    <row r="4044" spans="1:1" x14ac:dyDescent="0.3">
      <c r="A4044" t="s">
        <v>4062</v>
      </c>
    </row>
    <row r="4045" spans="1:1" x14ac:dyDescent="0.3">
      <c r="A4045" t="s">
        <v>4063</v>
      </c>
    </row>
    <row r="4046" spans="1:1" x14ac:dyDescent="0.3">
      <c r="A4046" t="s">
        <v>4064</v>
      </c>
    </row>
    <row r="4047" spans="1:1" x14ac:dyDescent="0.3">
      <c r="A4047" t="s">
        <v>4065</v>
      </c>
    </row>
    <row r="4048" spans="1:1" x14ac:dyDescent="0.3">
      <c r="A4048" t="s">
        <v>4066</v>
      </c>
    </row>
    <row r="4049" spans="1:2" x14ac:dyDescent="0.3">
      <c r="A4049" t="s">
        <v>4067</v>
      </c>
    </row>
    <row r="4050" spans="1:2" x14ac:dyDescent="0.3">
      <c r="A4050" t="s">
        <v>4068</v>
      </c>
    </row>
    <row r="4051" spans="1:2" x14ac:dyDescent="0.3">
      <c r="A4051" t="s">
        <v>4069</v>
      </c>
    </row>
    <row r="4052" spans="1:2" x14ac:dyDescent="0.3">
      <c r="A4052" t="s">
        <v>4070</v>
      </c>
    </row>
    <row r="4053" spans="1:2" x14ac:dyDescent="0.3">
      <c r="A4053" t="s">
        <v>4071</v>
      </c>
      <c r="B4053" t="s">
        <v>4072</v>
      </c>
    </row>
    <row r="4054" spans="1:2" x14ac:dyDescent="0.3">
      <c r="A4054" t="s">
        <v>4073</v>
      </c>
    </row>
    <row r="4055" spans="1:2" x14ac:dyDescent="0.3">
      <c r="A4055" t="s">
        <v>4074</v>
      </c>
    </row>
    <row r="4056" spans="1:2" x14ac:dyDescent="0.3">
      <c r="A4056" t="s">
        <v>4075</v>
      </c>
    </row>
    <row r="4057" spans="1:2" x14ac:dyDescent="0.3">
      <c r="A4057" t="s">
        <v>4076</v>
      </c>
      <c r="B4057" t="s">
        <v>4077</v>
      </c>
    </row>
    <row r="4058" spans="1:2" x14ac:dyDescent="0.3">
      <c r="A4058" t="s">
        <v>4078</v>
      </c>
    </row>
    <row r="4059" spans="1:2" x14ac:dyDescent="0.3">
      <c r="A4059" t="s">
        <v>4079</v>
      </c>
    </row>
    <row r="4060" spans="1:2" x14ac:dyDescent="0.3">
      <c r="A4060" t="s">
        <v>4080</v>
      </c>
    </row>
    <row r="4061" spans="1:2" x14ac:dyDescent="0.3">
      <c r="A4061" t="s">
        <v>4081</v>
      </c>
    </row>
    <row r="4062" spans="1:2" x14ac:dyDescent="0.3">
      <c r="A4062" t="s">
        <v>4082</v>
      </c>
    </row>
    <row r="4063" spans="1:2" x14ac:dyDescent="0.3">
      <c r="A4063" t="s">
        <v>4083</v>
      </c>
    </row>
    <row r="4064" spans="1:2" x14ac:dyDescent="0.3">
      <c r="A4064" t="s">
        <v>4084</v>
      </c>
    </row>
    <row r="4065" spans="1:1" x14ac:dyDescent="0.3">
      <c r="A4065" t="s">
        <v>4085</v>
      </c>
    </row>
    <row r="4066" spans="1:1" x14ac:dyDescent="0.3">
      <c r="A4066" t="s">
        <v>4086</v>
      </c>
    </row>
    <row r="4067" spans="1:1" x14ac:dyDescent="0.3">
      <c r="A4067" t="s">
        <v>4087</v>
      </c>
    </row>
    <row r="4068" spans="1:1" x14ac:dyDescent="0.3">
      <c r="A4068" t="s">
        <v>4088</v>
      </c>
    </row>
    <row r="4069" spans="1:1" x14ac:dyDescent="0.3">
      <c r="A4069" t="s">
        <v>4089</v>
      </c>
    </row>
    <row r="4070" spans="1:1" x14ac:dyDescent="0.3">
      <c r="A4070" t="s">
        <v>4090</v>
      </c>
    </row>
    <row r="4071" spans="1:1" x14ac:dyDescent="0.3">
      <c r="A4071" t="s">
        <v>4091</v>
      </c>
    </row>
    <row r="4072" spans="1:1" x14ac:dyDescent="0.3">
      <c r="A4072" t="s">
        <v>4092</v>
      </c>
    </row>
    <row r="4073" spans="1:1" x14ac:dyDescent="0.3">
      <c r="A4073" t="s">
        <v>4093</v>
      </c>
    </row>
    <row r="4074" spans="1:1" x14ac:dyDescent="0.3">
      <c r="A4074" t="s">
        <v>4094</v>
      </c>
    </row>
    <row r="4075" spans="1:1" x14ac:dyDescent="0.3">
      <c r="A4075" t="s">
        <v>4095</v>
      </c>
    </row>
    <row r="4076" spans="1:1" x14ac:dyDescent="0.3">
      <c r="A4076" t="s">
        <v>4096</v>
      </c>
    </row>
    <row r="4077" spans="1:1" x14ac:dyDescent="0.3">
      <c r="A4077" t="s">
        <v>4097</v>
      </c>
    </row>
    <row r="4078" spans="1:1" x14ac:dyDescent="0.3">
      <c r="A4078" t="s">
        <v>4098</v>
      </c>
    </row>
    <row r="4079" spans="1:1" x14ac:dyDescent="0.3">
      <c r="A4079" t="s">
        <v>4099</v>
      </c>
    </row>
    <row r="4080" spans="1:1" x14ac:dyDescent="0.3">
      <c r="A4080" t="s">
        <v>4100</v>
      </c>
    </row>
    <row r="4081" spans="1:1" x14ac:dyDescent="0.3">
      <c r="A4081" t="s">
        <v>4101</v>
      </c>
    </row>
    <row r="4082" spans="1:1" x14ac:dyDescent="0.3">
      <c r="A4082" t="s">
        <v>4102</v>
      </c>
    </row>
    <row r="4083" spans="1:1" x14ac:dyDescent="0.3">
      <c r="A4083" t="s">
        <v>4103</v>
      </c>
    </row>
    <row r="4084" spans="1:1" x14ac:dyDescent="0.3">
      <c r="A4084" t="s">
        <v>4104</v>
      </c>
    </row>
    <row r="4085" spans="1:1" x14ac:dyDescent="0.3">
      <c r="A4085" t="s">
        <v>4105</v>
      </c>
    </row>
    <row r="4086" spans="1:1" x14ac:dyDescent="0.3">
      <c r="A4086" t="s">
        <v>4106</v>
      </c>
    </row>
    <row r="4087" spans="1:1" x14ac:dyDescent="0.3">
      <c r="A4087" t="s">
        <v>4107</v>
      </c>
    </row>
    <row r="4088" spans="1:1" x14ac:dyDescent="0.3">
      <c r="A4088" t="s">
        <v>4108</v>
      </c>
    </row>
    <row r="4089" spans="1:1" x14ac:dyDescent="0.3">
      <c r="A4089" t="s">
        <v>4109</v>
      </c>
    </row>
    <row r="4090" spans="1:1" x14ac:dyDescent="0.3">
      <c r="A4090" t="s">
        <v>4110</v>
      </c>
    </row>
    <row r="4091" spans="1:1" x14ac:dyDescent="0.3">
      <c r="A4091" t="s">
        <v>4111</v>
      </c>
    </row>
    <row r="4092" spans="1:1" x14ac:dyDescent="0.3">
      <c r="A4092" t="s">
        <v>4112</v>
      </c>
    </row>
    <row r="4093" spans="1:1" x14ac:dyDescent="0.3">
      <c r="A4093" t="s">
        <v>4113</v>
      </c>
    </row>
    <row r="4094" spans="1:1" x14ac:dyDescent="0.3">
      <c r="A4094" t="s">
        <v>4114</v>
      </c>
    </row>
    <row r="4095" spans="1:1" x14ac:dyDescent="0.3">
      <c r="A4095" t="s">
        <v>4115</v>
      </c>
    </row>
    <row r="4096" spans="1:1" x14ac:dyDescent="0.3">
      <c r="A4096" t="s">
        <v>4116</v>
      </c>
    </row>
    <row r="4097" spans="1:1" x14ac:dyDescent="0.3">
      <c r="A4097" t="s">
        <v>4117</v>
      </c>
    </row>
    <row r="4098" spans="1:1" x14ac:dyDescent="0.3">
      <c r="A4098" t="s">
        <v>4118</v>
      </c>
    </row>
    <row r="4099" spans="1:1" x14ac:dyDescent="0.3">
      <c r="A4099" t="s">
        <v>4119</v>
      </c>
    </row>
    <row r="4100" spans="1:1" x14ac:dyDescent="0.3">
      <c r="A4100" t="s">
        <v>4120</v>
      </c>
    </row>
    <row r="4101" spans="1:1" x14ac:dyDescent="0.3">
      <c r="A4101" t="s">
        <v>4121</v>
      </c>
    </row>
    <row r="4102" spans="1:1" x14ac:dyDescent="0.3">
      <c r="A4102" t="s">
        <v>4122</v>
      </c>
    </row>
    <row r="4103" spans="1:1" x14ac:dyDescent="0.3">
      <c r="A4103" t="s">
        <v>4123</v>
      </c>
    </row>
    <row r="4104" spans="1:1" x14ac:dyDescent="0.3">
      <c r="A4104" t="s">
        <v>4124</v>
      </c>
    </row>
    <row r="4105" spans="1:1" x14ac:dyDescent="0.3">
      <c r="A4105" t="s">
        <v>4125</v>
      </c>
    </row>
    <row r="4106" spans="1:1" x14ac:dyDescent="0.3">
      <c r="A4106" t="s">
        <v>4126</v>
      </c>
    </row>
    <row r="4107" spans="1:1" x14ac:dyDescent="0.3">
      <c r="A4107" t="s">
        <v>4127</v>
      </c>
    </row>
    <row r="4108" spans="1:1" x14ac:dyDescent="0.3">
      <c r="A4108" t="s">
        <v>4128</v>
      </c>
    </row>
    <row r="4109" spans="1:1" x14ac:dyDescent="0.3">
      <c r="A4109" t="s">
        <v>4129</v>
      </c>
    </row>
    <row r="4110" spans="1:1" x14ac:dyDescent="0.3">
      <c r="A4110" t="s">
        <v>4130</v>
      </c>
    </row>
    <row r="4111" spans="1:1" x14ac:dyDescent="0.3">
      <c r="A4111" t="s">
        <v>4131</v>
      </c>
    </row>
    <row r="4112" spans="1:1" x14ac:dyDescent="0.3">
      <c r="A4112" t="s">
        <v>4132</v>
      </c>
    </row>
    <row r="4113" spans="1:1" x14ac:dyDescent="0.3">
      <c r="A4113" t="s">
        <v>4133</v>
      </c>
    </row>
    <row r="4114" spans="1:1" x14ac:dyDescent="0.3">
      <c r="A4114" t="s">
        <v>4134</v>
      </c>
    </row>
    <row r="4115" spans="1:1" x14ac:dyDescent="0.3">
      <c r="A4115" t="s">
        <v>4135</v>
      </c>
    </row>
    <row r="4116" spans="1:1" x14ac:dyDescent="0.3">
      <c r="A4116" t="s">
        <v>4136</v>
      </c>
    </row>
    <row r="4117" spans="1:1" x14ac:dyDescent="0.3">
      <c r="A4117" t="s">
        <v>4137</v>
      </c>
    </row>
    <row r="4118" spans="1:1" x14ac:dyDescent="0.3">
      <c r="A4118" t="s">
        <v>4138</v>
      </c>
    </row>
    <row r="4119" spans="1:1" x14ac:dyDescent="0.3">
      <c r="A4119" t="s">
        <v>4139</v>
      </c>
    </row>
    <row r="4120" spans="1:1" x14ac:dyDescent="0.3">
      <c r="A4120" t="s">
        <v>4140</v>
      </c>
    </row>
    <row r="4121" spans="1:1" x14ac:dyDescent="0.3">
      <c r="A4121" t="s">
        <v>4141</v>
      </c>
    </row>
    <row r="4122" spans="1:1" x14ac:dyDescent="0.3">
      <c r="A4122" t="s">
        <v>4142</v>
      </c>
    </row>
    <row r="4123" spans="1:1" x14ac:dyDescent="0.3">
      <c r="A4123" t="s">
        <v>4143</v>
      </c>
    </row>
    <row r="4124" spans="1:1" x14ac:dyDescent="0.3">
      <c r="A4124" t="s">
        <v>4144</v>
      </c>
    </row>
    <row r="4125" spans="1:1" x14ac:dyDescent="0.3">
      <c r="A4125" t="s">
        <v>4145</v>
      </c>
    </row>
    <row r="4126" spans="1:1" x14ac:dyDescent="0.3">
      <c r="A4126" t="s">
        <v>4146</v>
      </c>
    </row>
    <row r="4127" spans="1:1" x14ac:dyDescent="0.3">
      <c r="A4127" t="s">
        <v>4147</v>
      </c>
    </row>
    <row r="4128" spans="1:1" x14ac:dyDescent="0.3">
      <c r="A4128" t="s">
        <v>4148</v>
      </c>
    </row>
    <row r="4129" spans="1:2" x14ac:dyDescent="0.3">
      <c r="A4129" t="s">
        <v>4149</v>
      </c>
    </row>
    <row r="4130" spans="1:2" x14ac:dyDescent="0.3">
      <c r="A4130" t="s">
        <v>4150</v>
      </c>
    </row>
    <row r="4131" spans="1:2" x14ac:dyDescent="0.3">
      <c r="A4131" t="s">
        <v>4151</v>
      </c>
    </row>
    <row r="4132" spans="1:2" x14ac:dyDescent="0.3">
      <c r="A4132" t="s">
        <v>4152</v>
      </c>
      <c r="B4132" t="s">
        <v>4153</v>
      </c>
    </row>
    <row r="4133" spans="1:2" x14ac:dyDescent="0.3">
      <c r="A4133" t="s">
        <v>4154</v>
      </c>
    </row>
    <row r="4134" spans="1:2" x14ac:dyDescent="0.3">
      <c r="A4134" t="s">
        <v>4155</v>
      </c>
    </row>
    <row r="4135" spans="1:2" x14ac:dyDescent="0.3">
      <c r="A4135" t="s">
        <v>4156</v>
      </c>
    </row>
    <row r="4136" spans="1:2" x14ac:dyDescent="0.3">
      <c r="A4136" t="s">
        <v>4157</v>
      </c>
    </row>
    <row r="4137" spans="1:2" x14ac:dyDescent="0.3">
      <c r="A4137" t="s">
        <v>4158</v>
      </c>
    </row>
    <row r="4138" spans="1:2" x14ac:dyDescent="0.3">
      <c r="A4138" t="s">
        <v>4159</v>
      </c>
    </row>
    <row r="4139" spans="1:2" x14ac:dyDescent="0.3">
      <c r="A4139" t="s">
        <v>4160</v>
      </c>
    </row>
    <row r="4140" spans="1:2" x14ac:dyDescent="0.3">
      <c r="A4140" t="s">
        <v>4161</v>
      </c>
    </row>
    <row r="4141" spans="1:2" x14ac:dyDescent="0.3">
      <c r="A4141" t="s">
        <v>4162</v>
      </c>
    </row>
    <row r="4142" spans="1:2" x14ac:dyDescent="0.3">
      <c r="A4142" t="s">
        <v>4163</v>
      </c>
    </row>
    <row r="4143" spans="1:2" x14ac:dyDescent="0.3">
      <c r="A4143" t="s">
        <v>4164</v>
      </c>
    </row>
    <row r="4144" spans="1:2" x14ac:dyDescent="0.3">
      <c r="A4144" t="s">
        <v>4165</v>
      </c>
    </row>
    <row r="4145" spans="1:1" x14ac:dyDescent="0.3">
      <c r="A4145" t="s">
        <v>4166</v>
      </c>
    </row>
    <row r="4146" spans="1:1" x14ac:dyDescent="0.3">
      <c r="A4146" t="s">
        <v>4167</v>
      </c>
    </row>
    <row r="4147" spans="1:1" x14ac:dyDescent="0.3">
      <c r="A4147" t="s">
        <v>4168</v>
      </c>
    </row>
    <row r="4148" spans="1:1" x14ac:dyDescent="0.3">
      <c r="A4148" t="s">
        <v>4169</v>
      </c>
    </row>
    <row r="4149" spans="1:1" x14ac:dyDescent="0.3">
      <c r="A4149" t="s">
        <v>4170</v>
      </c>
    </row>
    <row r="4150" spans="1:1" x14ac:dyDescent="0.3">
      <c r="A4150" t="s">
        <v>4171</v>
      </c>
    </row>
    <row r="4151" spans="1:1" x14ac:dyDescent="0.3">
      <c r="A4151" t="s">
        <v>4172</v>
      </c>
    </row>
    <row r="4152" spans="1:1" x14ac:dyDescent="0.3">
      <c r="A4152" t="s">
        <v>4173</v>
      </c>
    </row>
    <row r="4153" spans="1:1" x14ac:dyDescent="0.3">
      <c r="A4153" t="s">
        <v>4174</v>
      </c>
    </row>
    <row r="4154" spans="1:1" x14ac:dyDescent="0.3">
      <c r="A4154" t="s">
        <v>4175</v>
      </c>
    </row>
    <row r="4155" spans="1:1" x14ac:dyDescent="0.3">
      <c r="A4155" t="s">
        <v>4176</v>
      </c>
    </row>
    <row r="4156" spans="1:1" x14ac:dyDescent="0.3">
      <c r="A4156" t="s">
        <v>4177</v>
      </c>
    </row>
    <row r="4157" spans="1:1" x14ac:dyDescent="0.3">
      <c r="A4157" t="s">
        <v>4178</v>
      </c>
    </row>
    <row r="4158" spans="1:1" x14ac:dyDescent="0.3">
      <c r="A4158" t="s">
        <v>4179</v>
      </c>
    </row>
    <row r="4159" spans="1:1" x14ac:dyDescent="0.3">
      <c r="A4159" t="s">
        <v>4180</v>
      </c>
    </row>
    <row r="4160" spans="1:1" x14ac:dyDescent="0.3">
      <c r="A4160" t="s">
        <v>4181</v>
      </c>
    </row>
    <row r="4161" spans="1:1" x14ac:dyDescent="0.3">
      <c r="A4161" t="s">
        <v>4182</v>
      </c>
    </row>
    <row r="4162" spans="1:1" x14ac:dyDescent="0.3">
      <c r="A4162" t="s">
        <v>4183</v>
      </c>
    </row>
    <row r="4163" spans="1:1" x14ac:dyDescent="0.3">
      <c r="A4163" t="s">
        <v>4184</v>
      </c>
    </row>
    <row r="4164" spans="1:1" x14ac:dyDescent="0.3">
      <c r="A4164" t="s">
        <v>4185</v>
      </c>
    </row>
    <row r="4165" spans="1:1" x14ac:dyDescent="0.3">
      <c r="A4165" t="s">
        <v>4186</v>
      </c>
    </row>
    <row r="4166" spans="1:1" x14ac:dyDescent="0.3">
      <c r="A4166" t="s">
        <v>4187</v>
      </c>
    </row>
    <row r="4167" spans="1:1" x14ac:dyDescent="0.3">
      <c r="A4167" t="s">
        <v>4188</v>
      </c>
    </row>
    <row r="4168" spans="1:1" x14ac:dyDescent="0.3">
      <c r="A4168" t="s">
        <v>4189</v>
      </c>
    </row>
    <row r="4169" spans="1:1" x14ac:dyDescent="0.3">
      <c r="A4169" t="s">
        <v>4190</v>
      </c>
    </row>
    <row r="4170" spans="1:1" x14ac:dyDescent="0.3">
      <c r="A4170" t="s">
        <v>4191</v>
      </c>
    </row>
    <row r="4171" spans="1:1" x14ac:dyDescent="0.3">
      <c r="A4171" t="s">
        <v>4192</v>
      </c>
    </row>
    <row r="4172" spans="1:1" x14ac:dyDescent="0.3">
      <c r="A4172" t="s">
        <v>4193</v>
      </c>
    </row>
    <row r="4173" spans="1:1" x14ac:dyDescent="0.3">
      <c r="A4173" t="s">
        <v>4194</v>
      </c>
    </row>
    <row r="4174" spans="1:1" x14ac:dyDescent="0.3">
      <c r="A4174" t="s">
        <v>4195</v>
      </c>
    </row>
    <row r="4175" spans="1:1" x14ac:dyDescent="0.3">
      <c r="A4175" t="s">
        <v>4196</v>
      </c>
    </row>
    <row r="4176" spans="1:1" x14ac:dyDescent="0.3">
      <c r="A4176" t="s">
        <v>4197</v>
      </c>
    </row>
    <row r="4177" spans="1:2" x14ac:dyDescent="0.3">
      <c r="A4177" t="s">
        <v>4198</v>
      </c>
    </row>
    <row r="4178" spans="1:2" x14ac:dyDescent="0.3">
      <c r="A4178" t="s">
        <v>4199</v>
      </c>
    </row>
    <row r="4179" spans="1:2" x14ac:dyDescent="0.3">
      <c r="A4179" t="s">
        <v>4200</v>
      </c>
    </row>
    <row r="4180" spans="1:2" x14ac:dyDescent="0.3">
      <c r="A4180" t="s">
        <v>4201</v>
      </c>
    </row>
    <row r="4181" spans="1:2" x14ac:dyDescent="0.3">
      <c r="A4181" t="s">
        <v>4202</v>
      </c>
    </row>
    <row r="4182" spans="1:2" x14ac:dyDescent="0.3">
      <c r="A4182" t="s">
        <v>4203</v>
      </c>
    </row>
    <row r="4183" spans="1:2" x14ac:dyDescent="0.3">
      <c r="A4183" t="s">
        <v>4204</v>
      </c>
      <c r="B4183" t="s">
        <v>4205</v>
      </c>
    </row>
    <row r="4184" spans="1:2" x14ac:dyDescent="0.3">
      <c r="A4184" t="s">
        <v>4206</v>
      </c>
    </row>
    <row r="4185" spans="1:2" x14ac:dyDescent="0.3">
      <c r="A4185" t="s">
        <v>4207</v>
      </c>
    </row>
    <row r="4186" spans="1:2" x14ac:dyDescent="0.3">
      <c r="A4186" t="s">
        <v>4208</v>
      </c>
    </row>
    <row r="4187" spans="1:2" x14ac:dyDescent="0.3">
      <c r="A4187" t="s">
        <v>4209</v>
      </c>
    </row>
    <row r="4188" spans="1:2" x14ac:dyDescent="0.3">
      <c r="A4188" t="s">
        <v>4210</v>
      </c>
    </row>
    <row r="4189" spans="1:2" x14ac:dyDescent="0.3">
      <c r="A4189" t="s">
        <v>4211</v>
      </c>
    </row>
    <row r="4190" spans="1:2" x14ac:dyDescent="0.3">
      <c r="A4190" t="s">
        <v>4212</v>
      </c>
    </row>
    <row r="4191" spans="1:2" x14ac:dyDescent="0.3">
      <c r="A4191" t="s">
        <v>4213</v>
      </c>
    </row>
    <row r="4192" spans="1:2" x14ac:dyDescent="0.3">
      <c r="A4192" t="s">
        <v>4214</v>
      </c>
    </row>
    <row r="4193" spans="1:1" x14ac:dyDescent="0.3">
      <c r="A4193" t="s">
        <v>4215</v>
      </c>
    </row>
    <row r="4194" spans="1:1" x14ac:dyDescent="0.3">
      <c r="A4194" t="s">
        <v>4216</v>
      </c>
    </row>
    <row r="4195" spans="1:1" x14ac:dyDescent="0.3">
      <c r="A4195" t="s">
        <v>4217</v>
      </c>
    </row>
    <row r="4196" spans="1:1" x14ac:dyDescent="0.3">
      <c r="A4196" t="s">
        <v>4218</v>
      </c>
    </row>
    <row r="4197" spans="1:1" x14ac:dyDescent="0.3">
      <c r="A4197" t="s">
        <v>4219</v>
      </c>
    </row>
    <row r="4198" spans="1:1" x14ac:dyDescent="0.3">
      <c r="A4198" t="s">
        <v>4220</v>
      </c>
    </row>
    <row r="4199" spans="1:1" x14ac:dyDescent="0.3">
      <c r="A4199" t="s">
        <v>4221</v>
      </c>
    </row>
    <row r="4200" spans="1:1" x14ac:dyDescent="0.3">
      <c r="A4200" t="s">
        <v>4222</v>
      </c>
    </row>
    <row r="4201" spans="1:1" x14ac:dyDescent="0.3">
      <c r="A4201" t="s">
        <v>4223</v>
      </c>
    </row>
    <row r="4202" spans="1:1" x14ac:dyDescent="0.3">
      <c r="A4202" t="s">
        <v>4224</v>
      </c>
    </row>
    <row r="4203" spans="1:1" x14ac:dyDescent="0.3">
      <c r="A4203" t="s">
        <v>4225</v>
      </c>
    </row>
    <row r="4204" spans="1:1" x14ac:dyDescent="0.3">
      <c r="A4204" t="s">
        <v>4226</v>
      </c>
    </row>
    <row r="4205" spans="1:1" x14ac:dyDescent="0.3">
      <c r="A4205" t="s">
        <v>4227</v>
      </c>
    </row>
    <row r="4206" spans="1:1" x14ac:dyDescent="0.3">
      <c r="A4206" t="s">
        <v>4228</v>
      </c>
    </row>
    <row r="4207" spans="1:1" x14ac:dyDescent="0.3">
      <c r="A4207" t="s">
        <v>4229</v>
      </c>
    </row>
    <row r="4208" spans="1:1" x14ac:dyDescent="0.3">
      <c r="A4208" t="s">
        <v>4230</v>
      </c>
    </row>
    <row r="4209" spans="1:1" x14ac:dyDescent="0.3">
      <c r="A4209" t="s">
        <v>4231</v>
      </c>
    </row>
    <row r="4210" spans="1:1" x14ac:dyDescent="0.3">
      <c r="A4210" t="s">
        <v>4232</v>
      </c>
    </row>
    <row r="4211" spans="1:1" x14ac:dyDescent="0.3">
      <c r="A4211" t="s">
        <v>4233</v>
      </c>
    </row>
    <row r="4212" spans="1:1" x14ac:dyDescent="0.3">
      <c r="A4212" t="s">
        <v>4234</v>
      </c>
    </row>
    <row r="4213" spans="1:1" x14ac:dyDescent="0.3">
      <c r="A4213" t="s">
        <v>4235</v>
      </c>
    </row>
    <row r="4214" spans="1:1" x14ac:dyDescent="0.3">
      <c r="A4214" t="s">
        <v>4236</v>
      </c>
    </row>
    <row r="4215" spans="1:1" x14ac:dyDescent="0.3">
      <c r="A4215" t="s">
        <v>4237</v>
      </c>
    </row>
    <row r="4216" spans="1:1" x14ac:dyDescent="0.3">
      <c r="A4216" t="s">
        <v>4238</v>
      </c>
    </row>
    <row r="4217" spans="1:1" x14ac:dyDescent="0.3">
      <c r="A4217" t="s">
        <v>4239</v>
      </c>
    </row>
    <row r="4218" spans="1:1" x14ac:dyDescent="0.3">
      <c r="A4218" t="s">
        <v>4240</v>
      </c>
    </row>
    <row r="4219" spans="1:1" x14ac:dyDescent="0.3">
      <c r="A4219" t="s">
        <v>4241</v>
      </c>
    </row>
    <row r="4220" spans="1:1" x14ac:dyDescent="0.3">
      <c r="A4220" t="s">
        <v>4242</v>
      </c>
    </row>
    <row r="4221" spans="1:1" x14ac:dyDescent="0.3">
      <c r="A4221" t="s">
        <v>4243</v>
      </c>
    </row>
    <row r="4222" spans="1:1" x14ac:dyDescent="0.3">
      <c r="A4222" t="s">
        <v>4244</v>
      </c>
    </row>
    <row r="4223" spans="1:1" x14ac:dyDescent="0.3">
      <c r="A4223" t="s">
        <v>4245</v>
      </c>
    </row>
    <row r="4224" spans="1:1" x14ac:dyDescent="0.3">
      <c r="A4224" t="s">
        <v>4246</v>
      </c>
    </row>
    <row r="4225" spans="1:1" x14ac:dyDescent="0.3">
      <c r="A4225" t="s">
        <v>4247</v>
      </c>
    </row>
    <row r="4226" spans="1:1" x14ac:dyDescent="0.3">
      <c r="A4226" t="s">
        <v>4248</v>
      </c>
    </row>
    <row r="4227" spans="1:1" x14ac:dyDescent="0.3">
      <c r="A4227" t="s">
        <v>4249</v>
      </c>
    </row>
    <row r="4228" spans="1:1" x14ac:dyDescent="0.3">
      <c r="A4228" t="s">
        <v>4250</v>
      </c>
    </row>
    <row r="4229" spans="1:1" x14ac:dyDescent="0.3">
      <c r="A4229" t="s">
        <v>4251</v>
      </c>
    </row>
    <row r="4230" spans="1:1" x14ac:dyDescent="0.3">
      <c r="A4230" t="s">
        <v>4252</v>
      </c>
    </row>
    <row r="4231" spans="1:1" x14ac:dyDescent="0.3">
      <c r="A4231" t="s">
        <v>4253</v>
      </c>
    </row>
    <row r="4232" spans="1:1" x14ac:dyDescent="0.3">
      <c r="A4232" t="s">
        <v>4254</v>
      </c>
    </row>
    <row r="4233" spans="1:1" x14ac:dyDescent="0.3">
      <c r="A4233" t="s">
        <v>4255</v>
      </c>
    </row>
    <row r="4234" spans="1:1" x14ac:dyDescent="0.3">
      <c r="A4234" t="s">
        <v>4256</v>
      </c>
    </row>
    <row r="4235" spans="1:1" x14ac:dyDescent="0.3">
      <c r="A4235" t="s">
        <v>4257</v>
      </c>
    </row>
    <row r="4236" spans="1:1" x14ac:dyDescent="0.3">
      <c r="A4236" t="s">
        <v>4258</v>
      </c>
    </row>
    <row r="4237" spans="1:1" x14ac:dyDescent="0.3">
      <c r="A4237" t="s">
        <v>4259</v>
      </c>
    </row>
    <row r="4238" spans="1:1" x14ac:dyDescent="0.3">
      <c r="A4238" t="s">
        <v>4260</v>
      </c>
    </row>
    <row r="4239" spans="1:1" x14ac:dyDescent="0.3">
      <c r="A4239" t="s">
        <v>4261</v>
      </c>
    </row>
    <row r="4240" spans="1:1" x14ac:dyDescent="0.3">
      <c r="A4240" t="s">
        <v>4262</v>
      </c>
    </row>
    <row r="4241" spans="1:1" x14ac:dyDescent="0.3">
      <c r="A4241" t="s">
        <v>4263</v>
      </c>
    </row>
    <row r="4242" spans="1:1" x14ac:dyDescent="0.3">
      <c r="A4242" t="s">
        <v>4264</v>
      </c>
    </row>
    <row r="4243" spans="1:1" x14ac:dyDescent="0.3">
      <c r="A4243" t="s">
        <v>4265</v>
      </c>
    </row>
    <row r="4244" spans="1:1" x14ac:dyDescent="0.3">
      <c r="A4244" t="s">
        <v>4266</v>
      </c>
    </row>
    <row r="4245" spans="1:1" x14ac:dyDescent="0.3">
      <c r="A4245" t="s">
        <v>4267</v>
      </c>
    </row>
    <row r="4246" spans="1:1" x14ac:dyDescent="0.3">
      <c r="A4246" t="s">
        <v>4268</v>
      </c>
    </row>
    <row r="4247" spans="1:1" x14ac:dyDescent="0.3">
      <c r="A4247" t="s">
        <v>4269</v>
      </c>
    </row>
    <row r="4248" spans="1:1" x14ac:dyDescent="0.3">
      <c r="A4248" t="s">
        <v>4270</v>
      </c>
    </row>
    <row r="4249" spans="1:1" x14ac:dyDescent="0.3">
      <c r="A4249" t="s">
        <v>4271</v>
      </c>
    </row>
    <row r="4250" spans="1:1" x14ac:dyDescent="0.3">
      <c r="A4250" t="s">
        <v>4272</v>
      </c>
    </row>
    <row r="4251" spans="1:1" x14ac:dyDescent="0.3">
      <c r="A4251" t="s">
        <v>4273</v>
      </c>
    </row>
    <row r="4252" spans="1:1" x14ac:dyDescent="0.3">
      <c r="A4252" t="s">
        <v>4274</v>
      </c>
    </row>
    <row r="4253" spans="1:1" x14ac:dyDescent="0.3">
      <c r="A4253" t="s">
        <v>4275</v>
      </c>
    </row>
    <row r="4254" spans="1:1" x14ac:dyDescent="0.3">
      <c r="A4254" t="s">
        <v>4276</v>
      </c>
    </row>
    <row r="4255" spans="1:1" x14ac:dyDescent="0.3">
      <c r="A4255" t="s">
        <v>4277</v>
      </c>
    </row>
    <row r="4256" spans="1:1" x14ac:dyDescent="0.3">
      <c r="A4256" t="s">
        <v>4278</v>
      </c>
    </row>
    <row r="4257" spans="1:1" x14ac:dyDescent="0.3">
      <c r="A4257" t="s">
        <v>4279</v>
      </c>
    </row>
    <row r="4258" spans="1:1" x14ac:dyDescent="0.3">
      <c r="A4258" t="s">
        <v>4280</v>
      </c>
    </row>
    <row r="4259" spans="1:1" x14ac:dyDescent="0.3">
      <c r="A4259" t="s">
        <v>4281</v>
      </c>
    </row>
    <row r="4260" spans="1:1" x14ac:dyDescent="0.3">
      <c r="A4260" t="s">
        <v>4282</v>
      </c>
    </row>
    <row r="4261" spans="1:1" x14ac:dyDescent="0.3">
      <c r="A4261" t="s">
        <v>4283</v>
      </c>
    </row>
    <row r="4262" spans="1:1" x14ac:dyDescent="0.3">
      <c r="A4262" t="s">
        <v>4284</v>
      </c>
    </row>
    <row r="4263" spans="1:1" x14ac:dyDescent="0.3">
      <c r="A4263" t="s">
        <v>4285</v>
      </c>
    </row>
    <row r="4264" spans="1:1" x14ac:dyDescent="0.3">
      <c r="A4264" t="s">
        <v>4286</v>
      </c>
    </row>
    <row r="4265" spans="1:1" x14ac:dyDescent="0.3">
      <c r="A4265" t="s">
        <v>4287</v>
      </c>
    </row>
    <row r="4266" spans="1:1" x14ac:dyDescent="0.3">
      <c r="A4266" t="s">
        <v>4288</v>
      </c>
    </row>
    <row r="4267" spans="1:1" x14ac:dyDescent="0.3">
      <c r="A4267" t="s">
        <v>4289</v>
      </c>
    </row>
    <row r="4268" spans="1:1" x14ac:dyDescent="0.3">
      <c r="A4268" t="s">
        <v>4290</v>
      </c>
    </row>
    <row r="4269" spans="1:1" x14ac:dyDescent="0.3">
      <c r="A4269" t="s">
        <v>4291</v>
      </c>
    </row>
    <row r="4270" spans="1:1" x14ac:dyDescent="0.3">
      <c r="A4270" t="s">
        <v>4292</v>
      </c>
    </row>
    <row r="4271" spans="1:1" x14ac:dyDescent="0.3">
      <c r="A4271" t="s">
        <v>4293</v>
      </c>
    </row>
    <row r="4272" spans="1:1" x14ac:dyDescent="0.3">
      <c r="A4272" t="s">
        <v>4294</v>
      </c>
    </row>
    <row r="4273" spans="1:1" x14ac:dyDescent="0.3">
      <c r="A4273" t="s">
        <v>4295</v>
      </c>
    </row>
    <row r="4274" spans="1:1" x14ac:dyDescent="0.3">
      <c r="A4274" t="s">
        <v>4296</v>
      </c>
    </row>
    <row r="4275" spans="1:1" x14ac:dyDescent="0.3">
      <c r="A4275" t="s">
        <v>4297</v>
      </c>
    </row>
    <row r="4276" spans="1:1" x14ac:dyDescent="0.3">
      <c r="A4276" t="s">
        <v>4298</v>
      </c>
    </row>
    <row r="4277" spans="1:1" x14ac:dyDescent="0.3">
      <c r="A4277" t="s">
        <v>4299</v>
      </c>
    </row>
    <row r="4278" spans="1:1" x14ac:dyDescent="0.3">
      <c r="A4278" t="s">
        <v>4300</v>
      </c>
    </row>
    <row r="4279" spans="1:1" x14ac:dyDescent="0.3">
      <c r="A4279" t="s">
        <v>4301</v>
      </c>
    </row>
    <row r="4280" spans="1:1" x14ac:dyDescent="0.3">
      <c r="A4280" t="s">
        <v>4302</v>
      </c>
    </row>
    <row r="4281" spans="1:1" x14ac:dyDescent="0.3">
      <c r="A4281" t="s">
        <v>4303</v>
      </c>
    </row>
    <row r="4282" spans="1:1" x14ac:dyDescent="0.3">
      <c r="A4282" t="s">
        <v>4304</v>
      </c>
    </row>
    <row r="4283" spans="1:1" x14ac:dyDescent="0.3">
      <c r="A4283" t="s">
        <v>4305</v>
      </c>
    </row>
    <row r="4284" spans="1:1" x14ac:dyDescent="0.3">
      <c r="A4284" t="s">
        <v>4306</v>
      </c>
    </row>
    <row r="4285" spans="1:1" x14ac:dyDescent="0.3">
      <c r="A4285" t="s">
        <v>4307</v>
      </c>
    </row>
    <row r="4286" spans="1:1" x14ac:dyDescent="0.3">
      <c r="A4286" t="s">
        <v>4308</v>
      </c>
    </row>
    <row r="4287" spans="1:1" x14ac:dyDescent="0.3">
      <c r="A4287" t="s">
        <v>4309</v>
      </c>
    </row>
    <row r="4288" spans="1:1" x14ac:dyDescent="0.3">
      <c r="A4288" t="s">
        <v>4310</v>
      </c>
    </row>
    <row r="4289" spans="1:1" x14ac:dyDescent="0.3">
      <c r="A4289" t="s">
        <v>4311</v>
      </c>
    </row>
    <row r="4290" spans="1:1" x14ac:dyDescent="0.3">
      <c r="A4290" t="s">
        <v>4312</v>
      </c>
    </row>
    <row r="4291" spans="1:1" x14ac:dyDescent="0.3">
      <c r="A4291" t="s">
        <v>4313</v>
      </c>
    </row>
    <row r="4292" spans="1:1" x14ac:dyDescent="0.3">
      <c r="A4292" t="s">
        <v>4314</v>
      </c>
    </row>
    <row r="4293" spans="1:1" x14ac:dyDescent="0.3">
      <c r="A4293" t="s">
        <v>4315</v>
      </c>
    </row>
    <row r="4294" spans="1:1" x14ac:dyDescent="0.3">
      <c r="A4294" t="s">
        <v>4316</v>
      </c>
    </row>
    <row r="4295" spans="1:1" x14ac:dyDescent="0.3">
      <c r="A4295" t="s">
        <v>4317</v>
      </c>
    </row>
    <row r="4296" spans="1:1" x14ac:dyDescent="0.3">
      <c r="A4296" t="s">
        <v>4318</v>
      </c>
    </row>
    <row r="4297" spans="1:1" x14ac:dyDescent="0.3">
      <c r="A4297" t="s">
        <v>4319</v>
      </c>
    </row>
    <row r="4298" spans="1:1" x14ac:dyDescent="0.3">
      <c r="A4298" t="s">
        <v>4320</v>
      </c>
    </row>
    <row r="4299" spans="1:1" x14ac:dyDescent="0.3">
      <c r="A4299" t="s">
        <v>4321</v>
      </c>
    </row>
    <row r="4300" spans="1:1" x14ac:dyDescent="0.3">
      <c r="A4300" t="s">
        <v>4322</v>
      </c>
    </row>
    <row r="4301" spans="1:1" x14ac:dyDescent="0.3">
      <c r="A4301" t="s">
        <v>4323</v>
      </c>
    </row>
    <row r="4302" spans="1:1" x14ac:dyDescent="0.3">
      <c r="A4302" t="s">
        <v>4324</v>
      </c>
    </row>
    <row r="4303" spans="1:1" x14ac:dyDescent="0.3">
      <c r="A4303" t="s">
        <v>4325</v>
      </c>
    </row>
    <row r="4304" spans="1:1" x14ac:dyDescent="0.3">
      <c r="A4304" t="s">
        <v>4326</v>
      </c>
    </row>
    <row r="4305" spans="1:1" x14ac:dyDescent="0.3">
      <c r="A4305" t="s">
        <v>4327</v>
      </c>
    </row>
    <row r="4306" spans="1:1" x14ac:dyDescent="0.3">
      <c r="A4306" t="s">
        <v>4328</v>
      </c>
    </row>
    <row r="4307" spans="1:1" x14ac:dyDescent="0.3">
      <c r="A4307" t="s">
        <v>4329</v>
      </c>
    </row>
    <row r="4308" spans="1:1" x14ac:dyDescent="0.3">
      <c r="A4308" t="s">
        <v>4330</v>
      </c>
    </row>
    <row r="4309" spans="1:1" x14ac:dyDescent="0.3">
      <c r="A4309" t="s">
        <v>4331</v>
      </c>
    </row>
    <row r="4310" spans="1:1" x14ac:dyDescent="0.3">
      <c r="A4310" t="s">
        <v>4332</v>
      </c>
    </row>
    <row r="4311" spans="1:1" x14ac:dyDescent="0.3">
      <c r="A4311" t="s">
        <v>4333</v>
      </c>
    </row>
    <row r="4312" spans="1:1" x14ac:dyDescent="0.3">
      <c r="A4312" t="s">
        <v>4334</v>
      </c>
    </row>
    <row r="4313" spans="1:1" x14ac:dyDescent="0.3">
      <c r="A4313" t="s">
        <v>4335</v>
      </c>
    </row>
    <row r="4314" spans="1:1" x14ac:dyDescent="0.3">
      <c r="A4314" t="s">
        <v>4336</v>
      </c>
    </row>
    <row r="4315" spans="1:1" x14ac:dyDescent="0.3">
      <c r="A4315" t="s">
        <v>4337</v>
      </c>
    </row>
    <row r="4316" spans="1:1" x14ac:dyDescent="0.3">
      <c r="A4316" t="s">
        <v>4338</v>
      </c>
    </row>
    <row r="4317" spans="1:1" x14ac:dyDescent="0.3">
      <c r="A4317" t="s">
        <v>4339</v>
      </c>
    </row>
    <row r="4318" spans="1:1" x14ac:dyDescent="0.3">
      <c r="A4318" t="s">
        <v>4340</v>
      </c>
    </row>
    <row r="4319" spans="1:1" x14ac:dyDescent="0.3">
      <c r="A4319" t="s">
        <v>4341</v>
      </c>
    </row>
    <row r="4320" spans="1:1" x14ac:dyDescent="0.3">
      <c r="A4320" t="s">
        <v>4342</v>
      </c>
    </row>
    <row r="4321" spans="1:1" x14ac:dyDescent="0.3">
      <c r="A4321" t="s">
        <v>4343</v>
      </c>
    </row>
    <row r="4322" spans="1:1" x14ac:dyDescent="0.3">
      <c r="A4322" t="s">
        <v>4344</v>
      </c>
    </row>
    <row r="4323" spans="1:1" x14ac:dyDescent="0.3">
      <c r="A4323" t="s">
        <v>4345</v>
      </c>
    </row>
    <row r="4324" spans="1:1" x14ac:dyDescent="0.3">
      <c r="A4324" t="s">
        <v>4346</v>
      </c>
    </row>
    <row r="4325" spans="1:1" x14ac:dyDescent="0.3">
      <c r="A4325" t="s">
        <v>4347</v>
      </c>
    </row>
    <row r="4326" spans="1:1" x14ac:dyDescent="0.3">
      <c r="A4326" t="s">
        <v>4348</v>
      </c>
    </row>
    <row r="4327" spans="1:1" x14ac:dyDescent="0.3">
      <c r="A4327" t="s">
        <v>4349</v>
      </c>
    </row>
    <row r="4328" spans="1:1" x14ac:dyDescent="0.3">
      <c r="A4328" t="s">
        <v>4350</v>
      </c>
    </row>
    <row r="4329" spans="1:1" x14ac:dyDescent="0.3">
      <c r="A4329" t="s">
        <v>4351</v>
      </c>
    </row>
    <row r="4330" spans="1:1" x14ac:dyDescent="0.3">
      <c r="A4330" t="s">
        <v>4352</v>
      </c>
    </row>
    <row r="4331" spans="1:1" x14ac:dyDescent="0.3">
      <c r="A4331" t="s">
        <v>4353</v>
      </c>
    </row>
    <row r="4332" spans="1:1" x14ac:dyDescent="0.3">
      <c r="A4332" t="s">
        <v>4354</v>
      </c>
    </row>
    <row r="4333" spans="1:1" x14ac:dyDescent="0.3">
      <c r="A4333" t="s">
        <v>4355</v>
      </c>
    </row>
    <row r="4334" spans="1:1" x14ac:dyDescent="0.3">
      <c r="A4334" t="s">
        <v>4356</v>
      </c>
    </row>
    <row r="4335" spans="1:1" x14ac:dyDescent="0.3">
      <c r="A4335" t="s">
        <v>4357</v>
      </c>
    </row>
    <row r="4336" spans="1:1" x14ac:dyDescent="0.3">
      <c r="A4336" t="s">
        <v>4358</v>
      </c>
    </row>
    <row r="4337" spans="1:1" x14ac:dyDescent="0.3">
      <c r="A4337" t="s">
        <v>4359</v>
      </c>
    </row>
    <row r="4338" spans="1:1" x14ac:dyDescent="0.3">
      <c r="A4338" t="s">
        <v>4360</v>
      </c>
    </row>
    <row r="4339" spans="1:1" x14ac:dyDescent="0.3">
      <c r="A4339" t="s">
        <v>4361</v>
      </c>
    </row>
    <row r="4340" spans="1:1" x14ac:dyDescent="0.3">
      <c r="A4340" t="s">
        <v>4362</v>
      </c>
    </row>
    <row r="4341" spans="1:1" x14ac:dyDescent="0.3">
      <c r="A4341" t="s">
        <v>4363</v>
      </c>
    </row>
    <row r="4342" spans="1:1" x14ac:dyDescent="0.3">
      <c r="A4342" t="s">
        <v>4364</v>
      </c>
    </row>
    <row r="4343" spans="1:1" x14ac:dyDescent="0.3">
      <c r="A4343" t="s">
        <v>4365</v>
      </c>
    </row>
    <row r="4344" spans="1:1" x14ac:dyDescent="0.3">
      <c r="A4344" t="s">
        <v>4366</v>
      </c>
    </row>
    <row r="4345" spans="1:1" x14ac:dyDescent="0.3">
      <c r="A4345" t="s">
        <v>4367</v>
      </c>
    </row>
    <row r="4346" spans="1:1" x14ac:dyDescent="0.3">
      <c r="A4346" t="s">
        <v>4368</v>
      </c>
    </row>
    <row r="4347" spans="1:1" x14ac:dyDescent="0.3">
      <c r="A4347" t="s">
        <v>4369</v>
      </c>
    </row>
    <row r="4348" spans="1:1" x14ac:dyDescent="0.3">
      <c r="A4348" t="s">
        <v>4370</v>
      </c>
    </row>
    <row r="4349" spans="1:1" x14ac:dyDescent="0.3">
      <c r="A4349" t="s">
        <v>4371</v>
      </c>
    </row>
    <row r="4350" spans="1:1" x14ac:dyDescent="0.3">
      <c r="A4350" t="s">
        <v>4372</v>
      </c>
    </row>
    <row r="4351" spans="1:1" x14ac:dyDescent="0.3">
      <c r="A4351" t="s">
        <v>4373</v>
      </c>
    </row>
    <row r="4352" spans="1:1" x14ac:dyDescent="0.3">
      <c r="A4352" t="s">
        <v>4374</v>
      </c>
    </row>
    <row r="4353" spans="1:1" x14ac:dyDescent="0.3">
      <c r="A4353" t="s">
        <v>4375</v>
      </c>
    </row>
    <row r="4354" spans="1:1" x14ac:dyDescent="0.3">
      <c r="A4354" t="s">
        <v>4376</v>
      </c>
    </row>
    <row r="4355" spans="1:1" x14ac:dyDescent="0.3">
      <c r="A4355" t="s">
        <v>4377</v>
      </c>
    </row>
    <row r="4356" spans="1:1" x14ac:dyDescent="0.3">
      <c r="A4356" t="s">
        <v>4378</v>
      </c>
    </row>
    <row r="4357" spans="1:1" x14ac:dyDescent="0.3">
      <c r="A4357" t="s">
        <v>4379</v>
      </c>
    </row>
    <row r="4358" spans="1:1" x14ac:dyDescent="0.3">
      <c r="A4358" t="s">
        <v>4380</v>
      </c>
    </row>
    <row r="4359" spans="1:1" x14ac:dyDescent="0.3">
      <c r="A4359" t="s">
        <v>4381</v>
      </c>
    </row>
    <row r="4360" spans="1:1" x14ac:dyDescent="0.3">
      <c r="A4360" t="s">
        <v>4382</v>
      </c>
    </row>
    <row r="4361" spans="1:1" x14ac:dyDescent="0.3">
      <c r="A4361" t="s">
        <v>4383</v>
      </c>
    </row>
    <row r="4362" spans="1:1" x14ac:dyDescent="0.3">
      <c r="A4362" t="s">
        <v>4384</v>
      </c>
    </row>
    <row r="4363" spans="1:1" x14ac:dyDescent="0.3">
      <c r="A4363" t="s">
        <v>4385</v>
      </c>
    </row>
    <row r="4364" spans="1:1" x14ac:dyDescent="0.3">
      <c r="A4364" t="s">
        <v>4386</v>
      </c>
    </row>
    <row r="4365" spans="1:1" x14ac:dyDescent="0.3">
      <c r="A4365" t="s">
        <v>4387</v>
      </c>
    </row>
    <row r="4366" spans="1:1" x14ac:dyDescent="0.3">
      <c r="A4366" t="s">
        <v>4388</v>
      </c>
    </row>
    <row r="4367" spans="1:1" x14ac:dyDescent="0.3">
      <c r="A4367" t="s">
        <v>4389</v>
      </c>
    </row>
    <row r="4368" spans="1:1" x14ac:dyDescent="0.3">
      <c r="A4368" t="s">
        <v>4390</v>
      </c>
    </row>
    <row r="4369" spans="1:1" x14ac:dyDescent="0.3">
      <c r="A4369" t="s">
        <v>4391</v>
      </c>
    </row>
    <row r="4370" spans="1:1" x14ac:dyDescent="0.3">
      <c r="A4370" t="s">
        <v>4392</v>
      </c>
    </row>
    <row r="4371" spans="1:1" x14ac:dyDescent="0.3">
      <c r="A4371" t="s">
        <v>4393</v>
      </c>
    </row>
    <row r="4372" spans="1:1" x14ac:dyDescent="0.3">
      <c r="A4372" t="s">
        <v>4394</v>
      </c>
    </row>
    <row r="4373" spans="1:1" x14ac:dyDescent="0.3">
      <c r="A4373" t="s">
        <v>4395</v>
      </c>
    </row>
    <row r="4374" spans="1:1" x14ac:dyDescent="0.3">
      <c r="A4374" t="s">
        <v>4396</v>
      </c>
    </row>
    <row r="4375" spans="1:1" x14ac:dyDescent="0.3">
      <c r="A4375" t="s">
        <v>4397</v>
      </c>
    </row>
    <row r="4376" spans="1:1" x14ac:dyDescent="0.3">
      <c r="A4376" t="s">
        <v>4398</v>
      </c>
    </row>
    <row r="4377" spans="1:1" x14ac:dyDescent="0.3">
      <c r="A4377" t="s">
        <v>4399</v>
      </c>
    </row>
    <row r="4378" spans="1:1" x14ac:dyDescent="0.3">
      <c r="A4378" t="s">
        <v>4400</v>
      </c>
    </row>
    <row r="4379" spans="1:1" x14ac:dyDescent="0.3">
      <c r="A4379" t="s">
        <v>4401</v>
      </c>
    </row>
    <row r="4380" spans="1:1" x14ac:dyDescent="0.3">
      <c r="A4380" t="s">
        <v>4402</v>
      </c>
    </row>
    <row r="4381" spans="1:1" x14ac:dyDescent="0.3">
      <c r="A4381" t="s">
        <v>4403</v>
      </c>
    </row>
    <row r="4382" spans="1:1" x14ac:dyDescent="0.3">
      <c r="A4382" t="s">
        <v>4404</v>
      </c>
    </row>
    <row r="4383" spans="1:1" x14ac:dyDescent="0.3">
      <c r="A4383" t="s">
        <v>4405</v>
      </c>
    </row>
    <row r="4384" spans="1:1" x14ac:dyDescent="0.3">
      <c r="A4384" t="s">
        <v>4406</v>
      </c>
    </row>
    <row r="4385" spans="1:1" x14ac:dyDescent="0.3">
      <c r="A4385" t="s">
        <v>4407</v>
      </c>
    </row>
    <row r="4386" spans="1:1" x14ac:dyDescent="0.3">
      <c r="A4386" t="s">
        <v>4408</v>
      </c>
    </row>
    <row r="4387" spans="1:1" x14ac:dyDescent="0.3">
      <c r="A4387" t="s">
        <v>4409</v>
      </c>
    </row>
    <row r="4388" spans="1:1" x14ac:dyDescent="0.3">
      <c r="A4388" t="s">
        <v>4410</v>
      </c>
    </row>
    <row r="4389" spans="1:1" x14ac:dyDescent="0.3">
      <c r="A4389" t="s">
        <v>4411</v>
      </c>
    </row>
    <row r="4390" spans="1:1" x14ac:dyDescent="0.3">
      <c r="A4390" t="s">
        <v>4412</v>
      </c>
    </row>
    <row r="4391" spans="1:1" x14ac:dyDescent="0.3">
      <c r="A4391" t="s">
        <v>4413</v>
      </c>
    </row>
    <row r="4392" spans="1:1" x14ac:dyDescent="0.3">
      <c r="A4392" t="s">
        <v>4414</v>
      </c>
    </row>
    <row r="4393" spans="1:1" x14ac:dyDescent="0.3">
      <c r="A4393" t="s">
        <v>4415</v>
      </c>
    </row>
    <row r="4394" spans="1:1" x14ac:dyDescent="0.3">
      <c r="A4394" t="s">
        <v>4416</v>
      </c>
    </row>
    <row r="4395" spans="1:1" x14ac:dyDescent="0.3">
      <c r="A4395" t="s">
        <v>4417</v>
      </c>
    </row>
    <row r="4396" spans="1:1" x14ac:dyDescent="0.3">
      <c r="A4396" t="s">
        <v>4418</v>
      </c>
    </row>
    <row r="4397" spans="1:1" x14ac:dyDescent="0.3">
      <c r="A4397" t="s">
        <v>4419</v>
      </c>
    </row>
    <row r="4398" spans="1:1" x14ac:dyDescent="0.3">
      <c r="A4398" t="s">
        <v>4420</v>
      </c>
    </row>
    <row r="4399" spans="1:1" x14ac:dyDescent="0.3">
      <c r="A4399" t="s">
        <v>4421</v>
      </c>
    </row>
    <row r="4400" spans="1:1" x14ac:dyDescent="0.3">
      <c r="A4400" t="s">
        <v>4422</v>
      </c>
    </row>
    <row r="4401" spans="1:1" x14ac:dyDescent="0.3">
      <c r="A4401" t="s">
        <v>4423</v>
      </c>
    </row>
    <row r="4402" spans="1:1" x14ac:dyDescent="0.3">
      <c r="A4402" t="s">
        <v>4424</v>
      </c>
    </row>
    <row r="4403" spans="1:1" x14ac:dyDescent="0.3">
      <c r="A4403" t="s">
        <v>4425</v>
      </c>
    </row>
    <row r="4404" spans="1:1" x14ac:dyDescent="0.3">
      <c r="A4404" t="s">
        <v>4426</v>
      </c>
    </row>
    <row r="4405" spans="1:1" x14ac:dyDescent="0.3">
      <c r="A4405" t="s">
        <v>4427</v>
      </c>
    </row>
    <row r="4406" spans="1:1" x14ac:dyDescent="0.3">
      <c r="A4406" t="s">
        <v>4428</v>
      </c>
    </row>
    <row r="4407" spans="1:1" x14ac:dyDescent="0.3">
      <c r="A4407" t="s">
        <v>4429</v>
      </c>
    </row>
    <row r="4408" spans="1:1" x14ac:dyDescent="0.3">
      <c r="A4408" t="s">
        <v>4430</v>
      </c>
    </row>
    <row r="4409" spans="1:1" x14ac:dyDescent="0.3">
      <c r="A4409" t="s">
        <v>4431</v>
      </c>
    </row>
    <row r="4410" spans="1:1" x14ac:dyDescent="0.3">
      <c r="A4410" t="s">
        <v>4432</v>
      </c>
    </row>
    <row r="4411" spans="1:1" x14ac:dyDescent="0.3">
      <c r="A4411" t="s">
        <v>4433</v>
      </c>
    </row>
    <row r="4412" spans="1:1" x14ac:dyDescent="0.3">
      <c r="A4412" t="s">
        <v>4434</v>
      </c>
    </row>
    <row r="4413" spans="1:1" x14ac:dyDescent="0.3">
      <c r="A4413" t="s">
        <v>4435</v>
      </c>
    </row>
    <row r="4414" spans="1:1" x14ac:dyDescent="0.3">
      <c r="A4414" t="s">
        <v>4436</v>
      </c>
    </row>
    <row r="4415" spans="1:1" x14ac:dyDescent="0.3">
      <c r="A4415" t="s">
        <v>4437</v>
      </c>
    </row>
    <row r="4416" spans="1:1" x14ac:dyDescent="0.3">
      <c r="A4416" t="s">
        <v>4438</v>
      </c>
    </row>
    <row r="4417" spans="1:1" x14ac:dyDescent="0.3">
      <c r="A4417" t="s">
        <v>4439</v>
      </c>
    </row>
    <row r="4418" spans="1:1" x14ac:dyDescent="0.3">
      <c r="A4418" t="s">
        <v>4440</v>
      </c>
    </row>
    <row r="4419" spans="1:1" x14ac:dyDescent="0.3">
      <c r="A4419" t="s">
        <v>4441</v>
      </c>
    </row>
    <row r="4420" spans="1:1" x14ac:dyDescent="0.3">
      <c r="A4420" t="s">
        <v>4442</v>
      </c>
    </row>
    <row r="4421" spans="1:1" x14ac:dyDescent="0.3">
      <c r="A4421" t="s">
        <v>4443</v>
      </c>
    </row>
    <row r="4422" spans="1:1" x14ac:dyDescent="0.3">
      <c r="A4422" t="s">
        <v>4444</v>
      </c>
    </row>
    <row r="4423" spans="1:1" x14ac:dyDescent="0.3">
      <c r="A4423" t="s">
        <v>4445</v>
      </c>
    </row>
    <row r="4424" spans="1:1" x14ac:dyDescent="0.3">
      <c r="A4424" t="s">
        <v>4446</v>
      </c>
    </row>
    <row r="4425" spans="1:1" x14ac:dyDescent="0.3">
      <c r="A4425" t="s">
        <v>4447</v>
      </c>
    </row>
    <row r="4426" spans="1:1" x14ac:dyDescent="0.3">
      <c r="A4426" t="s">
        <v>4448</v>
      </c>
    </row>
    <row r="4427" spans="1:1" x14ac:dyDescent="0.3">
      <c r="A4427" t="s">
        <v>4449</v>
      </c>
    </row>
    <row r="4428" spans="1:1" x14ac:dyDescent="0.3">
      <c r="A4428" t="s">
        <v>4450</v>
      </c>
    </row>
    <row r="4429" spans="1:1" x14ac:dyDescent="0.3">
      <c r="A4429" t="s">
        <v>4451</v>
      </c>
    </row>
    <row r="4430" spans="1:1" x14ac:dyDescent="0.3">
      <c r="A4430" t="s">
        <v>4452</v>
      </c>
    </row>
    <row r="4431" spans="1:1" x14ac:dyDescent="0.3">
      <c r="A4431" t="s">
        <v>4453</v>
      </c>
    </row>
    <row r="4432" spans="1:1" x14ac:dyDescent="0.3">
      <c r="A4432" t="s">
        <v>4454</v>
      </c>
    </row>
    <row r="4433" spans="1:1" x14ac:dyDescent="0.3">
      <c r="A4433" t="s">
        <v>4455</v>
      </c>
    </row>
    <row r="4434" spans="1:1" x14ac:dyDescent="0.3">
      <c r="A4434" t="s">
        <v>4456</v>
      </c>
    </row>
    <row r="4435" spans="1:1" x14ac:dyDescent="0.3">
      <c r="A4435" t="s">
        <v>4457</v>
      </c>
    </row>
    <row r="4436" spans="1:1" x14ac:dyDescent="0.3">
      <c r="A4436" t="s">
        <v>4458</v>
      </c>
    </row>
    <row r="4437" spans="1:1" x14ac:dyDescent="0.3">
      <c r="A4437" t="s">
        <v>4459</v>
      </c>
    </row>
    <row r="4438" spans="1:1" x14ac:dyDescent="0.3">
      <c r="A4438" t="s">
        <v>4460</v>
      </c>
    </row>
    <row r="4439" spans="1:1" x14ac:dyDescent="0.3">
      <c r="A4439" t="s">
        <v>4461</v>
      </c>
    </row>
    <row r="4440" spans="1:1" x14ac:dyDescent="0.3">
      <c r="A4440" t="s">
        <v>4462</v>
      </c>
    </row>
    <row r="4441" spans="1:1" x14ac:dyDescent="0.3">
      <c r="A4441" t="s">
        <v>4463</v>
      </c>
    </row>
    <row r="4442" spans="1:1" x14ac:dyDescent="0.3">
      <c r="A4442" t="s">
        <v>4464</v>
      </c>
    </row>
    <row r="4443" spans="1:1" x14ac:dyDescent="0.3">
      <c r="A4443" t="s">
        <v>4465</v>
      </c>
    </row>
    <row r="4444" spans="1:1" x14ac:dyDescent="0.3">
      <c r="A4444" t="s">
        <v>4466</v>
      </c>
    </row>
    <row r="4445" spans="1:1" x14ac:dyDescent="0.3">
      <c r="A4445" t="s">
        <v>4467</v>
      </c>
    </row>
    <row r="4446" spans="1:1" x14ac:dyDescent="0.3">
      <c r="A4446" t="s">
        <v>4468</v>
      </c>
    </row>
    <row r="4447" spans="1:1" x14ac:dyDescent="0.3">
      <c r="A4447" t="s">
        <v>4469</v>
      </c>
    </row>
    <row r="4448" spans="1:1" x14ac:dyDescent="0.3">
      <c r="A4448" t="s">
        <v>4470</v>
      </c>
    </row>
    <row r="4449" spans="1:1" x14ac:dyDescent="0.3">
      <c r="A4449" t="s">
        <v>4471</v>
      </c>
    </row>
    <row r="4450" spans="1:1" x14ac:dyDescent="0.3">
      <c r="A4450" t="s">
        <v>4472</v>
      </c>
    </row>
    <row r="4451" spans="1:1" x14ac:dyDescent="0.3">
      <c r="A4451" t="s">
        <v>4473</v>
      </c>
    </row>
    <row r="4452" spans="1:1" x14ac:dyDescent="0.3">
      <c r="A4452" t="s">
        <v>4474</v>
      </c>
    </row>
    <row r="4453" spans="1:1" x14ac:dyDescent="0.3">
      <c r="A4453" t="s">
        <v>4475</v>
      </c>
    </row>
    <row r="4454" spans="1:1" x14ac:dyDescent="0.3">
      <c r="A4454" t="s">
        <v>4476</v>
      </c>
    </row>
    <row r="4455" spans="1:1" x14ac:dyDescent="0.3">
      <c r="A4455" t="s">
        <v>4477</v>
      </c>
    </row>
    <row r="4456" spans="1:1" x14ac:dyDescent="0.3">
      <c r="A4456" t="s">
        <v>4478</v>
      </c>
    </row>
    <row r="4457" spans="1:1" x14ac:dyDescent="0.3">
      <c r="A4457" t="s">
        <v>4479</v>
      </c>
    </row>
    <row r="4458" spans="1:1" x14ac:dyDescent="0.3">
      <c r="A4458" t="s">
        <v>4480</v>
      </c>
    </row>
    <row r="4459" spans="1:1" x14ac:dyDescent="0.3">
      <c r="A4459" t="s">
        <v>4481</v>
      </c>
    </row>
    <row r="4460" spans="1:1" x14ac:dyDescent="0.3">
      <c r="A4460" t="s">
        <v>4482</v>
      </c>
    </row>
    <row r="4461" spans="1:1" x14ac:dyDescent="0.3">
      <c r="A4461" t="s">
        <v>4483</v>
      </c>
    </row>
    <row r="4462" spans="1:1" x14ac:dyDescent="0.3">
      <c r="A4462" t="s">
        <v>4484</v>
      </c>
    </row>
    <row r="4463" spans="1:1" x14ac:dyDescent="0.3">
      <c r="A4463" t="s">
        <v>4485</v>
      </c>
    </row>
    <row r="4464" spans="1:1" x14ac:dyDescent="0.3">
      <c r="A4464" t="s">
        <v>4486</v>
      </c>
    </row>
    <row r="4465" spans="1:1" x14ac:dyDescent="0.3">
      <c r="A4465" t="s">
        <v>4487</v>
      </c>
    </row>
    <row r="4466" spans="1:1" x14ac:dyDescent="0.3">
      <c r="A4466" t="s">
        <v>4488</v>
      </c>
    </row>
    <row r="4467" spans="1:1" x14ac:dyDescent="0.3">
      <c r="A4467" t="s">
        <v>4489</v>
      </c>
    </row>
    <row r="4468" spans="1:1" x14ac:dyDescent="0.3">
      <c r="A4468" t="s">
        <v>4490</v>
      </c>
    </row>
    <row r="4469" spans="1:1" x14ac:dyDescent="0.3">
      <c r="A4469" t="s">
        <v>4491</v>
      </c>
    </row>
    <row r="4470" spans="1:1" x14ac:dyDescent="0.3">
      <c r="A4470" t="s">
        <v>4492</v>
      </c>
    </row>
    <row r="4471" spans="1:1" x14ac:dyDescent="0.3">
      <c r="A4471" t="s">
        <v>4493</v>
      </c>
    </row>
    <row r="4472" spans="1:1" x14ac:dyDescent="0.3">
      <c r="A4472" t="s">
        <v>4494</v>
      </c>
    </row>
    <row r="4473" spans="1:1" x14ac:dyDescent="0.3">
      <c r="A4473" t="s">
        <v>4495</v>
      </c>
    </row>
    <row r="4474" spans="1:1" x14ac:dyDescent="0.3">
      <c r="A4474" t="s">
        <v>4496</v>
      </c>
    </row>
    <row r="4475" spans="1:1" x14ac:dyDescent="0.3">
      <c r="A4475" t="s">
        <v>4497</v>
      </c>
    </row>
    <row r="4476" spans="1:1" x14ac:dyDescent="0.3">
      <c r="A4476" t="s">
        <v>4498</v>
      </c>
    </row>
    <row r="4477" spans="1:1" x14ac:dyDescent="0.3">
      <c r="A4477" t="s">
        <v>4499</v>
      </c>
    </row>
    <row r="4478" spans="1:1" x14ac:dyDescent="0.3">
      <c r="A4478" t="s">
        <v>4500</v>
      </c>
    </row>
    <row r="4479" spans="1:1" x14ac:dyDescent="0.3">
      <c r="A4479" t="s">
        <v>4501</v>
      </c>
    </row>
    <row r="4480" spans="1:1" x14ac:dyDescent="0.3">
      <c r="A4480" t="s">
        <v>4502</v>
      </c>
    </row>
    <row r="4481" spans="1:1" x14ac:dyDescent="0.3">
      <c r="A4481" t="s">
        <v>4503</v>
      </c>
    </row>
    <row r="4482" spans="1:1" x14ac:dyDescent="0.3">
      <c r="A4482" t="s">
        <v>4504</v>
      </c>
    </row>
    <row r="4483" spans="1:1" x14ac:dyDescent="0.3">
      <c r="A4483" t="s">
        <v>4505</v>
      </c>
    </row>
    <row r="4484" spans="1:1" x14ac:dyDescent="0.3">
      <c r="A4484" t="s">
        <v>4506</v>
      </c>
    </row>
    <row r="4485" spans="1:1" x14ac:dyDescent="0.3">
      <c r="A4485" t="s">
        <v>4507</v>
      </c>
    </row>
    <row r="4486" spans="1:1" x14ac:dyDescent="0.3">
      <c r="A4486" t="s">
        <v>4508</v>
      </c>
    </row>
    <row r="4487" spans="1:1" x14ac:dyDescent="0.3">
      <c r="A4487" t="s">
        <v>4509</v>
      </c>
    </row>
    <row r="4488" spans="1:1" x14ac:dyDescent="0.3">
      <c r="A4488" t="s">
        <v>4510</v>
      </c>
    </row>
    <row r="4489" spans="1:1" x14ac:dyDescent="0.3">
      <c r="A4489" t="s">
        <v>4511</v>
      </c>
    </row>
    <row r="4490" spans="1:1" x14ac:dyDescent="0.3">
      <c r="A4490" t="s">
        <v>4512</v>
      </c>
    </row>
    <row r="4491" spans="1:1" x14ac:dyDescent="0.3">
      <c r="A4491" t="s">
        <v>4513</v>
      </c>
    </row>
    <row r="4492" spans="1:1" x14ac:dyDescent="0.3">
      <c r="A4492" t="s">
        <v>4514</v>
      </c>
    </row>
    <row r="4493" spans="1:1" x14ac:dyDescent="0.3">
      <c r="A4493" t="s">
        <v>4515</v>
      </c>
    </row>
    <row r="4494" spans="1:1" x14ac:dyDescent="0.3">
      <c r="A4494" t="s">
        <v>4516</v>
      </c>
    </row>
    <row r="4495" spans="1:1" x14ac:dyDescent="0.3">
      <c r="A4495" t="s">
        <v>4517</v>
      </c>
    </row>
    <row r="4496" spans="1:1" x14ac:dyDescent="0.3">
      <c r="A4496" t="s">
        <v>4518</v>
      </c>
    </row>
    <row r="4497" spans="1:1" x14ac:dyDescent="0.3">
      <c r="A4497" t="s">
        <v>4519</v>
      </c>
    </row>
    <row r="4498" spans="1:1" x14ac:dyDescent="0.3">
      <c r="A4498" t="s">
        <v>4520</v>
      </c>
    </row>
    <row r="4499" spans="1:1" x14ac:dyDescent="0.3">
      <c r="A4499" t="s">
        <v>4521</v>
      </c>
    </row>
    <row r="4500" spans="1:1" x14ac:dyDescent="0.3">
      <c r="A4500" t="s">
        <v>4522</v>
      </c>
    </row>
    <row r="4501" spans="1:1" x14ac:dyDescent="0.3">
      <c r="A4501" t="s">
        <v>4523</v>
      </c>
    </row>
    <row r="4502" spans="1:1" x14ac:dyDescent="0.3">
      <c r="A4502" t="s">
        <v>4524</v>
      </c>
    </row>
    <row r="4503" spans="1:1" x14ac:dyDescent="0.3">
      <c r="A4503" t="s">
        <v>4525</v>
      </c>
    </row>
    <row r="4504" spans="1:1" x14ac:dyDescent="0.3">
      <c r="A4504" t="s">
        <v>4526</v>
      </c>
    </row>
    <row r="4505" spans="1:1" x14ac:dyDescent="0.3">
      <c r="A4505" t="s">
        <v>4527</v>
      </c>
    </row>
    <row r="4506" spans="1:1" x14ac:dyDescent="0.3">
      <c r="A4506" t="s">
        <v>4528</v>
      </c>
    </row>
    <row r="4507" spans="1:1" x14ac:dyDescent="0.3">
      <c r="A4507" t="s">
        <v>4529</v>
      </c>
    </row>
    <row r="4508" spans="1:1" x14ac:dyDescent="0.3">
      <c r="A4508" t="s">
        <v>4530</v>
      </c>
    </row>
    <row r="4509" spans="1:1" x14ac:dyDescent="0.3">
      <c r="A4509" t="s">
        <v>4531</v>
      </c>
    </row>
    <row r="4510" spans="1:1" x14ac:dyDescent="0.3">
      <c r="A4510" t="s">
        <v>4532</v>
      </c>
    </row>
    <row r="4511" spans="1:1" x14ac:dyDescent="0.3">
      <c r="A4511" t="s">
        <v>4533</v>
      </c>
    </row>
    <row r="4512" spans="1:1" x14ac:dyDescent="0.3">
      <c r="A4512" t="s">
        <v>4534</v>
      </c>
    </row>
    <row r="4513" spans="1:1" x14ac:dyDescent="0.3">
      <c r="A4513" t="s">
        <v>4535</v>
      </c>
    </row>
    <row r="4514" spans="1:1" x14ac:dyDescent="0.3">
      <c r="A4514" t="s">
        <v>4536</v>
      </c>
    </row>
    <row r="4515" spans="1:1" x14ac:dyDescent="0.3">
      <c r="A4515" t="s">
        <v>4537</v>
      </c>
    </row>
    <row r="4516" spans="1:1" x14ac:dyDescent="0.3">
      <c r="A4516" t="s">
        <v>4538</v>
      </c>
    </row>
    <row r="4517" spans="1:1" x14ac:dyDescent="0.3">
      <c r="A4517" t="s">
        <v>4539</v>
      </c>
    </row>
    <row r="4518" spans="1:1" x14ac:dyDescent="0.3">
      <c r="A4518" t="s">
        <v>4540</v>
      </c>
    </row>
    <row r="4519" spans="1:1" x14ac:dyDescent="0.3">
      <c r="A4519" t="s">
        <v>4541</v>
      </c>
    </row>
    <row r="4520" spans="1:1" x14ac:dyDescent="0.3">
      <c r="A4520" t="s">
        <v>4542</v>
      </c>
    </row>
    <row r="4521" spans="1:1" x14ac:dyDescent="0.3">
      <c r="A4521" t="s">
        <v>4543</v>
      </c>
    </row>
    <row r="4522" spans="1:1" x14ac:dyDescent="0.3">
      <c r="A4522" t="s">
        <v>4544</v>
      </c>
    </row>
    <row r="4523" spans="1:1" x14ac:dyDescent="0.3">
      <c r="A4523" t="s">
        <v>4545</v>
      </c>
    </row>
    <row r="4524" spans="1:1" x14ac:dyDescent="0.3">
      <c r="A4524" t="s">
        <v>4546</v>
      </c>
    </row>
    <row r="4525" spans="1:1" x14ac:dyDescent="0.3">
      <c r="A4525" t="s">
        <v>4547</v>
      </c>
    </row>
    <row r="4526" spans="1:1" x14ac:dyDescent="0.3">
      <c r="A4526" t="s">
        <v>4548</v>
      </c>
    </row>
    <row r="4527" spans="1:1" x14ac:dyDescent="0.3">
      <c r="A4527" t="s">
        <v>4549</v>
      </c>
    </row>
    <row r="4528" spans="1:1" x14ac:dyDescent="0.3">
      <c r="A4528" t="s">
        <v>4550</v>
      </c>
    </row>
    <row r="4529" spans="1:1" x14ac:dyDescent="0.3">
      <c r="A4529" t="s">
        <v>4551</v>
      </c>
    </row>
    <row r="4530" spans="1:1" x14ac:dyDescent="0.3">
      <c r="A4530" t="s">
        <v>4552</v>
      </c>
    </row>
    <row r="4531" spans="1:1" x14ac:dyDescent="0.3">
      <c r="A4531" t="s">
        <v>4553</v>
      </c>
    </row>
    <row r="4532" spans="1:1" x14ac:dyDescent="0.3">
      <c r="A4532" t="s">
        <v>4554</v>
      </c>
    </row>
    <row r="4533" spans="1:1" x14ac:dyDescent="0.3">
      <c r="A4533" t="s">
        <v>4555</v>
      </c>
    </row>
    <row r="4534" spans="1:1" x14ac:dyDescent="0.3">
      <c r="A4534" t="s">
        <v>4556</v>
      </c>
    </row>
    <row r="4535" spans="1:1" x14ac:dyDescent="0.3">
      <c r="A4535" t="s">
        <v>4557</v>
      </c>
    </row>
    <row r="4536" spans="1:1" x14ac:dyDescent="0.3">
      <c r="A4536" t="s">
        <v>4558</v>
      </c>
    </row>
    <row r="4537" spans="1:1" x14ac:dyDescent="0.3">
      <c r="A4537" t="s">
        <v>4559</v>
      </c>
    </row>
    <row r="4538" spans="1:1" x14ac:dyDescent="0.3">
      <c r="A4538" t="s">
        <v>4560</v>
      </c>
    </row>
    <row r="4539" spans="1:1" x14ac:dyDescent="0.3">
      <c r="A4539" t="s">
        <v>4561</v>
      </c>
    </row>
    <row r="4540" spans="1:1" x14ac:dyDescent="0.3">
      <c r="A4540" t="s">
        <v>4562</v>
      </c>
    </row>
    <row r="4541" spans="1:1" x14ac:dyDescent="0.3">
      <c r="A4541" t="s">
        <v>4563</v>
      </c>
    </row>
    <row r="4542" spans="1:1" x14ac:dyDescent="0.3">
      <c r="A4542" t="s">
        <v>4564</v>
      </c>
    </row>
    <row r="4543" spans="1:1" x14ac:dyDescent="0.3">
      <c r="A4543" t="s">
        <v>4565</v>
      </c>
    </row>
    <row r="4544" spans="1:1" x14ac:dyDescent="0.3">
      <c r="A4544" t="s">
        <v>4566</v>
      </c>
    </row>
    <row r="4545" spans="1:4" x14ac:dyDescent="0.3">
      <c r="A4545" t="s">
        <v>4567</v>
      </c>
    </row>
    <row r="4546" spans="1:4" x14ac:dyDescent="0.3">
      <c r="A4546" t="s">
        <v>4568</v>
      </c>
    </row>
    <row r="4547" spans="1:4" x14ac:dyDescent="0.3">
      <c r="A4547" t="s">
        <v>4569</v>
      </c>
    </row>
    <row r="4548" spans="1:4" x14ac:dyDescent="0.3">
      <c r="A4548" t="s">
        <v>4570</v>
      </c>
    </row>
    <row r="4549" spans="1:4" x14ac:dyDescent="0.3">
      <c r="A4549" t="s">
        <v>4571</v>
      </c>
    </row>
    <row r="4550" spans="1:4" x14ac:dyDescent="0.3">
      <c r="A4550" t="s">
        <v>4572</v>
      </c>
    </row>
    <row r="4551" spans="1:4" x14ac:dyDescent="0.3">
      <c r="A4551" t="s">
        <v>4573</v>
      </c>
    </row>
    <row r="4552" spans="1:4" x14ac:dyDescent="0.3">
      <c r="A4552" t="s">
        <v>4574</v>
      </c>
    </row>
    <row r="4553" spans="1:4" x14ac:dyDescent="0.3">
      <c r="A4553" t="s">
        <v>4575</v>
      </c>
    </row>
    <row r="4554" spans="1:4" x14ac:dyDescent="0.3">
      <c r="A4554" t="s">
        <v>4576</v>
      </c>
    </row>
    <row r="4555" spans="1:4" x14ac:dyDescent="0.3">
      <c r="A4555" t="s">
        <v>4577</v>
      </c>
    </row>
    <row r="4556" spans="1:4" x14ac:dyDescent="0.3">
      <c r="A4556" t="s">
        <v>4578</v>
      </c>
    </row>
    <row r="4557" spans="1:4" x14ac:dyDescent="0.3">
      <c r="A4557" t="s">
        <v>4579</v>
      </c>
      <c r="B4557" t="s">
        <v>4580</v>
      </c>
      <c r="C4557" t="s">
        <v>4581</v>
      </c>
      <c r="D4557" t="s">
        <v>4582</v>
      </c>
    </row>
    <row r="4558" spans="1:4" x14ac:dyDescent="0.3">
      <c r="A4558" t="s">
        <v>4583</v>
      </c>
    </row>
    <row r="4559" spans="1:4" x14ac:dyDescent="0.3">
      <c r="A4559" t="s">
        <v>4584</v>
      </c>
    </row>
    <row r="4560" spans="1:4" x14ac:dyDescent="0.3">
      <c r="A4560" t="s">
        <v>4585</v>
      </c>
    </row>
    <row r="4561" spans="1:1" x14ac:dyDescent="0.3">
      <c r="A4561" t="s">
        <v>4586</v>
      </c>
    </row>
    <row r="4562" spans="1:1" x14ac:dyDescent="0.3">
      <c r="A4562" t="s">
        <v>4587</v>
      </c>
    </row>
    <row r="4563" spans="1:1" x14ac:dyDescent="0.3">
      <c r="A4563" t="s">
        <v>4588</v>
      </c>
    </row>
    <row r="4564" spans="1:1" x14ac:dyDescent="0.3">
      <c r="A4564" t="s">
        <v>4589</v>
      </c>
    </row>
    <row r="4565" spans="1:1" x14ac:dyDescent="0.3">
      <c r="A4565" t="s">
        <v>4590</v>
      </c>
    </row>
    <row r="4566" spans="1:1" x14ac:dyDescent="0.3">
      <c r="A4566" t="s">
        <v>4591</v>
      </c>
    </row>
    <row r="4567" spans="1:1" x14ac:dyDescent="0.3">
      <c r="A4567" t="s">
        <v>4592</v>
      </c>
    </row>
    <row r="4568" spans="1:1" x14ac:dyDescent="0.3">
      <c r="A4568" t="s">
        <v>4593</v>
      </c>
    </row>
    <row r="4569" spans="1:1" x14ac:dyDescent="0.3">
      <c r="A4569" t="s">
        <v>4594</v>
      </c>
    </row>
    <row r="4570" spans="1:1" x14ac:dyDescent="0.3">
      <c r="A4570" t="s">
        <v>4595</v>
      </c>
    </row>
    <row r="4571" spans="1:1" x14ac:dyDescent="0.3">
      <c r="A4571" t="s">
        <v>4596</v>
      </c>
    </row>
    <row r="4572" spans="1:1" x14ac:dyDescent="0.3">
      <c r="A4572" t="s">
        <v>4597</v>
      </c>
    </row>
    <row r="4573" spans="1:1" x14ac:dyDescent="0.3">
      <c r="A4573" t="s">
        <v>4598</v>
      </c>
    </row>
    <row r="4574" spans="1:1" x14ac:dyDescent="0.3">
      <c r="A4574" t="s">
        <v>4599</v>
      </c>
    </row>
    <row r="4575" spans="1:1" x14ac:dyDescent="0.3">
      <c r="A4575" t="s">
        <v>4600</v>
      </c>
    </row>
    <row r="4576" spans="1:1" x14ac:dyDescent="0.3">
      <c r="A4576" t="s">
        <v>4601</v>
      </c>
    </row>
    <row r="4577" spans="1:1" x14ac:dyDescent="0.3">
      <c r="A4577" t="s">
        <v>4602</v>
      </c>
    </row>
    <row r="4578" spans="1:1" x14ac:dyDescent="0.3">
      <c r="A4578" t="s">
        <v>4603</v>
      </c>
    </row>
    <row r="4579" spans="1:1" x14ac:dyDescent="0.3">
      <c r="A4579" t="s">
        <v>4604</v>
      </c>
    </row>
    <row r="4580" spans="1:1" x14ac:dyDescent="0.3">
      <c r="A4580" t="s">
        <v>4605</v>
      </c>
    </row>
    <row r="4581" spans="1:1" x14ac:dyDescent="0.3">
      <c r="A4581" t="s">
        <v>4606</v>
      </c>
    </row>
    <row r="4582" spans="1:1" x14ac:dyDescent="0.3">
      <c r="A4582" t="s">
        <v>4607</v>
      </c>
    </row>
    <row r="4583" spans="1:1" x14ac:dyDescent="0.3">
      <c r="A4583" t="s">
        <v>4608</v>
      </c>
    </row>
    <row r="4584" spans="1:1" x14ac:dyDescent="0.3">
      <c r="A4584" t="s">
        <v>4609</v>
      </c>
    </row>
    <row r="4585" spans="1:1" x14ac:dyDescent="0.3">
      <c r="A4585" t="s">
        <v>4610</v>
      </c>
    </row>
    <row r="4586" spans="1:1" x14ac:dyDescent="0.3">
      <c r="A4586" t="s">
        <v>4611</v>
      </c>
    </row>
    <row r="4587" spans="1:1" x14ac:dyDescent="0.3">
      <c r="A4587" t="s">
        <v>4612</v>
      </c>
    </row>
    <row r="4588" spans="1:1" x14ac:dyDescent="0.3">
      <c r="A4588" t="s">
        <v>4613</v>
      </c>
    </row>
    <row r="4589" spans="1:1" x14ac:dyDescent="0.3">
      <c r="A4589" t="s">
        <v>4614</v>
      </c>
    </row>
    <row r="4590" spans="1:1" x14ac:dyDescent="0.3">
      <c r="A4590" t="s">
        <v>4615</v>
      </c>
    </row>
    <row r="4591" spans="1:1" x14ac:dyDescent="0.3">
      <c r="A4591" t="s">
        <v>4616</v>
      </c>
    </row>
    <row r="4592" spans="1:1" x14ac:dyDescent="0.3">
      <c r="A4592" t="s">
        <v>4617</v>
      </c>
    </row>
    <row r="4593" spans="1:1" x14ac:dyDescent="0.3">
      <c r="A4593" t="s">
        <v>4618</v>
      </c>
    </row>
    <row r="4594" spans="1:1" x14ac:dyDescent="0.3">
      <c r="A4594" t="s">
        <v>4619</v>
      </c>
    </row>
    <row r="4595" spans="1:1" x14ac:dyDescent="0.3">
      <c r="A4595" t="s">
        <v>4620</v>
      </c>
    </row>
    <row r="4596" spans="1:1" x14ac:dyDescent="0.3">
      <c r="A4596" t="s">
        <v>4621</v>
      </c>
    </row>
    <row r="4597" spans="1:1" x14ac:dyDescent="0.3">
      <c r="A4597" t="s">
        <v>4622</v>
      </c>
    </row>
    <row r="4598" spans="1:1" x14ac:dyDescent="0.3">
      <c r="A4598" t="s">
        <v>4623</v>
      </c>
    </row>
    <row r="4599" spans="1:1" x14ac:dyDescent="0.3">
      <c r="A4599" t="s">
        <v>4624</v>
      </c>
    </row>
    <row r="4600" spans="1:1" x14ac:dyDescent="0.3">
      <c r="A4600" t="s">
        <v>4625</v>
      </c>
    </row>
    <row r="4601" spans="1:1" x14ac:dyDescent="0.3">
      <c r="A4601" t="s">
        <v>4626</v>
      </c>
    </row>
    <row r="4602" spans="1:1" x14ac:dyDescent="0.3">
      <c r="A4602" t="s">
        <v>4627</v>
      </c>
    </row>
    <row r="4603" spans="1:1" x14ac:dyDescent="0.3">
      <c r="A4603" t="s">
        <v>4628</v>
      </c>
    </row>
    <row r="4604" spans="1:1" x14ac:dyDescent="0.3">
      <c r="A4604" t="s">
        <v>4629</v>
      </c>
    </row>
    <row r="4605" spans="1:1" x14ac:dyDescent="0.3">
      <c r="A4605" t="s">
        <v>4630</v>
      </c>
    </row>
    <row r="4606" spans="1:1" x14ac:dyDescent="0.3">
      <c r="A4606" t="s">
        <v>4631</v>
      </c>
    </row>
    <row r="4607" spans="1:1" x14ac:dyDescent="0.3">
      <c r="A4607" t="s">
        <v>4632</v>
      </c>
    </row>
    <row r="4608" spans="1:1" x14ac:dyDescent="0.3">
      <c r="A4608" t="s">
        <v>4633</v>
      </c>
    </row>
    <row r="4609" spans="1:1" x14ac:dyDescent="0.3">
      <c r="A4609" t="s">
        <v>4634</v>
      </c>
    </row>
    <row r="4610" spans="1:1" x14ac:dyDescent="0.3">
      <c r="A4610" t="s">
        <v>4635</v>
      </c>
    </row>
    <row r="4611" spans="1:1" x14ac:dyDescent="0.3">
      <c r="A4611" t="s">
        <v>4636</v>
      </c>
    </row>
    <row r="4612" spans="1:1" x14ac:dyDescent="0.3">
      <c r="A4612" t="s">
        <v>4637</v>
      </c>
    </row>
    <row r="4613" spans="1:1" x14ac:dyDescent="0.3">
      <c r="A4613" t="s">
        <v>4638</v>
      </c>
    </row>
    <row r="4614" spans="1:1" x14ac:dyDescent="0.3">
      <c r="A4614" t="s">
        <v>4639</v>
      </c>
    </row>
    <row r="4615" spans="1:1" x14ac:dyDescent="0.3">
      <c r="A4615" t="s">
        <v>4640</v>
      </c>
    </row>
    <row r="4616" spans="1:1" x14ac:dyDescent="0.3">
      <c r="A4616" t="s">
        <v>4641</v>
      </c>
    </row>
    <row r="4617" spans="1:1" x14ac:dyDescent="0.3">
      <c r="A4617" t="s">
        <v>4642</v>
      </c>
    </row>
    <row r="4618" spans="1:1" x14ac:dyDescent="0.3">
      <c r="A4618" t="s">
        <v>4643</v>
      </c>
    </row>
    <row r="4619" spans="1:1" x14ac:dyDescent="0.3">
      <c r="A4619" t="s">
        <v>4644</v>
      </c>
    </row>
    <row r="4620" spans="1:1" x14ac:dyDescent="0.3">
      <c r="A4620" t="s">
        <v>4645</v>
      </c>
    </row>
    <row r="4621" spans="1:1" x14ac:dyDescent="0.3">
      <c r="A4621" t="s">
        <v>4646</v>
      </c>
    </row>
    <row r="4622" spans="1:1" x14ac:dyDescent="0.3">
      <c r="A4622" t="s">
        <v>4647</v>
      </c>
    </row>
    <row r="4623" spans="1:1" x14ac:dyDescent="0.3">
      <c r="A4623" t="s">
        <v>4648</v>
      </c>
    </row>
    <row r="4624" spans="1:1" x14ac:dyDescent="0.3">
      <c r="A4624" t="s">
        <v>4649</v>
      </c>
    </row>
    <row r="4625" spans="1:1" x14ac:dyDescent="0.3">
      <c r="A4625" t="s">
        <v>4650</v>
      </c>
    </row>
    <row r="4626" spans="1:1" x14ac:dyDescent="0.3">
      <c r="A4626" t="s">
        <v>4651</v>
      </c>
    </row>
    <row r="4627" spans="1:1" x14ac:dyDescent="0.3">
      <c r="A4627" t="s">
        <v>4652</v>
      </c>
    </row>
    <row r="4628" spans="1:1" x14ac:dyDescent="0.3">
      <c r="A4628" t="s">
        <v>4653</v>
      </c>
    </row>
    <row r="4629" spans="1:1" x14ac:dyDescent="0.3">
      <c r="A4629" t="s">
        <v>4654</v>
      </c>
    </row>
    <row r="4630" spans="1:1" x14ac:dyDescent="0.3">
      <c r="A4630" t="s">
        <v>4655</v>
      </c>
    </row>
    <row r="4631" spans="1:1" x14ac:dyDescent="0.3">
      <c r="A4631" t="s">
        <v>4656</v>
      </c>
    </row>
    <row r="4632" spans="1:1" x14ac:dyDescent="0.3">
      <c r="A4632" t="s">
        <v>4657</v>
      </c>
    </row>
    <row r="4633" spans="1:1" x14ac:dyDescent="0.3">
      <c r="A4633" t="s">
        <v>4658</v>
      </c>
    </row>
    <row r="4634" spans="1:1" x14ac:dyDescent="0.3">
      <c r="A4634" t="s">
        <v>4659</v>
      </c>
    </row>
    <row r="4635" spans="1:1" x14ac:dyDescent="0.3">
      <c r="A4635" t="s">
        <v>4660</v>
      </c>
    </row>
    <row r="4636" spans="1:1" x14ac:dyDescent="0.3">
      <c r="A4636" t="s">
        <v>4661</v>
      </c>
    </row>
    <row r="4637" spans="1:1" x14ac:dyDescent="0.3">
      <c r="A4637" t="s">
        <v>4662</v>
      </c>
    </row>
    <row r="4638" spans="1:1" x14ac:dyDescent="0.3">
      <c r="A4638" t="s">
        <v>4663</v>
      </c>
    </row>
    <row r="4639" spans="1:1" x14ac:dyDescent="0.3">
      <c r="A4639" t="s">
        <v>4664</v>
      </c>
    </row>
    <row r="4640" spans="1:1" x14ac:dyDescent="0.3">
      <c r="A4640" t="s">
        <v>4665</v>
      </c>
    </row>
    <row r="4641" spans="1:2" x14ac:dyDescent="0.3">
      <c r="A4641" t="s">
        <v>4666</v>
      </c>
    </row>
    <row r="4642" spans="1:2" x14ac:dyDescent="0.3">
      <c r="A4642" t="s">
        <v>4667</v>
      </c>
    </row>
    <row r="4643" spans="1:2" x14ac:dyDescent="0.3">
      <c r="A4643" t="s">
        <v>4668</v>
      </c>
    </row>
    <row r="4644" spans="1:2" x14ac:dyDescent="0.3">
      <c r="A4644" t="s">
        <v>4669</v>
      </c>
      <c r="B4644" t="s">
        <v>4670</v>
      </c>
    </row>
    <row r="4645" spans="1:2" x14ac:dyDescent="0.3">
      <c r="A4645" t="s">
        <v>4671</v>
      </c>
    </row>
    <row r="4646" spans="1:2" x14ac:dyDescent="0.3">
      <c r="A4646" t="s">
        <v>4672</v>
      </c>
    </row>
    <row r="4647" spans="1:2" x14ac:dyDescent="0.3">
      <c r="A4647" t="s">
        <v>4673</v>
      </c>
    </row>
    <row r="4648" spans="1:2" x14ac:dyDescent="0.3">
      <c r="A4648" t="s">
        <v>4674</v>
      </c>
    </row>
    <row r="4649" spans="1:2" x14ac:dyDescent="0.3">
      <c r="A4649" t="s">
        <v>4675</v>
      </c>
    </row>
    <row r="4650" spans="1:2" x14ac:dyDescent="0.3">
      <c r="A4650" t="s">
        <v>4676</v>
      </c>
    </row>
    <row r="4651" spans="1:2" x14ac:dyDescent="0.3">
      <c r="A4651" t="s">
        <v>4677</v>
      </c>
    </row>
    <row r="4652" spans="1:2" x14ac:dyDescent="0.3">
      <c r="A4652" t="s">
        <v>4678</v>
      </c>
    </row>
    <row r="4653" spans="1:2" x14ac:dyDescent="0.3">
      <c r="A4653" t="s">
        <v>4679</v>
      </c>
    </row>
    <row r="4654" spans="1:2" x14ac:dyDescent="0.3">
      <c r="A4654" t="s">
        <v>4680</v>
      </c>
    </row>
    <row r="4655" spans="1:2" x14ac:dyDescent="0.3">
      <c r="A4655" t="s">
        <v>4681</v>
      </c>
    </row>
    <row r="4656" spans="1:2" x14ac:dyDescent="0.3">
      <c r="A4656" t="s">
        <v>4682</v>
      </c>
    </row>
    <row r="4657" spans="1:2" x14ac:dyDescent="0.3">
      <c r="A4657" t="s">
        <v>4683</v>
      </c>
    </row>
    <row r="4658" spans="1:2" x14ac:dyDescent="0.3">
      <c r="A4658" t="s">
        <v>4684</v>
      </c>
    </row>
    <row r="4659" spans="1:2" x14ac:dyDescent="0.3">
      <c r="A4659" t="s">
        <v>4685</v>
      </c>
    </row>
    <row r="4660" spans="1:2" x14ac:dyDescent="0.3">
      <c r="A4660" t="s">
        <v>4686</v>
      </c>
    </row>
    <row r="4661" spans="1:2" x14ac:dyDescent="0.3">
      <c r="A4661" t="s">
        <v>4687</v>
      </c>
    </row>
    <row r="4662" spans="1:2" x14ac:dyDescent="0.3">
      <c r="A4662" t="s">
        <v>4688</v>
      </c>
    </row>
    <row r="4663" spans="1:2" x14ac:dyDescent="0.3">
      <c r="A4663" t="s">
        <v>4689</v>
      </c>
    </row>
    <row r="4664" spans="1:2" x14ac:dyDescent="0.3">
      <c r="A4664" t="s">
        <v>4690</v>
      </c>
    </row>
    <row r="4665" spans="1:2" x14ac:dyDescent="0.3">
      <c r="A4665" t="s">
        <v>4691</v>
      </c>
    </row>
    <row r="4666" spans="1:2" x14ac:dyDescent="0.3">
      <c r="A4666" t="s">
        <v>4692</v>
      </c>
    </row>
    <row r="4667" spans="1:2" x14ac:dyDescent="0.3">
      <c r="A4667" t="s">
        <v>4693</v>
      </c>
    </row>
    <row r="4668" spans="1:2" x14ac:dyDescent="0.3">
      <c r="A4668" t="s">
        <v>4694</v>
      </c>
    </row>
    <row r="4669" spans="1:2" x14ac:dyDescent="0.3">
      <c r="A4669" t="s">
        <v>4695</v>
      </c>
    </row>
    <row r="4670" spans="1:2" x14ac:dyDescent="0.3">
      <c r="A4670" t="s">
        <v>4696</v>
      </c>
    </row>
    <row r="4671" spans="1:2" x14ac:dyDescent="0.3">
      <c r="A4671" t="s">
        <v>4697</v>
      </c>
      <c r="B4671" t="s">
        <v>4698</v>
      </c>
    </row>
    <row r="4672" spans="1:2" x14ac:dyDescent="0.3">
      <c r="A4672" t="s">
        <v>4699</v>
      </c>
    </row>
    <row r="4673" spans="1:1" x14ac:dyDescent="0.3">
      <c r="A4673" t="s">
        <v>4700</v>
      </c>
    </row>
    <row r="4674" spans="1:1" x14ac:dyDescent="0.3">
      <c r="A4674" t="s">
        <v>4701</v>
      </c>
    </row>
    <row r="4675" spans="1:1" x14ac:dyDescent="0.3">
      <c r="A4675" t="s">
        <v>4702</v>
      </c>
    </row>
    <row r="4676" spans="1:1" x14ac:dyDescent="0.3">
      <c r="A4676" t="s">
        <v>4703</v>
      </c>
    </row>
    <row r="4677" spans="1:1" x14ac:dyDescent="0.3">
      <c r="A4677" t="s">
        <v>4704</v>
      </c>
    </row>
    <row r="4678" spans="1:1" x14ac:dyDescent="0.3">
      <c r="A4678" t="s">
        <v>4705</v>
      </c>
    </row>
    <row r="4679" spans="1:1" x14ac:dyDescent="0.3">
      <c r="A4679" t="s">
        <v>4706</v>
      </c>
    </row>
    <row r="4680" spans="1:1" x14ac:dyDescent="0.3">
      <c r="A4680" t="s">
        <v>4707</v>
      </c>
    </row>
    <row r="4681" spans="1:1" x14ac:dyDescent="0.3">
      <c r="A4681" t="s">
        <v>4708</v>
      </c>
    </row>
    <row r="4682" spans="1:1" x14ac:dyDescent="0.3">
      <c r="A4682" t="s">
        <v>4709</v>
      </c>
    </row>
    <row r="4683" spans="1:1" x14ac:dyDescent="0.3">
      <c r="A4683" t="s">
        <v>4710</v>
      </c>
    </row>
    <row r="4684" spans="1:1" x14ac:dyDescent="0.3">
      <c r="A4684" t="s">
        <v>4711</v>
      </c>
    </row>
    <row r="4685" spans="1:1" x14ac:dyDescent="0.3">
      <c r="A4685" t="s">
        <v>4712</v>
      </c>
    </row>
    <row r="4686" spans="1:1" x14ac:dyDescent="0.3">
      <c r="A4686" t="s">
        <v>4713</v>
      </c>
    </row>
    <row r="4687" spans="1:1" x14ac:dyDescent="0.3">
      <c r="A4687" t="s">
        <v>4714</v>
      </c>
    </row>
    <row r="4688" spans="1:1" x14ac:dyDescent="0.3">
      <c r="A4688" t="s">
        <v>4715</v>
      </c>
    </row>
    <row r="4689" spans="1:1" x14ac:dyDescent="0.3">
      <c r="A4689" t="s">
        <v>4716</v>
      </c>
    </row>
    <row r="4690" spans="1:1" x14ac:dyDescent="0.3">
      <c r="A4690" t="s">
        <v>4717</v>
      </c>
    </row>
    <row r="4691" spans="1:1" x14ac:dyDescent="0.3">
      <c r="A4691" t="s">
        <v>4718</v>
      </c>
    </row>
    <row r="4692" spans="1:1" x14ac:dyDescent="0.3">
      <c r="A4692" t="s">
        <v>4719</v>
      </c>
    </row>
    <row r="4693" spans="1:1" x14ac:dyDescent="0.3">
      <c r="A4693" t="s">
        <v>4720</v>
      </c>
    </row>
    <row r="4694" spans="1:1" x14ac:dyDescent="0.3">
      <c r="A4694" t="s">
        <v>4721</v>
      </c>
    </row>
    <row r="4695" spans="1:1" x14ac:dyDescent="0.3">
      <c r="A4695" t="s">
        <v>4722</v>
      </c>
    </row>
    <row r="4696" spans="1:1" x14ac:dyDescent="0.3">
      <c r="A4696" t="s">
        <v>4723</v>
      </c>
    </row>
    <row r="4697" spans="1:1" x14ac:dyDescent="0.3">
      <c r="A4697" t="s">
        <v>4724</v>
      </c>
    </row>
    <row r="4698" spans="1:1" x14ac:dyDescent="0.3">
      <c r="A4698" t="s">
        <v>4725</v>
      </c>
    </row>
    <row r="4699" spans="1:1" x14ac:dyDescent="0.3">
      <c r="A4699" t="s">
        <v>4726</v>
      </c>
    </row>
    <row r="4700" spans="1:1" x14ac:dyDescent="0.3">
      <c r="A4700" t="s">
        <v>4727</v>
      </c>
    </row>
    <row r="4701" spans="1:1" x14ac:dyDescent="0.3">
      <c r="A4701" t="s">
        <v>4728</v>
      </c>
    </row>
    <row r="4702" spans="1:1" x14ac:dyDescent="0.3">
      <c r="A4702" t="s">
        <v>4729</v>
      </c>
    </row>
    <row r="4703" spans="1:1" x14ac:dyDescent="0.3">
      <c r="A4703" t="s">
        <v>4730</v>
      </c>
    </row>
    <row r="4704" spans="1:1" x14ac:dyDescent="0.3">
      <c r="A4704" t="s">
        <v>4731</v>
      </c>
    </row>
    <row r="4705" spans="1:1" x14ac:dyDescent="0.3">
      <c r="A4705" t="s">
        <v>4732</v>
      </c>
    </row>
    <row r="4706" spans="1:1" x14ac:dyDescent="0.3">
      <c r="A4706" t="s">
        <v>4733</v>
      </c>
    </row>
    <row r="4707" spans="1:1" x14ac:dyDescent="0.3">
      <c r="A4707" t="s">
        <v>4734</v>
      </c>
    </row>
    <row r="4708" spans="1:1" x14ac:dyDescent="0.3">
      <c r="A4708" t="s">
        <v>4735</v>
      </c>
    </row>
    <row r="4709" spans="1:1" x14ac:dyDescent="0.3">
      <c r="A4709" t="s">
        <v>4736</v>
      </c>
    </row>
    <row r="4710" spans="1:1" x14ac:dyDescent="0.3">
      <c r="A4710" t="s">
        <v>4737</v>
      </c>
    </row>
    <row r="4711" spans="1:1" x14ac:dyDescent="0.3">
      <c r="A4711" t="s">
        <v>4738</v>
      </c>
    </row>
    <row r="4712" spans="1:1" x14ac:dyDescent="0.3">
      <c r="A4712" t="s">
        <v>4739</v>
      </c>
    </row>
    <row r="4713" spans="1:1" x14ac:dyDescent="0.3">
      <c r="A4713" t="s">
        <v>4740</v>
      </c>
    </row>
    <row r="4714" spans="1:1" x14ac:dyDescent="0.3">
      <c r="A4714" t="s">
        <v>4741</v>
      </c>
    </row>
    <row r="4715" spans="1:1" x14ac:dyDescent="0.3">
      <c r="A4715" t="s">
        <v>4742</v>
      </c>
    </row>
    <row r="4716" spans="1:1" x14ac:dyDescent="0.3">
      <c r="A4716" t="s">
        <v>4743</v>
      </c>
    </row>
    <row r="4717" spans="1:1" x14ac:dyDescent="0.3">
      <c r="A4717" t="s">
        <v>4744</v>
      </c>
    </row>
    <row r="4718" spans="1:1" x14ac:dyDescent="0.3">
      <c r="A4718" t="s">
        <v>4745</v>
      </c>
    </row>
    <row r="4719" spans="1:1" x14ac:dyDescent="0.3">
      <c r="A4719" t="s">
        <v>4746</v>
      </c>
    </row>
    <row r="4720" spans="1:1" x14ac:dyDescent="0.3">
      <c r="A4720" t="s">
        <v>4747</v>
      </c>
    </row>
    <row r="4721" spans="1:1" x14ac:dyDescent="0.3">
      <c r="A4721" t="s">
        <v>4748</v>
      </c>
    </row>
    <row r="4722" spans="1:1" x14ac:dyDescent="0.3">
      <c r="A4722" t="s">
        <v>4749</v>
      </c>
    </row>
    <row r="4723" spans="1:1" x14ac:dyDescent="0.3">
      <c r="A4723" t="s">
        <v>4750</v>
      </c>
    </row>
    <row r="4724" spans="1:1" x14ac:dyDescent="0.3">
      <c r="A4724" t="s">
        <v>4751</v>
      </c>
    </row>
    <row r="4725" spans="1:1" x14ac:dyDescent="0.3">
      <c r="A4725" t="s">
        <v>4752</v>
      </c>
    </row>
    <row r="4726" spans="1:1" x14ac:dyDescent="0.3">
      <c r="A4726" t="s">
        <v>4753</v>
      </c>
    </row>
    <row r="4727" spans="1:1" x14ac:dyDescent="0.3">
      <c r="A4727" t="s">
        <v>4754</v>
      </c>
    </row>
    <row r="4728" spans="1:1" x14ac:dyDescent="0.3">
      <c r="A4728" t="s">
        <v>4755</v>
      </c>
    </row>
    <row r="4729" spans="1:1" x14ac:dyDescent="0.3">
      <c r="A4729" t="s">
        <v>4756</v>
      </c>
    </row>
    <row r="4730" spans="1:1" x14ac:dyDescent="0.3">
      <c r="A4730" t="s">
        <v>4757</v>
      </c>
    </row>
    <row r="4731" spans="1:1" x14ac:dyDescent="0.3">
      <c r="A4731" t="s">
        <v>4758</v>
      </c>
    </row>
    <row r="4732" spans="1:1" x14ac:dyDescent="0.3">
      <c r="A4732" t="s">
        <v>4759</v>
      </c>
    </row>
    <row r="4733" spans="1:1" x14ac:dyDescent="0.3">
      <c r="A4733" t="s">
        <v>4760</v>
      </c>
    </row>
    <row r="4734" spans="1:1" x14ac:dyDescent="0.3">
      <c r="A4734" t="s">
        <v>4761</v>
      </c>
    </row>
    <row r="4735" spans="1:1" x14ac:dyDescent="0.3">
      <c r="A4735" t="s">
        <v>4762</v>
      </c>
    </row>
    <row r="4736" spans="1:1" x14ac:dyDescent="0.3">
      <c r="A4736" t="s">
        <v>4763</v>
      </c>
    </row>
    <row r="4737" spans="1:1" x14ac:dyDescent="0.3">
      <c r="A4737" t="s">
        <v>4764</v>
      </c>
    </row>
    <row r="4738" spans="1:1" x14ac:dyDescent="0.3">
      <c r="A4738" t="s">
        <v>4765</v>
      </c>
    </row>
    <row r="4739" spans="1:1" x14ac:dyDescent="0.3">
      <c r="A4739" t="s">
        <v>4766</v>
      </c>
    </row>
    <row r="4740" spans="1:1" x14ac:dyDescent="0.3">
      <c r="A4740" t="s">
        <v>4767</v>
      </c>
    </row>
    <row r="4741" spans="1:1" x14ac:dyDescent="0.3">
      <c r="A4741" t="s">
        <v>4768</v>
      </c>
    </row>
    <row r="4742" spans="1:1" x14ac:dyDescent="0.3">
      <c r="A4742" t="s">
        <v>4769</v>
      </c>
    </row>
    <row r="4743" spans="1:1" x14ac:dyDescent="0.3">
      <c r="A4743" t="s">
        <v>4770</v>
      </c>
    </row>
    <row r="4744" spans="1:1" x14ac:dyDescent="0.3">
      <c r="A4744" t="s">
        <v>4771</v>
      </c>
    </row>
    <row r="4745" spans="1:1" x14ac:dyDescent="0.3">
      <c r="A4745" t="s">
        <v>4772</v>
      </c>
    </row>
    <row r="4746" spans="1:1" x14ac:dyDescent="0.3">
      <c r="A4746" t="s">
        <v>4773</v>
      </c>
    </row>
    <row r="4747" spans="1:1" x14ac:dyDescent="0.3">
      <c r="A4747" t="s">
        <v>4774</v>
      </c>
    </row>
    <row r="4748" spans="1:1" x14ac:dyDescent="0.3">
      <c r="A4748" t="s">
        <v>4775</v>
      </c>
    </row>
    <row r="4749" spans="1:1" x14ac:dyDescent="0.3">
      <c r="A4749" t="s">
        <v>4776</v>
      </c>
    </row>
    <row r="4750" spans="1:1" x14ac:dyDescent="0.3">
      <c r="A4750" t="s">
        <v>4777</v>
      </c>
    </row>
    <row r="4751" spans="1:1" x14ac:dyDescent="0.3">
      <c r="A4751" t="s">
        <v>4778</v>
      </c>
    </row>
    <row r="4752" spans="1:1" x14ac:dyDescent="0.3">
      <c r="A4752" t="s">
        <v>4779</v>
      </c>
    </row>
    <row r="4753" spans="1:1" x14ac:dyDescent="0.3">
      <c r="A4753" t="s">
        <v>4780</v>
      </c>
    </row>
    <row r="4754" spans="1:1" x14ac:dyDescent="0.3">
      <c r="A4754" t="s">
        <v>4781</v>
      </c>
    </row>
    <row r="4755" spans="1:1" x14ac:dyDescent="0.3">
      <c r="A4755" t="s">
        <v>4782</v>
      </c>
    </row>
    <row r="4756" spans="1:1" x14ac:dyDescent="0.3">
      <c r="A4756" t="s">
        <v>4783</v>
      </c>
    </row>
    <row r="4757" spans="1:1" x14ac:dyDescent="0.3">
      <c r="A4757" t="s">
        <v>4784</v>
      </c>
    </row>
    <row r="4758" spans="1:1" x14ac:dyDescent="0.3">
      <c r="A4758" t="s">
        <v>4785</v>
      </c>
    </row>
    <row r="4759" spans="1:1" x14ac:dyDescent="0.3">
      <c r="A4759" t="s">
        <v>4786</v>
      </c>
    </row>
    <row r="4760" spans="1:1" x14ac:dyDescent="0.3">
      <c r="A4760" t="s">
        <v>4787</v>
      </c>
    </row>
    <row r="4761" spans="1:1" x14ac:dyDescent="0.3">
      <c r="A4761" t="s">
        <v>4788</v>
      </c>
    </row>
    <row r="4762" spans="1:1" x14ac:dyDescent="0.3">
      <c r="A4762" t="s">
        <v>4789</v>
      </c>
    </row>
    <row r="4763" spans="1:1" x14ac:dyDescent="0.3">
      <c r="A4763" t="s">
        <v>4790</v>
      </c>
    </row>
    <row r="4764" spans="1:1" x14ac:dyDescent="0.3">
      <c r="A4764" t="s">
        <v>4791</v>
      </c>
    </row>
    <row r="4765" spans="1:1" x14ac:dyDescent="0.3">
      <c r="A4765" t="s">
        <v>4792</v>
      </c>
    </row>
    <row r="4766" spans="1:1" x14ac:dyDescent="0.3">
      <c r="A4766" t="s">
        <v>4793</v>
      </c>
    </row>
    <row r="4767" spans="1:1" x14ac:dyDescent="0.3">
      <c r="A4767" t="s">
        <v>4794</v>
      </c>
    </row>
    <row r="4768" spans="1:1" x14ac:dyDescent="0.3">
      <c r="A4768" t="s">
        <v>4795</v>
      </c>
    </row>
    <row r="4769" spans="1:2" x14ac:dyDescent="0.3">
      <c r="A4769" t="s">
        <v>4796</v>
      </c>
    </row>
    <row r="4770" spans="1:2" x14ac:dyDescent="0.3">
      <c r="A4770" t="s">
        <v>4797</v>
      </c>
    </row>
    <row r="4771" spans="1:2" x14ac:dyDescent="0.3">
      <c r="A4771" t="s">
        <v>4798</v>
      </c>
    </row>
    <row r="4772" spans="1:2" x14ac:dyDescent="0.3">
      <c r="A4772" t="s">
        <v>4799</v>
      </c>
    </row>
    <row r="4773" spans="1:2" x14ac:dyDescent="0.3">
      <c r="A4773" t="s">
        <v>4800</v>
      </c>
    </row>
    <row r="4774" spans="1:2" x14ac:dyDescent="0.3">
      <c r="A4774" t="s">
        <v>4801</v>
      </c>
    </row>
    <row r="4775" spans="1:2" x14ac:dyDescent="0.3">
      <c r="A4775" t="s">
        <v>4802</v>
      </c>
    </row>
    <row r="4776" spans="1:2" ht="331.2" x14ac:dyDescent="0.3">
      <c r="A4776" t="s">
        <v>4803</v>
      </c>
      <c r="B4776" s="1" t="s">
        <v>4804</v>
      </c>
    </row>
    <row r="4777" spans="1:2" x14ac:dyDescent="0.3">
      <c r="A4777" t="s">
        <v>4805</v>
      </c>
    </row>
    <row r="4778" spans="1:2" x14ac:dyDescent="0.3">
      <c r="A4778" t="s">
        <v>4806</v>
      </c>
    </row>
    <row r="4779" spans="1:2" x14ac:dyDescent="0.3">
      <c r="A4779" t="s">
        <v>4807</v>
      </c>
    </row>
    <row r="4780" spans="1:2" x14ac:dyDescent="0.3">
      <c r="A4780" t="s">
        <v>4808</v>
      </c>
    </row>
    <row r="4781" spans="1:2" x14ac:dyDescent="0.3">
      <c r="A4781" t="s">
        <v>4809</v>
      </c>
    </row>
    <row r="4782" spans="1:2" x14ac:dyDescent="0.3">
      <c r="A4782" t="s">
        <v>4810</v>
      </c>
    </row>
    <row r="4783" spans="1:2" x14ac:dyDescent="0.3">
      <c r="A4783" t="s">
        <v>4811</v>
      </c>
    </row>
    <row r="4784" spans="1:2" x14ac:dyDescent="0.3">
      <c r="A4784" t="s">
        <v>4812</v>
      </c>
    </row>
    <row r="4785" spans="1:1" x14ac:dyDescent="0.3">
      <c r="A4785" t="s">
        <v>4813</v>
      </c>
    </row>
    <row r="4786" spans="1:1" x14ac:dyDescent="0.3">
      <c r="A4786" t="s">
        <v>4814</v>
      </c>
    </row>
    <row r="4787" spans="1:1" x14ac:dyDescent="0.3">
      <c r="A4787" t="s">
        <v>4815</v>
      </c>
    </row>
    <row r="4788" spans="1:1" x14ac:dyDescent="0.3">
      <c r="A4788" t="s">
        <v>4816</v>
      </c>
    </row>
    <row r="4789" spans="1:1" x14ac:dyDescent="0.3">
      <c r="A4789" t="s">
        <v>4817</v>
      </c>
    </row>
    <row r="4790" spans="1:1" x14ac:dyDescent="0.3">
      <c r="A4790" t="s">
        <v>4818</v>
      </c>
    </row>
    <row r="4791" spans="1:1" x14ac:dyDescent="0.3">
      <c r="A4791" t="s">
        <v>4819</v>
      </c>
    </row>
    <row r="4792" spans="1:1" x14ac:dyDescent="0.3">
      <c r="A4792" t="s">
        <v>4820</v>
      </c>
    </row>
    <row r="4793" spans="1:1" x14ac:dyDescent="0.3">
      <c r="A4793" t="s">
        <v>4821</v>
      </c>
    </row>
    <row r="4794" spans="1:1" x14ac:dyDescent="0.3">
      <c r="A4794" t="s">
        <v>4822</v>
      </c>
    </row>
    <row r="4795" spans="1:1" x14ac:dyDescent="0.3">
      <c r="A4795" t="s">
        <v>4823</v>
      </c>
    </row>
    <row r="4796" spans="1:1" x14ac:dyDescent="0.3">
      <c r="A4796" t="s">
        <v>4824</v>
      </c>
    </row>
    <row r="4797" spans="1:1" x14ac:dyDescent="0.3">
      <c r="A4797" t="s">
        <v>4825</v>
      </c>
    </row>
    <row r="4798" spans="1:1" x14ac:dyDescent="0.3">
      <c r="A4798" t="s">
        <v>4826</v>
      </c>
    </row>
    <row r="4799" spans="1:1" x14ac:dyDescent="0.3">
      <c r="A4799" t="s">
        <v>4827</v>
      </c>
    </row>
    <row r="4800" spans="1:1" x14ac:dyDescent="0.3">
      <c r="A4800" t="s">
        <v>4828</v>
      </c>
    </row>
    <row r="4801" spans="1:1" x14ac:dyDescent="0.3">
      <c r="A4801" t="s">
        <v>4829</v>
      </c>
    </row>
    <row r="4802" spans="1:1" x14ac:dyDescent="0.3">
      <c r="A4802" t="s">
        <v>4830</v>
      </c>
    </row>
    <row r="4803" spans="1:1" x14ac:dyDescent="0.3">
      <c r="A4803" t="s">
        <v>4831</v>
      </c>
    </row>
    <row r="4804" spans="1:1" x14ac:dyDescent="0.3">
      <c r="A4804" t="s">
        <v>4832</v>
      </c>
    </row>
    <row r="4805" spans="1:1" x14ac:dyDescent="0.3">
      <c r="A4805" t="s">
        <v>4833</v>
      </c>
    </row>
    <row r="4806" spans="1:1" x14ac:dyDescent="0.3">
      <c r="A4806" t="s">
        <v>4834</v>
      </c>
    </row>
    <row r="4807" spans="1:1" x14ac:dyDescent="0.3">
      <c r="A4807" t="s">
        <v>4835</v>
      </c>
    </row>
    <row r="4808" spans="1:1" x14ac:dyDescent="0.3">
      <c r="A4808" t="s">
        <v>4836</v>
      </c>
    </row>
    <row r="4809" spans="1:1" x14ac:dyDescent="0.3">
      <c r="A4809" t="s">
        <v>4837</v>
      </c>
    </row>
    <row r="4810" spans="1:1" x14ac:dyDescent="0.3">
      <c r="A4810" t="s">
        <v>4838</v>
      </c>
    </row>
    <row r="4811" spans="1:1" x14ac:dyDescent="0.3">
      <c r="A4811" t="s">
        <v>4839</v>
      </c>
    </row>
    <row r="4812" spans="1:1" x14ac:dyDescent="0.3">
      <c r="A4812" t="s">
        <v>4840</v>
      </c>
    </row>
    <row r="4813" spans="1:1" x14ac:dyDescent="0.3">
      <c r="A4813" t="s">
        <v>4841</v>
      </c>
    </row>
    <row r="4814" spans="1:1" x14ac:dyDescent="0.3">
      <c r="A4814" t="s">
        <v>4842</v>
      </c>
    </row>
    <row r="4815" spans="1:1" x14ac:dyDescent="0.3">
      <c r="A4815" t="s">
        <v>4843</v>
      </c>
    </row>
    <row r="4816" spans="1:1" x14ac:dyDescent="0.3">
      <c r="A4816" t="s">
        <v>4844</v>
      </c>
    </row>
    <row r="4817" spans="1:2" x14ac:dyDescent="0.3">
      <c r="A4817" t="s">
        <v>4845</v>
      </c>
    </row>
    <row r="4818" spans="1:2" x14ac:dyDescent="0.3">
      <c r="A4818" t="s">
        <v>4846</v>
      </c>
    </row>
    <row r="4819" spans="1:2" x14ac:dyDescent="0.3">
      <c r="A4819" t="s">
        <v>4847</v>
      </c>
    </row>
    <row r="4820" spans="1:2" x14ac:dyDescent="0.3">
      <c r="A4820" t="s">
        <v>4848</v>
      </c>
    </row>
    <row r="4821" spans="1:2" x14ac:dyDescent="0.3">
      <c r="A4821" t="s">
        <v>4849</v>
      </c>
    </row>
    <row r="4822" spans="1:2" x14ac:dyDescent="0.3">
      <c r="A4822" t="s">
        <v>4850</v>
      </c>
    </row>
    <row r="4823" spans="1:2" x14ac:dyDescent="0.3">
      <c r="A4823" t="s">
        <v>4851</v>
      </c>
    </row>
    <row r="4824" spans="1:2" x14ac:dyDescent="0.3">
      <c r="A4824" t="s">
        <v>4852</v>
      </c>
    </row>
    <row r="4825" spans="1:2" x14ac:dyDescent="0.3">
      <c r="A4825" t="s">
        <v>4853</v>
      </c>
    </row>
    <row r="4826" spans="1:2" x14ac:dyDescent="0.3">
      <c r="A4826" t="s">
        <v>4854</v>
      </c>
      <c r="B4826" t="s">
        <v>4855</v>
      </c>
    </row>
    <row r="4827" spans="1:2" x14ac:dyDescent="0.3">
      <c r="A4827" t="s">
        <v>4856</v>
      </c>
    </row>
    <row r="4828" spans="1:2" x14ac:dyDescent="0.3">
      <c r="A4828" t="s">
        <v>4857</v>
      </c>
    </row>
    <row r="4829" spans="1:2" x14ac:dyDescent="0.3">
      <c r="A4829" t="s">
        <v>4858</v>
      </c>
    </row>
    <row r="4830" spans="1:2" x14ac:dyDescent="0.3">
      <c r="A4830" t="s">
        <v>4859</v>
      </c>
    </row>
    <row r="4831" spans="1:2" x14ac:dyDescent="0.3">
      <c r="A4831" t="s">
        <v>4860</v>
      </c>
    </row>
    <row r="4832" spans="1:2" x14ac:dyDescent="0.3">
      <c r="A4832" t="s">
        <v>4861</v>
      </c>
    </row>
    <row r="4833" spans="1:1" x14ac:dyDescent="0.3">
      <c r="A4833" t="s">
        <v>4862</v>
      </c>
    </row>
    <row r="4834" spans="1:1" x14ac:dyDescent="0.3">
      <c r="A4834" t="s">
        <v>4863</v>
      </c>
    </row>
    <row r="4835" spans="1:1" x14ac:dyDescent="0.3">
      <c r="A4835" t="s">
        <v>4864</v>
      </c>
    </row>
    <row r="4836" spans="1:1" x14ac:dyDescent="0.3">
      <c r="A4836" t="s">
        <v>4865</v>
      </c>
    </row>
    <row r="4837" spans="1:1" x14ac:dyDescent="0.3">
      <c r="A4837" t="s">
        <v>4866</v>
      </c>
    </row>
    <row r="4838" spans="1:1" x14ac:dyDescent="0.3">
      <c r="A4838" t="s">
        <v>4867</v>
      </c>
    </row>
    <row r="4839" spans="1:1" x14ac:dyDescent="0.3">
      <c r="A4839" t="s">
        <v>4868</v>
      </c>
    </row>
    <row r="4840" spans="1:1" x14ac:dyDescent="0.3">
      <c r="A4840" t="s">
        <v>4869</v>
      </c>
    </row>
    <row r="4841" spans="1:1" x14ac:dyDescent="0.3">
      <c r="A4841" t="s">
        <v>4870</v>
      </c>
    </row>
    <row r="4842" spans="1:1" x14ac:dyDescent="0.3">
      <c r="A4842" t="s">
        <v>4871</v>
      </c>
    </row>
    <row r="4843" spans="1:1" x14ac:dyDescent="0.3">
      <c r="A4843" t="s">
        <v>4872</v>
      </c>
    </row>
    <row r="4844" spans="1:1" x14ac:dyDescent="0.3">
      <c r="A4844" t="s">
        <v>4873</v>
      </c>
    </row>
    <row r="4845" spans="1:1" x14ac:dyDescent="0.3">
      <c r="A4845" t="s">
        <v>4874</v>
      </c>
    </row>
    <row r="4846" spans="1:1" x14ac:dyDescent="0.3">
      <c r="A4846" t="s">
        <v>4875</v>
      </c>
    </row>
    <row r="4847" spans="1:1" x14ac:dyDescent="0.3">
      <c r="A4847" t="s">
        <v>4876</v>
      </c>
    </row>
    <row r="4848" spans="1:1" x14ac:dyDescent="0.3">
      <c r="A4848" t="s">
        <v>4877</v>
      </c>
    </row>
    <row r="4849" spans="1:1" x14ac:dyDescent="0.3">
      <c r="A4849" t="s">
        <v>4878</v>
      </c>
    </row>
    <row r="4850" spans="1:1" x14ac:dyDescent="0.3">
      <c r="A4850" t="s">
        <v>4879</v>
      </c>
    </row>
    <row r="4851" spans="1:1" x14ac:dyDescent="0.3">
      <c r="A4851" t="s">
        <v>4880</v>
      </c>
    </row>
    <row r="4852" spans="1:1" x14ac:dyDescent="0.3">
      <c r="A4852" t="s">
        <v>4881</v>
      </c>
    </row>
    <row r="4853" spans="1:1" x14ac:dyDescent="0.3">
      <c r="A4853" t="s">
        <v>4882</v>
      </c>
    </row>
    <row r="4854" spans="1:1" x14ac:dyDescent="0.3">
      <c r="A4854" t="s">
        <v>4883</v>
      </c>
    </row>
    <row r="4855" spans="1:1" x14ac:dyDescent="0.3">
      <c r="A4855" t="s">
        <v>4884</v>
      </c>
    </row>
    <row r="4856" spans="1:1" x14ac:dyDescent="0.3">
      <c r="A4856" t="s">
        <v>4885</v>
      </c>
    </row>
    <row r="4857" spans="1:1" x14ac:dyDescent="0.3">
      <c r="A4857" t="s">
        <v>4886</v>
      </c>
    </row>
    <row r="4858" spans="1:1" x14ac:dyDescent="0.3">
      <c r="A4858" t="s">
        <v>4887</v>
      </c>
    </row>
    <row r="4859" spans="1:1" x14ac:dyDescent="0.3">
      <c r="A4859" t="s">
        <v>4888</v>
      </c>
    </row>
    <row r="4860" spans="1:1" x14ac:dyDescent="0.3">
      <c r="A4860" t="s">
        <v>4889</v>
      </c>
    </row>
    <row r="4861" spans="1:1" x14ac:dyDescent="0.3">
      <c r="A4861" t="s">
        <v>4890</v>
      </c>
    </row>
    <row r="4862" spans="1:1" x14ac:dyDescent="0.3">
      <c r="A4862" t="s">
        <v>4891</v>
      </c>
    </row>
    <row r="4863" spans="1:1" x14ac:dyDescent="0.3">
      <c r="A4863" t="s">
        <v>4892</v>
      </c>
    </row>
    <row r="4864" spans="1:1" x14ac:dyDescent="0.3">
      <c r="A4864" t="s">
        <v>4893</v>
      </c>
    </row>
    <row r="4865" spans="1:1" x14ac:dyDescent="0.3">
      <c r="A4865" t="s">
        <v>4894</v>
      </c>
    </row>
    <row r="4866" spans="1:1" x14ac:dyDescent="0.3">
      <c r="A4866" t="s">
        <v>4895</v>
      </c>
    </row>
    <row r="4867" spans="1:1" x14ac:dyDescent="0.3">
      <c r="A4867" t="s">
        <v>4896</v>
      </c>
    </row>
    <row r="4868" spans="1:1" x14ac:dyDescent="0.3">
      <c r="A4868" t="s">
        <v>4897</v>
      </c>
    </row>
    <row r="4869" spans="1:1" x14ac:dyDescent="0.3">
      <c r="A4869" t="s">
        <v>4898</v>
      </c>
    </row>
    <row r="4870" spans="1:1" x14ac:dyDescent="0.3">
      <c r="A4870" t="s">
        <v>4899</v>
      </c>
    </row>
    <row r="4871" spans="1:1" x14ac:dyDescent="0.3">
      <c r="A4871" t="s">
        <v>4900</v>
      </c>
    </row>
    <row r="4872" spans="1:1" x14ac:dyDescent="0.3">
      <c r="A4872" t="s">
        <v>4901</v>
      </c>
    </row>
    <row r="4873" spans="1:1" x14ac:dyDescent="0.3">
      <c r="A4873" t="s">
        <v>4902</v>
      </c>
    </row>
    <row r="4874" spans="1:1" x14ac:dyDescent="0.3">
      <c r="A4874" t="s">
        <v>4903</v>
      </c>
    </row>
    <row r="4875" spans="1:1" x14ac:dyDescent="0.3">
      <c r="A4875" t="s">
        <v>4904</v>
      </c>
    </row>
    <row r="4876" spans="1:1" x14ac:dyDescent="0.3">
      <c r="A4876" t="s">
        <v>4905</v>
      </c>
    </row>
    <row r="4877" spans="1:1" x14ac:dyDescent="0.3">
      <c r="A4877" t="s">
        <v>4906</v>
      </c>
    </row>
    <row r="4878" spans="1:1" x14ac:dyDescent="0.3">
      <c r="A4878" t="s">
        <v>4907</v>
      </c>
    </row>
    <row r="4879" spans="1:1" x14ac:dyDescent="0.3">
      <c r="A4879" t="s">
        <v>4908</v>
      </c>
    </row>
    <row r="4880" spans="1:1" x14ac:dyDescent="0.3">
      <c r="A4880" t="s">
        <v>4909</v>
      </c>
    </row>
    <row r="4881" spans="1:2" x14ac:dyDescent="0.3">
      <c r="A4881" t="s">
        <v>4910</v>
      </c>
    </row>
    <row r="4882" spans="1:2" x14ac:dyDescent="0.3">
      <c r="A4882" t="s">
        <v>4911</v>
      </c>
    </row>
    <row r="4883" spans="1:2" x14ac:dyDescent="0.3">
      <c r="A4883" t="s">
        <v>4912</v>
      </c>
      <c r="B4883" t="s">
        <v>4913</v>
      </c>
    </row>
    <row r="4884" spans="1:2" x14ac:dyDescent="0.3">
      <c r="A4884" t="s">
        <v>4914</v>
      </c>
    </row>
    <row r="4885" spans="1:2" x14ac:dyDescent="0.3">
      <c r="A4885" t="s">
        <v>4915</v>
      </c>
    </row>
    <row r="4886" spans="1:2" x14ac:dyDescent="0.3">
      <c r="A4886" t="s">
        <v>4916</v>
      </c>
    </row>
    <row r="4887" spans="1:2" x14ac:dyDescent="0.3">
      <c r="A4887" t="s">
        <v>4917</v>
      </c>
    </row>
    <row r="4888" spans="1:2" x14ac:dyDescent="0.3">
      <c r="A4888" t="s">
        <v>4918</v>
      </c>
    </row>
    <row r="4889" spans="1:2" x14ac:dyDescent="0.3">
      <c r="A4889" t="s">
        <v>4919</v>
      </c>
    </row>
    <row r="4890" spans="1:2" x14ac:dyDescent="0.3">
      <c r="A4890" t="s">
        <v>4920</v>
      </c>
    </row>
    <row r="4891" spans="1:2" x14ac:dyDescent="0.3">
      <c r="A4891" t="s">
        <v>4921</v>
      </c>
    </row>
    <row r="4892" spans="1:2" x14ac:dyDescent="0.3">
      <c r="A4892" t="s">
        <v>4922</v>
      </c>
    </row>
    <row r="4893" spans="1:2" x14ac:dyDescent="0.3">
      <c r="A4893" t="s">
        <v>4923</v>
      </c>
    </row>
    <row r="4894" spans="1:2" x14ac:dyDescent="0.3">
      <c r="A4894" t="s">
        <v>4924</v>
      </c>
    </row>
    <row r="4895" spans="1:2" x14ac:dyDescent="0.3">
      <c r="A4895" t="s">
        <v>4925</v>
      </c>
    </row>
    <row r="4896" spans="1:2" x14ac:dyDescent="0.3">
      <c r="A4896" t="s">
        <v>4926</v>
      </c>
    </row>
    <row r="4897" spans="1:1" x14ac:dyDescent="0.3">
      <c r="A4897" t="s">
        <v>4927</v>
      </c>
    </row>
    <row r="4898" spans="1:1" x14ac:dyDescent="0.3">
      <c r="A4898" t="s">
        <v>4928</v>
      </c>
    </row>
    <row r="4899" spans="1:1" x14ac:dyDescent="0.3">
      <c r="A4899" t="s">
        <v>4929</v>
      </c>
    </row>
    <row r="4900" spans="1:1" x14ac:dyDescent="0.3">
      <c r="A4900" t="s">
        <v>4930</v>
      </c>
    </row>
    <row r="4901" spans="1:1" x14ac:dyDescent="0.3">
      <c r="A4901" t="s">
        <v>4931</v>
      </c>
    </row>
    <row r="4902" spans="1:1" x14ac:dyDescent="0.3">
      <c r="A4902" t="s">
        <v>4932</v>
      </c>
    </row>
    <row r="4903" spans="1:1" x14ac:dyDescent="0.3">
      <c r="A4903" t="s">
        <v>4933</v>
      </c>
    </row>
    <row r="4904" spans="1:1" x14ac:dyDescent="0.3">
      <c r="A4904" t="s">
        <v>4934</v>
      </c>
    </row>
    <row r="4905" spans="1:1" x14ac:dyDescent="0.3">
      <c r="A4905" t="s">
        <v>4935</v>
      </c>
    </row>
    <row r="4906" spans="1:1" x14ac:dyDescent="0.3">
      <c r="A4906" t="s">
        <v>4936</v>
      </c>
    </row>
    <row r="4907" spans="1:1" x14ac:dyDescent="0.3">
      <c r="A4907" t="s">
        <v>4937</v>
      </c>
    </row>
    <row r="4908" spans="1:1" x14ac:dyDescent="0.3">
      <c r="A4908" t="s">
        <v>4938</v>
      </c>
    </row>
    <row r="4909" spans="1:1" x14ac:dyDescent="0.3">
      <c r="A4909" t="s">
        <v>4939</v>
      </c>
    </row>
    <row r="4910" spans="1:1" x14ac:dyDescent="0.3">
      <c r="A4910" t="s">
        <v>4940</v>
      </c>
    </row>
    <row r="4911" spans="1:1" x14ac:dyDescent="0.3">
      <c r="A4911" t="s">
        <v>4941</v>
      </c>
    </row>
    <row r="4912" spans="1:1" x14ac:dyDescent="0.3">
      <c r="A4912" t="s">
        <v>4942</v>
      </c>
    </row>
    <row r="4913" spans="1:1" x14ac:dyDescent="0.3">
      <c r="A4913" t="s">
        <v>4943</v>
      </c>
    </row>
    <row r="4914" spans="1:1" x14ac:dyDescent="0.3">
      <c r="A4914" t="s">
        <v>4944</v>
      </c>
    </row>
    <row r="4915" spans="1:1" x14ac:dyDescent="0.3">
      <c r="A4915" t="s">
        <v>4945</v>
      </c>
    </row>
    <row r="4916" spans="1:1" x14ac:dyDescent="0.3">
      <c r="A4916" t="s">
        <v>4946</v>
      </c>
    </row>
    <row r="4917" spans="1:1" x14ac:dyDescent="0.3">
      <c r="A4917" t="s">
        <v>4947</v>
      </c>
    </row>
    <row r="4918" spans="1:1" x14ac:dyDescent="0.3">
      <c r="A4918" t="s">
        <v>4948</v>
      </c>
    </row>
    <row r="4919" spans="1:1" x14ac:dyDescent="0.3">
      <c r="A4919" t="s">
        <v>4949</v>
      </c>
    </row>
    <row r="4920" spans="1:1" x14ac:dyDescent="0.3">
      <c r="A4920" t="s">
        <v>4950</v>
      </c>
    </row>
    <row r="4921" spans="1:1" x14ac:dyDescent="0.3">
      <c r="A4921" t="s">
        <v>4951</v>
      </c>
    </row>
    <row r="4922" spans="1:1" x14ac:dyDescent="0.3">
      <c r="A4922" t="s">
        <v>4952</v>
      </c>
    </row>
    <row r="4923" spans="1:1" x14ac:dyDescent="0.3">
      <c r="A4923" t="s">
        <v>4953</v>
      </c>
    </row>
    <row r="4924" spans="1:1" x14ac:dyDescent="0.3">
      <c r="A4924" t="s">
        <v>4954</v>
      </c>
    </row>
    <row r="4925" spans="1:1" x14ac:dyDescent="0.3">
      <c r="A4925" t="s">
        <v>4955</v>
      </c>
    </row>
    <row r="4926" spans="1:1" x14ac:dyDescent="0.3">
      <c r="A4926" t="s">
        <v>4956</v>
      </c>
    </row>
    <row r="4927" spans="1:1" x14ac:dyDescent="0.3">
      <c r="A4927" t="s">
        <v>4957</v>
      </c>
    </row>
    <row r="4928" spans="1:1" x14ac:dyDescent="0.3">
      <c r="A4928" t="s">
        <v>4958</v>
      </c>
    </row>
    <row r="4929" spans="1:1" x14ac:dyDescent="0.3">
      <c r="A4929" t="s">
        <v>4959</v>
      </c>
    </row>
    <row r="4930" spans="1:1" x14ac:dyDescent="0.3">
      <c r="A4930" t="s">
        <v>4960</v>
      </c>
    </row>
    <row r="4931" spans="1:1" x14ac:dyDescent="0.3">
      <c r="A4931" t="s">
        <v>4961</v>
      </c>
    </row>
    <row r="4932" spans="1:1" x14ac:dyDescent="0.3">
      <c r="A4932" t="s">
        <v>4962</v>
      </c>
    </row>
    <row r="4933" spans="1:1" x14ac:dyDescent="0.3">
      <c r="A4933" t="s">
        <v>4963</v>
      </c>
    </row>
    <row r="4934" spans="1:1" x14ac:dyDescent="0.3">
      <c r="A4934" t="s">
        <v>4964</v>
      </c>
    </row>
    <row r="4935" spans="1:1" x14ac:dyDescent="0.3">
      <c r="A4935" t="s">
        <v>4965</v>
      </c>
    </row>
    <row r="4936" spans="1:1" x14ac:dyDescent="0.3">
      <c r="A4936" t="s">
        <v>4966</v>
      </c>
    </row>
    <row r="4937" spans="1:1" x14ac:dyDescent="0.3">
      <c r="A4937" t="s">
        <v>4967</v>
      </c>
    </row>
    <row r="4938" spans="1:1" x14ac:dyDescent="0.3">
      <c r="A4938" t="s">
        <v>4968</v>
      </c>
    </row>
    <row r="4939" spans="1:1" x14ac:dyDescent="0.3">
      <c r="A4939" t="s">
        <v>4969</v>
      </c>
    </row>
    <row r="4940" spans="1:1" x14ac:dyDescent="0.3">
      <c r="A4940" t="s">
        <v>4970</v>
      </c>
    </row>
    <row r="4941" spans="1:1" x14ac:dyDescent="0.3">
      <c r="A4941" t="s">
        <v>4971</v>
      </c>
    </row>
    <row r="4942" spans="1:1" x14ac:dyDescent="0.3">
      <c r="A4942" t="s">
        <v>4972</v>
      </c>
    </row>
    <row r="4943" spans="1:1" x14ac:dyDescent="0.3">
      <c r="A4943" t="s">
        <v>4973</v>
      </c>
    </row>
    <row r="4944" spans="1:1" x14ac:dyDescent="0.3">
      <c r="A4944" t="s">
        <v>4974</v>
      </c>
    </row>
    <row r="4945" spans="1:1" x14ac:dyDescent="0.3">
      <c r="A4945" t="s">
        <v>4975</v>
      </c>
    </row>
    <row r="4946" spans="1:1" x14ac:dyDescent="0.3">
      <c r="A4946" t="s">
        <v>4976</v>
      </c>
    </row>
    <row r="4947" spans="1:1" x14ac:dyDescent="0.3">
      <c r="A4947" t="s">
        <v>4977</v>
      </c>
    </row>
    <row r="4948" spans="1:1" x14ac:dyDescent="0.3">
      <c r="A4948" t="s">
        <v>4978</v>
      </c>
    </row>
    <row r="4949" spans="1:1" x14ac:dyDescent="0.3">
      <c r="A4949" t="s">
        <v>4979</v>
      </c>
    </row>
    <row r="4950" spans="1:1" x14ac:dyDescent="0.3">
      <c r="A4950" t="s">
        <v>4980</v>
      </c>
    </row>
    <row r="4951" spans="1:1" x14ac:dyDescent="0.3">
      <c r="A4951" t="s">
        <v>4981</v>
      </c>
    </row>
    <row r="4952" spans="1:1" x14ac:dyDescent="0.3">
      <c r="A4952" t="s">
        <v>4982</v>
      </c>
    </row>
    <row r="4953" spans="1:1" x14ac:dyDescent="0.3">
      <c r="A4953" t="s">
        <v>4983</v>
      </c>
    </row>
    <row r="4954" spans="1:1" x14ac:dyDescent="0.3">
      <c r="A4954" t="s">
        <v>4984</v>
      </c>
    </row>
    <row r="4955" spans="1:1" x14ac:dyDescent="0.3">
      <c r="A4955" t="s">
        <v>4985</v>
      </c>
    </row>
    <row r="4956" spans="1:1" x14ac:dyDescent="0.3">
      <c r="A4956" t="s">
        <v>4986</v>
      </c>
    </row>
    <row r="4957" spans="1:1" x14ac:dyDescent="0.3">
      <c r="A4957" t="s">
        <v>4987</v>
      </c>
    </row>
    <row r="4958" spans="1:1" x14ac:dyDescent="0.3">
      <c r="A4958" t="s">
        <v>4988</v>
      </c>
    </row>
    <row r="4959" spans="1:1" x14ac:dyDescent="0.3">
      <c r="A4959" t="s">
        <v>4989</v>
      </c>
    </row>
    <row r="4960" spans="1:1" x14ac:dyDescent="0.3">
      <c r="A4960" t="s">
        <v>4990</v>
      </c>
    </row>
    <row r="4961" spans="1:2" x14ac:dyDescent="0.3">
      <c r="A4961" t="s">
        <v>4991</v>
      </c>
    </row>
    <row r="4962" spans="1:2" x14ac:dyDescent="0.3">
      <c r="A4962" t="s">
        <v>4992</v>
      </c>
    </row>
    <row r="4963" spans="1:2" x14ac:dyDescent="0.3">
      <c r="A4963" t="s">
        <v>4993</v>
      </c>
    </row>
    <row r="4964" spans="1:2" x14ac:dyDescent="0.3">
      <c r="A4964" t="s">
        <v>4994</v>
      </c>
    </row>
    <row r="4965" spans="1:2" x14ac:dyDescent="0.3">
      <c r="A4965" t="s">
        <v>4995</v>
      </c>
      <c r="B4965" t="s">
        <v>4996</v>
      </c>
    </row>
    <row r="4966" spans="1:2" x14ac:dyDescent="0.3">
      <c r="A4966" t="s">
        <v>4997</v>
      </c>
    </row>
    <row r="4967" spans="1:2" x14ac:dyDescent="0.3">
      <c r="A4967" t="s">
        <v>4998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67"/>
  <sheetViews>
    <sheetView workbookViewId="0"/>
  </sheetViews>
  <sheetFormatPr baseColWidth="10" defaultRowHeight="14.4" x14ac:dyDescent="0.3"/>
  <sheetData>
    <row r="1" spans="1:1" x14ac:dyDescent="0.3">
      <c r="A1" t="s">
        <v>28094</v>
      </c>
    </row>
    <row r="2" spans="1:1" x14ac:dyDescent="0.3">
      <c r="A2" t="s">
        <v>28095</v>
      </c>
    </row>
    <row r="3" spans="1:1" x14ac:dyDescent="0.3">
      <c r="A3" t="s">
        <v>28096</v>
      </c>
    </row>
    <row r="4" spans="1:1" x14ac:dyDescent="0.3">
      <c r="A4" t="s">
        <v>28097</v>
      </c>
    </row>
    <row r="5" spans="1:1" x14ac:dyDescent="0.3">
      <c r="A5" t="s">
        <v>28098</v>
      </c>
    </row>
    <row r="6" spans="1:1" x14ac:dyDescent="0.3">
      <c r="A6" t="s">
        <v>28099</v>
      </c>
    </row>
    <row r="7" spans="1:1" x14ac:dyDescent="0.3">
      <c r="A7" t="s">
        <v>28100</v>
      </c>
    </row>
    <row r="8" spans="1:1" x14ac:dyDescent="0.3">
      <c r="A8" t="s">
        <v>28101</v>
      </c>
    </row>
    <row r="9" spans="1:1" x14ac:dyDescent="0.3">
      <c r="A9" t="s">
        <v>28102</v>
      </c>
    </row>
    <row r="10" spans="1:1" x14ac:dyDescent="0.3">
      <c r="A10" t="s">
        <v>28103</v>
      </c>
    </row>
    <row r="11" spans="1:1" x14ac:dyDescent="0.3">
      <c r="A11" t="s">
        <v>28104</v>
      </c>
    </row>
    <row r="12" spans="1:1" x14ac:dyDescent="0.3">
      <c r="A12" t="s">
        <v>28105</v>
      </c>
    </row>
    <row r="13" spans="1:1" x14ac:dyDescent="0.3">
      <c r="A13" t="s">
        <v>28106</v>
      </c>
    </row>
    <row r="14" spans="1:1" x14ac:dyDescent="0.3">
      <c r="A14" t="s">
        <v>28107</v>
      </c>
    </row>
    <row r="15" spans="1:1" x14ac:dyDescent="0.3">
      <c r="A15" t="s">
        <v>28108</v>
      </c>
    </row>
    <row r="16" spans="1:1" x14ac:dyDescent="0.3">
      <c r="A16" t="s">
        <v>28109</v>
      </c>
    </row>
    <row r="17" spans="1:1" x14ac:dyDescent="0.3">
      <c r="A17" t="s">
        <v>28110</v>
      </c>
    </row>
    <row r="18" spans="1:1" x14ac:dyDescent="0.3">
      <c r="A18" t="s">
        <v>28111</v>
      </c>
    </row>
    <row r="19" spans="1:1" x14ac:dyDescent="0.3">
      <c r="A19" t="s">
        <v>28112</v>
      </c>
    </row>
    <row r="20" spans="1:1" x14ac:dyDescent="0.3">
      <c r="A20" t="s">
        <v>28113</v>
      </c>
    </row>
    <row r="21" spans="1:1" x14ac:dyDescent="0.3">
      <c r="A21" t="s">
        <v>28114</v>
      </c>
    </row>
    <row r="22" spans="1:1" x14ac:dyDescent="0.3">
      <c r="A22" t="s">
        <v>28115</v>
      </c>
    </row>
    <row r="23" spans="1:1" x14ac:dyDescent="0.3">
      <c r="A23" t="s">
        <v>28116</v>
      </c>
    </row>
    <row r="24" spans="1:1" x14ac:dyDescent="0.3">
      <c r="A24" t="s">
        <v>28117</v>
      </c>
    </row>
    <row r="25" spans="1:1" x14ac:dyDescent="0.3">
      <c r="A25" t="s">
        <v>28923</v>
      </c>
    </row>
    <row r="26" spans="1:1" x14ac:dyDescent="0.3">
      <c r="A26" t="s">
        <v>28118</v>
      </c>
    </row>
    <row r="27" spans="1:1" x14ac:dyDescent="0.3">
      <c r="A27" t="s">
        <v>28119</v>
      </c>
    </row>
    <row r="28" spans="1:1" x14ac:dyDescent="0.3">
      <c r="A28" t="s">
        <v>28120</v>
      </c>
    </row>
    <row r="29" spans="1:1" x14ac:dyDescent="0.3">
      <c r="A29" t="s">
        <v>28121</v>
      </c>
    </row>
    <row r="30" spans="1:1" x14ac:dyDescent="0.3">
      <c r="A30" t="s">
        <v>28122</v>
      </c>
    </row>
    <row r="31" spans="1:1" x14ac:dyDescent="0.3">
      <c r="A31" t="s">
        <v>28123</v>
      </c>
    </row>
    <row r="32" spans="1:1" x14ac:dyDescent="0.3">
      <c r="A32" t="s">
        <v>28124</v>
      </c>
    </row>
    <row r="33" spans="1:1" x14ac:dyDescent="0.3">
      <c r="A33" t="s">
        <v>28125</v>
      </c>
    </row>
    <row r="34" spans="1:1" x14ac:dyDescent="0.3">
      <c r="A34" t="s">
        <v>28126</v>
      </c>
    </row>
    <row r="35" spans="1:1" x14ac:dyDescent="0.3">
      <c r="A35" t="s">
        <v>28127</v>
      </c>
    </row>
    <row r="36" spans="1:1" x14ac:dyDescent="0.3">
      <c r="A36" t="s">
        <v>28128</v>
      </c>
    </row>
    <row r="37" spans="1:1" x14ac:dyDescent="0.3">
      <c r="A37" t="s">
        <v>28129</v>
      </c>
    </row>
    <row r="38" spans="1:1" x14ac:dyDescent="0.3">
      <c r="A38" t="s">
        <v>28130</v>
      </c>
    </row>
    <row r="39" spans="1:1" x14ac:dyDescent="0.3">
      <c r="A39" t="s">
        <v>28131</v>
      </c>
    </row>
    <row r="40" spans="1:1" x14ac:dyDescent="0.3">
      <c r="A40" t="s">
        <v>28132</v>
      </c>
    </row>
    <row r="41" spans="1:1" x14ac:dyDescent="0.3">
      <c r="A41" t="s">
        <v>28133</v>
      </c>
    </row>
    <row r="42" spans="1:1" x14ac:dyDescent="0.3">
      <c r="A42" t="s">
        <v>28134</v>
      </c>
    </row>
    <row r="43" spans="1:1" x14ac:dyDescent="0.3">
      <c r="A43" t="s">
        <v>28135</v>
      </c>
    </row>
    <row r="44" spans="1:1" x14ac:dyDescent="0.3">
      <c r="A44" t="s">
        <v>28136</v>
      </c>
    </row>
    <row r="45" spans="1:1" x14ac:dyDescent="0.3">
      <c r="A45" t="s">
        <v>28137</v>
      </c>
    </row>
    <row r="46" spans="1:1" x14ac:dyDescent="0.3">
      <c r="A46" t="s">
        <v>28138</v>
      </c>
    </row>
    <row r="47" spans="1:1" x14ac:dyDescent="0.3">
      <c r="A47" t="s">
        <v>28139</v>
      </c>
    </row>
    <row r="48" spans="1:1" x14ac:dyDescent="0.3">
      <c r="A48" t="s">
        <v>28140</v>
      </c>
    </row>
    <row r="49" spans="1:1" x14ac:dyDescent="0.3">
      <c r="A49" t="s">
        <v>28141</v>
      </c>
    </row>
    <row r="50" spans="1:1" x14ac:dyDescent="0.3">
      <c r="A50" t="s">
        <v>28142</v>
      </c>
    </row>
    <row r="51" spans="1:1" x14ac:dyDescent="0.3">
      <c r="A51" t="s">
        <v>28143</v>
      </c>
    </row>
    <row r="52" spans="1:1" x14ac:dyDescent="0.3">
      <c r="A52" t="s">
        <v>28144</v>
      </c>
    </row>
    <row r="53" spans="1:1" x14ac:dyDescent="0.3">
      <c r="A53" t="s">
        <v>28145</v>
      </c>
    </row>
    <row r="54" spans="1:1" x14ac:dyDescent="0.3">
      <c r="A54" t="s">
        <v>28146</v>
      </c>
    </row>
    <row r="55" spans="1:1" x14ac:dyDescent="0.3">
      <c r="A55" t="s">
        <v>28147</v>
      </c>
    </row>
    <row r="56" spans="1:1" x14ac:dyDescent="0.3">
      <c r="A56" t="s">
        <v>28148</v>
      </c>
    </row>
    <row r="57" spans="1:1" x14ac:dyDescent="0.3">
      <c r="A57" t="s">
        <v>28149</v>
      </c>
    </row>
    <row r="58" spans="1:1" x14ac:dyDescent="0.3">
      <c r="A58" t="s">
        <v>28150</v>
      </c>
    </row>
    <row r="59" spans="1:1" x14ac:dyDescent="0.3">
      <c r="A59" t="s">
        <v>28151</v>
      </c>
    </row>
    <row r="60" spans="1:1" x14ac:dyDescent="0.3">
      <c r="A60" t="s">
        <v>28152</v>
      </c>
    </row>
    <row r="61" spans="1:1" x14ac:dyDescent="0.3">
      <c r="A61" t="s">
        <v>28153</v>
      </c>
    </row>
    <row r="62" spans="1:1" x14ac:dyDescent="0.3">
      <c r="A62" t="s">
        <v>28154</v>
      </c>
    </row>
    <row r="63" spans="1:1" x14ac:dyDescent="0.3">
      <c r="A63" t="s">
        <v>28155</v>
      </c>
    </row>
    <row r="64" spans="1:1" x14ac:dyDescent="0.3">
      <c r="A64" t="s">
        <v>28156</v>
      </c>
    </row>
    <row r="65" spans="1:1" x14ac:dyDescent="0.3">
      <c r="A65" t="s">
        <v>28157</v>
      </c>
    </row>
    <row r="66" spans="1:1" x14ac:dyDescent="0.3">
      <c r="A66" t="s">
        <v>28158</v>
      </c>
    </row>
    <row r="67" spans="1:1" x14ac:dyDescent="0.3">
      <c r="A67" t="s">
        <v>28159</v>
      </c>
    </row>
    <row r="68" spans="1:1" x14ac:dyDescent="0.3">
      <c r="A68" t="s">
        <v>28160</v>
      </c>
    </row>
    <row r="69" spans="1:1" x14ac:dyDescent="0.3">
      <c r="A69" t="s">
        <v>28161</v>
      </c>
    </row>
    <row r="70" spans="1:1" x14ac:dyDescent="0.3">
      <c r="A70" t="s">
        <v>28162</v>
      </c>
    </row>
    <row r="71" spans="1:1" x14ac:dyDescent="0.3">
      <c r="A71" t="s">
        <v>28163</v>
      </c>
    </row>
    <row r="72" spans="1:1" x14ac:dyDescent="0.3">
      <c r="A72" t="s">
        <v>28164</v>
      </c>
    </row>
    <row r="73" spans="1:1" x14ac:dyDescent="0.3">
      <c r="A73" t="s">
        <v>28165</v>
      </c>
    </row>
    <row r="74" spans="1:1" x14ac:dyDescent="0.3">
      <c r="A74" t="s">
        <v>28166</v>
      </c>
    </row>
    <row r="75" spans="1:1" x14ac:dyDescent="0.3">
      <c r="A75" t="s">
        <v>28167</v>
      </c>
    </row>
    <row r="76" spans="1:1" x14ac:dyDescent="0.3">
      <c r="A76" t="s">
        <v>28168</v>
      </c>
    </row>
    <row r="77" spans="1:1" x14ac:dyDescent="0.3">
      <c r="A77" t="s">
        <v>28169</v>
      </c>
    </row>
    <row r="78" spans="1:1" x14ac:dyDescent="0.3">
      <c r="A78" t="s">
        <v>28170</v>
      </c>
    </row>
    <row r="79" spans="1:1" x14ac:dyDescent="0.3">
      <c r="A79" t="s">
        <v>28171</v>
      </c>
    </row>
    <row r="80" spans="1:1" x14ac:dyDescent="0.3">
      <c r="A80" t="s">
        <v>28172</v>
      </c>
    </row>
    <row r="81" spans="1:1" x14ac:dyDescent="0.3">
      <c r="A81" t="s">
        <v>28173</v>
      </c>
    </row>
    <row r="82" spans="1:1" x14ac:dyDescent="0.3">
      <c r="A82" t="s">
        <v>28174</v>
      </c>
    </row>
    <row r="83" spans="1:1" x14ac:dyDescent="0.3">
      <c r="A83" t="s">
        <v>28175</v>
      </c>
    </row>
    <row r="84" spans="1:1" x14ac:dyDescent="0.3">
      <c r="A84" t="s">
        <v>28176</v>
      </c>
    </row>
    <row r="85" spans="1:1" x14ac:dyDescent="0.3">
      <c r="A85" t="s">
        <v>28177</v>
      </c>
    </row>
    <row r="86" spans="1:1" x14ac:dyDescent="0.3">
      <c r="A86" t="s">
        <v>28178</v>
      </c>
    </row>
    <row r="87" spans="1:1" x14ac:dyDescent="0.3">
      <c r="A87" t="s">
        <v>28179</v>
      </c>
    </row>
    <row r="88" spans="1:1" x14ac:dyDescent="0.3">
      <c r="A88" t="s">
        <v>28180</v>
      </c>
    </row>
    <row r="89" spans="1:1" x14ac:dyDescent="0.3">
      <c r="A89" t="s">
        <v>28181</v>
      </c>
    </row>
    <row r="90" spans="1:1" x14ac:dyDescent="0.3">
      <c r="A90" t="s">
        <v>28182</v>
      </c>
    </row>
    <row r="91" spans="1:1" x14ac:dyDescent="0.3">
      <c r="A91" t="s">
        <v>28183</v>
      </c>
    </row>
    <row r="92" spans="1:1" x14ac:dyDescent="0.3">
      <c r="A92" t="s">
        <v>28184</v>
      </c>
    </row>
    <row r="93" spans="1:1" x14ac:dyDescent="0.3">
      <c r="A93" t="s">
        <v>28185</v>
      </c>
    </row>
    <row r="94" spans="1:1" x14ac:dyDescent="0.3">
      <c r="A94" t="s">
        <v>28186</v>
      </c>
    </row>
    <row r="95" spans="1:1" x14ac:dyDescent="0.3">
      <c r="A95" t="s">
        <v>28187</v>
      </c>
    </row>
    <row r="96" spans="1:1" x14ac:dyDescent="0.3">
      <c r="A96" t="s">
        <v>28188</v>
      </c>
    </row>
    <row r="97" spans="1:1" x14ac:dyDescent="0.3">
      <c r="A97" t="s">
        <v>28189</v>
      </c>
    </row>
    <row r="98" spans="1:1" x14ac:dyDescent="0.3">
      <c r="A98" t="s">
        <v>28190</v>
      </c>
    </row>
    <row r="99" spans="1:1" x14ac:dyDescent="0.3">
      <c r="A99" t="s">
        <v>28191</v>
      </c>
    </row>
    <row r="100" spans="1:1" x14ac:dyDescent="0.3">
      <c r="A100" t="s">
        <v>28192</v>
      </c>
    </row>
    <row r="101" spans="1:1" x14ac:dyDescent="0.3">
      <c r="A101" t="s">
        <v>28193</v>
      </c>
    </row>
    <row r="102" spans="1:1" x14ac:dyDescent="0.3">
      <c r="A102" t="s">
        <v>28194</v>
      </c>
    </row>
    <row r="103" spans="1:1" x14ac:dyDescent="0.3">
      <c r="A103" t="s">
        <v>28195</v>
      </c>
    </row>
    <row r="104" spans="1:1" x14ac:dyDescent="0.3">
      <c r="A104" t="s">
        <v>28196</v>
      </c>
    </row>
    <row r="105" spans="1:1" x14ac:dyDescent="0.3">
      <c r="A105" t="s">
        <v>28197</v>
      </c>
    </row>
    <row r="106" spans="1:1" x14ac:dyDescent="0.3">
      <c r="A106" t="s">
        <v>28198</v>
      </c>
    </row>
    <row r="107" spans="1:1" x14ac:dyDescent="0.3">
      <c r="A107" t="s">
        <v>28199</v>
      </c>
    </row>
    <row r="108" spans="1:1" x14ac:dyDescent="0.3">
      <c r="A108" t="s">
        <v>28200</v>
      </c>
    </row>
    <row r="109" spans="1:1" x14ac:dyDescent="0.3">
      <c r="A109" t="s">
        <v>28201</v>
      </c>
    </row>
    <row r="110" spans="1:1" x14ac:dyDescent="0.3">
      <c r="A110" t="s">
        <v>28202</v>
      </c>
    </row>
    <row r="111" spans="1:1" x14ac:dyDescent="0.3">
      <c r="A111" t="s">
        <v>28203</v>
      </c>
    </row>
    <row r="112" spans="1:1" x14ac:dyDescent="0.3">
      <c r="A112" t="s">
        <v>28204</v>
      </c>
    </row>
    <row r="113" spans="1:1" x14ac:dyDescent="0.3">
      <c r="A113" t="s">
        <v>28205</v>
      </c>
    </row>
    <row r="114" spans="1:1" x14ac:dyDescent="0.3">
      <c r="A114" t="s">
        <v>28206</v>
      </c>
    </row>
    <row r="115" spans="1:1" x14ac:dyDescent="0.3">
      <c r="A115" t="s">
        <v>28207</v>
      </c>
    </row>
    <row r="116" spans="1:1" x14ac:dyDescent="0.3">
      <c r="A116" t="s">
        <v>28208</v>
      </c>
    </row>
    <row r="117" spans="1:1" x14ac:dyDescent="0.3">
      <c r="A117" t="s">
        <v>28209</v>
      </c>
    </row>
    <row r="118" spans="1:1" x14ac:dyDescent="0.3">
      <c r="A118" t="s">
        <v>28210</v>
      </c>
    </row>
    <row r="119" spans="1:1" x14ac:dyDescent="0.3">
      <c r="A119" t="s">
        <v>28211</v>
      </c>
    </row>
    <row r="120" spans="1:1" x14ac:dyDescent="0.3">
      <c r="A120" t="s">
        <v>28212</v>
      </c>
    </row>
    <row r="121" spans="1:1" x14ac:dyDescent="0.3">
      <c r="A121" t="s">
        <v>28213</v>
      </c>
    </row>
    <row r="122" spans="1:1" x14ac:dyDescent="0.3">
      <c r="A122" t="s">
        <v>28214</v>
      </c>
    </row>
    <row r="123" spans="1:1" x14ac:dyDescent="0.3">
      <c r="A123" t="s">
        <v>28215</v>
      </c>
    </row>
    <row r="124" spans="1:1" x14ac:dyDescent="0.3">
      <c r="A124" t="s">
        <v>28216</v>
      </c>
    </row>
    <row r="125" spans="1:1" x14ac:dyDescent="0.3">
      <c r="A125" t="s">
        <v>28217</v>
      </c>
    </row>
    <row r="126" spans="1:1" x14ac:dyDescent="0.3">
      <c r="A126" t="s">
        <v>28218</v>
      </c>
    </row>
    <row r="127" spans="1:1" x14ac:dyDescent="0.3">
      <c r="A127" t="s">
        <v>28219</v>
      </c>
    </row>
    <row r="128" spans="1:1" x14ac:dyDescent="0.3">
      <c r="A128" t="s">
        <v>28220</v>
      </c>
    </row>
    <row r="129" spans="1:1" x14ac:dyDescent="0.3">
      <c r="A129" t="s">
        <v>28221</v>
      </c>
    </row>
    <row r="130" spans="1:1" x14ac:dyDescent="0.3">
      <c r="A130" t="s">
        <v>28222</v>
      </c>
    </row>
    <row r="131" spans="1:1" x14ac:dyDescent="0.3">
      <c r="A131" t="s">
        <v>28223</v>
      </c>
    </row>
    <row r="132" spans="1:1" x14ac:dyDescent="0.3">
      <c r="A132" t="s">
        <v>28224</v>
      </c>
    </row>
    <row r="133" spans="1:1" x14ac:dyDescent="0.3">
      <c r="A133" t="s">
        <v>28225</v>
      </c>
    </row>
    <row r="134" spans="1:1" x14ac:dyDescent="0.3">
      <c r="A134" t="s">
        <v>28226</v>
      </c>
    </row>
    <row r="135" spans="1:1" x14ac:dyDescent="0.3">
      <c r="A135" t="s">
        <v>28227</v>
      </c>
    </row>
    <row r="136" spans="1:1" x14ac:dyDescent="0.3">
      <c r="A136" t="s">
        <v>28228</v>
      </c>
    </row>
    <row r="137" spans="1:1" x14ac:dyDescent="0.3">
      <c r="A137" t="s">
        <v>28229</v>
      </c>
    </row>
    <row r="138" spans="1:1" x14ac:dyDescent="0.3">
      <c r="A138" t="s">
        <v>28230</v>
      </c>
    </row>
    <row r="139" spans="1:1" x14ac:dyDescent="0.3">
      <c r="A139" t="s">
        <v>28231</v>
      </c>
    </row>
    <row r="140" spans="1:1" x14ac:dyDescent="0.3">
      <c r="A140" t="s">
        <v>28232</v>
      </c>
    </row>
    <row r="141" spans="1:1" x14ac:dyDescent="0.3">
      <c r="A141" t="s">
        <v>28233</v>
      </c>
    </row>
    <row r="142" spans="1:1" x14ac:dyDescent="0.3">
      <c r="A142" t="s">
        <v>28234</v>
      </c>
    </row>
    <row r="143" spans="1:1" x14ac:dyDescent="0.3">
      <c r="A143" t="s">
        <v>28235</v>
      </c>
    </row>
    <row r="144" spans="1:1" x14ac:dyDescent="0.3">
      <c r="A144" t="s">
        <v>28236</v>
      </c>
    </row>
    <row r="145" spans="1:1" x14ac:dyDescent="0.3">
      <c r="A145" t="s">
        <v>28237</v>
      </c>
    </row>
    <row r="146" spans="1:1" x14ac:dyDescent="0.3">
      <c r="A146" t="s">
        <v>28238</v>
      </c>
    </row>
    <row r="147" spans="1:1" x14ac:dyDescent="0.3">
      <c r="A147" t="s">
        <v>28239</v>
      </c>
    </row>
    <row r="148" spans="1:1" x14ac:dyDescent="0.3">
      <c r="A148" t="s">
        <v>28240</v>
      </c>
    </row>
    <row r="149" spans="1:1" x14ac:dyDescent="0.3">
      <c r="A149" t="s">
        <v>28241</v>
      </c>
    </row>
    <row r="150" spans="1:1" x14ac:dyDescent="0.3">
      <c r="A150" t="s">
        <v>28242</v>
      </c>
    </row>
    <row r="151" spans="1:1" x14ac:dyDescent="0.3">
      <c r="A151" t="s">
        <v>28243</v>
      </c>
    </row>
    <row r="152" spans="1:1" x14ac:dyDescent="0.3">
      <c r="A152" t="s">
        <v>28244</v>
      </c>
    </row>
    <row r="153" spans="1:1" x14ac:dyDescent="0.3">
      <c r="A153" t="s">
        <v>28245</v>
      </c>
    </row>
    <row r="154" spans="1:1" x14ac:dyDescent="0.3">
      <c r="A154" t="s">
        <v>28246</v>
      </c>
    </row>
    <row r="155" spans="1:1" x14ac:dyDescent="0.3">
      <c r="A155" t="s">
        <v>28247</v>
      </c>
    </row>
    <row r="156" spans="1:1" x14ac:dyDescent="0.3">
      <c r="A156" t="s">
        <v>28248</v>
      </c>
    </row>
    <row r="157" spans="1:1" x14ac:dyDescent="0.3">
      <c r="A157" t="s">
        <v>28249</v>
      </c>
    </row>
    <row r="158" spans="1:1" x14ac:dyDescent="0.3">
      <c r="A158" t="s">
        <v>28250</v>
      </c>
    </row>
    <row r="159" spans="1:1" x14ac:dyDescent="0.3">
      <c r="A159" t="s">
        <v>28251</v>
      </c>
    </row>
    <row r="160" spans="1:1" x14ac:dyDescent="0.3">
      <c r="A160" t="s">
        <v>28252</v>
      </c>
    </row>
    <row r="161" spans="1:1" x14ac:dyDescent="0.3">
      <c r="A161" t="s">
        <v>28253</v>
      </c>
    </row>
    <row r="162" spans="1:1" x14ac:dyDescent="0.3">
      <c r="A162" t="s">
        <v>28254</v>
      </c>
    </row>
    <row r="163" spans="1:1" x14ac:dyDescent="0.3">
      <c r="A163" t="s">
        <v>28255</v>
      </c>
    </row>
    <row r="164" spans="1:1" x14ac:dyDescent="0.3">
      <c r="A164" t="s">
        <v>28256</v>
      </c>
    </row>
    <row r="165" spans="1:1" x14ac:dyDescent="0.3">
      <c r="A165" t="s">
        <v>28257</v>
      </c>
    </row>
    <row r="166" spans="1:1" x14ac:dyDescent="0.3">
      <c r="A166" t="s">
        <v>28258</v>
      </c>
    </row>
    <row r="167" spans="1:1" x14ac:dyDescent="0.3">
      <c r="A167" t="s">
        <v>28259</v>
      </c>
    </row>
    <row r="168" spans="1:1" x14ac:dyDescent="0.3">
      <c r="A168" t="s">
        <v>28260</v>
      </c>
    </row>
    <row r="169" spans="1:1" x14ac:dyDescent="0.3">
      <c r="A169" t="s">
        <v>28261</v>
      </c>
    </row>
    <row r="170" spans="1:1" x14ac:dyDescent="0.3">
      <c r="A170" t="s">
        <v>28262</v>
      </c>
    </row>
    <row r="171" spans="1:1" x14ac:dyDescent="0.3">
      <c r="A171" t="s">
        <v>28263</v>
      </c>
    </row>
    <row r="172" spans="1:1" x14ac:dyDescent="0.3">
      <c r="A172" t="s">
        <v>28264</v>
      </c>
    </row>
    <row r="173" spans="1:1" x14ac:dyDescent="0.3">
      <c r="A173" t="s">
        <v>28265</v>
      </c>
    </row>
    <row r="174" spans="1:1" x14ac:dyDescent="0.3">
      <c r="A174" t="s">
        <v>28266</v>
      </c>
    </row>
    <row r="175" spans="1:1" x14ac:dyDescent="0.3">
      <c r="A175" t="s">
        <v>28267</v>
      </c>
    </row>
    <row r="176" spans="1:1" x14ac:dyDescent="0.3">
      <c r="A176" t="s">
        <v>28268</v>
      </c>
    </row>
    <row r="177" spans="1:1" x14ac:dyDescent="0.3">
      <c r="A177" t="s">
        <v>28269</v>
      </c>
    </row>
    <row r="178" spans="1:1" x14ac:dyDescent="0.3">
      <c r="A178" t="s">
        <v>28270</v>
      </c>
    </row>
    <row r="179" spans="1:1" x14ac:dyDescent="0.3">
      <c r="A179" t="s">
        <v>28271</v>
      </c>
    </row>
    <row r="180" spans="1:1" x14ac:dyDescent="0.3">
      <c r="A180" t="s">
        <v>28272</v>
      </c>
    </row>
    <row r="181" spans="1:1" x14ac:dyDescent="0.3">
      <c r="A181" t="s">
        <v>28273</v>
      </c>
    </row>
    <row r="182" spans="1:1" x14ac:dyDescent="0.3">
      <c r="A182" t="s">
        <v>28274</v>
      </c>
    </row>
    <row r="183" spans="1:1" x14ac:dyDescent="0.3">
      <c r="A183" t="s">
        <v>28275</v>
      </c>
    </row>
    <row r="184" spans="1:1" x14ac:dyDescent="0.3">
      <c r="A184" t="s">
        <v>28276</v>
      </c>
    </row>
    <row r="185" spans="1:1" x14ac:dyDescent="0.3">
      <c r="A185" t="s">
        <v>28277</v>
      </c>
    </row>
    <row r="186" spans="1:1" x14ac:dyDescent="0.3">
      <c r="A186" t="s">
        <v>28278</v>
      </c>
    </row>
    <row r="187" spans="1:1" x14ac:dyDescent="0.3">
      <c r="A187" t="s">
        <v>28279</v>
      </c>
    </row>
    <row r="188" spans="1:1" x14ac:dyDescent="0.3">
      <c r="A188" t="s">
        <v>28280</v>
      </c>
    </row>
    <row r="189" spans="1:1" x14ac:dyDescent="0.3">
      <c r="A189" t="s">
        <v>28281</v>
      </c>
    </row>
    <row r="190" spans="1:1" x14ac:dyDescent="0.3">
      <c r="A190" t="s">
        <v>28282</v>
      </c>
    </row>
    <row r="191" spans="1:1" x14ac:dyDescent="0.3">
      <c r="A191" t="s">
        <v>28283</v>
      </c>
    </row>
    <row r="192" spans="1:1" x14ac:dyDescent="0.3">
      <c r="A192" t="s">
        <v>28284</v>
      </c>
    </row>
    <row r="193" spans="1:1" x14ac:dyDescent="0.3">
      <c r="A193" t="s">
        <v>28285</v>
      </c>
    </row>
    <row r="194" spans="1:1" x14ac:dyDescent="0.3">
      <c r="A194" t="s">
        <v>28286</v>
      </c>
    </row>
    <row r="195" spans="1:1" x14ac:dyDescent="0.3">
      <c r="A195" t="s">
        <v>28287</v>
      </c>
    </row>
    <row r="196" spans="1:1" x14ac:dyDescent="0.3">
      <c r="A196" t="s">
        <v>28288</v>
      </c>
    </row>
    <row r="197" spans="1:1" x14ac:dyDescent="0.3">
      <c r="A197" t="s">
        <v>28289</v>
      </c>
    </row>
    <row r="198" spans="1:1" x14ac:dyDescent="0.3">
      <c r="A198" t="s">
        <v>28290</v>
      </c>
    </row>
    <row r="199" spans="1:1" x14ac:dyDescent="0.3">
      <c r="A199" t="s">
        <v>28291</v>
      </c>
    </row>
    <row r="200" spans="1:1" x14ac:dyDescent="0.3">
      <c r="A200" t="s">
        <v>28292</v>
      </c>
    </row>
    <row r="201" spans="1:1" x14ac:dyDescent="0.3">
      <c r="A201" t="s">
        <v>28293</v>
      </c>
    </row>
    <row r="202" spans="1:1" x14ac:dyDescent="0.3">
      <c r="A202" t="s">
        <v>28294</v>
      </c>
    </row>
    <row r="203" spans="1:1" x14ac:dyDescent="0.3">
      <c r="A203" t="s">
        <v>28295</v>
      </c>
    </row>
    <row r="204" spans="1:1" x14ac:dyDescent="0.3">
      <c r="A204" t="s">
        <v>28296</v>
      </c>
    </row>
    <row r="205" spans="1:1" x14ac:dyDescent="0.3">
      <c r="A205" t="s">
        <v>28297</v>
      </c>
    </row>
    <row r="206" spans="1:1" x14ac:dyDescent="0.3">
      <c r="A206" t="s">
        <v>28298</v>
      </c>
    </row>
    <row r="207" spans="1:1" x14ac:dyDescent="0.3">
      <c r="A207" t="s">
        <v>28299</v>
      </c>
    </row>
    <row r="208" spans="1:1" x14ac:dyDescent="0.3">
      <c r="A208" t="s">
        <v>28300</v>
      </c>
    </row>
    <row r="209" spans="1:1" x14ac:dyDescent="0.3">
      <c r="A209" t="s">
        <v>28301</v>
      </c>
    </row>
    <row r="210" spans="1:1" x14ac:dyDescent="0.3">
      <c r="A210" t="s">
        <v>28302</v>
      </c>
    </row>
    <row r="211" spans="1:1" x14ac:dyDescent="0.3">
      <c r="A211" t="s">
        <v>28303</v>
      </c>
    </row>
    <row r="212" spans="1:1" x14ac:dyDescent="0.3">
      <c r="A212" t="s">
        <v>28304</v>
      </c>
    </row>
    <row r="213" spans="1:1" x14ac:dyDescent="0.3">
      <c r="A213" t="s">
        <v>28305</v>
      </c>
    </row>
    <row r="214" spans="1:1" x14ac:dyDescent="0.3">
      <c r="A214" t="s">
        <v>28306</v>
      </c>
    </row>
    <row r="215" spans="1:1" x14ac:dyDescent="0.3">
      <c r="A215" t="s">
        <v>28307</v>
      </c>
    </row>
    <row r="216" spans="1:1" x14ac:dyDescent="0.3">
      <c r="A216" t="s">
        <v>28308</v>
      </c>
    </row>
    <row r="217" spans="1:1" x14ac:dyDescent="0.3">
      <c r="A217" t="s">
        <v>28309</v>
      </c>
    </row>
    <row r="218" spans="1:1" x14ac:dyDescent="0.3">
      <c r="A218" t="s">
        <v>28310</v>
      </c>
    </row>
    <row r="219" spans="1:1" x14ac:dyDescent="0.3">
      <c r="A219" t="s">
        <v>28311</v>
      </c>
    </row>
    <row r="220" spans="1:1" x14ac:dyDescent="0.3">
      <c r="A220" t="s">
        <v>28312</v>
      </c>
    </row>
    <row r="221" spans="1:1" x14ac:dyDescent="0.3">
      <c r="A221" t="s">
        <v>28313</v>
      </c>
    </row>
    <row r="222" spans="1:1" x14ac:dyDescent="0.3">
      <c r="A222" t="s">
        <v>28314</v>
      </c>
    </row>
    <row r="223" spans="1:1" x14ac:dyDescent="0.3">
      <c r="A223" t="s">
        <v>28315</v>
      </c>
    </row>
    <row r="224" spans="1:1" x14ac:dyDescent="0.3">
      <c r="A224" t="s">
        <v>28316</v>
      </c>
    </row>
    <row r="225" spans="1:1" x14ac:dyDescent="0.3">
      <c r="A225" t="s">
        <v>28317</v>
      </c>
    </row>
    <row r="226" spans="1:1" x14ac:dyDescent="0.3">
      <c r="A226" t="s">
        <v>28318</v>
      </c>
    </row>
    <row r="227" spans="1:1" x14ac:dyDescent="0.3">
      <c r="A227" t="s">
        <v>28319</v>
      </c>
    </row>
    <row r="228" spans="1:1" x14ac:dyDescent="0.3">
      <c r="A228" t="s">
        <v>28320</v>
      </c>
    </row>
    <row r="229" spans="1:1" x14ac:dyDescent="0.3">
      <c r="A229" t="s">
        <v>28321</v>
      </c>
    </row>
    <row r="230" spans="1:1" x14ac:dyDescent="0.3">
      <c r="A230" t="s">
        <v>28322</v>
      </c>
    </row>
    <row r="231" spans="1:1" x14ac:dyDescent="0.3">
      <c r="A231" t="s">
        <v>28323</v>
      </c>
    </row>
    <row r="232" spans="1:1" x14ac:dyDescent="0.3">
      <c r="A232" t="s">
        <v>28324</v>
      </c>
    </row>
    <row r="233" spans="1:1" x14ac:dyDescent="0.3">
      <c r="A233" t="s">
        <v>28325</v>
      </c>
    </row>
    <row r="234" spans="1:1" x14ac:dyDescent="0.3">
      <c r="A234" t="s">
        <v>28326</v>
      </c>
    </row>
    <row r="235" spans="1:1" x14ac:dyDescent="0.3">
      <c r="A235" t="s">
        <v>28327</v>
      </c>
    </row>
    <row r="236" spans="1:1" x14ac:dyDescent="0.3">
      <c r="A236" t="s">
        <v>28328</v>
      </c>
    </row>
    <row r="237" spans="1:1" x14ac:dyDescent="0.3">
      <c r="A237" t="s">
        <v>28329</v>
      </c>
    </row>
    <row r="238" spans="1:1" x14ac:dyDescent="0.3">
      <c r="A238" t="s">
        <v>28330</v>
      </c>
    </row>
    <row r="239" spans="1:1" x14ac:dyDescent="0.3">
      <c r="A239" t="s">
        <v>28331</v>
      </c>
    </row>
    <row r="240" spans="1:1" x14ac:dyDescent="0.3">
      <c r="A240" t="s">
        <v>28332</v>
      </c>
    </row>
    <row r="241" spans="1:1" x14ac:dyDescent="0.3">
      <c r="A241" t="s">
        <v>28333</v>
      </c>
    </row>
    <row r="242" spans="1:1" x14ac:dyDescent="0.3">
      <c r="A242" t="s">
        <v>28334</v>
      </c>
    </row>
    <row r="243" spans="1:1" x14ac:dyDescent="0.3">
      <c r="A243" t="s">
        <v>28335</v>
      </c>
    </row>
    <row r="244" spans="1:1" x14ac:dyDescent="0.3">
      <c r="A244" t="s">
        <v>28336</v>
      </c>
    </row>
    <row r="245" spans="1:1" x14ac:dyDescent="0.3">
      <c r="A245" t="s">
        <v>28337</v>
      </c>
    </row>
    <row r="246" spans="1:1" x14ac:dyDescent="0.3">
      <c r="A246" t="s">
        <v>28338</v>
      </c>
    </row>
    <row r="247" spans="1:1" x14ac:dyDescent="0.3">
      <c r="A247" t="s">
        <v>28339</v>
      </c>
    </row>
    <row r="248" spans="1:1" x14ac:dyDescent="0.3">
      <c r="A248" t="s">
        <v>28340</v>
      </c>
    </row>
    <row r="249" spans="1:1" x14ac:dyDescent="0.3">
      <c r="A249" t="s">
        <v>28341</v>
      </c>
    </row>
    <row r="250" spans="1:1" x14ac:dyDescent="0.3">
      <c r="A250" t="s">
        <v>28342</v>
      </c>
    </row>
    <row r="251" spans="1:1" x14ac:dyDescent="0.3">
      <c r="A251" t="s">
        <v>28343</v>
      </c>
    </row>
    <row r="252" spans="1:1" x14ac:dyDescent="0.3">
      <c r="A252" t="s">
        <v>28344</v>
      </c>
    </row>
    <row r="253" spans="1:1" x14ac:dyDescent="0.3">
      <c r="A253" t="s">
        <v>28345</v>
      </c>
    </row>
    <row r="254" spans="1:1" x14ac:dyDescent="0.3">
      <c r="A254" t="s">
        <v>28346</v>
      </c>
    </row>
    <row r="255" spans="1:1" x14ac:dyDescent="0.3">
      <c r="A255" t="s">
        <v>28347</v>
      </c>
    </row>
    <row r="256" spans="1:1" x14ac:dyDescent="0.3">
      <c r="A256" t="s">
        <v>28348</v>
      </c>
    </row>
    <row r="257" spans="1:1" x14ac:dyDescent="0.3">
      <c r="A257" t="s">
        <v>28349</v>
      </c>
    </row>
    <row r="258" spans="1:1" x14ac:dyDescent="0.3">
      <c r="A258" t="s">
        <v>28350</v>
      </c>
    </row>
    <row r="259" spans="1:1" x14ac:dyDescent="0.3">
      <c r="A259" t="s">
        <v>28351</v>
      </c>
    </row>
    <row r="260" spans="1:1" x14ac:dyDescent="0.3">
      <c r="A260" t="s">
        <v>28352</v>
      </c>
    </row>
    <row r="261" spans="1:1" x14ac:dyDescent="0.3">
      <c r="A261" t="s">
        <v>28353</v>
      </c>
    </row>
    <row r="262" spans="1:1" x14ac:dyDescent="0.3">
      <c r="A262" t="s">
        <v>28354</v>
      </c>
    </row>
    <row r="263" spans="1:1" x14ac:dyDescent="0.3">
      <c r="A263" t="s">
        <v>28355</v>
      </c>
    </row>
    <row r="264" spans="1:1" x14ac:dyDescent="0.3">
      <c r="A264" t="s">
        <v>28356</v>
      </c>
    </row>
    <row r="265" spans="1:1" x14ac:dyDescent="0.3">
      <c r="A265" t="s">
        <v>28357</v>
      </c>
    </row>
    <row r="266" spans="1:1" x14ac:dyDescent="0.3">
      <c r="A266" t="s">
        <v>28358</v>
      </c>
    </row>
    <row r="267" spans="1:1" x14ac:dyDescent="0.3">
      <c r="A267" t="s">
        <v>28359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B42DB-54A6-47DB-ABD6-07DC9FFFF131}">
  <dimension ref="A1"/>
  <sheetViews>
    <sheetView showGridLines="0" showRowColHeaders="0" workbookViewId="0"/>
  </sheetViews>
  <sheetFormatPr baseColWidth="10"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7"/>
  <sheetViews>
    <sheetView showGridLines="0" workbookViewId="0">
      <selection activeCell="C10" sqref="C10:I17"/>
    </sheetView>
  </sheetViews>
  <sheetFormatPr baseColWidth="10" defaultColWidth="0" defaultRowHeight="14.4" zeroHeight="1" x14ac:dyDescent="0.3"/>
  <cols>
    <col min="1" max="2" width="11.5546875" customWidth="1"/>
    <col min="3" max="3" width="14.21875" customWidth="1"/>
    <col min="4" max="5" width="11.5546875" customWidth="1"/>
    <col min="6" max="6" width="25.77734375" customWidth="1"/>
    <col min="7" max="11" width="11.5546875" customWidth="1"/>
    <col min="12" max="16384" width="11.5546875" hidden="1"/>
  </cols>
  <sheetData>
    <row r="1" spans="2:10" ht="15" thickBot="1" x14ac:dyDescent="0.35"/>
    <row r="2" spans="2:10" ht="24" thickTop="1" x14ac:dyDescent="0.45">
      <c r="B2" s="16"/>
      <c r="C2" s="17"/>
      <c r="D2" s="66" t="s">
        <v>28930</v>
      </c>
      <c r="E2" s="66"/>
      <c r="F2" s="66"/>
      <c r="G2" s="66"/>
      <c r="H2" s="66"/>
      <c r="I2" s="17"/>
      <c r="J2" s="18"/>
    </row>
    <row r="3" spans="2:10" ht="21.6" thickBot="1" x14ac:dyDescent="0.35">
      <c r="B3" s="19"/>
      <c r="C3" s="14" t="s">
        <v>28928</v>
      </c>
      <c r="J3" s="20"/>
    </row>
    <row r="4" spans="2:10" ht="24" thickBot="1" x14ac:dyDescent="0.35">
      <c r="B4" s="19"/>
      <c r="C4" s="24">
        <v>600</v>
      </c>
      <c r="J4" s="20"/>
    </row>
    <row r="5" spans="2:10" x14ac:dyDescent="0.3">
      <c r="B5" s="19"/>
      <c r="J5" s="20"/>
    </row>
    <row r="6" spans="2:10" ht="18.600000000000001" thickBot="1" x14ac:dyDescent="0.4">
      <c r="B6" s="19"/>
      <c r="C6" s="15" t="s">
        <v>4999</v>
      </c>
      <c r="D6" s="11"/>
      <c r="F6" s="11" t="s">
        <v>28929</v>
      </c>
      <c r="J6" s="20"/>
    </row>
    <row r="7" spans="2:10" ht="16.2" thickBot="1" x14ac:dyDescent="0.35">
      <c r="B7" s="19"/>
      <c r="C7" s="13">
        <f>VLOOKUP(C4,Tabla1[],2,0)</f>
        <v>14993</v>
      </c>
      <c r="D7" s="10"/>
      <c r="F7" s="12" t="str">
        <f>VLOOKUP(C4,Tabla1[],9,0)</f>
        <v>Budapest - Maros-Vasarhely</v>
      </c>
      <c r="J7" s="20"/>
    </row>
    <row r="8" spans="2:10" x14ac:dyDescent="0.3">
      <c r="B8" s="19"/>
      <c r="J8" s="20"/>
    </row>
    <row r="9" spans="2:10" ht="18.600000000000001" thickBot="1" x14ac:dyDescent="0.4">
      <c r="B9" s="19"/>
      <c r="C9" s="15" t="s">
        <v>28924</v>
      </c>
      <c r="J9" s="20"/>
    </row>
    <row r="10" spans="2:10" ht="15" thickTop="1" x14ac:dyDescent="0.3">
      <c r="B10" s="19"/>
      <c r="C10" s="57">
        <f>+VLOOKUP(C4,'Set Datos'!B3:U4965,19,0)</f>
        <v>0</v>
      </c>
      <c r="D10" s="58"/>
      <c r="E10" s="58"/>
      <c r="F10" s="58"/>
      <c r="G10" s="58"/>
      <c r="H10" s="58"/>
      <c r="I10" s="59"/>
      <c r="J10" s="20"/>
    </row>
    <row r="11" spans="2:10" x14ac:dyDescent="0.3">
      <c r="B11" s="19"/>
      <c r="C11" s="60"/>
      <c r="D11" s="61"/>
      <c r="E11" s="61"/>
      <c r="F11" s="61"/>
      <c r="G11" s="61"/>
      <c r="H11" s="61"/>
      <c r="I11" s="62"/>
      <c r="J11" s="20"/>
    </row>
    <row r="12" spans="2:10" x14ac:dyDescent="0.3">
      <c r="B12" s="19"/>
      <c r="C12" s="60"/>
      <c r="D12" s="61"/>
      <c r="E12" s="61"/>
      <c r="F12" s="61"/>
      <c r="G12" s="61"/>
      <c r="H12" s="61"/>
      <c r="I12" s="62"/>
      <c r="J12" s="20"/>
    </row>
    <row r="13" spans="2:10" x14ac:dyDescent="0.3">
      <c r="B13" s="19"/>
      <c r="C13" s="60"/>
      <c r="D13" s="61"/>
      <c r="E13" s="61"/>
      <c r="F13" s="61"/>
      <c r="G13" s="61"/>
      <c r="H13" s="61"/>
      <c r="I13" s="62"/>
      <c r="J13" s="20"/>
    </row>
    <row r="14" spans="2:10" x14ac:dyDescent="0.3">
      <c r="B14" s="19"/>
      <c r="C14" s="60"/>
      <c r="D14" s="61"/>
      <c r="E14" s="61"/>
      <c r="F14" s="61"/>
      <c r="G14" s="61"/>
      <c r="H14" s="61"/>
      <c r="I14" s="62"/>
      <c r="J14" s="20"/>
    </row>
    <row r="15" spans="2:10" x14ac:dyDescent="0.3">
      <c r="B15" s="19"/>
      <c r="C15" s="60"/>
      <c r="D15" s="61"/>
      <c r="E15" s="61"/>
      <c r="F15" s="61"/>
      <c r="G15" s="61"/>
      <c r="H15" s="61"/>
      <c r="I15" s="62"/>
      <c r="J15" s="20"/>
    </row>
    <row r="16" spans="2:10" x14ac:dyDescent="0.3">
      <c r="B16" s="19"/>
      <c r="C16" s="60"/>
      <c r="D16" s="61"/>
      <c r="E16" s="61"/>
      <c r="F16" s="61"/>
      <c r="G16" s="61"/>
      <c r="H16" s="61"/>
      <c r="I16" s="62"/>
      <c r="J16" s="20"/>
    </row>
    <row r="17" spans="2:10" ht="15" thickBot="1" x14ac:dyDescent="0.35">
      <c r="B17" s="19"/>
      <c r="C17" s="63"/>
      <c r="D17" s="64"/>
      <c r="E17" s="64"/>
      <c r="F17" s="64"/>
      <c r="G17" s="64"/>
      <c r="H17" s="64"/>
      <c r="I17" s="65"/>
      <c r="J17" s="20"/>
    </row>
    <row r="18" spans="2:10" ht="15" thickTop="1" x14ac:dyDescent="0.3">
      <c r="B18" s="19"/>
      <c r="J18" s="20"/>
    </row>
    <row r="19" spans="2:10" x14ac:dyDescent="0.3">
      <c r="B19" s="19"/>
      <c r="J19" s="20"/>
    </row>
    <row r="20" spans="2:10" x14ac:dyDescent="0.3">
      <c r="B20" s="19"/>
      <c r="J20" s="20"/>
    </row>
    <row r="21" spans="2:10" x14ac:dyDescent="0.3">
      <c r="B21" s="19"/>
      <c r="J21" s="20"/>
    </row>
    <row r="22" spans="2:10" x14ac:dyDescent="0.3">
      <c r="B22" s="19"/>
      <c r="J22" s="20"/>
    </row>
    <row r="23" spans="2:10" x14ac:dyDescent="0.3">
      <c r="B23" s="19"/>
      <c r="J23" s="20"/>
    </row>
    <row r="24" spans="2:10" x14ac:dyDescent="0.3">
      <c r="B24" s="19"/>
      <c r="J24" s="20"/>
    </row>
    <row r="25" spans="2:10" ht="15" thickBot="1" x14ac:dyDescent="0.35">
      <c r="B25" s="21"/>
      <c r="C25" s="22"/>
      <c r="D25" s="22"/>
      <c r="E25" s="22"/>
      <c r="F25" s="22"/>
      <c r="G25" s="22"/>
      <c r="H25" s="22"/>
      <c r="I25" s="22"/>
      <c r="J25" s="23"/>
    </row>
    <row r="26" spans="2:10" ht="15" thickTop="1" x14ac:dyDescent="0.3"/>
    <row r="27" spans="2:10" x14ac:dyDescent="0.3"/>
  </sheetData>
  <mergeCells count="2">
    <mergeCell ref="C10:I17"/>
    <mergeCell ref="D2:H2"/>
  </mergeCells>
  <dataValidations count="1">
    <dataValidation type="whole" allowBlank="1" showInputMessage="1" showErrorMessage="1" errorTitle="Número invalido." error="Inserte números entre 1 y 4966." sqref="C4" xr:uid="{00000000-0002-0000-0300-000000000000}">
      <formula1>1</formula1>
      <formula2>4966</formula2>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L57"/>
  <sheetViews>
    <sheetView showGridLines="0" topLeftCell="C1" workbookViewId="0">
      <selection activeCell="D34" sqref="D34"/>
    </sheetView>
  </sheetViews>
  <sheetFormatPr baseColWidth="10" defaultColWidth="0" defaultRowHeight="14.4" x14ac:dyDescent="0.3"/>
  <cols>
    <col min="1" max="2" width="0" hidden="1" customWidth="1"/>
    <col min="3" max="3" width="11.5546875" customWidth="1"/>
    <col min="4" max="4" width="17.77734375" customWidth="1"/>
    <col min="5" max="5" width="12.77734375" customWidth="1"/>
    <col min="6" max="12" width="11.5546875" customWidth="1"/>
    <col min="13" max="16384" width="11.5546875" hidden="1"/>
  </cols>
  <sheetData>
    <row r="2" spans="4:11" ht="15" thickBot="1" x14ac:dyDescent="0.35"/>
    <row r="3" spans="4:11" ht="15" thickTop="1" x14ac:dyDescent="0.3">
      <c r="D3" s="30"/>
      <c r="E3" s="31"/>
      <c r="F3" s="31"/>
      <c r="G3" s="31"/>
      <c r="H3" s="31"/>
      <c r="I3" s="31"/>
      <c r="J3" s="31"/>
      <c r="K3" s="32"/>
    </row>
    <row r="4" spans="4:11" ht="18" customHeight="1" x14ac:dyDescent="0.35">
      <c r="D4" s="33" t="s">
        <v>28079</v>
      </c>
      <c r="E4" s="34"/>
      <c r="F4" s="34"/>
      <c r="G4" s="34"/>
      <c r="H4" s="34"/>
      <c r="I4" s="34"/>
      <c r="J4" s="34"/>
      <c r="K4" s="35"/>
    </row>
    <row r="5" spans="4:11" ht="18" customHeight="1" x14ac:dyDescent="0.35">
      <c r="D5" s="36"/>
      <c r="K5" s="37"/>
    </row>
    <row r="6" spans="4:11" ht="18" customHeight="1" x14ac:dyDescent="0.35">
      <c r="D6" s="36" t="str">
        <f>CONCATENATE(COUNT(Tabla1[No.])," ","total accidents")</f>
        <v>4963 total accidents</v>
      </c>
      <c r="K6" s="37"/>
    </row>
    <row r="7" spans="4:11" ht="18" customHeight="1" x14ac:dyDescent="0.35">
      <c r="D7" s="36"/>
      <c r="K7" s="37"/>
    </row>
    <row r="8" spans="4:11" ht="18" customHeight="1" x14ac:dyDescent="0.35">
      <c r="D8" s="33" t="s">
        <v>28080</v>
      </c>
      <c r="E8" s="34"/>
      <c r="F8" s="34"/>
      <c r="G8" s="34"/>
      <c r="H8" s="34"/>
      <c r="I8" s="34"/>
      <c r="J8" s="34"/>
      <c r="K8" s="37"/>
    </row>
    <row r="9" spans="4:11" ht="18" customHeight="1" x14ac:dyDescent="0.35">
      <c r="D9" s="36"/>
      <c r="K9" s="37"/>
    </row>
    <row r="10" spans="4:11" ht="18" customHeight="1" x14ac:dyDescent="0.35">
      <c r="D10" s="36" t="str">
        <f>CONCATENATE(SUM(Tabla1[Aboard])," ",Tabla1[[#Headers],[Aboard]])</f>
        <v>153754 Aboard</v>
      </c>
      <c r="K10" s="37"/>
    </row>
    <row r="11" spans="4:11" ht="18" customHeight="1" x14ac:dyDescent="0.35">
      <c r="D11" s="36"/>
      <c r="K11" s="37"/>
    </row>
    <row r="12" spans="4:11" ht="18" customHeight="1" x14ac:dyDescent="0.35">
      <c r="D12" s="33" t="s">
        <v>28081</v>
      </c>
      <c r="E12" s="34"/>
      <c r="F12" s="34"/>
      <c r="G12" s="34"/>
      <c r="H12" s="34"/>
      <c r="K12" s="37"/>
    </row>
    <row r="13" spans="4:11" ht="18" customHeight="1" x14ac:dyDescent="0.35">
      <c r="D13" s="36"/>
      <c r="K13" s="37"/>
    </row>
    <row r="14" spans="4:11" ht="18" customHeight="1" x14ac:dyDescent="0.35">
      <c r="D14" s="36" t="str">
        <f>CONCATENATE(SUM(Tabla1[Aboard Crew])," ",Tabla1[[#Headers],[Aboard Crew]])</f>
        <v>21225 Aboard Crew</v>
      </c>
      <c r="K14" s="37"/>
    </row>
    <row r="15" spans="4:11" ht="18" customHeight="1" x14ac:dyDescent="0.35">
      <c r="D15" s="36"/>
      <c r="K15" s="37"/>
    </row>
    <row r="16" spans="4:11" ht="18" customHeight="1" x14ac:dyDescent="0.35">
      <c r="D16" s="33" t="s">
        <v>28082</v>
      </c>
      <c r="E16" s="34"/>
      <c r="F16" s="34"/>
      <c r="G16" s="34"/>
      <c r="K16" s="37"/>
    </row>
    <row r="17" spans="4:11" ht="18" customHeight="1" x14ac:dyDescent="0.35">
      <c r="D17" s="36"/>
      <c r="K17" s="37"/>
    </row>
    <row r="18" spans="4:11" ht="18" customHeight="1" x14ac:dyDescent="0.35">
      <c r="D18" s="36" t="str">
        <f>CONCATENATE(SUM(Tabla1[Aboard Passangers])," ",Tabla1[[#Headers],[Aboard Passangers]])</f>
        <v>127357 Aboard Passangers</v>
      </c>
      <c r="K18" s="37"/>
    </row>
    <row r="19" spans="4:11" ht="18" customHeight="1" x14ac:dyDescent="0.35">
      <c r="D19" s="36"/>
      <c r="K19" s="37"/>
    </row>
    <row r="20" spans="4:11" ht="18" customHeight="1" x14ac:dyDescent="0.35">
      <c r="D20" s="33" t="s">
        <v>28083</v>
      </c>
      <c r="E20" s="34"/>
      <c r="F20" s="34"/>
      <c r="G20" s="34"/>
      <c r="H20" s="34"/>
      <c r="K20" s="37"/>
    </row>
    <row r="21" spans="4:11" ht="18" customHeight="1" x14ac:dyDescent="0.35">
      <c r="D21" s="36"/>
      <c r="K21" s="37"/>
    </row>
    <row r="22" spans="4:11" ht="18" customHeight="1" x14ac:dyDescent="0.35">
      <c r="D22" s="36" t="str">
        <f>CONCATENATE(SUM(Tabla1[Fatalities])," ",Tabla1[[#Headers],[Fatalities]])</f>
        <v>110707 Fatalities</v>
      </c>
      <c r="K22" s="37"/>
    </row>
    <row r="23" spans="4:11" ht="18" customHeight="1" x14ac:dyDescent="0.35">
      <c r="D23" s="36"/>
      <c r="K23" s="37"/>
    </row>
    <row r="24" spans="4:11" ht="18" customHeight="1" x14ac:dyDescent="0.35">
      <c r="D24" s="33" t="s">
        <v>28084</v>
      </c>
      <c r="E24" s="34"/>
      <c r="F24" s="34"/>
      <c r="G24" s="34"/>
      <c r="H24" s="34"/>
      <c r="K24" s="37"/>
    </row>
    <row r="25" spans="4:11" ht="18" customHeight="1" x14ac:dyDescent="0.35">
      <c r="D25" s="36"/>
      <c r="K25" s="37"/>
    </row>
    <row r="26" spans="4:11" ht="18" customHeight="1" x14ac:dyDescent="0.35">
      <c r="D26" s="36" t="str">
        <f>CONCATENATE(SUM(Tabla1[Survived])," ",Tabla1[[#Headers],[Survived]])</f>
        <v>43130 Survived</v>
      </c>
      <c r="H26" s="2"/>
      <c r="K26" s="37"/>
    </row>
    <row r="27" spans="4:11" ht="18" customHeight="1" x14ac:dyDescent="0.35">
      <c r="D27" s="36"/>
      <c r="K27" s="37"/>
    </row>
    <row r="28" spans="4:11" ht="18" customHeight="1" x14ac:dyDescent="0.35">
      <c r="D28" s="33" t="s">
        <v>28085</v>
      </c>
      <c r="E28" s="34"/>
      <c r="F28" s="34"/>
      <c r="G28" s="34"/>
      <c r="K28" s="37"/>
    </row>
    <row r="29" spans="4:11" ht="18" customHeight="1" x14ac:dyDescent="0.35">
      <c r="D29" s="36"/>
      <c r="K29" s="37"/>
    </row>
    <row r="30" spans="4:11" ht="18" customHeight="1" x14ac:dyDescent="0.35">
      <c r="D30" s="36" t="str">
        <f>CONCATENATE(SUM(Tabla1[Ground])," ",Tabla1[[#Headers],[Ground]])</f>
        <v>8513 Ground</v>
      </c>
      <c r="K30" s="37"/>
    </row>
    <row r="31" spans="4:11" ht="18" customHeight="1" x14ac:dyDescent="0.35">
      <c r="D31" s="36"/>
      <c r="K31" s="37"/>
    </row>
    <row r="32" spans="4:11" ht="18" customHeight="1" x14ac:dyDescent="0.35">
      <c r="D32" s="33" t="s">
        <v>28086</v>
      </c>
      <c r="E32" s="34"/>
      <c r="F32" s="34"/>
      <c r="G32" s="34"/>
      <c r="I32" s="38"/>
      <c r="K32" s="37"/>
    </row>
    <row r="33" spans="4:11" ht="18" customHeight="1" x14ac:dyDescent="0.35">
      <c r="D33" s="36"/>
      <c r="I33" s="38"/>
      <c r="K33" s="37"/>
    </row>
    <row r="34" spans="4:11" ht="18" customHeight="1" x14ac:dyDescent="0.35">
      <c r="D34" s="36" t="str">
        <f>CONCATENATE(COUNTIFS(Tabla1[Ground],"&gt;0")," ","Ground fatalities")</f>
        <v>242 Ground fatalities</v>
      </c>
      <c r="I34" s="38"/>
      <c r="K34" s="37"/>
    </row>
    <row r="35" spans="4:11" ht="18" customHeight="1" x14ac:dyDescent="0.3">
      <c r="D35" s="39"/>
      <c r="I35" s="38"/>
      <c r="K35" s="37"/>
    </row>
    <row r="36" spans="4:11" ht="18" customHeight="1" x14ac:dyDescent="0.35">
      <c r="D36" s="33" t="s">
        <v>28087</v>
      </c>
      <c r="E36" s="34"/>
      <c r="F36" s="34"/>
      <c r="K36" s="37"/>
    </row>
    <row r="37" spans="4:11" ht="18" customHeight="1" thickBot="1" x14ac:dyDescent="0.4">
      <c r="D37" s="36"/>
      <c r="K37" s="37"/>
    </row>
    <row r="38" spans="4:11" ht="18" customHeight="1" thickBot="1" x14ac:dyDescent="0.4">
      <c r="D38" s="40" t="s">
        <v>28916</v>
      </c>
      <c r="F38" s="28" t="str">
        <f>CONCATENATE(COUNTIF(Tabla1[Year],D38)," ","Fatalities per year")</f>
        <v>25 Fatalities per year</v>
      </c>
      <c r="K38" s="37"/>
    </row>
    <row r="39" spans="4:11" ht="18" customHeight="1" x14ac:dyDescent="0.35">
      <c r="D39" s="36"/>
      <c r="K39" s="37"/>
    </row>
    <row r="40" spans="4:11" ht="18" customHeight="1" x14ac:dyDescent="0.35">
      <c r="D40" s="33" t="s">
        <v>28088</v>
      </c>
      <c r="E40" s="34"/>
      <c r="F40" s="34"/>
      <c r="G40" s="34"/>
      <c r="H40" s="34"/>
      <c r="I40" s="34"/>
      <c r="K40" s="37"/>
    </row>
    <row r="41" spans="4:11" ht="18" customHeight="1" x14ac:dyDescent="0.35">
      <c r="D41" s="36"/>
      <c r="K41" s="37"/>
    </row>
    <row r="42" spans="4:11" ht="18" customHeight="1" x14ac:dyDescent="0.35">
      <c r="D42" s="36" t="str">
        <f>CONCATENATE("Year"," ",(INDEX(Tabla2[#All],MATCH(LARGE(Tabla2[Crashes],1),Tabla2[[#All],[Crashes]],0),1)))</f>
        <v>Year 1989</v>
      </c>
      <c r="K42" s="37"/>
    </row>
    <row r="43" spans="4:11" ht="18" customHeight="1" x14ac:dyDescent="0.35">
      <c r="D43" s="36"/>
      <c r="K43" s="37"/>
    </row>
    <row r="44" spans="4:11" ht="18" customHeight="1" x14ac:dyDescent="0.35">
      <c r="D44" s="33" t="s">
        <v>28089</v>
      </c>
      <c r="E44" s="34"/>
      <c r="F44" s="34"/>
      <c r="G44" s="34"/>
      <c r="H44" s="34"/>
      <c r="I44" s="34"/>
      <c r="K44" s="37"/>
    </row>
    <row r="45" spans="4:11" ht="18" customHeight="1" x14ac:dyDescent="0.35">
      <c r="D45" s="36"/>
      <c r="K45" s="37"/>
    </row>
    <row r="46" spans="4:11" ht="18" customHeight="1" x14ac:dyDescent="0.35">
      <c r="D46" s="36" t="s">
        <v>28963</v>
      </c>
      <c r="E46" s="41">
        <f>AVERAGE(Tabla1[Time])</f>
        <v>0.5463240499404709</v>
      </c>
      <c r="K46" s="37"/>
    </row>
    <row r="47" spans="4:11" ht="18" customHeight="1" x14ac:dyDescent="0.35">
      <c r="D47" s="36"/>
      <c r="K47" s="37"/>
    </row>
    <row r="48" spans="4:11" ht="18" customHeight="1" x14ac:dyDescent="0.35">
      <c r="D48" s="33" t="s">
        <v>28090</v>
      </c>
      <c r="E48" s="34"/>
      <c r="F48" s="34"/>
      <c r="G48" s="34"/>
      <c r="K48" s="37"/>
    </row>
    <row r="49" spans="4:11" ht="18" customHeight="1" x14ac:dyDescent="0.35">
      <c r="D49" s="36"/>
      <c r="K49" s="37"/>
    </row>
    <row r="50" spans="4:11" ht="18" customHeight="1" x14ac:dyDescent="0.35">
      <c r="D50" s="42">
        <f>AVERAGE(Tabla2[Crashes])</f>
        <v>50.58</v>
      </c>
      <c r="K50" s="37"/>
    </row>
    <row r="51" spans="4:11" ht="18" customHeight="1" x14ac:dyDescent="0.35">
      <c r="D51" s="36"/>
      <c r="K51" s="37"/>
    </row>
    <row r="52" spans="4:11" ht="18" customHeight="1" x14ac:dyDescent="0.35">
      <c r="D52" s="33" t="s">
        <v>28091</v>
      </c>
      <c r="E52" s="34"/>
      <c r="F52" s="34"/>
      <c r="G52" s="34"/>
      <c r="H52" s="34"/>
      <c r="I52" s="34"/>
      <c r="K52" s="37"/>
    </row>
    <row r="53" spans="4:11" x14ac:dyDescent="0.3">
      <c r="D53" s="43"/>
      <c r="K53" s="37"/>
    </row>
    <row r="54" spans="4:11" ht="18" x14ac:dyDescent="0.35">
      <c r="D54" s="36" t="e">
        <f>INDEX(#REF!,MATCH(LARGE(#REF!,1),#REF!,0),1)</f>
        <v>#REF!</v>
      </c>
      <c r="K54" s="37"/>
    </row>
    <row r="55" spans="4:11" x14ac:dyDescent="0.3">
      <c r="D55" s="43"/>
      <c r="K55" s="37"/>
    </row>
    <row r="56" spans="4:11" ht="15" thickBot="1" x14ac:dyDescent="0.35">
      <c r="D56" s="44"/>
      <c r="E56" s="45"/>
      <c r="F56" s="45"/>
      <c r="G56" s="45"/>
      <c r="H56" s="45"/>
      <c r="I56" s="45"/>
      <c r="J56" s="45"/>
      <c r="K56" s="46"/>
    </row>
    <row r="57" spans="4:11" ht="15" thickTop="1" x14ac:dyDescent="0.3"/>
  </sheetData>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whole" allowBlank="1" showInputMessage="1" showErrorMessage="1" errorTitle="Dato invalido" error="Colocar años entre 1908 y 2021" promptTitle="Insertar año" prompt="Insertar año a consultar" xr:uid="{E562D9EC-F551-4C29-A843-71B224AEEB71}">
          <x14:formula1>
            <xm:f>'Set Datos'!D3</xm:f>
          </x14:formula1>
          <x14:formula2>
            <xm:f>'Set Datos'!D4965</xm:f>
          </x14:formula2>
          <xm:sqref>D38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9:C10"/>
  <sheetViews>
    <sheetView workbookViewId="0">
      <selection activeCell="C9" sqref="C9:C10"/>
    </sheetView>
  </sheetViews>
  <sheetFormatPr baseColWidth="10" defaultRowHeight="14.4" x14ac:dyDescent="0.3"/>
  <sheetData>
    <row r="9" spans="3:3" x14ac:dyDescent="0.3">
      <c r="C9" t="s">
        <v>28093</v>
      </c>
    </row>
    <row r="10" spans="3:3" x14ac:dyDescent="0.3">
      <c r="C10" t="s">
        <v>28092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E48DAE-7DEB-470A-AD19-B03950F06D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MENÚ</vt:lpstr>
      <vt:lpstr>Dashboard</vt:lpstr>
      <vt:lpstr>Set Datos</vt:lpstr>
      <vt:lpstr>Dinamicas</vt:lpstr>
      <vt:lpstr>CSV 1</vt:lpstr>
      <vt:lpstr>CSV 2</vt:lpstr>
      <vt:lpstr>Readme</vt:lpstr>
      <vt:lpstr>Summary</vt:lpstr>
      <vt:lpstr>Preguntas y Respuestas</vt:lpstr>
      <vt:lpstr>Bibliografia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Eduardo Baldi</dc:creator>
  <cp:lastModifiedBy>Matias Eduardo Baldi</cp:lastModifiedBy>
  <dcterms:created xsi:type="dcterms:W3CDTF">2022-07-25T21:45:23Z</dcterms:created>
  <dcterms:modified xsi:type="dcterms:W3CDTF">2023-04-23T14:30:45Z</dcterms:modified>
</cp:coreProperties>
</file>